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mc:AlternateContent xmlns:mc="http://schemas.openxmlformats.org/markup-compatibility/2006">
    <mc:Choice Requires="x15">
      <x15ac:absPath xmlns:x15ac="http://schemas.microsoft.com/office/spreadsheetml/2010/11/ac" url="C:\Users\Bernardo Paniagua\Nextcloud\Documents\Yellowbook\"/>
    </mc:Choice>
  </mc:AlternateContent>
  <xr:revisionPtr revIDLastSave="0" documentId="13_ncr:1_{3639C14C-FC48-4B7C-8A7E-FA9E4C7CC89F}" xr6:coauthVersionLast="47" xr6:coauthVersionMax="47" xr10:uidLastSave="{00000000-0000-0000-0000-000000000000}"/>
  <bookViews>
    <workbookView xWindow="-25320" yWindow="3645" windowWidth="25440" windowHeight="15270" tabRatio="820" firstSheet="1" activeTab="4" xr2:uid="{00000000-000D-0000-FFFF-FFFF00000000}"/>
  </bookViews>
  <sheets>
    <sheet name="Index" sheetId="6" r:id="rId1"/>
    <sheet name="ARG" sheetId="2" r:id="rId2"/>
    <sheet name="BA" sheetId="18" r:id="rId3"/>
    <sheet name="BO" sheetId="19" r:id="rId4"/>
    <sheet name="BR" sheetId="8" r:id="rId5"/>
    <sheet name="CL" sheetId="3" r:id="rId6"/>
    <sheet name="CO" sheetId="4" r:id="rId7"/>
    <sheet name="CR" sheetId="15" r:id="rId8"/>
    <sheet name="CW" sheetId="22" r:id="rId9"/>
    <sheet name="EC" sheetId="7" r:id="rId10"/>
    <sheet name="SV" sheetId="13" r:id="rId11"/>
    <sheet name="GT" sheetId="11" r:id="rId12"/>
    <sheet name="HN" sheetId="16" r:id="rId13"/>
    <sheet name="JM" sheetId="14" r:id="rId14"/>
    <sheet name="RD" sheetId="5" r:id="rId15"/>
    <sheet name="PY" sheetId="20" r:id="rId16"/>
    <sheet name="PE" sheetId="12" r:id="rId17"/>
    <sheet name="TT" sheetId="17" r:id="rId18"/>
    <sheet name="Comparative" sheetId="10" r:id="rId19"/>
  </sheets>
  <externalReferences>
    <externalReference r:id="rId20"/>
    <externalReference r:id="rId21"/>
  </externalReferences>
  <definedNames>
    <definedName name="_xlnm.Print_Area" localSheetId="1">ARG!$B$1:$J$1756</definedName>
    <definedName name="_xlnm.Print_Area" localSheetId="2">BA!$B$2:$J$733</definedName>
    <definedName name="_xlnm.Print_Area" localSheetId="3">BO!$B$2:$I$1202</definedName>
    <definedName name="_xlnm.Print_Area" localSheetId="4">BR!$B$2:$J$1591</definedName>
    <definedName name="_xlnm.Print_Area" localSheetId="5">CL!$B$1:$J$849</definedName>
    <definedName name="_xlnm.Print_Area" localSheetId="6">CO!$B$1:$J$1094</definedName>
    <definedName name="_xlnm.Print_Area" localSheetId="18">Comparative!$B$1:$W$3683</definedName>
    <definedName name="_xlnm.Print_Area" localSheetId="7">CR!$B$1:$J$1002</definedName>
    <definedName name="_xlnm.Print_Area" localSheetId="8">CW!$B$1:$J$887</definedName>
    <definedName name="_xlnm.Print_Area" localSheetId="9">EC!$B$2:$J$809</definedName>
    <definedName name="_xlnm.Print_Area" localSheetId="11">GT!$B$1:$J$1026</definedName>
    <definedName name="_xlnm.Print_Area" localSheetId="12">HN!$B$1:$J$894</definedName>
    <definedName name="_xlnm.Print_Area" localSheetId="16">PE!$B$2:$J$797</definedName>
    <definedName name="_xlnm.Print_Area" localSheetId="15">PY!$B$1:$J$1403</definedName>
    <definedName name="_xlnm.Print_Area" localSheetId="14">RD!$B$1:$J$896</definedName>
    <definedName name="_xlnm.Print_Area" localSheetId="10">SV!$B$1:$J$762</definedName>
    <definedName name="_xlnm.Print_Area" localSheetId="17">TT!#REF!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365" i="10" l="1"/>
  <c r="E3365" i="10"/>
  <c r="F3365" i="10"/>
  <c r="G3365" i="10"/>
  <c r="H3365" i="10"/>
  <c r="I3365" i="10"/>
  <c r="J3365" i="10"/>
  <c r="D3366" i="10"/>
  <c r="E3366" i="10"/>
  <c r="F3366" i="10"/>
  <c r="G3366" i="10"/>
  <c r="H3366" i="10"/>
  <c r="I3366" i="10"/>
  <c r="J3366" i="10"/>
  <c r="D3369" i="10"/>
  <c r="E3369" i="10"/>
  <c r="F3369" i="10"/>
  <c r="G3369" i="10"/>
  <c r="H3369" i="10"/>
  <c r="I3369" i="10"/>
  <c r="J3369" i="10"/>
  <c r="D3372" i="10"/>
  <c r="E3372" i="10"/>
  <c r="F3372" i="10"/>
  <c r="G3372" i="10"/>
  <c r="H3372" i="10"/>
  <c r="I3372" i="10"/>
  <c r="J3372" i="10"/>
  <c r="D3375" i="10"/>
  <c r="E3375" i="10"/>
  <c r="F3375" i="10"/>
  <c r="G3375" i="10"/>
  <c r="H3375" i="10"/>
  <c r="I3375" i="10"/>
  <c r="J3375" i="10"/>
  <c r="D3376" i="10"/>
  <c r="E3376" i="10"/>
  <c r="F3376" i="10"/>
  <c r="G3376" i="10"/>
  <c r="H3376" i="10"/>
  <c r="I3376" i="10"/>
  <c r="J3376" i="10"/>
  <c r="D3377" i="10"/>
  <c r="E3377" i="10"/>
  <c r="F3377" i="10"/>
  <c r="G3377" i="10"/>
  <c r="H3377" i="10"/>
  <c r="I3377" i="10"/>
  <c r="J3377" i="10"/>
  <c r="D3380" i="10"/>
  <c r="E3380" i="10"/>
  <c r="F3380" i="10"/>
  <c r="G3380" i="10"/>
  <c r="H3380" i="10"/>
  <c r="I3380" i="10"/>
  <c r="J3380" i="10"/>
  <c r="D3383" i="10"/>
  <c r="E3383" i="10"/>
  <c r="F3383" i="10"/>
  <c r="G3383" i="10"/>
  <c r="H3383" i="10"/>
  <c r="I3383" i="10"/>
  <c r="J3383" i="10"/>
  <c r="D3384" i="10"/>
  <c r="E3384" i="10"/>
  <c r="F3384" i="10"/>
  <c r="G3384" i="10"/>
  <c r="H3384" i="10"/>
  <c r="I3384" i="10"/>
  <c r="J3384" i="10"/>
  <c r="D3387" i="10"/>
  <c r="E3387" i="10"/>
  <c r="F3387" i="10"/>
  <c r="G3387" i="10"/>
  <c r="H3387" i="10"/>
  <c r="I3387" i="10"/>
  <c r="J3387" i="10"/>
  <c r="D3388" i="10"/>
  <c r="E3388" i="10"/>
  <c r="F3388" i="10"/>
  <c r="G3388" i="10"/>
  <c r="H3388" i="10"/>
  <c r="I3388" i="10"/>
  <c r="J3388" i="10"/>
  <c r="D3391" i="10"/>
  <c r="E3391" i="10"/>
  <c r="F3391" i="10"/>
  <c r="G3391" i="10"/>
  <c r="H3391" i="10"/>
  <c r="I3391" i="10"/>
  <c r="J3391" i="10"/>
  <c r="D3394" i="10"/>
  <c r="E3394" i="10"/>
  <c r="F3394" i="10"/>
  <c r="G3394" i="10"/>
  <c r="H3394" i="10"/>
  <c r="I3394" i="10"/>
  <c r="J3394" i="10"/>
  <c r="D3397" i="10"/>
  <c r="E3397" i="10"/>
  <c r="F3397" i="10"/>
  <c r="G3397" i="10"/>
  <c r="H3397" i="10"/>
  <c r="I3397" i="10"/>
  <c r="D3403" i="10"/>
  <c r="E3403" i="10"/>
  <c r="F3403" i="10"/>
  <c r="G3403" i="10"/>
  <c r="H3403" i="10"/>
  <c r="I3403" i="10"/>
  <c r="J3403" i="10"/>
  <c r="D3407" i="10"/>
  <c r="E3407" i="10"/>
  <c r="F3407" i="10"/>
  <c r="G3407" i="10"/>
  <c r="H3407" i="10"/>
  <c r="I3407" i="10"/>
  <c r="J3407" i="10"/>
  <c r="D3410" i="10"/>
  <c r="E3410" i="10"/>
  <c r="F3410" i="10"/>
  <c r="G3410" i="10"/>
  <c r="H3410" i="10"/>
  <c r="I3410" i="10"/>
  <c r="J3410" i="10"/>
  <c r="D3413" i="10"/>
  <c r="E3413" i="10"/>
  <c r="F3413" i="10"/>
  <c r="G3413" i="10"/>
  <c r="H3413" i="10"/>
  <c r="I3413" i="10"/>
  <c r="J3413" i="10"/>
  <c r="D3414" i="10"/>
  <c r="E3414" i="10"/>
  <c r="F3414" i="10"/>
  <c r="G3414" i="10"/>
  <c r="H3414" i="10"/>
  <c r="I3414" i="10"/>
  <c r="J3414" i="10"/>
  <c r="D3417" i="10"/>
  <c r="E3417" i="10"/>
  <c r="F3417" i="10"/>
  <c r="G3417" i="10"/>
  <c r="H3417" i="10"/>
  <c r="I3417" i="10"/>
  <c r="J3417" i="10"/>
  <c r="D3420" i="10"/>
  <c r="E3420" i="10"/>
  <c r="F3420" i="10"/>
  <c r="G3420" i="10"/>
  <c r="H3420" i="10"/>
  <c r="I3420" i="10"/>
  <c r="J3420" i="10"/>
  <c r="D3421" i="10"/>
  <c r="E3421" i="10"/>
  <c r="F3421" i="10"/>
  <c r="G3421" i="10"/>
  <c r="H3421" i="10"/>
  <c r="I3421" i="10"/>
  <c r="J3421" i="10"/>
  <c r="C3421" i="10"/>
  <c r="C3420" i="10"/>
  <c r="C3417" i="10"/>
  <c r="C3414" i="10"/>
  <c r="C3413" i="10"/>
  <c r="C3410" i="10"/>
  <c r="C3407" i="10"/>
  <c r="C3403" i="10"/>
  <c r="C3397" i="10"/>
  <c r="C3394" i="10"/>
  <c r="C3391" i="10"/>
  <c r="C3388" i="10"/>
  <c r="C3387" i="10"/>
  <c r="C3384" i="10"/>
  <c r="C3383" i="10"/>
  <c r="C3380" i="10"/>
  <c r="C3376" i="10"/>
  <c r="C3375" i="10"/>
  <c r="C3372" i="10"/>
  <c r="C3369" i="10"/>
  <c r="C3366" i="10"/>
  <c r="C3365" i="10"/>
  <c r="D3626" i="10"/>
  <c r="E3626" i="10"/>
  <c r="F3626" i="10"/>
  <c r="G3626" i="10"/>
  <c r="H3626" i="10"/>
  <c r="I3626" i="10"/>
  <c r="J3626" i="10"/>
  <c r="D3627" i="10"/>
  <c r="E3627" i="10"/>
  <c r="F3627" i="10"/>
  <c r="G3627" i="10"/>
  <c r="H3627" i="10"/>
  <c r="I3627" i="10"/>
  <c r="J3627" i="10"/>
  <c r="D3630" i="10"/>
  <c r="E3630" i="10"/>
  <c r="F3630" i="10"/>
  <c r="G3630" i="10"/>
  <c r="H3630" i="10"/>
  <c r="I3630" i="10"/>
  <c r="J3630" i="10"/>
  <c r="D3633" i="10"/>
  <c r="E3633" i="10"/>
  <c r="F3633" i="10"/>
  <c r="G3633" i="10"/>
  <c r="H3633" i="10"/>
  <c r="I3633" i="10"/>
  <c r="J3633" i="10"/>
  <c r="D3636" i="10"/>
  <c r="E3636" i="10"/>
  <c r="F3636" i="10"/>
  <c r="G3636" i="10"/>
  <c r="H3636" i="10"/>
  <c r="I3636" i="10"/>
  <c r="J3636" i="10"/>
  <c r="D3637" i="10"/>
  <c r="E3637" i="10"/>
  <c r="F3637" i="10"/>
  <c r="G3637" i="10"/>
  <c r="H3637" i="10"/>
  <c r="I3637" i="10"/>
  <c r="J3637" i="10"/>
  <c r="D3638" i="10"/>
  <c r="E3638" i="10"/>
  <c r="F3638" i="10"/>
  <c r="G3638" i="10"/>
  <c r="H3638" i="10"/>
  <c r="I3638" i="10"/>
  <c r="J3638" i="10"/>
  <c r="D3639" i="10"/>
  <c r="E3639" i="10"/>
  <c r="F3639" i="10"/>
  <c r="G3639" i="10"/>
  <c r="H3639" i="10"/>
  <c r="I3639" i="10"/>
  <c r="J3639" i="10"/>
  <c r="D3642" i="10"/>
  <c r="E3642" i="10"/>
  <c r="F3642" i="10"/>
  <c r="G3642" i="10"/>
  <c r="H3642" i="10"/>
  <c r="I3642" i="10"/>
  <c r="J3642" i="10"/>
  <c r="D3645" i="10"/>
  <c r="E3645" i="10"/>
  <c r="F3645" i="10"/>
  <c r="G3645" i="10"/>
  <c r="H3645" i="10"/>
  <c r="I3645" i="10"/>
  <c r="D3646" i="10"/>
  <c r="E3646" i="10"/>
  <c r="F3646" i="10"/>
  <c r="G3646" i="10"/>
  <c r="H3646" i="10"/>
  <c r="I3646" i="10"/>
  <c r="D3649" i="10"/>
  <c r="E3649" i="10"/>
  <c r="F3649" i="10"/>
  <c r="G3649" i="10"/>
  <c r="H3649" i="10"/>
  <c r="I3649" i="10"/>
  <c r="J3649" i="10"/>
  <c r="D3650" i="10"/>
  <c r="E3650" i="10"/>
  <c r="F3650" i="10"/>
  <c r="G3650" i="10"/>
  <c r="H3650" i="10"/>
  <c r="I3650" i="10"/>
  <c r="J3650" i="10"/>
  <c r="D3653" i="10"/>
  <c r="E3653" i="10"/>
  <c r="F3653" i="10"/>
  <c r="G3653" i="10"/>
  <c r="H3653" i="10"/>
  <c r="I3653" i="10"/>
  <c r="J3653" i="10"/>
  <c r="D3656" i="10"/>
  <c r="E3656" i="10"/>
  <c r="J3656" i="10"/>
  <c r="D3659" i="10"/>
  <c r="E3659" i="10"/>
  <c r="F3659" i="10"/>
  <c r="G3659" i="10"/>
  <c r="H3659" i="10"/>
  <c r="I3659" i="10"/>
  <c r="D3668" i="10"/>
  <c r="E3668" i="10"/>
  <c r="F3668" i="10"/>
  <c r="G3668" i="10"/>
  <c r="H3668" i="10"/>
  <c r="I3668" i="10"/>
  <c r="J3668" i="10"/>
  <c r="D3669" i="10"/>
  <c r="E3669" i="10"/>
  <c r="F3669" i="10"/>
  <c r="G3669" i="10"/>
  <c r="H3669" i="10"/>
  <c r="I3669" i="10"/>
  <c r="J3669" i="10"/>
  <c r="D3672" i="10"/>
  <c r="E3672" i="10"/>
  <c r="F3672" i="10"/>
  <c r="G3672" i="10"/>
  <c r="H3672" i="10"/>
  <c r="I3672" i="10"/>
  <c r="J3672" i="10"/>
  <c r="D3675" i="10"/>
  <c r="E3675" i="10"/>
  <c r="F3675" i="10"/>
  <c r="G3675" i="10"/>
  <c r="H3675" i="10"/>
  <c r="I3675" i="10"/>
  <c r="J3675" i="10"/>
  <c r="D3676" i="10"/>
  <c r="E3676" i="10"/>
  <c r="F3676" i="10"/>
  <c r="G3676" i="10"/>
  <c r="H3676" i="10"/>
  <c r="I3676" i="10"/>
  <c r="J3676" i="10"/>
  <c r="D3677" i="10"/>
  <c r="E3677" i="10"/>
  <c r="F3677" i="10"/>
  <c r="G3677" i="10"/>
  <c r="H3677" i="10"/>
  <c r="I3677" i="10"/>
  <c r="J3677" i="10"/>
  <c r="D3680" i="10"/>
  <c r="E3680" i="10"/>
  <c r="F3680" i="10"/>
  <c r="G3680" i="10"/>
  <c r="H3680" i="10"/>
  <c r="I3680" i="10"/>
  <c r="J3680" i="10"/>
  <c r="D3683" i="10"/>
  <c r="E3683" i="10"/>
  <c r="F3683" i="10"/>
  <c r="G3683" i="10"/>
  <c r="H3683" i="10"/>
  <c r="I3683" i="10"/>
  <c r="J3683" i="10"/>
  <c r="C3683" i="10"/>
  <c r="C3680" i="10"/>
  <c r="C3677" i="10"/>
  <c r="C3676" i="10"/>
  <c r="C3675" i="10"/>
  <c r="C3669" i="10"/>
  <c r="C3668" i="10"/>
  <c r="C3659" i="10"/>
  <c r="C3656" i="10"/>
  <c r="C3650" i="10"/>
  <c r="C3649" i="10"/>
  <c r="C3646" i="10"/>
  <c r="C3645" i="10"/>
  <c r="C3639" i="10"/>
  <c r="C3638" i="10"/>
  <c r="C3637" i="10"/>
  <c r="C3636" i="10"/>
  <c r="C3633" i="10"/>
  <c r="C3627" i="10"/>
  <c r="C3626" i="10"/>
  <c r="C3642" i="10"/>
  <c r="C3630" i="10"/>
  <c r="D3615" i="10"/>
  <c r="E3615" i="10"/>
  <c r="F3615" i="10"/>
  <c r="G3615" i="10"/>
  <c r="H3615" i="10"/>
  <c r="I3615" i="10"/>
  <c r="J3615" i="10"/>
  <c r="C3615" i="10"/>
  <c r="D3566" i="10"/>
  <c r="E3566" i="10"/>
  <c r="F3566" i="10"/>
  <c r="G3566" i="10"/>
  <c r="H3566" i="10"/>
  <c r="I3566" i="10"/>
  <c r="J3566" i="10"/>
  <c r="C3566" i="10"/>
  <c r="D3562" i="10"/>
  <c r="E3562" i="10"/>
  <c r="F3562" i="10"/>
  <c r="G3562" i="10"/>
  <c r="H3562" i="10"/>
  <c r="I3562" i="10"/>
  <c r="J3562" i="10"/>
  <c r="D3563" i="10"/>
  <c r="E3563" i="10"/>
  <c r="F3563" i="10"/>
  <c r="G3563" i="10"/>
  <c r="H3563" i="10"/>
  <c r="I3563" i="10"/>
  <c r="J3563" i="10"/>
  <c r="C3563" i="10"/>
  <c r="C3562" i="10"/>
  <c r="J3592" i="10"/>
  <c r="D3526" i="10"/>
  <c r="E3526" i="10"/>
  <c r="F3526" i="10"/>
  <c r="G3526" i="10"/>
  <c r="H3526" i="10"/>
  <c r="I3526" i="10"/>
  <c r="J3526" i="10"/>
  <c r="C3526" i="10"/>
  <c r="D3500" i="10"/>
  <c r="E3500" i="10"/>
  <c r="F3500" i="10"/>
  <c r="G3500" i="10"/>
  <c r="H3500" i="10"/>
  <c r="I3500" i="10"/>
  <c r="J3500" i="10"/>
  <c r="C3500" i="10"/>
  <c r="D3460" i="10"/>
  <c r="E3460" i="10"/>
  <c r="F3460" i="10"/>
  <c r="G3460" i="10"/>
  <c r="H3460" i="10"/>
  <c r="I3460" i="10"/>
  <c r="J3460" i="10"/>
  <c r="C3460" i="10"/>
  <c r="D3434" i="10"/>
  <c r="E3434" i="10"/>
  <c r="F3434" i="10"/>
  <c r="G3434" i="10"/>
  <c r="H3434" i="10"/>
  <c r="I3434" i="10"/>
  <c r="J3434" i="10"/>
  <c r="C3434" i="10"/>
  <c r="K3369" i="10" l="1"/>
  <c r="K3391" i="10"/>
  <c r="K3380" i="10"/>
  <c r="M3372" i="10"/>
  <c r="O3372" i="10"/>
  <c r="Q3372" i="10"/>
  <c r="K3372" i="10"/>
  <c r="M3369" i="10"/>
  <c r="O3369" i="10"/>
  <c r="Q3369" i="10"/>
  <c r="J3302" i="10"/>
  <c r="K3302" i="10"/>
  <c r="L3302" i="10"/>
  <c r="I3302" i="10"/>
  <c r="H3302" i="10"/>
  <c r="C3302" i="10"/>
  <c r="D3302" i="10"/>
  <c r="E3302" i="10"/>
  <c r="F3302" i="10"/>
  <c r="G3302" i="10"/>
  <c r="B3302" i="10"/>
  <c r="D3262" i="10"/>
  <c r="E3262" i="10"/>
  <c r="F3262" i="10"/>
  <c r="G3262" i="10"/>
  <c r="H3262" i="10"/>
  <c r="I3262" i="10"/>
  <c r="J3262" i="10"/>
  <c r="C3262" i="10"/>
  <c r="D3233" i="10"/>
  <c r="F3233" i="10"/>
  <c r="G3233" i="10"/>
  <c r="H3233" i="10"/>
  <c r="I3233" i="10"/>
  <c r="C3233" i="10"/>
  <c r="J474" i="18"/>
  <c r="J3233" i="10" s="1"/>
  <c r="D474" i="18"/>
  <c r="E474" i="18"/>
  <c r="E3233" i="10" s="1"/>
  <c r="F474" i="18"/>
  <c r="G474" i="18"/>
  <c r="H474" i="18"/>
  <c r="I474" i="18"/>
  <c r="C474" i="18"/>
  <c r="D3193" i="10"/>
  <c r="E3193" i="10"/>
  <c r="F3193" i="10"/>
  <c r="G3193" i="10"/>
  <c r="H3193" i="10"/>
  <c r="I3193" i="10"/>
  <c r="J3193" i="10"/>
  <c r="C3193" i="10"/>
  <c r="D3166" i="10"/>
  <c r="E3166" i="10"/>
  <c r="F3166" i="10"/>
  <c r="G3166" i="10"/>
  <c r="H3166" i="10"/>
  <c r="I3166" i="10"/>
  <c r="J3166" i="10"/>
  <c r="C3166" i="10"/>
  <c r="D3142" i="10"/>
  <c r="E3142" i="10"/>
  <c r="F3142" i="10"/>
  <c r="G3142" i="10"/>
  <c r="H3142" i="10"/>
  <c r="I3142" i="10"/>
  <c r="J3142" i="10"/>
  <c r="C3142" i="10"/>
  <c r="K3142" i="10" s="1"/>
  <c r="O3380" i="10" l="1"/>
  <c r="O3391" i="10"/>
  <c r="N3380" i="10"/>
  <c r="R3391" i="10"/>
  <c r="N3391" i="10"/>
  <c r="Q3380" i="10"/>
  <c r="M3380" i="10"/>
  <c r="Q3391" i="10"/>
  <c r="M3391" i="10"/>
  <c r="P3391" i="10"/>
  <c r="L3391" i="10"/>
  <c r="R3369" i="10"/>
  <c r="N3369" i="10"/>
  <c r="R3372" i="10"/>
  <c r="N3372" i="10"/>
  <c r="R3380" i="10"/>
  <c r="P3369" i="10"/>
  <c r="L3369" i="10"/>
  <c r="P3372" i="10"/>
  <c r="L3372" i="10"/>
  <c r="P3380" i="10"/>
  <c r="L3380" i="10"/>
  <c r="Q3142" i="10"/>
  <c r="M3142" i="10"/>
  <c r="O3142" i="10"/>
  <c r="R3142" i="10"/>
  <c r="N3142" i="10"/>
  <c r="P3142" i="10"/>
  <c r="L3142" i="10"/>
  <c r="D3135" i="10"/>
  <c r="E3135" i="10"/>
  <c r="F3135" i="10"/>
  <c r="G3135" i="10"/>
  <c r="H3135" i="10"/>
  <c r="I3135" i="10"/>
  <c r="J3135" i="10"/>
  <c r="C3135" i="10"/>
  <c r="K3135" i="10" s="1"/>
  <c r="D3132" i="10"/>
  <c r="E3132" i="10"/>
  <c r="F3132" i="10"/>
  <c r="G3132" i="10"/>
  <c r="H3132" i="10"/>
  <c r="I3132" i="10"/>
  <c r="J3132" i="10"/>
  <c r="C3132" i="10"/>
  <c r="K3132" i="10" s="1"/>
  <c r="D3129" i="10"/>
  <c r="E3129" i="10"/>
  <c r="F3129" i="10"/>
  <c r="G3129" i="10"/>
  <c r="H3129" i="10"/>
  <c r="I3129" i="10"/>
  <c r="J3129" i="10"/>
  <c r="C3129" i="10"/>
  <c r="K3129" i="10" s="1"/>
  <c r="D3094" i="10"/>
  <c r="E3094" i="10"/>
  <c r="F3094" i="10"/>
  <c r="G3094" i="10"/>
  <c r="H3094" i="10"/>
  <c r="I3094" i="10"/>
  <c r="J3094" i="10"/>
  <c r="C3094" i="10"/>
  <c r="E3126" i="10"/>
  <c r="F3126" i="10"/>
  <c r="G3126" i="10"/>
  <c r="H3126" i="10"/>
  <c r="I3126" i="10"/>
  <c r="J3126" i="10"/>
  <c r="D3123" i="10"/>
  <c r="E3123" i="10"/>
  <c r="F3123" i="10"/>
  <c r="G3123" i="10"/>
  <c r="H3123" i="10"/>
  <c r="I3123" i="10"/>
  <c r="J3123" i="10"/>
  <c r="C3123" i="10"/>
  <c r="K3123" i="10" s="1"/>
  <c r="D3099" i="10"/>
  <c r="E3099" i="10"/>
  <c r="F3099" i="10"/>
  <c r="G3099" i="10"/>
  <c r="H3099" i="10"/>
  <c r="I3099" i="10"/>
  <c r="J3099" i="10"/>
  <c r="C3099" i="10"/>
  <c r="K3099" i="10" s="1"/>
  <c r="J3030" i="10"/>
  <c r="K3030" i="10"/>
  <c r="L3030" i="10"/>
  <c r="I3030" i="10"/>
  <c r="C3030" i="10"/>
  <c r="D3030" i="10"/>
  <c r="E3030" i="10"/>
  <c r="F3030" i="10"/>
  <c r="G3030" i="10"/>
  <c r="H3030" i="10"/>
  <c r="B3030" i="10"/>
  <c r="D2988" i="10"/>
  <c r="E2988" i="10"/>
  <c r="F2988" i="10"/>
  <c r="G2988" i="10"/>
  <c r="H2988" i="10"/>
  <c r="I2988" i="10"/>
  <c r="J2988" i="10"/>
  <c r="D2989" i="10"/>
  <c r="E2989" i="10"/>
  <c r="F2989" i="10"/>
  <c r="G2989" i="10"/>
  <c r="H2989" i="10"/>
  <c r="I2989" i="10"/>
  <c r="J2989" i="10"/>
  <c r="C2989" i="10"/>
  <c r="C2988" i="10"/>
  <c r="D2966" i="10"/>
  <c r="E2966" i="10"/>
  <c r="F2966" i="10"/>
  <c r="G2966" i="10"/>
  <c r="H2966" i="10"/>
  <c r="I2966" i="10"/>
  <c r="J2966" i="10"/>
  <c r="C2966" i="10"/>
  <c r="D2927" i="10"/>
  <c r="E2927" i="10"/>
  <c r="F2927" i="10"/>
  <c r="G2927" i="10"/>
  <c r="H2927" i="10"/>
  <c r="I2927" i="10"/>
  <c r="J2927" i="10"/>
  <c r="C2927" i="10"/>
  <c r="D2902" i="10"/>
  <c r="E2902" i="10"/>
  <c r="F2902" i="10"/>
  <c r="G2902" i="10"/>
  <c r="H2902" i="10"/>
  <c r="I2902" i="10"/>
  <c r="J2902" i="10"/>
  <c r="C2902" i="10"/>
  <c r="D2856" i="10"/>
  <c r="E2856" i="10"/>
  <c r="F2856" i="10"/>
  <c r="G2856" i="10"/>
  <c r="H2856" i="10"/>
  <c r="I2856" i="10"/>
  <c r="J2856" i="10"/>
  <c r="C2856" i="10"/>
  <c r="J2830" i="10"/>
  <c r="D2785" i="10"/>
  <c r="E2785" i="10"/>
  <c r="F2785" i="10"/>
  <c r="G2785" i="10"/>
  <c r="H2785" i="10"/>
  <c r="I2785" i="10"/>
  <c r="J2785" i="10"/>
  <c r="C2785" i="10"/>
  <c r="D2760" i="10"/>
  <c r="E2760" i="10"/>
  <c r="F2760" i="10"/>
  <c r="G2760" i="10"/>
  <c r="H2760" i="10"/>
  <c r="I2760" i="10"/>
  <c r="J2760" i="10"/>
  <c r="C2760" i="10"/>
  <c r="D2715" i="10"/>
  <c r="E2715" i="10"/>
  <c r="F2715" i="10"/>
  <c r="G2715" i="10"/>
  <c r="H2715" i="10"/>
  <c r="I2715" i="10"/>
  <c r="J2715" i="10"/>
  <c r="C2715" i="10"/>
  <c r="K2715" i="10" s="1"/>
  <c r="D2691" i="10"/>
  <c r="E2691" i="10"/>
  <c r="F2691" i="10"/>
  <c r="G2691" i="10"/>
  <c r="H2691" i="10"/>
  <c r="I2691" i="10"/>
  <c r="J2691" i="10"/>
  <c r="C2691" i="10"/>
  <c r="K2691" i="10" s="1"/>
  <c r="L2543" i="10"/>
  <c r="M2543" i="10"/>
  <c r="N2543" i="10"/>
  <c r="O2543" i="10"/>
  <c r="P2543" i="10"/>
  <c r="Q2543" i="10"/>
  <c r="R2543" i="10"/>
  <c r="L2544" i="10"/>
  <c r="M2544" i="10"/>
  <c r="N2544" i="10"/>
  <c r="O2544" i="10"/>
  <c r="P2544" i="10"/>
  <c r="Q2544" i="10"/>
  <c r="R2544" i="10"/>
  <c r="L2545" i="10"/>
  <c r="M2545" i="10"/>
  <c r="N2545" i="10"/>
  <c r="O2545" i="10"/>
  <c r="P2545" i="10"/>
  <c r="Q2545" i="10"/>
  <c r="R2545" i="10"/>
  <c r="L2546" i="10"/>
  <c r="M2546" i="10"/>
  <c r="N2546" i="10"/>
  <c r="O2546" i="10"/>
  <c r="P2546" i="10"/>
  <c r="Q2546" i="10"/>
  <c r="R2546" i="10"/>
  <c r="K2546" i="10"/>
  <c r="K2545" i="10"/>
  <c r="K2544" i="10"/>
  <c r="K2543" i="10"/>
  <c r="D2543" i="10"/>
  <c r="E2543" i="10"/>
  <c r="F2543" i="10"/>
  <c r="G2543" i="10"/>
  <c r="H2543" i="10"/>
  <c r="I2543" i="10"/>
  <c r="J2543" i="10"/>
  <c r="D2544" i="10"/>
  <c r="E2544" i="10"/>
  <c r="F2544" i="10"/>
  <c r="G2544" i="10"/>
  <c r="H2544" i="10"/>
  <c r="I2544" i="10"/>
  <c r="J2544" i="10"/>
  <c r="D2545" i="10"/>
  <c r="E2545" i="10"/>
  <c r="F2545" i="10"/>
  <c r="G2545" i="10"/>
  <c r="H2545" i="10"/>
  <c r="I2545" i="10"/>
  <c r="J2545" i="10"/>
  <c r="D2546" i="10"/>
  <c r="E2546" i="10"/>
  <c r="F2546" i="10"/>
  <c r="G2546" i="10"/>
  <c r="H2546" i="10"/>
  <c r="I2546" i="10"/>
  <c r="J2546" i="10"/>
  <c r="C2545" i="10"/>
  <c r="C2546" i="10"/>
  <c r="C2544" i="10"/>
  <c r="C2543" i="10"/>
  <c r="L2501" i="10"/>
  <c r="M2501" i="10"/>
  <c r="N2501" i="10"/>
  <c r="O2501" i="10"/>
  <c r="P2501" i="10"/>
  <c r="Q2501" i="10"/>
  <c r="R2501" i="10"/>
  <c r="L2502" i="10"/>
  <c r="M2502" i="10"/>
  <c r="N2502" i="10"/>
  <c r="O2502" i="10"/>
  <c r="P2502" i="10"/>
  <c r="Q2502" i="10"/>
  <c r="R2502" i="10"/>
  <c r="K2502" i="10"/>
  <c r="K2501" i="10"/>
  <c r="D2501" i="10"/>
  <c r="E2501" i="10"/>
  <c r="F2501" i="10"/>
  <c r="G2501" i="10"/>
  <c r="H2501" i="10"/>
  <c r="I2501" i="10"/>
  <c r="J2501" i="10"/>
  <c r="D2502" i="10"/>
  <c r="E2502" i="10"/>
  <c r="F2502" i="10"/>
  <c r="G2502" i="10"/>
  <c r="H2502" i="10"/>
  <c r="I2502" i="10"/>
  <c r="J2502" i="10"/>
  <c r="C2502" i="10"/>
  <c r="C2501" i="10"/>
  <c r="L2382" i="10"/>
  <c r="M2382" i="10"/>
  <c r="N2382" i="10"/>
  <c r="O2382" i="10"/>
  <c r="P2382" i="10"/>
  <c r="Q2382" i="10"/>
  <c r="R2382" i="10"/>
  <c r="L2383" i="10"/>
  <c r="M2383" i="10"/>
  <c r="N2383" i="10"/>
  <c r="O2383" i="10"/>
  <c r="P2383" i="10"/>
  <c r="Q2383" i="10"/>
  <c r="R2383" i="10"/>
  <c r="K2383" i="10"/>
  <c r="K2382" i="10"/>
  <c r="D2383" i="10"/>
  <c r="F2383" i="10"/>
  <c r="I2383" i="10"/>
  <c r="D283" i="18"/>
  <c r="D2382" i="10" s="1"/>
  <c r="E283" i="18"/>
  <c r="E2382" i="10" s="1"/>
  <c r="F283" i="18"/>
  <c r="F2382" i="10" s="1"/>
  <c r="G283" i="18"/>
  <c r="G2382" i="10" s="1"/>
  <c r="H283" i="18"/>
  <c r="H2382" i="10" s="1"/>
  <c r="I283" i="18"/>
  <c r="I2382" i="10" s="1"/>
  <c r="J283" i="18"/>
  <c r="J2383" i="10" s="1"/>
  <c r="C283" i="18"/>
  <c r="C2383" i="10" s="1"/>
  <c r="D2266" i="10"/>
  <c r="E2266" i="10"/>
  <c r="F2266" i="10"/>
  <c r="G2266" i="10"/>
  <c r="H2266" i="10"/>
  <c r="I2266" i="10"/>
  <c r="J2266" i="10"/>
  <c r="D2267" i="10"/>
  <c r="E2267" i="10"/>
  <c r="F2267" i="10"/>
  <c r="G2267" i="10"/>
  <c r="H2267" i="10"/>
  <c r="I2267" i="10"/>
  <c r="J2267" i="10"/>
  <c r="C2267" i="10"/>
  <c r="C2266" i="10"/>
  <c r="C2382" i="10" l="1"/>
  <c r="J2382" i="10"/>
  <c r="H2383" i="10"/>
  <c r="G2383" i="10"/>
  <c r="E2383" i="10"/>
  <c r="M3123" i="10"/>
  <c r="Q3129" i="10"/>
  <c r="M3129" i="10"/>
  <c r="Q3099" i="10"/>
  <c r="M3099" i="10"/>
  <c r="Q3123" i="10"/>
  <c r="Q3126" i="10"/>
  <c r="Q3132" i="10"/>
  <c r="N3132" i="10"/>
  <c r="Q3135" i="10"/>
  <c r="M3135" i="10"/>
  <c r="O3126" i="10"/>
  <c r="O3129" i="10"/>
  <c r="O3132" i="10"/>
  <c r="O3135" i="10"/>
  <c r="P3129" i="10"/>
  <c r="L3129" i="10"/>
  <c r="P3132" i="10"/>
  <c r="L3132" i="10"/>
  <c r="P3135" i="10"/>
  <c r="L3135" i="10"/>
  <c r="R3132" i="10"/>
  <c r="M3132" i="10"/>
  <c r="N3099" i="10"/>
  <c r="R3123" i="10"/>
  <c r="N3123" i="10"/>
  <c r="R3126" i="10"/>
  <c r="N3126" i="10"/>
  <c r="R3129" i="10"/>
  <c r="N3129" i="10"/>
  <c r="R3135" i="10"/>
  <c r="N3135" i="10"/>
  <c r="P3126" i="10"/>
  <c r="P3123" i="10"/>
  <c r="L3123" i="10"/>
  <c r="O3123" i="10"/>
  <c r="O3099" i="10"/>
  <c r="R3099" i="10"/>
  <c r="L3099" i="10"/>
  <c r="P3099" i="10"/>
  <c r="R2715" i="10"/>
  <c r="N2715" i="10"/>
  <c r="O2715" i="10"/>
  <c r="Q2691" i="10"/>
  <c r="M2691" i="10"/>
  <c r="Q2715" i="10"/>
  <c r="M2715" i="10"/>
  <c r="P2715" i="10"/>
  <c r="L2715" i="10"/>
  <c r="R2691" i="10"/>
  <c r="N2691" i="10"/>
  <c r="P2691" i="10"/>
  <c r="O2691" i="10"/>
  <c r="L2691" i="10"/>
  <c r="D2151" i="10"/>
  <c r="L2266" i="10" s="1"/>
  <c r="E2151" i="10"/>
  <c r="M2266" i="10" s="1"/>
  <c r="F2151" i="10"/>
  <c r="N2266" i="10" s="1"/>
  <c r="G2151" i="10"/>
  <c r="H2151" i="10"/>
  <c r="P2266" i="10" s="1"/>
  <c r="I2151" i="10"/>
  <c r="Q2266" i="10" s="1"/>
  <c r="J2151" i="10"/>
  <c r="R2266" i="10" s="1"/>
  <c r="D2152" i="10"/>
  <c r="L2267" i="10" s="1"/>
  <c r="E2152" i="10"/>
  <c r="M2267" i="10" s="1"/>
  <c r="F2152" i="10"/>
  <c r="N2267" i="10" s="1"/>
  <c r="G2152" i="10"/>
  <c r="O2267" i="10" s="1"/>
  <c r="H2152" i="10"/>
  <c r="P2267" i="10" s="1"/>
  <c r="I2152" i="10"/>
  <c r="Q2267" i="10" s="1"/>
  <c r="J2152" i="10"/>
  <c r="R2267" i="10" s="1"/>
  <c r="C2152" i="10"/>
  <c r="K2152" i="10" s="1"/>
  <c r="C2151" i="10"/>
  <c r="K2151" i="10" s="1"/>
  <c r="L39" i="10"/>
  <c r="K39" i="10"/>
  <c r="C973" i="10" s="1"/>
  <c r="L15" i="10"/>
  <c r="D613" i="10" s="1"/>
  <c r="K15" i="10"/>
  <c r="K1287" i="10" s="1"/>
  <c r="D15" i="10"/>
  <c r="C15" i="10"/>
  <c r="K3460" i="10" s="1"/>
  <c r="L155" i="10" l="1"/>
  <c r="L3460" i="10"/>
  <c r="K2266" i="10"/>
  <c r="K2267" i="10"/>
  <c r="L2152" i="10"/>
  <c r="O2151" i="10"/>
  <c r="O2266" i="10"/>
  <c r="R2152" i="10"/>
  <c r="N2152" i="10"/>
  <c r="Q2151" i="10"/>
  <c r="M2151" i="10"/>
  <c r="O2152" i="10"/>
  <c r="R2151" i="10"/>
  <c r="N2151" i="10"/>
  <c r="P2152" i="10"/>
  <c r="Q2152" i="10"/>
  <c r="M2152" i="10"/>
  <c r="P2151" i="10"/>
  <c r="L2151" i="10"/>
  <c r="L85" i="10"/>
  <c r="L180" i="10"/>
  <c r="D635" i="10"/>
  <c r="D107" i="10"/>
  <c r="L203" i="10"/>
  <c r="L635" i="10"/>
  <c r="L132" i="10"/>
  <c r="D319" i="10"/>
  <c r="D657" i="10"/>
  <c r="K203" i="10"/>
  <c r="K180" i="10"/>
  <c r="K85" i="10"/>
  <c r="C747" i="10"/>
  <c r="K725" i="10"/>
  <c r="K1197" i="10"/>
  <c r="D995" i="10"/>
  <c r="D951" i="10"/>
  <c r="L995" i="10"/>
  <c r="D973" i="10"/>
  <c r="L1017" i="10"/>
  <c r="C1131" i="10"/>
  <c r="C1175" i="10"/>
  <c r="C1221" i="10"/>
  <c r="C1265" i="10"/>
  <c r="C1447" i="10"/>
  <c r="K1175" i="10"/>
  <c r="K1265" i="10"/>
  <c r="K1447" i="10"/>
  <c r="C1607" i="10"/>
  <c r="K132" i="10"/>
  <c r="C107" i="10"/>
  <c r="K155" i="10"/>
  <c r="D1629" i="10"/>
  <c r="D1607" i="10"/>
  <c r="L1469" i="10"/>
  <c r="D1469" i="10"/>
  <c r="L1447" i="10"/>
  <c r="D1447" i="10"/>
  <c r="L1287" i="10"/>
  <c r="L1265" i="10"/>
  <c r="D1265" i="10"/>
  <c r="D1243" i="10"/>
  <c r="D1221" i="10"/>
  <c r="L1197" i="10"/>
  <c r="L1175" i="10"/>
  <c r="D1175" i="10"/>
  <c r="D1153" i="10"/>
  <c r="D1131" i="10"/>
  <c r="D747" i="10"/>
  <c r="L725" i="10"/>
  <c r="L679" i="10"/>
  <c r="L657" i="10"/>
  <c r="C1153" i="10"/>
  <c r="C1243" i="10"/>
  <c r="C1469" i="10"/>
  <c r="K1469" i="10"/>
  <c r="C951" i="10"/>
  <c r="D2712" i="10"/>
  <c r="E2712" i="10"/>
  <c r="F2712" i="10"/>
  <c r="G2712" i="10"/>
  <c r="H2712" i="10"/>
  <c r="I2712" i="10"/>
  <c r="J2712" i="10"/>
  <c r="C2712" i="10"/>
  <c r="D2539" i="10"/>
  <c r="E2539" i="10"/>
  <c r="F2539" i="10"/>
  <c r="G2539" i="10"/>
  <c r="H2539" i="10"/>
  <c r="I2539" i="10"/>
  <c r="J2539" i="10"/>
  <c r="D2540" i="10"/>
  <c r="E2540" i="10"/>
  <c r="F2540" i="10"/>
  <c r="G2540" i="10"/>
  <c r="H2540" i="10"/>
  <c r="I2540" i="10"/>
  <c r="J2540" i="10"/>
  <c r="C2540" i="10"/>
  <c r="C2539" i="10"/>
  <c r="M2419" i="10"/>
  <c r="N2419" i="10"/>
  <c r="O2419" i="10"/>
  <c r="P2419" i="10"/>
  <c r="Q2419" i="10"/>
  <c r="R2419" i="10"/>
  <c r="M2420" i="10"/>
  <c r="N2420" i="10"/>
  <c r="O2420" i="10"/>
  <c r="P2420" i="10"/>
  <c r="Q2420" i="10"/>
  <c r="R2420" i="10"/>
  <c r="F2189" i="10"/>
  <c r="G2189" i="10"/>
  <c r="H2189" i="10"/>
  <c r="I2189" i="10"/>
  <c r="J2189" i="10"/>
  <c r="E2189" i="10"/>
  <c r="F2304" i="10"/>
  <c r="G2304" i="10"/>
  <c r="H2304" i="10"/>
  <c r="I2304" i="10"/>
  <c r="E2304" i="10"/>
  <c r="E2419" i="10"/>
  <c r="F2419" i="10"/>
  <c r="G2419" i="10"/>
  <c r="H2419" i="10"/>
  <c r="I2419" i="10"/>
  <c r="J2419" i="10"/>
  <c r="E2420" i="10"/>
  <c r="F2420" i="10"/>
  <c r="G2420" i="10"/>
  <c r="H2420" i="10"/>
  <c r="I2420" i="10"/>
  <c r="J2420" i="10"/>
  <c r="E2303" i="10"/>
  <c r="F2303" i="10"/>
  <c r="G2303" i="10"/>
  <c r="H2303" i="10"/>
  <c r="I2303" i="10"/>
  <c r="J2303" i="10"/>
  <c r="E2188" i="10"/>
  <c r="F2188" i="10"/>
  <c r="G2188" i="10"/>
  <c r="H2188" i="10"/>
  <c r="I2188" i="10"/>
  <c r="J2188" i="10"/>
  <c r="C2128" i="10"/>
  <c r="D2128" i="10"/>
  <c r="E2128" i="10"/>
  <c r="F2128" i="10"/>
  <c r="G2128" i="10"/>
  <c r="H2128" i="10"/>
  <c r="C2129" i="10"/>
  <c r="D2129" i="10"/>
  <c r="E2129" i="10"/>
  <c r="F2129" i="10"/>
  <c r="G2129" i="10"/>
  <c r="H2129" i="10"/>
  <c r="C2130" i="10"/>
  <c r="D2130" i="10"/>
  <c r="E2130" i="10"/>
  <c r="F2130" i="10"/>
  <c r="G2130" i="10"/>
  <c r="H2130" i="10"/>
  <c r="C2131" i="10"/>
  <c r="D2131" i="10"/>
  <c r="E2131" i="10"/>
  <c r="F2131" i="10"/>
  <c r="G2131" i="10"/>
  <c r="H2131" i="10"/>
  <c r="J2128" i="10"/>
  <c r="K2128" i="10"/>
  <c r="L2128" i="10"/>
  <c r="M2128" i="10"/>
  <c r="N2128" i="10"/>
  <c r="J2129" i="10"/>
  <c r="K2129" i="10"/>
  <c r="L2129" i="10"/>
  <c r="M2129" i="10"/>
  <c r="N2129" i="10"/>
  <c r="J2130" i="10"/>
  <c r="K2130" i="10"/>
  <c r="L2130" i="10"/>
  <c r="M2130" i="10"/>
  <c r="N2130" i="10"/>
  <c r="J2131" i="10"/>
  <c r="K2131" i="10"/>
  <c r="L2131" i="10"/>
  <c r="M2131" i="10"/>
  <c r="N2131" i="10"/>
  <c r="I2129" i="10"/>
  <c r="I2130" i="10"/>
  <c r="I2131" i="10"/>
  <c r="I2128" i="10"/>
  <c r="B2129" i="10"/>
  <c r="B2130" i="10"/>
  <c r="B2131" i="10"/>
  <c r="B2128" i="10"/>
  <c r="J2124" i="10"/>
  <c r="K2124" i="10"/>
  <c r="L2124" i="10"/>
  <c r="M2124" i="10"/>
  <c r="N2124" i="10"/>
  <c r="J2125" i="10"/>
  <c r="K2125" i="10"/>
  <c r="L2125" i="10"/>
  <c r="M2125" i="10"/>
  <c r="N2125" i="10"/>
  <c r="I2125" i="10"/>
  <c r="I2124" i="10"/>
  <c r="D2124" i="10"/>
  <c r="E2124" i="10"/>
  <c r="F2124" i="10"/>
  <c r="G2124" i="10"/>
  <c r="H2124" i="10"/>
  <c r="D2125" i="10"/>
  <c r="E2125" i="10"/>
  <c r="F2125" i="10"/>
  <c r="G2125" i="10"/>
  <c r="H2125" i="10"/>
  <c r="B2124" i="10"/>
  <c r="B2125" i="10"/>
  <c r="C2125" i="10"/>
  <c r="C2124" i="10"/>
  <c r="J2121" i="10"/>
  <c r="K2121" i="10"/>
  <c r="L2121" i="10"/>
  <c r="M2121" i="10"/>
  <c r="N2121" i="10"/>
  <c r="I2121" i="10"/>
  <c r="D2121" i="10"/>
  <c r="E2121" i="10"/>
  <c r="F2121" i="10"/>
  <c r="G2121" i="10"/>
  <c r="H2121" i="10"/>
  <c r="B2121" i="10"/>
  <c r="C2121" i="10"/>
  <c r="J2103" i="10"/>
  <c r="K2103" i="10"/>
  <c r="L2103" i="10"/>
  <c r="M2103" i="10"/>
  <c r="N2103" i="10"/>
  <c r="J2104" i="10"/>
  <c r="K2104" i="10"/>
  <c r="L2104" i="10"/>
  <c r="M2104" i="10"/>
  <c r="N2104" i="10"/>
  <c r="J2105" i="10"/>
  <c r="K2105" i="10"/>
  <c r="L2105" i="10"/>
  <c r="M2105" i="10"/>
  <c r="N2105" i="10"/>
  <c r="I2104" i="10"/>
  <c r="I2105" i="10"/>
  <c r="I2103" i="10"/>
  <c r="B2103" i="10"/>
  <c r="B2104" i="10"/>
  <c r="B2105" i="10"/>
  <c r="D2103" i="10"/>
  <c r="E2103" i="10"/>
  <c r="F2103" i="10"/>
  <c r="G2103" i="10"/>
  <c r="H2103" i="10"/>
  <c r="D2104" i="10"/>
  <c r="E2104" i="10"/>
  <c r="F2104" i="10"/>
  <c r="G2104" i="10"/>
  <c r="H2104" i="10"/>
  <c r="D2105" i="10"/>
  <c r="E2105" i="10"/>
  <c r="F2105" i="10"/>
  <c r="G2105" i="10"/>
  <c r="H2105" i="10"/>
  <c r="C2104" i="10"/>
  <c r="C2105" i="10"/>
  <c r="C2103" i="10"/>
  <c r="J2098" i="10"/>
  <c r="K2098" i="10"/>
  <c r="L2098" i="10"/>
  <c r="M2098" i="10"/>
  <c r="N2098" i="10"/>
  <c r="J2099" i="10"/>
  <c r="K2099" i="10"/>
  <c r="L2099" i="10"/>
  <c r="M2099" i="10"/>
  <c r="N2099" i="10"/>
  <c r="J2100" i="10"/>
  <c r="K2100" i="10"/>
  <c r="L2100" i="10"/>
  <c r="M2100" i="10"/>
  <c r="N2100" i="10"/>
  <c r="I2099" i="10"/>
  <c r="I2100" i="10"/>
  <c r="I2098" i="10"/>
  <c r="B2098" i="10"/>
  <c r="B2099" i="10"/>
  <c r="B2100" i="10"/>
  <c r="D2098" i="10"/>
  <c r="E2098" i="10"/>
  <c r="F2098" i="10"/>
  <c r="G2098" i="10"/>
  <c r="H2098" i="10"/>
  <c r="D2099" i="10"/>
  <c r="E2099" i="10"/>
  <c r="F2099" i="10"/>
  <c r="G2099" i="10"/>
  <c r="H2099" i="10"/>
  <c r="D2100" i="10"/>
  <c r="E2100" i="10"/>
  <c r="F2100" i="10"/>
  <c r="G2100" i="10"/>
  <c r="H2100" i="10"/>
  <c r="C2099" i="10"/>
  <c r="C2100" i="10"/>
  <c r="C2098" i="10"/>
  <c r="J2093" i="10"/>
  <c r="K2093" i="10"/>
  <c r="L2093" i="10"/>
  <c r="M2093" i="10"/>
  <c r="N2093" i="10"/>
  <c r="J2094" i="10"/>
  <c r="K2094" i="10"/>
  <c r="L2094" i="10"/>
  <c r="M2094" i="10"/>
  <c r="N2094" i="10"/>
  <c r="J2095" i="10"/>
  <c r="K2095" i="10"/>
  <c r="L2095" i="10"/>
  <c r="M2095" i="10"/>
  <c r="N2095" i="10"/>
  <c r="I2094" i="10"/>
  <c r="I2095" i="10"/>
  <c r="I2093" i="10"/>
  <c r="C2093" i="10"/>
  <c r="D2093" i="10"/>
  <c r="E2093" i="10"/>
  <c r="F2093" i="10"/>
  <c r="G2093" i="10"/>
  <c r="H2093" i="10"/>
  <c r="C2094" i="10"/>
  <c r="D2094" i="10"/>
  <c r="E2094" i="10"/>
  <c r="F2094" i="10"/>
  <c r="G2094" i="10"/>
  <c r="H2094" i="10"/>
  <c r="C2095" i="10"/>
  <c r="D2095" i="10"/>
  <c r="E2095" i="10"/>
  <c r="F2095" i="10"/>
  <c r="G2095" i="10"/>
  <c r="H2095" i="10"/>
  <c r="B2094" i="10"/>
  <c r="B2095" i="10"/>
  <c r="B2093" i="10"/>
  <c r="J2090" i="10"/>
  <c r="K2090" i="10"/>
  <c r="L2090" i="10"/>
  <c r="M2090" i="10"/>
  <c r="N2090" i="10"/>
  <c r="I2090" i="10"/>
  <c r="C2090" i="10"/>
  <c r="D2090" i="10"/>
  <c r="E2090" i="10"/>
  <c r="F2090" i="10"/>
  <c r="G2090" i="10"/>
  <c r="H2090" i="10"/>
  <c r="B2090" i="10"/>
  <c r="J2083" i="10"/>
  <c r="K2083" i="10"/>
  <c r="L2083" i="10"/>
  <c r="M2083" i="10"/>
  <c r="N2083" i="10"/>
  <c r="J2084" i="10"/>
  <c r="K2084" i="10"/>
  <c r="L2084" i="10"/>
  <c r="M2084" i="10"/>
  <c r="N2084" i="10"/>
  <c r="J2085" i="10"/>
  <c r="K2085" i="10"/>
  <c r="L2085" i="10"/>
  <c r="M2085" i="10"/>
  <c r="N2085" i="10"/>
  <c r="J2086" i="10"/>
  <c r="K2086" i="10"/>
  <c r="L2086" i="10"/>
  <c r="M2086" i="10"/>
  <c r="N2086" i="10"/>
  <c r="J2087" i="10"/>
  <c r="K2087" i="10"/>
  <c r="L2087" i="10"/>
  <c r="M2087" i="10"/>
  <c r="N2087" i="10"/>
  <c r="I2084" i="10"/>
  <c r="I2085" i="10"/>
  <c r="I2086" i="10"/>
  <c r="I2087" i="10"/>
  <c r="I2083" i="10"/>
  <c r="C2083" i="10"/>
  <c r="D2083" i="10"/>
  <c r="E2083" i="10"/>
  <c r="F2083" i="10"/>
  <c r="G2083" i="10"/>
  <c r="H2083" i="10"/>
  <c r="C2084" i="10"/>
  <c r="D2084" i="10"/>
  <c r="E2084" i="10"/>
  <c r="F2084" i="10"/>
  <c r="G2084" i="10"/>
  <c r="H2084" i="10"/>
  <c r="C2085" i="10"/>
  <c r="D2085" i="10"/>
  <c r="E2085" i="10"/>
  <c r="F2085" i="10"/>
  <c r="G2085" i="10"/>
  <c r="H2085" i="10"/>
  <c r="C2086" i="10"/>
  <c r="D2086" i="10"/>
  <c r="E2086" i="10"/>
  <c r="F2086" i="10"/>
  <c r="G2086" i="10"/>
  <c r="H2086" i="10"/>
  <c r="C2087" i="10"/>
  <c r="D2087" i="10"/>
  <c r="E2087" i="10"/>
  <c r="F2087" i="10"/>
  <c r="G2087" i="10"/>
  <c r="H2087" i="10"/>
  <c r="B2084" i="10"/>
  <c r="B2085" i="10"/>
  <c r="B2086" i="10"/>
  <c r="B2087" i="10"/>
  <c r="B2083" i="10"/>
  <c r="I2116" i="10"/>
  <c r="J2116" i="10"/>
  <c r="K2116" i="10"/>
  <c r="L2116" i="10"/>
  <c r="M2116" i="10"/>
  <c r="N2116" i="10"/>
  <c r="I2117" i="10"/>
  <c r="J2117" i="10"/>
  <c r="K2117" i="10"/>
  <c r="L2117" i="10"/>
  <c r="M2117" i="10"/>
  <c r="N2117" i="10"/>
  <c r="I2118" i="10"/>
  <c r="J2118" i="10"/>
  <c r="K2118" i="10"/>
  <c r="L2118" i="10"/>
  <c r="M2118" i="10"/>
  <c r="N2118" i="10"/>
  <c r="J2115" i="10"/>
  <c r="K2115" i="10"/>
  <c r="L2115" i="10"/>
  <c r="M2115" i="10"/>
  <c r="N2115" i="10"/>
  <c r="I2115" i="10"/>
  <c r="J2108" i="10"/>
  <c r="K2108" i="10"/>
  <c r="L2108" i="10"/>
  <c r="M2108" i="10"/>
  <c r="N2108" i="10"/>
  <c r="J2109" i="10"/>
  <c r="K2109" i="10"/>
  <c r="L2109" i="10"/>
  <c r="M2109" i="10"/>
  <c r="N2109" i="10"/>
  <c r="J2110" i="10"/>
  <c r="K2110" i="10"/>
  <c r="L2110" i="10"/>
  <c r="M2110" i="10"/>
  <c r="N2110" i="10"/>
  <c r="J2111" i="10"/>
  <c r="K2111" i="10"/>
  <c r="L2111" i="10"/>
  <c r="M2111" i="10"/>
  <c r="N2111" i="10"/>
  <c r="J2112" i="10"/>
  <c r="K2112" i="10"/>
  <c r="L2112" i="10"/>
  <c r="M2112" i="10"/>
  <c r="N2112" i="10"/>
  <c r="J2113" i="10"/>
  <c r="K2113" i="10"/>
  <c r="L2113" i="10"/>
  <c r="M2113" i="10"/>
  <c r="N2113" i="10"/>
  <c r="I2111" i="10"/>
  <c r="I2112" i="10"/>
  <c r="I2113" i="10"/>
  <c r="I2109" i="10"/>
  <c r="I2110" i="10"/>
  <c r="I2108" i="10"/>
  <c r="C2108" i="10"/>
  <c r="D2108" i="10"/>
  <c r="E2108" i="10"/>
  <c r="F2108" i="10"/>
  <c r="G2108" i="10"/>
  <c r="H2108" i="10"/>
  <c r="C2109" i="10"/>
  <c r="D2109" i="10"/>
  <c r="E2109" i="10"/>
  <c r="F2109" i="10"/>
  <c r="G2109" i="10"/>
  <c r="H2109" i="10"/>
  <c r="C2110" i="10"/>
  <c r="D2110" i="10"/>
  <c r="E2110" i="10"/>
  <c r="F2110" i="10"/>
  <c r="G2110" i="10"/>
  <c r="H2110" i="10"/>
  <c r="C2111" i="10"/>
  <c r="D2111" i="10"/>
  <c r="E2111" i="10"/>
  <c r="F2111" i="10"/>
  <c r="G2111" i="10"/>
  <c r="H2111" i="10"/>
  <c r="C2112" i="10"/>
  <c r="D2112" i="10"/>
  <c r="E2112" i="10"/>
  <c r="F2112" i="10"/>
  <c r="G2112" i="10"/>
  <c r="H2112" i="10"/>
  <c r="C2113" i="10"/>
  <c r="D2113" i="10"/>
  <c r="E2113" i="10"/>
  <c r="F2113" i="10"/>
  <c r="G2113" i="10"/>
  <c r="H2113" i="10"/>
  <c r="C2114" i="10"/>
  <c r="D2114" i="10"/>
  <c r="E2114" i="10"/>
  <c r="F2114" i="10"/>
  <c r="G2114" i="10"/>
  <c r="H2114" i="10"/>
  <c r="C2115" i="10"/>
  <c r="D2115" i="10"/>
  <c r="E2115" i="10"/>
  <c r="F2115" i="10"/>
  <c r="G2115" i="10"/>
  <c r="H2115" i="10"/>
  <c r="C2116" i="10"/>
  <c r="D2116" i="10"/>
  <c r="E2116" i="10"/>
  <c r="F2116" i="10"/>
  <c r="G2116" i="10"/>
  <c r="H2116" i="10"/>
  <c r="C2117" i="10"/>
  <c r="D2117" i="10"/>
  <c r="E2117" i="10"/>
  <c r="F2117" i="10"/>
  <c r="G2117" i="10"/>
  <c r="H2117" i="10"/>
  <c r="C2118" i="10"/>
  <c r="D2118" i="10"/>
  <c r="E2118" i="10"/>
  <c r="F2118" i="10"/>
  <c r="G2118" i="10"/>
  <c r="H2118" i="10"/>
  <c r="B2109" i="10"/>
  <c r="B2110" i="10"/>
  <c r="B2111" i="10"/>
  <c r="B2112" i="10"/>
  <c r="B2113" i="10"/>
  <c r="B2114" i="10"/>
  <c r="B2115" i="10"/>
  <c r="B2116" i="10"/>
  <c r="B2117" i="10"/>
  <c r="B2118" i="10"/>
  <c r="B2108" i="10"/>
  <c r="L2079" i="10"/>
  <c r="M2079" i="10"/>
  <c r="N2079" i="10"/>
  <c r="L2080" i="10"/>
  <c r="M2080" i="10"/>
  <c r="N2080" i="10"/>
  <c r="K2080" i="10"/>
  <c r="K2079" i="10"/>
  <c r="I2079" i="10"/>
  <c r="J2079" i="10"/>
  <c r="I2080" i="10"/>
  <c r="J2080" i="10"/>
  <c r="C2079" i="10"/>
  <c r="D2079" i="10"/>
  <c r="E2079" i="10"/>
  <c r="F2079" i="10"/>
  <c r="G2079" i="10"/>
  <c r="H2079" i="10"/>
  <c r="C2080" i="10"/>
  <c r="D2080" i="10"/>
  <c r="E2080" i="10"/>
  <c r="F2080" i="10"/>
  <c r="G2080" i="10"/>
  <c r="H2080" i="10"/>
  <c r="B2080" i="10"/>
  <c r="B2079" i="10"/>
  <c r="J2067" i="10"/>
  <c r="K2067" i="10"/>
  <c r="L2067" i="10"/>
  <c r="M2067" i="10"/>
  <c r="N2067" i="10"/>
  <c r="J2068" i="10"/>
  <c r="K2068" i="10"/>
  <c r="L2068" i="10"/>
  <c r="M2068" i="10"/>
  <c r="N2068" i="10"/>
  <c r="J2069" i="10"/>
  <c r="K2069" i="10"/>
  <c r="L2069" i="10"/>
  <c r="M2069" i="10"/>
  <c r="N2069" i="10"/>
  <c r="J2070" i="10"/>
  <c r="K2070" i="10"/>
  <c r="L2070" i="10"/>
  <c r="M2070" i="10"/>
  <c r="N2070" i="10"/>
  <c r="J2071" i="10"/>
  <c r="K2071" i="10"/>
  <c r="L2071" i="10"/>
  <c r="M2071" i="10"/>
  <c r="N2071" i="10"/>
  <c r="J2072" i="10"/>
  <c r="K2072" i="10"/>
  <c r="L2072" i="10"/>
  <c r="M2072" i="10"/>
  <c r="N2072" i="10"/>
  <c r="J2073" i="10"/>
  <c r="K2073" i="10"/>
  <c r="L2073" i="10"/>
  <c r="M2073" i="10"/>
  <c r="N2073" i="10"/>
  <c r="J2074" i="10"/>
  <c r="K2074" i="10"/>
  <c r="L2074" i="10"/>
  <c r="M2074" i="10"/>
  <c r="N2074" i="10"/>
  <c r="J2075" i="10"/>
  <c r="K2075" i="10"/>
  <c r="L2075" i="10"/>
  <c r="M2075" i="10"/>
  <c r="N2075" i="10"/>
  <c r="J2076" i="10"/>
  <c r="K2076" i="10"/>
  <c r="L2076" i="10"/>
  <c r="M2076" i="10"/>
  <c r="N2076" i="10"/>
  <c r="I2068" i="10"/>
  <c r="I2069" i="10"/>
  <c r="I2070" i="10"/>
  <c r="I2071" i="10"/>
  <c r="I2072" i="10"/>
  <c r="I2073" i="10"/>
  <c r="I2074" i="10"/>
  <c r="I2075" i="10"/>
  <c r="I2076" i="10"/>
  <c r="I2067" i="10"/>
  <c r="C2067" i="10"/>
  <c r="D2067" i="10"/>
  <c r="E2067" i="10"/>
  <c r="F2067" i="10"/>
  <c r="G2067" i="10"/>
  <c r="H2067" i="10"/>
  <c r="C2068" i="10"/>
  <c r="D2068" i="10"/>
  <c r="E2068" i="10"/>
  <c r="F2068" i="10"/>
  <c r="G2068" i="10"/>
  <c r="H2068" i="10"/>
  <c r="C2069" i="10"/>
  <c r="D2069" i="10"/>
  <c r="E2069" i="10"/>
  <c r="F2069" i="10"/>
  <c r="G2069" i="10"/>
  <c r="H2069" i="10"/>
  <c r="C2070" i="10"/>
  <c r="D2070" i="10"/>
  <c r="E2070" i="10"/>
  <c r="F2070" i="10"/>
  <c r="G2070" i="10"/>
  <c r="H2070" i="10"/>
  <c r="C2071" i="10"/>
  <c r="D2071" i="10"/>
  <c r="E2071" i="10"/>
  <c r="F2071" i="10"/>
  <c r="G2071" i="10"/>
  <c r="H2071" i="10"/>
  <c r="C2072" i="10"/>
  <c r="D2072" i="10"/>
  <c r="E2072" i="10"/>
  <c r="F2072" i="10"/>
  <c r="G2072" i="10"/>
  <c r="H2072" i="10"/>
  <c r="C2073" i="10"/>
  <c r="D2073" i="10"/>
  <c r="E2073" i="10"/>
  <c r="F2073" i="10"/>
  <c r="G2073" i="10"/>
  <c r="H2073" i="10"/>
  <c r="C2074" i="10"/>
  <c r="D2074" i="10"/>
  <c r="E2074" i="10"/>
  <c r="F2074" i="10"/>
  <c r="G2074" i="10"/>
  <c r="H2074" i="10"/>
  <c r="C2075" i="10"/>
  <c r="D2075" i="10"/>
  <c r="E2075" i="10"/>
  <c r="F2075" i="10"/>
  <c r="G2075" i="10"/>
  <c r="H2075" i="10"/>
  <c r="C2076" i="10"/>
  <c r="D2076" i="10"/>
  <c r="E2076" i="10"/>
  <c r="F2076" i="10"/>
  <c r="G2076" i="10"/>
  <c r="H2076" i="10"/>
  <c r="B2068" i="10"/>
  <c r="B2069" i="10"/>
  <c r="B2070" i="10"/>
  <c r="B2071" i="10"/>
  <c r="B2072" i="10"/>
  <c r="B2073" i="10"/>
  <c r="B2074" i="10"/>
  <c r="B2075" i="10"/>
  <c r="B2076" i="10"/>
  <c r="B2067" i="10"/>
  <c r="J2061" i="10"/>
  <c r="K2061" i="10"/>
  <c r="L2061" i="10"/>
  <c r="M2061" i="10"/>
  <c r="N2061" i="10"/>
  <c r="J2062" i="10"/>
  <c r="K2062" i="10"/>
  <c r="L2062" i="10"/>
  <c r="M2062" i="10"/>
  <c r="N2062" i="10"/>
  <c r="J2063" i="10"/>
  <c r="K2063" i="10"/>
  <c r="L2063" i="10"/>
  <c r="M2063" i="10"/>
  <c r="N2063" i="10"/>
  <c r="J2064" i="10"/>
  <c r="K2064" i="10"/>
  <c r="L2064" i="10"/>
  <c r="M2064" i="10"/>
  <c r="N2064" i="10"/>
  <c r="I2062" i="10"/>
  <c r="I2063" i="10"/>
  <c r="I2064" i="10"/>
  <c r="I2061" i="10"/>
  <c r="C2061" i="10"/>
  <c r="D2061" i="10"/>
  <c r="E2061" i="10"/>
  <c r="F2061" i="10"/>
  <c r="G2061" i="10"/>
  <c r="H2061" i="10"/>
  <c r="C2062" i="10"/>
  <c r="D2062" i="10"/>
  <c r="E2062" i="10"/>
  <c r="F2062" i="10"/>
  <c r="G2062" i="10"/>
  <c r="H2062" i="10"/>
  <c r="C2063" i="10"/>
  <c r="D2063" i="10"/>
  <c r="E2063" i="10"/>
  <c r="F2063" i="10"/>
  <c r="G2063" i="10"/>
  <c r="H2063" i="10"/>
  <c r="C2064" i="10"/>
  <c r="D2064" i="10"/>
  <c r="E2064" i="10"/>
  <c r="F2064" i="10"/>
  <c r="G2064" i="10"/>
  <c r="H2064" i="10"/>
  <c r="B2062" i="10"/>
  <c r="B2063" i="10"/>
  <c r="B2064" i="10"/>
  <c r="B2061" i="10"/>
  <c r="J2049" i="10"/>
  <c r="K2049" i="10"/>
  <c r="L2049" i="10"/>
  <c r="M2049" i="10"/>
  <c r="N2049" i="10"/>
  <c r="J2050" i="10"/>
  <c r="K2050" i="10"/>
  <c r="L2050" i="10"/>
  <c r="M2050" i="10"/>
  <c r="N2050" i="10"/>
  <c r="J2051" i="10"/>
  <c r="K2051" i="10"/>
  <c r="L2051" i="10"/>
  <c r="M2051" i="10"/>
  <c r="N2051" i="10"/>
  <c r="J2052" i="10"/>
  <c r="K2052" i="10"/>
  <c r="L2052" i="10"/>
  <c r="M2052" i="10"/>
  <c r="N2052" i="10"/>
  <c r="J2053" i="10"/>
  <c r="K2053" i="10"/>
  <c r="L2053" i="10"/>
  <c r="M2053" i="10"/>
  <c r="N2053" i="10"/>
  <c r="J2054" i="10"/>
  <c r="K2054" i="10"/>
  <c r="L2054" i="10"/>
  <c r="M2054" i="10"/>
  <c r="N2054" i="10"/>
  <c r="I2050" i="10"/>
  <c r="I2051" i="10"/>
  <c r="I2052" i="10"/>
  <c r="I2053" i="10"/>
  <c r="I2054" i="10"/>
  <c r="I2049" i="10"/>
  <c r="C2049" i="10"/>
  <c r="D2049" i="10"/>
  <c r="E2049" i="10"/>
  <c r="F2049" i="10"/>
  <c r="G2049" i="10"/>
  <c r="H2049" i="10"/>
  <c r="C2050" i="10"/>
  <c r="D2050" i="10"/>
  <c r="E2050" i="10"/>
  <c r="F2050" i="10"/>
  <c r="G2050" i="10"/>
  <c r="H2050" i="10"/>
  <c r="C2051" i="10"/>
  <c r="D2051" i="10"/>
  <c r="E2051" i="10"/>
  <c r="F2051" i="10"/>
  <c r="G2051" i="10"/>
  <c r="H2051" i="10"/>
  <c r="C2052" i="10"/>
  <c r="D2052" i="10"/>
  <c r="E2052" i="10"/>
  <c r="F2052" i="10"/>
  <c r="G2052" i="10"/>
  <c r="H2052" i="10"/>
  <c r="C2053" i="10"/>
  <c r="D2053" i="10"/>
  <c r="E2053" i="10"/>
  <c r="F2053" i="10"/>
  <c r="G2053" i="10"/>
  <c r="H2053" i="10"/>
  <c r="C2054" i="10"/>
  <c r="D2054" i="10"/>
  <c r="E2054" i="10"/>
  <c r="F2054" i="10"/>
  <c r="G2054" i="10"/>
  <c r="H2054" i="10"/>
  <c r="B2050" i="10"/>
  <c r="B2051" i="10"/>
  <c r="B2052" i="10"/>
  <c r="B2053" i="10"/>
  <c r="B2054" i="10"/>
  <c r="B2049" i="10"/>
  <c r="C2043" i="10"/>
  <c r="D2043" i="10"/>
  <c r="E2043" i="10"/>
  <c r="F2043" i="10"/>
  <c r="G2043" i="10"/>
  <c r="H2043" i="10"/>
  <c r="I2043" i="10"/>
  <c r="J2043" i="10"/>
  <c r="K2043" i="10"/>
  <c r="L2043" i="10"/>
  <c r="M2043" i="10"/>
  <c r="N2043" i="10"/>
  <c r="C2044" i="10"/>
  <c r="D2044" i="10"/>
  <c r="E2044" i="10"/>
  <c r="F2044" i="10"/>
  <c r="G2044" i="10"/>
  <c r="H2044" i="10"/>
  <c r="I2044" i="10"/>
  <c r="J2044" i="10"/>
  <c r="K2044" i="10"/>
  <c r="L2044" i="10"/>
  <c r="M2044" i="10"/>
  <c r="N2044" i="10"/>
  <c r="C2045" i="10"/>
  <c r="D2045" i="10"/>
  <c r="E2045" i="10"/>
  <c r="F2045" i="10"/>
  <c r="G2045" i="10"/>
  <c r="H2045" i="10"/>
  <c r="I2045" i="10"/>
  <c r="J2045" i="10"/>
  <c r="K2045" i="10"/>
  <c r="L2045" i="10"/>
  <c r="M2045" i="10"/>
  <c r="N2045" i="10"/>
  <c r="C2046" i="10"/>
  <c r="D2046" i="10"/>
  <c r="E2046" i="10"/>
  <c r="F2046" i="10"/>
  <c r="G2046" i="10"/>
  <c r="H2046" i="10"/>
  <c r="I2046" i="10"/>
  <c r="J2046" i="10"/>
  <c r="K2046" i="10"/>
  <c r="L2046" i="10"/>
  <c r="M2046" i="10"/>
  <c r="N2046" i="10"/>
  <c r="B2044" i="10"/>
  <c r="B2045" i="10"/>
  <c r="B2046" i="10"/>
  <c r="B2043" i="10"/>
  <c r="J2040" i="10"/>
  <c r="K2040" i="10"/>
  <c r="L2040" i="10"/>
  <c r="M2040" i="10"/>
  <c r="N2040" i="10"/>
  <c r="C2040" i="10"/>
  <c r="D2040" i="10"/>
  <c r="E2040" i="10"/>
  <c r="F2040" i="10"/>
  <c r="G2040" i="10"/>
  <c r="H2040" i="10"/>
  <c r="B2040" i="10"/>
  <c r="I2040" i="10"/>
  <c r="M2031" i="10"/>
  <c r="N2031" i="10"/>
  <c r="M2032" i="10"/>
  <c r="N2032" i="10"/>
  <c r="M2033" i="10"/>
  <c r="N2033" i="10"/>
  <c r="M2034" i="10"/>
  <c r="N2034" i="10"/>
  <c r="M2035" i="10"/>
  <c r="N2035" i="10"/>
  <c r="M2036" i="10"/>
  <c r="N2036" i="10"/>
  <c r="M2037" i="10"/>
  <c r="N2037" i="10"/>
  <c r="L2031" i="10"/>
  <c r="L2032" i="10"/>
  <c r="L2033" i="10"/>
  <c r="L2034" i="10"/>
  <c r="L2035" i="10"/>
  <c r="L2036" i="10"/>
  <c r="L2037" i="10"/>
  <c r="K2031" i="10"/>
  <c r="K2032" i="10"/>
  <c r="K2033" i="10"/>
  <c r="K2034" i="10"/>
  <c r="K2035" i="10"/>
  <c r="K2036" i="10"/>
  <c r="K2037" i="10"/>
  <c r="J2032" i="10"/>
  <c r="J2033" i="10"/>
  <c r="J2034" i="10"/>
  <c r="J2035" i="10"/>
  <c r="J2036" i="10"/>
  <c r="J2037" i="10"/>
  <c r="J2031" i="10"/>
  <c r="G2031" i="10"/>
  <c r="H2031" i="10"/>
  <c r="G2032" i="10"/>
  <c r="H2032" i="10"/>
  <c r="G2033" i="10"/>
  <c r="H2033" i="10"/>
  <c r="G2034" i="10"/>
  <c r="H2034" i="10"/>
  <c r="G2035" i="10"/>
  <c r="H2035" i="10"/>
  <c r="G2036" i="10"/>
  <c r="H2036" i="10"/>
  <c r="G2037" i="10"/>
  <c r="H2037" i="10"/>
  <c r="E2031" i="10"/>
  <c r="F2031" i="10"/>
  <c r="E2032" i="10"/>
  <c r="F2032" i="10"/>
  <c r="E2033" i="10"/>
  <c r="F2033" i="10"/>
  <c r="E2034" i="10"/>
  <c r="F2034" i="10"/>
  <c r="E2035" i="10"/>
  <c r="F2035" i="10"/>
  <c r="E2036" i="10"/>
  <c r="F2036" i="10"/>
  <c r="E2037" i="10"/>
  <c r="F2037" i="10"/>
  <c r="B2032" i="10"/>
  <c r="B2033" i="10"/>
  <c r="B2034" i="10"/>
  <c r="B2035" i="10"/>
  <c r="B2036" i="10"/>
  <c r="B2037" i="10"/>
  <c r="B2031" i="10"/>
  <c r="D2034" i="10"/>
  <c r="D2035" i="10"/>
  <c r="D2036" i="10"/>
  <c r="D2037" i="10"/>
  <c r="D2032" i="10"/>
  <c r="D2033" i="10"/>
  <c r="D2031" i="10"/>
  <c r="M1965" i="10"/>
  <c r="N1965" i="10"/>
  <c r="O1965" i="10"/>
  <c r="P1965" i="10"/>
  <c r="Q1965" i="10"/>
  <c r="R1965" i="10"/>
  <c r="K1965" i="10"/>
  <c r="L2013" i="10" s="1"/>
  <c r="E1965" i="10"/>
  <c r="F1965" i="10"/>
  <c r="G1965" i="10"/>
  <c r="H1965" i="10"/>
  <c r="I1965" i="10"/>
  <c r="J1965" i="10"/>
  <c r="C1965" i="10"/>
  <c r="D2013" i="10" s="1"/>
  <c r="M1942" i="10"/>
  <c r="N1942" i="10"/>
  <c r="O1942" i="10"/>
  <c r="P1942" i="10"/>
  <c r="Q1942" i="10"/>
  <c r="R1942" i="10"/>
  <c r="K1942" i="10"/>
  <c r="L1990" i="10" s="1"/>
  <c r="E1942" i="10"/>
  <c r="F1942" i="10"/>
  <c r="G1942" i="10"/>
  <c r="H1942" i="10"/>
  <c r="I1942" i="10"/>
  <c r="J1942" i="10"/>
  <c r="C1942" i="10"/>
  <c r="D1990" i="10" s="1"/>
  <c r="M1869" i="10"/>
  <c r="N1869" i="10"/>
  <c r="O1869" i="10"/>
  <c r="P1869" i="10"/>
  <c r="Q1869" i="10"/>
  <c r="R1869" i="10"/>
  <c r="K1869" i="10"/>
  <c r="K1868" i="10"/>
  <c r="E1869" i="10"/>
  <c r="F1869" i="10"/>
  <c r="G1869" i="10"/>
  <c r="H1869" i="10"/>
  <c r="I1869" i="10"/>
  <c r="J1869" i="10"/>
  <c r="C1869" i="10"/>
  <c r="L1846" i="10"/>
  <c r="M1846" i="10"/>
  <c r="N1846" i="10"/>
  <c r="O1846" i="10"/>
  <c r="P1846" i="10"/>
  <c r="Q1846" i="10"/>
  <c r="R1846" i="10"/>
  <c r="K1846" i="10"/>
  <c r="E1846" i="10"/>
  <c r="F1846" i="10"/>
  <c r="G1846" i="10"/>
  <c r="H1846" i="10"/>
  <c r="I1846" i="10"/>
  <c r="J1846" i="10"/>
  <c r="C1846" i="10"/>
  <c r="L1773" i="10"/>
  <c r="M1773" i="10"/>
  <c r="N1773" i="10"/>
  <c r="O1773" i="10"/>
  <c r="P1773" i="10"/>
  <c r="Q1773" i="10"/>
  <c r="R1773" i="10"/>
  <c r="K1773" i="10"/>
  <c r="K1772" i="10"/>
  <c r="D1773" i="10"/>
  <c r="E1773" i="10"/>
  <c r="F1773" i="10"/>
  <c r="G1773" i="10"/>
  <c r="H1773" i="10"/>
  <c r="I1773" i="10"/>
  <c r="J1773" i="10"/>
  <c r="C1773" i="10"/>
  <c r="L1750" i="10"/>
  <c r="M1750" i="10"/>
  <c r="N1750" i="10"/>
  <c r="O1750" i="10"/>
  <c r="P1750" i="10"/>
  <c r="Q1750" i="10"/>
  <c r="R1750" i="10"/>
  <c r="K1750" i="10"/>
  <c r="D1750" i="10"/>
  <c r="E1750" i="10"/>
  <c r="F1750" i="10"/>
  <c r="G1750" i="10"/>
  <c r="H1750" i="10"/>
  <c r="I1750" i="10"/>
  <c r="J1750" i="10"/>
  <c r="C1750" i="10"/>
  <c r="M1677" i="10"/>
  <c r="N1677" i="10"/>
  <c r="O1677" i="10"/>
  <c r="P1677" i="10"/>
  <c r="Q1677" i="10"/>
  <c r="R1677" i="10"/>
  <c r="K1677" i="10"/>
  <c r="E1677" i="10"/>
  <c r="F1677" i="10"/>
  <c r="G1677" i="10"/>
  <c r="H1677" i="10"/>
  <c r="I1677" i="10"/>
  <c r="J1677" i="10"/>
  <c r="C1677" i="10"/>
  <c r="M1654" i="10"/>
  <c r="N1654" i="10"/>
  <c r="O1654" i="10"/>
  <c r="P1654" i="10"/>
  <c r="Q1654" i="10"/>
  <c r="R1654" i="10"/>
  <c r="K1654" i="10"/>
  <c r="E1654" i="10"/>
  <c r="F1654" i="10"/>
  <c r="G1654" i="10"/>
  <c r="H1654" i="10"/>
  <c r="I1654" i="10"/>
  <c r="J1654" i="10"/>
  <c r="L1537" i="10"/>
  <c r="L1629" i="10" s="1"/>
  <c r="M1537" i="10"/>
  <c r="N1537" i="10"/>
  <c r="O1537" i="10"/>
  <c r="P1537" i="10"/>
  <c r="Q1537" i="10"/>
  <c r="R1537" i="10"/>
  <c r="K1537" i="10"/>
  <c r="K1629" i="10" s="1"/>
  <c r="E1537" i="10"/>
  <c r="F1537" i="10"/>
  <c r="G1537" i="10"/>
  <c r="H1537" i="10"/>
  <c r="I1537" i="10"/>
  <c r="J1537" i="10"/>
  <c r="C1537" i="10"/>
  <c r="C1629" i="10" s="1"/>
  <c r="L1515" i="10"/>
  <c r="L1607" i="10" s="1"/>
  <c r="M1515" i="10"/>
  <c r="N1515" i="10"/>
  <c r="O1515" i="10"/>
  <c r="P1515" i="10"/>
  <c r="Q1515" i="10"/>
  <c r="R1515" i="10"/>
  <c r="K1515" i="10"/>
  <c r="K1607" i="10" s="1"/>
  <c r="E1515" i="10"/>
  <c r="F1515" i="10"/>
  <c r="G1515" i="10"/>
  <c r="H1515" i="10"/>
  <c r="I1515" i="10"/>
  <c r="J1515" i="10"/>
  <c r="D1355" i="10"/>
  <c r="D1491" i="10" s="1"/>
  <c r="E1355" i="10"/>
  <c r="F1355" i="10"/>
  <c r="G1355" i="10"/>
  <c r="H1355" i="10"/>
  <c r="I1355" i="10"/>
  <c r="J1355" i="10"/>
  <c r="C1355" i="10"/>
  <c r="C1491" i="10" s="1"/>
  <c r="M1333" i="10"/>
  <c r="N1333" i="10"/>
  <c r="O1333" i="10"/>
  <c r="P1333" i="10"/>
  <c r="Q1333" i="10"/>
  <c r="R1333" i="10"/>
  <c r="E1333" i="10"/>
  <c r="F1333" i="10"/>
  <c r="G1333" i="10"/>
  <c r="H1333" i="10"/>
  <c r="I1333" i="10"/>
  <c r="J1333" i="10"/>
  <c r="M1311" i="10"/>
  <c r="N1311" i="10"/>
  <c r="O1311" i="10"/>
  <c r="P1311" i="10"/>
  <c r="Q1311" i="10"/>
  <c r="R1311" i="10"/>
  <c r="E1311" i="10"/>
  <c r="F1311" i="10"/>
  <c r="G1311" i="10"/>
  <c r="H1311" i="10"/>
  <c r="I1311" i="10"/>
  <c r="J1311" i="10"/>
  <c r="M837" i="10"/>
  <c r="N837" i="10"/>
  <c r="O837" i="10"/>
  <c r="P837" i="10"/>
  <c r="Q837" i="10"/>
  <c r="R837" i="10"/>
  <c r="D837" i="10"/>
  <c r="E837" i="10"/>
  <c r="F837" i="10"/>
  <c r="G837" i="10"/>
  <c r="H837" i="10"/>
  <c r="I837" i="10"/>
  <c r="J837" i="10"/>
  <c r="C837" i="10"/>
  <c r="M815" i="10"/>
  <c r="N815" i="10"/>
  <c r="O815" i="10"/>
  <c r="P815" i="10"/>
  <c r="Q815" i="10"/>
  <c r="R815" i="10"/>
  <c r="E815" i="10"/>
  <c r="F815" i="10"/>
  <c r="G815" i="10"/>
  <c r="H815" i="10"/>
  <c r="I815" i="10"/>
  <c r="J815" i="10"/>
  <c r="L793" i="10"/>
  <c r="M793" i="10"/>
  <c r="N793" i="10"/>
  <c r="O793" i="10"/>
  <c r="P793" i="10"/>
  <c r="Q793" i="10"/>
  <c r="R793" i="10"/>
  <c r="K793" i="10"/>
  <c r="E793" i="10"/>
  <c r="F793" i="10"/>
  <c r="G793" i="10"/>
  <c r="H793" i="10"/>
  <c r="I793" i="10"/>
  <c r="J793" i="10"/>
  <c r="L771" i="10"/>
  <c r="M771" i="10"/>
  <c r="N771" i="10"/>
  <c r="O771" i="10"/>
  <c r="P771" i="10"/>
  <c r="Q771" i="10"/>
  <c r="R771" i="10"/>
  <c r="K771" i="10"/>
  <c r="E771" i="10"/>
  <c r="F771" i="10"/>
  <c r="G771" i="10"/>
  <c r="H771" i="10"/>
  <c r="I771" i="10"/>
  <c r="J771" i="10"/>
  <c r="D1798" i="10" l="1"/>
  <c r="L1798" i="10"/>
  <c r="D1821" i="10"/>
  <c r="L1221" i="10"/>
  <c r="L1131" i="10"/>
  <c r="L951" i="10"/>
  <c r="K1243" i="10"/>
  <c r="K1153" i="10"/>
  <c r="C1017" i="10"/>
  <c r="C1287" i="10"/>
  <c r="C1197" i="10"/>
  <c r="K951" i="10"/>
  <c r="K1221" i="10"/>
  <c r="K1131" i="10"/>
  <c r="L1821" i="10"/>
  <c r="L1243" i="10"/>
  <c r="L1153" i="10"/>
  <c r="L973" i="10"/>
  <c r="D1287" i="10"/>
  <c r="D1197" i="10"/>
  <c r="D1017" i="10"/>
  <c r="E703" i="10"/>
  <c r="F703" i="10"/>
  <c r="G703" i="10"/>
  <c r="H703" i="10"/>
  <c r="I703" i="10"/>
  <c r="J703" i="10"/>
  <c r="C702" i="10"/>
  <c r="Q409" i="10" l="1"/>
  <c r="R409" i="10"/>
  <c r="O409" i="10"/>
  <c r="P409" i="10"/>
  <c r="M409" i="10"/>
  <c r="N409" i="10"/>
  <c r="K409" i="10"/>
  <c r="K679" i="10" s="1"/>
  <c r="D409" i="10"/>
  <c r="D679" i="10" s="1"/>
  <c r="E409" i="10"/>
  <c r="F409" i="10"/>
  <c r="G409" i="10"/>
  <c r="H409" i="10"/>
  <c r="I409" i="10"/>
  <c r="J409" i="10"/>
  <c r="C409" i="10"/>
  <c r="C679" i="10" s="1"/>
  <c r="Q387" i="10"/>
  <c r="R387" i="10"/>
  <c r="N387" i="10"/>
  <c r="O387" i="10"/>
  <c r="P387" i="10"/>
  <c r="M387" i="10"/>
  <c r="K387" i="10"/>
  <c r="K657" i="10" s="1"/>
  <c r="C387" i="10"/>
  <c r="C657" i="10" s="1"/>
  <c r="F387" i="10"/>
  <c r="G387" i="10"/>
  <c r="H387" i="10"/>
  <c r="I387" i="10"/>
  <c r="J387" i="10"/>
  <c r="E387" i="10"/>
  <c r="M365" i="10"/>
  <c r="N365" i="10"/>
  <c r="O365" i="10"/>
  <c r="P365" i="10"/>
  <c r="Q365" i="10"/>
  <c r="R365" i="10"/>
  <c r="K365" i="10"/>
  <c r="K635" i="10" s="1"/>
  <c r="C365" i="10"/>
  <c r="C635" i="10" s="1"/>
  <c r="F365" i="10"/>
  <c r="G365" i="10"/>
  <c r="H365" i="10"/>
  <c r="I365" i="10"/>
  <c r="J365" i="10"/>
  <c r="E365" i="10"/>
  <c r="L343" i="10"/>
  <c r="L613" i="10" s="1"/>
  <c r="M343" i="10"/>
  <c r="N343" i="10"/>
  <c r="O343" i="10"/>
  <c r="P343" i="10"/>
  <c r="Q343" i="10"/>
  <c r="R343" i="10"/>
  <c r="K343" i="10"/>
  <c r="K613" i="10" s="1"/>
  <c r="E343" i="10"/>
  <c r="F343" i="10"/>
  <c r="G343" i="10"/>
  <c r="H343" i="10"/>
  <c r="I343" i="10"/>
  <c r="J343" i="10"/>
  <c r="C343" i="10"/>
  <c r="C613" i="10" s="1"/>
  <c r="E297" i="10"/>
  <c r="F297" i="10"/>
  <c r="G297" i="10"/>
  <c r="H297" i="10"/>
  <c r="I297" i="10"/>
  <c r="J297" i="10"/>
  <c r="C297" i="10"/>
  <c r="D251" i="10"/>
  <c r="E251" i="10"/>
  <c r="F251" i="10"/>
  <c r="G251" i="10"/>
  <c r="H251" i="10"/>
  <c r="I251" i="10"/>
  <c r="J251" i="10"/>
  <c r="C251" i="10"/>
  <c r="D228" i="10"/>
  <c r="E228" i="10"/>
  <c r="F228" i="10"/>
  <c r="G228" i="10"/>
  <c r="H228" i="10"/>
  <c r="I228" i="10"/>
  <c r="J228" i="10"/>
  <c r="C228" i="10"/>
  <c r="K228" i="10" s="1"/>
  <c r="E203" i="10"/>
  <c r="F203" i="10"/>
  <c r="G203" i="10"/>
  <c r="H203" i="10"/>
  <c r="I203" i="10"/>
  <c r="J203" i="10"/>
  <c r="F180" i="10"/>
  <c r="G180" i="10"/>
  <c r="H180" i="10"/>
  <c r="I180" i="10"/>
  <c r="J180" i="10"/>
  <c r="E180" i="10"/>
  <c r="M61" i="10"/>
  <c r="N61" i="10"/>
  <c r="O61" i="10"/>
  <c r="P61" i="10"/>
  <c r="Q61" i="10"/>
  <c r="R61" i="10"/>
  <c r="E61" i="10"/>
  <c r="F61" i="10"/>
  <c r="G61" i="10"/>
  <c r="H61" i="10"/>
  <c r="I61" i="10"/>
  <c r="J61" i="10"/>
  <c r="N38" i="10"/>
  <c r="O38" i="10"/>
  <c r="P38" i="10"/>
  <c r="Q38" i="10"/>
  <c r="R38" i="10"/>
  <c r="N37" i="10"/>
  <c r="O37" i="10"/>
  <c r="P37" i="10"/>
  <c r="Q37" i="10"/>
  <c r="R37" i="10"/>
  <c r="M38" i="10"/>
  <c r="M37" i="10"/>
  <c r="D38" i="10"/>
  <c r="C38" i="10"/>
  <c r="D37" i="10"/>
  <c r="C37" i="10"/>
  <c r="G14" i="10"/>
  <c r="H14" i="10"/>
  <c r="I14" i="10"/>
  <c r="J14" i="10"/>
  <c r="N14" i="10"/>
  <c r="O14" i="10"/>
  <c r="P14" i="10"/>
  <c r="Q14" i="10"/>
  <c r="R14" i="10"/>
  <c r="M14" i="10"/>
  <c r="N13" i="10"/>
  <c r="O13" i="10"/>
  <c r="P13" i="10"/>
  <c r="Q13" i="10"/>
  <c r="R13" i="10"/>
  <c r="M13" i="10"/>
  <c r="N15" i="10" l="1"/>
  <c r="N725" i="10" s="1"/>
  <c r="D39" i="10"/>
  <c r="R15" i="10"/>
  <c r="R1197" i="10" s="1"/>
  <c r="O39" i="10"/>
  <c r="O1798" i="10" s="1"/>
  <c r="R39" i="10"/>
  <c r="J973" i="10" s="1"/>
  <c r="Q15" i="10"/>
  <c r="I613" i="10" s="1"/>
  <c r="Q39" i="10"/>
  <c r="Q1798" i="10" s="1"/>
  <c r="N39" i="10"/>
  <c r="F1017" i="10" s="1"/>
  <c r="J38" i="10"/>
  <c r="Q228" i="10"/>
  <c r="M297" i="10"/>
  <c r="P15" i="10"/>
  <c r="H613" i="10" s="1"/>
  <c r="L319" i="10"/>
  <c r="L228" i="10"/>
  <c r="D273" i="10"/>
  <c r="L251" i="10"/>
  <c r="M15" i="10"/>
  <c r="M657" i="10" s="1"/>
  <c r="O15" i="10"/>
  <c r="G635" i="10" s="1"/>
  <c r="C39" i="10"/>
  <c r="M39" i="10"/>
  <c r="P39" i="10"/>
  <c r="K251" i="10"/>
  <c r="C273" i="10"/>
  <c r="L297" i="10"/>
  <c r="C319" i="10"/>
  <c r="E499" i="10"/>
  <c r="R297" i="10"/>
  <c r="Q297" i="10"/>
  <c r="Q319" i="10"/>
  <c r="M319" i="10"/>
  <c r="O319" i="10"/>
  <c r="H38" i="10"/>
  <c r="G38" i="10"/>
  <c r="P319" i="10"/>
  <c r="N319" i="10"/>
  <c r="R319" i="10"/>
  <c r="I38" i="10"/>
  <c r="N297" i="10"/>
  <c r="K319" i="10"/>
  <c r="P297" i="10"/>
  <c r="O297" i="10"/>
  <c r="N613" i="10" l="1"/>
  <c r="N679" i="10"/>
  <c r="N657" i="10"/>
  <c r="R613" i="10"/>
  <c r="R1221" i="10"/>
  <c r="F319" i="10"/>
  <c r="F1197" i="10"/>
  <c r="N2013" i="10"/>
  <c r="F1175" i="10"/>
  <c r="F1243" i="10"/>
  <c r="N203" i="10"/>
  <c r="F613" i="10"/>
  <c r="F679" i="10"/>
  <c r="N251" i="10"/>
  <c r="F1990" i="10"/>
  <c r="F1447" i="10"/>
  <c r="F1153" i="10"/>
  <c r="N1287" i="10"/>
  <c r="N180" i="10"/>
  <c r="F1221" i="10"/>
  <c r="F1469" i="10"/>
  <c r="F1491" i="10"/>
  <c r="N1197" i="10"/>
  <c r="F747" i="10"/>
  <c r="F635" i="10"/>
  <c r="R951" i="10"/>
  <c r="N1131" i="10"/>
  <c r="F1629" i="10"/>
  <c r="N1221" i="10"/>
  <c r="F1265" i="10"/>
  <c r="J1469" i="10"/>
  <c r="J747" i="10"/>
  <c r="J1265" i="10"/>
  <c r="N1153" i="10"/>
  <c r="N1265" i="10"/>
  <c r="F1287" i="10"/>
  <c r="N1607" i="10"/>
  <c r="F1131" i="10"/>
  <c r="N635" i="10"/>
  <c r="F657" i="10"/>
  <c r="F1607" i="10"/>
  <c r="N1447" i="10"/>
  <c r="N1469" i="10"/>
  <c r="N1629" i="10"/>
  <c r="N1243" i="10"/>
  <c r="N1175" i="10"/>
  <c r="N228" i="10"/>
  <c r="R228" i="10"/>
  <c r="J1175" i="10"/>
  <c r="J1491" i="10"/>
  <c r="R657" i="10"/>
  <c r="J657" i="10"/>
  <c r="J1287" i="10"/>
  <c r="R1265" i="10"/>
  <c r="J319" i="10"/>
  <c r="R2013" i="10"/>
  <c r="R1469" i="10"/>
  <c r="J1629" i="10"/>
  <c r="R1153" i="10"/>
  <c r="R679" i="10"/>
  <c r="J1153" i="10"/>
  <c r="J1607" i="10"/>
  <c r="J1131" i="10"/>
  <c r="J613" i="10"/>
  <c r="R251" i="10"/>
  <c r="J635" i="10"/>
  <c r="R180" i="10"/>
  <c r="J1197" i="10"/>
  <c r="J1221" i="10"/>
  <c r="R1447" i="10"/>
  <c r="R1175" i="10"/>
  <c r="R1287" i="10"/>
  <c r="R1131" i="10"/>
  <c r="R1629" i="10"/>
  <c r="R725" i="10"/>
  <c r="J679" i="10"/>
  <c r="R635" i="10"/>
  <c r="R203" i="10"/>
  <c r="J1447" i="10"/>
  <c r="R1607" i="10"/>
  <c r="J1990" i="10"/>
  <c r="J1243" i="10"/>
  <c r="R1243" i="10"/>
  <c r="O1990" i="10"/>
  <c r="G2013" i="10"/>
  <c r="G995" i="10"/>
  <c r="G1821" i="10"/>
  <c r="G1798" i="10"/>
  <c r="G973" i="10"/>
  <c r="O973" i="10"/>
  <c r="G951" i="10"/>
  <c r="O995" i="10"/>
  <c r="O1017" i="10"/>
  <c r="O1821" i="10"/>
  <c r="G1017" i="10"/>
  <c r="O951" i="10"/>
  <c r="J1821" i="10"/>
  <c r="R1990" i="10"/>
  <c r="I635" i="10"/>
  <c r="Q1221" i="10"/>
  <c r="Q2013" i="10"/>
  <c r="J951" i="10"/>
  <c r="J1798" i="10"/>
  <c r="R973" i="10"/>
  <c r="R1798" i="10"/>
  <c r="R1821" i="10"/>
  <c r="R1017" i="10"/>
  <c r="J995" i="10"/>
  <c r="R995" i="10"/>
  <c r="J2013" i="10"/>
  <c r="J1017" i="10"/>
  <c r="I1990" i="10"/>
  <c r="I1131" i="10"/>
  <c r="Q635" i="10"/>
  <c r="I1447" i="10"/>
  <c r="Q1131" i="10"/>
  <c r="Q1153" i="10"/>
  <c r="Q1175" i="10"/>
  <c r="I1265" i="10"/>
  <c r="I1243" i="10"/>
  <c r="I1221" i="10"/>
  <c r="I1017" i="10"/>
  <c r="I995" i="10"/>
  <c r="I747" i="10"/>
  <c r="Q203" i="10"/>
  <c r="Q1265" i="10"/>
  <c r="I1469" i="10"/>
  <c r="I1197" i="10"/>
  <c r="Q251" i="10"/>
  <c r="Q180" i="10"/>
  <c r="I951" i="10"/>
  <c r="F2013" i="10"/>
  <c r="N1821" i="10"/>
  <c r="N973" i="10"/>
  <c r="N1017" i="10"/>
  <c r="N1798" i="10"/>
  <c r="F995" i="10"/>
  <c r="N1990" i="10"/>
  <c r="F1821" i="10"/>
  <c r="F973" i="10"/>
  <c r="N995" i="10"/>
  <c r="F951" i="10"/>
  <c r="F1798" i="10"/>
  <c r="N951" i="10"/>
  <c r="Q951" i="10"/>
  <c r="Q973" i="10"/>
  <c r="Q725" i="10"/>
  <c r="Q1990" i="10"/>
  <c r="I1798" i="10"/>
  <c r="I1491" i="10"/>
  <c r="I1629" i="10"/>
  <c r="Q1629" i="10"/>
  <c r="Q657" i="10"/>
  <c r="I1821" i="10"/>
  <c r="Q679" i="10"/>
  <c r="Q613" i="10"/>
  <c r="Q1017" i="10"/>
  <c r="Q1821" i="10"/>
  <c r="I1287" i="10"/>
  <c r="I1607" i="10"/>
  <c r="Q1469" i="10"/>
  <c r="I679" i="10"/>
  <c r="I2013" i="10"/>
  <c r="Q995" i="10"/>
  <c r="I973" i="10"/>
  <c r="Q1447" i="10"/>
  <c r="Q1243" i="10"/>
  <c r="Q1607" i="10"/>
  <c r="I1153" i="10"/>
  <c r="Q1197" i="10"/>
  <c r="I1175" i="10"/>
  <c r="Q1287" i="10"/>
  <c r="I657" i="10"/>
  <c r="I319" i="10"/>
  <c r="O251" i="10"/>
  <c r="P635" i="10"/>
  <c r="M679" i="10"/>
  <c r="H635" i="10"/>
  <c r="P251" i="10"/>
  <c r="G613" i="10"/>
  <c r="P203" i="10"/>
  <c r="P657" i="10"/>
  <c r="H657" i="10"/>
  <c r="P679" i="10"/>
  <c r="P228" i="10"/>
  <c r="O679" i="10"/>
  <c r="O613" i="10"/>
  <c r="O228" i="10"/>
  <c r="H679" i="10"/>
  <c r="P613" i="10"/>
  <c r="H319" i="10"/>
  <c r="P180" i="10"/>
  <c r="E1175" i="10"/>
  <c r="M1197" i="10"/>
  <c r="E1491" i="10"/>
  <c r="M1469" i="10"/>
  <c r="M1607" i="10"/>
  <c r="E1221" i="10"/>
  <c r="E1243" i="10"/>
  <c r="M1287" i="10"/>
  <c r="M1447" i="10"/>
  <c r="M1131" i="10"/>
  <c r="M1243" i="10"/>
  <c r="E1287" i="10"/>
  <c r="E1131" i="10"/>
  <c r="E1153" i="10"/>
  <c r="M1265" i="10"/>
  <c r="E1265" i="10"/>
  <c r="M1629" i="10"/>
  <c r="M2013" i="10"/>
  <c r="E1447" i="10"/>
  <c r="E1607" i="10"/>
  <c r="M1153" i="10"/>
  <c r="E1197" i="10"/>
  <c r="E1629" i="10"/>
  <c r="M1221" i="10"/>
  <c r="E1469" i="10"/>
  <c r="M1175" i="10"/>
  <c r="E1990" i="10"/>
  <c r="M725" i="10"/>
  <c r="E747" i="10"/>
  <c r="E679" i="10"/>
  <c r="G657" i="10"/>
  <c r="M613" i="10"/>
  <c r="G319" i="10"/>
  <c r="E2013" i="10"/>
  <c r="E1017" i="10"/>
  <c r="M1990" i="10"/>
  <c r="M951" i="10"/>
  <c r="M995" i="10"/>
  <c r="M973" i="10"/>
  <c r="M1798" i="10"/>
  <c r="E995" i="10"/>
  <c r="E1821" i="10"/>
  <c r="M1821" i="10"/>
  <c r="E973" i="10"/>
  <c r="M1017" i="10"/>
  <c r="E1798" i="10"/>
  <c r="E951" i="10"/>
  <c r="O203" i="10"/>
  <c r="M203" i="10"/>
  <c r="O635" i="10"/>
  <c r="G679" i="10"/>
  <c r="M251" i="10"/>
  <c r="M228" i="10"/>
  <c r="E613" i="10"/>
  <c r="E657" i="10"/>
  <c r="O180" i="10"/>
  <c r="M635" i="10"/>
  <c r="H1243" i="10"/>
  <c r="P1175" i="10"/>
  <c r="P1131" i="10"/>
  <c r="H1131" i="10"/>
  <c r="H1265" i="10"/>
  <c r="P1197" i="10"/>
  <c r="P1447" i="10"/>
  <c r="H1607" i="10"/>
  <c r="P1607" i="10"/>
  <c r="P1265" i="10"/>
  <c r="P1469" i="10"/>
  <c r="H1153" i="10"/>
  <c r="H1175" i="10"/>
  <c r="H1990" i="10"/>
  <c r="H1491" i="10"/>
  <c r="H1287" i="10"/>
  <c r="H1629" i="10"/>
  <c r="P2013" i="10"/>
  <c r="H1447" i="10"/>
  <c r="H1469" i="10"/>
  <c r="P1243" i="10"/>
  <c r="H1197" i="10"/>
  <c r="P1221" i="10"/>
  <c r="H1221" i="10"/>
  <c r="P1287" i="10"/>
  <c r="P1629" i="10"/>
  <c r="P1153" i="10"/>
  <c r="H747" i="10"/>
  <c r="P725" i="10"/>
  <c r="O657" i="10"/>
  <c r="E319" i="10"/>
  <c r="P973" i="10"/>
  <c r="P1990" i="10"/>
  <c r="P1821" i="10"/>
  <c r="P995" i="10"/>
  <c r="P951" i="10"/>
  <c r="H951" i="10"/>
  <c r="P1017" i="10"/>
  <c r="H2013" i="10"/>
  <c r="P1798" i="10"/>
  <c r="H1798" i="10"/>
  <c r="H1017" i="10"/>
  <c r="H973" i="10"/>
  <c r="H995" i="10"/>
  <c r="H1821" i="10"/>
  <c r="M180" i="10"/>
  <c r="G1491" i="10"/>
  <c r="G1287" i="10"/>
  <c r="G1243" i="10"/>
  <c r="G1469" i="10"/>
  <c r="G1990" i="10"/>
  <c r="G1131" i="10"/>
  <c r="O1287" i="10"/>
  <c r="O1447" i="10"/>
  <c r="G1221" i="10"/>
  <c r="O1607" i="10"/>
  <c r="O1265" i="10"/>
  <c r="O1221" i="10"/>
  <c r="O1243" i="10"/>
  <c r="G1197" i="10"/>
  <c r="G1153" i="10"/>
  <c r="G1265" i="10"/>
  <c r="O1197" i="10"/>
  <c r="G1629" i="10"/>
  <c r="O1175" i="10"/>
  <c r="G1447" i="10"/>
  <c r="O1131" i="10"/>
  <c r="O2013" i="10"/>
  <c r="O1153" i="10"/>
  <c r="G1607" i="10"/>
  <c r="G1175" i="10"/>
  <c r="O1629" i="10"/>
  <c r="O1469" i="10"/>
  <c r="G747" i="10"/>
  <c r="O725" i="10"/>
  <c r="E635" i="10"/>
  <c r="B3355" i="10"/>
  <c r="B3356" i="10"/>
  <c r="I3356" i="10"/>
  <c r="J3356" i="10"/>
  <c r="K3356" i="10"/>
  <c r="L3356" i="10"/>
  <c r="J3355" i="10"/>
  <c r="K3355" i="10"/>
  <c r="L3355" i="10"/>
  <c r="C3356" i="10"/>
  <c r="D3356" i="10"/>
  <c r="E3356" i="10"/>
  <c r="F3356" i="10"/>
  <c r="G3356" i="10"/>
  <c r="H3356" i="10"/>
  <c r="D3355" i="10"/>
  <c r="E3355" i="10"/>
  <c r="F3355" i="10"/>
  <c r="G3355" i="10"/>
  <c r="H3355" i="10"/>
  <c r="I3355" i="10"/>
  <c r="C3355" i="10"/>
  <c r="J3352" i="10"/>
  <c r="K3352" i="10"/>
  <c r="L3352" i="10"/>
  <c r="B3352" i="10"/>
  <c r="D3352" i="10"/>
  <c r="E3352" i="10"/>
  <c r="F3352" i="10"/>
  <c r="G3352" i="10"/>
  <c r="H3352" i="10"/>
  <c r="I3352" i="10"/>
  <c r="C3352" i="10"/>
  <c r="I3349" i="10"/>
  <c r="J3349" i="10"/>
  <c r="K3349" i="10"/>
  <c r="L3349" i="10"/>
  <c r="J3348" i="10"/>
  <c r="K3348" i="10"/>
  <c r="L3348" i="10"/>
  <c r="B3348" i="10"/>
  <c r="B3349" i="10"/>
  <c r="C3349" i="10"/>
  <c r="D3349" i="10"/>
  <c r="E3349" i="10"/>
  <c r="F3349" i="10"/>
  <c r="G3349" i="10"/>
  <c r="H3349" i="10"/>
  <c r="D3348" i="10"/>
  <c r="E3348" i="10"/>
  <c r="F3348" i="10"/>
  <c r="G3348" i="10"/>
  <c r="H3348" i="10"/>
  <c r="I3348" i="10"/>
  <c r="C3348" i="10"/>
  <c r="I3342" i="10"/>
  <c r="J3342" i="10"/>
  <c r="K3342" i="10"/>
  <c r="L3342" i="10"/>
  <c r="J3341" i="10"/>
  <c r="K3341" i="10"/>
  <c r="L3341" i="10"/>
  <c r="B3342" i="10"/>
  <c r="C3342" i="10"/>
  <c r="D3342" i="10"/>
  <c r="E3342" i="10"/>
  <c r="F3342" i="10"/>
  <c r="G3342" i="10"/>
  <c r="H3342" i="10"/>
  <c r="B3341" i="10"/>
  <c r="D3341" i="10"/>
  <c r="E3341" i="10"/>
  <c r="F3341" i="10"/>
  <c r="G3341" i="10"/>
  <c r="H3341" i="10"/>
  <c r="I3341" i="10"/>
  <c r="C3341" i="10"/>
  <c r="J3338" i="10"/>
  <c r="K3338" i="10"/>
  <c r="L3338" i="10"/>
  <c r="I3338" i="10"/>
  <c r="D3338" i="10"/>
  <c r="E3338" i="10"/>
  <c r="F3338" i="10"/>
  <c r="G3338" i="10"/>
  <c r="H3338" i="10"/>
  <c r="B3338" i="10"/>
  <c r="C3338" i="10"/>
  <c r="B3324" i="10"/>
  <c r="J3334" i="10"/>
  <c r="K3334" i="10"/>
  <c r="L3334" i="10"/>
  <c r="J3335" i="10"/>
  <c r="K3335" i="10"/>
  <c r="L3335" i="10"/>
  <c r="I3335" i="10"/>
  <c r="I3334" i="10"/>
  <c r="D3334" i="10"/>
  <c r="E3334" i="10"/>
  <c r="F3334" i="10"/>
  <c r="G3334" i="10"/>
  <c r="H3334" i="10"/>
  <c r="D3335" i="10"/>
  <c r="E3335" i="10"/>
  <c r="F3335" i="10"/>
  <c r="G3335" i="10"/>
  <c r="H3335" i="10"/>
  <c r="B3335" i="10"/>
  <c r="C3335" i="10"/>
  <c r="B3334" i="10"/>
  <c r="C3334" i="10"/>
  <c r="J3331" i="10"/>
  <c r="K3331" i="10"/>
  <c r="L3331" i="10"/>
  <c r="D3331" i="10"/>
  <c r="E3331" i="10"/>
  <c r="F3331" i="10"/>
  <c r="G3331" i="10"/>
  <c r="H3331" i="10"/>
  <c r="B3331" i="10"/>
  <c r="I3331" i="10"/>
  <c r="C3331" i="10"/>
  <c r="B3328" i="10"/>
  <c r="C3328" i="10"/>
  <c r="D3328" i="10"/>
  <c r="E3328" i="10"/>
  <c r="F3328" i="10"/>
  <c r="G3328" i="10"/>
  <c r="H3328" i="10"/>
  <c r="I3328" i="10"/>
  <c r="J3328" i="10"/>
  <c r="K3328" i="10"/>
  <c r="L3328" i="10"/>
  <c r="J3327" i="10"/>
  <c r="K3327" i="10"/>
  <c r="L3327" i="10"/>
  <c r="D3327" i="10"/>
  <c r="E3327" i="10"/>
  <c r="F3327" i="10"/>
  <c r="G3327" i="10"/>
  <c r="H3327" i="10"/>
  <c r="A3327" i="10"/>
  <c r="B3327" i="10"/>
  <c r="I3327" i="10"/>
  <c r="C3327" i="10"/>
  <c r="J3345" i="10"/>
  <c r="K3345" i="10"/>
  <c r="L3345" i="10"/>
  <c r="I3345" i="10"/>
  <c r="B3345" i="10"/>
  <c r="D3345" i="10"/>
  <c r="E3345" i="10"/>
  <c r="F3345" i="10"/>
  <c r="G3345" i="10"/>
  <c r="H3345" i="10"/>
  <c r="C3345" i="10"/>
  <c r="H3324" i="10"/>
  <c r="J3324" i="10"/>
  <c r="K3324" i="10"/>
  <c r="L3324" i="10"/>
  <c r="I3324" i="10"/>
  <c r="D3324" i="10"/>
  <c r="E3324" i="10"/>
  <c r="F3324" i="10"/>
  <c r="G3324" i="10"/>
  <c r="C3324" i="10"/>
  <c r="B3321" i="10"/>
  <c r="C3321" i="10"/>
  <c r="D3321" i="10"/>
  <c r="E3321" i="10"/>
  <c r="F3321" i="10"/>
  <c r="G3321" i="10"/>
  <c r="H3321" i="10"/>
  <c r="I3321" i="10"/>
  <c r="J3321" i="10"/>
  <c r="K3321" i="10"/>
  <c r="L3321" i="10"/>
  <c r="B3320" i="10"/>
  <c r="B3316" i="10"/>
  <c r="B3317" i="10"/>
  <c r="B3313" i="10"/>
  <c r="J3320" i="10"/>
  <c r="K3320" i="10"/>
  <c r="L3320" i="10"/>
  <c r="I3320" i="10"/>
  <c r="D3320" i="10"/>
  <c r="E3320" i="10"/>
  <c r="F3320" i="10"/>
  <c r="G3320" i="10"/>
  <c r="H3320" i="10"/>
  <c r="C3320" i="10"/>
  <c r="J3316" i="10"/>
  <c r="K3316" i="10"/>
  <c r="L3316" i="10"/>
  <c r="J3317" i="10"/>
  <c r="K3317" i="10"/>
  <c r="L3317" i="10"/>
  <c r="I3317" i="10"/>
  <c r="I3316" i="10"/>
  <c r="D3316" i="10"/>
  <c r="E3316" i="10"/>
  <c r="F3316" i="10"/>
  <c r="G3316" i="10"/>
  <c r="H3316" i="10"/>
  <c r="D3317" i="10"/>
  <c r="E3317" i="10"/>
  <c r="F3317" i="10"/>
  <c r="G3317" i="10"/>
  <c r="H3317" i="10"/>
  <c r="C3317" i="10"/>
  <c r="C3316" i="10"/>
  <c r="J3313" i="10"/>
  <c r="K3313" i="10"/>
  <c r="L3313" i="10"/>
  <c r="I3313" i="10"/>
  <c r="D3313" i="10"/>
  <c r="E3313" i="10"/>
  <c r="F3313" i="10"/>
  <c r="G3313" i="10"/>
  <c r="H3313" i="10"/>
  <c r="C3313" i="10"/>
  <c r="F3305" i="10"/>
  <c r="J3308" i="10"/>
  <c r="K3308" i="10"/>
  <c r="L3308" i="10"/>
  <c r="J3309" i="10"/>
  <c r="K3309" i="10"/>
  <c r="L3309" i="10"/>
  <c r="J3310" i="10"/>
  <c r="K3310" i="10"/>
  <c r="L3310" i="10"/>
  <c r="I3309" i="10"/>
  <c r="I3310" i="10"/>
  <c r="I3308" i="10"/>
  <c r="C3309" i="10"/>
  <c r="D3309" i="10"/>
  <c r="E3309" i="10"/>
  <c r="F3309" i="10"/>
  <c r="G3309" i="10"/>
  <c r="H3309" i="10"/>
  <c r="C3310" i="10"/>
  <c r="D3310" i="10"/>
  <c r="E3310" i="10"/>
  <c r="F3310" i="10"/>
  <c r="G3310" i="10"/>
  <c r="H3310" i="10"/>
  <c r="B3309" i="10"/>
  <c r="B3310" i="10"/>
  <c r="B3308" i="10"/>
  <c r="D3308" i="10"/>
  <c r="E3308" i="10"/>
  <c r="F3308" i="10"/>
  <c r="G3308" i="10"/>
  <c r="H3308" i="10"/>
  <c r="C3308" i="10"/>
  <c r="B3305" i="10"/>
  <c r="D3305" i="10"/>
  <c r="E3305" i="10"/>
  <c r="G3305" i="10"/>
  <c r="H3305" i="10"/>
  <c r="I3305" i="10"/>
  <c r="J3305" i="10"/>
  <c r="K3305" i="10"/>
  <c r="L3305" i="10"/>
  <c r="C3305" i="10"/>
  <c r="E3298" i="10"/>
  <c r="F3298" i="10"/>
  <c r="G3298" i="10"/>
  <c r="H3298" i="10"/>
  <c r="E3299" i="10"/>
  <c r="F3299" i="10"/>
  <c r="G3299" i="10"/>
  <c r="H3299" i="10"/>
  <c r="D3299" i="10"/>
  <c r="K3298" i="10"/>
  <c r="L3298" i="10"/>
  <c r="K3299" i="10"/>
  <c r="L3299" i="10"/>
  <c r="J3299" i="10"/>
  <c r="J3298" i="10"/>
  <c r="D3298" i="10"/>
  <c r="B3083" i="10"/>
  <c r="J3083" i="10"/>
  <c r="K3083" i="10"/>
  <c r="L3083" i="10"/>
  <c r="D3083" i="10"/>
  <c r="E3083" i="10"/>
  <c r="F3083" i="10"/>
  <c r="G3083" i="10"/>
  <c r="H3083" i="10"/>
  <c r="C3083" i="10"/>
  <c r="I3083" i="10"/>
  <c r="J3080" i="10"/>
  <c r="K3080" i="10"/>
  <c r="L3080" i="10"/>
  <c r="D3080" i="10"/>
  <c r="E3080" i="10"/>
  <c r="F3080" i="10"/>
  <c r="G3080" i="10"/>
  <c r="H3080" i="10"/>
  <c r="B3080" i="10"/>
  <c r="C3080" i="10"/>
  <c r="I3080" i="10"/>
  <c r="B3077" i="10"/>
  <c r="J3077" i="10"/>
  <c r="K3077" i="10"/>
  <c r="L3077" i="10"/>
  <c r="D3077" i="10"/>
  <c r="E3077" i="10"/>
  <c r="F3077" i="10"/>
  <c r="G3077" i="10"/>
  <c r="H3077" i="10"/>
  <c r="I3077" i="10"/>
  <c r="C3077" i="10"/>
  <c r="J3071" i="10"/>
  <c r="K3071" i="10"/>
  <c r="L3071" i="10"/>
  <c r="D3071" i="10"/>
  <c r="E3071" i="10"/>
  <c r="F3071" i="10"/>
  <c r="G3071" i="10"/>
  <c r="H3071" i="10"/>
  <c r="B3071" i="10"/>
  <c r="I3071" i="10"/>
  <c r="C3071" i="10"/>
  <c r="J3068" i="10"/>
  <c r="K3068" i="10"/>
  <c r="L3068" i="10"/>
  <c r="B3068" i="10"/>
  <c r="D3068" i="10"/>
  <c r="E3068" i="10"/>
  <c r="F3068" i="10"/>
  <c r="G3068" i="10"/>
  <c r="H3068" i="10"/>
  <c r="I3068" i="10"/>
  <c r="C3068" i="10"/>
  <c r="B3065" i="10"/>
  <c r="J3065" i="10"/>
  <c r="K3065" i="10"/>
  <c r="L3065" i="10"/>
  <c r="I3065" i="10"/>
  <c r="D3065" i="10"/>
  <c r="E3065" i="10"/>
  <c r="F3065" i="10"/>
  <c r="G3065" i="10"/>
  <c r="H3065" i="10"/>
  <c r="C3065" i="10"/>
  <c r="J3062" i="10"/>
  <c r="K3062" i="10"/>
  <c r="L3062" i="10"/>
  <c r="I3062" i="10"/>
  <c r="D3062" i="10"/>
  <c r="E3062" i="10"/>
  <c r="F3062" i="10"/>
  <c r="G3062" i="10"/>
  <c r="H3062" i="10"/>
  <c r="B3062" i="10"/>
  <c r="C3062" i="10"/>
  <c r="J3058" i="10"/>
  <c r="K3058" i="10"/>
  <c r="L3058" i="10"/>
  <c r="J3059" i="10"/>
  <c r="K3059" i="10"/>
  <c r="L3059" i="10"/>
  <c r="I3059" i="10"/>
  <c r="I3058" i="10"/>
  <c r="H3058" i="10"/>
  <c r="H3059" i="10"/>
  <c r="D3058" i="10"/>
  <c r="E3058" i="10"/>
  <c r="F3058" i="10"/>
  <c r="G3058" i="10"/>
  <c r="D3059" i="10"/>
  <c r="E3059" i="10"/>
  <c r="F3059" i="10"/>
  <c r="G3059" i="10"/>
  <c r="B3058" i="10"/>
  <c r="B3059" i="10"/>
  <c r="C3059" i="10"/>
  <c r="C3058" i="10"/>
  <c r="J3074" i="10"/>
  <c r="K3074" i="10"/>
  <c r="L3074" i="10"/>
  <c r="I3074" i="10"/>
  <c r="D3074" i="10"/>
  <c r="E3074" i="10"/>
  <c r="F3074" i="10"/>
  <c r="G3074" i="10"/>
  <c r="H3074" i="10"/>
  <c r="B3074" i="10"/>
  <c r="C3074" i="10"/>
  <c r="J3055" i="10"/>
  <c r="K3055" i="10"/>
  <c r="L3055" i="10"/>
  <c r="I3055" i="10"/>
  <c r="F3055" i="10"/>
  <c r="G3055" i="10"/>
  <c r="H3055" i="10"/>
  <c r="E3055" i="10"/>
  <c r="J3052" i="10"/>
  <c r="K3052" i="10"/>
  <c r="L3052" i="10"/>
  <c r="I3052" i="10"/>
  <c r="B3052" i="10"/>
  <c r="D3052" i="10"/>
  <c r="E3052" i="10"/>
  <c r="F3052" i="10"/>
  <c r="G3052" i="10"/>
  <c r="H3052" i="10"/>
  <c r="C3052" i="10"/>
  <c r="J3048" i="10"/>
  <c r="K3048" i="10"/>
  <c r="L3048" i="10"/>
  <c r="J3049" i="10"/>
  <c r="K3049" i="10"/>
  <c r="L3049" i="10"/>
  <c r="I3049" i="10"/>
  <c r="I3048" i="10"/>
  <c r="H3048" i="10"/>
  <c r="B3048" i="10"/>
  <c r="B3049" i="10"/>
  <c r="C3049" i="10"/>
  <c r="D3049" i="10"/>
  <c r="E3049" i="10"/>
  <c r="F3049" i="10"/>
  <c r="G3049" i="10"/>
  <c r="H3049" i="10"/>
  <c r="D3048" i="10"/>
  <c r="E3048" i="10"/>
  <c r="F3048" i="10"/>
  <c r="G3048" i="10"/>
  <c r="C3048" i="10"/>
  <c r="B3045" i="10"/>
  <c r="C3045" i="10"/>
  <c r="D3045" i="10"/>
  <c r="E3045" i="10"/>
  <c r="F3045" i="10"/>
  <c r="G3045" i="10"/>
  <c r="H3045" i="10"/>
  <c r="I3045" i="10"/>
  <c r="J3045" i="10"/>
  <c r="K3045" i="10"/>
  <c r="L3045" i="10"/>
  <c r="J3044" i="10"/>
  <c r="K3044" i="10"/>
  <c r="L3044" i="10"/>
  <c r="I3044" i="10"/>
  <c r="D3044" i="10"/>
  <c r="E3044" i="10"/>
  <c r="F3044" i="10"/>
  <c r="G3044" i="10"/>
  <c r="H3044" i="10"/>
  <c r="B3044" i="10"/>
  <c r="C3044" i="10"/>
  <c r="J3039" i="10"/>
  <c r="K3039" i="10"/>
  <c r="L3039" i="10"/>
  <c r="J3040" i="10"/>
  <c r="K3040" i="10"/>
  <c r="L3040" i="10"/>
  <c r="J3041" i="10"/>
  <c r="K3041" i="10"/>
  <c r="L3041" i="10"/>
  <c r="I3040" i="10"/>
  <c r="I3041" i="10"/>
  <c r="I3039" i="10"/>
  <c r="C3039" i="10"/>
  <c r="D3039" i="10"/>
  <c r="E3039" i="10"/>
  <c r="F3039" i="10"/>
  <c r="G3039" i="10"/>
  <c r="H3039" i="10"/>
  <c r="C3040" i="10"/>
  <c r="D3040" i="10"/>
  <c r="E3040" i="10"/>
  <c r="F3040" i="10"/>
  <c r="G3040" i="10"/>
  <c r="H3040" i="10"/>
  <c r="C3041" i="10"/>
  <c r="D3041" i="10"/>
  <c r="E3041" i="10"/>
  <c r="F3041" i="10"/>
  <c r="G3041" i="10"/>
  <c r="H3041" i="10"/>
  <c r="B3040" i="10"/>
  <c r="B3041" i="10"/>
  <c r="B3039" i="10"/>
  <c r="I3036" i="10"/>
  <c r="J3036" i="10"/>
  <c r="K3036" i="10"/>
  <c r="L3036" i="10"/>
  <c r="B3036" i="10"/>
  <c r="J3035" i="10"/>
  <c r="K3035" i="10"/>
  <c r="L3035" i="10"/>
  <c r="I3035" i="10"/>
  <c r="J3034" i="10"/>
  <c r="K3034" i="10"/>
  <c r="L3034" i="10"/>
  <c r="I3034" i="10"/>
  <c r="C3035" i="10"/>
  <c r="D3035" i="10"/>
  <c r="E3035" i="10"/>
  <c r="F3035" i="10"/>
  <c r="G3035" i="10"/>
  <c r="H3035" i="10"/>
  <c r="C3034" i="10"/>
  <c r="D3034" i="10"/>
  <c r="E3034" i="10"/>
  <c r="F3034" i="10"/>
  <c r="G3034" i="10"/>
  <c r="H3034" i="10"/>
  <c r="B3034" i="10"/>
  <c r="B3035" i="10"/>
  <c r="J3033" i="10"/>
  <c r="K3033" i="10"/>
  <c r="L3033" i="10"/>
  <c r="I3033" i="10"/>
  <c r="H3033" i="10"/>
  <c r="D3033" i="10"/>
  <c r="E3033" i="10"/>
  <c r="F3033" i="10"/>
  <c r="G3033" i="10"/>
  <c r="B3033" i="10"/>
  <c r="C3033" i="10"/>
  <c r="D3024" i="10"/>
  <c r="E3024" i="10"/>
  <c r="F3024" i="10"/>
  <c r="G3024" i="10"/>
  <c r="D3025" i="10"/>
  <c r="E3025" i="10"/>
  <c r="F3025" i="10"/>
  <c r="G3025" i="10"/>
  <c r="D3026" i="10"/>
  <c r="E3026" i="10"/>
  <c r="F3026" i="10"/>
  <c r="G3026" i="10"/>
  <c r="D3027" i="10"/>
  <c r="E3027" i="10"/>
  <c r="F3027" i="10"/>
  <c r="G3027" i="10"/>
  <c r="H3025" i="10"/>
  <c r="H3026" i="10"/>
  <c r="H3027" i="10"/>
  <c r="H3024" i="10"/>
  <c r="J3025" i="10"/>
  <c r="K3025" i="10"/>
  <c r="L3025" i="10"/>
  <c r="J3026" i="10"/>
  <c r="K3026" i="10"/>
  <c r="L3026" i="10"/>
  <c r="J3027" i="10"/>
  <c r="K3027" i="10"/>
  <c r="L3027" i="10"/>
  <c r="K3024" i="10"/>
  <c r="L3024" i="10"/>
  <c r="J3024" i="10"/>
  <c r="B2675" i="10"/>
  <c r="C2675" i="10"/>
  <c r="D2675" i="10"/>
  <c r="E2675" i="10"/>
  <c r="F2675" i="10"/>
  <c r="G2675" i="10"/>
  <c r="B2674" i="10"/>
  <c r="C2674" i="10"/>
  <c r="D2674" i="10"/>
  <c r="E2674" i="10"/>
  <c r="F2674" i="10"/>
  <c r="G2674" i="10"/>
  <c r="B2671" i="10"/>
  <c r="C2671" i="10"/>
  <c r="D2671" i="10"/>
  <c r="E2671" i="10"/>
  <c r="F2671" i="10"/>
  <c r="G2671" i="10"/>
  <c r="C2668" i="10"/>
  <c r="D2668" i="10"/>
  <c r="E2668" i="10"/>
  <c r="F2668" i="10"/>
  <c r="G2668" i="10"/>
  <c r="B2662" i="10"/>
  <c r="C2662" i="10"/>
  <c r="D2662" i="10"/>
  <c r="E2662" i="10"/>
  <c r="F2662" i="10"/>
  <c r="G2662" i="10"/>
  <c r="B2661" i="10"/>
  <c r="C2661" i="10"/>
  <c r="D2661" i="10"/>
  <c r="E2661" i="10"/>
  <c r="F2661" i="10"/>
  <c r="G2661" i="10"/>
  <c r="B2658" i="10"/>
  <c r="C2658" i="10"/>
  <c r="D2658" i="10"/>
  <c r="E2658" i="10"/>
  <c r="F2658" i="10"/>
  <c r="G2658" i="10"/>
  <c r="B2654" i="10"/>
  <c r="C2654" i="10"/>
  <c r="D2654" i="10"/>
  <c r="E2654" i="10"/>
  <c r="F2654" i="10"/>
  <c r="B2655" i="10"/>
  <c r="C2655" i="10"/>
  <c r="D2655" i="10"/>
  <c r="E2655" i="10"/>
  <c r="F2655" i="10"/>
  <c r="G2654" i="10"/>
  <c r="G2655" i="10"/>
  <c r="B2653" i="10"/>
  <c r="C2653" i="10"/>
  <c r="D2653" i="10"/>
  <c r="E2653" i="10"/>
  <c r="F2653" i="10"/>
  <c r="G2653" i="10"/>
  <c r="B2650" i="10"/>
  <c r="C2650" i="10"/>
  <c r="D2650" i="10"/>
  <c r="E2650" i="10"/>
  <c r="F2650" i="10"/>
  <c r="G2650" i="10"/>
  <c r="B2647" i="10"/>
  <c r="C2647" i="10"/>
  <c r="D2647" i="10"/>
  <c r="E2647" i="10"/>
  <c r="F2647" i="10"/>
  <c r="G2647" i="10"/>
  <c r="B2646" i="10"/>
  <c r="C2646" i="10"/>
  <c r="D2646" i="10"/>
  <c r="E2646" i="10"/>
  <c r="F2646" i="10"/>
  <c r="G2646" i="10"/>
  <c r="B2665" i="10"/>
  <c r="C2665" i="10"/>
  <c r="D2665" i="10"/>
  <c r="E2665" i="10"/>
  <c r="F2665" i="10"/>
  <c r="G2665" i="10"/>
  <c r="E2643" i="10"/>
  <c r="F2643" i="10"/>
  <c r="G2643" i="10"/>
  <c r="B2638" i="10"/>
  <c r="C2638" i="10"/>
  <c r="D2638" i="10"/>
  <c r="E2638" i="10"/>
  <c r="F2638" i="10"/>
  <c r="B2639" i="10"/>
  <c r="C2639" i="10"/>
  <c r="D2639" i="10"/>
  <c r="E2639" i="10"/>
  <c r="F2639" i="10"/>
  <c r="B2640" i="10"/>
  <c r="C2640" i="10"/>
  <c r="D2640" i="10"/>
  <c r="E2640" i="10"/>
  <c r="F2640" i="10"/>
  <c r="G2638" i="10"/>
  <c r="G2639" i="10"/>
  <c r="G2640" i="10"/>
  <c r="B2637" i="10"/>
  <c r="C2637" i="10"/>
  <c r="D2637" i="10"/>
  <c r="E2637" i="10"/>
  <c r="F2637" i="10"/>
  <c r="G2637" i="10"/>
  <c r="B2634" i="10"/>
  <c r="B2633" i="10"/>
  <c r="B2632" i="10"/>
  <c r="B2619" i="10"/>
  <c r="B2622" i="10"/>
  <c r="B2625" i="10"/>
  <c r="B2628" i="10"/>
  <c r="C2628" i="10"/>
  <c r="D2628" i="10"/>
  <c r="E2628" i="10"/>
  <c r="F2628" i="10"/>
  <c r="B2629" i="10"/>
  <c r="C2629" i="10"/>
  <c r="D2629" i="10"/>
  <c r="E2629" i="10"/>
  <c r="F2629" i="10"/>
  <c r="G2629" i="10"/>
  <c r="G2628" i="10"/>
  <c r="C2625" i="10"/>
  <c r="D2625" i="10"/>
  <c r="E2625" i="10"/>
  <c r="F2625" i="10"/>
  <c r="G2625" i="10"/>
  <c r="C2622" i="10"/>
  <c r="D2622" i="10"/>
  <c r="E2622" i="10"/>
  <c r="F2622" i="10"/>
  <c r="G2622" i="10"/>
  <c r="C2619" i="10"/>
  <c r="D2619" i="10"/>
  <c r="E2619" i="10"/>
  <c r="F2619" i="10"/>
  <c r="G2619" i="10"/>
  <c r="D2613" i="10"/>
  <c r="E2613" i="10"/>
  <c r="F2613" i="10"/>
  <c r="G2613" i="10"/>
  <c r="D2614" i="10"/>
  <c r="E2614" i="10"/>
  <c r="F2614" i="10"/>
  <c r="G2614" i="10"/>
  <c r="D2615" i="10"/>
  <c r="E2615" i="10"/>
  <c r="F2615" i="10"/>
  <c r="G2615" i="10"/>
  <c r="D2616" i="10"/>
  <c r="E2616" i="10"/>
  <c r="F2616" i="10"/>
  <c r="G2616" i="10"/>
  <c r="D2612" i="10"/>
  <c r="E2612" i="10"/>
  <c r="F2612" i="10"/>
  <c r="G2612" i="10"/>
  <c r="C2633" i="10"/>
  <c r="D2633" i="10"/>
  <c r="E2633" i="10"/>
  <c r="F2633" i="10"/>
  <c r="G2633" i="10"/>
  <c r="C2634" i="10"/>
  <c r="D2634" i="10"/>
  <c r="E2634" i="10"/>
  <c r="F2634" i="10"/>
  <c r="G2634" i="10"/>
  <c r="C2632" i="10"/>
  <c r="D2632" i="10"/>
  <c r="E2632" i="10"/>
  <c r="F2632" i="10"/>
  <c r="G2632" i="10"/>
  <c r="C3653" i="10"/>
  <c r="C3619" i="10" l="1"/>
  <c r="D3619" i="10"/>
  <c r="E3619" i="10"/>
  <c r="F3619" i="10"/>
  <c r="G3619" i="10"/>
  <c r="H3619" i="10"/>
  <c r="I3619" i="10"/>
  <c r="J3619" i="10"/>
  <c r="C3618" i="10"/>
  <c r="D3618" i="10"/>
  <c r="E3618" i="10"/>
  <c r="F3618" i="10"/>
  <c r="G3618" i="10"/>
  <c r="H3618" i="10"/>
  <c r="I3618" i="10"/>
  <c r="J3618" i="10"/>
  <c r="C3612" i="10"/>
  <c r="D3612" i="10"/>
  <c r="E3612" i="10"/>
  <c r="F3612" i="10"/>
  <c r="G3612" i="10"/>
  <c r="H3612" i="10"/>
  <c r="I3612" i="10"/>
  <c r="J3612" i="10"/>
  <c r="C3611" i="10"/>
  <c r="D3611" i="10"/>
  <c r="E3611" i="10"/>
  <c r="F3611" i="10"/>
  <c r="G3611" i="10"/>
  <c r="H3611" i="10"/>
  <c r="I3611" i="10"/>
  <c r="J3611" i="10"/>
  <c r="C3605" i="10"/>
  <c r="D3605" i="10"/>
  <c r="E3605" i="10"/>
  <c r="F3605" i="10"/>
  <c r="G3605" i="10"/>
  <c r="H3605" i="10"/>
  <c r="I3605" i="10"/>
  <c r="J3605" i="10"/>
  <c r="C3604" i="10"/>
  <c r="D3604" i="10"/>
  <c r="E3604" i="10"/>
  <c r="F3604" i="10"/>
  <c r="G3604" i="10"/>
  <c r="H3604" i="10"/>
  <c r="I3604" i="10"/>
  <c r="J3604" i="10"/>
  <c r="C3595" i="10"/>
  <c r="D3595" i="10"/>
  <c r="E3595" i="10"/>
  <c r="F3595" i="10"/>
  <c r="G3595" i="10"/>
  <c r="H3595" i="10"/>
  <c r="I3595" i="10"/>
  <c r="C3586" i="10"/>
  <c r="D3586" i="10"/>
  <c r="E3586" i="10"/>
  <c r="F3586" i="10"/>
  <c r="G3586" i="10"/>
  <c r="H3586" i="10"/>
  <c r="I3586" i="10"/>
  <c r="J3586" i="10"/>
  <c r="C3585" i="10"/>
  <c r="D3585" i="10"/>
  <c r="E3585" i="10"/>
  <c r="F3585" i="10"/>
  <c r="G3585" i="10"/>
  <c r="H3585" i="10"/>
  <c r="I3585" i="10"/>
  <c r="J3585" i="10"/>
  <c r="E3589" i="10"/>
  <c r="F3589" i="10"/>
  <c r="G3589" i="10"/>
  <c r="H3589" i="10"/>
  <c r="I3589" i="10"/>
  <c r="J3589" i="10"/>
  <c r="C3582" i="10"/>
  <c r="D3582" i="10"/>
  <c r="E3582" i="10"/>
  <c r="F3582" i="10"/>
  <c r="G3582" i="10"/>
  <c r="H3582" i="10"/>
  <c r="I3582" i="10"/>
  <c r="C3581" i="10"/>
  <c r="D3581" i="10"/>
  <c r="E3581" i="10"/>
  <c r="F3581" i="10"/>
  <c r="G3581" i="10"/>
  <c r="H3581" i="10"/>
  <c r="I3581" i="10"/>
  <c r="J3581" i="10"/>
  <c r="C3578" i="10"/>
  <c r="D3578" i="10"/>
  <c r="E3578" i="10"/>
  <c r="F3578" i="10"/>
  <c r="G3578" i="10"/>
  <c r="H3578" i="10"/>
  <c r="I3578" i="10"/>
  <c r="J3578" i="10"/>
  <c r="C3572" i="10"/>
  <c r="D3572" i="10"/>
  <c r="E3572" i="10"/>
  <c r="F3572" i="10"/>
  <c r="G3572" i="10"/>
  <c r="H3572" i="10"/>
  <c r="I3572" i="10"/>
  <c r="J3572" i="10"/>
  <c r="C3575" i="10"/>
  <c r="D3575" i="10"/>
  <c r="E3575" i="10"/>
  <c r="F3575" i="10"/>
  <c r="G3575" i="10"/>
  <c r="H3575" i="10"/>
  <c r="I3575" i="10"/>
  <c r="J3575" i="10"/>
  <c r="C3574" i="10"/>
  <c r="D3574" i="10"/>
  <c r="E3574" i="10"/>
  <c r="F3574" i="10"/>
  <c r="G3574" i="10"/>
  <c r="H3574" i="10"/>
  <c r="I3574" i="10"/>
  <c r="J3574" i="10"/>
  <c r="C3573" i="10"/>
  <c r="D3573" i="10"/>
  <c r="E3573" i="10"/>
  <c r="F3573" i="10"/>
  <c r="G3573" i="10"/>
  <c r="H3573" i="10"/>
  <c r="I3573" i="10"/>
  <c r="J3573" i="10"/>
  <c r="C3569" i="10"/>
  <c r="D3569" i="10"/>
  <c r="E3569" i="10"/>
  <c r="F3569" i="10"/>
  <c r="G3569" i="10"/>
  <c r="H3569" i="10"/>
  <c r="I3569" i="10"/>
  <c r="J3569" i="10"/>
  <c r="C3553" i="10"/>
  <c r="D3553" i="10"/>
  <c r="E3553" i="10"/>
  <c r="F3553" i="10"/>
  <c r="G3553" i="10"/>
  <c r="H3553" i="10"/>
  <c r="I3553" i="10"/>
  <c r="J3553" i="10"/>
  <c r="C3552" i="10"/>
  <c r="D3552" i="10"/>
  <c r="E3552" i="10"/>
  <c r="F3552" i="10"/>
  <c r="G3552" i="10"/>
  <c r="H3552" i="10"/>
  <c r="I3552" i="10"/>
  <c r="J3552" i="10"/>
  <c r="C3549" i="10"/>
  <c r="D3549" i="10"/>
  <c r="E3549" i="10"/>
  <c r="F3549" i="10"/>
  <c r="G3549" i="10"/>
  <c r="H3549" i="10"/>
  <c r="I3549" i="10"/>
  <c r="J3549" i="10"/>
  <c r="C3546" i="10"/>
  <c r="D3546" i="10"/>
  <c r="E3546" i="10"/>
  <c r="F3546" i="10"/>
  <c r="G3546" i="10"/>
  <c r="H3546" i="10"/>
  <c r="I3546" i="10"/>
  <c r="J3546" i="10"/>
  <c r="C3545" i="10"/>
  <c r="D3545" i="10"/>
  <c r="E3545" i="10"/>
  <c r="F3545" i="10"/>
  <c r="G3545" i="10"/>
  <c r="H3545" i="10"/>
  <c r="I3545" i="10"/>
  <c r="J3545" i="10"/>
  <c r="C3539" i="10"/>
  <c r="D3539" i="10"/>
  <c r="E3539" i="10"/>
  <c r="F3539" i="10"/>
  <c r="G3539" i="10"/>
  <c r="H3539" i="10"/>
  <c r="I3539" i="10"/>
  <c r="J3539" i="10"/>
  <c r="C3538" i="10"/>
  <c r="D3538" i="10"/>
  <c r="E3538" i="10"/>
  <c r="F3538" i="10"/>
  <c r="G3538" i="10"/>
  <c r="H3538" i="10"/>
  <c r="I3538" i="10"/>
  <c r="J3538" i="10"/>
  <c r="C3535" i="10"/>
  <c r="D3535" i="10"/>
  <c r="E3535" i="10"/>
  <c r="F3535" i="10"/>
  <c r="G3535" i="10"/>
  <c r="H3535" i="10"/>
  <c r="I3535" i="10"/>
  <c r="J3535" i="10"/>
  <c r="C3529" i="10"/>
  <c r="D3529" i="10"/>
  <c r="E3529" i="10"/>
  <c r="F3529" i="10"/>
  <c r="G3529" i="10"/>
  <c r="H3529" i="10"/>
  <c r="I3529" i="10"/>
  <c r="J3529" i="10"/>
  <c r="C3542" i="10"/>
  <c r="D3542" i="10"/>
  <c r="E3542" i="10"/>
  <c r="F3542" i="10"/>
  <c r="G3542" i="10"/>
  <c r="H3542" i="10"/>
  <c r="I3542" i="10"/>
  <c r="J3542" i="10"/>
  <c r="C3523" i="10"/>
  <c r="D3523" i="10"/>
  <c r="E3523" i="10"/>
  <c r="F3523" i="10"/>
  <c r="G3523" i="10"/>
  <c r="H3523" i="10"/>
  <c r="I3523" i="10"/>
  <c r="J3523" i="10"/>
  <c r="C3519" i="10"/>
  <c r="D3519" i="10"/>
  <c r="E3519" i="10"/>
  <c r="F3519" i="10"/>
  <c r="G3519" i="10"/>
  <c r="H3519" i="10"/>
  <c r="I3519" i="10"/>
  <c r="J3519" i="10"/>
  <c r="C3516" i="10"/>
  <c r="D3516" i="10"/>
  <c r="E3516" i="10"/>
  <c r="F3516" i="10"/>
  <c r="G3516" i="10"/>
  <c r="H3516" i="10"/>
  <c r="I3516" i="10"/>
  <c r="C3515" i="10"/>
  <c r="D3515" i="10"/>
  <c r="E3515" i="10"/>
  <c r="F3515" i="10"/>
  <c r="G3515" i="10"/>
  <c r="H3515" i="10"/>
  <c r="I3515" i="10"/>
  <c r="J3515" i="10"/>
  <c r="C3512" i="10"/>
  <c r="D3512" i="10"/>
  <c r="E3512" i="10"/>
  <c r="F3512" i="10"/>
  <c r="G3512" i="10"/>
  <c r="H3512" i="10"/>
  <c r="I3512" i="10"/>
  <c r="J3512" i="10"/>
  <c r="C3506" i="10"/>
  <c r="D3506" i="10"/>
  <c r="E3506" i="10"/>
  <c r="F3506" i="10"/>
  <c r="G3506" i="10"/>
  <c r="H3506" i="10"/>
  <c r="I3506" i="10"/>
  <c r="J3506" i="10"/>
  <c r="C3509" i="10"/>
  <c r="D3509" i="10"/>
  <c r="E3509" i="10"/>
  <c r="F3509" i="10"/>
  <c r="G3509" i="10"/>
  <c r="H3509" i="10"/>
  <c r="I3509" i="10"/>
  <c r="J3509" i="10"/>
  <c r="C3508" i="10"/>
  <c r="D3508" i="10"/>
  <c r="E3508" i="10"/>
  <c r="F3508" i="10"/>
  <c r="G3508" i="10"/>
  <c r="H3508" i="10"/>
  <c r="I3508" i="10"/>
  <c r="J3508" i="10"/>
  <c r="C3507" i="10"/>
  <c r="D3507" i="10"/>
  <c r="E3507" i="10"/>
  <c r="F3507" i="10"/>
  <c r="G3507" i="10"/>
  <c r="H3507" i="10"/>
  <c r="I3507" i="10"/>
  <c r="J3507" i="10"/>
  <c r="C3503" i="10"/>
  <c r="D3503" i="10"/>
  <c r="E3503" i="10"/>
  <c r="F3503" i="10"/>
  <c r="G3503" i="10"/>
  <c r="H3503" i="10"/>
  <c r="I3503" i="10"/>
  <c r="J3503" i="10"/>
  <c r="C3497" i="10"/>
  <c r="D3497" i="10"/>
  <c r="E3497" i="10"/>
  <c r="F3497" i="10"/>
  <c r="G3497" i="10"/>
  <c r="H3497" i="10"/>
  <c r="I3497" i="10"/>
  <c r="J3497" i="10"/>
  <c r="C3496" i="10"/>
  <c r="D3496" i="10"/>
  <c r="E3496" i="10"/>
  <c r="F3496" i="10"/>
  <c r="G3496" i="10"/>
  <c r="H3496" i="10"/>
  <c r="I3496" i="10"/>
  <c r="J3496" i="10"/>
  <c r="C3486" i="10" l="1"/>
  <c r="D3486" i="10"/>
  <c r="E3486" i="10"/>
  <c r="F3486" i="10"/>
  <c r="G3486" i="10"/>
  <c r="H3486" i="10"/>
  <c r="I3486" i="10"/>
  <c r="J3486" i="10"/>
  <c r="C3487" i="10"/>
  <c r="D3487" i="10"/>
  <c r="E3487" i="10"/>
  <c r="F3487" i="10"/>
  <c r="G3487" i="10"/>
  <c r="H3487" i="10"/>
  <c r="I3487" i="10"/>
  <c r="J3487" i="10"/>
  <c r="C3483" i="10"/>
  <c r="D3483" i="10"/>
  <c r="E3483" i="10"/>
  <c r="F3483" i="10"/>
  <c r="G3483" i="10"/>
  <c r="H3483" i="10"/>
  <c r="I3483" i="10"/>
  <c r="J3483" i="10"/>
  <c r="C3480" i="10"/>
  <c r="D3480" i="10"/>
  <c r="E3480" i="10"/>
  <c r="F3480" i="10"/>
  <c r="G3480" i="10"/>
  <c r="H3480" i="10"/>
  <c r="I3480" i="10"/>
  <c r="J3480" i="10"/>
  <c r="C3479" i="10"/>
  <c r="D3479" i="10"/>
  <c r="E3479" i="10"/>
  <c r="F3479" i="10"/>
  <c r="G3479" i="10"/>
  <c r="H3479" i="10"/>
  <c r="I3479" i="10"/>
  <c r="J3479" i="10"/>
  <c r="C3473" i="10"/>
  <c r="D3473" i="10"/>
  <c r="E3473" i="10"/>
  <c r="F3473" i="10"/>
  <c r="G3473" i="10"/>
  <c r="H3473" i="10"/>
  <c r="I3473" i="10"/>
  <c r="J3473" i="10"/>
  <c r="C3466" i="10"/>
  <c r="D3466" i="10"/>
  <c r="E3466" i="10"/>
  <c r="F3466" i="10"/>
  <c r="G3466" i="10"/>
  <c r="H3466" i="10"/>
  <c r="I3466" i="10"/>
  <c r="J3466" i="10"/>
  <c r="C3463" i="10"/>
  <c r="D3463" i="10"/>
  <c r="E3463" i="10"/>
  <c r="F3463" i="10"/>
  <c r="G3463" i="10"/>
  <c r="H3463" i="10"/>
  <c r="I3463" i="10"/>
  <c r="C3476" i="10"/>
  <c r="D3476" i="10"/>
  <c r="E3476" i="10"/>
  <c r="F3476" i="10"/>
  <c r="G3476" i="10"/>
  <c r="H3476" i="10"/>
  <c r="I3476" i="10"/>
  <c r="J3476" i="10"/>
  <c r="C3457" i="10"/>
  <c r="K3457" i="10" s="1"/>
  <c r="D3457" i="10"/>
  <c r="L3457" i="10" s="1"/>
  <c r="E3457" i="10"/>
  <c r="M3457" i="10" s="1"/>
  <c r="F3457" i="10"/>
  <c r="N3457" i="10" s="1"/>
  <c r="G3457" i="10"/>
  <c r="O3457" i="10" s="1"/>
  <c r="H3457" i="10"/>
  <c r="P3457" i="10" s="1"/>
  <c r="I3457" i="10"/>
  <c r="Q3457" i="10" s="1"/>
  <c r="J3457" i="10"/>
  <c r="R3457" i="10" s="1"/>
  <c r="C3454" i="10"/>
  <c r="D3454" i="10"/>
  <c r="E3454" i="10"/>
  <c r="F3454" i="10"/>
  <c r="G3454" i="10"/>
  <c r="H3454" i="10"/>
  <c r="I3454" i="10"/>
  <c r="J3454" i="10"/>
  <c r="C3453" i="10"/>
  <c r="D3453" i="10"/>
  <c r="E3453" i="10"/>
  <c r="F3453" i="10"/>
  <c r="G3453" i="10"/>
  <c r="H3453" i="10"/>
  <c r="I3453" i="10"/>
  <c r="J3453" i="10"/>
  <c r="C3450" i="10"/>
  <c r="D3450" i="10"/>
  <c r="E3450" i="10"/>
  <c r="F3450" i="10"/>
  <c r="G3450" i="10"/>
  <c r="H3450" i="10"/>
  <c r="I3450" i="10"/>
  <c r="C3449" i="10"/>
  <c r="D3449" i="10"/>
  <c r="E3449" i="10"/>
  <c r="F3449" i="10"/>
  <c r="G3449" i="10"/>
  <c r="H3449" i="10"/>
  <c r="I3449" i="10"/>
  <c r="C3446" i="10"/>
  <c r="D3446" i="10"/>
  <c r="E3446" i="10"/>
  <c r="F3446" i="10"/>
  <c r="G3446" i="10"/>
  <c r="H3446" i="10"/>
  <c r="I3446" i="10"/>
  <c r="J3446" i="10"/>
  <c r="C3443" i="10"/>
  <c r="D3443" i="10"/>
  <c r="E3443" i="10"/>
  <c r="F3443" i="10"/>
  <c r="G3443" i="10"/>
  <c r="H3443" i="10"/>
  <c r="I3443" i="10"/>
  <c r="J3443" i="10"/>
  <c r="C3442" i="10"/>
  <c r="D3442" i="10"/>
  <c r="E3442" i="10"/>
  <c r="F3442" i="10"/>
  <c r="G3442" i="10"/>
  <c r="H3442" i="10"/>
  <c r="I3442" i="10"/>
  <c r="J3442" i="10"/>
  <c r="C3441" i="10"/>
  <c r="D3441" i="10"/>
  <c r="E3441" i="10"/>
  <c r="F3441" i="10"/>
  <c r="G3441" i="10"/>
  <c r="H3441" i="10"/>
  <c r="I3441" i="10"/>
  <c r="J3441" i="10"/>
  <c r="C3440" i="10"/>
  <c r="D3440" i="10"/>
  <c r="E3440" i="10"/>
  <c r="F3440" i="10"/>
  <c r="G3440" i="10"/>
  <c r="H3440" i="10"/>
  <c r="I3440" i="10"/>
  <c r="J3440" i="10"/>
  <c r="C3437" i="10"/>
  <c r="D3437" i="10"/>
  <c r="E3437" i="10"/>
  <c r="F3437" i="10"/>
  <c r="G3437" i="10"/>
  <c r="H3437" i="10"/>
  <c r="I3437" i="10"/>
  <c r="J3437" i="10"/>
  <c r="C3431" i="10"/>
  <c r="D3431" i="10"/>
  <c r="E3431" i="10"/>
  <c r="F3431" i="10"/>
  <c r="G3431" i="10"/>
  <c r="H3431" i="10"/>
  <c r="I3431" i="10"/>
  <c r="C3430" i="10"/>
  <c r="D3430" i="10"/>
  <c r="E3430" i="10"/>
  <c r="F3430" i="10"/>
  <c r="G3430" i="10"/>
  <c r="H3430" i="10"/>
  <c r="I3430" i="10"/>
  <c r="J3430" i="10"/>
  <c r="J3431" i="10"/>
  <c r="L3421" i="10" l="1"/>
  <c r="M3421" i="10"/>
  <c r="N3421" i="10"/>
  <c r="O3421" i="10"/>
  <c r="P3421" i="10"/>
  <c r="Q3421" i="10"/>
  <c r="R3421" i="10"/>
  <c r="M3420" i="10"/>
  <c r="N3420" i="10"/>
  <c r="O3420" i="10"/>
  <c r="P3420" i="10"/>
  <c r="Q3420" i="10"/>
  <c r="R3420" i="10"/>
  <c r="L3420" i="10"/>
  <c r="M3417" i="10"/>
  <c r="N3417" i="10"/>
  <c r="O3417" i="10"/>
  <c r="P3417" i="10"/>
  <c r="Q3417" i="10"/>
  <c r="R3417" i="10"/>
  <c r="L3417" i="10"/>
  <c r="L3414" i="10"/>
  <c r="M3414" i="10"/>
  <c r="N3414" i="10"/>
  <c r="O3414" i="10"/>
  <c r="P3414" i="10"/>
  <c r="Q3414" i="10"/>
  <c r="R3414" i="10"/>
  <c r="M3413" i="10"/>
  <c r="N3413" i="10"/>
  <c r="O3413" i="10"/>
  <c r="P3413" i="10"/>
  <c r="Q3413" i="10"/>
  <c r="R3413" i="10"/>
  <c r="L3413" i="10"/>
  <c r="L3407" i="10"/>
  <c r="M3407" i="10"/>
  <c r="N3407" i="10"/>
  <c r="O3407" i="10"/>
  <c r="P3407" i="10"/>
  <c r="Q3407" i="10"/>
  <c r="R3407" i="10"/>
  <c r="M3403" i="10"/>
  <c r="N3403" i="10"/>
  <c r="O3403" i="10"/>
  <c r="P3403" i="10"/>
  <c r="Q3403" i="10"/>
  <c r="R3403" i="10"/>
  <c r="L3403" i="10"/>
  <c r="M3397" i="10"/>
  <c r="N3397" i="10"/>
  <c r="O3397" i="10"/>
  <c r="P3397" i="10"/>
  <c r="Q3397" i="10"/>
  <c r="L3397" i="10"/>
  <c r="M3410" i="10"/>
  <c r="N3410" i="10"/>
  <c r="O3410" i="10"/>
  <c r="P3410" i="10"/>
  <c r="Q3410" i="10"/>
  <c r="R3410" i="10"/>
  <c r="L3410" i="10"/>
  <c r="M3387" i="10"/>
  <c r="N3387" i="10"/>
  <c r="O3387" i="10"/>
  <c r="P3387" i="10"/>
  <c r="Q3387" i="10"/>
  <c r="R3387" i="10"/>
  <c r="M3388" i="10"/>
  <c r="N3388" i="10"/>
  <c r="O3388" i="10"/>
  <c r="P3388" i="10"/>
  <c r="Q3388" i="10"/>
  <c r="R3388" i="10"/>
  <c r="L3388" i="10"/>
  <c r="L3387" i="10"/>
  <c r="M3383" i="10"/>
  <c r="N3383" i="10"/>
  <c r="O3383" i="10"/>
  <c r="P3383" i="10"/>
  <c r="Q3383" i="10"/>
  <c r="R3383" i="10"/>
  <c r="M3384" i="10"/>
  <c r="N3384" i="10"/>
  <c r="O3384" i="10"/>
  <c r="P3384" i="10"/>
  <c r="Q3384" i="10"/>
  <c r="R3384" i="10"/>
  <c r="L3384" i="10"/>
  <c r="L3383" i="10"/>
  <c r="L3376" i="10"/>
  <c r="M3376" i="10"/>
  <c r="N3376" i="10"/>
  <c r="O3376" i="10"/>
  <c r="P3376" i="10"/>
  <c r="Q3376" i="10"/>
  <c r="R3376" i="10"/>
  <c r="M3377" i="10"/>
  <c r="N3377" i="10"/>
  <c r="O3377" i="10"/>
  <c r="P3377" i="10"/>
  <c r="Q3377" i="10"/>
  <c r="R3377" i="10"/>
  <c r="M3375" i="10"/>
  <c r="N3375" i="10"/>
  <c r="O3375" i="10"/>
  <c r="P3375" i="10"/>
  <c r="Q3375" i="10"/>
  <c r="R3375" i="10"/>
  <c r="L3375" i="10"/>
  <c r="L3366" i="10"/>
  <c r="M3366" i="10"/>
  <c r="N3366" i="10"/>
  <c r="O3366" i="10"/>
  <c r="P3366" i="10"/>
  <c r="Q3366" i="10"/>
  <c r="R3366" i="10"/>
  <c r="M3365" i="10"/>
  <c r="N3365" i="10"/>
  <c r="O3365" i="10"/>
  <c r="P3365" i="10"/>
  <c r="Q3365" i="10"/>
  <c r="R3365" i="10"/>
  <c r="L3365" i="10"/>
  <c r="C3289" i="10"/>
  <c r="D3289" i="10"/>
  <c r="E3289" i="10"/>
  <c r="F3289" i="10"/>
  <c r="G3289" i="10"/>
  <c r="H3289" i="10"/>
  <c r="I3289" i="10"/>
  <c r="J3289" i="10"/>
  <c r="C3286" i="10"/>
  <c r="D3286" i="10"/>
  <c r="E3286" i="10"/>
  <c r="F3286" i="10"/>
  <c r="G3286" i="10"/>
  <c r="H3286" i="10"/>
  <c r="I3286" i="10"/>
  <c r="J3286" i="10"/>
  <c r="C3283" i="10"/>
  <c r="D3283" i="10"/>
  <c r="E3283" i="10"/>
  <c r="F3283" i="10"/>
  <c r="G3283" i="10"/>
  <c r="H3283" i="10"/>
  <c r="I3283" i="10"/>
  <c r="J3283" i="10"/>
  <c r="C3282" i="10"/>
  <c r="D3282" i="10"/>
  <c r="E3282" i="10"/>
  <c r="F3282" i="10"/>
  <c r="G3282" i="10"/>
  <c r="H3282" i="10"/>
  <c r="I3282" i="10"/>
  <c r="J3282" i="10"/>
  <c r="C3281" i="10"/>
  <c r="D3281" i="10"/>
  <c r="E3281" i="10"/>
  <c r="F3281" i="10"/>
  <c r="G3281" i="10"/>
  <c r="H3281" i="10"/>
  <c r="I3281" i="10"/>
  <c r="J3281" i="10"/>
  <c r="C3280" i="10"/>
  <c r="D3280" i="10"/>
  <c r="E3280" i="10"/>
  <c r="F3280" i="10"/>
  <c r="G3280" i="10"/>
  <c r="H3280" i="10"/>
  <c r="I3280" i="10"/>
  <c r="J3280" i="10"/>
  <c r="C3274" i="10"/>
  <c r="D3274" i="10"/>
  <c r="E3274" i="10"/>
  <c r="F3274" i="10"/>
  <c r="G3274" i="10"/>
  <c r="H3274" i="10"/>
  <c r="I3274" i="10"/>
  <c r="J3274" i="10"/>
  <c r="J3271" i="10"/>
  <c r="C3268" i="10"/>
  <c r="D3268" i="10"/>
  <c r="E3268" i="10"/>
  <c r="F3268" i="10"/>
  <c r="G3268" i="10"/>
  <c r="H3268" i="10"/>
  <c r="I3268" i="10"/>
  <c r="J3268" i="10"/>
  <c r="C3265" i="10"/>
  <c r="D3265" i="10"/>
  <c r="E3265" i="10"/>
  <c r="F3265" i="10"/>
  <c r="G3265" i="10"/>
  <c r="H3265" i="10"/>
  <c r="I3265" i="10"/>
  <c r="J3265" i="10"/>
  <c r="C3277" i="10"/>
  <c r="D3277" i="10"/>
  <c r="E3277" i="10"/>
  <c r="F3277" i="10"/>
  <c r="G3277" i="10"/>
  <c r="H3277" i="10"/>
  <c r="I3277" i="10"/>
  <c r="J3277" i="10"/>
  <c r="C3259" i="10"/>
  <c r="D3259" i="10"/>
  <c r="E3259" i="10"/>
  <c r="F3259" i="10"/>
  <c r="G3259" i="10"/>
  <c r="H3259" i="10"/>
  <c r="I3259" i="10"/>
  <c r="J3259" i="10"/>
  <c r="C3256" i="10"/>
  <c r="D3256" i="10"/>
  <c r="E3256" i="10"/>
  <c r="F3256" i="10"/>
  <c r="G3256" i="10"/>
  <c r="H3256" i="10"/>
  <c r="I3256" i="10"/>
  <c r="J3256" i="10"/>
  <c r="C3255" i="10"/>
  <c r="D3255" i="10"/>
  <c r="E3255" i="10"/>
  <c r="F3255" i="10"/>
  <c r="G3255" i="10"/>
  <c r="H3255" i="10"/>
  <c r="I3255" i="10"/>
  <c r="J3255" i="10"/>
  <c r="C3252" i="10"/>
  <c r="D3252" i="10"/>
  <c r="E3252" i="10"/>
  <c r="F3252" i="10"/>
  <c r="G3252" i="10"/>
  <c r="H3252" i="10"/>
  <c r="I3252" i="10"/>
  <c r="J3252" i="10"/>
  <c r="C3251" i="10"/>
  <c r="D3251" i="10"/>
  <c r="E3251" i="10"/>
  <c r="F3251" i="10"/>
  <c r="G3251" i="10"/>
  <c r="H3251" i="10"/>
  <c r="I3251" i="10"/>
  <c r="J3251" i="10"/>
  <c r="C3248" i="10"/>
  <c r="D3248" i="10"/>
  <c r="E3248" i="10"/>
  <c r="F3248" i="10"/>
  <c r="G3248" i="10"/>
  <c r="H3248" i="10"/>
  <c r="I3248" i="10"/>
  <c r="J3248" i="10"/>
  <c r="C3247" i="10"/>
  <c r="D3247" i="10"/>
  <c r="E3247" i="10"/>
  <c r="F3247" i="10"/>
  <c r="G3247" i="10"/>
  <c r="H3247" i="10"/>
  <c r="I3247" i="10"/>
  <c r="J3247" i="10"/>
  <c r="C3244" i="10"/>
  <c r="D3244" i="10"/>
  <c r="E3244" i="10"/>
  <c r="F3244" i="10"/>
  <c r="G3244" i="10"/>
  <c r="H3244" i="10"/>
  <c r="I3244" i="10"/>
  <c r="J3244" i="10"/>
  <c r="C3243" i="10"/>
  <c r="D3243" i="10"/>
  <c r="E3243" i="10"/>
  <c r="F3243" i="10"/>
  <c r="G3243" i="10"/>
  <c r="H3243" i="10"/>
  <c r="I3243" i="10"/>
  <c r="J3243" i="10"/>
  <c r="C3242" i="10"/>
  <c r="D3242" i="10"/>
  <c r="E3242" i="10"/>
  <c r="F3242" i="10"/>
  <c r="G3242" i="10"/>
  <c r="H3242" i="10"/>
  <c r="I3242" i="10"/>
  <c r="J3242" i="10"/>
  <c r="C3241" i="10"/>
  <c r="D3241" i="10"/>
  <c r="E3241" i="10"/>
  <c r="F3241" i="10"/>
  <c r="G3241" i="10"/>
  <c r="H3241" i="10"/>
  <c r="I3241" i="10"/>
  <c r="J3241" i="10"/>
  <c r="C3238" i="10"/>
  <c r="D3238" i="10"/>
  <c r="E3238" i="10"/>
  <c r="F3238" i="10"/>
  <c r="G3238" i="10"/>
  <c r="H3238" i="10"/>
  <c r="I3238" i="10"/>
  <c r="J3238" i="10"/>
  <c r="C3237" i="10"/>
  <c r="D3237" i="10"/>
  <c r="E3237" i="10"/>
  <c r="F3237" i="10"/>
  <c r="G3237" i="10"/>
  <c r="H3237" i="10"/>
  <c r="I3237" i="10"/>
  <c r="J3237" i="10"/>
  <c r="C3236" i="10"/>
  <c r="D3236" i="10"/>
  <c r="E3236" i="10"/>
  <c r="F3236" i="10"/>
  <c r="G3236" i="10"/>
  <c r="H3236" i="10"/>
  <c r="I3236" i="10"/>
  <c r="J3236" i="10"/>
  <c r="C3230" i="10"/>
  <c r="D3230" i="10"/>
  <c r="E3230" i="10"/>
  <c r="F3230" i="10"/>
  <c r="G3230" i="10"/>
  <c r="H3230" i="10"/>
  <c r="I3230" i="10"/>
  <c r="J3230" i="10"/>
  <c r="C3227" i="10"/>
  <c r="D3227" i="10"/>
  <c r="E3227" i="10"/>
  <c r="F3227" i="10"/>
  <c r="G3227" i="10"/>
  <c r="H3227" i="10"/>
  <c r="I3227" i="10"/>
  <c r="J3227" i="10"/>
  <c r="C3228" i="10"/>
  <c r="D3228" i="10"/>
  <c r="E3228" i="10"/>
  <c r="F3228" i="10"/>
  <c r="G3228" i="10"/>
  <c r="H3228" i="10"/>
  <c r="I3228" i="10"/>
  <c r="J3228" i="10"/>
  <c r="C3229" i="10"/>
  <c r="D3229" i="10"/>
  <c r="E3229" i="10"/>
  <c r="F3229" i="10"/>
  <c r="G3229" i="10"/>
  <c r="H3229" i="10"/>
  <c r="I3229" i="10"/>
  <c r="J3229" i="10"/>
  <c r="C3218" i="10"/>
  <c r="D3218" i="10"/>
  <c r="E3218" i="10"/>
  <c r="F3218" i="10"/>
  <c r="G3218" i="10"/>
  <c r="H3218" i="10"/>
  <c r="I3218" i="10"/>
  <c r="J3218" i="10"/>
  <c r="C3215" i="10"/>
  <c r="D3215" i="10"/>
  <c r="E3215" i="10"/>
  <c r="F3215" i="10"/>
  <c r="G3215" i="10"/>
  <c r="H3215" i="10"/>
  <c r="I3215" i="10"/>
  <c r="J3215" i="10"/>
  <c r="C3212" i="10"/>
  <c r="D3212" i="10"/>
  <c r="E3212" i="10"/>
  <c r="F3212" i="10"/>
  <c r="G3212" i="10"/>
  <c r="H3212" i="10"/>
  <c r="I3212" i="10"/>
  <c r="J3212" i="10"/>
  <c r="C3206" i="10"/>
  <c r="D3206" i="10"/>
  <c r="E3206" i="10"/>
  <c r="F3206" i="10"/>
  <c r="G3206" i="10"/>
  <c r="H3206" i="10"/>
  <c r="I3206" i="10"/>
  <c r="J3206" i="10"/>
  <c r="C3205" i="10"/>
  <c r="D3205" i="10"/>
  <c r="E3205" i="10"/>
  <c r="F3205" i="10"/>
  <c r="G3205" i="10"/>
  <c r="H3205" i="10"/>
  <c r="I3205" i="10"/>
  <c r="J3205" i="10"/>
  <c r="C3202" i="10"/>
  <c r="D3202" i="10"/>
  <c r="E3202" i="10"/>
  <c r="F3202" i="10"/>
  <c r="G3202" i="10"/>
  <c r="H3202" i="10"/>
  <c r="I3202" i="10"/>
  <c r="J3202" i="10"/>
  <c r="C3199" i="10"/>
  <c r="D3199" i="10"/>
  <c r="E3199" i="10"/>
  <c r="F3199" i="10"/>
  <c r="G3199" i="10"/>
  <c r="H3199" i="10"/>
  <c r="I3199" i="10"/>
  <c r="J3199" i="10"/>
  <c r="C3196" i="10"/>
  <c r="D3196" i="10"/>
  <c r="E3196" i="10"/>
  <c r="F3196" i="10"/>
  <c r="G3196" i="10"/>
  <c r="H3196" i="10"/>
  <c r="I3196" i="10"/>
  <c r="J3196" i="10"/>
  <c r="C3209" i="10"/>
  <c r="D3209" i="10"/>
  <c r="E3209" i="10"/>
  <c r="F3209" i="10"/>
  <c r="G3209" i="10"/>
  <c r="H3209" i="10"/>
  <c r="I3209" i="10"/>
  <c r="J3209" i="10"/>
  <c r="C3190" i="10"/>
  <c r="K3190" i="10" s="1"/>
  <c r="D3190" i="10"/>
  <c r="L3190" i="10" s="1"/>
  <c r="E3190" i="10"/>
  <c r="M3190" i="10" s="1"/>
  <c r="F3190" i="10"/>
  <c r="N3190" i="10" s="1"/>
  <c r="G3190" i="10"/>
  <c r="O3190" i="10" s="1"/>
  <c r="H3190" i="10"/>
  <c r="P3190" i="10" s="1"/>
  <c r="I3190" i="10"/>
  <c r="Q3190" i="10" s="1"/>
  <c r="J3190" i="10"/>
  <c r="R3190" i="10" s="1"/>
  <c r="C3187" i="10"/>
  <c r="D3187" i="10"/>
  <c r="E3187" i="10"/>
  <c r="F3187" i="10"/>
  <c r="G3187" i="10"/>
  <c r="H3187" i="10"/>
  <c r="I3187" i="10"/>
  <c r="J3187" i="10"/>
  <c r="C3186" i="10"/>
  <c r="D3186" i="10"/>
  <c r="E3186" i="10"/>
  <c r="F3186" i="10"/>
  <c r="G3186" i="10"/>
  <c r="H3186" i="10"/>
  <c r="I3186" i="10"/>
  <c r="J3186" i="10"/>
  <c r="C3183" i="10"/>
  <c r="D3183" i="10"/>
  <c r="E3183" i="10"/>
  <c r="F3183" i="10"/>
  <c r="G3183" i="10"/>
  <c r="H3183" i="10"/>
  <c r="I3183" i="10"/>
  <c r="J3183" i="10"/>
  <c r="C3182" i="10"/>
  <c r="D3182" i="10"/>
  <c r="E3182" i="10"/>
  <c r="F3182" i="10"/>
  <c r="G3182" i="10"/>
  <c r="H3182" i="10"/>
  <c r="I3182" i="10"/>
  <c r="C3179" i="10"/>
  <c r="D3179" i="10"/>
  <c r="E3179" i="10"/>
  <c r="F3179" i="10"/>
  <c r="G3179" i="10"/>
  <c r="H3179" i="10"/>
  <c r="I3179" i="10"/>
  <c r="J3179" i="10"/>
  <c r="C3178" i="10"/>
  <c r="D3178" i="10"/>
  <c r="E3178" i="10"/>
  <c r="F3178" i="10"/>
  <c r="G3178" i="10"/>
  <c r="H3178" i="10"/>
  <c r="I3178" i="10"/>
  <c r="J3178" i="10"/>
  <c r="C3175" i="10"/>
  <c r="D3175" i="10"/>
  <c r="E3175" i="10"/>
  <c r="F3175" i="10"/>
  <c r="G3175" i="10"/>
  <c r="H3175" i="10"/>
  <c r="I3175" i="10"/>
  <c r="J3175" i="10"/>
  <c r="C3174" i="10"/>
  <c r="D3174" i="10"/>
  <c r="E3174" i="10"/>
  <c r="F3174" i="10"/>
  <c r="G3174" i="10"/>
  <c r="H3174" i="10"/>
  <c r="I3174" i="10"/>
  <c r="J3174" i="10"/>
  <c r="C3173" i="10"/>
  <c r="D3173" i="10"/>
  <c r="E3173" i="10"/>
  <c r="F3173" i="10"/>
  <c r="G3173" i="10"/>
  <c r="H3173" i="10"/>
  <c r="I3173" i="10"/>
  <c r="J3173" i="10"/>
  <c r="C3172" i="10"/>
  <c r="D3172" i="10"/>
  <c r="E3172" i="10"/>
  <c r="F3172" i="10"/>
  <c r="G3172" i="10"/>
  <c r="H3172" i="10"/>
  <c r="I3172" i="10"/>
  <c r="J3172" i="10"/>
  <c r="C3169" i="10"/>
  <c r="D3169" i="10"/>
  <c r="E3169" i="10"/>
  <c r="F3169" i="10"/>
  <c r="G3169" i="10"/>
  <c r="H3169" i="10"/>
  <c r="I3169" i="10"/>
  <c r="J3169" i="10"/>
  <c r="I3161" i="10"/>
  <c r="H3161" i="10"/>
  <c r="G3161" i="10"/>
  <c r="F3161" i="10"/>
  <c r="E3161" i="10"/>
  <c r="D3161" i="10"/>
  <c r="C3161" i="10"/>
  <c r="J3161" i="10"/>
  <c r="C3162" i="10"/>
  <c r="D3162" i="10"/>
  <c r="E3162" i="10"/>
  <c r="F3162" i="10"/>
  <c r="G3162" i="10"/>
  <c r="H3162" i="10"/>
  <c r="I3162" i="10"/>
  <c r="J3162" i="10"/>
  <c r="C3163" i="10"/>
  <c r="D3163" i="10"/>
  <c r="E3163" i="10"/>
  <c r="F3163" i="10"/>
  <c r="G3163" i="10"/>
  <c r="H3163" i="10"/>
  <c r="I3163" i="10"/>
  <c r="J3163" i="10"/>
  <c r="C3160" i="10"/>
  <c r="D3160" i="10"/>
  <c r="E3160" i="10"/>
  <c r="F3160" i="10"/>
  <c r="G3160" i="10"/>
  <c r="H3160" i="10"/>
  <c r="I3160" i="10"/>
  <c r="J3160" i="10"/>
  <c r="C3151" i="10"/>
  <c r="D3151" i="10"/>
  <c r="E3151" i="10"/>
  <c r="F3151" i="10"/>
  <c r="G3151" i="10"/>
  <c r="H3151" i="10"/>
  <c r="I3151" i="10"/>
  <c r="J3151" i="10"/>
  <c r="C3148" i="10"/>
  <c r="D3148" i="10"/>
  <c r="E3148" i="10"/>
  <c r="F3148" i="10"/>
  <c r="G3148" i="10"/>
  <c r="H3148" i="10"/>
  <c r="I3148" i="10"/>
  <c r="J3148" i="10"/>
  <c r="C3145" i="10"/>
  <c r="D3145" i="10"/>
  <c r="E3145" i="10"/>
  <c r="F3145" i="10"/>
  <c r="G3145" i="10"/>
  <c r="H3145" i="10"/>
  <c r="I3145" i="10"/>
  <c r="J3145" i="10"/>
  <c r="C3139" i="10"/>
  <c r="D3139" i="10"/>
  <c r="E3139" i="10"/>
  <c r="F3139" i="10"/>
  <c r="G3139" i="10"/>
  <c r="H3139" i="10"/>
  <c r="I3139" i="10"/>
  <c r="J3139" i="10"/>
  <c r="C3138" i="10"/>
  <c r="D3138" i="10"/>
  <c r="E3138" i="10"/>
  <c r="F3138" i="10"/>
  <c r="G3138" i="10"/>
  <c r="H3138" i="10"/>
  <c r="I3138" i="10"/>
  <c r="J3138" i="10"/>
  <c r="C3120" i="10"/>
  <c r="D3120" i="10"/>
  <c r="E3120" i="10"/>
  <c r="F3120" i="10"/>
  <c r="G3120" i="10"/>
  <c r="H3120" i="10"/>
  <c r="I3120" i="10"/>
  <c r="J3120" i="10"/>
  <c r="C3119" i="10"/>
  <c r="D3119" i="10"/>
  <c r="E3119" i="10"/>
  <c r="F3119" i="10"/>
  <c r="G3119" i="10"/>
  <c r="H3119" i="10"/>
  <c r="I3119" i="10"/>
  <c r="J3119" i="10"/>
  <c r="C3116" i="10"/>
  <c r="D3116" i="10"/>
  <c r="E3116" i="10"/>
  <c r="F3116" i="10"/>
  <c r="G3116" i="10"/>
  <c r="H3116" i="10"/>
  <c r="I3116" i="10"/>
  <c r="J3116" i="10"/>
  <c r="C3115" i="10"/>
  <c r="D3115" i="10"/>
  <c r="E3115" i="10"/>
  <c r="F3115" i="10"/>
  <c r="G3115" i="10"/>
  <c r="H3115" i="10"/>
  <c r="I3115" i="10"/>
  <c r="J3115" i="10"/>
  <c r="I3112" i="10"/>
  <c r="H3112" i="10"/>
  <c r="G3112" i="10"/>
  <c r="F3112" i="10"/>
  <c r="E3112" i="10"/>
  <c r="D3112" i="10"/>
  <c r="C3112" i="10"/>
  <c r="J3112" i="10"/>
  <c r="C3111" i="10"/>
  <c r="D3111" i="10"/>
  <c r="E3111" i="10"/>
  <c r="F3111" i="10"/>
  <c r="G3111" i="10"/>
  <c r="H3111" i="10"/>
  <c r="I3111" i="10"/>
  <c r="J3111" i="10"/>
  <c r="C3108" i="10"/>
  <c r="D3108" i="10"/>
  <c r="E3108" i="10"/>
  <c r="F3108" i="10"/>
  <c r="G3108" i="10"/>
  <c r="H3108" i="10"/>
  <c r="I3108" i="10"/>
  <c r="J3108" i="10"/>
  <c r="C3107" i="10"/>
  <c r="D3107" i="10"/>
  <c r="E3107" i="10"/>
  <c r="F3107" i="10"/>
  <c r="G3107" i="10"/>
  <c r="H3107" i="10"/>
  <c r="I3107" i="10"/>
  <c r="J3107" i="10"/>
  <c r="C3106" i="10"/>
  <c r="D3106" i="10"/>
  <c r="E3106" i="10"/>
  <c r="F3106" i="10"/>
  <c r="G3106" i="10"/>
  <c r="H3106" i="10"/>
  <c r="I3106" i="10"/>
  <c r="J3106" i="10"/>
  <c r="C3105" i="10"/>
  <c r="D3105" i="10"/>
  <c r="E3105" i="10"/>
  <c r="F3105" i="10"/>
  <c r="G3105" i="10"/>
  <c r="H3105" i="10"/>
  <c r="I3105" i="10"/>
  <c r="J3105" i="10"/>
  <c r="C3102" i="10"/>
  <c r="D3102" i="10"/>
  <c r="E3102" i="10"/>
  <c r="F3102" i="10"/>
  <c r="G3102" i="10"/>
  <c r="H3102" i="10"/>
  <c r="I3102" i="10"/>
  <c r="J3102" i="10"/>
  <c r="C3095" i="10"/>
  <c r="D3095" i="10"/>
  <c r="E3095" i="10"/>
  <c r="F3095" i="10"/>
  <c r="G3095" i="10"/>
  <c r="C3096" i="10"/>
  <c r="D3096" i="10"/>
  <c r="E3096" i="10"/>
  <c r="F3096" i="10"/>
  <c r="G3096" i="10"/>
  <c r="H3096" i="10"/>
  <c r="I3096" i="10"/>
  <c r="J3096" i="10"/>
  <c r="C3093" i="10"/>
  <c r="D3093" i="10"/>
  <c r="E3093" i="10"/>
  <c r="F3093" i="10"/>
  <c r="G3093" i="10"/>
  <c r="H3093" i="10"/>
  <c r="I3093" i="10"/>
  <c r="J3093" i="10"/>
  <c r="L3119" i="10" l="1"/>
  <c r="M3148" i="10"/>
  <c r="P3105" i="10"/>
  <c r="Q3111" i="10"/>
  <c r="L3112" i="10"/>
  <c r="P3112" i="10"/>
  <c r="P3115" i="10"/>
  <c r="L3115" i="10"/>
  <c r="P3116" i="10"/>
  <c r="L3138" i="10"/>
  <c r="P3139" i="10"/>
  <c r="L3139" i="10"/>
  <c r="P3145" i="10"/>
  <c r="L3145" i="10"/>
  <c r="P3148" i="10"/>
  <c r="L3148" i="10"/>
  <c r="L3151" i="10"/>
  <c r="L3094" i="10"/>
  <c r="L3102" i="10"/>
  <c r="M3112" i="10"/>
  <c r="L3108" i="10"/>
  <c r="Q3112" i="10"/>
  <c r="Q3116" i="10"/>
  <c r="R3093" i="10"/>
  <c r="N3093" i="10"/>
  <c r="R3096" i="10"/>
  <c r="N3096" i="10"/>
  <c r="R3094" i="10"/>
  <c r="N3094" i="10"/>
  <c r="N3095" i="10"/>
  <c r="R3102" i="10"/>
  <c r="N3102" i="10"/>
  <c r="R3105" i="10"/>
  <c r="N3105" i="10"/>
  <c r="R3106" i="10"/>
  <c r="N3106" i="10"/>
  <c r="R3107" i="10"/>
  <c r="N3107" i="10"/>
  <c r="R3108" i="10"/>
  <c r="N3108" i="10"/>
  <c r="R3111" i="10"/>
  <c r="N3111" i="10"/>
  <c r="R3115" i="10"/>
  <c r="N3115" i="10"/>
  <c r="R3116" i="10"/>
  <c r="N3116" i="10"/>
  <c r="R3119" i="10"/>
  <c r="N3119" i="10"/>
  <c r="R3120" i="10"/>
  <c r="N3120" i="10"/>
  <c r="R3138" i="10"/>
  <c r="N3138" i="10"/>
  <c r="R3139" i="10"/>
  <c r="N3139" i="10"/>
  <c r="R3145" i="10"/>
  <c r="N3145" i="10"/>
  <c r="R3148" i="10"/>
  <c r="N3148" i="10"/>
  <c r="R3151" i="10"/>
  <c r="N3151" i="10"/>
  <c r="L3093" i="10"/>
  <c r="L3105" i="10"/>
  <c r="L3111" i="10"/>
  <c r="Q3093" i="10"/>
  <c r="M3093" i="10"/>
  <c r="Q3096" i="10"/>
  <c r="M3096" i="10"/>
  <c r="Q3094" i="10"/>
  <c r="M3094" i="10"/>
  <c r="M3095" i="10"/>
  <c r="Q3102" i="10"/>
  <c r="M3102" i="10"/>
  <c r="Q3105" i="10"/>
  <c r="M3105" i="10"/>
  <c r="Q3106" i="10"/>
  <c r="M3106" i="10"/>
  <c r="Q3107" i="10"/>
  <c r="M3107" i="10"/>
  <c r="Q3108" i="10"/>
  <c r="M3108" i="10"/>
  <c r="M3111" i="10"/>
  <c r="Q3115" i="10"/>
  <c r="M3115" i="10"/>
  <c r="M3116" i="10"/>
  <c r="Q3119" i="10"/>
  <c r="M3119" i="10"/>
  <c r="Q3120" i="10"/>
  <c r="M3120" i="10"/>
  <c r="Q3138" i="10"/>
  <c r="M3138" i="10"/>
  <c r="Q3139" i="10"/>
  <c r="M3139" i="10"/>
  <c r="Q3145" i="10"/>
  <c r="M3145" i="10"/>
  <c r="Q3148" i="10"/>
  <c r="Q3151" i="10"/>
  <c r="M3151" i="10"/>
  <c r="P3096" i="10"/>
  <c r="L3096" i="10"/>
  <c r="P3094" i="10"/>
  <c r="L3095" i="10"/>
  <c r="P3106" i="10"/>
  <c r="L3106" i="10"/>
  <c r="L3107" i="10"/>
  <c r="P3108" i="10"/>
  <c r="P3111" i="10"/>
  <c r="L3116" i="10"/>
  <c r="P3119" i="10"/>
  <c r="O3096" i="10"/>
  <c r="O3094" i="10"/>
  <c r="O3102" i="10"/>
  <c r="O3105" i="10"/>
  <c r="O3106" i="10"/>
  <c r="O3107" i="10"/>
  <c r="O3108" i="10"/>
  <c r="O3111" i="10"/>
  <c r="O3115" i="10"/>
  <c r="O3116" i="10"/>
  <c r="O3119" i="10"/>
  <c r="O3120" i="10"/>
  <c r="L3120" i="10"/>
  <c r="O3138" i="10"/>
  <c r="O3139" i="10"/>
  <c r="O3145" i="10"/>
  <c r="O3148" i="10"/>
  <c r="O3151" i="10"/>
  <c r="P3151" i="10"/>
  <c r="P3102" i="10"/>
  <c r="O3093" i="10"/>
  <c r="P3093" i="10"/>
  <c r="R3112" i="10"/>
  <c r="N3112" i="10"/>
  <c r="P3120" i="10"/>
  <c r="O3095" i="10"/>
  <c r="P3107" i="10"/>
  <c r="P3138" i="10"/>
  <c r="O3112" i="10"/>
  <c r="C3015" i="10"/>
  <c r="D3015" i="10"/>
  <c r="E3015" i="10"/>
  <c r="F3015" i="10"/>
  <c r="G3015" i="10"/>
  <c r="H3015" i="10"/>
  <c r="I3015" i="10"/>
  <c r="J3015" i="10"/>
  <c r="C3012" i="10"/>
  <c r="D3012" i="10"/>
  <c r="E3012" i="10"/>
  <c r="F3012" i="10"/>
  <c r="G3012" i="10"/>
  <c r="H3012" i="10"/>
  <c r="I3012" i="10"/>
  <c r="J3012" i="10"/>
  <c r="C3009" i="10"/>
  <c r="D3009" i="10"/>
  <c r="E3009" i="10"/>
  <c r="F3009" i="10"/>
  <c r="G3009" i="10"/>
  <c r="H3009" i="10"/>
  <c r="I3009" i="10"/>
  <c r="J3009" i="10"/>
  <c r="C3003" i="10"/>
  <c r="D3003" i="10"/>
  <c r="E3003" i="10"/>
  <c r="F3003" i="10"/>
  <c r="G3003" i="10"/>
  <c r="H3003" i="10"/>
  <c r="I3003" i="10"/>
  <c r="C3002" i="10"/>
  <c r="D3002" i="10"/>
  <c r="E3002" i="10"/>
  <c r="F3002" i="10"/>
  <c r="G3002" i="10"/>
  <c r="H3002" i="10"/>
  <c r="I3002" i="10"/>
  <c r="J3003" i="10"/>
  <c r="J3002" i="10"/>
  <c r="C2999" i="10"/>
  <c r="D2999" i="10"/>
  <c r="E2999" i="10"/>
  <c r="F2999" i="10"/>
  <c r="G2999" i="10"/>
  <c r="H2999" i="10"/>
  <c r="I2999" i="10"/>
  <c r="C2998" i="10"/>
  <c r="D2998" i="10"/>
  <c r="E2998" i="10"/>
  <c r="F2998" i="10"/>
  <c r="G2998" i="10"/>
  <c r="H2998" i="10"/>
  <c r="I2998" i="10"/>
  <c r="J2999" i="10"/>
  <c r="J2998" i="10"/>
  <c r="C2995" i="10"/>
  <c r="D2995" i="10"/>
  <c r="E2995" i="10"/>
  <c r="F2995" i="10"/>
  <c r="G2995" i="10"/>
  <c r="H2995" i="10"/>
  <c r="I2995" i="10"/>
  <c r="J2995" i="10"/>
  <c r="C2992" i="10"/>
  <c r="D2992" i="10"/>
  <c r="E2992" i="10"/>
  <c r="F2992" i="10"/>
  <c r="G2992" i="10"/>
  <c r="H2992" i="10"/>
  <c r="I2992" i="10"/>
  <c r="J2992" i="10"/>
  <c r="C3006" i="10"/>
  <c r="D3006" i="10"/>
  <c r="E3006" i="10"/>
  <c r="F3006" i="10"/>
  <c r="G3006" i="10"/>
  <c r="H3006" i="10"/>
  <c r="I3006" i="10"/>
  <c r="J3006" i="10"/>
  <c r="C2985" i="10"/>
  <c r="D2985" i="10"/>
  <c r="E2985" i="10"/>
  <c r="F2985" i="10"/>
  <c r="G2985" i="10"/>
  <c r="H2985" i="10"/>
  <c r="I2985" i="10"/>
  <c r="J2985" i="10"/>
  <c r="C2982" i="10"/>
  <c r="D2982" i="10"/>
  <c r="E2982" i="10"/>
  <c r="F2982" i="10"/>
  <c r="G2982" i="10"/>
  <c r="H2982" i="10"/>
  <c r="I2982" i="10"/>
  <c r="J2982" i="10"/>
  <c r="C2979" i="10"/>
  <c r="D2979" i="10"/>
  <c r="E2979" i="10"/>
  <c r="F2979" i="10"/>
  <c r="G2979" i="10"/>
  <c r="H2979" i="10"/>
  <c r="I2979" i="10"/>
  <c r="C2976" i="10"/>
  <c r="D2976" i="10"/>
  <c r="E2976" i="10"/>
  <c r="F2976" i="10"/>
  <c r="G2976" i="10"/>
  <c r="H2976" i="10"/>
  <c r="C2973" i="10"/>
  <c r="D2973" i="10"/>
  <c r="E2973" i="10"/>
  <c r="F2973" i="10"/>
  <c r="G2973" i="10"/>
  <c r="H2973" i="10"/>
  <c r="I2973" i="10"/>
  <c r="C2972" i="10"/>
  <c r="D2972" i="10"/>
  <c r="E2972" i="10"/>
  <c r="F2972" i="10"/>
  <c r="G2972" i="10"/>
  <c r="H2972" i="10"/>
  <c r="I2972" i="10"/>
  <c r="J2973" i="10"/>
  <c r="J2972" i="10"/>
  <c r="C2969" i="10"/>
  <c r="D2969" i="10"/>
  <c r="E2969" i="10"/>
  <c r="F2969" i="10"/>
  <c r="G2969" i="10"/>
  <c r="H2969" i="10"/>
  <c r="I2969" i="10"/>
  <c r="J2969" i="10"/>
  <c r="C2963" i="10"/>
  <c r="D2963" i="10"/>
  <c r="E2963" i="10"/>
  <c r="F2963" i="10"/>
  <c r="G2963" i="10"/>
  <c r="H2963" i="10"/>
  <c r="I2963" i="10"/>
  <c r="J2963" i="10"/>
  <c r="C2962" i="10"/>
  <c r="D2962" i="10"/>
  <c r="E2962" i="10"/>
  <c r="F2962" i="10"/>
  <c r="G2962" i="10"/>
  <c r="H2962" i="10"/>
  <c r="I2962" i="10"/>
  <c r="J2962" i="10"/>
  <c r="C2961" i="10"/>
  <c r="D2961" i="10"/>
  <c r="E2961" i="10"/>
  <c r="F2961" i="10"/>
  <c r="G2961" i="10"/>
  <c r="H2961" i="10"/>
  <c r="I2961" i="10"/>
  <c r="J2961" i="10"/>
  <c r="C2960" i="10"/>
  <c r="D2960" i="10"/>
  <c r="E2960" i="10"/>
  <c r="F2960" i="10"/>
  <c r="G2960" i="10"/>
  <c r="H2960" i="10"/>
  <c r="I2960" i="10"/>
  <c r="J2960" i="10"/>
  <c r="C2953" i="10"/>
  <c r="D2953" i="10"/>
  <c r="E2953" i="10"/>
  <c r="F2953" i="10"/>
  <c r="G2953" i="10"/>
  <c r="H2953" i="10"/>
  <c r="I2953" i="10"/>
  <c r="J2953" i="10"/>
  <c r="C2952" i="10"/>
  <c r="D2952" i="10"/>
  <c r="E2952" i="10"/>
  <c r="F2952" i="10"/>
  <c r="G2952" i="10"/>
  <c r="H2952" i="10"/>
  <c r="I2952" i="10"/>
  <c r="J2952" i="10"/>
  <c r="C2949" i="10"/>
  <c r="D2949" i="10"/>
  <c r="E2949" i="10"/>
  <c r="F2949" i="10"/>
  <c r="G2949" i="10"/>
  <c r="H2949" i="10"/>
  <c r="I2949" i="10"/>
  <c r="J2949" i="10"/>
  <c r="C2946" i="10"/>
  <c r="D2946" i="10"/>
  <c r="E2946" i="10"/>
  <c r="F2946" i="10"/>
  <c r="G2946" i="10"/>
  <c r="H2946" i="10"/>
  <c r="I2946" i="10"/>
  <c r="J2946" i="10"/>
  <c r="C2945" i="10"/>
  <c r="D2945" i="10"/>
  <c r="E2945" i="10"/>
  <c r="F2945" i="10"/>
  <c r="G2945" i="10"/>
  <c r="H2945" i="10"/>
  <c r="I2945" i="10"/>
  <c r="J2945" i="10"/>
  <c r="C2936" i="10"/>
  <c r="D2936" i="10"/>
  <c r="E2936" i="10"/>
  <c r="F2936" i="10"/>
  <c r="G2936" i="10"/>
  <c r="H2936" i="10"/>
  <c r="I2936" i="10"/>
  <c r="J2936" i="10"/>
  <c r="C2933" i="10"/>
  <c r="D2933" i="10"/>
  <c r="E2933" i="10"/>
  <c r="F2933" i="10"/>
  <c r="G2933" i="10"/>
  <c r="H2933" i="10"/>
  <c r="I2933" i="10"/>
  <c r="J2933" i="10"/>
  <c r="J2930" i="10"/>
  <c r="E2924" i="10"/>
  <c r="F2924" i="10"/>
  <c r="G2924" i="10"/>
  <c r="H2924" i="10"/>
  <c r="I2924" i="10"/>
  <c r="J2924" i="10"/>
  <c r="C2917" i="10"/>
  <c r="D2917" i="10"/>
  <c r="E2917" i="10"/>
  <c r="F2917" i="10"/>
  <c r="G2917" i="10"/>
  <c r="H2917" i="10"/>
  <c r="I2917" i="10"/>
  <c r="J2917" i="10"/>
  <c r="C2916" i="10"/>
  <c r="D2916" i="10"/>
  <c r="E2916" i="10"/>
  <c r="F2916" i="10"/>
  <c r="G2916" i="10"/>
  <c r="H2916" i="10"/>
  <c r="I2916" i="10"/>
  <c r="J2916" i="10"/>
  <c r="C2915" i="10"/>
  <c r="D2915" i="10"/>
  <c r="E2915" i="10"/>
  <c r="F2915" i="10"/>
  <c r="G2915" i="10"/>
  <c r="H2915" i="10"/>
  <c r="I2915" i="10"/>
  <c r="J2915" i="10"/>
  <c r="C2912" i="10"/>
  <c r="D2912" i="10"/>
  <c r="E2912" i="10"/>
  <c r="F2912" i="10"/>
  <c r="G2912" i="10"/>
  <c r="H2912" i="10"/>
  <c r="I2912" i="10"/>
  <c r="J2912" i="10"/>
  <c r="C2909" i="10"/>
  <c r="D2909" i="10"/>
  <c r="E2909" i="10"/>
  <c r="F2909" i="10"/>
  <c r="G2909" i="10"/>
  <c r="H2909" i="10"/>
  <c r="I2909" i="10"/>
  <c r="J2909" i="10"/>
  <c r="C2908" i="10"/>
  <c r="D2908" i="10"/>
  <c r="E2908" i="10"/>
  <c r="F2908" i="10"/>
  <c r="G2908" i="10"/>
  <c r="H2908" i="10"/>
  <c r="I2908" i="10"/>
  <c r="J2908" i="10"/>
  <c r="C2905" i="10"/>
  <c r="D2905" i="10"/>
  <c r="E2905" i="10"/>
  <c r="F2905" i="10"/>
  <c r="G2905" i="10"/>
  <c r="H2905" i="10"/>
  <c r="I2905" i="10"/>
  <c r="J2905" i="10"/>
  <c r="C2899" i="10"/>
  <c r="D2899" i="10"/>
  <c r="E2899" i="10"/>
  <c r="F2899" i="10"/>
  <c r="G2899" i="10"/>
  <c r="H2899" i="10"/>
  <c r="I2899" i="10"/>
  <c r="J2899" i="10"/>
  <c r="C2898" i="10"/>
  <c r="D2898" i="10"/>
  <c r="E2898" i="10"/>
  <c r="F2898" i="10"/>
  <c r="G2898" i="10"/>
  <c r="H2898" i="10"/>
  <c r="I2898" i="10"/>
  <c r="J2898" i="10"/>
  <c r="C2897" i="10"/>
  <c r="D2897" i="10"/>
  <c r="E2897" i="10"/>
  <c r="F2897" i="10"/>
  <c r="G2897" i="10"/>
  <c r="H2897" i="10"/>
  <c r="I2897" i="10"/>
  <c r="J2897" i="10"/>
  <c r="C2896" i="10"/>
  <c r="D2896" i="10"/>
  <c r="E2896" i="10"/>
  <c r="F2896" i="10"/>
  <c r="G2896" i="10"/>
  <c r="H2896" i="10"/>
  <c r="I2896" i="10"/>
  <c r="J2896" i="10"/>
  <c r="J2895" i="10"/>
  <c r="C2895" i="10"/>
  <c r="D2895" i="10"/>
  <c r="E2895" i="10"/>
  <c r="F2895" i="10"/>
  <c r="G2895" i="10"/>
  <c r="H2895" i="10"/>
  <c r="I2895" i="10"/>
  <c r="C2886" i="10"/>
  <c r="D2886" i="10"/>
  <c r="E2886" i="10"/>
  <c r="F2886" i="10"/>
  <c r="G2886" i="10"/>
  <c r="H2886" i="10"/>
  <c r="I2886" i="10"/>
  <c r="J2886" i="10"/>
  <c r="C2885" i="10"/>
  <c r="D2885" i="10"/>
  <c r="E2885" i="10"/>
  <c r="F2885" i="10"/>
  <c r="G2885" i="10"/>
  <c r="H2885" i="10"/>
  <c r="I2885" i="10"/>
  <c r="J2885" i="10"/>
  <c r="C2882" i="10"/>
  <c r="D2882" i="10"/>
  <c r="E2882" i="10"/>
  <c r="F2882" i="10"/>
  <c r="G2882" i="10"/>
  <c r="H2882" i="10"/>
  <c r="I2882" i="10"/>
  <c r="J2882" i="10"/>
  <c r="C2879" i="10"/>
  <c r="D2879" i="10"/>
  <c r="E2879" i="10"/>
  <c r="F2879" i="10"/>
  <c r="G2879" i="10"/>
  <c r="H2879" i="10"/>
  <c r="I2879" i="10"/>
  <c r="J2879" i="10"/>
  <c r="C2878" i="10"/>
  <c r="D2878" i="10"/>
  <c r="E2878" i="10"/>
  <c r="F2878" i="10"/>
  <c r="G2878" i="10"/>
  <c r="H2878" i="10"/>
  <c r="I2878" i="10"/>
  <c r="J2878" i="10"/>
  <c r="C2872" i="10"/>
  <c r="D2872" i="10"/>
  <c r="E2872" i="10"/>
  <c r="F2872" i="10"/>
  <c r="G2872" i="10"/>
  <c r="H2872" i="10"/>
  <c r="I2872" i="10"/>
  <c r="J2872" i="10"/>
  <c r="C2871" i="10"/>
  <c r="D2871" i="10"/>
  <c r="E2871" i="10"/>
  <c r="F2871" i="10"/>
  <c r="G2871" i="10"/>
  <c r="H2871" i="10"/>
  <c r="I2871" i="10"/>
  <c r="J2871" i="10"/>
  <c r="C2868" i="10"/>
  <c r="D2868" i="10"/>
  <c r="E2868" i="10"/>
  <c r="F2868" i="10"/>
  <c r="G2868" i="10"/>
  <c r="H2868" i="10"/>
  <c r="I2868" i="10"/>
  <c r="J2868" i="10"/>
  <c r="C2867" i="10"/>
  <c r="D2867" i="10"/>
  <c r="E2867" i="10"/>
  <c r="F2867" i="10"/>
  <c r="G2867" i="10"/>
  <c r="H2867" i="10"/>
  <c r="I2867" i="10"/>
  <c r="J2867" i="10"/>
  <c r="C2864" i="10"/>
  <c r="D2864" i="10"/>
  <c r="E2864" i="10"/>
  <c r="F2864" i="10"/>
  <c r="G2864" i="10"/>
  <c r="H2864" i="10"/>
  <c r="I2864" i="10"/>
  <c r="J2864" i="10"/>
  <c r="C2863" i="10"/>
  <c r="D2863" i="10"/>
  <c r="E2863" i="10"/>
  <c r="F2863" i="10"/>
  <c r="G2863" i="10"/>
  <c r="H2863" i="10"/>
  <c r="I2863" i="10"/>
  <c r="J2863" i="10"/>
  <c r="C2862" i="10"/>
  <c r="D2862" i="10"/>
  <c r="E2862" i="10"/>
  <c r="F2862" i="10"/>
  <c r="G2862" i="10"/>
  <c r="H2862" i="10"/>
  <c r="I2862" i="10"/>
  <c r="J2862" i="10"/>
  <c r="C2875" i="10"/>
  <c r="D2875" i="10"/>
  <c r="E2875" i="10"/>
  <c r="F2875" i="10"/>
  <c r="G2875" i="10"/>
  <c r="H2875" i="10"/>
  <c r="I2875" i="10"/>
  <c r="J2875" i="10"/>
  <c r="E2853" i="10"/>
  <c r="F2853" i="10"/>
  <c r="G2853" i="10"/>
  <c r="H2853" i="10"/>
  <c r="I2853" i="10"/>
  <c r="J2853" i="10"/>
  <c r="C2850" i="10"/>
  <c r="D2850" i="10"/>
  <c r="E2850" i="10"/>
  <c r="F2850" i="10"/>
  <c r="G2850" i="10"/>
  <c r="H2850" i="10"/>
  <c r="I2850" i="10"/>
  <c r="J2850" i="10"/>
  <c r="C2846" i="10"/>
  <c r="D2846" i="10"/>
  <c r="E2846" i="10"/>
  <c r="F2846" i="10"/>
  <c r="G2846" i="10"/>
  <c r="H2846" i="10"/>
  <c r="I2846" i="10"/>
  <c r="J2846" i="10"/>
  <c r="C2845" i="10"/>
  <c r="D2845" i="10"/>
  <c r="E2845" i="10"/>
  <c r="F2845" i="10"/>
  <c r="G2845" i="10"/>
  <c r="H2845" i="10"/>
  <c r="I2845" i="10"/>
  <c r="J2845" i="10"/>
  <c r="C2844" i="10"/>
  <c r="D2844" i="10"/>
  <c r="E2844" i="10"/>
  <c r="F2844" i="10"/>
  <c r="G2844" i="10"/>
  <c r="H2844" i="10"/>
  <c r="I2844" i="10"/>
  <c r="J2844" i="10"/>
  <c r="C2841" i="10"/>
  <c r="D2841" i="10"/>
  <c r="E2841" i="10"/>
  <c r="F2841" i="10"/>
  <c r="G2841" i="10"/>
  <c r="H2841" i="10"/>
  <c r="I2841" i="10"/>
  <c r="J2841" i="10"/>
  <c r="C2840" i="10"/>
  <c r="D2840" i="10"/>
  <c r="E2840" i="10"/>
  <c r="F2840" i="10"/>
  <c r="G2840" i="10"/>
  <c r="H2840" i="10"/>
  <c r="I2840" i="10"/>
  <c r="J2840" i="10"/>
  <c r="C2837" i="10"/>
  <c r="D2837" i="10"/>
  <c r="E2837" i="10"/>
  <c r="F2837" i="10"/>
  <c r="G2837" i="10"/>
  <c r="H2837" i="10"/>
  <c r="I2837" i="10"/>
  <c r="J2837" i="10"/>
  <c r="C2836" i="10"/>
  <c r="D2836" i="10"/>
  <c r="E2836" i="10"/>
  <c r="F2836" i="10"/>
  <c r="G2836" i="10"/>
  <c r="H2836" i="10"/>
  <c r="I2836" i="10"/>
  <c r="J2836" i="10"/>
  <c r="C2833" i="10"/>
  <c r="D2833" i="10"/>
  <c r="E2833" i="10"/>
  <c r="F2833" i="10"/>
  <c r="G2833" i="10"/>
  <c r="H2833" i="10"/>
  <c r="I2833" i="10"/>
  <c r="J2833" i="10"/>
  <c r="C2827" i="10"/>
  <c r="D2827" i="10"/>
  <c r="E2827" i="10"/>
  <c r="F2827" i="10"/>
  <c r="G2827" i="10"/>
  <c r="H2827" i="10"/>
  <c r="I2827" i="10"/>
  <c r="J2827" i="10"/>
  <c r="C2824" i="10"/>
  <c r="D2824" i="10"/>
  <c r="E2824" i="10"/>
  <c r="F2824" i="10"/>
  <c r="G2824" i="10"/>
  <c r="H2824" i="10"/>
  <c r="I2824" i="10"/>
  <c r="J2824" i="10"/>
  <c r="C2826" i="10"/>
  <c r="D2826" i="10"/>
  <c r="E2826" i="10"/>
  <c r="F2826" i="10"/>
  <c r="G2826" i="10"/>
  <c r="H2826" i="10"/>
  <c r="I2826" i="10"/>
  <c r="J2826" i="10"/>
  <c r="C2823" i="10"/>
  <c r="D2823" i="10"/>
  <c r="E2823" i="10"/>
  <c r="F2823" i="10"/>
  <c r="G2823" i="10"/>
  <c r="H2823" i="10"/>
  <c r="I2823" i="10"/>
  <c r="J2823" i="10"/>
  <c r="C2825" i="10"/>
  <c r="D2825" i="10"/>
  <c r="E2825" i="10"/>
  <c r="F2825" i="10"/>
  <c r="G2825" i="10"/>
  <c r="H2825" i="10"/>
  <c r="I2825" i="10"/>
  <c r="J2825" i="10"/>
  <c r="D2814" i="10"/>
  <c r="E2814" i="10"/>
  <c r="F2814" i="10"/>
  <c r="G2814" i="10"/>
  <c r="H2814" i="10"/>
  <c r="I2814" i="10"/>
  <c r="J2814" i="10"/>
  <c r="C2814" i="10"/>
  <c r="D2813" i="10"/>
  <c r="E2813" i="10"/>
  <c r="F2813" i="10"/>
  <c r="G2813" i="10"/>
  <c r="H2813" i="10"/>
  <c r="I2813" i="10"/>
  <c r="J2813" i="10"/>
  <c r="C2813" i="10"/>
  <c r="D2810" i="10"/>
  <c r="E2810" i="10"/>
  <c r="F2810" i="10"/>
  <c r="G2810" i="10"/>
  <c r="H2810" i="10"/>
  <c r="I2810" i="10"/>
  <c r="J2810" i="10"/>
  <c r="C2810" i="10"/>
  <c r="D2807" i="10"/>
  <c r="E2807" i="10"/>
  <c r="F2807" i="10"/>
  <c r="G2807" i="10"/>
  <c r="H2807" i="10"/>
  <c r="I2807" i="10"/>
  <c r="J2807" i="10"/>
  <c r="C2807" i="10"/>
  <c r="D2806" i="10"/>
  <c r="E2806" i="10"/>
  <c r="F2806" i="10"/>
  <c r="G2806" i="10"/>
  <c r="H2806" i="10"/>
  <c r="I2806" i="10"/>
  <c r="J2806" i="10"/>
  <c r="C2806" i="10"/>
  <c r="D2793" i="10"/>
  <c r="E2793" i="10"/>
  <c r="F2793" i="10"/>
  <c r="G2793" i="10"/>
  <c r="H2793" i="10"/>
  <c r="I2793" i="10"/>
  <c r="J2793" i="10"/>
  <c r="C2793" i="10"/>
  <c r="D2792" i="10"/>
  <c r="E2792" i="10"/>
  <c r="F2792" i="10"/>
  <c r="G2792" i="10"/>
  <c r="H2792" i="10"/>
  <c r="I2792" i="10"/>
  <c r="J2792" i="10"/>
  <c r="C2792" i="10"/>
  <c r="D2791" i="10"/>
  <c r="E2791" i="10"/>
  <c r="F2791" i="10"/>
  <c r="G2791" i="10"/>
  <c r="H2791" i="10"/>
  <c r="I2791" i="10"/>
  <c r="J2791" i="10"/>
  <c r="C2791" i="10"/>
  <c r="D2788" i="10"/>
  <c r="E2788" i="10"/>
  <c r="F2788" i="10"/>
  <c r="G2788" i="10"/>
  <c r="H2788" i="10"/>
  <c r="I2788" i="10"/>
  <c r="C2788" i="10"/>
  <c r="D2803" i="10"/>
  <c r="E2803" i="10"/>
  <c r="F2803" i="10"/>
  <c r="G2803" i="10"/>
  <c r="H2803" i="10"/>
  <c r="C2803" i="10"/>
  <c r="D2782" i="10"/>
  <c r="L2782" i="10" s="1"/>
  <c r="E2782" i="10"/>
  <c r="M2782" i="10" s="1"/>
  <c r="F2782" i="10"/>
  <c r="N2782" i="10" s="1"/>
  <c r="G2782" i="10"/>
  <c r="O2782" i="10" s="1"/>
  <c r="H2782" i="10"/>
  <c r="P2782" i="10" s="1"/>
  <c r="I2782" i="10"/>
  <c r="Q2782" i="10" s="1"/>
  <c r="J2782" i="10"/>
  <c r="R2782" i="10" s="1"/>
  <c r="C2782" i="10"/>
  <c r="K2782" i="10" s="1"/>
  <c r="L2604" i="10"/>
  <c r="M2604" i="10"/>
  <c r="N2604" i="10"/>
  <c r="O2604" i="10"/>
  <c r="P2604" i="10"/>
  <c r="Q2604" i="10"/>
  <c r="R2604" i="10"/>
  <c r="K2604" i="10"/>
  <c r="L2603" i="10"/>
  <c r="M2603" i="10"/>
  <c r="N2603" i="10"/>
  <c r="O2603" i="10"/>
  <c r="P2603" i="10"/>
  <c r="Q2603" i="10"/>
  <c r="R2603" i="10"/>
  <c r="K2603" i="10"/>
  <c r="L2602" i="10"/>
  <c r="M2602" i="10"/>
  <c r="N2602" i="10"/>
  <c r="O2602" i="10"/>
  <c r="P2602" i="10"/>
  <c r="Q2602" i="10"/>
  <c r="R2602" i="10"/>
  <c r="K2602" i="10"/>
  <c r="L2601" i="10"/>
  <c r="M2601" i="10"/>
  <c r="N2601" i="10"/>
  <c r="O2601" i="10"/>
  <c r="P2601" i="10"/>
  <c r="Q2601" i="10"/>
  <c r="R2601" i="10"/>
  <c r="K2601" i="10"/>
  <c r="L2593" i="10"/>
  <c r="M2593" i="10"/>
  <c r="N2593" i="10"/>
  <c r="O2593" i="10"/>
  <c r="P2593" i="10"/>
  <c r="Q2593" i="10"/>
  <c r="R2593" i="10"/>
  <c r="K2593" i="10"/>
  <c r="L2592" i="10"/>
  <c r="M2592" i="10"/>
  <c r="N2592" i="10"/>
  <c r="O2592" i="10"/>
  <c r="P2592" i="10"/>
  <c r="Q2592" i="10"/>
  <c r="R2592" i="10"/>
  <c r="K2592" i="10"/>
  <c r="L2591" i="10"/>
  <c r="M2591" i="10"/>
  <c r="N2591" i="10"/>
  <c r="O2591" i="10"/>
  <c r="P2591" i="10"/>
  <c r="Q2591" i="10"/>
  <c r="R2591" i="10"/>
  <c r="K2591" i="10"/>
  <c r="L2590" i="10"/>
  <c r="M2590" i="10"/>
  <c r="N2590" i="10"/>
  <c r="O2590" i="10"/>
  <c r="P2590" i="10"/>
  <c r="Q2590" i="10"/>
  <c r="R2590" i="10"/>
  <c r="K2590" i="10"/>
  <c r="L2589" i="10"/>
  <c r="M2589" i="10"/>
  <c r="N2589" i="10"/>
  <c r="O2589" i="10"/>
  <c r="P2589" i="10"/>
  <c r="Q2589" i="10"/>
  <c r="R2589" i="10"/>
  <c r="K2589" i="10"/>
  <c r="L2588" i="10"/>
  <c r="M2588" i="10"/>
  <c r="N2588" i="10"/>
  <c r="O2588" i="10"/>
  <c r="P2588" i="10"/>
  <c r="Q2588" i="10"/>
  <c r="R2588" i="10"/>
  <c r="K2588" i="10"/>
  <c r="L2587" i="10"/>
  <c r="M2587" i="10"/>
  <c r="N2587" i="10"/>
  <c r="O2587" i="10"/>
  <c r="P2587" i="10"/>
  <c r="Q2587" i="10"/>
  <c r="R2587" i="10"/>
  <c r="K2587" i="10"/>
  <c r="L2586" i="10"/>
  <c r="M2586" i="10"/>
  <c r="N2586" i="10"/>
  <c r="O2586" i="10"/>
  <c r="P2586" i="10"/>
  <c r="Q2586" i="10"/>
  <c r="R2586" i="10"/>
  <c r="K2586" i="10"/>
  <c r="L2585" i="10"/>
  <c r="M2585" i="10"/>
  <c r="N2585" i="10"/>
  <c r="O2585" i="10"/>
  <c r="P2585" i="10"/>
  <c r="Q2585" i="10"/>
  <c r="R2585" i="10"/>
  <c r="K2585" i="10"/>
  <c r="L2598" i="10"/>
  <c r="M2598" i="10"/>
  <c r="N2598" i="10"/>
  <c r="O2598" i="10"/>
  <c r="P2598" i="10"/>
  <c r="Q2598" i="10"/>
  <c r="R2598" i="10"/>
  <c r="K2598" i="10"/>
  <c r="L2597" i="10"/>
  <c r="M2597" i="10"/>
  <c r="N2597" i="10"/>
  <c r="O2597" i="10"/>
  <c r="P2597" i="10"/>
  <c r="Q2597" i="10"/>
  <c r="R2597" i="10"/>
  <c r="K2597" i="10"/>
  <c r="L2571" i="10"/>
  <c r="M2571" i="10"/>
  <c r="N2571" i="10"/>
  <c r="O2571" i="10"/>
  <c r="P2571" i="10"/>
  <c r="Q2571" i="10"/>
  <c r="K2571" i="10"/>
  <c r="L2570" i="10"/>
  <c r="M2570" i="10"/>
  <c r="N2570" i="10"/>
  <c r="O2570" i="10"/>
  <c r="P2570" i="10"/>
  <c r="Q2570" i="10"/>
  <c r="K2570" i="10"/>
  <c r="L2569" i="10"/>
  <c r="M2569" i="10"/>
  <c r="N2569" i="10"/>
  <c r="O2569" i="10"/>
  <c r="P2569" i="10"/>
  <c r="Q2569" i="10"/>
  <c r="R2569" i="10"/>
  <c r="K2569" i="10"/>
  <c r="L2566" i="10"/>
  <c r="M2566" i="10"/>
  <c r="N2566" i="10"/>
  <c r="O2566" i="10"/>
  <c r="P2566" i="10"/>
  <c r="Q2566" i="10"/>
  <c r="R2566" i="10"/>
  <c r="K2566" i="10"/>
  <c r="L2565" i="10"/>
  <c r="M2565" i="10"/>
  <c r="N2565" i="10"/>
  <c r="O2565" i="10"/>
  <c r="P2565" i="10"/>
  <c r="Q2565" i="10"/>
  <c r="R2565" i="10"/>
  <c r="K2565" i="10"/>
  <c r="L2564" i="10"/>
  <c r="M2564" i="10"/>
  <c r="N2564" i="10"/>
  <c r="O2564" i="10"/>
  <c r="P2564" i="10"/>
  <c r="Q2564" i="10"/>
  <c r="R2564" i="10"/>
  <c r="K2564" i="10"/>
  <c r="L2561" i="10"/>
  <c r="M2561" i="10"/>
  <c r="N2561" i="10"/>
  <c r="O2561" i="10"/>
  <c r="P2561" i="10"/>
  <c r="Q2561" i="10"/>
  <c r="R2561" i="10"/>
  <c r="L2560" i="10"/>
  <c r="M2560" i="10"/>
  <c r="N2560" i="10"/>
  <c r="O2560" i="10"/>
  <c r="P2560" i="10"/>
  <c r="Q2560" i="10"/>
  <c r="R2560" i="10"/>
  <c r="K2561" i="10"/>
  <c r="K2560" i="10"/>
  <c r="L2558" i="10"/>
  <c r="M2558" i="10"/>
  <c r="N2558" i="10"/>
  <c r="O2558" i="10"/>
  <c r="P2558" i="10"/>
  <c r="Q2558" i="10"/>
  <c r="R2558" i="10"/>
  <c r="L2557" i="10"/>
  <c r="M2557" i="10"/>
  <c r="N2557" i="10"/>
  <c r="O2557" i="10"/>
  <c r="P2557" i="10"/>
  <c r="Q2557" i="10"/>
  <c r="R2557" i="10"/>
  <c r="K2558" i="10"/>
  <c r="K2557" i="10"/>
  <c r="L2555" i="10"/>
  <c r="M2555" i="10"/>
  <c r="N2555" i="10"/>
  <c r="O2555" i="10"/>
  <c r="P2555" i="10"/>
  <c r="Q2555" i="10"/>
  <c r="R2555" i="10"/>
  <c r="L2554" i="10"/>
  <c r="M2554" i="10"/>
  <c r="N2554" i="10"/>
  <c r="O2554" i="10"/>
  <c r="P2554" i="10"/>
  <c r="Q2554" i="10"/>
  <c r="R2554" i="10"/>
  <c r="K2555" i="10"/>
  <c r="K2554" i="10"/>
  <c r="L2550" i="10"/>
  <c r="M2550" i="10"/>
  <c r="N2550" i="10"/>
  <c r="O2550" i="10"/>
  <c r="P2550" i="10"/>
  <c r="Q2550" i="10"/>
  <c r="R2550" i="10"/>
  <c r="K2550" i="10"/>
  <c r="L2549" i="10"/>
  <c r="M2549" i="10"/>
  <c r="N2549" i="10"/>
  <c r="O2549" i="10"/>
  <c r="P2549" i="10"/>
  <c r="Q2549" i="10"/>
  <c r="R2549" i="10"/>
  <c r="K2549" i="10"/>
  <c r="L2582" i="10"/>
  <c r="M2582" i="10"/>
  <c r="N2582" i="10"/>
  <c r="O2582" i="10"/>
  <c r="P2582" i="10"/>
  <c r="Q2582" i="10"/>
  <c r="R2582" i="10"/>
  <c r="K2582" i="10"/>
  <c r="L2581" i="10"/>
  <c r="M2581" i="10"/>
  <c r="N2581" i="10"/>
  <c r="O2581" i="10"/>
  <c r="P2581" i="10"/>
  <c r="Q2581" i="10"/>
  <c r="R2581" i="10"/>
  <c r="K2581" i="10"/>
  <c r="L2580" i="10"/>
  <c r="M2580" i="10"/>
  <c r="N2580" i="10"/>
  <c r="O2580" i="10"/>
  <c r="P2580" i="10"/>
  <c r="Q2580" i="10"/>
  <c r="R2580" i="10"/>
  <c r="K2580" i="10"/>
  <c r="L2579" i="10"/>
  <c r="M2579" i="10"/>
  <c r="N2579" i="10"/>
  <c r="O2579" i="10"/>
  <c r="P2579" i="10"/>
  <c r="Q2579" i="10"/>
  <c r="R2579" i="10"/>
  <c r="K2579" i="10"/>
  <c r="L2578" i="10"/>
  <c r="M2578" i="10"/>
  <c r="N2578" i="10"/>
  <c r="O2578" i="10"/>
  <c r="P2578" i="10"/>
  <c r="Q2578" i="10"/>
  <c r="R2578" i="10"/>
  <c r="K2578" i="10"/>
  <c r="L2577" i="10"/>
  <c r="M2577" i="10"/>
  <c r="N2577" i="10"/>
  <c r="O2577" i="10"/>
  <c r="P2577" i="10"/>
  <c r="Q2577" i="10"/>
  <c r="R2577" i="10"/>
  <c r="K2577" i="10"/>
  <c r="L2576" i="10"/>
  <c r="M2576" i="10"/>
  <c r="N2576" i="10"/>
  <c r="O2576" i="10"/>
  <c r="P2576" i="10"/>
  <c r="Q2576" i="10"/>
  <c r="R2576" i="10"/>
  <c r="K2576" i="10"/>
  <c r="L2575" i="10"/>
  <c r="M2575" i="10"/>
  <c r="N2575" i="10"/>
  <c r="O2575" i="10"/>
  <c r="P2575" i="10"/>
  <c r="Q2575" i="10"/>
  <c r="R2575" i="10"/>
  <c r="K2575" i="10"/>
  <c r="L2574" i="10"/>
  <c r="M2574" i="10"/>
  <c r="N2574" i="10"/>
  <c r="O2574" i="10"/>
  <c r="P2574" i="10"/>
  <c r="Q2574" i="10"/>
  <c r="R2574" i="10"/>
  <c r="K2574" i="10"/>
  <c r="L2540" i="10"/>
  <c r="M2540" i="10"/>
  <c r="N2540" i="10"/>
  <c r="O2540" i="10"/>
  <c r="P2540" i="10"/>
  <c r="Q2540" i="10"/>
  <c r="R2540" i="10"/>
  <c r="K2540" i="10"/>
  <c r="L2539" i="10"/>
  <c r="M2539" i="10"/>
  <c r="N2539" i="10"/>
  <c r="O2539" i="10"/>
  <c r="P2539" i="10"/>
  <c r="Q2539" i="10"/>
  <c r="R2539" i="10"/>
  <c r="K2539" i="10"/>
  <c r="I821" i="22"/>
  <c r="J388" i="22"/>
  <c r="J2304" i="10" s="1"/>
  <c r="J90" i="22"/>
  <c r="I90" i="22"/>
  <c r="H90" i="22"/>
  <c r="G90" i="22"/>
  <c r="F90" i="22"/>
  <c r="E90" i="22"/>
  <c r="J88" i="22"/>
  <c r="I88" i="22"/>
  <c r="H88" i="22"/>
  <c r="G88" i="22"/>
  <c r="F88" i="22"/>
  <c r="E88" i="22"/>
  <c r="J87" i="22"/>
  <c r="I87" i="22"/>
  <c r="H87" i="22"/>
  <c r="G87" i="22"/>
  <c r="F87" i="22"/>
  <c r="E87" i="22"/>
  <c r="J86" i="22"/>
  <c r="I86" i="22"/>
  <c r="H86" i="22"/>
  <c r="G86" i="22"/>
  <c r="F86" i="22"/>
  <c r="E86" i="22"/>
  <c r="J85" i="22"/>
  <c r="I85" i="22"/>
  <c r="H85" i="22"/>
  <c r="G85" i="22"/>
  <c r="F85" i="22"/>
  <c r="E85" i="22"/>
  <c r="J84" i="22"/>
  <c r="I84" i="22"/>
  <c r="H84" i="22"/>
  <c r="G84" i="22"/>
  <c r="F84" i="22"/>
  <c r="E84" i="22"/>
  <c r="J83" i="22"/>
  <c r="I83" i="22"/>
  <c r="H83" i="22"/>
  <c r="G83" i="22"/>
  <c r="F83" i="22"/>
  <c r="E83" i="22"/>
  <c r="J82" i="22"/>
  <c r="I82" i="22"/>
  <c r="H82" i="22"/>
  <c r="G82" i="22"/>
  <c r="F82" i="22"/>
  <c r="E82" i="22"/>
  <c r="J81" i="22"/>
  <c r="I81" i="22"/>
  <c r="H81" i="22"/>
  <c r="G81" i="22"/>
  <c r="F81" i="22"/>
  <c r="E81" i="22"/>
  <c r="J80" i="22"/>
  <c r="I80" i="22"/>
  <c r="H80" i="22"/>
  <c r="G80" i="22"/>
  <c r="F80" i="22"/>
  <c r="E80" i="22"/>
  <c r="J78" i="22"/>
  <c r="I78" i="22"/>
  <c r="H78" i="22"/>
  <c r="G78" i="22"/>
  <c r="F78" i="22"/>
  <c r="E78" i="22"/>
  <c r="J76" i="22"/>
  <c r="I76" i="22"/>
  <c r="H76" i="22"/>
  <c r="G76" i="22"/>
  <c r="F76" i="22"/>
  <c r="E76" i="22"/>
  <c r="J75" i="22"/>
  <c r="I75" i="22"/>
  <c r="H75" i="22"/>
  <c r="G75" i="22"/>
  <c r="F75" i="22"/>
  <c r="E75" i="22"/>
  <c r="J74" i="22"/>
  <c r="I74" i="22"/>
  <c r="H74" i="22"/>
  <c r="G74" i="22"/>
  <c r="F74" i="22"/>
  <c r="E74" i="22"/>
  <c r="J73" i="22"/>
  <c r="I73" i="22"/>
  <c r="H73" i="22"/>
  <c r="G73" i="22"/>
  <c r="F73" i="22"/>
  <c r="E73" i="22"/>
  <c r="J72" i="22"/>
  <c r="I72" i="22"/>
  <c r="H72" i="22"/>
  <c r="G72" i="22"/>
  <c r="F72" i="22"/>
  <c r="E72" i="22"/>
  <c r="J71" i="22"/>
  <c r="I71" i="22"/>
  <c r="H71" i="22"/>
  <c r="G71" i="22"/>
  <c r="F71" i="22"/>
  <c r="E71" i="22"/>
  <c r="J69" i="22"/>
  <c r="I69" i="22"/>
  <c r="H69" i="22"/>
  <c r="G69" i="22"/>
  <c r="F69" i="22"/>
  <c r="E69" i="22"/>
  <c r="J67" i="22"/>
  <c r="I67" i="22"/>
  <c r="H67" i="22"/>
  <c r="G67" i="22"/>
  <c r="F67" i="22"/>
  <c r="E67" i="22"/>
  <c r="J59" i="22"/>
  <c r="I59" i="22"/>
  <c r="H59" i="22"/>
  <c r="G59" i="22"/>
  <c r="F59" i="22"/>
  <c r="E59" i="22"/>
  <c r="J58" i="22"/>
  <c r="J155" i="10" s="1"/>
  <c r="I58" i="22"/>
  <c r="I155" i="10" s="1"/>
  <c r="H58" i="22"/>
  <c r="H155" i="10" s="1"/>
  <c r="G58" i="22"/>
  <c r="G155" i="10" s="1"/>
  <c r="F58" i="22"/>
  <c r="F155" i="10" s="1"/>
  <c r="E58" i="22"/>
  <c r="E155" i="10" s="1"/>
  <c r="J57" i="22"/>
  <c r="I57" i="22"/>
  <c r="H57" i="22"/>
  <c r="G57" i="22"/>
  <c r="F57" i="22"/>
  <c r="E57" i="22"/>
  <c r="J56" i="22"/>
  <c r="I56" i="22"/>
  <c r="H56" i="22"/>
  <c r="G56" i="22"/>
  <c r="F56" i="22"/>
  <c r="F55" i="22" s="1"/>
  <c r="E56" i="22"/>
  <c r="J53" i="22"/>
  <c r="J52" i="22" s="1"/>
  <c r="I53" i="22"/>
  <c r="I52" i="22" s="1"/>
  <c r="H53" i="22"/>
  <c r="H52" i="22" s="1"/>
  <c r="G53" i="22"/>
  <c r="G52" i="22" s="1"/>
  <c r="F53" i="22"/>
  <c r="F52" i="22" s="1"/>
  <c r="E53" i="22"/>
  <c r="E52" i="22" s="1"/>
  <c r="J38" i="22"/>
  <c r="I38" i="22"/>
  <c r="H38" i="22"/>
  <c r="G38" i="22"/>
  <c r="F38" i="22"/>
  <c r="E38" i="22"/>
  <c r="J37" i="22"/>
  <c r="I37" i="22"/>
  <c r="H37" i="22"/>
  <c r="G37" i="22"/>
  <c r="F37" i="22"/>
  <c r="E37" i="22"/>
  <c r="J36" i="22"/>
  <c r="I36" i="22"/>
  <c r="H36" i="22"/>
  <c r="G36" i="22"/>
  <c r="F36" i="22"/>
  <c r="E36" i="22"/>
  <c r="J34" i="22"/>
  <c r="I34" i="22"/>
  <c r="H34" i="22"/>
  <c r="G34" i="22"/>
  <c r="F34" i="22"/>
  <c r="E34" i="22"/>
  <c r="J33" i="22"/>
  <c r="J85" i="10" s="1"/>
  <c r="I33" i="22"/>
  <c r="I85" i="10" s="1"/>
  <c r="H33" i="22"/>
  <c r="H85" i="10" s="1"/>
  <c r="G33" i="22"/>
  <c r="G85" i="10" s="1"/>
  <c r="F33" i="22"/>
  <c r="F85" i="10" s="1"/>
  <c r="E33" i="22"/>
  <c r="E85" i="10" s="1"/>
  <c r="F19" i="22"/>
  <c r="F14" i="10" s="1"/>
  <c r="F38" i="10" s="1"/>
  <c r="E19" i="22"/>
  <c r="E14" i="10" s="1"/>
  <c r="E38" i="10" s="1"/>
  <c r="J8" i="22"/>
  <c r="I8" i="22"/>
  <c r="H8" i="22"/>
  <c r="G8" i="22"/>
  <c r="F8" i="22"/>
  <c r="E8" i="22"/>
  <c r="J7" i="22"/>
  <c r="J13" i="10" s="1"/>
  <c r="J15" i="10" s="1"/>
  <c r="I7" i="22"/>
  <c r="I13" i="10" s="1"/>
  <c r="I15" i="10" s="1"/>
  <c r="H7" i="22"/>
  <c r="H13" i="10" s="1"/>
  <c r="H15" i="10" s="1"/>
  <c r="G7" i="22"/>
  <c r="G13" i="10" s="1"/>
  <c r="G15" i="10" s="1"/>
  <c r="F7" i="22"/>
  <c r="F13" i="10" s="1"/>
  <c r="F15" i="10" s="1"/>
  <c r="E7" i="22"/>
  <c r="E13" i="10" s="1"/>
  <c r="J55" i="22" l="1"/>
  <c r="I273" i="10"/>
  <c r="Q3460" i="10"/>
  <c r="H273" i="10"/>
  <c r="P3460" i="10"/>
  <c r="J273" i="10"/>
  <c r="R3460" i="10"/>
  <c r="F273" i="10"/>
  <c r="N3460" i="10"/>
  <c r="G273" i="10"/>
  <c r="O3460" i="10"/>
  <c r="E15" i="10"/>
  <c r="N155" i="10"/>
  <c r="R155" i="10"/>
  <c r="Q155" i="10"/>
  <c r="O155" i="10"/>
  <c r="G107" i="10"/>
  <c r="O85" i="10"/>
  <c r="F107" i="10"/>
  <c r="N85" i="10"/>
  <c r="J107" i="10"/>
  <c r="R85" i="10"/>
  <c r="H107" i="10"/>
  <c r="P85" i="10"/>
  <c r="M85" i="10"/>
  <c r="Q85" i="10"/>
  <c r="I107" i="10"/>
  <c r="P155" i="10"/>
  <c r="G55" i="22"/>
  <c r="G51" i="22" s="1"/>
  <c r="G132" i="10" s="1"/>
  <c r="O132" i="10" s="1"/>
  <c r="H37" i="10"/>
  <c r="H39" i="10" s="1"/>
  <c r="J37" i="10"/>
  <c r="J39" i="10" s="1"/>
  <c r="G37" i="10"/>
  <c r="G39" i="10" s="1"/>
  <c r="E37" i="10"/>
  <c r="E39" i="10" s="1"/>
  <c r="I37" i="10"/>
  <c r="I39" i="10" s="1"/>
  <c r="F37" i="10"/>
  <c r="F39" i="10" s="1"/>
  <c r="J51" i="22"/>
  <c r="J132" i="10" s="1"/>
  <c r="R132" i="10" s="1"/>
  <c r="H55" i="22"/>
  <c r="H51" i="22" s="1"/>
  <c r="H132" i="10" s="1"/>
  <c r="P132" i="10" s="1"/>
  <c r="F51" i="22"/>
  <c r="F132" i="10" s="1"/>
  <c r="N132" i="10" s="1"/>
  <c r="E55" i="22"/>
  <c r="E51" i="22" s="1"/>
  <c r="E132" i="10" s="1"/>
  <c r="I55" i="22"/>
  <c r="I51" i="22" s="1"/>
  <c r="I132" i="10" s="1"/>
  <c r="Q132" i="10" s="1"/>
  <c r="E273" i="10" l="1"/>
  <c r="M3460" i="10"/>
  <c r="M132" i="10"/>
  <c r="E107" i="10"/>
  <c r="M155" i="10"/>
  <c r="L2529" i="10"/>
  <c r="M2529" i="10"/>
  <c r="N2529" i="10"/>
  <c r="O2529" i="10"/>
  <c r="P2529" i="10"/>
  <c r="Q2529" i="10"/>
  <c r="R2529" i="10"/>
  <c r="K2529" i="10"/>
  <c r="L2528" i="10"/>
  <c r="M2528" i="10"/>
  <c r="N2528" i="10"/>
  <c r="O2528" i="10"/>
  <c r="P2528" i="10"/>
  <c r="Q2528" i="10"/>
  <c r="R2528" i="10"/>
  <c r="K2528" i="10"/>
  <c r="L2527" i="10"/>
  <c r="M2527" i="10"/>
  <c r="N2527" i="10"/>
  <c r="O2527" i="10"/>
  <c r="P2527" i="10"/>
  <c r="Q2527" i="10"/>
  <c r="R2527" i="10"/>
  <c r="K2527" i="10"/>
  <c r="L2526" i="10"/>
  <c r="M2526" i="10"/>
  <c r="N2526" i="10"/>
  <c r="O2526" i="10"/>
  <c r="P2526" i="10"/>
  <c r="Q2526" i="10"/>
  <c r="R2526" i="10"/>
  <c r="K2526" i="10"/>
  <c r="L2522" i="10"/>
  <c r="M2522" i="10"/>
  <c r="N2522" i="10"/>
  <c r="O2522" i="10"/>
  <c r="P2522" i="10"/>
  <c r="Q2522" i="10"/>
  <c r="R2522" i="10"/>
  <c r="K2522" i="10"/>
  <c r="L2521" i="10"/>
  <c r="M2521" i="10"/>
  <c r="N2521" i="10"/>
  <c r="O2521" i="10"/>
  <c r="P2521" i="10"/>
  <c r="Q2521" i="10"/>
  <c r="R2521" i="10"/>
  <c r="K2521" i="10"/>
  <c r="L2518" i="10"/>
  <c r="M2518" i="10"/>
  <c r="N2518" i="10"/>
  <c r="O2518" i="10"/>
  <c r="P2518" i="10"/>
  <c r="Q2518" i="10"/>
  <c r="R2518" i="10"/>
  <c r="K2518" i="10"/>
  <c r="L2517" i="10"/>
  <c r="M2517" i="10"/>
  <c r="N2517" i="10"/>
  <c r="O2517" i="10"/>
  <c r="P2517" i="10"/>
  <c r="Q2517" i="10"/>
  <c r="R2517" i="10"/>
  <c r="K2517" i="10"/>
  <c r="L2516" i="10"/>
  <c r="M2516" i="10"/>
  <c r="N2516" i="10"/>
  <c r="O2516" i="10"/>
  <c r="P2516" i="10"/>
  <c r="Q2516" i="10"/>
  <c r="R2516" i="10"/>
  <c r="K2516" i="10"/>
  <c r="L2515" i="10"/>
  <c r="M2515" i="10"/>
  <c r="N2515" i="10"/>
  <c r="O2515" i="10"/>
  <c r="P2515" i="10"/>
  <c r="Q2515" i="10"/>
  <c r="R2515" i="10"/>
  <c r="K2515" i="10"/>
  <c r="L2514" i="10"/>
  <c r="M2514" i="10"/>
  <c r="N2514" i="10"/>
  <c r="O2514" i="10"/>
  <c r="P2514" i="10"/>
  <c r="Q2514" i="10"/>
  <c r="R2514" i="10"/>
  <c r="K2514" i="10"/>
  <c r="R2513" i="10"/>
  <c r="K2513" i="10"/>
  <c r="L2510" i="10"/>
  <c r="M2510" i="10"/>
  <c r="N2510" i="10"/>
  <c r="O2510" i="10"/>
  <c r="P2510" i="10"/>
  <c r="Q2510" i="10"/>
  <c r="R2510" i="10"/>
  <c r="K2510" i="10"/>
  <c r="L2509" i="10"/>
  <c r="M2509" i="10"/>
  <c r="N2509" i="10"/>
  <c r="O2509" i="10"/>
  <c r="P2509" i="10"/>
  <c r="Q2509" i="10"/>
  <c r="R2509" i="10"/>
  <c r="K2509" i="10"/>
  <c r="L2508" i="10"/>
  <c r="M2508" i="10"/>
  <c r="N2508" i="10"/>
  <c r="O2508" i="10"/>
  <c r="P2508" i="10"/>
  <c r="Q2508" i="10"/>
  <c r="R2508" i="10"/>
  <c r="K2508" i="10"/>
  <c r="L2507" i="10"/>
  <c r="M2507" i="10"/>
  <c r="N2507" i="10"/>
  <c r="O2507" i="10"/>
  <c r="P2507" i="10"/>
  <c r="Q2507" i="10"/>
  <c r="R2507" i="10"/>
  <c r="K2507" i="10"/>
  <c r="L2506" i="10"/>
  <c r="M2506" i="10"/>
  <c r="N2506" i="10"/>
  <c r="O2506" i="10"/>
  <c r="P2506" i="10"/>
  <c r="Q2506" i="10"/>
  <c r="R2506" i="10"/>
  <c r="K2506" i="10"/>
  <c r="L2505" i="10"/>
  <c r="M2505" i="10"/>
  <c r="N2505" i="10"/>
  <c r="O2505" i="10"/>
  <c r="P2505" i="10"/>
  <c r="Q2505" i="10"/>
  <c r="R2505" i="10"/>
  <c r="K2505" i="10"/>
  <c r="L2498" i="10"/>
  <c r="M2498" i="10"/>
  <c r="N2498" i="10"/>
  <c r="O2498" i="10"/>
  <c r="P2498" i="10"/>
  <c r="Q2498" i="10"/>
  <c r="R2498" i="10"/>
  <c r="K2498" i="10"/>
  <c r="L2497" i="10"/>
  <c r="M2497" i="10"/>
  <c r="N2497" i="10"/>
  <c r="O2497" i="10"/>
  <c r="P2497" i="10"/>
  <c r="Q2497" i="10"/>
  <c r="R2497" i="10"/>
  <c r="K2497" i="10"/>
  <c r="L2496" i="10"/>
  <c r="M2496" i="10"/>
  <c r="N2496" i="10"/>
  <c r="O2496" i="10"/>
  <c r="P2496" i="10"/>
  <c r="Q2496" i="10"/>
  <c r="R2496" i="10"/>
  <c r="K2496" i="10"/>
  <c r="L2495" i="10"/>
  <c r="M2495" i="10"/>
  <c r="N2495" i="10"/>
  <c r="O2495" i="10"/>
  <c r="P2495" i="10"/>
  <c r="Q2495" i="10"/>
  <c r="R2495" i="10"/>
  <c r="K2495" i="10"/>
  <c r="L2494" i="10"/>
  <c r="M2494" i="10"/>
  <c r="N2494" i="10"/>
  <c r="O2494" i="10"/>
  <c r="P2494" i="10"/>
  <c r="Q2494" i="10"/>
  <c r="R2494" i="10"/>
  <c r="K2494" i="10"/>
  <c r="L2493" i="10"/>
  <c r="M2493" i="10"/>
  <c r="N2493" i="10"/>
  <c r="O2493" i="10"/>
  <c r="P2493" i="10"/>
  <c r="Q2493" i="10"/>
  <c r="R2493" i="10"/>
  <c r="K2493" i="10"/>
  <c r="L2492" i="10"/>
  <c r="M2492" i="10"/>
  <c r="N2492" i="10"/>
  <c r="O2492" i="10"/>
  <c r="P2492" i="10"/>
  <c r="Q2492" i="10"/>
  <c r="R2492" i="10"/>
  <c r="K2492" i="10"/>
  <c r="L2491" i="10"/>
  <c r="M2491" i="10"/>
  <c r="N2491" i="10"/>
  <c r="O2491" i="10"/>
  <c r="P2491" i="10"/>
  <c r="Q2491" i="10"/>
  <c r="R2491" i="10"/>
  <c r="K2491" i="10"/>
  <c r="K2490" i="10" l="1"/>
  <c r="L2490" i="10"/>
  <c r="M2490" i="10"/>
  <c r="N2490" i="10"/>
  <c r="O2490" i="10"/>
  <c r="P2490" i="10"/>
  <c r="Q2490" i="10"/>
  <c r="R2490" i="10"/>
  <c r="K2489" i="10"/>
  <c r="L2489" i="10"/>
  <c r="M2489" i="10"/>
  <c r="N2489" i="10"/>
  <c r="O2489" i="10"/>
  <c r="P2489" i="10"/>
  <c r="Q2489" i="10"/>
  <c r="R2489" i="10"/>
  <c r="L2488" i="10"/>
  <c r="M2488" i="10"/>
  <c r="N2488" i="10"/>
  <c r="O2488" i="10"/>
  <c r="P2488" i="10"/>
  <c r="Q2488" i="10"/>
  <c r="R2488" i="10"/>
  <c r="K2488" i="10"/>
  <c r="C2773" i="10" l="1"/>
  <c r="D2773" i="10"/>
  <c r="E2773" i="10"/>
  <c r="F2773" i="10"/>
  <c r="G2773" i="10"/>
  <c r="H2773" i="10"/>
  <c r="I2773" i="10"/>
  <c r="C2770" i="10"/>
  <c r="D2770" i="10"/>
  <c r="E2770" i="10"/>
  <c r="F2770" i="10"/>
  <c r="G2770" i="10"/>
  <c r="H2770" i="10"/>
  <c r="I2770" i="10"/>
  <c r="J2770" i="10"/>
  <c r="C2767" i="10"/>
  <c r="D2767" i="10"/>
  <c r="E2767" i="10"/>
  <c r="F2767" i="10"/>
  <c r="G2767" i="10"/>
  <c r="H2767" i="10"/>
  <c r="I2767" i="10"/>
  <c r="J2767" i="10"/>
  <c r="C2756" i="10"/>
  <c r="D2756" i="10"/>
  <c r="E2756" i="10"/>
  <c r="F2756" i="10"/>
  <c r="G2756" i="10"/>
  <c r="H2756" i="10"/>
  <c r="I2756" i="10"/>
  <c r="C2754" i="10"/>
  <c r="D2754" i="10"/>
  <c r="E2754" i="10"/>
  <c r="F2754" i="10"/>
  <c r="G2754" i="10"/>
  <c r="H2754" i="10"/>
  <c r="I2754" i="10"/>
  <c r="C2753" i="10"/>
  <c r="D2753" i="10"/>
  <c r="E2753" i="10"/>
  <c r="F2753" i="10"/>
  <c r="G2753" i="10"/>
  <c r="H2753" i="10"/>
  <c r="I2753" i="10"/>
  <c r="J2753" i="10"/>
  <c r="C2755" i="10"/>
  <c r="D2755" i="10"/>
  <c r="E2755" i="10"/>
  <c r="F2755" i="10"/>
  <c r="G2755" i="10"/>
  <c r="H2755" i="10"/>
  <c r="I2755" i="10"/>
  <c r="C2757" i="10"/>
  <c r="D2757" i="10"/>
  <c r="E2757" i="10"/>
  <c r="F2757" i="10"/>
  <c r="G2757" i="10"/>
  <c r="H2757" i="10"/>
  <c r="I2757" i="10"/>
  <c r="J2754" i="10" l="1"/>
  <c r="J2755" i="10"/>
  <c r="J2756" i="10"/>
  <c r="J2757" i="10"/>
  <c r="D2766" i="10"/>
  <c r="E2766" i="10"/>
  <c r="F2766" i="10"/>
  <c r="G2766" i="10"/>
  <c r="H2766" i="10"/>
  <c r="I2766" i="10"/>
  <c r="J2766" i="10"/>
  <c r="C2766" i="10"/>
  <c r="D2763" i="10"/>
  <c r="E2763" i="10"/>
  <c r="F2763" i="10"/>
  <c r="G2763" i="10"/>
  <c r="H2763" i="10"/>
  <c r="I2763" i="10"/>
  <c r="J2763" i="10"/>
  <c r="C2763" i="10"/>
  <c r="C2744" i="10"/>
  <c r="D2744" i="10"/>
  <c r="E2744" i="10"/>
  <c r="F2744" i="10"/>
  <c r="G2744" i="10"/>
  <c r="H2744" i="10"/>
  <c r="I2744" i="10"/>
  <c r="J2744" i="10"/>
  <c r="C2743" i="10"/>
  <c r="D2743" i="10"/>
  <c r="E2743" i="10"/>
  <c r="F2743" i="10"/>
  <c r="G2743" i="10"/>
  <c r="H2743" i="10"/>
  <c r="I2743" i="10"/>
  <c r="J2743" i="10"/>
  <c r="C2740" i="10"/>
  <c r="D2740" i="10"/>
  <c r="E2740" i="10"/>
  <c r="F2740" i="10"/>
  <c r="G2740" i="10"/>
  <c r="H2740" i="10"/>
  <c r="I2740" i="10"/>
  <c r="J2740" i="10"/>
  <c r="C2737" i="10"/>
  <c r="D2737" i="10"/>
  <c r="E2737" i="10"/>
  <c r="F2737" i="10"/>
  <c r="G2737" i="10"/>
  <c r="H2737" i="10"/>
  <c r="I2737" i="10"/>
  <c r="J2737" i="10"/>
  <c r="C2736" i="10"/>
  <c r="D2736" i="10"/>
  <c r="E2736" i="10"/>
  <c r="F2736" i="10"/>
  <c r="G2736" i="10"/>
  <c r="H2736" i="10"/>
  <c r="I2736" i="10"/>
  <c r="J2736" i="10"/>
  <c r="R2736" i="10" l="1"/>
  <c r="C2730" i="10"/>
  <c r="D2730" i="10"/>
  <c r="E2730" i="10"/>
  <c r="F2730" i="10"/>
  <c r="G2730" i="10"/>
  <c r="H2730" i="10"/>
  <c r="I2730" i="10"/>
  <c r="J2730" i="10"/>
  <c r="C2727" i="10"/>
  <c r="D2727" i="10"/>
  <c r="E2727" i="10"/>
  <c r="F2727" i="10"/>
  <c r="G2727" i="10"/>
  <c r="H2727" i="10"/>
  <c r="I2727" i="10"/>
  <c r="J2727" i="10"/>
  <c r="C2726" i="10"/>
  <c r="D2726" i="10"/>
  <c r="E2726" i="10"/>
  <c r="F2726" i="10"/>
  <c r="G2726" i="10"/>
  <c r="H2726" i="10"/>
  <c r="I2726" i="10"/>
  <c r="J2726" i="10"/>
  <c r="C2723" i="10"/>
  <c r="D2723" i="10"/>
  <c r="E2723" i="10"/>
  <c r="F2723" i="10"/>
  <c r="G2723" i="10"/>
  <c r="H2723" i="10"/>
  <c r="I2723" i="10"/>
  <c r="J2723" i="10"/>
  <c r="C2721" i="10"/>
  <c r="D2721" i="10"/>
  <c r="E2721" i="10"/>
  <c r="F2721" i="10"/>
  <c r="G2721" i="10"/>
  <c r="H2721" i="10"/>
  <c r="I2721" i="10"/>
  <c r="J2721" i="10"/>
  <c r="C2722" i="10"/>
  <c r="D2722" i="10"/>
  <c r="E2722" i="10"/>
  <c r="F2722" i="10"/>
  <c r="G2722" i="10"/>
  <c r="H2722" i="10"/>
  <c r="I2722" i="10"/>
  <c r="J2722" i="10"/>
  <c r="C2718" i="10"/>
  <c r="D2718" i="10"/>
  <c r="E2718" i="10"/>
  <c r="F2718" i="10"/>
  <c r="G2718" i="10"/>
  <c r="H2718" i="10"/>
  <c r="I2718" i="10"/>
  <c r="C2709" i="10"/>
  <c r="D2709" i="10"/>
  <c r="E2709" i="10"/>
  <c r="F2709" i="10"/>
  <c r="G2709" i="10"/>
  <c r="H2709" i="10"/>
  <c r="I2709" i="10"/>
  <c r="J2709" i="10"/>
  <c r="C2706" i="10"/>
  <c r="D2706" i="10"/>
  <c r="E2706" i="10"/>
  <c r="F2706" i="10"/>
  <c r="G2706" i="10"/>
  <c r="H2706" i="10"/>
  <c r="I2706" i="10"/>
  <c r="J2706" i="10"/>
  <c r="C2705" i="10"/>
  <c r="D2705" i="10"/>
  <c r="E2705" i="10"/>
  <c r="F2705" i="10"/>
  <c r="G2705" i="10"/>
  <c r="H2705" i="10"/>
  <c r="I2705" i="10"/>
  <c r="J2705" i="10"/>
  <c r="C2704" i="10"/>
  <c r="D2704" i="10"/>
  <c r="E2704" i="10"/>
  <c r="F2704" i="10"/>
  <c r="G2704" i="10"/>
  <c r="H2704" i="10"/>
  <c r="I2704" i="10"/>
  <c r="J2704" i="10"/>
  <c r="C2701" i="10"/>
  <c r="D2701" i="10"/>
  <c r="E2701" i="10"/>
  <c r="F2701" i="10"/>
  <c r="G2701" i="10"/>
  <c r="H2701" i="10"/>
  <c r="I2701" i="10"/>
  <c r="J2701" i="10"/>
  <c r="C2698" i="10"/>
  <c r="D2698" i="10"/>
  <c r="E2698" i="10"/>
  <c r="F2698" i="10"/>
  <c r="G2698" i="10"/>
  <c r="H2698" i="10"/>
  <c r="I2698" i="10"/>
  <c r="C2697" i="10"/>
  <c r="D2697" i="10"/>
  <c r="E2697" i="10"/>
  <c r="F2697" i="10"/>
  <c r="G2697" i="10"/>
  <c r="H2697" i="10"/>
  <c r="I2697" i="10"/>
  <c r="J2698" i="10"/>
  <c r="J2697" i="10"/>
  <c r="C2694" i="10"/>
  <c r="D2694" i="10"/>
  <c r="E2694" i="10"/>
  <c r="F2694" i="10"/>
  <c r="G2694" i="10"/>
  <c r="H2694" i="10"/>
  <c r="I2694" i="10"/>
  <c r="L2744" i="10"/>
  <c r="M2744" i="10"/>
  <c r="N2744" i="10"/>
  <c r="O2744" i="10"/>
  <c r="P2744" i="10"/>
  <c r="Q2744" i="10"/>
  <c r="R2744" i="10"/>
  <c r="M2743" i="10"/>
  <c r="N2743" i="10"/>
  <c r="O2743" i="10"/>
  <c r="P2743" i="10"/>
  <c r="Q2743" i="10"/>
  <c r="R2743" i="10"/>
  <c r="L2743" i="10"/>
  <c r="M2740" i="10"/>
  <c r="N2740" i="10"/>
  <c r="O2740" i="10"/>
  <c r="P2740" i="10"/>
  <c r="Q2740" i="10"/>
  <c r="R2740" i="10"/>
  <c r="L2740" i="10"/>
  <c r="L2737" i="10"/>
  <c r="M2737" i="10"/>
  <c r="N2737" i="10"/>
  <c r="O2737" i="10"/>
  <c r="P2737" i="10"/>
  <c r="Q2737" i="10"/>
  <c r="R2737" i="10"/>
  <c r="M2736" i="10"/>
  <c r="N2736" i="10"/>
  <c r="O2736" i="10"/>
  <c r="P2736" i="10"/>
  <c r="Q2736" i="10"/>
  <c r="L2736" i="10"/>
  <c r="C2684" i="10"/>
  <c r="D2684" i="10"/>
  <c r="E2684" i="10"/>
  <c r="F2684" i="10"/>
  <c r="G2684" i="10"/>
  <c r="H2684" i="10"/>
  <c r="I2684" i="10"/>
  <c r="J2684" i="10"/>
  <c r="C2688" i="10"/>
  <c r="D2688" i="10"/>
  <c r="E2688" i="10"/>
  <c r="F2688" i="10"/>
  <c r="G2688" i="10"/>
  <c r="H2688" i="10"/>
  <c r="I2688" i="10"/>
  <c r="J2688" i="10"/>
  <c r="C2687" i="10"/>
  <c r="D2687" i="10"/>
  <c r="E2687" i="10"/>
  <c r="F2687" i="10"/>
  <c r="G2687" i="10"/>
  <c r="H2687" i="10"/>
  <c r="I2687" i="10"/>
  <c r="J2687" i="10"/>
  <c r="C2686" i="10"/>
  <c r="D2686" i="10"/>
  <c r="E2686" i="10"/>
  <c r="F2686" i="10"/>
  <c r="G2686" i="10"/>
  <c r="H2686" i="10"/>
  <c r="I2686" i="10"/>
  <c r="J2686" i="10"/>
  <c r="C2685" i="10"/>
  <c r="D2685" i="10"/>
  <c r="E2685" i="10"/>
  <c r="F2685" i="10"/>
  <c r="G2685" i="10"/>
  <c r="H2685" i="10"/>
  <c r="I2685" i="10"/>
  <c r="J2685" i="10"/>
  <c r="C2601" i="10"/>
  <c r="D2601" i="10"/>
  <c r="E2601" i="10"/>
  <c r="F2601" i="10"/>
  <c r="G2601" i="10"/>
  <c r="H2601" i="10"/>
  <c r="I2601" i="10"/>
  <c r="C2602" i="10"/>
  <c r="D2602" i="10"/>
  <c r="E2602" i="10"/>
  <c r="F2602" i="10"/>
  <c r="G2602" i="10"/>
  <c r="H2602" i="10"/>
  <c r="I2602" i="10"/>
  <c r="C2603" i="10"/>
  <c r="D2603" i="10"/>
  <c r="E2603" i="10"/>
  <c r="F2603" i="10"/>
  <c r="G2603" i="10"/>
  <c r="H2603" i="10"/>
  <c r="I2603" i="10"/>
  <c r="C2604" i="10"/>
  <c r="D2604" i="10"/>
  <c r="E2604" i="10"/>
  <c r="F2604" i="10"/>
  <c r="G2604" i="10"/>
  <c r="H2604" i="10"/>
  <c r="I2604" i="10"/>
  <c r="J2604" i="10"/>
  <c r="J2603" i="10"/>
  <c r="J2602" i="10"/>
  <c r="J2601" i="10"/>
  <c r="C2593" i="10"/>
  <c r="D2593" i="10"/>
  <c r="E2593" i="10"/>
  <c r="F2593" i="10"/>
  <c r="G2593" i="10"/>
  <c r="H2593" i="10"/>
  <c r="I2593" i="10"/>
  <c r="J2593" i="10"/>
  <c r="C2592" i="10"/>
  <c r="D2592" i="10"/>
  <c r="E2592" i="10"/>
  <c r="F2592" i="10"/>
  <c r="G2592" i="10"/>
  <c r="H2592" i="10"/>
  <c r="I2592" i="10"/>
  <c r="J2592" i="10"/>
  <c r="C2591" i="10"/>
  <c r="D2591" i="10"/>
  <c r="E2591" i="10"/>
  <c r="F2591" i="10"/>
  <c r="G2591" i="10"/>
  <c r="H2591" i="10"/>
  <c r="I2591" i="10"/>
  <c r="J2591" i="10"/>
  <c r="C2590" i="10"/>
  <c r="D2590" i="10"/>
  <c r="E2590" i="10"/>
  <c r="F2590" i="10"/>
  <c r="G2590" i="10"/>
  <c r="H2590" i="10"/>
  <c r="I2590" i="10"/>
  <c r="J2590" i="10"/>
  <c r="C2589" i="10"/>
  <c r="D2589" i="10"/>
  <c r="E2589" i="10"/>
  <c r="F2589" i="10"/>
  <c r="G2589" i="10"/>
  <c r="H2589" i="10"/>
  <c r="I2589" i="10"/>
  <c r="J2589" i="10"/>
  <c r="C2588" i="10"/>
  <c r="D2588" i="10"/>
  <c r="E2588" i="10"/>
  <c r="F2588" i="10"/>
  <c r="G2588" i="10"/>
  <c r="H2588" i="10"/>
  <c r="I2588" i="10"/>
  <c r="J2588" i="10"/>
  <c r="C2587" i="10"/>
  <c r="D2587" i="10"/>
  <c r="E2587" i="10"/>
  <c r="F2587" i="10"/>
  <c r="G2587" i="10"/>
  <c r="H2587" i="10"/>
  <c r="I2587" i="10"/>
  <c r="J2587" i="10"/>
  <c r="C2586" i="10"/>
  <c r="D2586" i="10"/>
  <c r="E2586" i="10"/>
  <c r="F2586" i="10"/>
  <c r="G2586" i="10"/>
  <c r="H2586" i="10"/>
  <c r="I2586" i="10"/>
  <c r="J2586" i="10"/>
  <c r="C2585" i="10"/>
  <c r="D2585" i="10"/>
  <c r="E2585" i="10"/>
  <c r="F2585" i="10"/>
  <c r="G2585" i="10"/>
  <c r="H2585" i="10"/>
  <c r="I2585" i="10"/>
  <c r="J2585" i="10"/>
  <c r="C2598" i="10"/>
  <c r="D2598" i="10"/>
  <c r="E2598" i="10"/>
  <c r="F2598" i="10"/>
  <c r="G2598" i="10"/>
  <c r="H2598" i="10"/>
  <c r="I2598" i="10"/>
  <c r="C2597" i="10"/>
  <c r="D2597" i="10"/>
  <c r="E2597" i="10"/>
  <c r="F2597" i="10"/>
  <c r="G2597" i="10"/>
  <c r="H2597" i="10"/>
  <c r="I2597" i="10"/>
  <c r="J2598" i="10"/>
  <c r="J2597" i="10"/>
  <c r="C2569" i="10"/>
  <c r="D2569" i="10"/>
  <c r="E2569" i="10"/>
  <c r="F2569" i="10"/>
  <c r="G2569" i="10"/>
  <c r="H2569" i="10"/>
  <c r="I2569" i="10"/>
  <c r="C2570" i="10"/>
  <c r="D2570" i="10"/>
  <c r="E2570" i="10"/>
  <c r="F2570" i="10"/>
  <c r="G2570" i="10"/>
  <c r="H2570" i="10"/>
  <c r="I2570" i="10"/>
  <c r="C2571" i="10"/>
  <c r="D2571" i="10"/>
  <c r="E2571" i="10"/>
  <c r="F2571" i="10"/>
  <c r="G2571" i="10"/>
  <c r="H2571" i="10"/>
  <c r="I2571" i="10"/>
  <c r="J2569" i="10"/>
  <c r="C2566" i="10"/>
  <c r="D2566" i="10"/>
  <c r="E2566" i="10"/>
  <c r="F2566" i="10"/>
  <c r="G2566" i="10"/>
  <c r="H2566" i="10"/>
  <c r="I2566" i="10"/>
  <c r="J2566" i="10"/>
  <c r="C2565" i="10"/>
  <c r="D2565" i="10"/>
  <c r="E2565" i="10"/>
  <c r="F2565" i="10"/>
  <c r="G2565" i="10"/>
  <c r="H2565" i="10"/>
  <c r="I2565" i="10"/>
  <c r="J2565" i="10"/>
  <c r="C2564" i="10"/>
  <c r="D2564" i="10"/>
  <c r="E2564" i="10"/>
  <c r="F2564" i="10"/>
  <c r="G2564" i="10"/>
  <c r="H2564" i="10"/>
  <c r="I2564" i="10"/>
  <c r="J2564" i="10"/>
  <c r="C2561" i="10"/>
  <c r="D2561" i="10"/>
  <c r="E2561" i="10"/>
  <c r="F2561" i="10"/>
  <c r="G2561" i="10"/>
  <c r="H2561" i="10"/>
  <c r="I2561" i="10"/>
  <c r="J2561" i="10"/>
  <c r="C2560" i="10"/>
  <c r="D2560" i="10"/>
  <c r="E2560" i="10"/>
  <c r="F2560" i="10"/>
  <c r="G2560" i="10"/>
  <c r="H2560" i="10"/>
  <c r="I2560" i="10"/>
  <c r="J2560" i="10"/>
  <c r="C2558" i="10"/>
  <c r="D2558" i="10"/>
  <c r="E2558" i="10"/>
  <c r="F2558" i="10"/>
  <c r="G2558" i="10"/>
  <c r="H2558" i="10"/>
  <c r="I2558" i="10"/>
  <c r="C2557" i="10"/>
  <c r="D2557" i="10"/>
  <c r="E2557" i="10"/>
  <c r="F2557" i="10"/>
  <c r="G2557" i="10"/>
  <c r="H2557" i="10"/>
  <c r="I2557" i="10"/>
  <c r="J2558" i="10"/>
  <c r="J2557" i="10"/>
  <c r="C2555" i="10"/>
  <c r="D2555" i="10"/>
  <c r="E2555" i="10"/>
  <c r="F2555" i="10"/>
  <c r="G2555" i="10"/>
  <c r="H2555" i="10"/>
  <c r="I2555" i="10"/>
  <c r="J2555" i="10"/>
  <c r="C2554" i="10"/>
  <c r="D2554" i="10"/>
  <c r="E2554" i="10"/>
  <c r="F2554" i="10"/>
  <c r="G2554" i="10"/>
  <c r="H2554" i="10"/>
  <c r="I2554" i="10"/>
  <c r="J2554" i="10"/>
  <c r="C2550" i="10"/>
  <c r="D2550" i="10"/>
  <c r="E2550" i="10"/>
  <c r="F2550" i="10"/>
  <c r="G2550" i="10"/>
  <c r="H2550" i="10"/>
  <c r="I2550" i="10"/>
  <c r="J2550" i="10"/>
  <c r="C2549" i="10"/>
  <c r="D2549" i="10"/>
  <c r="E2549" i="10"/>
  <c r="F2549" i="10"/>
  <c r="G2549" i="10"/>
  <c r="H2549" i="10"/>
  <c r="I2549" i="10"/>
  <c r="J2549" i="10"/>
  <c r="C2582" i="10"/>
  <c r="D2582" i="10"/>
  <c r="E2582" i="10"/>
  <c r="F2582" i="10"/>
  <c r="G2582" i="10"/>
  <c r="H2582" i="10"/>
  <c r="I2582" i="10"/>
  <c r="J2582" i="10"/>
  <c r="C2581" i="10"/>
  <c r="D2581" i="10"/>
  <c r="E2581" i="10"/>
  <c r="F2581" i="10"/>
  <c r="G2581" i="10"/>
  <c r="H2581" i="10"/>
  <c r="I2581" i="10"/>
  <c r="J2581" i="10"/>
  <c r="C2580" i="10"/>
  <c r="D2580" i="10"/>
  <c r="E2580" i="10"/>
  <c r="F2580" i="10"/>
  <c r="G2580" i="10"/>
  <c r="H2580" i="10"/>
  <c r="I2580" i="10"/>
  <c r="J2580" i="10"/>
  <c r="C2579" i="10"/>
  <c r="D2579" i="10"/>
  <c r="E2579" i="10"/>
  <c r="F2579" i="10"/>
  <c r="G2579" i="10"/>
  <c r="H2579" i="10"/>
  <c r="I2579" i="10"/>
  <c r="J2579" i="10"/>
  <c r="C2578" i="10"/>
  <c r="D2578" i="10"/>
  <c r="E2578" i="10"/>
  <c r="F2578" i="10"/>
  <c r="G2578" i="10"/>
  <c r="H2578" i="10"/>
  <c r="I2578" i="10"/>
  <c r="J2578" i="10"/>
  <c r="C2577" i="10"/>
  <c r="D2577" i="10"/>
  <c r="E2577" i="10"/>
  <c r="F2577" i="10"/>
  <c r="G2577" i="10"/>
  <c r="H2577" i="10"/>
  <c r="I2577" i="10"/>
  <c r="J2577" i="10"/>
  <c r="C2576" i="10"/>
  <c r="D2576" i="10"/>
  <c r="E2576" i="10"/>
  <c r="F2576" i="10"/>
  <c r="G2576" i="10"/>
  <c r="H2576" i="10"/>
  <c r="I2576" i="10"/>
  <c r="J2576" i="10"/>
  <c r="C2575" i="10"/>
  <c r="D2575" i="10"/>
  <c r="E2575" i="10"/>
  <c r="F2575" i="10"/>
  <c r="G2575" i="10"/>
  <c r="H2575" i="10"/>
  <c r="I2575" i="10"/>
  <c r="J2575" i="10"/>
  <c r="C2574" i="10"/>
  <c r="D2574" i="10"/>
  <c r="E2574" i="10"/>
  <c r="F2574" i="10"/>
  <c r="G2574" i="10"/>
  <c r="H2574" i="10"/>
  <c r="I2574" i="10"/>
  <c r="J2574" i="10"/>
  <c r="C2529" i="10"/>
  <c r="D2529" i="10"/>
  <c r="E2529" i="10"/>
  <c r="F2529" i="10"/>
  <c r="G2529" i="10"/>
  <c r="H2529" i="10"/>
  <c r="I2529" i="10"/>
  <c r="J2529" i="10"/>
  <c r="C2528" i="10"/>
  <c r="D2528" i="10"/>
  <c r="E2528" i="10"/>
  <c r="F2528" i="10"/>
  <c r="G2528" i="10"/>
  <c r="H2528" i="10"/>
  <c r="I2528" i="10"/>
  <c r="J2528" i="10"/>
  <c r="C2527" i="10"/>
  <c r="D2527" i="10"/>
  <c r="E2527" i="10"/>
  <c r="F2527" i="10"/>
  <c r="G2527" i="10"/>
  <c r="H2527" i="10"/>
  <c r="I2527" i="10"/>
  <c r="J2527" i="10"/>
  <c r="C2526" i="10"/>
  <c r="D2526" i="10"/>
  <c r="E2526" i="10"/>
  <c r="F2526" i="10"/>
  <c r="G2526" i="10"/>
  <c r="H2526" i="10"/>
  <c r="I2526" i="10"/>
  <c r="J2526" i="10"/>
  <c r="C2522" i="10"/>
  <c r="D2522" i="10"/>
  <c r="E2522" i="10"/>
  <c r="F2522" i="10"/>
  <c r="G2522" i="10"/>
  <c r="H2522" i="10"/>
  <c r="I2522" i="10"/>
  <c r="J2522" i="10"/>
  <c r="C2521" i="10"/>
  <c r="D2521" i="10"/>
  <c r="E2521" i="10"/>
  <c r="F2521" i="10"/>
  <c r="G2521" i="10"/>
  <c r="H2521" i="10"/>
  <c r="I2521" i="10"/>
  <c r="J2521" i="10"/>
  <c r="C2518" i="10"/>
  <c r="D2518" i="10"/>
  <c r="E2518" i="10"/>
  <c r="F2518" i="10"/>
  <c r="G2518" i="10"/>
  <c r="H2518" i="10"/>
  <c r="I2518" i="10"/>
  <c r="J2518" i="10"/>
  <c r="C2517" i="10"/>
  <c r="D2517" i="10"/>
  <c r="E2517" i="10"/>
  <c r="F2517" i="10"/>
  <c r="G2517" i="10"/>
  <c r="H2517" i="10"/>
  <c r="I2517" i="10"/>
  <c r="J2517" i="10"/>
  <c r="C2516" i="10"/>
  <c r="D2516" i="10"/>
  <c r="E2516" i="10"/>
  <c r="F2516" i="10"/>
  <c r="G2516" i="10"/>
  <c r="H2516" i="10"/>
  <c r="I2516" i="10"/>
  <c r="J2516" i="10"/>
  <c r="C2515" i="10"/>
  <c r="D2515" i="10"/>
  <c r="E2515" i="10"/>
  <c r="F2515" i="10"/>
  <c r="G2515" i="10"/>
  <c r="H2515" i="10"/>
  <c r="I2515" i="10"/>
  <c r="J2515" i="10"/>
  <c r="C2514" i="10"/>
  <c r="D2514" i="10"/>
  <c r="E2514" i="10"/>
  <c r="F2514" i="10"/>
  <c r="G2514" i="10"/>
  <c r="H2514" i="10"/>
  <c r="I2514" i="10"/>
  <c r="J2514" i="10"/>
  <c r="C2513" i="10"/>
  <c r="D2513" i="10"/>
  <c r="E2513" i="10"/>
  <c r="F2513" i="10"/>
  <c r="G2513" i="10"/>
  <c r="H2513" i="10"/>
  <c r="I2513" i="10"/>
  <c r="J2513" i="10"/>
  <c r="C2510" i="10"/>
  <c r="D2510" i="10"/>
  <c r="E2510" i="10"/>
  <c r="F2510" i="10"/>
  <c r="G2510" i="10"/>
  <c r="H2510" i="10"/>
  <c r="I2510" i="10"/>
  <c r="J2510" i="10"/>
  <c r="C2509" i="10"/>
  <c r="D2509" i="10"/>
  <c r="E2509" i="10"/>
  <c r="F2509" i="10"/>
  <c r="G2509" i="10"/>
  <c r="H2509" i="10"/>
  <c r="I2509" i="10"/>
  <c r="J2509" i="10"/>
  <c r="C2508" i="10"/>
  <c r="D2508" i="10"/>
  <c r="E2508" i="10"/>
  <c r="F2508" i="10"/>
  <c r="G2508" i="10"/>
  <c r="H2508" i="10"/>
  <c r="I2508" i="10"/>
  <c r="C2507" i="10"/>
  <c r="D2507" i="10"/>
  <c r="E2507" i="10"/>
  <c r="F2507" i="10"/>
  <c r="G2507" i="10"/>
  <c r="H2507" i="10"/>
  <c r="I2507" i="10"/>
  <c r="J2507" i="10"/>
  <c r="J2508" i="10"/>
  <c r="C2506" i="10"/>
  <c r="D2506" i="10"/>
  <c r="E2506" i="10"/>
  <c r="F2506" i="10"/>
  <c r="G2506" i="10"/>
  <c r="H2506" i="10"/>
  <c r="I2506" i="10"/>
  <c r="J2506" i="10"/>
  <c r="J2505" i="10"/>
  <c r="C2505" i="10"/>
  <c r="D2505" i="10"/>
  <c r="E2505" i="10"/>
  <c r="F2505" i="10"/>
  <c r="G2505" i="10"/>
  <c r="H2505" i="10"/>
  <c r="I2505" i="10"/>
  <c r="C2497" i="10"/>
  <c r="D2497" i="10"/>
  <c r="E2497" i="10"/>
  <c r="F2497" i="10"/>
  <c r="G2497" i="10"/>
  <c r="H2497" i="10"/>
  <c r="I2497" i="10"/>
  <c r="J2497" i="10"/>
  <c r="C2496" i="10"/>
  <c r="D2496" i="10"/>
  <c r="E2496" i="10"/>
  <c r="F2496" i="10"/>
  <c r="G2496" i="10"/>
  <c r="H2496" i="10"/>
  <c r="I2496" i="10"/>
  <c r="J2496" i="10"/>
  <c r="C2495" i="10"/>
  <c r="D2495" i="10"/>
  <c r="E2495" i="10"/>
  <c r="F2495" i="10"/>
  <c r="G2495" i="10"/>
  <c r="H2495" i="10"/>
  <c r="I2495" i="10"/>
  <c r="J2495" i="10"/>
  <c r="C2498" i="10"/>
  <c r="D2498" i="10"/>
  <c r="E2498" i="10"/>
  <c r="F2498" i="10"/>
  <c r="G2498" i="10"/>
  <c r="H2498" i="10"/>
  <c r="I2498" i="10"/>
  <c r="J2498" i="10"/>
  <c r="C2494" i="10"/>
  <c r="D2494" i="10"/>
  <c r="E2494" i="10"/>
  <c r="F2494" i="10"/>
  <c r="G2494" i="10"/>
  <c r="H2494" i="10"/>
  <c r="I2494" i="10"/>
  <c r="J2494" i="10"/>
  <c r="C2491" i="10"/>
  <c r="D2491" i="10"/>
  <c r="E2491" i="10"/>
  <c r="F2491" i="10"/>
  <c r="G2491" i="10"/>
  <c r="H2491" i="10"/>
  <c r="I2491" i="10"/>
  <c r="J2491" i="10"/>
  <c r="C2493" i="10"/>
  <c r="D2493" i="10"/>
  <c r="E2493" i="10"/>
  <c r="F2493" i="10"/>
  <c r="G2493" i="10"/>
  <c r="H2493" i="10"/>
  <c r="I2493" i="10"/>
  <c r="J2493" i="10"/>
  <c r="C2492" i="10"/>
  <c r="D2492" i="10"/>
  <c r="E2492" i="10"/>
  <c r="F2492" i="10"/>
  <c r="G2492" i="10"/>
  <c r="H2492" i="10"/>
  <c r="I2492" i="10"/>
  <c r="J2492" i="10"/>
  <c r="C2488" i="10"/>
  <c r="D2488" i="10"/>
  <c r="E2488" i="10"/>
  <c r="F2488" i="10"/>
  <c r="G2488" i="10"/>
  <c r="H2488" i="10"/>
  <c r="I2488" i="10"/>
  <c r="J2488" i="10"/>
  <c r="C2489" i="10"/>
  <c r="D2489" i="10"/>
  <c r="E2489" i="10"/>
  <c r="F2489" i="10"/>
  <c r="G2489" i="10"/>
  <c r="H2489" i="10"/>
  <c r="I2489" i="10"/>
  <c r="J2489" i="10"/>
  <c r="C2490" i="10"/>
  <c r="D2490" i="10"/>
  <c r="E2490" i="10"/>
  <c r="F2490" i="10"/>
  <c r="G2490" i="10"/>
  <c r="H2490" i="10"/>
  <c r="I2490" i="10"/>
  <c r="J2490" i="10"/>
  <c r="J2478" i="10"/>
  <c r="K2475" i="10"/>
  <c r="L2475" i="10"/>
  <c r="M2475" i="10"/>
  <c r="N2475" i="10"/>
  <c r="O2475" i="10"/>
  <c r="P2475" i="10"/>
  <c r="Q2475" i="10"/>
  <c r="K2476" i="10"/>
  <c r="L2476" i="10"/>
  <c r="M2476" i="10"/>
  <c r="N2476" i="10"/>
  <c r="O2476" i="10"/>
  <c r="P2476" i="10"/>
  <c r="Q2476" i="10"/>
  <c r="K2478" i="10"/>
  <c r="L2478" i="10"/>
  <c r="M2478" i="10"/>
  <c r="N2478" i="10"/>
  <c r="O2478" i="10"/>
  <c r="P2478" i="10"/>
  <c r="Q2478" i="10"/>
  <c r="R2478" i="10"/>
  <c r="R2476" i="10"/>
  <c r="R2475" i="10"/>
  <c r="C2476" i="10"/>
  <c r="D2476" i="10"/>
  <c r="E2476" i="10"/>
  <c r="F2476" i="10"/>
  <c r="G2476" i="10"/>
  <c r="H2476" i="10"/>
  <c r="I2476" i="10"/>
  <c r="J2476" i="10"/>
  <c r="C2478" i="10"/>
  <c r="D2478" i="10"/>
  <c r="E2478" i="10"/>
  <c r="F2478" i="10"/>
  <c r="G2478" i="10"/>
  <c r="H2478" i="10"/>
  <c r="I2478" i="10"/>
  <c r="C2475" i="10"/>
  <c r="D2475" i="10"/>
  <c r="E2475" i="10"/>
  <c r="F2475" i="10"/>
  <c r="G2475" i="10"/>
  <c r="H2475" i="10"/>
  <c r="I2475" i="10"/>
  <c r="J2475" i="10"/>
  <c r="K2459" i="10"/>
  <c r="L2459" i="10"/>
  <c r="M2459" i="10"/>
  <c r="N2459" i="10"/>
  <c r="O2459" i="10"/>
  <c r="P2459" i="10"/>
  <c r="Q2459" i="10"/>
  <c r="K2461" i="10"/>
  <c r="L2461" i="10"/>
  <c r="M2461" i="10"/>
  <c r="N2461" i="10"/>
  <c r="O2461" i="10"/>
  <c r="P2461" i="10"/>
  <c r="Q2461" i="10"/>
  <c r="K2462" i="10"/>
  <c r="L2462" i="10"/>
  <c r="M2462" i="10"/>
  <c r="N2462" i="10"/>
  <c r="O2462" i="10"/>
  <c r="P2462" i="10"/>
  <c r="Q2462" i="10"/>
  <c r="K2463" i="10"/>
  <c r="L2463" i="10"/>
  <c r="M2463" i="10"/>
  <c r="N2463" i="10"/>
  <c r="O2463" i="10"/>
  <c r="P2463" i="10"/>
  <c r="Q2463" i="10"/>
  <c r="K2464" i="10"/>
  <c r="L2464" i="10"/>
  <c r="M2464" i="10"/>
  <c r="N2464" i="10"/>
  <c r="O2464" i="10"/>
  <c r="P2464" i="10"/>
  <c r="Q2464" i="10"/>
  <c r="K2466" i="10"/>
  <c r="L2466" i="10"/>
  <c r="M2466" i="10"/>
  <c r="N2466" i="10"/>
  <c r="O2466" i="10"/>
  <c r="P2466" i="10"/>
  <c r="Q2466" i="10"/>
  <c r="K2467" i="10"/>
  <c r="L2467" i="10"/>
  <c r="M2467" i="10"/>
  <c r="N2467" i="10"/>
  <c r="O2467" i="10"/>
  <c r="P2467" i="10"/>
  <c r="Q2467" i="10"/>
  <c r="K2468" i="10"/>
  <c r="L2468" i="10"/>
  <c r="M2468" i="10"/>
  <c r="N2468" i="10"/>
  <c r="O2468" i="10"/>
  <c r="P2468" i="10"/>
  <c r="Q2468" i="10"/>
  <c r="R2468" i="10"/>
  <c r="R2467" i="10"/>
  <c r="R2466" i="10"/>
  <c r="R2464" i="10"/>
  <c r="R2463" i="10"/>
  <c r="R2462" i="10"/>
  <c r="R2461" i="10"/>
  <c r="R2459" i="10"/>
  <c r="C2468" i="10"/>
  <c r="D2468" i="10"/>
  <c r="E2468" i="10"/>
  <c r="F2468" i="10"/>
  <c r="G2468" i="10"/>
  <c r="H2468" i="10"/>
  <c r="I2468" i="10"/>
  <c r="J2468" i="10"/>
  <c r="J2464" i="10"/>
  <c r="C2462" i="10"/>
  <c r="D2462" i="10"/>
  <c r="E2462" i="10"/>
  <c r="F2462" i="10"/>
  <c r="G2462" i="10"/>
  <c r="H2462" i="10"/>
  <c r="I2462" i="10"/>
  <c r="J2462" i="10"/>
  <c r="C2467" i="10"/>
  <c r="D2467" i="10"/>
  <c r="E2467" i="10"/>
  <c r="F2467" i="10"/>
  <c r="G2467" i="10"/>
  <c r="H2467" i="10"/>
  <c r="I2467" i="10"/>
  <c r="J2467" i="10"/>
  <c r="P2694" i="10" l="1"/>
  <c r="L2694" i="10"/>
  <c r="Q2697" i="10"/>
  <c r="M2697" i="10"/>
  <c r="P2698" i="10"/>
  <c r="L2698" i="10"/>
  <c r="P2701" i="10"/>
  <c r="P2704" i="10"/>
  <c r="L2704" i="10"/>
  <c r="P2705" i="10"/>
  <c r="L2705" i="10"/>
  <c r="P2706" i="10"/>
  <c r="L2706" i="10"/>
  <c r="L2709" i="10"/>
  <c r="P2712" i="10"/>
  <c r="L2712" i="10"/>
  <c r="P2718" i="10"/>
  <c r="P2722" i="10"/>
  <c r="P2721" i="10"/>
  <c r="P2723" i="10"/>
  <c r="L2723" i="10"/>
  <c r="P2726" i="10"/>
  <c r="P2727" i="10"/>
  <c r="L2727" i="10"/>
  <c r="L2730" i="10"/>
  <c r="R2722" i="10"/>
  <c r="O2697" i="10"/>
  <c r="N2718" i="10"/>
  <c r="P2685" i="10"/>
  <c r="L2685" i="10"/>
  <c r="P2686" i="10"/>
  <c r="L2686" i="10"/>
  <c r="P2687" i="10"/>
  <c r="L2687" i="10"/>
  <c r="P2688" i="10"/>
  <c r="L2688" i="10"/>
  <c r="P2684" i="10"/>
  <c r="P2697" i="10"/>
  <c r="L2697" i="10"/>
  <c r="O2712" i="10"/>
  <c r="O2727" i="10"/>
  <c r="O2730" i="10"/>
  <c r="R2727" i="10"/>
  <c r="N2727" i="10"/>
  <c r="M2698" i="10"/>
  <c r="O2685" i="10"/>
  <c r="O2686" i="10"/>
  <c r="O2687" i="10"/>
  <c r="O2688" i="10"/>
  <c r="O2684" i="10"/>
  <c r="Q2705" i="10"/>
  <c r="Q2706" i="10"/>
  <c r="N2722" i="10"/>
  <c r="Q2721" i="10"/>
  <c r="R2726" i="10"/>
  <c r="N2726" i="10"/>
  <c r="Q2727" i="10"/>
  <c r="M2727" i="10"/>
  <c r="Q2701" i="10"/>
  <c r="Q2709" i="10"/>
  <c r="M2718" i="10"/>
  <c r="M2722" i="10"/>
  <c r="M2730" i="10"/>
  <c r="M2701" i="10"/>
  <c r="M2709" i="10"/>
  <c r="M2721" i="10"/>
  <c r="M2726" i="10"/>
  <c r="Q2730" i="10"/>
  <c r="Q2685" i="10"/>
  <c r="M2685" i="10"/>
  <c r="Q2686" i="10"/>
  <c r="M2686" i="10"/>
  <c r="Q2687" i="10"/>
  <c r="M2687" i="10"/>
  <c r="L2718" i="10"/>
  <c r="R2712" i="10"/>
  <c r="N2712" i="10"/>
  <c r="R2721" i="10"/>
  <c r="R2723" i="10"/>
  <c r="N2723" i="10"/>
  <c r="R2730" i="10"/>
  <c r="N2730" i="10"/>
  <c r="Q2698" i="10"/>
  <c r="L2701" i="10"/>
  <c r="M2706" i="10"/>
  <c r="M2705" i="10"/>
  <c r="P2709" i="10"/>
  <c r="Q2718" i="10"/>
  <c r="L2721" i="10"/>
  <c r="Q2722" i="10"/>
  <c r="L2722" i="10"/>
  <c r="P2730" i="10"/>
  <c r="O2718" i="10"/>
  <c r="O2722" i="10"/>
  <c r="O2721" i="10"/>
  <c r="R2685" i="10"/>
  <c r="M2684" i="10"/>
  <c r="N2685" i="10"/>
  <c r="R2686" i="10"/>
  <c r="N2686" i="10"/>
  <c r="R2687" i="10"/>
  <c r="N2687" i="10"/>
  <c r="R2688" i="10"/>
  <c r="N2688" i="10"/>
  <c r="R2684" i="10"/>
  <c r="N2684" i="10"/>
  <c r="L2726" i="10"/>
  <c r="L2684" i="10"/>
  <c r="N2694" i="10"/>
  <c r="N2698" i="10"/>
  <c r="R2701" i="10"/>
  <c r="N2701" i="10"/>
  <c r="R2704" i="10"/>
  <c r="N2704" i="10"/>
  <c r="R2705" i="10"/>
  <c r="N2705" i="10"/>
  <c r="R2706" i="10"/>
  <c r="N2706" i="10"/>
  <c r="R2709" i="10"/>
  <c r="N2709" i="10"/>
  <c r="O2726" i="10"/>
  <c r="Q2694" i="10"/>
  <c r="M2694" i="10"/>
  <c r="N2697" i="10"/>
  <c r="Q2704" i="10"/>
  <c r="M2704" i="10"/>
  <c r="Q2712" i="10"/>
  <c r="M2712" i="10"/>
  <c r="Q2723" i="10"/>
  <c r="M2723" i="10"/>
  <c r="Q2726" i="10"/>
  <c r="Q2684" i="10"/>
  <c r="Q2688" i="10"/>
  <c r="M2688" i="10"/>
  <c r="O2723" i="10"/>
  <c r="N2721" i="10"/>
  <c r="O2709" i="10"/>
  <c r="O2706" i="10"/>
  <c r="O2705" i="10"/>
  <c r="O2704" i="10"/>
  <c r="O2701" i="10"/>
  <c r="O2698" i="10"/>
  <c r="R2698" i="10"/>
  <c r="R2697" i="10"/>
  <c r="O2694" i="10"/>
  <c r="C2463" i="10"/>
  <c r="D2463" i="10"/>
  <c r="E2463" i="10"/>
  <c r="F2463" i="10"/>
  <c r="G2463" i="10"/>
  <c r="H2463" i="10"/>
  <c r="I2463" i="10"/>
  <c r="J2463" i="10"/>
  <c r="C2464" i="10"/>
  <c r="D2464" i="10"/>
  <c r="E2464" i="10"/>
  <c r="F2464" i="10"/>
  <c r="G2464" i="10"/>
  <c r="H2464" i="10"/>
  <c r="I2464" i="10"/>
  <c r="C2466" i="10"/>
  <c r="D2466" i="10"/>
  <c r="E2466" i="10"/>
  <c r="F2466" i="10"/>
  <c r="G2466" i="10"/>
  <c r="H2466" i="10"/>
  <c r="I2466" i="10"/>
  <c r="J2466" i="10"/>
  <c r="C2459" i="10"/>
  <c r="C2461" i="10"/>
  <c r="K2471" i="10"/>
  <c r="L2471" i="10"/>
  <c r="M2471" i="10"/>
  <c r="N2471" i="10"/>
  <c r="O2471" i="10"/>
  <c r="P2471" i="10"/>
  <c r="Q2471" i="10"/>
  <c r="K2472" i="10"/>
  <c r="L2472" i="10"/>
  <c r="M2472" i="10"/>
  <c r="N2472" i="10"/>
  <c r="O2472" i="10"/>
  <c r="P2472" i="10"/>
  <c r="Q2472" i="10"/>
  <c r="R2472" i="10"/>
  <c r="R2471" i="10"/>
  <c r="C2472" i="10"/>
  <c r="D2472" i="10"/>
  <c r="E2472" i="10"/>
  <c r="F2472" i="10"/>
  <c r="G2472" i="10"/>
  <c r="H2472" i="10"/>
  <c r="I2472" i="10"/>
  <c r="J2472" i="10"/>
  <c r="C2471" i="10"/>
  <c r="D2471" i="10"/>
  <c r="E2471" i="10"/>
  <c r="F2471" i="10"/>
  <c r="G2471" i="10"/>
  <c r="H2471" i="10"/>
  <c r="I2471" i="10"/>
  <c r="J2471" i="10"/>
  <c r="K2443" i="10"/>
  <c r="L2443" i="10"/>
  <c r="M2443" i="10"/>
  <c r="N2443" i="10"/>
  <c r="O2443" i="10"/>
  <c r="P2443" i="10"/>
  <c r="Q2443" i="10"/>
  <c r="R2444" i="10"/>
  <c r="R2443" i="10"/>
  <c r="C2445" i="10"/>
  <c r="D2445" i="10"/>
  <c r="E2445" i="10"/>
  <c r="F2445" i="10"/>
  <c r="G2445" i="10"/>
  <c r="H2445" i="10"/>
  <c r="I2445" i="10"/>
  <c r="J2445" i="10"/>
  <c r="C2444" i="10"/>
  <c r="D2444" i="10"/>
  <c r="E2444" i="10"/>
  <c r="F2444" i="10"/>
  <c r="G2444" i="10"/>
  <c r="H2444" i="10"/>
  <c r="I2444" i="10"/>
  <c r="J2444" i="10"/>
  <c r="C2443" i="10"/>
  <c r="D2443" i="10"/>
  <c r="E2443" i="10"/>
  <c r="F2443" i="10"/>
  <c r="G2443" i="10"/>
  <c r="H2443" i="10"/>
  <c r="I2443" i="10"/>
  <c r="J2443" i="10"/>
  <c r="K2438" i="10"/>
  <c r="L2438" i="10"/>
  <c r="M2438" i="10"/>
  <c r="N2438" i="10"/>
  <c r="O2438" i="10"/>
  <c r="P2438" i="10"/>
  <c r="Q2438" i="10"/>
  <c r="K2439" i="10"/>
  <c r="L2439" i="10"/>
  <c r="M2439" i="10"/>
  <c r="N2439" i="10"/>
  <c r="O2439" i="10"/>
  <c r="P2439" i="10"/>
  <c r="Q2439" i="10"/>
  <c r="K2440" i="10"/>
  <c r="L2440" i="10"/>
  <c r="M2440" i="10"/>
  <c r="N2440" i="10"/>
  <c r="O2440" i="10"/>
  <c r="P2440" i="10"/>
  <c r="Q2440" i="10"/>
  <c r="R2440" i="10"/>
  <c r="R2439" i="10"/>
  <c r="R2438" i="10"/>
  <c r="C2438" i="10"/>
  <c r="D2438" i="10"/>
  <c r="E2438" i="10"/>
  <c r="F2438" i="10"/>
  <c r="G2438" i="10"/>
  <c r="H2438" i="10"/>
  <c r="I2438" i="10"/>
  <c r="J2438" i="10"/>
  <c r="C2440" i="10"/>
  <c r="D2440" i="10"/>
  <c r="E2440" i="10"/>
  <c r="F2440" i="10"/>
  <c r="G2440" i="10"/>
  <c r="H2440" i="10"/>
  <c r="I2440" i="10"/>
  <c r="J2440" i="10"/>
  <c r="C2439" i="10"/>
  <c r="D2439" i="10"/>
  <c r="E2439" i="10"/>
  <c r="F2439" i="10"/>
  <c r="G2439" i="10"/>
  <c r="H2439" i="10"/>
  <c r="I2439" i="10"/>
  <c r="J2439" i="10"/>
  <c r="K2433" i="10"/>
  <c r="L2433" i="10"/>
  <c r="M2433" i="10"/>
  <c r="N2433" i="10"/>
  <c r="O2433" i="10"/>
  <c r="P2433" i="10"/>
  <c r="Q2433" i="10"/>
  <c r="K2434" i="10"/>
  <c r="L2434" i="10"/>
  <c r="M2434" i="10"/>
  <c r="N2434" i="10"/>
  <c r="O2434" i="10"/>
  <c r="P2434" i="10"/>
  <c r="Q2434" i="10"/>
  <c r="K2435" i="10"/>
  <c r="L2435" i="10"/>
  <c r="M2435" i="10"/>
  <c r="N2435" i="10"/>
  <c r="O2435" i="10"/>
  <c r="P2435" i="10"/>
  <c r="Q2435" i="10"/>
  <c r="R2435" i="10"/>
  <c r="R2434" i="10"/>
  <c r="R2433" i="10"/>
  <c r="C2435" i="10"/>
  <c r="D2435" i="10"/>
  <c r="E2435" i="10"/>
  <c r="F2435" i="10"/>
  <c r="G2435" i="10"/>
  <c r="H2435" i="10"/>
  <c r="I2435" i="10"/>
  <c r="J2435" i="10"/>
  <c r="C2434" i="10"/>
  <c r="D2434" i="10"/>
  <c r="E2434" i="10"/>
  <c r="F2434" i="10"/>
  <c r="G2434" i="10"/>
  <c r="H2434" i="10"/>
  <c r="I2434" i="10"/>
  <c r="J2434" i="10"/>
  <c r="C2433" i="10"/>
  <c r="D2433" i="10"/>
  <c r="E2433" i="10"/>
  <c r="F2433" i="10"/>
  <c r="G2433" i="10"/>
  <c r="H2433" i="10"/>
  <c r="I2433" i="10"/>
  <c r="J2433" i="10"/>
  <c r="K2430" i="10"/>
  <c r="L2430" i="10"/>
  <c r="M2430" i="10"/>
  <c r="N2430" i="10"/>
  <c r="O2430" i="10"/>
  <c r="P2430" i="10"/>
  <c r="Q2430" i="10"/>
  <c r="K2429" i="10"/>
  <c r="L2429" i="10"/>
  <c r="M2429" i="10"/>
  <c r="N2429" i="10"/>
  <c r="O2429" i="10"/>
  <c r="P2429" i="10"/>
  <c r="Q2429" i="10"/>
  <c r="R2430" i="10"/>
  <c r="R2429" i="10"/>
  <c r="C2430" i="10"/>
  <c r="D2430" i="10"/>
  <c r="E2430" i="10"/>
  <c r="F2430" i="10"/>
  <c r="G2430" i="10"/>
  <c r="H2430" i="10"/>
  <c r="I2430" i="10"/>
  <c r="C2429" i="10"/>
  <c r="D2429" i="10"/>
  <c r="E2429" i="10"/>
  <c r="F2429" i="10"/>
  <c r="G2429" i="10"/>
  <c r="H2429" i="10"/>
  <c r="I2429" i="10"/>
  <c r="J2430" i="10"/>
  <c r="J2429" i="10"/>
  <c r="K2448" i="10"/>
  <c r="L2448" i="10"/>
  <c r="M2448" i="10"/>
  <c r="N2448" i="10"/>
  <c r="O2448" i="10"/>
  <c r="P2448" i="10"/>
  <c r="Q2448" i="10"/>
  <c r="K2449" i="10"/>
  <c r="L2449" i="10"/>
  <c r="M2449" i="10"/>
  <c r="N2449" i="10"/>
  <c r="O2449" i="10"/>
  <c r="P2449" i="10"/>
  <c r="Q2449" i="10"/>
  <c r="K2450" i="10"/>
  <c r="L2450" i="10"/>
  <c r="M2450" i="10"/>
  <c r="N2450" i="10"/>
  <c r="O2450" i="10"/>
  <c r="P2450" i="10"/>
  <c r="Q2450" i="10"/>
  <c r="K2451" i="10"/>
  <c r="L2451" i="10"/>
  <c r="M2451" i="10"/>
  <c r="N2451" i="10"/>
  <c r="O2451" i="10"/>
  <c r="P2451" i="10"/>
  <c r="Q2451" i="10"/>
  <c r="K2452" i="10"/>
  <c r="L2452" i="10"/>
  <c r="M2452" i="10"/>
  <c r="N2452" i="10"/>
  <c r="O2452" i="10"/>
  <c r="P2452" i="10"/>
  <c r="Q2452" i="10"/>
  <c r="K2453" i="10"/>
  <c r="L2453" i="10"/>
  <c r="M2453" i="10"/>
  <c r="N2453" i="10"/>
  <c r="O2453" i="10"/>
  <c r="P2453" i="10"/>
  <c r="Q2453" i="10"/>
  <c r="K2454" i="10"/>
  <c r="L2454" i="10"/>
  <c r="M2454" i="10"/>
  <c r="N2454" i="10"/>
  <c r="O2454" i="10"/>
  <c r="P2454" i="10"/>
  <c r="Q2454" i="10"/>
  <c r="K2455" i="10"/>
  <c r="L2455" i="10"/>
  <c r="M2455" i="10"/>
  <c r="N2455" i="10"/>
  <c r="O2455" i="10"/>
  <c r="P2455" i="10"/>
  <c r="Q2455" i="10"/>
  <c r="K2456" i="10"/>
  <c r="L2456" i="10"/>
  <c r="M2456" i="10"/>
  <c r="N2456" i="10"/>
  <c r="O2456" i="10"/>
  <c r="P2456" i="10"/>
  <c r="Q2456" i="10"/>
  <c r="R2456" i="10"/>
  <c r="R2455" i="10"/>
  <c r="R2454" i="10"/>
  <c r="R2453" i="10"/>
  <c r="R2452" i="10"/>
  <c r="R2451" i="10"/>
  <c r="R2450" i="10"/>
  <c r="R2449" i="10"/>
  <c r="C2456" i="10"/>
  <c r="D2456" i="10"/>
  <c r="E2456" i="10"/>
  <c r="F2456" i="10"/>
  <c r="G2456" i="10"/>
  <c r="H2456" i="10"/>
  <c r="I2456" i="10"/>
  <c r="C2455" i="10"/>
  <c r="D2455" i="10"/>
  <c r="E2455" i="10"/>
  <c r="F2455" i="10"/>
  <c r="G2455" i="10"/>
  <c r="H2455" i="10"/>
  <c r="I2455" i="10"/>
  <c r="C2454" i="10"/>
  <c r="D2454" i="10"/>
  <c r="E2454" i="10"/>
  <c r="F2454" i="10"/>
  <c r="G2454" i="10"/>
  <c r="H2454" i="10"/>
  <c r="I2454" i="10"/>
  <c r="C2453" i="10"/>
  <c r="D2453" i="10"/>
  <c r="E2453" i="10"/>
  <c r="F2453" i="10"/>
  <c r="G2453" i="10"/>
  <c r="H2453" i="10"/>
  <c r="I2453" i="10"/>
  <c r="C2452" i="10"/>
  <c r="D2452" i="10"/>
  <c r="E2452" i="10"/>
  <c r="F2452" i="10"/>
  <c r="G2452" i="10"/>
  <c r="H2452" i="10"/>
  <c r="I2452" i="10"/>
  <c r="C2451" i="10"/>
  <c r="D2451" i="10"/>
  <c r="E2451" i="10"/>
  <c r="F2451" i="10"/>
  <c r="G2451" i="10"/>
  <c r="H2451" i="10"/>
  <c r="I2451" i="10"/>
  <c r="C2450" i="10"/>
  <c r="D2450" i="10"/>
  <c r="E2450" i="10"/>
  <c r="F2450" i="10"/>
  <c r="G2450" i="10"/>
  <c r="H2450" i="10"/>
  <c r="I2450" i="10"/>
  <c r="C2449" i="10"/>
  <c r="D2449" i="10"/>
  <c r="E2449" i="10"/>
  <c r="F2449" i="10"/>
  <c r="G2449" i="10"/>
  <c r="H2449" i="10"/>
  <c r="I2449" i="10"/>
  <c r="C2448" i="10"/>
  <c r="D2448" i="10"/>
  <c r="E2448" i="10"/>
  <c r="F2448" i="10"/>
  <c r="G2448" i="10"/>
  <c r="H2448" i="10"/>
  <c r="I2448" i="10"/>
  <c r="K2407" i="10"/>
  <c r="L2407" i="10"/>
  <c r="M2407" i="10"/>
  <c r="N2407" i="10"/>
  <c r="O2407" i="10"/>
  <c r="P2407" i="10"/>
  <c r="Q2407" i="10"/>
  <c r="K2408" i="10"/>
  <c r="L2408" i="10"/>
  <c r="M2408" i="10"/>
  <c r="N2408" i="10"/>
  <c r="O2408" i="10"/>
  <c r="P2408" i="10"/>
  <c r="Q2408" i="10"/>
  <c r="K2409" i="10"/>
  <c r="L2409" i="10"/>
  <c r="M2409" i="10"/>
  <c r="N2409" i="10"/>
  <c r="O2409" i="10"/>
  <c r="P2409" i="10"/>
  <c r="Q2409" i="10"/>
  <c r="K2410" i="10"/>
  <c r="L2410" i="10"/>
  <c r="M2410" i="10"/>
  <c r="N2410" i="10"/>
  <c r="O2410" i="10"/>
  <c r="P2410" i="10"/>
  <c r="Q2410" i="10"/>
  <c r="R2410" i="10"/>
  <c r="R2409" i="10"/>
  <c r="R2408" i="10"/>
  <c r="R2407" i="10"/>
  <c r="C2410" i="10"/>
  <c r="D2410" i="10"/>
  <c r="E2410" i="10"/>
  <c r="F2410" i="10"/>
  <c r="G2410" i="10"/>
  <c r="H2410" i="10"/>
  <c r="I2410" i="10"/>
  <c r="J2410" i="10"/>
  <c r="C2409" i="10"/>
  <c r="D2409" i="10"/>
  <c r="E2409" i="10"/>
  <c r="F2409" i="10"/>
  <c r="G2409" i="10"/>
  <c r="H2409" i="10"/>
  <c r="I2409" i="10"/>
  <c r="J2409" i="10"/>
  <c r="C2408" i="10"/>
  <c r="D2408" i="10"/>
  <c r="E2408" i="10"/>
  <c r="F2408" i="10"/>
  <c r="G2408" i="10"/>
  <c r="H2408" i="10"/>
  <c r="I2408" i="10"/>
  <c r="J2408" i="10"/>
  <c r="C2407" i="10"/>
  <c r="D2407" i="10"/>
  <c r="E2407" i="10"/>
  <c r="F2407" i="10"/>
  <c r="G2407" i="10"/>
  <c r="H2407" i="10"/>
  <c r="I2407" i="10"/>
  <c r="J2407" i="10"/>
  <c r="R2403" i="10" l="1"/>
  <c r="Q2403" i="10"/>
  <c r="P2403" i="10"/>
  <c r="O2403" i="10"/>
  <c r="N2403" i="10"/>
  <c r="M2403" i="10"/>
  <c r="L2403" i="10"/>
  <c r="K2403" i="10"/>
  <c r="C2403" i="10"/>
  <c r="D2403" i="10"/>
  <c r="E2403" i="10"/>
  <c r="F2403" i="10"/>
  <c r="G2403" i="10"/>
  <c r="H2403" i="10"/>
  <c r="I2403" i="10"/>
  <c r="J2403" i="10"/>
  <c r="R2404" i="10"/>
  <c r="Q2404" i="10"/>
  <c r="P2404" i="10"/>
  <c r="O2404" i="10"/>
  <c r="N2404" i="10"/>
  <c r="M2404" i="10"/>
  <c r="L2404" i="10"/>
  <c r="K2404" i="10"/>
  <c r="C2404" i="10"/>
  <c r="D2404" i="10"/>
  <c r="E2404" i="10"/>
  <c r="F2404" i="10"/>
  <c r="G2404" i="10"/>
  <c r="H2404" i="10"/>
  <c r="I2404" i="10"/>
  <c r="J2404" i="10"/>
  <c r="R2402" i="10"/>
  <c r="Q2402" i="10"/>
  <c r="P2402" i="10"/>
  <c r="O2402" i="10"/>
  <c r="N2402" i="10"/>
  <c r="M2402" i="10"/>
  <c r="L2402" i="10"/>
  <c r="K2402" i="10"/>
  <c r="C2402" i="10"/>
  <c r="D2402" i="10"/>
  <c r="E2402" i="10"/>
  <c r="F2402" i="10"/>
  <c r="G2402" i="10"/>
  <c r="H2402" i="10"/>
  <c r="I2402" i="10"/>
  <c r="J2402" i="10"/>
  <c r="K2394" i="10"/>
  <c r="L2394" i="10"/>
  <c r="M2394" i="10"/>
  <c r="N2394" i="10"/>
  <c r="O2394" i="10"/>
  <c r="P2394" i="10"/>
  <c r="Q2394" i="10"/>
  <c r="K2395" i="10"/>
  <c r="L2395" i="10"/>
  <c r="M2395" i="10"/>
  <c r="N2395" i="10"/>
  <c r="O2395" i="10"/>
  <c r="P2395" i="10"/>
  <c r="Q2395" i="10"/>
  <c r="K2396" i="10"/>
  <c r="L2396" i="10"/>
  <c r="M2396" i="10"/>
  <c r="N2396" i="10"/>
  <c r="O2396" i="10"/>
  <c r="P2396" i="10"/>
  <c r="Q2396" i="10"/>
  <c r="K2397" i="10"/>
  <c r="L2397" i="10"/>
  <c r="M2397" i="10"/>
  <c r="N2397" i="10"/>
  <c r="O2397" i="10"/>
  <c r="P2397" i="10"/>
  <c r="Q2397" i="10"/>
  <c r="K2398" i="10"/>
  <c r="L2398" i="10"/>
  <c r="M2398" i="10"/>
  <c r="N2398" i="10"/>
  <c r="O2398" i="10"/>
  <c r="P2398" i="10"/>
  <c r="Q2398" i="10"/>
  <c r="K2399" i="10"/>
  <c r="L2399" i="10"/>
  <c r="M2399" i="10"/>
  <c r="N2399" i="10"/>
  <c r="O2399" i="10"/>
  <c r="P2399" i="10"/>
  <c r="Q2399" i="10"/>
  <c r="R2399" i="10"/>
  <c r="R2398" i="10"/>
  <c r="R2397" i="10"/>
  <c r="R2396" i="10"/>
  <c r="R2395" i="10"/>
  <c r="R2394" i="10"/>
  <c r="C2398" i="10"/>
  <c r="D2398" i="10"/>
  <c r="E2398" i="10"/>
  <c r="F2398" i="10"/>
  <c r="G2398" i="10"/>
  <c r="H2398" i="10"/>
  <c r="I2398" i="10"/>
  <c r="J2398" i="10"/>
  <c r="J2399" i="10"/>
  <c r="C2397" i="10"/>
  <c r="D2397" i="10"/>
  <c r="E2397" i="10"/>
  <c r="F2397" i="10"/>
  <c r="G2397" i="10"/>
  <c r="H2397" i="10"/>
  <c r="I2397" i="10"/>
  <c r="J2397" i="10"/>
  <c r="C2399" i="10"/>
  <c r="D2399" i="10"/>
  <c r="E2399" i="10"/>
  <c r="F2399" i="10"/>
  <c r="G2399" i="10"/>
  <c r="H2399" i="10"/>
  <c r="I2399" i="10"/>
  <c r="C2395" i="10"/>
  <c r="D2395" i="10"/>
  <c r="E2395" i="10"/>
  <c r="F2395" i="10"/>
  <c r="G2395" i="10"/>
  <c r="H2395" i="10"/>
  <c r="I2395" i="10"/>
  <c r="J2395" i="10"/>
  <c r="C2396" i="10"/>
  <c r="D2396" i="10"/>
  <c r="E2396" i="10"/>
  <c r="F2396" i="10"/>
  <c r="G2396" i="10"/>
  <c r="H2396" i="10"/>
  <c r="I2396" i="10"/>
  <c r="J2396" i="10"/>
  <c r="C2394" i="10"/>
  <c r="D2394" i="10"/>
  <c r="E2394" i="10"/>
  <c r="F2394" i="10"/>
  <c r="G2394" i="10"/>
  <c r="H2394" i="10"/>
  <c r="I2394" i="10"/>
  <c r="J2394" i="10"/>
  <c r="K2391" i="10"/>
  <c r="L2391" i="10"/>
  <c r="M2391" i="10"/>
  <c r="N2391" i="10"/>
  <c r="O2391" i="10"/>
  <c r="P2391" i="10"/>
  <c r="Q2391" i="10"/>
  <c r="R2391" i="10"/>
  <c r="K2390" i="10"/>
  <c r="L2390" i="10"/>
  <c r="M2390" i="10"/>
  <c r="N2390" i="10"/>
  <c r="O2390" i="10"/>
  <c r="P2390" i="10"/>
  <c r="Q2390" i="10"/>
  <c r="R2390" i="10"/>
  <c r="K2389" i="10"/>
  <c r="L2389" i="10"/>
  <c r="M2389" i="10"/>
  <c r="N2389" i="10"/>
  <c r="O2389" i="10"/>
  <c r="P2389" i="10"/>
  <c r="Q2389" i="10"/>
  <c r="R2389" i="10"/>
  <c r="K2388" i="10"/>
  <c r="L2388" i="10"/>
  <c r="M2388" i="10"/>
  <c r="N2388" i="10"/>
  <c r="O2388" i="10"/>
  <c r="P2388" i="10"/>
  <c r="Q2388" i="10"/>
  <c r="R2388" i="10"/>
  <c r="K2387" i="10"/>
  <c r="L2387" i="10"/>
  <c r="M2387" i="10"/>
  <c r="N2387" i="10"/>
  <c r="O2387" i="10"/>
  <c r="P2387" i="10"/>
  <c r="Q2387" i="10"/>
  <c r="R2387" i="10"/>
  <c r="L2386" i="10"/>
  <c r="M2386" i="10"/>
  <c r="N2386" i="10"/>
  <c r="O2386" i="10"/>
  <c r="P2386" i="10"/>
  <c r="Q2386" i="10"/>
  <c r="R2386" i="10"/>
  <c r="K2386" i="10"/>
  <c r="C2391" i="10"/>
  <c r="D2391" i="10"/>
  <c r="E2391" i="10"/>
  <c r="F2391" i="10"/>
  <c r="G2391" i="10"/>
  <c r="H2391" i="10"/>
  <c r="I2391" i="10"/>
  <c r="J2391" i="10"/>
  <c r="C2390" i="10"/>
  <c r="D2390" i="10"/>
  <c r="E2390" i="10"/>
  <c r="F2390" i="10"/>
  <c r="G2390" i="10"/>
  <c r="H2390" i="10"/>
  <c r="I2390" i="10"/>
  <c r="J2390" i="10"/>
  <c r="C2389" i="10"/>
  <c r="D2389" i="10"/>
  <c r="E2389" i="10"/>
  <c r="F2389" i="10"/>
  <c r="G2389" i="10"/>
  <c r="H2389" i="10"/>
  <c r="I2389" i="10"/>
  <c r="J2389" i="10"/>
  <c r="J2388" i="10"/>
  <c r="C2388" i="10"/>
  <c r="D2388" i="10"/>
  <c r="E2388" i="10"/>
  <c r="F2388" i="10"/>
  <c r="G2388" i="10"/>
  <c r="H2388" i="10"/>
  <c r="I2388" i="10"/>
  <c r="C2387" i="10"/>
  <c r="D2387" i="10"/>
  <c r="E2387" i="10"/>
  <c r="F2387" i="10"/>
  <c r="G2387" i="10"/>
  <c r="H2387" i="10"/>
  <c r="I2387" i="10"/>
  <c r="J2387" i="10"/>
  <c r="C2386" i="10"/>
  <c r="D2386" i="10"/>
  <c r="E2386" i="10"/>
  <c r="F2386" i="10"/>
  <c r="G2386" i="10"/>
  <c r="H2386" i="10"/>
  <c r="I2386" i="10"/>
  <c r="J2386" i="10"/>
  <c r="K2379" i="10"/>
  <c r="L2379" i="10"/>
  <c r="M2379" i="10"/>
  <c r="N2379" i="10"/>
  <c r="O2379" i="10"/>
  <c r="P2379" i="10"/>
  <c r="Q2379" i="10"/>
  <c r="R2379" i="10"/>
  <c r="K2376" i="10"/>
  <c r="L2376" i="10"/>
  <c r="M2376" i="10"/>
  <c r="N2376" i="10"/>
  <c r="O2376" i="10"/>
  <c r="P2376" i="10"/>
  <c r="Q2376" i="10"/>
  <c r="R2376" i="10"/>
  <c r="K2375" i="10"/>
  <c r="L2375" i="10"/>
  <c r="M2375" i="10"/>
  <c r="N2375" i="10"/>
  <c r="O2375" i="10"/>
  <c r="P2375" i="10"/>
  <c r="Q2375" i="10"/>
  <c r="R2375" i="10"/>
  <c r="K2374" i="10"/>
  <c r="L2374" i="10"/>
  <c r="M2374" i="10"/>
  <c r="N2374" i="10"/>
  <c r="O2374" i="10"/>
  <c r="P2374" i="10"/>
  <c r="Q2374" i="10"/>
  <c r="R2374" i="10"/>
  <c r="K2373" i="10"/>
  <c r="L2373" i="10"/>
  <c r="M2373" i="10"/>
  <c r="N2373" i="10"/>
  <c r="O2373" i="10"/>
  <c r="P2373" i="10"/>
  <c r="Q2373" i="10"/>
  <c r="R2373" i="10"/>
  <c r="R2371" i="10"/>
  <c r="K2372" i="10"/>
  <c r="L2372" i="10"/>
  <c r="M2372" i="10"/>
  <c r="N2372" i="10"/>
  <c r="O2372" i="10"/>
  <c r="P2372" i="10"/>
  <c r="Q2372" i="10"/>
  <c r="R2372" i="10"/>
  <c r="C2376" i="10"/>
  <c r="D2376" i="10"/>
  <c r="E2376" i="10"/>
  <c r="F2376" i="10"/>
  <c r="G2376" i="10"/>
  <c r="H2376" i="10"/>
  <c r="I2376" i="10"/>
  <c r="J2376" i="10"/>
  <c r="C2379" i="10"/>
  <c r="D2379" i="10"/>
  <c r="E2379" i="10"/>
  <c r="F2379" i="10"/>
  <c r="G2379" i="10"/>
  <c r="H2379" i="10"/>
  <c r="I2379" i="10"/>
  <c r="J2379" i="10"/>
  <c r="C2375" i="10"/>
  <c r="D2375" i="10"/>
  <c r="E2375" i="10"/>
  <c r="F2375" i="10"/>
  <c r="G2375" i="10"/>
  <c r="H2375" i="10"/>
  <c r="I2375" i="10"/>
  <c r="J2375" i="10"/>
  <c r="C2374" i="10"/>
  <c r="D2374" i="10"/>
  <c r="E2374" i="10"/>
  <c r="F2374" i="10"/>
  <c r="G2374" i="10"/>
  <c r="H2374" i="10"/>
  <c r="I2374" i="10"/>
  <c r="J2374" i="10"/>
  <c r="C2373" i="10"/>
  <c r="D2373" i="10"/>
  <c r="E2373" i="10"/>
  <c r="F2373" i="10"/>
  <c r="G2373" i="10"/>
  <c r="H2373" i="10"/>
  <c r="I2373" i="10"/>
  <c r="J2373" i="10"/>
  <c r="C2371" i="10"/>
  <c r="D2371" i="10"/>
  <c r="E2371" i="10"/>
  <c r="F2371" i="10"/>
  <c r="G2371" i="10"/>
  <c r="H2371" i="10"/>
  <c r="I2371" i="10"/>
  <c r="C2372" i="10"/>
  <c r="D2372" i="10"/>
  <c r="E2372" i="10"/>
  <c r="F2372" i="10"/>
  <c r="G2372" i="10"/>
  <c r="H2372" i="10"/>
  <c r="I2372" i="10"/>
  <c r="J2372" i="10"/>
  <c r="J2371" i="10"/>
  <c r="C2361" i="10"/>
  <c r="D2361" i="10"/>
  <c r="E2361" i="10"/>
  <c r="F2361" i="10"/>
  <c r="G2361" i="10"/>
  <c r="H2361" i="10"/>
  <c r="I2361" i="10"/>
  <c r="J2361" i="10"/>
  <c r="C2360" i="10"/>
  <c r="D2360" i="10"/>
  <c r="E2360" i="10"/>
  <c r="F2360" i="10"/>
  <c r="G2360" i="10"/>
  <c r="H2360" i="10"/>
  <c r="I2360" i="10"/>
  <c r="J2360" i="10"/>
  <c r="C2359" i="10"/>
  <c r="D2359" i="10"/>
  <c r="E2359" i="10"/>
  <c r="F2359" i="10"/>
  <c r="G2359" i="10"/>
  <c r="H2359" i="10"/>
  <c r="I2359" i="10"/>
  <c r="J2359" i="10"/>
  <c r="C2358" i="10"/>
  <c r="D2358" i="10"/>
  <c r="E2358" i="10"/>
  <c r="F2358" i="10"/>
  <c r="G2358" i="10"/>
  <c r="H2358" i="10"/>
  <c r="I2358" i="10"/>
  <c r="J2358" i="10"/>
  <c r="C2355" i="10"/>
  <c r="D2355" i="10"/>
  <c r="E2355" i="10"/>
  <c r="F2355" i="10"/>
  <c r="G2355" i="10"/>
  <c r="H2355" i="10"/>
  <c r="I2355" i="10"/>
  <c r="J2355" i="10"/>
  <c r="C2354" i="10"/>
  <c r="D2354" i="10"/>
  <c r="E2354" i="10"/>
  <c r="F2354" i="10"/>
  <c r="G2354" i="10"/>
  <c r="H2354" i="10"/>
  <c r="I2354" i="10"/>
  <c r="J2354" i="10"/>
  <c r="C2351" i="10"/>
  <c r="D2351" i="10"/>
  <c r="E2351" i="10"/>
  <c r="F2351" i="10"/>
  <c r="G2351" i="10"/>
  <c r="H2351" i="10"/>
  <c r="I2351" i="10"/>
  <c r="J2351" i="10"/>
  <c r="C2350" i="10"/>
  <c r="D2350" i="10"/>
  <c r="E2350" i="10"/>
  <c r="F2350" i="10"/>
  <c r="G2350" i="10"/>
  <c r="H2350" i="10"/>
  <c r="I2350" i="10"/>
  <c r="J2350" i="10"/>
  <c r="C2349" i="10"/>
  <c r="D2349" i="10"/>
  <c r="E2349" i="10"/>
  <c r="F2349" i="10"/>
  <c r="G2349" i="10"/>
  <c r="H2349" i="10"/>
  <c r="I2349" i="10"/>
  <c r="J2349" i="10"/>
  <c r="C2348" i="10"/>
  <c r="D2348" i="10"/>
  <c r="E2348" i="10"/>
  <c r="F2348" i="10"/>
  <c r="G2348" i="10"/>
  <c r="H2348" i="10"/>
  <c r="I2348" i="10"/>
  <c r="J2348" i="10"/>
  <c r="C2347" i="10"/>
  <c r="D2347" i="10"/>
  <c r="E2347" i="10"/>
  <c r="F2347" i="10"/>
  <c r="G2347" i="10"/>
  <c r="H2347" i="10"/>
  <c r="I2347" i="10"/>
  <c r="J2347" i="10"/>
  <c r="C2346" i="10"/>
  <c r="D2346" i="10"/>
  <c r="E2346" i="10"/>
  <c r="F2346" i="10"/>
  <c r="G2346" i="10"/>
  <c r="H2346" i="10"/>
  <c r="I2346" i="10"/>
  <c r="J2346" i="10"/>
  <c r="J2345" i="10"/>
  <c r="C2345" i="10"/>
  <c r="D2345" i="10"/>
  <c r="E2345" i="10"/>
  <c r="F2345" i="10"/>
  <c r="G2345" i="10"/>
  <c r="H2345" i="10"/>
  <c r="I2345" i="10"/>
  <c r="C2344" i="10"/>
  <c r="D2344" i="10"/>
  <c r="E2344" i="10"/>
  <c r="F2344" i="10"/>
  <c r="G2344" i="10"/>
  <c r="H2344" i="10"/>
  <c r="I2344" i="10"/>
  <c r="J2344" i="10"/>
  <c r="C2343" i="10"/>
  <c r="D2343" i="10"/>
  <c r="E2343" i="10"/>
  <c r="F2343" i="10"/>
  <c r="G2343" i="10"/>
  <c r="H2343" i="10"/>
  <c r="I2343" i="10"/>
  <c r="J2343" i="10"/>
  <c r="C2329" i="10"/>
  <c r="D2329" i="10"/>
  <c r="E2329" i="10"/>
  <c r="F2329" i="10"/>
  <c r="G2329" i="10"/>
  <c r="H2329" i="10"/>
  <c r="I2329" i="10"/>
  <c r="J2329" i="10"/>
  <c r="C2328" i="10"/>
  <c r="D2328" i="10"/>
  <c r="E2328" i="10"/>
  <c r="F2328" i="10"/>
  <c r="G2328" i="10"/>
  <c r="H2328" i="10"/>
  <c r="I2328" i="10"/>
  <c r="J2328" i="10"/>
  <c r="C2327" i="10"/>
  <c r="D2327" i="10"/>
  <c r="E2327" i="10"/>
  <c r="F2327" i="10"/>
  <c r="G2327" i="10"/>
  <c r="H2327" i="10"/>
  <c r="I2327" i="10"/>
  <c r="J2327" i="10"/>
  <c r="C2319" i="10"/>
  <c r="D2319" i="10"/>
  <c r="E2319" i="10"/>
  <c r="F2319" i="10"/>
  <c r="G2319" i="10"/>
  <c r="H2319" i="10"/>
  <c r="I2319" i="10"/>
  <c r="J2319" i="10"/>
  <c r="C2318" i="10"/>
  <c r="D2318" i="10"/>
  <c r="E2318" i="10"/>
  <c r="F2318" i="10"/>
  <c r="G2318" i="10"/>
  <c r="H2318" i="10"/>
  <c r="I2318" i="10"/>
  <c r="J2318" i="10"/>
  <c r="C2313" i="10"/>
  <c r="D2313" i="10"/>
  <c r="E2313" i="10"/>
  <c r="F2313" i="10"/>
  <c r="G2313" i="10"/>
  <c r="H2313" i="10"/>
  <c r="I2313" i="10"/>
  <c r="J2313" i="10"/>
  <c r="C2340" i="10"/>
  <c r="D2340" i="10"/>
  <c r="E2340" i="10"/>
  <c r="C2294" i="10"/>
  <c r="D2294" i="10"/>
  <c r="E2294" i="10"/>
  <c r="F2294" i="10"/>
  <c r="G2294" i="10"/>
  <c r="H2294" i="10"/>
  <c r="I2294" i="10"/>
  <c r="C2293" i="10"/>
  <c r="D2293" i="10"/>
  <c r="E2293" i="10"/>
  <c r="F2293" i="10"/>
  <c r="G2293" i="10"/>
  <c r="H2293" i="10"/>
  <c r="I2293" i="10"/>
  <c r="C2292" i="10"/>
  <c r="D2292" i="10"/>
  <c r="E2292" i="10"/>
  <c r="F2292" i="10"/>
  <c r="G2292" i="10"/>
  <c r="H2292" i="10"/>
  <c r="I2292" i="10"/>
  <c r="C2291" i="10"/>
  <c r="D2291" i="10"/>
  <c r="E2291" i="10"/>
  <c r="F2291" i="10"/>
  <c r="G2291" i="10"/>
  <c r="H2291" i="10"/>
  <c r="I2291" i="10"/>
  <c r="C2288" i="10"/>
  <c r="D2288" i="10"/>
  <c r="E2288" i="10"/>
  <c r="F2288" i="10"/>
  <c r="G2288" i="10"/>
  <c r="H2288" i="10"/>
  <c r="I2288" i="10"/>
  <c r="J2288" i="10"/>
  <c r="C2287" i="10"/>
  <c r="D2287" i="10"/>
  <c r="E2287" i="10"/>
  <c r="F2287" i="10"/>
  <c r="G2287" i="10"/>
  <c r="H2287" i="10"/>
  <c r="I2287" i="10"/>
  <c r="J2287" i="10"/>
  <c r="C2286" i="10"/>
  <c r="D2286" i="10"/>
  <c r="E2286" i="10"/>
  <c r="F2286" i="10"/>
  <c r="G2286" i="10"/>
  <c r="H2286" i="10"/>
  <c r="I2286" i="10"/>
  <c r="J2286" i="10"/>
  <c r="C2283" i="10"/>
  <c r="D2283" i="10"/>
  <c r="E2283" i="10"/>
  <c r="F2283" i="10"/>
  <c r="G2283" i="10"/>
  <c r="H2283" i="10"/>
  <c r="I2283" i="10"/>
  <c r="J2283" i="10"/>
  <c r="C2279" i="10"/>
  <c r="D2279" i="10"/>
  <c r="E2279" i="10"/>
  <c r="F2279" i="10"/>
  <c r="G2279" i="10"/>
  <c r="H2279" i="10"/>
  <c r="I2279" i="10"/>
  <c r="J2279" i="10"/>
  <c r="C2282" i="10"/>
  <c r="D2282" i="10"/>
  <c r="E2282" i="10"/>
  <c r="F2282" i="10"/>
  <c r="G2282" i="10"/>
  <c r="H2282" i="10"/>
  <c r="I2282" i="10"/>
  <c r="J2282" i="10"/>
  <c r="C2281" i="10"/>
  <c r="D2281" i="10"/>
  <c r="E2281" i="10"/>
  <c r="F2281" i="10"/>
  <c r="G2281" i="10"/>
  <c r="H2281" i="10"/>
  <c r="I2281" i="10"/>
  <c r="J2281" i="10"/>
  <c r="C2280" i="10"/>
  <c r="D2280" i="10"/>
  <c r="E2280" i="10"/>
  <c r="F2280" i="10"/>
  <c r="G2280" i="10"/>
  <c r="H2280" i="10"/>
  <c r="I2280" i="10"/>
  <c r="J2280" i="10"/>
  <c r="C2278" i="10"/>
  <c r="D2278" i="10"/>
  <c r="E2278" i="10"/>
  <c r="F2278" i="10"/>
  <c r="G2278" i="10"/>
  <c r="H2278" i="10"/>
  <c r="I2278" i="10"/>
  <c r="J2278" i="10"/>
  <c r="C2275" i="10"/>
  <c r="D2275" i="10"/>
  <c r="E2275" i="10"/>
  <c r="F2275" i="10"/>
  <c r="G2275" i="10"/>
  <c r="H2275" i="10"/>
  <c r="I2275" i="10"/>
  <c r="J2275" i="10"/>
  <c r="J2274" i="10"/>
  <c r="C2274" i="10"/>
  <c r="D2274" i="10"/>
  <c r="E2274" i="10"/>
  <c r="F2274" i="10"/>
  <c r="G2274" i="10"/>
  <c r="H2274" i="10"/>
  <c r="I2274" i="10"/>
  <c r="C2160" i="10"/>
  <c r="D2160" i="10"/>
  <c r="E2160" i="10"/>
  <c r="F2160" i="10"/>
  <c r="G2160" i="10"/>
  <c r="H2160" i="10"/>
  <c r="P2275" i="10" s="1"/>
  <c r="I2160" i="10"/>
  <c r="J2160" i="10"/>
  <c r="C2159" i="10"/>
  <c r="D2159" i="10"/>
  <c r="E2159" i="10"/>
  <c r="F2159" i="10"/>
  <c r="G2159" i="10"/>
  <c r="H2159" i="10"/>
  <c r="I2159" i="10"/>
  <c r="C2273" i="10"/>
  <c r="D2273" i="10"/>
  <c r="E2273" i="10"/>
  <c r="F2273" i="10"/>
  <c r="G2273" i="10"/>
  <c r="H2273" i="10"/>
  <c r="I2273" i="10"/>
  <c r="J2273" i="10"/>
  <c r="C2272" i="10"/>
  <c r="D2272" i="10"/>
  <c r="E2272" i="10"/>
  <c r="F2272" i="10"/>
  <c r="G2272" i="10"/>
  <c r="H2272" i="10"/>
  <c r="I2272" i="10"/>
  <c r="J2272" i="10"/>
  <c r="C2271" i="10"/>
  <c r="D2271" i="10"/>
  <c r="E2271" i="10"/>
  <c r="F2271" i="10"/>
  <c r="G2271" i="10"/>
  <c r="H2271" i="10"/>
  <c r="I2271" i="10"/>
  <c r="J2271" i="10"/>
  <c r="C2270" i="10"/>
  <c r="D2270" i="10"/>
  <c r="E2270" i="10"/>
  <c r="F2270" i="10"/>
  <c r="G2270" i="10"/>
  <c r="H2270" i="10"/>
  <c r="I2270" i="10"/>
  <c r="J2270" i="10"/>
  <c r="C2262" i="10"/>
  <c r="D2262" i="10"/>
  <c r="E2262" i="10"/>
  <c r="F2262" i="10"/>
  <c r="G2262" i="10"/>
  <c r="H2262" i="10"/>
  <c r="I2262" i="10"/>
  <c r="J2262" i="10"/>
  <c r="C2261" i="10"/>
  <c r="D2261" i="10"/>
  <c r="E2261" i="10"/>
  <c r="F2261" i="10"/>
  <c r="G2261" i="10"/>
  <c r="H2261" i="10"/>
  <c r="I2261" i="10"/>
  <c r="J2261" i="10"/>
  <c r="C2260" i="10"/>
  <c r="D2260" i="10"/>
  <c r="E2260" i="10"/>
  <c r="F2260" i="10"/>
  <c r="G2260" i="10"/>
  <c r="H2260" i="10"/>
  <c r="I2260" i="10"/>
  <c r="J2260" i="10"/>
  <c r="C2263" i="10"/>
  <c r="D2263" i="10"/>
  <c r="E2263" i="10"/>
  <c r="F2263" i="10"/>
  <c r="G2263" i="10"/>
  <c r="H2263" i="10"/>
  <c r="I2263" i="10"/>
  <c r="J2263" i="10"/>
  <c r="C2259" i="10"/>
  <c r="D2259" i="10"/>
  <c r="E2259" i="10"/>
  <c r="F2259" i="10"/>
  <c r="G2259" i="10"/>
  <c r="H2259" i="10"/>
  <c r="I2259" i="10"/>
  <c r="J2259" i="10"/>
  <c r="C2256" i="10"/>
  <c r="D2256" i="10"/>
  <c r="E2256" i="10"/>
  <c r="F2256" i="10"/>
  <c r="G2256" i="10"/>
  <c r="H2256" i="10"/>
  <c r="I2256" i="10"/>
  <c r="J2256" i="10"/>
  <c r="C2258" i="10"/>
  <c r="D2258" i="10"/>
  <c r="E2258" i="10"/>
  <c r="F2258" i="10"/>
  <c r="G2258" i="10"/>
  <c r="H2258" i="10"/>
  <c r="I2258" i="10"/>
  <c r="J2258" i="10"/>
  <c r="C2257" i="10"/>
  <c r="D2257" i="10"/>
  <c r="E2257" i="10"/>
  <c r="F2257" i="10"/>
  <c r="G2257" i="10"/>
  <c r="H2257" i="10"/>
  <c r="I2257" i="10"/>
  <c r="J2257" i="10"/>
  <c r="C2255" i="10"/>
  <c r="D2255" i="10"/>
  <c r="E2255" i="10"/>
  <c r="F2255" i="10"/>
  <c r="G2255" i="10"/>
  <c r="H2255" i="10"/>
  <c r="I2255" i="10"/>
  <c r="J2255" i="10"/>
  <c r="C2147" i="10"/>
  <c r="D2147" i="10"/>
  <c r="E2147" i="10"/>
  <c r="F2147" i="10"/>
  <c r="G2147" i="10"/>
  <c r="H2147" i="10"/>
  <c r="I2147" i="10"/>
  <c r="J2147" i="10"/>
  <c r="C2146" i="10"/>
  <c r="D2146" i="10"/>
  <c r="E2146" i="10"/>
  <c r="F2146" i="10"/>
  <c r="G2146" i="10"/>
  <c r="H2146" i="10"/>
  <c r="I2146" i="10"/>
  <c r="J2146" i="10"/>
  <c r="N2261" i="10" l="1"/>
  <c r="L2275" i="10"/>
  <c r="R2262" i="10"/>
  <c r="R2275" i="10"/>
  <c r="R2261" i="10"/>
  <c r="P2159" i="10"/>
  <c r="L2159" i="10"/>
  <c r="O2159" i="10"/>
  <c r="N2274" i="10"/>
  <c r="P2262" i="10"/>
  <c r="L2262" i="10"/>
  <c r="O2275" i="10"/>
  <c r="K2275" i="10"/>
  <c r="O2274" i="10"/>
  <c r="K2274" i="10"/>
  <c r="N2262" i="10"/>
  <c r="P2274" i="10"/>
  <c r="L2274" i="10"/>
  <c r="Q2275" i="10"/>
  <c r="M2275" i="10"/>
  <c r="Q2261" i="10"/>
  <c r="M2261" i="10"/>
  <c r="Q2262" i="10"/>
  <c r="M2262" i="10"/>
  <c r="P2261" i="10"/>
  <c r="L2261" i="10"/>
  <c r="O2261" i="10"/>
  <c r="K2261" i="10"/>
  <c r="O2262" i="10"/>
  <c r="K2262" i="10"/>
  <c r="Q2274" i="10"/>
  <c r="M2274" i="10"/>
  <c r="N2275" i="10"/>
  <c r="N2159" i="10"/>
  <c r="Q2159" i="10"/>
  <c r="M2159" i="10"/>
  <c r="O2147" i="10"/>
  <c r="P2146" i="10"/>
  <c r="L2146" i="10"/>
  <c r="P2147" i="10"/>
  <c r="L2147" i="10"/>
  <c r="N2146" i="10"/>
  <c r="R2147" i="10"/>
  <c r="N2147" i="10"/>
  <c r="Q2146" i="10"/>
  <c r="M2146" i="10"/>
  <c r="Q2147" i="10"/>
  <c r="M2147" i="10"/>
  <c r="O2146" i="10"/>
  <c r="R2146" i="10"/>
  <c r="C2246" i="10" l="1"/>
  <c r="K2361" i="10" s="1"/>
  <c r="D2246" i="10"/>
  <c r="L2361" i="10" s="1"/>
  <c r="E2246" i="10"/>
  <c r="M2361" i="10" s="1"/>
  <c r="F2246" i="10"/>
  <c r="N2361" i="10" s="1"/>
  <c r="G2246" i="10"/>
  <c r="O2361" i="10" s="1"/>
  <c r="H2246" i="10"/>
  <c r="P2361" i="10" s="1"/>
  <c r="I2246" i="10"/>
  <c r="Q2361" i="10" s="1"/>
  <c r="J2246" i="10"/>
  <c r="R2361" i="10" s="1"/>
  <c r="C2245" i="10"/>
  <c r="K2360" i="10" s="1"/>
  <c r="D2245" i="10"/>
  <c r="L2360" i="10" s="1"/>
  <c r="E2245" i="10"/>
  <c r="M2360" i="10" s="1"/>
  <c r="F2245" i="10"/>
  <c r="N2360" i="10" s="1"/>
  <c r="G2245" i="10"/>
  <c r="O2360" i="10" s="1"/>
  <c r="H2245" i="10"/>
  <c r="P2360" i="10" s="1"/>
  <c r="I2245" i="10"/>
  <c r="Q2360" i="10" s="1"/>
  <c r="J2245" i="10"/>
  <c r="R2360" i="10" s="1"/>
  <c r="C2244" i="10"/>
  <c r="K2359" i="10" s="1"/>
  <c r="D2244" i="10"/>
  <c r="L2359" i="10" s="1"/>
  <c r="E2244" i="10"/>
  <c r="M2359" i="10" s="1"/>
  <c r="F2244" i="10"/>
  <c r="N2359" i="10" s="1"/>
  <c r="G2244" i="10"/>
  <c r="O2359" i="10" s="1"/>
  <c r="H2244" i="10"/>
  <c r="P2359" i="10" s="1"/>
  <c r="I2244" i="10"/>
  <c r="Q2359" i="10" s="1"/>
  <c r="J2244" i="10"/>
  <c r="R2359" i="10" s="1"/>
  <c r="C2243" i="10"/>
  <c r="K2358" i="10" s="1"/>
  <c r="D2243" i="10"/>
  <c r="L2358" i="10" s="1"/>
  <c r="E2243" i="10"/>
  <c r="M2358" i="10" s="1"/>
  <c r="F2243" i="10"/>
  <c r="N2358" i="10" s="1"/>
  <c r="G2243" i="10"/>
  <c r="O2358" i="10" s="1"/>
  <c r="H2243" i="10"/>
  <c r="P2358" i="10" s="1"/>
  <c r="I2243" i="10"/>
  <c r="Q2358" i="10" s="1"/>
  <c r="J2243" i="10"/>
  <c r="R2358" i="10" s="1"/>
  <c r="C2236" i="10"/>
  <c r="D2236" i="10"/>
  <c r="L2351" i="10" s="1"/>
  <c r="E2236" i="10"/>
  <c r="M2351" i="10" s="1"/>
  <c r="F2236" i="10"/>
  <c r="N2351" i="10" s="1"/>
  <c r="G2236" i="10"/>
  <c r="O2351" i="10" s="1"/>
  <c r="H2236" i="10"/>
  <c r="P2351" i="10" s="1"/>
  <c r="I2236" i="10"/>
  <c r="Q2351" i="10" s="1"/>
  <c r="J2236" i="10"/>
  <c r="R2351" i="10" s="1"/>
  <c r="C2235" i="10"/>
  <c r="D2235" i="10"/>
  <c r="L2350" i="10" s="1"/>
  <c r="E2235" i="10"/>
  <c r="M2350" i="10" s="1"/>
  <c r="F2235" i="10"/>
  <c r="N2350" i="10" s="1"/>
  <c r="G2235" i="10"/>
  <c r="O2350" i="10" s="1"/>
  <c r="H2235" i="10"/>
  <c r="P2350" i="10" s="1"/>
  <c r="I2235" i="10"/>
  <c r="Q2350" i="10" s="1"/>
  <c r="J2235" i="10"/>
  <c r="R2350" i="10" s="1"/>
  <c r="C2234" i="10"/>
  <c r="D2234" i="10"/>
  <c r="L2349" i="10" s="1"/>
  <c r="E2234" i="10"/>
  <c r="M2349" i="10" s="1"/>
  <c r="F2234" i="10"/>
  <c r="N2349" i="10" s="1"/>
  <c r="G2234" i="10"/>
  <c r="O2349" i="10" s="1"/>
  <c r="H2234" i="10"/>
  <c r="P2349" i="10" s="1"/>
  <c r="I2234" i="10"/>
  <c r="Q2349" i="10" s="1"/>
  <c r="J2234" i="10"/>
  <c r="R2349" i="10" s="1"/>
  <c r="C2233" i="10"/>
  <c r="D2233" i="10"/>
  <c r="L2348" i="10" s="1"/>
  <c r="E2233" i="10"/>
  <c r="M2348" i="10" s="1"/>
  <c r="F2233" i="10"/>
  <c r="N2348" i="10" s="1"/>
  <c r="G2233" i="10"/>
  <c r="O2348" i="10" s="1"/>
  <c r="H2233" i="10"/>
  <c r="P2348" i="10" s="1"/>
  <c r="I2233" i="10"/>
  <c r="Q2348" i="10" s="1"/>
  <c r="J2233" i="10"/>
  <c r="R2348" i="10" s="1"/>
  <c r="C2232" i="10"/>
  <c r="D2232" i="10"/>
  <c r="L2347" i="10" s="1"/>
  <c r="E2232" i="10"/>
  <c r="M2347" i="10" s="1"/>
  <c r="F2232" i="10"/>
  <c r="N2347" i="10" s="1"/>
  <c r="G2232" i="10"/>
  <c r="O2347" i="10" s="1"/>
  <c r="H2232" i="10"/>
  <c r="P2347" i="10" s="1"/>
  <c r="I2232" i="10"/>
  <c r="Q2347" i="10" s="1"/>
  <c r="J2232" i="10"/>
  <c r="R2347" i="10" s="1"/>
  <c r="C2231" i="10"/>
  <c r="D2231" i="10"/>
  <c r="L2346" i="10" s="1"/>
  <c r="E2231" i="10"/>
  <c r="M2346" i="10" s="1"/>
  <c r="F2231" i="10"/>
  <c r="N2346" i="10" s="1"/>
  <c r="G2231" i="10"/>
  <c r="O2346" i="10" s="1"/>
  <c r="H2231" i="10"/>
  <c r="P2346" i="10" s="1"/>
  <c r="I2231" i="10"/>
  <c r="Q2346" i="10" s="1"/>
  <c r="J2231" i="10"/>
  <c r="R2346" i="10" s="1"/>
  <c r="C2230" i="10"/>
  <c r="D2230" i="10"/>
  <c r="L2345" i="10" s="1"/>
  <c r="E2230" i="10"/>
  <c r="M2345" i="10" s="1"/>
  <c r="F2230" i="10"/>
  <c r="N2345" i="10" s="1"/>
  <c r="G2230" i="10"/>
  <c r="O2345" i="10" s="1"/>
  <c r="H2230" i="10"/>
  <c r="P2345" i="10" s="1"/>
  <c r="I2230" i="10"/>
  <c r="Q2345" i="10" s="1"/>
  <c r="J2230" i="10"/>
  <c r="R2345" i="10" s="1"/>
  <c r="C2229" i="10"/>
  <c r="D2229" i="10"/>
  <c r="L2344" i="10" s="1"/>
  <c r="E2229" i="10"/>
  <c r="M2344" i="10" s="1"/>
  <c r="F2229" i="10"/>
  <c r="N2344" i="10" s="1"/>
  <c r="G2229" i="10"/>
  <c r="O2344" i="10" s="1"/>
  <c r="H2229" i="10"/>
  <c r="P2344" i="10" s="1"/>
  <c r="I2229" i="10"/>
  <c r="Q2344" i="10" s="1"/>
  <c r="J2229" i="10"/>
  <c r="R2344" i="10" s="1"/>
  <c r="C2228" i="10"/>
  <c r="K2343" i="10" s="1"/>
  <c r="D2228" i="10"/>
  <c r="L2343" i="10" s="1"/>
  <c r="E2228" i="10"/>
  <c r="M2343" i="10" s="1"/>
  <c r="F2228" i="10"/>
  <c r="N2343" i="10" s="1"/>
  <c r="G2228" i="10"/>
  <c r="O2343" i="10" s="1"/>
  <c r="H2228" i="10"/>
  <c r="P2343" i="10" s="1"/>
  <c r="I2228" i="10"/>
  <c r="Q2343" i="10" s="1"/>
  <c r="J2228" i="10"/>
  <c r="R2343" i="10" s="1"/>
  <c r="C2240" i="10"/>
  <c r="K2355" i="10" s="1"/>
  <c r="D2240" i="10"/>
  <c r="L2355" i="10" s="1"/>
  <c r="E2240" i="10"/>
  <c r="M2355" i="10" s="1"/>
  <c r="F2240" i="10"/>
  <c r="N2355" i="10" s="1"/>
  <c r="G2240" i="10"/>
  <c r="O2355" i="10" s="1"/>
  <c r="H2240" i="10"/>
  <c r="P2355" i="10" s="1"/>
  <c r="I2240" i="10"/>
  <c r="Q2355" i="10" s="1"/>
  <c r="J2240" i="10"/>
  <c r="R2355" i="10" s="1"/>
  <c r="C2239" i="10"/>
  <c r="K2354" i="10" s="1"/>
  <c r="D2239" i="10"/>
  <c r="L2354" i="10" s="1"/>
  <c r="E2239" i="10"/>
  <c r="M2354" i="10" s="1"/>
  <c r="F2239" i="10"/>
  <c r="N2354" i="10" s="1"/>
  <c r="G2239" i="10"/>
  <c r="O2354" i="10" s="1"/>
  <c r="H2239" i="10"/>
  <c r="P2354" i="10" s="1"/>
  <c r="I2239" i="10"/>
  <c r="Q2354" i="10" s="1"/>
  <c r="J2239" i="10"/>
  <c r="R2354" i="10" s="1"/>
  <c r="C2214" i="10"/>
  <c r="K2329" i="10" s="1"/>
  <c r="D2214" i="10"/>
  <c r="L2329" i="10" s="1"/>
  <c r="E2214" i="10"/>
  <c r="M2329" i="10" s="1"/>
  <c r="F2214" i="10"/>
  <c r="N2329" i="10" s="1"/>
  <c r="G2214" i="10"/>
  <c r="O2329" i="10" s="1"/>
  <c r="H2214" i="10"/>
  <c r="P2329" i="10" s="1"/>
  <c r="I2214" i="10"/>
  <c r="Q2329" i="10" s="1"/>
  <c r="C2213" i="10"/>
  <c r="K2328" i="10" s="1"/>
  <c r="D2213" i="10"/>
  <c r="L2328" i="10" s="1"/>
  <c r="E2213" i="10"/>
  <c r="M2328" i="10" s="1"/>
  <c r="F2213" i="10"/>
  <c r="N2328" i="10" s="1"/>
  <c r="G2213" i="10"/>
  <c r="O2328" i="10" s="1"/>
  <c r="H2213" i="10"/>
  <c r="P2328" i="10" s="1"/>
  <c r="I2213" i="10"/>
  <c r="Q2328" i="10" s="1"/>
  <c r="C2212" i="10"/>
  <c r="K2327" i="10" s="1"/>
  <c r="D2212" i="10"/>
  <c r="L2327" i="10" s="1"/>
  <c r="E2212" i="10"/>
  <c r="M2327" i="10" s="1"/>
  <c r="F2212" i="10"/>
  <c r="N2327" i="10" s="1"/>
  <c r="G2212" i="10"/>
  <c r="O2327" i="10" s="1"/>
  <c r="H2212" i="10"/>
  <c r="P2327" i="10" s="1"/>
  <c r="I2212" i="10"/>
  <c r="Q2327" i="10" s="1"/>
  <c r="J2212" i="10"/>
  <c r="R2327" i="10" s="1"/>
  <c r="C2204" i="10"/>
  <c r="K2319" i="10" s="1"/>
  <c r="D2204" i="10"/>
  <c r="L2319" i="10" s="1"/>
  <c r="E2204" i="10"/>
  <c r="M2319" i="10" s="1"/>
  <c r="F2204" i="10"/>
  <c r="N2319" i="10" s="1"/>
  <c r="G2204" i="10"/>
  <c r="O2319" i="10" s="1"/>
  <c r="H2204" i="10"/>
  <c r="P2319" i="10" s="1"/>
  <c r="I2204" i="10"/>
  <c r="Q2319" i="10" s="1"/>
  <c r="J2204" i="10"/>
  <c r="R2319" i="10" s="1"/>
  <c r="C2203" i="10"/>
  <c r="K2318" i="10" s="1"/>
  <c r="D2203" i="10"/>
  <c r="L2318" i="10" s="1"/>
  <c r="E2203" i="10"/>
  <c r="M2318" i="10" s="1"/>
  <c r="F2203" i="10"/>
  <c r="N2318" i="10" s="1"/>
  <c r="G2203" i="10"/>
  <c r="O2318" i="10" s="1"/>
  <c r="H2203" i="10"/>
  <c r="P2318" i="10" s="1"/>
  <c r="I2203" i="10"/>
  <c r="Q2318" i="10" s="1"/>
  <c r="J2203" i="10"/>
  <c r="R2318" i="10" s="1"/>
  <c r="C2202" i="10"/>
  <c r="D2202" i="10"/>
  <c r="E2202" i="10"/>
  <c r="F2202" i="10"/>
  <c r="G2202" i="10"/>
  <c r="H2202" i="10"/>
  <c r="I2202" i="10"/>
  <c r="J2202" i="10"/>
  <c r="L2219" i="10"/>
  <c r="M2219" i="10"/>
  <c r="N2219" i="10"/>
  <c r="O2219" i="10"/>
  <c r="P2219" i="10"/>
  <c r="Q2219" i="10"/>
  <c r="C2198" i="10"/>
  <c r="K2313" i="10" s="1"/>
  <c r="D2198" i="10"/>
  <c r="L2313" i="10" s="1"/>
  <c r="E2198" i="10"/>
  <c r="M2313" i="10" s="1"/>
  <c r="F2198" i="10"/>
  <c r="N2313" i="10" s="1"/>
  <c r="G2198" i="10"/>
  <c r="O2313" i="10" s="1"/>
  <c r="H2198" i="10"/>
  <c r="P2313" i="10" s="1"/>
  <c r="I2198" i="10"/>
  <c r="Q2313" i="10" s="1"/>
  <c r="J2198" i="10"/>
  <c r="R2313" i="10" s="1"/>
  <c r="C2225" i="10"/>
  <c r="K2340" i="10" s="1"/>
  <c r="D2225" i="10"/>
  <c r="L2340" i="10" s="1"/>
  <c r="E2225" i="10"/>
  <c r="M2340" i="10" s="1"/>
  <c r="C2224" i="10"/>
  <c r="D2224" i="10"/>
  <c r="E2224" i="10"/>
  <c r="F2224" i="10"/>
  <c r="G2224" i="10"/>
  <c r="H2224" i="10"/>
  <c r="I2224" i="10"/>
  <c r="J2224" i="10"/>
  <c r="C2223" i="10"/>
  <c r="D2223" i="10"/>
  <c r="E2223" i="10"/>
  <c r="F2223" i="10"/>
  <c r="G2223" i="10"/>
  <c r="H2223" i="10"/>
  <c r="I2223" i="10"/>
  <c r="J2223" i="10"/>
  <c r="C2222" i="10"/>
  <c r="C2221" i="10"/>
  <c r="K2336" i="10" s="1"/>
  <c r="D2221" i="10"/>
  <c r="L2336" i="10" s="1"/>
  <c r="E2221" i="10"/>
  <c r="M2336" i="10" s="1"/>
  <c r="F2221" i="10"/>
  <c r="N2336" i="10" s="1"/>
  <c r="G2221" i="10"/>
  <c r="O2336" i="10" s="1"/>
  <c r="H2221" i="10"/>
  <c r="P2336" i="10" s="1"/>
  <c r="I2221" i="10"/>
  <c r="Q2336" i="10" s="1"/>
  <c r="C2218" i="10"/>
  <c r="D2218" i="10"/>
  <c r="E2218" i="10"/>
  <c r="F2218" i="10"/>
  <c r="G2218" i="10"/>
  <c r="H2218" i="10"/>
  <c r="I2218" i="10"/>
  <c r="K2344" i="10" l="1"/>
  <c r="K2229" i="10"/>
  <c r="K2345" i="10"/>
  <c r="K2230" i="10"/>
  <c r="K2346" i="10"/>
  <c r="K2231" i="10"/>
  <c r="K2347" i="10"/>
  <c r="K2232" i="10"/>
  <c r="K2348" i="10"/>
  <c r="K2233" i="10"/>
  <c r="K2349" i="10"/>
  <c r="K2234" i="10"/>
  <c r="K2350" i="10"/>
  <c r="K2235" i="10"/>
  <c r="K2351" i="10"/>
  <c r="K2236" i="10"/>
  <c r="P2243" i="10"/>
  <c r="L2243" i="10"/>
  <c r="P2244" i="10"/>
  <c r="L2244" i="10"/>
  <c r="P2245" i="10"/>
  <c r="L2245" i="10"/>
  <c r="P2246" i="10"/>
  <c r="L2246" i="10"/>
  <c r="Q2229" i="10"/>
  <c r="M2229" i="10"/>
  <c r="Q2231" i="10"/>
  <c r="M2231" i="10"/>
  <c r="Q2232" i="10"/>
  <c r="M2232" i="10"/>
  <c r="Q2233" i="10"/>
  <c r="M2233" i="10"/>
  <c r="Q2235" i="10"/>
  <c r="M2235" i="10"/>
  <c r="Q2236" i="10"/>
  <c r="M2236" i="10"/>
  <c r="Q2243" i="10"/>
  <c r="M2243" i="10"/>
  <c r="M2244" i="10"/>
  <c r="M2245" i="10"/>
  <c r="Q2246" i="10"/>
  <c r="M2246" i="10"/>
  <c r="O2243" i="10"/>
  <c r="O2244" i="10"/>
  <c r="O2246" i="10"/>
  <c r="Q2218" i="10"/>
  <c r="M2218" i="10"/>
  <c r="Q2244" i="10"/>
  <c r="P2228" i="10"/>
  <c r="P2230" i="10"/>
  <c r="L2230" i="10"/>
  <c r="P2234" i="10"/>
  <c r="Q2245" i="10"/>
  <c r="L2234" i="10"/>
  <c r="O2221" i="10"/>
  <c r="R2223" i="10"/>
  <c r="O2245" i="10"/>
  <c r="R2231" i="10"/>
  <c r="N2231" i="10"/>
  <c r="R2232" i="10"/>
  <c r="N2232" i="10"/>
  <c r="R2235" i="10"/>
  <c r="N2235" i="10"/>
  <c r="R2236" i="10"/>
  <c r="R2243" i="10"/>
  <c r="N2243" i="10"/>
  <c r="R2244" i="10"/>
  <c r="N2244" i="10"/>
  <c r="R2245" i="10"/>
  <c r="N2245" i="10"/>
  <c r="R2246" i="10"/>
  <c r="N2246" i="10"/>
  <c r="O2229" i="10"/>
  <c r="O2231" i="10"/>
  <c r="O2232" i="10"/>
  <c r="O2233" i="10"/>
  <c r="O2235" i="10"/>
  <c r="O2236" i="10"/>
  <c r="Q2228" i="10"/>
  <c r="M2228" i="10"/>
  <c r="P2229" i="10"/>
  <c r="L2229" i="10"/>
  <c r="Q2230" i="10"/>
  <c r="M2230" i="10"/>
  <c r="P2231" i="10"/>
  <c r="L2231" i="10"/>
  <c r="P2232" i="10"/>
  <c r="L2232" i="10"/>
  <c r="P2233" i="10"/>
  <c r="L2233" i="10"/>
  <c r="Q2234" i="10"/>
  <c r="M2234" i="10"/>
  <c r="P2235" i="10"/>
  <c r="L2235" i="10"/>
  <c r="P2236" i="10"/>
  <c r="L2236" i="10"/>
  <c r="N2236" i="10"/>
  <c r="R2228" i="10"/>
  <c r="N2228" i="10"/>
  <c r="R2229" i="10"/>
  <c r="N2229" i="10"/>
  <c r="R2230" i="10"/>
  <c r="N2230" i="10"/>
  <c r="R2233" i="10"/>
  <c r="N2233" i="10"/>
  <c r="R2234" i="10"/>
  <c r="N2234" i="10"/>
  <c r="L2228" i="10"/>
  <c r="O2228" i="10"/>
  <c r="O2234" i="10"/>
  <c r="O2230" i="10"/>
  <c r="Q2212" i="10"/>
  <c r="M2212" i="10"/>
  <c r="M2213" i="10"/>
  <c r="Q2214" i="10"/>
  <c r="M2214" i="10"/>
  <c r="Q2240" i="10"/>
  <c r="M2240" i="10"/>
  <c r="N2223" i="10"/>
  <c r="R2224" i="10"/>
  <c r="N2224" i="10"/>
  <c r="R2198" i="10"/>
  <c r="P2202" i="10"/>
  <c r="L2202" i="10"/>
  <c r="P2203" i="10"/>
  <c r="L2203" i="10"/>
  <c r="P2204" i="10"/>
  <c r="L2204" i="10"/>
  <c r="L2212" i="10"/>
  <c r="P2213" i="10"/>
  <c r="L2213" i="10"/>
  <c r="P2214" i="10"/>
  <c r="L2214" i="10"/>
  <c r="L2239" i="10"/>
  <c r="P2240" i="10"/>
  <c r="L2240" i="10"/>
  <c r="Q2213" i="10"/>
  <c r="M2225" i="10"/>
  <c r="O2202" i="10"/>
  <c r="O2203" i="10"/>
  <c r="O2204" i="10"/>
  <c r="Q2202" i="10"/>
  <c r="N2202" i="10"/>
  <c r="Q2203" i="10"/>
  <c r="M2203" i="10"/>
  <c r="Q2204" i="10"/>
  <c r="M2204" i="10"/>
  <c r="O2213" i="10"/>
  <c r="O2214" i="10"/>
  <c r="O2240" i="10"/>
  <c r="N2213" i="10"/>
  <c r="Q2239" i="10"/>
  <c r="Q2198" i="10"/>
  <c r="M2198" i="10"/>
  <c r="P2212" i="10"/>
  <c r="O2239" i="10"/>
  <c r="O2218" i="10"/>
  <c r="Q2221" i="10"/>
  <c r="M2221" i="10"/>
  <c r="P2223" i="10"/>
  <c r="L2223" i="10"/>
  <c r="P2224" i="10"/>
  <c r="L2224" i="10"/>
  <c r="L2225" i="10"/>
  <c r="P2198" i="10"/>
  <c r="L2198" i="10"/>
  <c r="R2203" i="10"/>
  <c r="N2203" i="10"/>
  <c r="R2204" i="10"/>
  <c r="N2204" i="10"/>
  <c r="R2212" i="10"/>
  <c r="N2212" i="10"/>
  <c r="N2214" i="10"/>
  <c r="R2239" i="10"/>
  <c r="N2239" i="10"/>
  <c r="R2240" i="10"/>
  <c r="N2240" i="10"/>
  <c r="R2202" i="10"/>
  <c r="M2202" i="10"/>
  <c r="O2212" i="10"/>
  <c r="P2239" i="10"/>
  <c r="M2239" i="10"/>
  <c r="P2218" i="10"/>
  <c r="L2218" i="10"/>
  <c r="N2221" i="10"/>
  <c r="Q2224" i="10"/>
  <c r="M2224" i="10"/>
  <c r="O2223" i="10"/>
  <c r="P2221" i="10"/>
  <c r="L2221" i="10"/>
  <c r="O2224" i="10"/>
  <c r="N2198" i="10"/>
  <c r="O2198" i="10"/>
  <c r="N2218" i="10"/>
  <c r="M2223" i="10"/>
  <c r="Q2223" i="10"/>
  <c r="K2304" i="10"/>
  <c r="L2304" i="10"/>
  <c r="M2304" i="10"/>
  <c r="N2304" i="10"/>
  <c r="O2304" i="10"/>
  <c r="P2304" i="10"/>
  <c r="Q2304" i="10"/>
  <c r="R2304" i="10"/>
  <c r="K2303" i="10"/>
  <c r="L2303" i="10"/>
  <c r="M2303" i="10"/>
  <c r="N2303" i="10"/>
  <c r="O2303" i="10"/>
  <c r="P2303" i="10"/>
  <c r="Q2303" i="10"/>
  <c r="R2303" i="10"/>
  <c r="C2182" i="10"/>
  <c r="D2182" i="10"/>
  <c r="E2182" i="10"/>
  <c r="F2182" i="10"/>
  <c r="G2182" i="10"/>
  <c r="H2182" i="10"/>
  <c r="I2182" i="10"/>
  <c r="J2182" i="10"/>
  <c r="C2179" i="10"/>
  <c r="K2294" i="10" s="1"/>
  <c r="D2179" i="10"/>
  <c r="L2294" i="10" s="1"/>
  <c r="E2179" i="10"/>
  <c r="M2294" i="10" s="1"/>
  <c r="F2179" i="10"/>
  <c r="N2294" i="10" s="1"/>
  <c r="G2179" i="10"/>
  <c r="H2179" i="10"/>
  <c r="P2294" i="10" s="1"/>
  <c r="I2179" i="10"/>
  <c r="Q2294" i="10" s="1"/>
  <c r="J2179" i="10"/>
  <c r="C2178" i="10"/>
  <c r="K2293" i="10" s="1"/>
  <c r="D2178" i="10"/>
  <c r="L2293" i="10" s="1"/>
  <c r="E2178" i="10"/>
  <c r="M2293" i="10" s="1"/>
  <c r="F2178" i="10"/>
  <c r="N2293" i="10" s="1"/>
  <c r="G2178" i="10"/>
  <c r="H2178" i="10"/>
  <c r="P2293" i="10" s="1"/>
  <c r="I2178" i="10"/>
  <c r="Q2293" i="10" s="1"/>
  <c r="J2178" i="10"/>
  <c r="C2177" i="10"/>
  <c r="K2292" i="10" s="1"/>
  <c r="D2177" i="10"/>
  <c r="L2292" i="10" s="1"/>
  <c r="E2177" i="10"/>
  <c r="M2292" i="10" s="1"/>
  <c r="F2177" i="10"/>
  <c r="N2292" i="10" s="1"/>
  <c r="G2177" i="10"/>
  <c r="H2177" i="10"/>
  <c r="P2292" i="10" s="1"/>
  <c r="I2177" i="10"/>
  <c r="Q2292" i="10" s="1"/>
  <c r="J2177" i="10"/>
  <c r="C2176" i="10"/>
  <c r="K2291" i="10" s="1"/>
  <c r="D2176" i="10"/>
  <c r="L2291" i="10" s="1"/>
  <c r="E2176" i="10"/>
  <c r="M2291" i="10" s="1"/>
  <c r="F2176" i="10"/>
  <c r="N2291" i="10" s="1"/>
  <c r="G2176" i="10"/>
  <c r="H2176" i="10"/>
  <c r="P2291" i="10" s="1"/>
  <c r="I2176" i="10"/>
  <c r="Q2291" i="10" s="1"/>
  <c r="J2176" i="10"/>
  <c r="C2172" i="10"/>
  <c r="K2287" i="10" s="1"/>
  <c r="D2172" i="10"/>
  <c r="L2287" i="10" s="1"/>
  <c r="E2172" i="10"/>
  <c r="M2287" i="10" s="1"/>
  <c r="F2172" i="10"/>
  <c r="N2287" i="10" s="1"/>
  <c r="G2172" i="10"/>
  <c r="H2172" i="10"/>
  <c r="P2287" i="10" s="1"/>
  <c r="I2172" i="10"/>
  <c r="Q2287" i="10" s="1"/>
  <c r="J2172" i="10"/>
  <c r="R2287" i="10" s="1"/>
  <c r="C2173" i="10"/>
  <c r="K2288" i="10" s="1"/>
  <c r="D2173" i="10"/>
  <c r="L2288" i="10" s="1"/>
  <c r="E2173" i="10"/>
  <c r="M2288" i="10" s="1"/>
  <c r="F2173" i="10"/>
  <c r="N2288" i="10" s="1"/>
  <c r="G2173" i="10"/>
  <c r="H2173" i="10"/>
  <c r="P2288" i="10" s="1"/>
  <c r="I2173" i="10"/>
  <c r="Q2288" i="10" s="1"/>
  <c r="J2173" i="10"/>
  <c r="R2288" i="10" s="1"/>
  <c r="J2171" i="10"/>
  <c r="R2286" i="10" s="1"/>
  <c r="C2171" i="10"/>
  <c r="K2286" i="10" s="1"/>
  <c r="D2171" i="10"/>
  <c r="L2286" i="10" s="1"/>
  <c r="E2171" i="10"/>
  <c r="M2286" i="10" s="1"/>
  <c r="F2171" i="10"/>
  <c r="G2171" i="10"/>
  <c r="O2286" i="10" s="1"/>
  <c r="H2171" i="10"/>
  <c r="P2286" i="10" s="1"/>
  <c r="I2171" i="10"/>
  <c r="Q2286" i="10" s="1"/>
  <c r="C2164" i="10"/>
  <c r="K2279" i="10" s="1"/>
  <c r="D2164" i="10"/>
  <c r="L2279" i="10" s="1"/>
  <c r="E2164" i="10"/>
  <c r="M2279" i="10" s="1"/>
  <c r="F2164" i="10"/>
  <c r="N2279" i="10" s="1"/>
  <c r="G2164" i="10"/>
  <c r="H2164" i="10"/>
  <c r="P2279" i="10" s="1"/>
  <c r="I2164" i="10"/>
  <c r="Q2279" i="10" s="1"/>
  <c r="J2164" i="10"/>
  <c r="R2279" i="10" s="1"/>
  <c r="C2167" i="10"/>
  <c r="K2282" i="10" s="1"/>
  <c r="D2167" i="10"/>
  <c r="L2282" i="10" s="1"/>
  <c r="E2167" i="10"/>
  <c r="M2282" i="10" s="1"/>
  <c r="F2167" i="10"/>
  <c r="N2282" i="10" s="1"/>
  <c r="G2167" i="10"/>
  <c r="H2167" i="10"/>
  <c r="P2282" i="10" s="1"/>
  <c r="I2167" i="10"/>
  <c r="Q2282" i="10" s="1"/>
  <c r="J2167" i="10"/>
  <c r="R2282" i="10" s="1"/>
  <c r="J2166" i="10"/>
  <c r="R2281" i="10" s="1"/>
  <c r="C2166" i="10"/>
  <c r="K2281" i="10" s="1"/>
  <c r="D2166" i="10"/>
  <c r="L2281" i="10" s="1"/>
  <c r="E2166" i="10"/>
  <c r="M2281" i="10" s="1"/>
  <c r="F2166" i="10"/>
  <c r="G2166" i="10"/>
  <c r="O2281" i="10" s="1"/>
  <c r="H2166" i="10"/>
  <c r="P2281" i="10" s="1"/>
  <c r="I2166" i="10"/>
  <c r="Q2281" i="10" s="1"/>
  <c r="C2168" i="10"/>
  <c r="K2283" i="10" s="1"/>
  <c r="D2168" i="10"/>
  <c r="L2283" i="10" s="1"/>
  <c r="E2168" i="10"/>
  <c r="M2283" i="10" s="1"/>
  <c r="F2168" i="10"/>
  <c r="N2283" i="10" s="1"/>
  <c r="G2168" i="10"/>
  <c r="H2168" i="10"/>
  <c r="P2283" i="10" s="1"/>
  <c r="I2168" i="10"/>
  <c r="Q2283" i="10" s="1"/>
  <c r="J2168" i="10"/>
  <c r="R2283" i="10" s="1"/>
  <c r="C2165" i="10"/>
  <c r="K2280" i="10" s="1"/>
  <c r="D2165" i="10"/>
  <c r="L2280" i="10" s="1"/>
  <c r="E2165" i="10"/>
  <c r="M2280" i="10" s="1"/>
  <c r="F2165" i="10"/>
  <c r="N2280" i="10" s="1"/>
  <c r="G2165" i="10"/>
  <c r="H2165" i="10"/>
  <c r="P2280" i="10" s="1"/>
  <c r="I2165" i="10"/>
  <c r="Q2280" i="10" s="1"/>
  <c r="J2165" i="10"/>
  <c r="R2280" i="10" s="1"/>
  <c r="C2163" i="10"/>
  <c r="K2278" i="10" s="1"/>
  <c r="D2163" i="10"/>
  <c r="L2278" i="10" s="1"/>
  <c r="E2163" i="10"/>
  <c r="M2278" i="10" s="1"/>
  <c r="F2163" i="10"/>
  <c r="N2278" i="10" s="1"/>
  <c r="G2163" i="10"/>
  <c r="H2163" i="10"/>
  <c r="P2278" i="10" s="1"/>
  <c r="I2163" i="10"/>
  <c r="Q2278" i="10" s="1"/>
  <c r="J2163" i="10"/>
  <c r="R2278" i="10" s="1"/>
  <c r="O2160" i="10"/>
  <c r="J2159" i="10"/>
  <c r="C2157" i="10"/>
  <c r="K2273" i="10" s="1"/>
  <c r="D2157" i="10"/>
  <c r="L2273" i="10" s="1"/>
  <c r="E2157" i="10"/>
  <c r="F2157" i="10"/>
  <c r="N2273" i="10" s="1"/>
  <c r="G2157" i="10"/>
  <c r="O2273" i="10" s="1"/>
  <c r="H2157" i="10"/>
  <c r="I2157" i="10"/>
  <c r="J2157" i="10"/>
  <c r="R2273" i="10" s="1"/>
  <c r="C2158" i="10"/>
  <c r="K2272" i="10" s="1"/>
  <c r="D2158" i="10"/>
  <c r="L2272" i="10" s="1"/>
  <c r="E2158" i="10"/>
  <c r="M2272" i="10" s="1"/>
  <c r="F2158" i="10"/>
  <c r="N2272" i="10" s="1"/>
  <c r="G2158" i="10"/>
  <c r="O2272" i="10" s="1"/>
  <c r="H2158" i="10"/>
  <c r="P2272" i="10" s="1"/>
  <c r="I2158" i="10"/>
  <c r="Q2272" i="10" s="1"/>
  <c r="J2158" i="10"/>
  <c r="R2272" i="10" s="1"/>
  <c r="C2156" i="10"/>
  <c r="K2271" i="10" s="1"/>
  <c r="D2156" i="10"/>
  <c r="L2271" i="10" s="1"/>
  <c r="E2156" i="10"/>
  <c r="M2271" i="10" s="1"/>
  <c r="F2156" i="10"/>
  <c r="N2271" i="10" s="1"/>
  <c r="G2156" i="10"/>
  <c r="O2271" i="10" s="1"/>
  <c r="H2156" i="10"/>
  <c r="P2271" i="10" s="1"/>
  <c r="I2156" i="10"/>
  <c r="Q2271" i="10" s="1"/>
  <c r="J2156" i="10"/>
  <c r="R2271" i="10" s="1"/>
  <c r="J2155" i="10"/>
  <c r="R2270" i="10" s="1"/>
  <c r="C2155" i="10"/>
  <c r="K2270" i="10" s="1"/>
  <c r="D2155" i="10"/>
  <c r="L2270" i="10" s="1"/>
  <c r="E2155" i="10"/>
  <c r="M2270" i="10" s="1"/>
  <c r="F2155" i="10"/>
  <c r="N2270" i="10" s="1"/>
  <c r="G2155" i="10"/>
  <c r="O2270" i="10" s="1"/>
  <c r="H2155" i="10"/>
  <c r="P2270" i="10" s="1"/>
  <c r="I2155" i="10"/>
  <c r="Q2270" i="10" s="1"/>
  <c r="C2145" i="10"/>
  <c r="K2260" i="10" s="1"/>
  <c r="D2145" i="10"/>
  <c r="L2260" i="10" s="1"/>
  <c r="E2145" i="10"/>
  <c r="M2260" i="10" s="1"/>
  <c r="F2145" i="10"/>
  <c r="N2260" i="10" s="1"/>
  <c r="G2145" i="10"/>
  <c r="O2260" i="10" s="1"/>
  <c r="H2145" i="10"/>
  <c r="P2260" i="10" s="1"/>
  <c r="I2145" i="10"/>
  <c r="Q2260" i="10" s="1"/>
  <c r="J2145" i="10"/>
  <c r="R2260" i="10" s="1"/>
  <c r="C2148" i="10"/>
  <c r="K2263" i="10" s="1"/>
  <c r="D2148" i="10"/>
  <c r="L2263" i="10" s="1"/>
  <c r="E2148" i="10"/>
  <c r="M2263" i="10" s="1"/>
  <c r="F2148" i="10"/>
  <c r="N2263" i="10" s="1"/>
  <c r="G2148" i="10"/>
  <c r="H2148" i="10"/>
  <c r="P2263" i="10" s="1"/>
  <c r="I2148" i="10"/>
  <c r="Q2263" i="10" s="1"/>
  <c r="J2148" i="10"/>
  <c r="R2263" i="10" s="1"/>
  <c r="C2144" i="10"/>
  <c r="K2259" i="10" s="1"/>
  <c r="D2144" i="10"/>
  <c r="L2259" i="10" s="1"/>
  <c r="E2144" i="10"/>
  <c r="M2259" i="10" s="1"/>
  <c r="F2144" i="10"/>
  <c r="N2259" i="10" s="1"/>
  <c r="G2144" i="10"/>
  <c r="H2144" i="10"/>
  <c r="P2259" i="10" s="1"/>
  <c r="I2144" i="10"/>
  <c r="Q2259" i="10" s="1"/>
  <c r="J2144" i="10"/>
  <c r="R2259" i="10" s="1"/>
  <c r="J2142" i="10"/>
  <c r="R2257" i="10" s="1"/>
  <c r="C2141" i="10"/>
  <c r="K2256" i="10" s="1"/>
  <c r="D2141" i="10"/>
  <c r="L2256" i="10" s="1"/>
  <c r="E2141" i="10"/>
  <c r="M2256" i="10" s="1"/>
  <c r="F2141" i="10"/>
  <c r="G2141" i="10"/>
  <c r="O2256" i="10" s="1"/>
  <c r="H2141" i="10"/>
  <c r="P2256" i="10" s="1"/>
  <c r="I2141" i="10"/>
  <c r="Q2256" i="10" s="1"/>
  <c r="J2141" i="10"/>
  <c r="R2256" i="10" s="1"/>
  <c r="C2143" i="10"/>
  <c r="K2258" i="10" s="1"/>
  <c r="D2143" i="10"/>
  <c r="L2258" i="10" s="1"/>
  <c r="E2143" i="10"/>
  <c r="M2258" i="10" s="1"/>
  <c r="F2143" i="10"/>
  <c r="G2143" i="10"/>
  <c r="O2258" i="10" s="1"/>
  <c r="H2143" i="10"/>
  <c r="P2258" i="10" s="1"/>
  <c r="I2143" i="10"/>
  <c r="Q2258" i="10" s="1"/>
  <c r="J2143" i="10"/>
  <c r="R2258" i="10" s="1"/>
  <c r="C2142" i="10"/>
  <c r="K2257" i="10" s="1"/>
  <c r="D2142" i="10"/>
  <c r="E2142" i="10"/>
  <c r="M2257" i="10" s="1"/>
  <c r="F2142" i="10"/>
  <c r="G2142" i="10"/>
  <c r="O2257" i="10" s="1"/>
  <c r="H2142" i="10"/>
  <c r="P2257" i="10" s="1"/>
  <c r="I2142" i="10"/>
  <c r="Q2257" i="10" s="1"/>
  <c r="L2257" i="10" l="1"/>
  <c r="L2142" i="10"/>
  <c r="R2159" i="10"/>
  <c r="R2274" i="10"/>
  <c r="R2166" i="10"/>
  <c r="R2171" i="10"/>
  <c r="O2173" i="10"/>
  <c r="O2288" i="10"/>
  <c r="O2172" i="10"/>
  <c r="O2287" i="10"/>
  <c r="O2176" i="10"/>
  <c r="O2291" i="10"/>
  <c r="O2178" i="10"/>
  <c r="O2293" i="10"/>
  <c r="N2171" i="10"/>
  <c r="N2286" i="10"/>
  <c r="O2177" i="10"/>
  <c r="O2292" i="10"/>
  <c r="O2179" i="10"/>
  <c r="O2294" i="10"/>
  <c r="O2165" i="10"/>
  <c r="O2280" i="10"/>
  <c r="N2166" i="10"/>
  <c r="N2281" i="10"/>
  <c r="O2167" i="10"/>
  <c r="O2282" i="10"/>
  <c r="O2164" i="10"/>
  <c r="O2279" i="10"/>
  <c r="O2168" i="10"/>
  <c r="O2283" i="10"/>
  <c r="R2143" i="10"/>
  <c r="R2141" i="10"/>
  <c r="O2163" i="10"/>
  <c r="O2278" i="10"/>
  <c r="M2158" i="10"/>
  <c r="M2273" i="10"/>
  <c r="Q2158" i="10"/>
  <c r="Q2273" i="10"/>
  <c r="N2143" i="10"/>
  <c r="N2258" i="10"/>
  <c r="N2141" i="10"/>
  <c r="N2256" i="10"/>
  <c r="O2144" i="10"/>
  <c r="O2259" i="10"/>
  <c r="O2148" i="10"/>
  <c r="O2263" i="10"/>
  <c r="P2158" i="10"/>
  <c r="P2273" i="10"/>
  <c r="N2142" i="10"/>
  <c r="N2257" i="10"/>
  <c r="R2142" i="10"/>
  <c r="O2145" i="10"/>
  <c r="N2155" i="10"/>
  <c r="R2155" i="10"/>
  <c r="O2156" i="10"/>
  <c r="O2157" i="10"/>
  <c r="O2158" i="10"/>
  <c r="R2158" i="10"/>
  <c r="N2158" i="10"/>
  <c r="O2182" i="10"/>
  <c r="O2188" i="10"/>
  <c r="O2189" i="10"/>
  <c r="P2142" i="10"/>
  <c r="P2143" i="10"/>
  <c r="L2143" i="10"/>
  <c r="P2141" i="10"/>
  <c r="L2141" i="10"/>
  <c r="Q2144" i="10"/>
  <c r="M2144" i="10"/>
  <c r="Q2148" i="10"/>
  <c r="M2148" i="10"/>
  <c r="Q2145" i="10"/>
  <c r="M2145" i="10"/>
  <c r="P2155" i="10"/>
  <c r="L2155" i="10"/>
  <c r="Q2156" i="10"/>
  <c r="M2156" i="10"/>
  <c r="Q2157" i="10"/>
  <c r="M2157" i="10"/>
  <c r="Q2160" i="10"/>
  <c r="M2160" i="10"/>
  <c r="Q2163" i="10"/>
  <c r="M2163" i="10"/>
  <c r="Q2165" i="10"/>
  <c r="M2165" i="10"/>
  <c r="Q2168" i="10"/>
  <c r="M2168" i="10"/>
  <c r="P2166" i="10"/>
  <c r="L2166" i="10"/>
  <c r="Q2167" i="10"/>
  <c r="M2167" i="10"/>
  <c r="Q2164" i="10"/>
  <c r="M2164" i="10"/>
  <c r="P2171" i="10"/>
  <c r="L2171" i="10"/>
  <c r="Q2173" i="10"/>
  <c r="M2173" i="10"/>
  <c r="Q2172" i="10"/>
  <c r="M2172" i="10"/>
  <c r="Q2176" i="10"/>
  <c r="M2176" i="10"/>
  <c r="Q2177" i="10"/>
  <c r="M2177" i="10"/>
  <c r="Q2178" i="10"/>
  <c r="M2178" i="10"/>
  <c r="Q2179" i="10"/>
  <c r="M2179" i="10"/>
  <c r="Q2182" i="10"/>
  <c r="M2182" i="10"/>
  <c r="Q2188" i="10"/>
  <c r="M2188" i="10"/>
  <c r="Q2189" i="10"/>
  <c r="M2189" i="10"/>
  <c r="R2176" i="10"/>
  <c r="N2176" i="10"/>
  <c r="R2177" i="10"/>
  <c r="N2177" i="10"/>
  <c r="R2178" i="10"/>
  <c r="N2178" i="10"/>
  <c r="R2179" i="10"/>
  <c r="N2179" i="10"/>
  <c r="R2182" i="10"/>
  <c r="N2182" i="10"/>
  <c r="R2188" i="10"/>
  <c r="N2188" i="10"/>
  <c r="R2189" i="10"/>
  <c r="N2189" i="10"/>
  <c r="O2142" i="10"/>
  <c r="O2143" i="10"/>
  <c r="O2141" i="10"/>
  <c r="P2144" i="10"/>
  <c r="L2144" i="10"/>
  <c r="P2156" i="10"/>
  <c r="L2156" i="10"/>
  <c r="P2157" i="10"/>
  <c r="L2158" i="10"/>
  <c r="P2160" i="10"/>
  <c r="L2160" i="10"/>
  <c r="P2163" i="10"/>
  <c r="L2163" i="10"/>
  <c r="P2165" i="10"/>
  <c r="L2165" i="10"/>
  <c r="P2168" i="10"/>
  <c r="P2167" i="10"/>
  <c r="L2167" i="10"/>
  <c r="P2164" i="10"/>
  <c r="L2164" i="10"/>
  <c r="O2171" i="10"/>
  <c r="P2173" i="10"/>
  <c r="L2173" i="10"/>
  <c r="P2172" i="10"/>
  <c r="L2172" i="10"/>
  <c r="P2176" i="10"/>
  <c r="L2176" i="10"/>
  <c r="P2177" i="10"/>
  <c r="L2177" i="10"/>
  <c r="P2178" i="10"/>
  <c r="L2178" i="10"/>
  <c r="P2179" i="10"/>
  <c r="L2179" i="10"/>
  <c r="P2182" i="10"/>
  <c r="L2182" i="10"/>
  <c r="P2188" i="10"/>
  <c r="L2188" i="10"/>
  <c r="P2189" i="10"/>
  <c r="L2189" i="10"/>
  <c r="P2148" i="10"/>
  <c r="L2148" i="10"/>
  <c r="P2145" i="10"/>
  <c r="L2145" i="10"/>
  <c r="O2155" i="10"/>
  <c r="L2157" i="10"/>
  <c r="L2168" i="10"/>
  <c r="O2166" i="10"/>
  <c r="Q2142" i="10"/>
  <c r="M2142" i="10"/>
  <c r="Q2143" i="10"/>
  <c r="M2143" i="10"/>
  <c r="Q2141" i="10"/>
  <c r="M2141" i="10"/>
  <c r="R2144" i="10"/>
  <c r="N2144" i="10"/>
  <c r="R2148" i="10"/>
  <c r="N2148" i="10"/>
  <c r="R2145" i="10"/>
  <c r="N2145" i="10"/>
  <c r="Q2155" i="10"/>
  <c r="M2155" i="10"/>
  <c r="R2156" i="10"/>
  <c r="N2156" i="10"/>
  <c r="R2157" i="10"/>
  <c r="N2157" i="10"/>
  <c r="R2160" i="10"/>
  <c r="N2160" i="10"/>
  <c r="R2163" i="10"/>
  <c r="N2163" i="10"/>
  <c r="R2165" i="10"/>
  <c r="N2165" i="10"/>
  <c r="R2168" i="10"/>
  <c r="N2168" i="10"/>
  <c r="Q2166" i="10"/>
  <c r="M2166" i="10"/>
  <c r="R2167" i="10"/>
  <c r="N2167" i="10"/>
  <c r="R2164" i="10"/>
  <c r="N2164" i="10"/>
  <c r="Q2171" i="10"/>
  <c r="M2171" i="10"/>
  <c r="R2173" i="10"/>
  <c r="N2173" i="10"/>
  <c r="R2172" i="10"/>
  <c r="N2172" i="10"/>
  <c r="C227" i="10"/>
  <c r="C131" i="10"/>
  <c r="D86" i="10"/>
  <c r="E86" i="10"/>
  <c r="F86" i="10"/>
  <c r="G86" i="10"/>
  <c r="H86" i="10"/>
  <c r="I86" i="10"/>
  <c r="J86" i="10"/>
  <c r="C86" i="10"/>
  <c r="C79" i="10"/>
  <c r="D79" i="10"/>
  <c r="E79" i="10"/>
  <c r="F79" i="10"/>
  <c r="G79" i="10"/>
  <c r="H79" i="10"/>
  <c r="I79" i="10"/>
  <c r="J79" i="10"/>
  <c r="R2779" i="10" l="1"/>
  <c r="K2779" i="10"/>
  <c r="N2779" i="10"/>
  <c r="O2779" i="10"/>
  <c r="Q2779" i="10"/>
  <c r="M2779" i="10"/>
  <c r="P2779" i="10"/>
  <c r="L2779" i="10"/>
  <c r="J927" i="10"/>
  <c r="I1423" i="10"/>
  <c r="C499" i="10"/>
  <c r="E1423" i="10"/>
  <c r="J499" i="10"/>
  <c r="F1423" i="10"/>
  <c r="G1423" i="10"/>
  <c r="D1423" i="10"/>
  <c r="C927" i="10"/>
  <c r="J1423" i="10"/>
  <c r="H1423" i="10"/>
  <c r="J164" i="10"/>
  <c r="I164" i="10"/>
  <c r="H164" i="10"/>
  <c r="G164" i="10"/>
  <c r="F164" i="10"/>
  <c r="E164" i="10"/>
  <c r="D164" i="10"/>
  <c r="C164" i="10"/>
  <c r="J163" i="10"/>
  <c r="I163" i="10"/>
  <c r="H163" i="10"/>
  <c r="G163" i="10"/>
  <c r="F163" i="10"/>
  <c r="E163" i="10"/>
  <c r="D163" i="10"/>
  <c r="C163" i="10"/>
  <c r="J162" i="10"/>
  <c r="I162" i="10"/>
  <c r="H162" i="10"/>
  <c r="G162" i="10"/>
  <c r="F162" i="10"/>
  <c r="E162" i="10"/>
  <c r="D162" i="10"/>
  <c r="C162" i="10"/>
  <c r="J161" i="10"/>
  <c r="I161" i="10"/>
  <c r="H161" i="10"/>
  <c r="G161" i="10"/>
  <c r="F161" i="10"/>
  <c r="E161" i="10"/>
  <c r="D161" i="10"/>
  <c r="C161" i="10"/>
  <c r="J160" i="10"/>
  <c r="I160" i="10"/>
  <c r="H160" i="10"/>
  <c r="G160" i="10"/>
  <c r="F160" i="10"/>
  <c r="E160" i="10"/>
  <c r="D160" i="10"/>
  <c r="C160" i="10"/>
  <c r="J158" i="10"/>
  <c r="I158" i="10"/>
  <c r="H158" i="10"/>
  <c r="G158" i="10"/>
  <c r="F158" i="10"/>
  <c r="E158" i="10"/>
  <c r="D158" i="10"/>
  <c r="C158" i="10"/>
  <c r="J157" i="10"/>
  <c r="I157" i="10"/>
  <c r="H157" i="10"/>
  <c r="G157" i="10"/>
  <c r="F157" i="10"/>
  <c r="E157" i="10"/>
  <c r="D157" i="10"/>
  <c r="C157" i="10"/>
  <c r="J156" i="10"/>
  <c r="I156" i="10"/>
  <c r="H156" i="10"/>
  <c r="G156" i="10"/>
  <c r="F156" i="10"/>
  <c r="E156" i="10"/>
  <c r="D156" i="10"/>
  <c r="C156" i="10"/>
  <c r="J154" i="10"/>
  <c r="I154" i="10"/>
  <c r="H154" i="10"/>
  <c r="G154" i="10"/>
  <c r="F154" i="10"/>
  <c r="E154" i="10"/>
  <c r="D154" i="10"/>
  <c r="C154" i="10"/>
  <c r="I153" i="10"/>
  <c r="H153" i="10"/>
  <c r="G153" i="10"/>
  <c r="F153" i="10"/>
  <c r="E153" i="10"/>
  <c r="D153" i="10"/>
  <c r="C153" i="10"/>
  <c r="J152" i="10"/>
  <c r="I152" i="10"/>
  <c r="H152" i="10"/>
  <c r="G152" i="10"/>
  <c r="F152" i="10"/>
  <c r="E152" i="10"/>
  <c r="D152" i="10"/>
  <c r="C152" i="10"/>
  <c r="J151" i="10"/>
  <c r="I151" i="10"/>
  <c r="H151" i="10"/>
  <c r="G151" i="10"/>
  <c r="F151" i="10"/>
  <c r="E151" i="10"/>
  <c r="D151" i="10"/>
  <c r="C151" i="10"/>
  <c r="J150" i="10"/>
  <c r="I150" i="10"/>
  <c r="H150" i="10"/>
  <c r="G150" i="10"/>
  <c r="F150" i="10"/>
  <c r="E150" i="10"/>
  <c r="D150" i="10"/>
  <c r="C150" i="10"/>
  <c r="J149" i="10"/>
  <c r="I149" i="10"/>
  <c r="H149" i="10"/>
  <c r="G149" i="10"/>
  <c r="F149" i="10"/>
  <c r="E149" i="10"/>
  <c r="D149" i="10"/>
  <c r="C149" i="10"/>
  <c r="J148" i="10"/>
  <c r="I148" i="10"/>
  <c r="H148" i="10"/>
  <c r="G148" i="10"/>
  <c r="F148" i="10"/>
  <c r="E148" i="10"/>
  <c r="D148" i="10"/>
  <c r="C148" i="10"/>
  <c r="K1766" i="10" l="1"/>
  <c r="L1766" i="10"/>
  <c r="M1766" i="10"/>
  <c r="N1766" i="10"/>
  <c r="O1766" i="10"/>
  <c r="P1766" i="10"/>
  <c r="Q1766" i="10"/>
  <c r="K1767" i="10"/>
  <c r="L1767" i="10"/>
  <c r="M1767" i="10"/>
  <c r="N1767" i="10"/>
  <c r="O1767" i="10"/>
  <c r="P1767" i="10"/>
  <c r="Q1767" i="10"/>
  <c r="K1768" i="10"/>
  <c r="L1768" i="10"/>
  <c r="M1768" i="10"/>
  <c r="N1768" i="10"/>
  <c r="O1768" i="10"/>
  <c r="P1768" i="10"/>
  <c r="Q1768" i="10"/>
  <c r="K1769" i="10"/>
  <c r="L1769" i="10"/>
  <c r="M1769" i="10"/>
  <c r="N1769" i="10"/>
  <c r="O1769" i="10"/>
  <c r="P1769" i="10"/>
  <c r="Q1769" i="10"/>
  <c r="K1770" i="10"/>
  <c r="L1770" i="10"/>
  <c r="M1770" i="10"/>
  <c r="N1770" i="10"/>
  <c r="O1770" i="10"/>
  <c r="P1770" i="10"/>
  <c r="Q1770" i="10"/>
  <c r="K1771" i="10"/>
  <c r="L1771" i="10"/>
  <c r="M1771" i="10"/>
  <c r="N1771" i="10"/>
  <c r="O1771" i="10"/>
  <c r="P1771" i="10"/>
  <c r="Q1771" i="10"/>
  <c r="L1772" i="10"/>
  <c r="M1772" i="10"/>
  <c r="N1772" i="10"/>
  <c r="O1772" i="10"/>
  <c r="P1772" i="10"/>
  <c r="Q1772" i="10"/>
  <c r="K1774" i="10"/>
  <c r="L1774" i="10"/>
  <c r="M1774" i="10"/>
  <c r="N1774" i="10"/>
  <c r="O1774" i="10"/>
  <c r="P1774" i="10"/>
  <c r="Q1774" i="10"/>
  <c r="K1775" i="10"/>
  <c r="L1775" i="10"/>
  <c r="M1775" i="10"/>
  <c r="N1775" i="10"/>
  <c r="O1775" i="10"/>
  <c r="P1775" i="10"/>
  <c r="Q1775" i="10"/>
  <c r="K1776" i="10"/>
  <c r="L1776" i="10"/>
  <c r="M1776" i="10"/>
  <c r="N1776" i="10"/>
  <c r="O1776" i="10"/>
  <c r="P1776" i="10"/>
  <c r="Q1776" i="10"/>
  <c r="K1777" i="10"/>
  <c r="L1777" i="10"/>
  <c r="M1777" i="10"/>
  <c r="N1777" i="10"/>
  <c r="O1777" i="10"/>
  <c r="P1777" i="10"/>
  <c r="Q1777" i="10"/>
  <c r="K1778" i="10"/>
  <c r="L1778" i="10"/>
  <c r="M1778" i="10"/>
  <c r="N1778" i="10"/>
  <c r="O1778" i="10"/>
  <c r="P1778" i="10"/>
  <c r="Q1778" i="10"/>
  <c r="K1779" i="10"/>
  <c r="L1779" i="10"/>
  <c r="M1779" i="10"/>
  <c r="N1779" i="10"/>
  <c r="O1779" i="10"/>
  <c r="P1779" i="10"/>
  <c r="Q1779" i="10"/>
  <c r="K1780" i="10"/>
  <c r="L1780" i="10"/>
  <c r="M1780" i="10"/>
  <c r="N1780" i="10"/>
  <c r="O1780" i="10"/>
  <c r="P1780" i="10"/>
  <c r="Q1780" i="10"/>
  <c r="K1781" i="10"/>
  <c r="L1781" i="10"/>
  <c r="M1781" i="10"/>
  <c r="N1781" i="10"/>
  <c r="O1781" i="10"/>
  <c r="P1781" i="10"/>
  <c r="Q1781" i="10"/>
  <c r="K1782" i="10"/>
  <c r="L1782" i="10"/>
  <c r="M1782" i="10"/>
  <c r="N1782" i="10"/>
  <c r="O1782" i="10"/>
  <c r="P1782" i="10"/>
  <c r="Q1782" i="10"/>
  <c r="R1766" i="10"/>
  <c r="K1320" i="10"/>
  <c r="L1320" i="10"/>
  <c r="M1320" i="10"/>
  <c r="N1320" i="10"/>
  <c r="O1320" i="10"/>
  <c r="P1320" i="10"/>
  <c r="Q1320" i="10"/>
  <c r="K1317" i="10"/>
  <c r="L1317" i="10"/>
  <c r="M1317" i="10"/>
  <c r="N1317" i="10"/>
  <c r="O1317" i="10"/>
  <c r="P1317" i="10"/>
  <c r="Q1317" i="10"/>
  <c r="K1318" i="10"/>
  <c r="L1318" i="10"/>
  <c r="M1318" i="10"/>
  <c r="N1318" i="10"/>
  <c r="O1318" i="10"/>
  <c r="P1318" i="10"/>
  <c r="Q1318" i="10"/>
  <c r="K1319" i="10"/>
  <c r="L1319" i="10"/>
  <c r="M1319" i="10"/>
  <c r="N1319" i="10"/>
  <c r="O1319" i="10"/>
  <c r="P1319" i="10"/>
  <c r="Q1319" i="10"/>
  <c r="K1312" i="10"/>
  <c r="L1312" i="10"/>
  <c r="M1312" i="10"/>
  <c r="N1312" i="10"/>
  <c r="O1312" i="10"/>
  <c r="P1312" i="10"/>
  <c r="Q1312" i="10"/>
  <c r="K1313" i="10"/>
  <c r="L1313" i="10"/>
  <c r="M1313" i="10"/>
  <c r="N1313" i="10"/>
  <c r="O1313" i="10"/>
  <c r="P1313" i="10"/>
  <c r="Q1313" i="10"/>
  <c r="K1314" i="10"/>
  <c r="L1314" i="10"/>
  <c r="M1314" i="10"/>
  <c r="N1314" i="10"/>
  <c r="O1314" i="10"/>
  <c r="P1314" i="10"/>
  <c r="Q1314" i="10"/>
  <c r="K1315" i="10"/>
  <c r="L1315" i="10"/>
  <c r="M1315" i="10"/>
  <c r="N1315" i="10"/>
  <c r="O1315" i="10"/>
  <c r="P1315" i="10"/>
  <c r="Q1315" i="10"/>
  <c r="K1316" i="10"/>
  <c r="L1316" i="10"/>
  <c r="M1316" i="10"/>
  <c r="N1316" i="10"/>
  <c r="O1316" i="10"/>
  <c r="P1316" i="10"/>
  <c r="Q1316" i="10"/>
  <c r="K1310" i="10"/>
  <c r="L1310" i="10"/>
  <c r="M1310" i="10"/>
  <c r="N1310" i="10"/>
  <c r="O1310" i="10"/>
  <c r="P1310" i="10"/>
  <c r="Q1310" i="10"/>
  <c r="K1307" i="10"/>
  <c r="L1307" i="10"/>
  <c r="M1307" i="10"/>
  <c r="N1307" i="10"/>
  <c r="O1307" i="10"/>
  <c r="P1307" i="10"/>
  <c r="Q1307" i="10"/>
  <c r="K1308" i="10"/>
  <c r="L1308" i="10"/>
  <c r="M1308" i="10"/>
  <c r="N1308" i="10"/>
  <c r="O1308" i="10"/>
  <c r="P1308" i="10"/>
  <c r="Q1308" i="10"/>
  <c r="K1309" i="10"/>
  <c r="L1309" i="10"/>
  <c r="M1309" i="10"/>
  <c r="N1309" i="10"/>
  <c r="O1309" i="10"/>
  <c r="P1309" i="10"/>
  <c r="Q1309" i="10"/>
  <c r="K1304" i="10"/>
  <c r="L1304" i="10"/>
  <c r="M1304" i="10"/>
  <c r="N1304" i="10"/>
  <c r="O1304" i="10"/>
  <c r="P1304" i="10"/>
  <c r="Q1304" i="10"/>
  <c r="K1305" i="10"/>
  <c r="L1305" i="10"/>
  <c r="M1305" i="10"/>
  <c r="N1305" i="10"/>
  <c r="O1305" i="10"/>
  <c r="P1305" i="10"/>
  <c r="Q1305" i="10"/>
  <c r="K1306" i="10"/>
  <c r="L1306" i="10"/>
  <c r="M1306" i="10"/>
  <c r="N1306" i="10"/>
  <c r="O1306" i="10"/>
  <c r="P1306" i="10"/>
  <c r="Q1306" i="10"/>
  <c r="C712" i="10"/>
  <c r="C707" i="10"/>
  <c r="C705" i="10"/>
  <c r="C701" i="10"/>
  <c r="C699" i="10"/>
  <c r="C698" i="10"/>
  <c r="D838" i="10"/>
  <c r="E838" i="10"/>
  <c r="F838" i="10"/>
  <c r="G838" i="10"/>
  <c r="H838" i="10"/>
  <c r="I838" i="10"/>
  <c r="J838" i="10"/>
  <c r="D839" i="10"/>
  <c r="E839" i="10"/>
  <c r="F839" i="10"/>
  <c r="G839" i="10"/>
  <c r="H839" i="10"/>
  <c r="I839" i="10"/>
  <c r="J839" i="10"/>
  <c r="D840" i="10"/>
  <c r="E840" i="10"/>
  <c r="F840" i="10"/>
  <c r="G840" i="10"/>
  <c r="H840" i="10"/>
  <c r="I840" i="10"/>
  <c r="J840" i="10"/>
  <c r="D841" i="10"/>
  <c r="E841" i="10"/>
  <c r="F841" i="10"/>
  <c r="G841" i="10"/>
  <c r="H841" i="10"/>
  <c r="I841" i="10"/>
  <c r="J841" i="10"/>
  <c r="D842" i="10"/>
  <c r="E842" i="10"/>
  <c r="F842" i="10"/>
  <c r="G842" i="10"/>
  <c r="H842" i="10"/>
  <c r="I842" i="10"/>
  <c r="J842" i="10"/>
  <c r="D843" i="10"/>
  <c r="E843" i="10"/>
  <c r="F843" i="10"/>
  <c r="G843" i="10"/>
  <c r="H843" i="10"/>
  <c r="I843" i="10"/>
  <c r="J843" i="10"/>
  <c r="D844" i="10"/>
  <c r="E844" i="10"/>
  <c r="F844" i="10"/>
  <c r="G844" i="10"/>
  <c r="H844" i="10"/>
  <c r="I844" i="10"/>
  <c r="J844" i="10"/>
  <c r="D845" i="10"/>
  <c r="E845" i="10"/>
  <c r="F845" i="10"/>
  <c r="G845" i="10"/>
  <c r="H845" i="10"/>
  <c r="I845" i="10"/>
  <c r="J845" i="10"/>
  <c r="D846" i="10"/>
  <c r="E846" i="10"/>
  <c r="F846" i="10"/>
  <c r="G846" i="10"/>
  <c r="H846" i="10"/>
  <c r="I846" i="10"/>
  <c r="J846" i="10"/>
  <c r="D830" i="10"/>
  <c r="E830" i="10"/>
  <c r="F830" i="10"/>
  <c r="G830" i="10"/>
  <c r="H830" i="10"/>
  <c r="I830" i="10"/>
  <c r="J830" i="10"/>
  <c r="D831" i="10"/>
  <c r="E831" i="10"/>
  <c r="F831" i="10"/>
  <c r="G831" i="10"/>
  <c r="H831" i="10"/>
  <c r="I831" i="10"/>
  <c r="J831" i="10"/>
  <c r="D832" i="10"/>
  <c r="E832" i="10"/>
  <c r="F832" i="10"/>
  <c r="G832" i="10"/>
  <c r="H832" i="10"/>
  <c r="I832" i="10"/>
  <c r="J832" i="10"/>
  <c r="D833" i="10"/>
  <c r="E833" i="10"/>
  <c r="F833" i="10"/>
  <c r="G833" i="10"/>
  <c r="H833" i="10"/>
  <c r="I833" i="10"/>
  <c r="J833" i="10"/>
  <c r="D834" i="10"/>
  <c r="E834" i="10"/>
  <c r="F834" i="10"/>
  <c r="G834" i="10"/>
  <c r="H834" i="10"/>
  <c r="I834" i="10"/>
  <c r="J834" i="10"/>
  <c r="D835" i="10"/>
  <c r="E835" i="10"/>
  <c r="F835" i="10"/>
  <c r="G835" i="10"/>
  <c r="H835" i="10"/>
  <c r="I835" i="10"/>
  <c r="J835" i="10"/>
  <c r="D836" i="10"/>
  <c r="E836" i="10"/>
  <c r="F836" i="10"/>
  <c r="G836" i="10"/>
  <c r="H836" i="10"/>
  <c r="I836" i="10"/>
  <c r="J836" i="10"/>
  <c r="C839" i="10"/>
  <c r="C846" i="10"/>
  <c r="C845" i="10"/>
  <c r="C844" i="10"/>
  <c r="C843" i="10"/>
  <c r="C842" i="10"/>
  <c r="C841" i="10"/>
  <c r="C840" i="10"/>
  <c r="C838" i="10"/>
  <c r="C836" i="10"/>
  <c r="C835" i="10"/>
  <c r="C834" i="10"/>
  <c r="C833" i="10"/>
  <c r="C832" i="10"/>
  <c r="C831" i="10"/>
  <c r="C830" i="10"/>
  <c r="D707" i="10"/>
  <c r="E707" i="10"/>
  <c r="F707" i="10"/>
  <c r="G707" i="10"/>
  <c r="H707" i="10"/>
  <c r="I707" i="10"/>
  <c r="C775" i="10"/>
  <c r="D775" i="10"/>
  <c r="E775" i="10"/>
  <c r="F775" i="10"/>
  <c r="G775" i="10"/>
  <c r="H775" i="10"/>
  <c r="I775" i="10"/>
  <c r="K772" i="10"/>
  <c r="L772" i="10"/>
  <c r="M772" i="10"/>
  <c r="N772" i="10"/>
  <c r="O772" i="10"/>
  <c r="P772" i="10"/>
  <c r="Q772" i="10"/>
  <c r="R772" i="10"/>
  <c r="K773" i="10"/>
  <c r="L773" i="10"/>
  <c r="M773" i="10"/>
  <c r="N773" i="10"/>
  <c r="O773" i="10"/>
  <c r="P773" i="10"/>
  <c r="Q773" i="10"/>
  <c r="R773" i="10"/>
  <c r="K774" i="10"/>
  <c r="L774" i="10"/>
  <c r="M774" i="10"/>
  <c r="N774" i="10"/>
  <c r="O774" i="10"/>
  <c r="P774" i="10"/>
  <c r="Q774" i="10"/>
  <c r="R774" i="10"/>
  <c r="K775" i="10"/>
  <c r="L775" i="10"/>
  <c r="M775" i="10"/>
  <c r="N775" i="10"/>
  <c r="O775" i="10"/>
  <c r="P775" i="10"/>
  <c r="Q775" i="10"/>
  <c r="R775" i="10"/>
  <c r="K776" i="10"/>
  <c r="L776" i="10"/>
  <c r="M776" i="10"/>
  <c r="N776" i="10"/>
  <c r="O776" i="10"/>
  <c r="P776" i="10"/>
  <c r="Q776" i="10"/>
  <c r="R776" i="10"/>
  <c r="K777" i="10"/>
  <c r="L777" i="10"/>
  <c r="M777" i="10"/>
  <c r="N777" i="10"/>
  <c r="O777" i="10"/>
  <c r="P777" i="10"/>
  <c r="Q777" i="10"/>
  <c r="R777" i="10"/>
  <c r="K778" i="10"/>
  <c r="L778" i="10"/>
  <c r="M778" i="10"/>
  <c r="N778" i="10"/>
  <c r="O778" i="10"/>
  <c r="P778" i="10"/>
  <c r="Q778" i="10"/>
  <c r="R778" i="10"/>
  <c r="K779" i="10"/>
  <c r="L779" i="10"/>
  <c r="M779" i="10"/>
  <c r="N779" i="10"/>
  <c r="O779" i="10"/>
  <c r="P779" i="10"/>
  <c r="Q779" i="10"/>
  <c r="R779" i="10"/>
  <c r="K780" i="10"/>
  <c r="L780" i="10"/>
  <c r="M780" i="10"/>
  <c r="N780" i="10"/>
  <c r="O780" i="10"/>
  <c r="P780" i="10"/>
  <c r="Q780" i="10"/>
  <c r="R780" i="10"/>
  <c r="C347" i="10"/>
  <c r="D347" i="10"/>
  <c r="E347" i="10"/>
  <c r="F347" i="10"/>
  <c r="G347" i="10"/>
  <c r="H347" i="10"/>
  <c r="I347" i="10"/>
  <c r="C301" i="10"/>
  <c r="D301" i="10"/>
  <c r="E301" i="10"/>
  <c r="F301" i="10"/>
  <c r="G301" i="10"/>
  <c r="H301" i="10"/>
  <c r="I301" i="10"/>
  <c r="J301" i="10"/>
  <c r="C302" i="10"/>
  <c r="D302" i="10"/>
  <c r="E302" i="10"/>
  <c r="F302" i="10"/>
  <c r="G302" i="10"/>
  <c r="H302" i="10"/>
  <c r="I302" i="10"/>
  <c r="C926" i="10" l="1"/>
  <c r="C925" i="10"/>
  <c r="L302" i="10"/>
  <c r="L1372" i="10"/>
  <c r="N302" i="10"/>
  <c r="P302" i="10"/>
  <c r="L301" i="10"/>
  <c r="C923" i="10"/>
  <c r="C929" i="10"/>
  <c r="Q302" i="10"/>
  <c r="O302" i="10"/>
  <c r="M302" i="10"/>
  <c r="O865" i="10"/>
  <c r="F1045" i="10"/>
  <c r="F865" i="10"/>
  <c r="C729" i="10"/>
  <c r="I931" i="10"/>
  <c r="P301" i="10"/>
  <c r="H527" i="10"/>
  <c r="H437" i="10"/>
  <c r="D527" i="10"/>
  <c r="D437" i="10"/>
  <c r="N865" i="10"/>
  <c r="I1045" i="10"/>
  <c r="I865" i="10"/>
  <c r="E1045" i="10"/>
  <c r="E865" i="10"/>
  <c r="H729" i="10"/>
  <c r="P707" i="10"/>
  <c r="L707" i="10"/>
  <c r="D729" i="10"/>
  <c r="H931" i="10"/>
  <c r="D931" i="10"/>
  <c r="O1374" i="10"/>
  <c r="N1373" i="10"/>
  <c r="Q1372" i="10"/>
  <c r="M1372" i="10"/>
  <c r="P1377" i="10"/>
  <c r="L1377" i="10"/>
  <c r="O1376" i="10"/>
  <c r="N1375" i="10"/>
  <c r="Q1378" i="10"/>
  <c r="M1378" i="10"/>
  <c r="P1384" i="10"/>
  <c r="L1384" i="10"/>
  <c r="O1383" i="10"/>
  <c r="N1382" i="10"/>
  <c r="Q1381" i="10"/>
  <c r="M1381" i="10"/>
  <c r="P1380" i="10"/>
  <c r="L1380" i="10"/>
  <c r="O1387" i="10"/>
  <c r="N1386" i="10"/>
  <c r="Q1385" i="10"/>
  <c r="M1385" i="10"/>
  <c r="P1388" i="10"/>
  <c r="L1388" i="10"/>
  <c r="M301" i="10"/>
  <c r="I437" i="10"/>
  <c r="I527" i="10"/>
  <c r="K865" i="10"/>
  <c r="E729" i="10"/>
  <c r="M707" i="10"/>
  <c r="O301" i="10"/>
  <c r="G527" i="10"/>
  <c r="G437" i="10"/>
  <c r="C437" i="10"/>
  <c r="Q865" i="10"/>
  <c r="M865" i="10"/>
  <c r="H1045" i="10"/>
  <c r="H865" i="10"/>
  <c r="D1045" i="10"/>
  <c r="D865" i="10"/>
  <c r="G729" i="10"/>
  <c r="O707" i="10"/>
  <c r="C936" i="10"/>
  <c r="C931" i="10"/>
  <c r="G931" i="10"/>
  <c r="Q301" i="10"/>
  <c r="E437" i="10"/>
  <c r="E527" i="10"/>
  <c r="K870" i="10"/>
  <c r="K863" i="10"/>
  <c r="I729" i="10"/>
  <c r="Q707" i="10"/>
  <c r="C922" i="10"/>
  <c r="E931" i="10"/>
  <c r="R301" i="10"/>
  <c r="N301" i="10"/>
  <c r="F527" i="10"/>
  <c r="F437" i="10"/>
  <c r="P865" i="10"/>
  <c r="L865" i="10"/>
  <c r="G1045" i="10"/>
  <c r="G865" i="10"/>
  <c r="C1045" i="10"/>
  <c r="C865" i="10"/>
  <c r="F729" i="10"/>
  <c r="N707" i="10"/>
  <c r="F931" i="10"/>
  <c r="N1374" i="10"/>
  <c r="Q1373" i="10"/>
  <c r="M1373" i="10"/>
  <c r="P1372" i="10"/>
  <c r="O1377" i="10"/>
  <c r="N1376" i="10"/>
  <c r="Q1375" i="10"/>
  <c r="M1375" i="10"/>
  <c r="P1378" i="10"/>
  <c r="L1378" i="10"/>
  <c r="O1384" i="10"/>
  <c r="N1383" i="10"/>
  <c r="Q1382" i="10"/>
  <c r="M1382" i="10"/>
  <c r="P1381" i="10"/>
  <c r="L1381" i="10"/>
  <c r="O1380" i="10"/>
  <c r="N1387" i="10"/>
  <c r="Q1386" i="10"/>
  <c r="M1386" i="10"/>
  <c r="P1385" i="10"/>
  <c r="L1385" i="10"/>
  <c r="O1388" i="10"/>
  <c r="Q1374" i="10"/>
  <c r="M1374" i="10"/>
  <c r="P1373" i="10"/>
  <c r="L1373" i="10"/>
  <c r="O1372" i="10"/>
  <c r="N1377" i="10"/>
  <c r="Q1376" i="10"/>
  <c r="M1376" i="10"/>
  <c r="P1375" i="10"/>
  <c r="L1375" i="10"/>
  <c r="O1378" i="10"/>
  <c r="N1384" i="10"/>
  <c r="Q1383" i="10"/>
  <c r="M1383" i="10"/>
  <c r="P1382" i="10"/>
  <c r="L1382" i="10"/>
  <c r="O1381" i="10"/>
  <c r="N1380" i="10"/>
  <c r="Q1387" i="10"/>
  <c r="M1387" i="10"/>
  <c r="P1386" i="10"/>
  <c r="L1386" i="10"/>
  <c r="O1385" i="10"/>
  <c r="N1388" i="10"/>
  <c r="P1374" i="10"/>
  <c r="L1374" i="10"/>
  <c r="O1373" i="10"/>
  <c r="N1372" i="10"/>
  <c r="Q1377" i="10"/>
  <c r="M1377" i="10"/>
  <c r="P1376" i="10"/>
  <c r="L1376" i="10"/>
  <c r="O1375" i="10"/>
  <c r="N1378" i="10"/>
  <c r="Q1384" i="10"/>
  <c r="M1384" i="10"/>
  <c r="P1383" i="10"/>
  <c r="L1383" i="10"/>
  <c r="O1382" i="10"/>
  <c r="N1381" i="10"/>
  <c r="Q1380" i="10"/>
  <c r="M1380" i="10"/>
  <c r="P1387" i="10"/>
  <c r="L1387" i="10"/>
  <c r="O1386" i="10"/>
  <c r="N1385" i="10"/>
  <c r="Q1388" i="10"/>
  <c r="M1388" i="10"/>
  <c r="G523" i="10"/>
  <c r="G433" i="10"/>
  <c r="N433" i="10"/>
  <c r="N523" i="10"/>
  <c r="E545" i="10"/>
  <c r="E455" i="10"/>
  <c r="L455" i="10"/>
  <c r="L545" i="10"/>
  <c r="F567" i="10"/>
  <c r="F477" i="10"/>
  <c r="N1041" i="10"/>
  <c r="O1379" i="10"/>
  <c r="F523" i="10"/>
  <c r="F433" i="10"/>
  <c r="Q523" i="10"/>
  <c r="Q433" i="10"/>
  <c r="M523" i="10"/>
  <c r="M433" i="10"/>
  <c r="H455" i="10"/>
  <c r="H545" i="10"/>
  <c r="D455" i="10"/>
  <c r="D545" i="10"/>
  <c r="O545" i="10"/>
  <c r="O455" i="10"/>
  <c r="K455" i="10"/>
  <c r="N477" i="10"/>
  <c r="N567" i="10"/>
  <c r="I477" i="10"/>
  <c r="I567" i="10"/>
  <c r="E477" i="10"/>
  <c r="E567" i="10"/>
  <c r="Q1041" i="10"/>
  <c r="M1041" i="10"/>
  <c r="N1379" i="10"/>
  <c r="I433" i="10"/>
  <c r="I523" i="10"/>
  <c r="E523" i="10"/>
  <c r="E433" i="10"/>
  <c r="P523" i="10"/>
  <c r="P433" i="10"/>
  <c r="L523" i="10"/>
  <c r="L433" i="10"/>
  <c r="G455" i="10"/>
  <c r="G545" i="10"/>
  <c r="C455" i="10"/>
  <c r="N545" i="10"/>
  <c r="N455" i="10"/>
  <c r="Q567" i="10"/>
  <c r="Q477" i="10"/>
  <c r="M567" i="10"/>
  <c r="M477" i="10"/>
  <c r="H477" i="10"/>
  <c r="H567" i="10"/>
  <c r="D477" i="10"/>
  <c r="D567" i="10"/>
  <c r="P1041" i="10"/>
  <c r="L1041" i="10"/>
  <c r="K747" i="10"/>
  <c r="C725" i="10"/>
  <c r="Q1379" i="10"/>
  <c r="M1379" i="10"/>
  <c r="C433" i="10"/>
  <c r="I545" i="10"/>
  <c r="I455" i="10"/>
  <c r="P455" i="10"/>
  <c r="P545" i="10"/>
  <c r="O567" i="10"/>
  <c r="O477" i="10"/>
  <c r="K477" i="10"/>
  <c r="H433" i="10"/>
  <c r="H523" i="10"/>
  <c r="D433" i="10"/>
  <c r="D523" i="10"/>
  <c r="O523" i="10"/>
  <c r="O433" i="10"/>
  <c r="K433" i="10"/>
  <c r="F455" i="10"/>
  <c r="F545" i="10"/>
  <c r="Q545" i="10"/>
  <c r="Q455" i="10"/>
  <c r="M455" i="10"/>
  <c r="M545" i="10"/>
  <c r="P567" i="10"/>
  <c r="P477" i="10"/>
  <c r="L567" i="10"/>
  <c r="L477" i="10"/>
  <c r="G567" i="10"/>
  <c r="G477" i="10"/>
  <c r="C477" i="10"/>
  <c r="O1041" i="10"/>
  <c r="K1041" i="10"/>
  <c r="K861" i="10"/>
  <c r="P1379" i="10"/>
  <c r="L1379" i="10"/>
  <c r="C2140" i="10" l="1"/>
  <c r="K2255" i="10" s="1"/>
  <c r="D2140" i="10"/>
  <c r="L2255" i="10" s="1"/>
  <c r="E2140" i="10"/>
  <c r="M2255" i="10" s="1"/>
  <c r="F2140" i="10"/>
  <c r="N2255" i="10" s="1"/>
  <c r="G2140" i="10"/>
  <c r="O2255" i="10" s="1"/>
  <c r="H2140" i="10"/>
  <c r="P2255" i="10" s="1"/>
  <c r="I2140" i="10"/>
  <c r="Q2255" i="10" s="1"/>
  <c r="J2140" i="10"/>
  <c r="R2255" i="10" s="1"/>
  <c r="K2371" i="10"/>
  <c r="L2371" i="10"/>
  <c r="M2371" i="10"/>
  <c r="N2371" i="10"/>
  <c r="O2371" i="10"/>
  <c r="P2371" i="10"/>
  <c r="Q2371" i="10"/>
  <c r="K1974" i="10"/>
  <c r="L1974" i="10"/>
  <c r="M1974" i="10"/>
  <c r="N1974" i="10"/>
  <c r="O1974" i="10"/>
  <c r="P1974" i="10"/>
  <c r="Q1974" i="10"/>
  <c r="K1972" i="10"/>
  <c r="L1972" i="10"/>
  <c r="M1972" i="10"/>
  <c r="N1972" i="10"/>
  <c r="O1972" i="10"/>
  <c r="P1972" i="10"/>
  <c r="Q1972" i="10"/>
  <c r="K1973" i="10"/>
  <c r="L1973" i="10"/>
  <c r="M1973" i="10"/>
  <c r="N1973" i="10"/>
  <c r="O1973" i="10"/>
  <c r="P1973" i="10"/>
  <c r="Q1973" i="10"/>
  <c r="K1966" i="10"/>
  <c r="K1967" i="10"/>
  <c r="L1967" i="10"/>
  <c r="M1967" i="10"/>
  <c r="N1967" i="10"/>
  <c r="O1967" i="10"/>
  <c r="P1967" i="10"/>
  <c r="Q1967" i="10"/>
  <c r="K1968" i="10"/>
  <c r="L1968" i="10"/>
  <c r="M1968" i="10"/>
  <c r="N1968" i="10"/>
  <c r="O1968" i="10"/>
  <c r="P1968" i="10"/>
  <c r="Q1968" i="10"/>
  <c r="K1969" i="10"/>
  <c r="L1969" i="10"/>
  <c r="M1969" i="10"/>
  <c r="N1969" i="10"/>
  <c r="O1969" i="10"/>
  <c r="P1969" i="10"/>
  <c r="Q1969" i="10"/>
  <c r="K1970" i="10"/>
  <c r="L1970" i="10"/>
  <c r="M1970" i="10"/>
  <c r="N1970" i="10"/>
  <c r="O1970" i="10"/>
  <c r="P1970" i="10"/>
  <c r="Q1970" i="10"/>
  <c r="K1971" i="10"/>
  <c r="L1971" i="10"/>
  <c r="M1971" i="10"/>
  <c r="N1971" i="10"/>
  <c r="O1971" i="10"/>
  <c r="P1971" i="10"/>
  <c r="Q1971" i="10"/>
  <c r="K1961" i="10"/>
  <c r="L1961" i="10"/>
  <c r="M1961" i="10"/>
  <c r="N1961" i="10"/>
  <c r="O1961" i="10"/>
  <c r="P1961" i="10"/>
  <c r="Q1961" i="10"/>
  <c r="K1962" i="10"/>
  <c r="L1962" i="10"/>
  <c r="M1962" i="10"/>
  <c r="N1962" i="10"/>
  <c r="O1962" i="10"/>
  <c r="P1962" i="10"/>
  <c r="Q1962" i="10"/>
  <c r="K1963" i="10"/>
  <c r="L1963" i="10"/>
  <c r="M1963" i="10"/>
  <c r="N1963" i="10"/>
  <c r="O1963" i="10"/>
  <c r="P1963" i="10"/>
  <c r="Q1963" i="10"/>
  <c r="K1964" i="10"/>
  <c r="L1964" i="10"/>
  <c r="M1964" i="10"/>
  <c r="N1964" i="10"/>
  <c r="O1964" i="10"/>
  <c r="P1964" i="10"/>
  <c r="Q1964" i="10"/>
  <c r="K1958" i="10"/>
  <c r="L1958" i="10"/>
  <c r="M1958" i="10"/>
  <c r="N1958" i="10"/>
  <c r="O1958" i="10"/>
  <c r="P1958" i="10"/>
  <c r="Q1958" i="10"/>
  <c r="K1959" i="10"/>
  <c r="L1959" i="10"/>
  <c r="M1959" i="10"/>
  <c r="N1959" i="10"/>
  <c r="O1959" i="10"/>
  <c r="P1959" i="10"/>
  <c r="Q1959" i="10"/>
  <c r="K1960" i="10"/>
  <c r="L1960" i="10"/>
  <c r="M1960" i="10"/>
  <c r="N1960" i="10"/>
  <c r="O1960" i="10"/>
  <c r="P1960" i="10"/>
  <c r="Q1960" i="10"/>
  <c r="C1972" i="10"/>
  <c r="D1972" i="10"/>
  <c r="E1972" i="10"/>
  <c r="F1972" i="10"/>
  <c r="G1972" i="10"/>
  <c r="H1972" i="10"/>
  <c r="I1972" i="10"/>
  <c r="C1971" i="10"/>
  <c r="D1971" i="10"/>
  <c r="E1971" i="10"/>
  <c r="F1971" i="10"/>
  <c r="G1971" i="10"/>
  <c r="H1971" i="10"/>
  <c r="I1971" i="10"/>
  <c r="C1973" i="10"/>
  <c r="D1973" i="10"/>
  <c r="E1973" i="10"/>
  <c r="F1973" i="10"/>
  <c r="G1973" i="10"/>
  <c r="H1973" i="10"/>
  <c r="I1973" i="10"/>
  <c r="C1974" i="10"/>
  <c r="D1974" i="10"/>
  <c r="E1974" i="10"/>
  <c r="F1974" i="10"/>
  <c r="G1974" i="10"/>
  <c r="H1974" i="10"/>
  <c r="I1974" i="10"/>
  <c r="C1968" i="10"/>
  <c r="D1968" i="10"/>
  <c r="E1968" i="10"/>
  <c r="F1968" i="10"/>
  <c r="G1968" i="10"/>
  <c r="H1968" i="10"/>
  <c r="I1968" i="10"/>
  <c r="C1969" i="10"/>
  <c r="D1969" i="10"/>
  <c r="E1969" i="10"/>
  <c r="F1969" i="10"/>
  <c r="G1969" i="10"/>
  <c r="H1969" i="10"/>
  <c r="I1969" i="10"/>
  <c r="C1970" i="10"/>
  <c r="D1970" i="10"/>
  <c r="E1970" i="10"/>
  <c r="F1970" i="10"/>
  <c r="G1970" i="10"/>
  <c r="H1970" i="10"/>
  <c r="I1970" i="10"/>
  <c r="C1964" i="10"/>
  <c r="D1964" i="10"/>
  <c r="E1964" i="10"/>
  <c r="F1964" i="10"/>
  <c r="G1964" i="10"/>
  <c r="H1964" i="10"/>
  <c r="I1964" i="10"/>
  <c r="D1966" i="10"/>
  <c r="E1966" i="10"/>
  <c r="F1966" i="10"/>
  <c r="G1966" i="10"/>
  <c r="H1966" i="10"/>
  <c r="I1966" i="10"/>
  <c r="C1967" i="10"/>
  <c r="D1967" i="10"/>
  <c r="E1967" i="10"/>
  <c r="F1967" i="10"/>
  <c r="G1967" i="10"/>
  <c r="H1967" i="10"/>
  <c r="I1967" i="10"/>
  <c r="C1961" i="10"/>
  <c r="D1961" i="10"/>
  <c r="E1961" i="10"/>
  <c r="F1961" i="10"/>
  <c r="G1961" i="10"/>
  <c r="H1961" i="10"/>
  <c r="I1961" i="10"/>
  <c r="C1962" i="10"/>
  <c r="D1962" i="10"/>
  <c r="E1962" i="10"/>
  <c r="F1962" i="10"/>
  <c r="G1962" i="10"/>
  <c r="H1962" i="10"/>
  <c r="I1962" i="10"/>
  <c r="C1963" i="10"/>
  <c r="D1963" i="10"/>
  <c r="E1963" i="10"/>
  <c r="F1963" i="10"/>
  <c r="G1963" i="10"/>
  <c r="H1963" i="10"/>
  <c r="I1963" i="10"/>
  <c r="C1958" i="10"/>
  <c r="D1958" i="10"/>
  <c r="E1958" i="10"/>
  <c r="F1958" i="10"/>
  <c r="G1958" i="10"/>
  <c r="H1958" i="10"/>
  <c r="I1958" i="10"/>
  <c r="C1959" i="10"/>
  <c r="D1959" i="10"/>
  <c r="E1959" i="10"/>
  <c r="F1959" i="10"/>
  <c r="G1959" i="10"/>
  <c r="H1959" i="10"/>
  <c r="I1959" i="10"/>
  <c r="C1960" i="10"/>
  <c r="D1960" i="10"/>
  <c r="E1960" i="10"/>
  <c r="F1960" i="10"/>
  <c r="G1960" i="10"/>
  <c r="H1960" i="10"/>
  <c r="I1960" i="10"/>
  <c r="R1958" i="10"/>
  <c r="R1959" i="10"/>
  <c r="R1960" i="10"/>
  <c r="R1961" i="10"/>
  <c r="R1962" i="10"/>
  <c r="R1963" i="10"/>
  <c r="R1964" i="10"/>
  <c r="R1967" i="10"/>
  <c r="R1968" i="10"/>
  <c r="R1969" i="10"/>
  <c r="R1970" i="10"/>
  <c r="R1971" i="10"/>
  <c r="R1972" i="10"/>
  <c r="R1973" i="10"/>
  <c r="R1974" i="10"/>
  <c r="J1974" i="10"/>
  <c r="J1973" i="10"/>
  <c r="J1972" i="10"/>
  <c r="J1971" i="10"/>
  <c r="J1970" i="10"/>
  <c r="J1969" i="10"/>
  <c r="J1968" i="10"/>
  <c r="J1967" i="10"/>
  <c r="J1966" i="10"/>
  <c r="J1964" i="10"/>
  <c r="J1963" i="10"/>
  <c r="J1962" i="10"/>
  <c r="J1961" i="10"/>
  <c r="J1960" i="10"/>
  <c r="J1959" i="10"/>
  <c r="J1958" i="10"/>
  <c r="K1949" i="10"/>
  <c r="L1949" i="10"/>
  <c r="M1949" i="10"/>
  <c r="N1949" i="10"/>
  <c r="O1949" i="10"/>
  <c r="P1949" i="10"/>
  <c r="Q1949" i="10"/>
  <c r="K1951" i="10"/>
  <c r="L1951" i="10"/>
  <c r="M1951" i="10"/>
  <c r="N1951" i="10"/>
  <c r="O1951" i="10"/>
  <c r="P1951" i="10"/>
  <c r="Q1951" i="10"/>
  <c r="K1950" i="10"/>
  <c r="L1950" i="10"/>
  <c r="M1950" i="10"/>
  <c r="N1950" i="10"/>
  <c r="O1950" i="10"/>
  <c r="P1950" i="10"/>
  <c r="Q1950" i="10"/>
  <c r="K1948" i="10"/>
  <c r="L1948" i="10"/>
  <c r="M1948" i="10"/>
  <c r="N1948" i="10"/>
  <c r="O1948" i="10"/>
  <c r="P1948" i="10"/>
  <c r="Q1948" i="10"/>
  <c r="K1947" i="10"/>
  <c r="L1947" i="10"/>
  <c r="M1947" i="10"/>
  <c r="N1947" i="10"/>
  <c r="O1947" i="10"/>
  <c r="P1947" i="10"/>
  <c r="Q1947" i="10"/>
  <c r="K1944" i="10"/>
  <c r="L1944" i="10"/>
  <c r="M1944" i="10"/>
  <c r="N1944" i="10"/>
  <c r="O1944" i="10"/>
  <c r="P1944" i="10"/>
  <c r="Q1944" i="10"/>
  <c r="K1945" i="10"/>
  <c r="L1945" i="10"/>
  <c r="M1945" i="10"/>
  <c r="N1945" i="10"/>
  <c r="O1945" i="10"/>
  <c r="P1945" i="10"/>
  <c r="Q1945" i="10"/>
  <c r="K1946" i="10"/>
  <c r="L1946" i="10"/>
  <c r="M1946" i="10"/>
  <c r="N1946" i="10"/>
  <c r="O1946" i="10"/>
  <c r="P1946" i="10"/>
  <c r="Q1946" i="10"/>
  <c r="K1943" i="10"/>
  <c r="L1943" i="10"/>
  <c r="M1943" i="10"/>
  <c r="N1943" i="10"/>
  <c r="O1943" i="10"/>
  <c r="P1943" i="10"/>
  <c r="Q1943" i="10"/>
  <c r="K1941" i="10"/>
  <c r="L1941" i="10"/>
  <c r="M1941" i="10"/>
  <c r="N1941" i="10"/>
  <c r="O1941" i="10"/>
  <c r="P1941" i="10"/>
  <c r="Q1941" i="10"/>
  <c r="K1939" i="10"/>
  <c r="L1939" i="10"/>
  <c r="M1939" i="10"/>
  <c r="N1939" i="10"/>
  <c r="O1939" i="10"/>
  <c r="P1939" i="10"/>
  <c r="Q1939" i="10"/>
  <c r="K1940" i="10"/>
  <c r="L1940" i="10"/>
  <c r="M1940" i="10"/>
  <c r="N1940" i="10"/>
  <c r="O1940" i="10"/>
  <c r="P1940" i="10"/>
  <c r="Q1940" i="10"/>
  <c r="K1938" i="10"/>
  <c r="L1938" i="10"/>
  <c r="M1938" i="10"/>
  <c r="N1938" i="10"/>
  <c r="O1938" i="10"/>
  <c r="P1938" i="10"/>
  <c r="Q1938" i="10"/>
  <c r="K1937" i="10"/>
  <c r="L1937" i="10"/>
  <c r="M1937" i="10"/>
  <c r="N1937" i="10"/>
  <c r="O1937" i="10"/>
  <c r="P1937" i="10"/>
  <c r="Q1937" i="10"/>
  <c r="K1936" i="10"/>
  <c r="L1936" i="10"/>
  <c r="M1936" i="10"/>
  <c r="N1936" i="10"/>
  <c r="O1936" i="10"/>
  <c r="P1936" i="10"/>
  <c r="Q1936" i="10"/>
  <c r="K1935" i="10"/>
  <c r="L1935" i="10"/>
  <c r="M1935" i="10"/>
  <c r="N1935" i="10"/>
  <c r="O1935" i="10"/>
  <c r="P1935" i="10"/>
  <c r="Q1935" i="10"/>
  <c r="C1949" i="10"/>
  <c r="D1949" i="10"/>
  <c r="E1949" i="10"/>
  <c r="F1949" i="10"/>
  <c r="G1949" i="10"/>
  <c r="H1949" i="10"/>
  <c r="I1949" i="10"/>
  <c r="C1938" i="10"/>
  <c r="D1938" i="10"/>
  <c r="E1938" i="10"/>
  <c r="F1938" i="10"/>
  <c r="G1938" i="10"/>
  <c r="H1938" i="10"/>
  <c r="I1938" i="10"/>
  <c r="C1941" i="10"/>
  <c r="D1941" i="10"/>
  <c r="E1941" i="10"/>
  <c r="F1941" i="10"/>
  <c r="G1941" i="10"/>
  <c r="H1941" i="10"/>
  <c r="I1941" i="10"/>
  <c r="C1937" i="10"/>
  <c r="D1937" i="10"/>
  <c r="E1937" i="10"/>
  <c r="F1937" i="10"/>
  <c r="G1937" i="10"/>
  <c r="H1937" i="10"/>
  <c r="I1937" i="10"/>
  <c r="C1950" i="10"/>
  <c r="D1950" i="10"/>
  <c r="E1950" i="10"/>
  <c r="F1950" i="10"/>
  <c r="G1950" i="10"/>
  <c r="H1950" i="10"/>
  <c r="I1950" i="10"/>
  <c r="C1951" i="10"/>
  <c r="D1951" i="10"/>
  <c r="E1951" i="10"/>
  <c r="F1951" i="10"/>
  <c r="G1951" i="10"/>
  <c r="H1951" i="10"/>
  <c r="I1951" i="10"/>
  <c r="C1948" i="10"/>
  <c r="D1948" i="10"/>
  <c r="E1948" i="10"/>
  <c r="F1948" i="10"/>
  <c r="G1948" i="10"/>
  <c r="H1948" i="10"/>
  <c r="I1948" i="10"/>
  <c r="D1943" i="10"/>
  <c r="E1943" i="10"/>
  <c r="F1943" i="10"/>
  <c r="G1943" i="10"/>
  <c r="H1943" i="10"/>
  <c r="I1943" i="10"/>
  <c r="C1944" i="10"/>
  <c r="D1944" i="10"/>
  <c r="E1944" i="10"/>
  <c r="F1944" i="10"/>
  <c r="G1944" i="10"/>
  <c r="H1944" i="10"/>
  <c r="I1944" i="10"/>
  <c r="C1945" i="10"/>
  <c r="D1945" i="10"/>
  <c r="E1945" i="10"/>
  <c r="F1945" i="10"/>
  <c r="G1945" i="10"/>
  <c r="H1945" i="10"/>
  <c r="I1945" i="10"/>
  <c r="C1946" i="10"/>
  <c r="D1946" i="10"/>
  <c r="E1946" i="10"/>
  <c r="F1946" i="10"/>
  <c r="G1946" i="10"/>
  <c r="H1946" i="10"/>
  <c r="I1946" i="10"/>
  <c r="C1947" i="10"/>
  <c r="D1947" i="10"/>
  <c r="E1947" i="10"/>
  <c r="F1947" i="10"/>
  <c r="G1947" i="10"/>
  <c r="H1947" i="10"/>
  <c r="I1947" i="10"/>
  <c r="C1939" i="10"/>
  <c r="D1939" i="10"/>
  <c r="E1939" i="10"/>
  <c r="F1939" i="10"/>
  <c r="G1939" i="10"/>
  <c r="H1939" i="10"/>
  <c r="I1939" i="10"/>
  <c r="C1940" i="10"/>
  <c r="D1940" i="10"/>
  <c r="E1940" i="10"/>
  <c r="F1940" i="10"/>
  <c r="G1940" i="10"/>
  <c r="H1940" i="10"/>
  <c r="I1940" i="10"/>
  <c r="C1935" i="10"/>
  <c r="D1935" i="10"/>
  <c r="E1935" i="10"/>
  <c r="F1935" i="10"/>
  <c r="G1935" i="10"/>
  <c r="H1935" i="10"/>
  <c r="I1935" i="10"/>
  <c r="C1936" i="10"/>
  <c r="D1936" i="10"/>
  <c r="E1936" i="10"/>
  <c r="F1936" i="10"/>
  <c r="G1936" i="10"/>
  <c r="H1936" i="10"/>
  <c r="I1936" i="10"/>
  <c r="R1935" i="10"/>
  <c r="R1936" i="10"/>
  <c r="R1937" i="10"/>
  <c r="R1938" i="10"/>
  <c r="R1939" i="10"/>
  <c r="R1940" i="10"/>
  <c r="R1941" i="10"/>
  <c r="R1943" i="10"/>
  <c r="R1944" i="10"/>
  <c r="R1945" i="10"/>
  <c r="R1946" i="10"/>
  <c r="R1947" i="10"/>
  <c r="R1948" i="10"/>
  <c r="R1949" i="10"/>
  <c r="R1950" i="10"/>
  <c r="R1951" i="10"/>
  <c r="J1935" i="10"/>
  <c r="J1936" i="10"/>
  <c r="J1937" i="10"/>
  <c r="J1938" i="10"/>
  <c r="J1939" i="10"/>
  <c r="J1940" i="10"/>
  <c r="J1941" i="10"/>
  <c r="J1943" i="10"/>
  <c r="J1944" i="10"/>
  <c r="J1945" i="10"/>
  <c r="J1946" i="10"/>
  <c r="J1947" i="10"/>
  <c r="J1948" i="10"/>
  <c r="J1949" i="10"/>
  <c r="J1950" i="10"/>
  <c r="J1951" i="10"/>
  <c r="K1876" i="10"/>
  <c r="L1876" i="10"/>
  <c r="M1876" i="10"/>
  <c r="N1876" i="10"/>
  <c r="O1876" i="10"/>
  <c r="P1876" i="10"/>
  <c r="Q1876" i="10"/>
  <c r="K1877" i="10"/>
  <c r="L1877" i="10"/>
  <c r="M1877" i="10"/>
  <c r="N1877" i="10"/>
  <c r="O1877" i="10"/>
  <c r="P1877" i="10"/>
  <c r="Q1877" i="10"/>
  <c r="K1878" i="10"/>
  <c r="L1878" i="10"/>
  <c r="M1878" i="10"/>
  <c r="N1878" i="10"/>
  <c r="O1878" i="10"/>
  <c r="P1878" i="10"/>
  <c r="Q1878" i="10"/>
  <c r="K1871" i="10"/>
  <c r="L1871" i="10"/>
  <c r="M1871" i="10"/>
  <c r="N1871" i="10"/>
  <c r="O1871" i="10"/>
  <c r="P1871" i="10"/>
  <c r="Q1871" i="10"/>
  <c r="K1872" i="10"/>
  <c r="L1872" i="10"/>
  <c r="M1872" i="10"/>
  <c r="N1872" i="10"/>
  <c r="O1872" i="10"/>
  <c r="P1872" i="10"/>
  <c r="Q1872" i="10"/>
  <c r="K1873" i="10"/>
  <c r="L1873" i="10"/>
  <c r="M1873" i="10"/>
  <c r="N1873" i="10"/>
  <c r="O1873" i="10"/>
  <c r="P1873" i="10"/>
  <c r="Q1873" i="10"/>
  <c r="K1874" i="10"/>
  <c r="L1874" i="10"/>
  <c r="M1874" i="10"/>
  <c r="N1874" i="10"/>
  <c r="O1874" i="10"/>
  <c r="P1874" i="10"/>
  <c r="Q1874" i="10"/>
  <c r="K1875" i="10"/>
  <c r="L1875" i="10"/>
  <c r="M1875" i="10"/>
  <c r="N1875" i="10"/>
  <c r="O1875" i="10"/>
  <c r="P1875" i="10"/>
  <c r="Q1875" i="10"/>
  <c r="K1865" i="10"/>
  <c r="L1865" i="10"/>
  <c r="M1865" i="10"/>
  <c r="N1865" i="10"/>
  <c r="O1865" i="10"/>
  <c r="P1865" i="10"/>
  <c r="Q1865" i="10"/>
  <c r="K1866" i="10"/>
  <c r="L1866" i="10"/>
  <c r="M1866" i="10"/>
  <c r="N1866" i="10"/>
  <c r="O1866" i="10"/>
  <c r="P1866" i="10"/>
  <c r="Q1866" i="10"/>
  <c r="K1867" i="10"/>
  <c r="L1867" i="10"/>
  <c r="M1867" i="10"/>
  <c r="N1867" i="10"/>
  <c r="O1867" i="10"/>
  <c r="P1867" i="10"/>
  <c r="Q1867" i="10"/>
  <c r="L1868" i="10"/>
  <c r="M1868" i="10"/>
  <c r="N1868" i="10"/>
  <c r="O1868" i="10"/>
  <c r="P1868" i="10"/>
  <c r="Q1868" i="10"/>
  <c r="L1917" i="10"/>
  <c r="M1917" i="10"/>
  <c r="N1917" i="10"/>
  <c r="P1917" i="10"/>
  <c r="Q1917" i="10"/>
  <c r="K1870" i="10"/>
  <c r="L1870" i="10"/>
  <c r="M1870" i="10"/>
  <c r="N1870" i="10"/>
  <c r="O1870" i="10"/>
  <c r="P1870" i="10"/>
  <c r="Q1870" i="10"/>
  <c r="K1862" i="10"/>
  <c r="L1862" i="10"/>
  <c r="M1862" i="10"/>
  <c r="N1862" i="10"/>
  <c r="O1862" i="10"/>
  <c r="P1862" i="10"/>
  <c r="Q1862" i="10"/>
  <c r="K1863" i="10"/>
  <c r="L1863" i="10"/>
  <c r="M1863" i="10"/>
  <c r="N1863" i="10"/>
  <c r="O1863" i="10"/>
  <c r="P1863" i="10"/>
  <c r="Q1863" i="10"/>
  <c r="K1864" i="10"/>
  <c r="L1864" i="10"/>
  <c r="M1864" i="10"/>
  <c r="N1864" i="10"/>
  <c r="O1864" i="10"/>
  <c r="P1864" i="10"/>
  <c r="Q1864" i="10"/>
  <c r="R1862" i="10"/>
  <c r="R1863" i="10"/>
  <c r="R1864" i="10"/>
  <c r="R1865" i="10"/>
  <c r="R1866" i="10"/>
  <c r="R1867" i="10"/>
  <c r="R1868" i="10"/>
  <c r="R1917" i="10"/>
  <c r="R1870" i="10"/>
  <c r="R1871" i="10"/>
  <c r="R1872" i="10"/>
  <c r="R1873" i="10"/>
  <c r="R1874" i="10"/>
  <c r="R1875" i="10"/>
  <c r="R1877" i="10"/>
  <c r="R1878" i="10"/>
  <c r="C1875" i="10"/>
  <c r="D1875" i="10"/>
  <c r="E1875" i="10"/>
  <c r="F1875" i="10"/>
  <c r="G1875" i="10"/>
  <c r="H1875" i="10"/>
  <c r="I1875" i="10"/>
  <c r="C1876" i="10"/>
  <c r="D1876" i="10"/>
  <c r="E1876" i="10"/>
  <c r="F1876" i="10"/>
  <c r="G1876" i="10"/>
  <c r="H1876" i="10"/>
  <c r="I1876" i="10"/>
  <c r="C1877" i="10"/>
  <c r="D1877" i="10"/>
  <c r="E1877" i="10"/>
  <c r="F1877" i="10"/>
  <c r="G1877" i="10"/>
  <c r="H1877" i="10"/>
  <c r="I1877" i="10"/>
  <c r="C1878" i="10"/>
  <c r="C1926" i="10" s="1"/>
  <c r="D1878" i="10"/>
  <c r="E1878" i="10"/>
  <c r="F1878" i="10"/>
  <c r="G1878" i="10"/>
  <c r="H1878" i="10"/>
  <c r="I1878" i="10"/>
  <c r="C1873" i="10"/>
  <c r="C1921" i="10" s="1"/>
  <c r="D1873" i="10"/>
  <c r="E1873" i="10"/>
  <c r="F1873" i="10"/>
  <c r="G1873" i="10"/>
  <c r="H1873" i="10"/>
  <c r="I1873" i="10"/>
  <c r="C1874" i="10"/>
  <c r="D1874" i="10"/>
  <c r="E1874" i="10"/>
  <c r="F1874" i="10"/>
  <c r="G1874" i="10"/>
  <c r="H1874" i="10"/>
  <c r="I1874" i="10"/>
  <c r="C1868" i="10"/>
  <c r="D1868" i="10"/>
  <c r="E1868" i="10"/>
  <c r="F1868" i="10"/>
  <c r="G1868" i="10"/>
  <c r="H1868" i="10"/>
  <c r="I1868" i="10"/>
  <c r="D1917" i="10"/>
  <c r="E1917" i="10"/>
  <c r="G1917" i="10"/>
  <c r="H1917" i="10"/>
  <c r="I1917" i="10"/>
  <c r="C1870" i="10"/>
  <c r="D1870" i="10"/>
  <c r="E1870" i="10"/>
  <c r="F1870" i="10"/>
  <c r="G1870" i="10"/>
  <c r="H1870" i="10"/>
  <c r="I1870" i="10"/>
  <c r="C1871" i="10"/>
  <c r="D1871" i="10"/>
  <c r="E1871" i="10"/>
  <c r="F1871" i="10"/>
  <c r="G1871" i="10"/>
  <c r="H1871" i="10"/>
  <c r="I1871" i="10"/>
  <c r="C1872" i="10"/>
  <c r="D1872" i="10"/>
  <c r="E1872" i="10"/>
  <c r="F1872" i="10"/>
  <c r="G1872" i="10"/>
  <c r="H1872" i="10"/>
  <c r="I1872" i="10"/>
  <c r="C1865" i="10"/>
  <c r="D1865" i="10"/>
  <c r="E1865" i="10"/>
  <c r="F1865" i="10"/>
  <c r="G1865" i="10"/>
  <c r="H1865" i="10"/>
  <c r="I1865" i="10"/>
  <c r="C1866" i="10"/>
  <c r="D1866" i="10"/>
  <c r="E1866" i="10"/>
  <c r="F1866" i="10"/>
  <c r="G1866" i="10"/>
  <c r="H1866" i="10"/>
  <c r="I1866" i="10"/>
  <c r="C1867" i="10"/>
  <c r="D1867" i="10"/>
  <c r="E1867" i="10"/>
  <c r="F1867" i="10"/>
  <c r="G1867" i="10"/>
  <c r="H1867" i="10"/>
  <c r="I1867" i="10"/>
  <c r="C1862" i="10"/>
  <c r="D1862" i="10"/>
  <c r="E1862" i="10"/>
  <c r="F1862" i="10"/>
  <c r="G1862" i="10"/>
  <c r="H1862" i="10"/>
  <c r="I1862" i="10"/>
  <c r="C1863" i="10"/>
  <c r="D1863" i="10"/>
  <c r="E1863" i="10"/>
  <c r="F1863" i="10"/>
  <c r="G1863" i="10"/>
  <c r="H1863" i="10"/>
  <c r="I1863" i="10"/>
  <c r="C1864" i="10"/>
  <c r="D1864" i="10"/>
  <c r="E1864" i="10"/>
  <c r="F1864" i="10"/>
  <c r="G1864" i="10"/>
  <c r="H1864" i="10"/>
  <c r="I1864" i="10"/>
  <c r="J1862" i="10"/>
  <c r="J1863" i="10"/>
  <c r="J1864" i="10"/>
  <c r="J1865" i="10"/>
  <c r="J1866" i="10"/>
  <c r="J1867" i="10"/>
  <c r="J1868" i="10"/>
  <c r="J1870" i="10"/>
  <c r="J1871" i="10"/>
  <c r="J1872" i="10"/>
  <c r="J1873" i="10"/>
  <c r="J1874" i="10"/>
  <c r="J1875" i="10"/>
  <c r="J1876" i="10"/>
  <c r="J1877" i="10"/>
  <c r="J1878" i="10"/>
  <c r="K1855" i="10"/>
  <c r="L1855" i="10"/>
  <c r="M1855" i="10"/>
  <c r="N1855" i="10"/>
  <c r="O1855" i="10"/>
  <c r="P1855" i="10"/>
  <c r="Q1855" i="10"/>
  <c r="K1853" i="10"/>
  <c r="L1853" i="10"/>
  <c r="M1853" i="10"/>
  <c r="N1853" i="10"/>
  <c r="O1853" i="10"/>
  <c r="P1853" i="10"/>
  <c r="Q1853" i="10"/>
  <c r="K1854" i="10"/>
  <c r="L1854" i="10"/>
  <c r="M1854" i="10"/>
  <c r="N1854" i="10"/>
  <c r="O1854" i="10"/>
  <c r="P1854" i="10"/>
  <c r="Q1854" i="10"/>
  <c r="K1851" i="10"/>
  <c r="L1851" i="10"/>
  <c r="M1851" i="10"/>
  <c r="N1851" i="10"/>
  <c r="O1851" i="10"/>
  <c r="P1851" i="10"/>
  <c r="Q1851" i="10"/>
  <c r="K1852" i="10"/>
  <c r="L1852" i="10"/>
  <c r="M1852" i="10"/>
  <c r="N1852" i="10"/>
  <c r="O1852" i="10"/>
  <c r="P1852" i="10"/>
  <c r="Q1852" i="10"/>
  <c r="K1848" i="10"/>
  <c r="L1848" i="10"/>
  <c r="M1848" i="10"/>
  <c r="N1848" i="10"/>
  <c r="O1848" i="10"/>
  <c r="P1848" i="10"/>
  <c r="Q1848" i="10"/>
  <c r="K1849" i="10"/>
  <c r="L1849" i="10"/>
  <c r="M1849" i="10"/>
  <c r="N1849" i="10"/>
  <c r="O1849" i="10"/>
  <c r="P1849" i="10"/>
  <c r="Q1849" i="10"/>
  <c r="K1850" i="10"/>
  <c r="L1850" i="10"/>
  <c r="M1850" i="10"/>
  <c r="N1850" i="10"/>
  <c r="O1850" i="10"/>
  <c r="P1850" i="10"/>
  <c r="Q1850" i="10"/>
  <c r="K1847" i="10"/>
  <c r="L1847" i="10"/>
  <c r="M1847" i="10"/>
  <c r="N1847" i="10"/>
  <c r="O1847" i="10"/>
  <c r="P1847" i="10"/>
  <c r="Q1847" i="10"/>
  <c r="M1894" i="10"/>
  <c r="N1894" i="10"/>
  <c r="O1894" i="10"/>
  <c r="Q1894" i="10"/>
  <c r="K1845" i="10"/>
  <c r="L1845" i="10"/>
  <c r="M1845" i="10"/>
  <c r="N1845" i="10"/>
  <c r="O1845" i="10"/>
  <c r="P1845" i="10"/>
  <c r="Q1845" i="10"/>
  <c r="K1842" i="10"/>
  <c r="L1842" i="10"/>
  <c r="M1842" i="10"/>
  <c r="N1842" i="10"/>
  <c r="O1842" i="10"/>
  <c r="P1842" i="10"/>
  <c r="Q1842" i="10"/>
  <c r="K1843" i="10"/>
  <c r="L1843" i="10"/>
  <c r="M1843" i="10"/>
  <c r="N1843" i="10"/>
  <c r="O1843" i="10"/>
  <c r="P1843" i="10"/>
  <c r="Q1843" i="10"/>
  <c r="K1844" i="10"/>
  <c r="L1844" i="10"/>
  <c r="M1844" i="10"/>
  <c r="N1844" i="10"/>
  <c r="O1844" i="10"/>
  <c r="P1844" i="10"/>
  <c r="Q1844" i="10"/>
  <c r="K1839" i="10"/>
  <c r="L1839" i="10"/>
  <c r="M1839" i="10"/>
  <c r="N1839" i="10"/>
  <c r="O1839" i="10"/>
  <c r="P1839" i="10"/>
  <c r="Q1839" i="10"/>
  <c r="K1840" i="10"/>
  <c r="L1840" i="10"/>
  <c r="M1840" i="10"/>
  <c r="N1840" i="10"/>
  <c r="O1840" i="10"/>
  <c r="P1840" i="10"/>
  <c r="Q1840" i="10"/>
  <c r="K1841" i="10"/>
  <c r="L1841" i="10"/>
  <c r="M1841" i="10"/>
  <c r="N1841" i="10"/>
  <c r="O1841" i="10"/>
  <c r="P1841" i="10"/>
  <c r="Q1841" i="10"/>
  <c r="R1839" i="10"/>
  <c r="R1840" i="10"/>
  <c r="R1841" i="10"/>
  <c r="R1842" i="10"/>
  <c r="R1843" i="10"/>
  <c r="R1844" i="10"/>
  <c r="R1845" i="10"/>
  <c r="R1894" i="10"/>
  <c r="R1847" i="10"/>
  <c r="R1848" i="10"/>
  <c r="R1849" i="10"/>
  <c r="R1850" i="10"/>
  <c r="R1851" i="10"/>
  <c r="R1852" i="10"/>
  <c r="R1853" i="10"/>
  <c r="R1854" i="10"/>
  <c r="R1855" i="10"/>
  <c r="C1854" i="10"/>
  <c r="D1854" i="10"/>
  <c r="E1854" i="10"/>
  <c r="F1854" i="10"/>
  <c r="G1854" i="10"/>
  <c r="H1854" i="10"/>
  <c r="I1854" i="10"/>
  <c r="C1855" i="10"/>
  <c r="C1903" i="10" s="1"/>
  <c r="D1855" i="10"/>
  <c r="E1855" i="10"/>
  <c r="F1855" i="10"/>
  <c r="G1855" i="10"/>
  <c r="H1855" i="10"/>
  <c r="I1855" i="10"/>
  <c r="C1851" i="10"/>
  <c r="D1851" i="10"/>
  <c r="E1851" i="10"/>
  <c r="F1851" i="10"/>
  <c r="G1851" i="10"/>
  <c r="H1851" i="10"/>
  <c r="I1851" i="10"/>
  <c r="C1852" i="10"/>
  <c r="D1852" i="10"/>
  <c r="E1852" i="10"/>
  <c r="F1852" i="10"/>
  <c r="G1852" i="10"/>
  <c r="H1852" i="10"/>
  <c r="I1852" i="10"/>
  <c r="C1853" i="10"/>
  <c r="D1853" i="10"/>
  <c r="E1853" i="10"/>
  <c r="F1853" i="10"/>
  <c r="G1853" i="10"/>
  <c r="H1853" i="10"/>
  <c r="I1853" i="10"/>
  <c r="C1845" i="10"/>
  <c r="D1845" i="10"/>
  <c r="E1845" i="10"/>
  <c r="F1845" i="10"/>
  <c r="G1845" i="10"/>
  <c r="H1845" i="10"/>
  <c r="I1845" i="10"/>
  <c r="D1894" i="10"/>
  <c r="F1894" i="10"/>
  <c r="G1894" i="10"/>
  <c r="H1894" i="10"/>
  <c r="C1847" i="10"/>
  <c r="D1847" i="10"/>
  <c r="E1847" i="10"/>
  <c r="F1847" i="10"/>
  <c r="G1847" i="10"/>
  <c r="H1847" i="10"/>
  <c r="I1847" i="10"/>
  <c r="C1848" i="10"/>
  <c r="C1896" i="10" s="1"/>
  <c r="D1848" i="10"/>
  <c r="E1848" i="10"/>
  <c r="F1848" i="10"/>
  <c r="G1848" i="10"/>
  <c r="H1848" i="10"/>
  <c r="I1848" i="10"/>
  <c r="C1849" i="10"/>
  <c r="D1849" i="10"/>
  <c r="E1849" i="10"/>
  <c r="F1849" i="10"/>
  <c r="G1849" i="10"/>
  <c r="H1849" i="10"/>
  <c r="I1849" i="10"/>
  <c r="C1850" i="10"/>
  <c r="D1850" i="10"/>
  <c r="E1850" i="10"/>
  <c r="F1850" i="10"/>
  <c r="G1850" i="10"/>
  <c r="H1850" i="10"/>
  <c r="I1850" i="10"/>
  <c r="C1839" i="10"/>
  <c r="D1839" i="10"/>
  <c r="E1839" i="10"/>
  <c r="F1839" i="10"/>
  <c r="G1839" i="10"/>
  <c r="H1839" i="10"/>
  <c r="I1839" i="10"/>
  <c r="C1840" i="10"/>
  <c r="D1840" i="10"/>
  <c r="E1840" i="10"/>
  <c r="F1840" i="10"/>
  <c r="G1840" i="10"/>
  <c r="H1840" i="10"/>
  <c r="I1840" i="10"/>
  <c r="C1841" i="10"/>
  <c r="D1841" i="10"/>
  <c r="E1841" i="10"/>
  <c r="F1841" i="10"/>
  <c r="G1841" i="10"/>
  <c r="H1841" i="10"/>
  <c r="I1841" i="10"/>
  <c r="C1842" i="10"/>
  <c r="D1842" i="10"/>
  <c r="E1842" i="10"/>
  <c r="F1842" i="10"/>
  <c r="G1842" i="10"/>
  <c r="H1842" i="10"/>
  <c r="I1842" i="10"/>
  <c r="C1843" i="10"/>
  <c r="C1891" i="10" s="1"/>
  <c r="D1843" i="10"/>
  <c r="E1843" i="10"/>
  <c r="F1843" i="10"/>
  <c r="G1843" i="10"/>
  <c r="H1843" i="10"/>
  <c r="I1843" i="10"/>
  <c r="C1844" i="10"/>
  <c r="D1844" i="10"/>
  <c r="E1844" i="10"/>
  <c r="F1844" i="10"/>
  <c r="G1844" i="10"/>
  <c r="H1844" i="10"/>
  <c r="I1844" i="10"/>
  <c r="J1839" i="10"/>
  <c r="J1840" i="10"/>
  <c r="J1841" i="10"/>
  <c r="J1842" i="10"/>
  <c r="J1843" i="10"/>
  <c r="J1844" i="10"/>
  <c r="J1845" i="10"/>
  <c r="J1894" i="10"/>
  <c r="J1847" i="10"/>
  <c r="J1895" i="10" s="1"/>
  <c r="J1848" i="10"/>
  <c r="J1849" i="10"/>
  <c r="J1850" i="10"/>
  <c r="J1851" i="10"/>
  <c r="J1852" i="10"/>
  <c r="J1853" i="10"/>
  <c r="J1854" i="10"/>
  <c r="J1855" i="10"/>
  <c r="R1782" i="10"/>
  <c r="R1781" i="10"/>
  <c r="R1780" i="10"/>
  <c r="R1779" i="10"/>
  <c r="R1778" i="10"/>
  <c r="R1777" i="10"/>
  <c r="R1776" i="10"/>
  <c r="R1775" i="10"/>
  <c r="R1774" i="10"/>
  <c r="R1772" i="10"/>
  <c r="R1771" i="10"/>
  <c r="R1770" i="10"/>
  <c r="R1769" i="10"/>
  <c r="R1768" i="10"/>
  <c r="R1767" i="10"/>
  <c r="C1778" i="10"/>
  <c r="D1778" i="10"/>
  <c r="E1778" i="10"/>
  <c r="F1778" i="10"/>
  <c r="G1778" i="10"/>
  <c r="H1778" i="10"/>
  <c r="I1778" i="10"/>
  <c r="C1779" i="10"/>
  <c r="D1779" i="10"/>
  <c r="E1779" i="10"/>
  <c r="F1779" i="10"/>
  <c r="G1779" i="10"/>
  <c r="H1779" i="10"/>
  <c r="I1779" i="10"/>
  <c r="C1780" i="10"/>
  <c r="D1780" i="10"/>
  <c r="E1780" i="10"/>
  <c r="F1780" i="10"/>
  <c r="G1780" i="10"/>
  <c r="H1780" i="10"/>
  <c r="I1780" i="10"/>
  <c r="C1781" i="10"/>
  <c r="D1781" i="10"/>
  <c r="E1781" i="10"/>
  <c r="F1781" i="10"/>
  <c r="G1781" i="10"/>
  <c r="H1781" i="10"/>
  <c r="I1781" i="10"/>
  <c r="C1782" i="10"/>
  <c r="D1782" i="10"/>
  <c r="E1782" i="10"/>
  <c r="F1782" i="10"/>
  <c r="G1782" i="10"/>
  <c r="H1782" i="10"/>
  <c r="I1782" i="10"/>
  <c r="C1777" i="10"/>
  <c r="D1777" i="10"/>
  <c r="E1777" i="10"/>
  <c r="F1777" i="10"/>
  <c r="G1777" i="10"/>
  <c r="H1777" i="10"/>
  <c r="I1777" i="10"/>
  <c r="C1774" i="10"/>
  <c r="D1774" i="10"/>
  <c r="E1774" i="10"/>
  <c r="F1774" i="10"/>
  <c r="G1774" i="10"/>
  <c r="H1774" i="10"/>
  <c r="I1774" i="10"/>
  <c r="C1775" i="10"/>
  <c r="D1775" i="10"/>
  <c r="E1775" i="10"/>
  <c r="F1775" i="10"/>
  <c r="G1775" i="10"/>
  <c r="H1775" i="10"/>
  <c r="I1775" i="10"/>
  <c r="C1776" i="10"/>
  <c r="D1776" i="10"/>
  <c r="E1776" i="10"/>
  <c r="F1776" i="10"/>
  <c r="G1776" i="10"/>
  <c r="H1776" i="10"/>
  <c r="I1776" i="10"/>
  <c r="C1766" i="10"/>
  <c r="D1766" i="10"/>
  <c r="E1766" i="10"/>
  <c r="F1766" i="10"/>
  <c r="G1766" i="10"/>
  <c r="H1766" i="10"/>
  <c r="I1766" i="10"/>
  <c r="C1767" i="10"/>
  <c r="D1767" i="10"/>
  <c r="E1767" i="10"/>
  <c r="F1767" i="10"/>
  <c r="G1767" i="10"/>
  <c r="H1767" i="10"/>
  <c r="I1767" i="10"/>
  <c r="C1768" i="10"/>
  <c r="D1768" i="10"/>
  <c r="E1768" i="10"/>
  <c r="F1768" i="10"/>
  <c r="G1768" i="10"/>
  <c r="H1768" i="10"/>
  <c r="I1768" i="10"/>
  <c r="C1769" i="10"/>
  <c r="D1769" i="10"/>
  <c r="E1769" i="10"/>
  <c r="F1769" i="10"/>
  <c r="G1769" i="10"/>
  <c r="H1769" i="10"/>
  <c r="I1769" i="10"/>
  <c r="C1770" i="10"/>
  <c r="D1770" i="10"/>
  <c r="E1770" i="10"/>
  <c r="F1770" i="10"/>
  <c r="G1770" i="10"/>
  <c r="H1770" i="10"/>
  <c r="I1770" i="10"/>
  <c r="C1771" i="10"/>
  <c r="D1771" i="10"/>
  <c r="E1771" i="10"/>
  <c r="F1771" i="10"/>
  <c r="G1771" i="10"/>
  <c r="H1771" i="10"/>
  <c r="I1771" i="10"/>
  <c r="C1772" i="10"/>
  <c r="D1772" i="10"/>
  <c r="E1772" i="10"/>
  <c r="F1772" i="10"/>
  <c r="G1772" i="10"/>
  <c r="H1772" i="10"/>
  <c r="I1772" i="10"/>
  <c r="J1766" i="10"/>
  <c r="J1767" i="10"/>
  <c r="J1768" i="10"/>
  <c r="J1769" i="10"/>
  <c r="J1770" i="10"/>
  <c r="J1771" i="10"/>
  <c r="J1772" i="10"/>
  <c r="J1774" i="10"/>
  <c r="J1775" i="10"/>
  <c r="J1776" i="10"/>
  <c r="J1777" i="10"/>
  <c r="J1778" i="10"/>
  <c r="J1779" i="10"/>
  <c r="J1780" i="10"/>
  <c r="J1781" i="10"/>
  <c r="J1782" i="10"/>
  <c r="K1759" i="10"/>
  <c r="L1759" i="10"/>
  <c r="M1759" i="10"/>
  <c r="N1759" i="10"/>
  <c r="O1759" i="10"/>
  <c r="P1759" i="10"/>
  <c r="Q1759" i="10"/>
  <c r="K1757" i="10"/>
  <c r="L1757" i="10"/>
  <c r="M1757" i="10"/>
  <c r="N1757" i="10"/>
  <c r="O1757" i="10"/>
  <c r="P1757" i="10"/>
  <c r="Q1757" i="10"/>
  <c r="K1758" i="10"/>
  <c r="L1758" i="10"/>
  <c r="M1758" i="10"/>
  <c r="N1758" i="10"/>
  <c r="O1758" i="10"/>
  <c r="P1758" i="10"/>
  <c r="Q1758" i="10"/>
  <c r="K1754" i="10"/>
  <c r="L1754" i="10"/>
  <c r="M1754" i="10"/>
  <c r="N1754" i="10"/>
  <c r="O1754" i="10"/>
  <c r="P1754" i="10"/>
  <c r="Q1754" i="10"/>
  <c r="K1755" i="10"/>
  <c r="L1755" i="10"/>
  <c r="M1755" i="10"/>
  <c r="N1755" i="10"/>
  <c r="O1755" i="10"/>
  <c r="P1755" i="10"/>
  <c r="Q1755" i="10"/>
  <c r="K1756" i="10"/>
  <c r="L1756" i="10"/>
  <c r="M1756" i="10"/>
  <c r="N1756" i="10"/>
  <c r="O1756" i="10"/>
  <c r="P1756" i="10"/>
  <c r="Q1756" i="10"/>
  <c r="K1751" i="10"/>
  <c r="L1751" i="10"/>
  <c r="M1751" i="10"/>
  <c r="N1751" i="10"/>
  <c r="O1751" i="10"/>
  <c r="P1751" i="10"/>
  <c r="Q1751" i="10"/>
  <c r="K1752" i="10"/>
  <c r="L1752" i="10"/>
  <c r="M1752" i="10"/>
  <c r="N1752" i="10"/>
  <c r="O1752" i="10"/>
  <c r="P1752" i="10"/>
  <c r="Q1752" i="10"/>
  <c r="K1753" i="10"/>
  <c r="L1753" i="10"/>
  <c r="M1753" i="10"/>
  <c r="N1753" i="10"/>
  <c r="O1753" i="10"/>
  <c r="P1753" i="10"/>
  <c r="Q1753" i="10"/>
  <c r="K1746" i="10"/>
  <c r="L1746" i="10"/>
  <c r="M1746" i="10"/>
  <c r="N1746" i="10"/>
  <c r="O1746" i="10"/>
  <c r="P1746" i="10"/>
  <c r="Q1746" i="10"/>
  <c r="K1747" i="10"/>
  <c r="L1747" i="10"/>
  <c r="M1747" i="10"/>
  <c r="N1747" i="10"/>
  <c r="O1747" i="10"/>
  <c r="P1747" i="10"/>
  <c r="Q1747" i="10"/>
  <c r="K1748" i="10"/>
  <c r="L1748" i="10"/>
  <c r="M1748" i="10"/>
  <c r="N1748" i="10"/>
  <c r="O1748" i="10"/>
  <c r="P1748" i="10"/>
  <c r="Q1748" i="10"/>
  <c r="K1749" i="10"/>
  <c r="L1749" i="10"/>
  <c r="M1749" i="10"/>
  <c r="N1749" i="10"/>
  <c r="O1749" i="10"/>
  <c r="P1749" i="10"/>
  <c r="Q1749" i="10"/>
  <c r="K1743" i="10"/>
  <c r="L1743" i="10"/>
  <c r="M1743" i="10"/>
  <c r="N1743" i="10"/>
  <c r="O1743" i="10"/>
  <c r="P1743" i="10"/>
  <c r="Q1743" i="10"/>
  <c r="K1744" i="10"/>
  <c r="L1744" i="10"/>
  <c r="M1744" i="10"/>
  <c r="N1744" i="10"/>
  <c r="O1744" i="10"/>
  <c r="P1744" i="10"/>
  <c r="Q1744" i="10"/>
  <c r="K1745" i="10"/>
  <c r="L1745" i="10"/>
  <c r="M1745" i="10"/>
  <c r="N1745" i="10"/>
  <c r="O1745" i="10"/>
  <c r="P1745" i="10"/>
  <c r="Q1745" i="10"/>
  <c r="R1743" i="10"/>
  <c r="R1744" i="10"/>
  <c r="R1745" i="10"/>
  <c r="R1746" i="10"/>
  <c r="R1747" i="10"/>
  <c r="R1748" i="10"/>
  <c r="R1749" i="10"/>
  <c r="R1751" i="10"/>
  <c r="R1752" i="10"/>
  <c r="R1753" i="10"/>
  <c r="R1754" i="10"/>
  <c r="R1755" i="10"/>
  <c r="R1756" i="10"/>
  <c r="R1757" i="10"/>
  <c r="R1758" i="10"/>
  <c r="R1759" i="10"/>
  <c r="C1756" i="10"/>
  <c r="D1756" i="10"/>
  <c r="E1756" i="10"/>
  <c r="F1756" i="10"/>
  <c r="G1756" i="10"/>
  <c r="H1756" i="10"/>
  <c r="I1756" i="10"/>
  <c r="C1757" i="10"/>
  <c r="D1757" i="10"/>
  <c r="E1757" i="10"/>
  <c r="F1757" i="10"/>
  <c r="G1757" i="10"/>
  <c r="H1757" i="10"/>
  <c r="I1757" i="10"/>
  <c r="C1758" i="10"/>
  <c r="D1758" i="10"/>
  <c r="E1758" i="10"/>
  <c r="F1758" i="10"/>
  <c r="G1758" i="10"/>
  <c r="H1758" i="10"/>
  <c r="I1758" i="10"/>
  <c r="C1759" i="10"/>
  <c r="D1759" i="10"/>
  <c r="E1759" i="10"/>
  <c r="F1759" i="10"/>
  <c r="G1759" i="10"/>
  <c r="H1759" i="10"/>
  <c r="I1759" i="10"/>
  <c r="C1751" i="10"/>
  <c r="D1751" i="10"/>
  <c r="E1751" i="10"/>
  <c r="F1751" i="10"/>
  <c r="G1751" i="10"/>
  <c r="H1751" i="10"/>
  <c r="I1751" i="10"/>
  <c r="C1752" i="10"/>
  <c r="D1752" i="10"/>
  <c r="E1752" i="10"/>
  <c r="F1752" i="10"/>
  <c r="G1752" i="10"/>
  <c r="H1752" i="10"/>
  <c r="I1752" i="10"/>
  <c r="C1753" i="10"/>
  <c r="D1753" i="10"/>
  <c r="E1753" i="10"/>
  <c r="F1753" i="10"/>
  <c r="G1753" i="10"/>
  <c r="H1753" i="10"/>
  <c r="I1753" i="10"/>
  <c r="C1754" i="10"/>
  <c r="D1754" i="10"/>
  <c r="E1754" i="10"/>
  <c r="F1754" i="10"/>
  <c r="G1754" i="10"/>
  <c r="H1754" i="10"/>
  <c r="I1754" i="10"/>
  <c r="C1755" i="10"/>
  <c r="D1755" i="10"/>
  <c r="E1755" i="10"/>
  <c r="F1755" i="10"/>
  <c r="G1755" i="10"/>
  <c r="H1755" i="10"/>
  <c r="I1755" i="10"/>
  <c r="C1743" i="10"/>
  <c r="D1743" i="10"/>
  <c r="E1743" i="10"/>
  <c r="F1743" i="10"/>
  <c r="G1743" i="10"/>
  <c r="H1743" i="10"/>
  <c r="I1743" i="10"/>
  <c r="C1744" i="10"/>
  <c r="D1744" i="10"/>
  <c r="E1744" i="10"/>
  <c r="F1744" i="10"/>
  <c r="G1744" i="10"/>
  <c r="H1744" i="10"/>
  <c r="I1744" i="10"/>
  <c r="C1745" i="10"/>
  <c r="D1745" i="10"/>
  <c r="E1745" i="10"/>
  <c r="F1745" i="10"/>
  <c r="G1745" i="10"/>
  <c r="H1745" i="10"/>
  <c r="I1745" i="10"/>
  <c r="C1746" i="10"/>
  <c r="D1746" i="10"/>
  <c r="E1746" i="10"/>
  <c r="F1746" i="10"/>
  <c r="G1746" i="10"/>
  <c r="H1746" i="10"/>
  <c r="I1746" i="10"/>
  <c r="C1747" i="10"/>
  <c r="D1747" i="10"/>
  <c r="E1747" i="10"/>
  <c r="F1747" i="10"/>
  <c r="G1747" i="10"/>
  <c r="H1747" i="10"/>
  <c r="I1747" i="10"/>
  <c r="C1748" i="10"/>
  <c r="D1748" i="10"/>
  <c r="E1748" i="10"/>
  <c r="F1748" i="10"/>
  <c r="G1748" i="10"/>
  <c r="H1748" i="10"/>
  <c r="I1748" i="10"/>
  <c r="C1749" i="10"/>
  <c r="D1749" i="10"/>
  <c r="E1749" i="10"/>
  <c r="F1749" i="10"/>
  <c r="G1749" i="10"/>
  <c r="H1749" i="10"/>
  <c r="I1749" i="10"/>
  <c r="J1743" i="10"/>
  <c r="J1744" i="10"/>
  <c r="J1745" i="10"/>
  <c r="J1746" i="10"/>
  <c r="J1747" i="10"/>
  <c r="J1748" i="10"/>
  <c r="J1749" i="10"/>
  <c r="J1751" i="10"/>
  <c r="J1752" i="10"/>
  <c r="J1753" i="10"/>
  <c r="J1754" i="10"/>
  <c r="J1755" i="10"/>
  <c r="J1756" i="10"/>
  <c r="J1757" i="10"/>
  <c r="J1758" i="10"/>
  <c r="J1759" i="10"/>
  <c r="K1670" i="10"/>
  <c r="L1670" i="10"/>
  <c r="M1670" i="10"/>
  <c r="N1670" i="10"/>
  <c r="O1670" i="10"/>
  <c r="P1670" i="10"/>
  <c r="Q1670" i="10"/>
  <c r="K1671" i="10"/>
  <c r="L1671" i="10"/>
  <c r="M1671" i="10"/>
  <c r="N1671" i="10"/>
  <c r="O1671" i="10"/>
  <c r="P1671" i="10"/>
  <c r="Q1671" i="10"/>
  <c r="K1672" i="10"/>
  <c r="L1672" i="10"/>
  <c r="M1672" i="10"/>
  <c r="N1672" i="10"/>
  <c r="O1672" i="10"/>
  <c r="P1672" i="10"/>
  <c r="Q1672" i="10"/>
  <c r="K1673" i="10"/>
  <c r="L1673" i="10"/>
  <c r="M1673" i="10"/>
  <c r="N1673" i="10"/>
  <c r="O1673" i="10"/>
  <c r="P1673" i="10"/>
  <c r="Q1673" i="10"/>
  <c r="K1674" i="10"/>
  <c r="L1674" i="10"/>
  <c r="M1674" i="10"/>
  <c r="N1674" i="10"/>
  <c r="O1674" i="10"/>
  <c r="P1674" i="10"/>
  <c r="Q1674" i="10"/>
  <c r="K1675" i="10"/>
  <c r="L1675" i="10"/>
  <c r="M1675" i="10"/>
  <c r="N1675" i="10"/>
  <c r="O1675" i="10"/>
  <c r="P1675" i="10"/>
  <c r="Q1675" i="10"/>
  <c r="K1676" i="10"/>
  <c r="L1676" i="10"/>
  <c r="M1676" i="10"/>
  <c r="N1676" i="10"/>
  <c r="O1676" i="10"/>
  <c r="P1676" i="10"/>
  <c r="Q1676" i="10"/>
  <c r="L1725" i="10"/>
  <c r="M1725" i="10"/>
  <c r="O1725" i="10"/>
  <c r="P1725" i="10"/>
  <c r="Q1725" i="10"/>
  <c r="K1678" i="10"/>
  <c r="L1678" i="10"/>
  <c r="M1678" i="10"/>
  <c r="N1678" i="10"/>
  <c r="O1678" i="10"/>
  <c r="P1678" i="10"/>
  <c r="Q1678" i="10"/>
  <c r="K1679" i="10"/>
  <c r="L1679" i="10"/>
  <c r="M1679" i="10"/>
  <c r="N1679" i="10"/>
  <c r="O1679" i="10"/>
  <c r="P1679" i="10"/>
  <c r="Q1679" i="10"/>
  <c r="K1680" i="10"/>
  <c r="L1680" i="10"/>
  <c r="M1680" i="10"/>
  <c r="N1680" i="10"/>
  <c r="O1680" i="10"/>
  <c r="P1680" i="10"/>
  <c r="Q1680" i="10"/>
  <c r="K1681" i="10"/>
  <c r="L1681" i="10"/>
  <c r="M1681" i="10"/>
  <c r="N1681" i="10"/>
  <c r="O1681" i="10"/>
  <c r="P1681" i="10"/>
  <c r="Q1681" i="10"/>
  <c r="K1682" i="10"/>
  <c r="L1682" i="10"/>
  <c r="M1682" i="10"/>
  <c r="N1682" i="10"/>
  <c r="O1682" i="10"/>
  <c r="P1682" i="10"/>
  <c r="Q1682" i="10"/>
  <c r="K1683" i="10"/>
  <c r="L1683" i="10"/>
  <c r="M1683" i="10"/>
  <c r="N1683" i="10"/>
  <c r="O1683" i="10"/>
  <c r="P1683" i="10"/>
  <c r="Q1683" i="10"/>
  <c r="K1684" i="10"/>
  <c r="L1684" i="10"/>
  <c r="M1684" i="10"/>
  <c r="N1684" i="10"/>
  <c r="O1684" i="10"/>
  <c r="P1684" i="10"/>
  <c r="Q1684" i="10"/>
  <c r="K1685" i="10"/>
  <c r="L1685" i="10"/>
  <c r="M1685" i="10"/>
  <c r="N1685" i="10"/>
  <c r="O1685" i="10"/>
  <c r="P1685" i="10"/>
  <c r="Q1685" i="10"/>
  <c r="K1686" i="10"/>
  <c r="L1686" i="10"/>
  <c r="M1686" i="10"/>
  <c r="N1686" i="10"/>
  <c r="O1686" i="10"/>
  <c r="P1686" i="10"/>
  <c r="Q1686" i="10"/>
  <c r="R1686" i="10"/>
  <c r="R1685" i="10"/>
  <c r="R1684" i="10"/>
  <c r="R1683" i="10"/>
  <c r="R1682" i="10"/>
  <c r="R1681" i="10"/>
  <c r="R1680" i="10"/>
  <c r="R1679" i="10"/>
  <c r="R1678" i="10"/>
  <c r="R1676" i="10"/>
  <c r="R1675" i="10"/>
  <c r="R1674" i="10"/>
  <c r="R1673" i="10"/>
  <c r="R1672" i="10"/>
  <c r="R1671" i="10"/>
  <c r="R1670" i="10"/>
  <c r="C1682" i="10"/>
  <c r="D1682" i="10"/>
  <c r="E1682" i="10"/>
  <c r="F1682" i="10"/>
  <c r="G1682" i="10"/>
  <c r="H1682" i="10"/>
  <c r="I1682" i="10"/>
  <c r="C1683" i="10"/>
  <c r="D1683" i="10"/>
  <c r="E1683" i="10"/>
  <c r="F1683" i="10"/>
  <c r="G1683" i="10"/>
  <c r="H1683" i="10"/>
  <c r="I1683" i="10"/>
  <c r="C1684" i="10"/>
  <c r="D1684" i="10"/>
  <c r="E1684" i="10"/>
  <c r="F1684" i="10"/>
  <c r="G1684" i="10"/>
  <c r="H1684" i="10"/>
  <c r="I1684" i="10"/>
  <c r="C1685" i="10"/>
  <c r="D1685" i="10"/>
  <c r="E1685" i="10"/>
  <c r="F1685" i="10"/>
  <c r="G1685" i="10"/>
  <c r="H1685" i="10"/>
  <c r="I1685" i="10"/>
  <c r="C1686" i="10"/>
  <c r="D1686" i="10"/>
  <c r="E1686" i="10"/>
  <c r="F1686" i="10"/>
  <c r="G1686" i="10"/>
  <c r="H1686" i="10"/>
  <c r="I1686" i="10"/>
  <c r="C1676" i="10"/>
  <c r="D1676" i="10"/>
  <c r="E1676" i="10"/>
  <c r="F1676" i="10"/>
  <c r="G1676" i="10"/>
  <c r="H1676" i="10"/>
  <c r="I1676" i="10"/>
  <c r="D1725" i="10"/>
  <c r="F1725" i="10"/>
  <c r="G1725" i="10"/>
  <c r="H1725" i="10"/>
  <c r="C1678" i="10"/>
  <c r="D1678" i="10"/>
  <c r="E1678" i="10"/>
  <c r="F1678" i="10"/>
  <c r="G1678" i="10"/>
  <c r="H1678" i="10"/>
  <c r="I1678" i="10"/>
  <c r="C1679" i="10"/>
  <c r="D1679" i="10"/>
  <c r="E1679" i="10"/>
  <c r="F1679" i="10"/>
  <c r="G1679" i="10"/>
  <c r="H1679" i="10"/>
  <c r="I1679" i="10"/>
  <c r="C1680" i="10"/>
  <c r="D1680" i="10"/>
  <c r="E1680" i="10"/>
  <c r="F1680" i="10"/>
  <c r="G1680" i="10"/>
  <c r="H1680" i="10"/>
  <c r="I1680" i="10"/>
  <c r="C1681" i="10"/>
  <c r="D1681" i="10"/>
  <c r="E1681" i="10"/>
  <c r="F1681" i="10"/>
  <c r="G1681" i="10"/>
  <c r="H1681" i="10"/>
  <c r="I1681" i="10"/>
  <c r="C1670" i="10"/>
  <c r="D1670" i="10"/>
  <c r="E1670" i="10"/>
  <c r="F1670" i="10"/>
  <c r="G1670" i="10"/>
  <c r="H1670" i="10"/>
  <c r="I1670" i="10"/>
  <c r="C1671" i="10"/>
  <c r="D1671" i="10"/>
  <c r="E1671" i="10"/>
  <c r="F1671" i="10"/>
  <c r="G1671" i="10"/>
  <c r="H1671" i="10"/>
  <c r="I1671" i="10"/>
  <c r="C1672" i="10"/>
  <c r="D1672" i="10"/>
  <c r="E1672" i="10"/>
  <c r="F1672" i="10"/>
  <c r="G1672" i="10"/>
  <c r="H1672" i="10"/>
  <c r="I1672" i="10"/>
  <c r="C1673" i="10"/>
  <c r="D1673" i="10"/>
  <c r="E1673" i="10"/>
  <c r="F1673" i="10"/>
  <c r="G1673" i="10"/>
  <c r="H1673" i="10"/>
  <c r="I1673" i="10"/>
  <c r="C1674" i="10"/>
  <c r="D1674" i="10"/>
  <c r="E1674" i="10"/>
  <c r="F1674" i="10"/>
  <c r="G1674" i="10"/>
  <c r="H1674" i="10"/>
  <c r="I1674" i="10"/>
  <c r="C1675" i="10"/>
  <c r="D1675" i="10"/>
  <c r="E1675" i="10"/>
  <c r="F1675" i="10"/>
  <c r="G1675" i="10"/>
  <c r="H1675" i="10"/>
  <c r="I1675" i="10"/>
  <c r="J1670" i="10"/>
  <c r="J1671" i="10"/>
  <c r="J1672" i="10"/>
  <c r="J1673" i="10"/>
  <c r="J1674" i="10"/>
  <c r="J1722" i="10" s="1"/>
  <c r="J1675" i="10"/>
  <c r="J1676" i="10"/>
  <c r="J1725" i="10"/>
  <c r="J1678" i="10"/>
  <c r="J1726" i="10" s="1"/>
  <c r="J1679" i="10"/>
  <c r="J1680" i="10"/>
  <c r="J1681" i="10"/>
  <c r="J1682" i="10"/>
  <c r="J1683" i="10"/>
  <c r="J1684" i="10"/>
  <c r="J1685" i="10"/>
  <c r="J1686" i="10"/>
  <c r="K1663" i="10"/>
  <c r="L1663" i="10"/>
  <c r="M1663" i="10"/>
  <c r="N1663" i="10"/>
  <c r="O1663" i="10"/>
  <c r="P1663" i="10"/>
  <c r="Q1663" i="10"/>
  <c r="K1662" i="10"/>
  <c r="L1662" i="10"/>
  <c r="M1662" i="10"/>
  <c r="N1662" i="10"/>
  <c r="O1662" i="10"/>
  <c r="P1662" i="10"/>
  <c r="Q1662" i="10"/>
  <c r="K1660" i="10"/>
  <c r="L1660" i="10"/>
  <c r="M1660" i="10"/>
  <c r="N1660" i="10"/>
  <c r="O1660" i="10"/>
  <c r="P1660" i="10"/>
  <c r="Q1660" i="10"/>
  <c r="K1661" i="10"/>
  <c r="L1661" i="10"/>
  <c r="M1661" i="10"/>
  <c r="N1661" i="10"/>
  <c r="O1661" i="10"/>
  <c r="P1661" i="10"/>
  <c r="Q1661" i="10"/>
  <c r="K1656" i="10"/>
  <c r="L1656" i="10"/>
  <c r="M1656" i="10"/>
  <c r="N1656" i="10"/>
  <c r="O1656" i="10"/>
  <c r="P1656" i="10"/>
  <c r="Q1656" i="10"/>
  <c r="K1657" i="10"/>
  <c r="L1657" i="10"/>
  <c r="M1657" i="10"/>
  <c r="N1657" i="10"/>
  <c r="O1657" i="10"/>
  <c r="P1657" i="10"/>
  <c r="Q1657" i="10"/>
  <c r="K1658" i="10"/>
  <c r="L1658" i="10"/>
  <c r="M1658" i="10"/>
  <c r="N1658" i="10"/>
  <c r="O1658" i="10"/>
  <c r="P1658" i="10"/>
  <c r="Q1658" i="10"/>
  <c r="K1659" i="10"/>
  <c r="L1659" i="10"/>
  <c r="M1659" i="10"/>
  <c r="N1659" i="10"/>
  <c r="O1659" i="10"/>
  <c r="P1659" i="10"/>
  <c r="Q1659" i="10"/>
  <c r="R1656" i="10"/>
  <c r="K1653" i="10"/>
  <c r="L1653" i="10"/>
  <c r="M1653" i="10"/>
  <c r="N1653" i="10"/>
  <c r="O1653" i="10"/>
  <c r="P1653" i="10"/>
  <c r="Q1653" i="10"/>
  <c r="L1702" i="10"/>
  <c r="M1702" i="10"/>
  <c r="N1702" i="10"/>
  <c r="P1702" i="10"/>
  <c r="Q1702" i="10"/>
  <c r="K1655" i="10"/>
  <c r="K1650" i="10"/>
  <c r="L1650" i="10"/>
  <c r="M1650" i="10"/>
  <c r="N1650" i="10"/>
  <c r="O1650" i="10"/>
  <c r="P1650" i="10"/>
  <c r="Q1650" i="10"/>
  <c r="K1651" i="10"/>
  <c r="L1651" i="10"/>
  <c r="M1651" i="10"/>
  <c r="N1651" i="10"/>
  <c r="O1651" i="10"/>
  <c r="P1651" i="10"/>
  <c r="Q1651" i="10"/>
  <c r="K1652" i="10"/>
  <c r="L1652" i="10"/>
  <c r="M1652" i="10"/>
  <c r="N1652" i="10"/>
  <c r="O1652" i="10"/>
  <c r="P1652" i="10"/>
  <c r="Q1652" i="10"/>
  <c r="K1647" i="10"/>
  <c r="L1647" i="10"/>
  <c r="M1647" i="10"/>
  <c r="N1647" i="10"/>
  <c r="O1647" i="10"/>
  <c r="P1647" i="10"/>
  <c r="Q1647" i="10"/>
  <c r="K1648" i="10"/>
  <c r="L1648" i="10"/>
  <c r="M1648" i="10"/>
  <c r="N1648" i="10"/>
  <c r="O1648" i="10"/>
  <c r="P1648" i="10"/>
  <c r="Q1648" i="10"/>
  <c r="K1649" i="10"/>
  <c r="L1649" i="10"/>
  <c r="M1649" i="10"/>
  <c r="N1649" i="10"/>
  <c r="O1649" i="10"/>
  <c r="P1649" i="10"/>
  <c r="Q1649" i="10"/>
  <c r="R1647" i="10"/>
  <c r="R1648" i="10"/>
  <c r="R1649" i="10"/>
  <c r="R1650" i="10"/>
  <c r="R1651" i="10"/>
  <c r="R1652" i="10"/>
  <c r="R1653" i="10"/>
  <c r="R1702" i="10"/>
  <c r="R1655" i="10"/>
  <c r="R1657" i="10"/>
  <c r="R1658" i="10"/>
  <c r="R1659" i="10"/>
  <c r="R1660" i="10"/>
  <c r="R1661" i="10"/>
  <c r="R1662" i="10"/>
  <c r="R1663" i="10"/>
  <c r="C1656" i="10"/>
  <c r="D1656" i="10"/>
  <c r="E1656" i="10"/>
  <c r="F1656" i="10"/>
  <c r="G1656" i="10"/>
  <c r="H1656" i="10"/>
  <c r="I1656" i="10"/>
  <c r="C1657" i="10"/>
  <c r="D1657" i="10"/>
  <c r="E1657" i="10"/>
  <c r="F1657" i="10"/>
  <c r="G1657" i="10"/>
  <c r="H1657" i="10"/>
  <c r="I1657" i="10"/>
  <c r="C1658" i="10"/>
  <c r="D1658" i="10"/>
  <c r="E1658" i="10"/>
  <c r="F1658" i="10"/>
  <c r="G1658" i="10"/>
  <c r="H1658" i="10"/>
  <c r="I1658" i="10"/>
  <c r="C1659" i="10"/>
  <c r="D1659" i="10"/>
  <c r="E1659" i="10"/>
  <c r="F1659" i="10"/>
  <c r="G1659" i="10"/>
  <c r="H1659" i="10"/>
  <c r="I1659" i="10"/>
  <c r="C1660" i="10"/>
  <c r="D1660" i="10"/>
  <c r="E1660" i="10"/>
  <c r="F1660" i="10"/>
  <c r="G1660" i="10"/>
  <c r="H1660" i="10"/>
  <c r="I1660" i="10"/>
  <c r="C1661" i="10"/>
  <c r="D1661" i="10"/>
  <c r="E1661" i="10"/>
  <c r="F1661" i="10"/>
  <c r="G1661" i="10"/>
  <c r="H1661" i="10"/>
  <c r="I1661" i="10"/>
  <c r="C1662" i="10"/>
  <c r="D1662" i="10"/>
  <c r="E1662" i="10"/>
  <c r="F1662" i="10"/>
  <c r="G1662" i="10"/>
  <c r="H1662" i="10"/>
  <c r="I1662" i="10"/>
  <c r="C1663" i="10"/>
  <c r="D1663" i="10"/>
  <c r="E1663" i="10"/>
  <c r="F1663" i="10"/>
  <c r="G1663" i="10"/>
  <c r="H1663" i="10"/>
  <c r="I1663" i="10"/>
  <c r="C1647" i="10"/>
  <c r="D1647" i="10"/>
  <c r="E1647" i="10"/>
  <c r="F1647" i="10"/>
  <c r="G1647" i="10"/>
  <c r="H1647" i="10"/>
  <c r="I1647" i="10"/>
  <c r="C1648" i="10"/>
  <c r="D1648" i="10"/>
  <c r="E1648" i="10"/>
  <c r="F1648" i="10"/>
  <c r="G1648" i="10"/>
  <c r="H1648" i="10"/>
  <c r="I1648" i="10"/>
  <c r="C1649" i="10"/>
  <c r="D1649" i="10"/>
  <c r="E1649" i="10"/>
  <c r="F1649" i="10"/>
  <c r="G1649" i="10"/>
  <c r="H1649" i="10"/>
  <c r="I1649" i="10"/>
  <c r="C1650" i="10"/>
  <c r="D1650" i="10"/>
  <c r="E1650" i="10"/>
  <c r="F1650" i="10"/>
  <c r="G1650" i="10"/>
  <c r="H1650" i="10"/>
  <c r="I1650" i="10"/>
  <c r="C1651" i="10"/>
  <c r="D1651" i="10"/>
  <c r="E1651" i="10"/>
  <c r="F1651" i="10"/>
  <c r="G1651" i="10"/>
  <c r="H1651" i="10"/>
  <c r="I1651" i="10"/>
  <c r="C1652" i="10"/>
  <c r="D1652" i="10"/>
  <c r="E1652" i="10"/>
  <c r="F1652" i="10"/>
  <c r="G1652" i="10"/>
  <c r="H1652" i="10"/>
  <c r="I1652" i="10"/>
  <c r="C1653" i="10"/>
  <c r="D1653" i="10"/>
  <c r="E1653" i="10"/>
  <c r="F1653" i="10"/>
  <c r="G1653" i="10"/>
  <c r="H1653" i="10"/>
  <c r="I1653" i="10"/>
  <c r="D1702" i="10"/>
  <c r="E1702" i="10"/>
  <c r="G1702" i="10"/>
  <c r="H1702" i="10"/>
  <c r="I1702" i="10"/>
  <c r="C1655" i="10"/>
  <c r="D1655" i="10"/>
  <c r="E1655" i="10"/>
  <c r="F1655" i="10"/>
  <c r="G1655" i="10"/>
  <c r="H1655" i="10"/>
  <c r="I1655" i="10"/>
  <c r="J1647" i="10"/>
  <c r="J1648" i="10"/>
  <c r="J1649" i="10"/>
  <c r="J1650" i="10"/>
  <c r="J1651" i="10"/>
  <c r="J1652" i="10"/>
  <c r="J1653" i="10"/>
  <c r="J1655" i="10"/>
  <c r="J1656" i="10"/>
  <c r="J1657" i="10"/>
  <c r="J1658" i="10"/>
  <c r="J1659" i="10"/>
  <c r="J1660" i="10"/>
  <c r="J1661" i="10"/>
  <c r="J1662" i="10"/>
  <c r="J1663" i="10"/>
  <c r="K1530" i="10"/>
  <c r="L1530" i="10"/>
  <c r="M1530" i="10"/>
  <c r="N1530" i="10"/>
  <c r="O1530" i="10"/>
  <c r="P1530" i="10"/>
  <c r="Q1530" i="10"/>
  <c r="K1531" i="10"/>
  <c r="L1531" i="10"/>
  <c r="M1531" i="10"/>
  <c r="N1531" i="10"/>
  <c r="O1531" i="10"/>
  <c r="P1531" i="10"/>
  <c r="Q1531" i="10"/>
  <c r="K1532" i="10"/>
  <c r="L1532" i="10"/>
  <c r="M1532" i="10"/>
  <c r="N1532" i="10"/>
  <c r="O1532" i="10"/>
  <c r="P1532" i="10"/>
  <c r="Q1532" i="10"/>
  <c r="K1533" i="10"/>
  <c r="L1533" i="10"/>
  <c r="M1533" i="10"/>
  <c r="N1533" i="10"/>
  <c r="O1533" i="10"/>
  <c r="P1533" i="10"/>
  <c r="Q1533" i="10"/>
  <c r="K1534" i="10"/>
  <c r="L1534" i="10"/>
  <c r="M1534" i="10"/>
  <c r="N1534" i="10"/>
  <c r="O1534" i="10"/>
  <c r="P1534" i="10"/>
  <c r="Q1534" i="10"/>
  <c r="K1535" i="10"/>
  <c r="L1535" i="10"/>
  <c r="M1535" i="10"/>
  <c r="N1535" i="10"/>
  <c r="O1535" i="10"/>
  <c r="P1535" i="10"/>
  <c r="Q1535" i="10"/>
  <c r="K1536" i="10"/>
  <c r="L1536" i="10"/>
  <c r="M1536" i="10"/>
  <c r="N1536" i="10"/>
  <c r="O1536" i="10"/>
  <c r="P1536" i="10"/>
  <c r="Q1536" i="10"/>
  <c r="K1538" i="10"/>
  <c r="L1538" i="10"/>
  <c r="M1538" i="10"/>
  <c r="N1538" i="10"/>
  <c r="O1538" i="10"/>
  <c r="P1538" i="10"/>
  <c r="Q1538" i="10"/>
  <c r="K1539" i="10"/>
  <c r="L1539" i="10"/>
  <c r="M1539" i="10"/>
  <c r="N1539" i="10"/>
  <c r="O1539" i="10"/>
  <c r="P1539" i="10"/>
  <c r="Q1539" i="10"/>
  <c r="K1540" i="10"/>
  <c r="L1540" i="10"/>
  <c r="M1540" i="10"/>
  <c r="N1540" i="10"/>
  <c r="O1540" i="10"/>
  <c r="P1540" i="10"/>
  <c r="Q1540" i="10"/>
  <c r="K1541" i="10"/>
  <c r="L1541" i="10"/>
  <c r="M1541" i="10"/>
  <c r="N1541" i="10"/>
  <c r="O1541" i="10"/>
  <c r="P1541" i="10"/>
  <c r="Q1541" i="10"/>
  <c r="K1542" i="10"/>
  <c r="L1542" i="10"/>
  <c r="M1542" i="10"/>
  <c r="N1542" i="10"/>
  <c r="O1542" i="10"/>
  <c r="P1542" i="10"/>
  <c r="Q1542" i="10"/>
  <c r="K1543" i="10"/>
  <c r="L1543" i="10"/>
  <c r="M1543" i="10"/>
  <c r="N1543" i="10"/>
  <c r="O1543" i="10"/>
  <c r="P1543" i="10"/>
  <c r="Q1543" i="10"/>
  <c r="K1544" i="10"/>
  <c r="L1544" i="10"/>
  <c r="M1544" i="10"/>
  <c r="N1544" i="10"/>
  <c r="O1544" i="10"/>
  <c r="P1544" i="10"/>
  <c r="Q1544" i="10"/>
  <c r="K1545" i="10"/>
  <c r="L1545" i="10"/>
  <c r="M1545" i="10"/>
  <c r="N1545" i="10"/>
  <c r="O1545" i="10"/>
  <c r="P1545" i="10"/>
  <c r="Q1545" i="10"/>
  <c r="K1546" i="10"/>
  <c r="L1546" i="10"/>
  <c r="M1546" i="10"/>
  <c r="N1546" i="10"/>
  <c r="O1546" i="10"/>
  <c r="P1546" i="10"/>
  <c r="Q1546" i="10"/>
  <c r="R1530" i="10"/>
  <c r="R1531" i="10"/>
  <c r="R1532" i="10"/>
  <c r="R1533" i="10"/>
  <c r="R1534" i="10"/>
  <c r="R1535" i="10"/>
  <c r="R1536" i="10"/>
  <c r="R1538" i="10"/>
  <c r="R1539" i="10"/>
  <c r="R1540" i="10"/>
  <c r="R1541" i="10"/>
  <c r="R1542" i="10"/>
  <c r="R1543" i="10"/>
  <c r="R1544" i="10"/>
  <c r="R1545" i="10"/>
  <c r="R1546" i="10"/>
  <c r="C1542" i="10"/>
  <c r="D1542" i="10"/>
  <c r="E1542" i="10"/>
  <c r="F1542" i="10"/>
  <c r="G1542" i="10"/>
  <c r="H1542" i="10"/>
  <c r="I1542" i="10"/>
  <c r="C1543" i="10"/>
  <c r="D1543" i="10"/>
  <c r="E1543" i="10"/>
  <c r="F1543" i="10"/>
  <c r="G1543" i="10"/>
  <c r="H1543" i="10"/>
  <c r="I1543" i="10"/>
  <c r="C1544" i="10"/>
  <c r="D1544" i="10"/>
  <c r="E1544" i="10"/>
  <c r="F1544" i="10"/>
  <c r="G1544" i="10"/>
  <c r="H1544" i="10"/>
  <c r="I1544" i="10"/>
  <c r="C1545" i="10"/>
  <c r="D1545" i="10"/>
  <c r="E1545" i="10"/>
  <c r="F1545" i="10"/>
  <c r="G1545" i="10"/>
  <c r="H1545" i="10"/>
  <c r="I1545" i="10"/>
  <c r="C1546" i="10"/>
  <c r="D1546" i="10"/>
  <c r="E1546" i="10"/>
  <c r="F1546" i="10"/>
  <c r="G1546" i="10"/>
  <c r="H1546" i="10"/>
  <c r="I1546" i="10"/>
  <c r="C1538" i="10"/>
  <c r="D1538" i="10"/>
  <c r="E1538" i="10"/>
  <c r="F1538" i="10"/>
  <c r="G1538" i="10"/>
  <c r="H1538" i="10"/>
  <c r="I1538" i="10"/>
  <c r="C1539" i="10"/>
  <c r="D1539" i="10"/>
  <c r="E1539" i="10"/>
  <c r="F1539" i="10"/>
  <c r="G1539" i="10"/>
  <c r="H1539" i="10"/>
  <c r="I1539" i="10"/>
  <c r="C1540" i="10"/>
  <c r="D1540" i="10"/>
  <c r="E1540" i="10"/>
  <c r="F1540" i="10"/>
  <c r="G1540" i="10"/>
  <c r="H1540" i="10"/>
  <c r="I1540" i="10"/>
  <c r="C1541" i="10"/>
  <c r="D1541" i="10"/>
  <c r="E1541" i="10"/>
  <c r="F1541" i="10"/>
  <c r="G1541" i="10"/>
  <c r="H1541" i="10"/>
  <c r="I1541" i="10"/>
  <c r="C1530" i="10"/>
  <c r="D1530" i="10"/>
  <c r="E1530" i="10"/>
  <c r="F1530" i="10"/>
  <c r="G1530" i="10"/>
  <c r="H1530" i="10"/>
  <c r="I1530" i="10"/>
  <c r="C1531" i="10"/>
  <c r="D1531" i="10"/>
  <c r="E1531" i="10"/>
  <c r="F1531" i="10"/>
  <c r="G1531" i="10"/>
  <c r="H1531" i="10"/>
  <c r="I1531" i="10"/>
  <c r="C1532" i="10"/>
  <c r="D1532" i="10"/>
  <c r="E1532" i="10"/>
  <c r="F1532" i="10"/>
  <c r="G1532" i="10"/>
  <c r="H1532" i="10"/>
  <c r="I1532" i="10"/>
  <c r="C1533" i="10"/>
  <c r="D1533" i="10"/>
  <c r="E1533" i="10"/>
  <c r="F1533" i="10"/>
  <c r="G1533" i="10"/>
  <c r="H1533" i="10"/>
  <c r="I1533" i="10"/>
  <c r="C1534" i="10"/>
  <c r="D1534" i="10"/>
  <c r="E1534" i="10"/>
  <c r="F1534" i="10"/>
  <c r="G1534" i="10"/>
  <c r="H1534" i="10"/>
  <c r="I1534" i="10"/>
  <c r="C1535" i="10"/>
  <c r="D1535" i="10"/>
  <c r="E1535" i="10"/>
  <c r="F1535" i="10"/>
  <c r="G1535" i="10"/>
  <c r="H1535" i="10"/>
  <c r="I1535" i="10"/>
  <c r="C1536" i="10"/>
  <c r="D1536" i="10"/>
  <c r="E1536" i="10"/>
  <c r="F1536" i="10"/>
  <c r="G1536" i="10"/>
  <c r="H1536" i="10"/>
  <c r="I1536" i="10"/>
  <c r="J1530" i="10"/>
  <c r="J1531" i="10"/>
  <c r="J1532" i="10"/>
  <c r="J1533" i="10"/>
  <c r="J1534" i="10"/>
  <c r="J1535" i="10"/>
  <c r="J1536" i="10"/>
  <c r="J1538" i="10"/>
  <c r="J1539" i="10"/>
  <c r="J1540" i="10"/>
  <c r="J1541" i="10"/>
  <c r="J1542" i="10"/>
  <c r="J1543" i="10"/>
  <c r="J1544" i="10"/>
  <c r="J1545" i="10"/>
  <c r="J1546" i="10"/>
  <c r="K1524" i="10"/>
  <c r="L1524" i="10"/>
  <c r="M1524" i="10"/>
  <c r="N1524" i="10"/>
  <c r="O1524" i="10"/>
  <c r="P1524" i="10"/>
  <c r="Q1524" i="10"/>
  <c r="K1521" i="10"/>
  <c r="L1521" i="10"/>
  <c r="M1521" i="10"/>
  <c r="N1521" i="10"/>
  <c r="O1521" i="10"/>
  <c r="P1521" i="10"/>
  <c r="Q1521" i="10"/>
  <c r="K1522" i="10"/>
  <c r="L1522" i="10"/>
  <c r="M1522" i="10"/>
  <c r="N1522" i="10"/>
  <c r="O1522" i="10"/>
  <c r="P1522" i="10"/>
  <c r="Q1522" i="10"/>
  <c r="K1523" i="10"/>
  <c r="L1523" i="10"/>
  <c r="M1523" i="10"/>
  <c r="N1523" i="10"/>
  <c r="O1523" i="10"/>
  <c r="P1523" i="10"/>
  <c r="Q1523" i="10"/>
  <c r="K1518" i="10"/>
  <c r="L1518" i="10"/>
  <c r="M1518" i="10"/>
  <c r="N1518" i="10"/>
  <c r="O1518" i="10"/>
  <c r="P1518" i="10"/>
  <c r="Q1518" i="10"/>
  <c r="K1519" i="10"/>
  <c r="L1519" i="10"/>
  <c r="M1519" i="10"/>
  <c r="N1519" i="10"/>
  <c r="O1519" i="10"/>
  <c r="P1519" i="10"/>
  <c r="Q1519" i="10"/>
  <c r="K1520" i="10"/>
  <c r="L1520" i="10"/>
  <c r="M1520" i="10"/>
  <c r="N1520" i="10"/>
  <c r="O1520" i="10"/>
  <c r="P1520" i="10"/>
  <c r="Q1520" i="10"/>
  <c r="K1514" i="10"/>
  <c r="L1514" i="10"/>
  <c r="M1514" i="10"/>
  <c r="N1514" i="10"/>
  <c r="O1514" i="10"/>
  <c r="P1514" i="10"/>
  <c r="Q1514" i="10"/>
  <c r="K1516" i="10"/>
  <c r="K1517" i="10"/>
  <c r="L1517" i="10"/>
  <c r="M1517" i="10"/>
  <c r="N1517" i="10"/>
  <c r="O1517" i="10"/>
  <c r="P1517" i="10"/>
  <c r="Q1517" i="10"/>
  <c r="K1511" i="10"/>
  <c r="L1511" i="10"/>
  <c r="M1511" i="10"/>
  <c r="N1511" i="10"/>
  <c r="O1511" i="10"/>
  <c r="P1511" i="10"/>
  <c r="Q1511" i="10"/>
  <c r="K1512" i="10"/>
  <c r="L1512" i="10"/>
  <c r="M1512" i="10"/>
  <c r="N1512" i="10"/>
  <c r="O1512" i="10"/>
  <c r="P1512" i="10"/>
  <c r="Q1512" i="10"/>
  <c r="K1513" i="10"/>
  <c r="L1513" i="10"/>
  <c r="M1513" i="10"/>
  <c r="N1513" i="10"/>
  <c r="O1513" i="10"/>
  <c r="P1513" i="10"/>
  <c r="Q1513" i="10"/>
  <c r="K1508" i="10"/>
  <c r="L1508" i="10"/>
  <c r="M1508" i="10"/>
  <c r="N1508" i="10"/>
  <c r="O1508" i="10"/>
  <c r="P1508" i="10"/>
  <c r="Q1508" i="10"/>
  <c r="K1509" i="10"/>
  <c r="L1509" i="10"/>
  <c r="M1509" i="10"/>
  <c r="N1509" i="10"/>
  <c r="O1509" i="10"/>
  <c r="P1509" i="10"/>
  <c r="Q1509" i="10"/>
  <c r="K1510" i="10"/>
  <c r="L1510" i="10"/>
  <c r="M1510" i="10"/>
  <c r="N1510" i="10"/>
  <c r="O1510" i="10"/>
  <c r="P1510" i="10"/>
  <c r="Q1510" i="10"/>
  <c r="R1508" i="10"/>
  <c r="R1509" i="10"/>
  <c r="R1510" i="10"/>
  <c r="R1511" i="10"/>
  <c r="R1512" i="10"/>
  <c r="R1513" i="10"/>
  <c r="R1514" i="10"/>
  <c r="R1517" i="10"/>
  <c r="R1518" i="10"/>
  <c r="R1519" i="10"/>
  <c r="R1520" i="10"/>
  <c r="R1521" i="10"/>
  <c r="R1522" i="10"/>
  <c r="R1523" i="10"/>
  <c r="R1524" i="10"/>
  <c r="C1521" i="10"/>
  <c r="D1521" i="10"/>
  <c r="E1521" i="10"/>
  <c r="F1521" i="10"/>
  <c r="G1521" i="10"/>
  <c r="H1521" i="10"/>
  <c r="I1521" i="10"/>
  <c r="C1522" i="10"/>
  <c r="D1522" i="10"/>
  <c r="E1522" i="10"/>
  <c r="F1522" i="10"/>
  <c r="G1522" i="10"/>
  <c r="H1522" i="10"/>
  <c r="I1522" i="10"/>
  <c r="C1523" i="10"/>
  <c r="D1523" i="10"/>
  <c r="E1523" i="10"/>
  <c r="F1523" i="10"/>
  <c r="G1523" i="10"/>
  <c r="H1523" i="10"/>
  <c r="I1523" i="10"/>
  <c r="C1524" i="10"/>
  <c r="D1524" i="10"/>
  <c r="E1524" i="10"/>
  <c r="F1524" i="10"/>
  <c r="G1524" i="10"/>
  <c r="H1524" i="10"/>
  <c r="I1524" i="10"/>
  <c r="C1518" i="10"/>
  <c r="D1518" i="10"/>
  <c r="E1518" i="10"/>
  <c r="F1518" i="10"/>
  <c r="G1518" i="10"/>
  <c r="H1518" i="10"/>
  <c r="I1518" i="10"/>
  <c r="C1519" i="10"/>
  <c r="D1519" i="10"/>
  <c r="E1519" i="10"/>
  <c r="F1519" i="10"/>
  <c r="G1519" i="10"/>
  <c r="H1519" i="10"/>
  <c r="I1519" i="10"/>
  <c r="C1520" i="10"/>
  <c r="D1520" i="10"/>
  <c r="E1520" i="10"/>
  <c r="F1520" i="10"/>
  <c r="G1520" i="10"/>
  <c r="H1520" i="10"/>
  <c r="I1520" i="10"/>
  <c r="J1519" i="10"/>
  <c r="J1520" i="10"/>
  <c r="C1514" i="10"/>
  <c r="D1514" i="10"/>
  <c r="E1514" i="10"/>
  <c r="F1514" i="10"/>
  <c r="G1514" i="10"/>
  <c r="H1514" i="10"/>
  <c r="I1514" i="10"/>
  <c r="C1517" i="10"/>
  <c r="D1517" i="10"/>
  <c r="E1517" i="10"/>
  <c r="F1517" i="10"/>
  <c r="G1517" i="10"/>
  <c r="H1517" i="10"/>
  <c r="I1517" i="10"/>
  <c r="C1511" i="10"/>
  <c r="D1511" i="10"/>
  <c r="E1511" i="10"/>
  <c r="F1511" i="10"/>
  <c r="G1511" i="10"/>
  <c r="H1511" i="10"/>
  <c r="I1511" i="10"/>
  <c r="C1512" i="10"/>
  <c r="D1512" i="10"/>
  <c r="E1512" i="10"/>
  <c r="F1512" i="10"/>
  <c r="G1512" i="10"/>
  <c r="H1512" i="10"/>
  <c r="I1512" i="10"/>
  <c r="C1513" i="10"/>
  <c r="D1513" i="10"/>
  <c r="E1513" i="10"/>
  <c r="F1513" i="10"/>
  <c r="G1513" i="10"/>
  <c r="H1513" i="10"/>
  <c r="I1513" i="10"/>
  <c r="C1508" i="10"/>
  <c r="D1508" i="10"/>
  <c r="E1508" i="10"/>
  <c r="F1508" i="10"/>
  <c r="G1508" i="10"/>
  <c r="H1508" i="10"/>
  <c r="I1508" i="10"/>
  <c r="C1509" i="10"/>
  <c r="D1509" i="10"/>
  <c r="E1509" i="10"/>
  <c r="F1509" i="10"/>
  <c r="G1509" i="10"/>
  <c r="H1509" i="10"/>
  <c r="I1509" i="10"/>
  <c r="C1510" i="10"/>
  <c r="D1510" i="10"/>
  <c r="E1510" i="10"/>
  <c r="F1510" i="10"/>
  <c r="G1510" i="10"/>
  <c r="H1510" i="10"/>
  <c r="I1510" i="10"/>
  <c r="J1508" i="10"/>
  <c r="J1509" i="10"/>
  <c r="J1510" i="10"/>
  <c r="J1511" i="10"/>
  <c r="J1512" i="10"/>
  <c r="J1513" i="10"/>
  <c r="J1514" i="10"/>
  <c r="J1517" i="10"/>
  <c r="J1518" i="10"/>
  <c r="J1521" i="10"/>
  <c r="J1522" i="10"/>
  <c r="J1523" i="10"/>
  <c r="J1524" i="10"/>
  <c r="K1340" i="10"/>
  <c r="L1340" i="10"/>
  <c r="M1340" i="10"/>
  <c r="N1340" i="10"/>
  <c r="O1340" i="10"/>
  <c r="P1340" i="10"/>
  <c r="Q1340" i="10"/>
  <c r="K1341" i="10"/>
  <c r="L1341" i="10"/>
  <c r="M1341" i="10"/>
  <c r="N1341" i="10"/>
  <c r="O1341" i="10"/>
  <c r="P1341" i="10"/>
  <c r="Q1341" i="10"/>
  <c r="K1342" i="10"/>
  <c r="L1342" i="10"/>
  <c r="M1342" i="10"/>
  <c r="N1342" i="10"/>
  <c r="O1342" i="10"/>
  <c r="P1342" i="10"/>
  <c r="Q1342" i="10"/>
  <c r="K1337" i="10"/>
  <c r="L1337" i="10"/>
  <c r="M1337" i="10"/>
  <c r="N1337" i="10"/>
  <c r="O1337" i="10"/>
  <c r="P1337" i="10"/>
  <c r="Q1337" i="10"/>
  <c r="K1338" i="10"/>
  <c r="L1338" i="10"/>
  <c r="M1338" i="10"/>
  <c r="N1338" i="10"/>
  <c r="O1338" i="10"/>
  <c r="P1338" i="10"/>
  <c r="Q1338" i="10"/>
  <c r="K1339" i="10"/>
  <c r="L1339" i="10"/>
  <c r="M1339" i="10"/>
  <c r="N1339" i="10"/>
  <c r="O1339" i="10"/>
  <c r="P1339" i="10"/>
  <c r="Q1339" i="10"/>
  <c r="K1334" i="10"/>
  <c r="L1334" i="10"/>
  <c r="M1334" i="10"/>
  <c r="N1334" i="10"/>
  <c r="O1334" i="10"/>
  <c r="P1334" i="10"/>
  <c r="Q1334" i="10"/>
  <c r="K1335" i="10"/>
  <c r="L1335" i="10"/>
  <c r="M1335" i="10"/>
  <c r="N1335" i="10"/>
  <c r="O1335" i="10"/>
  <c r="P1335" i="10"/>
  <c r="Q1335" i="10"/>
  <c r="K1336" i="10"/>
  <c r="L1336" i="10"/>
  <c r="M1336" i="10"/>
  <c r="N1336" i="10"/>
  <c r="O1336" i="10"/>
  <c r="P1336" i="10"/>
  <c r="Q1336" i="10"/>
  <c r="K1331" i="10"/>
  <c r="L1331" i="10"/>
  <c r="M1331" i="10"/>
  <c r="N1331" i="10"/>
  <c r="O1331" i="10"/>
  <c r="P1331" i="10"/>
  <c r="Q1331" i="10"/>
  <c r="K1332" i="10"/>
  <c r="L1332" i="10"/>
  <c r="M1332" i="10"/>
  <c r="N1332" i="10"/>
  <c r="O1332" i="10"/>
  <c r="P1332" i="10"/>
  <c r="Q1332" i="10"/>
  <c r="K1328" i="10"/>
  <c r="L1328" i="10"/>
  <c r="M1328" i="10"/>
  <c r="N1328" i="10"/>
  <c r="O1328" i="10"/>
  <c r="P1328" i="10"/>
  <c r="Q1328" i="10"/>
  <c r="K1329" i="10"/>
  <c r="L1329" i="10"/>
  <c r="M1329" i="10"/>
  <c r="N1329" i="10"/>
  <c r="O1329" i="10"/>
  <c r="P1329" i="10"/>
  <c r="Q1329" i="10"/>
  <c r="K1330" i="10"/>
  <c r="L1330" i="10"/>
  <c r="M1330" i="10"/>
  <c r="N1330" i="10"/>
  <c r="O1330" i="10"/>
  <c r="P1330" i="10"/>
  <c r="Q1330" i="10"/>
  <c r="K1326" i="10"/>
  <c r="L1326" i="10"/>
  <c r="M1326" i="10"/>
  <c r="N1326" i="10"/>
  <c r="O1326" i="10"/>
  <c r="P1326" i="10"/>
  <c r="Q1326" i="10"/>
  <c r="K1327" i="10"/>
  <c r="L1327" i="10"/>
  <c r="M1327" i="10"/>
  <c r="N1327" i="10"/>
  <c r="O1327" i="10"/>
  <c r="P1327" i="10"/>
  <c r="Q1327" i="10"/>
  <c r="C1356" i="10"/>
  <c r="D1356" i="10"/>
  <c r="E1356" i="10"/>
  <c r="F1356" i="10"/>
  <c r="G1356" i="10"/>
  <c r="H1356" i="10"/>
  <c r="I1356" i="10"/>
  <c r="C1357" i="10"/>
  <c r="D1357" i="10"/>
  <c r="E1357" i="10"/>
  <c r="F1357" i="10"/>
  <c r="G1357" i="10"/>
  <c r="H1357" i="10"/>
  <c r="I1357" i="10"/>
  <c r="C1358" i="10"/>
  <c r="D1358" i="10"/>
  <c r="E1358" i="10"/>
  <c r="F1358" i="10"/>
  <c r="G1358" i="10"/>
  <c r="H1358" i="10"/>
  <c r="I1358" i="10"/>
  <c r="C1359" i="10"/>
  <c r="D1359" i="10"/>
  <c r="E1359" i="10"/>
  <c r="F1359" i="10"/>
  <c r="G1359" i="10"/>
  <c r="H1359" i="10"/>
  <c r="I1359" i="10"/>
  <c r="C1360" i="10"/>
  <c r="D1360" i="10"/>
  <c r="E1360" i="10"/>
  <c r="F1360" i="10"/>
  <c r="G1360" i="10"/>
  <c r="H1360" i="10"/>
  <c r="I1360" i="10"/>
  <c r="C1361" i="10"/>
  <c r="D1361" i="10"/>
  <c r="E1361" i="10"/>
  <c r="F1361" i="10"/>
  <c r="G1361" i="10"/>
  <c r="H1361" i="10"/>
  <c r="I1361" i="10"/>
  <c r="C1362" i="10"/>
  <c r="D1362" i="10"/>
  <c r="E1362" i="10"/>
  <c r="F1362" i="10"/>
  <c r="G1362" i="10"/>
  <c r="H1362" i="10"/>
  <c r="I1362" i="10"/>
  <c r="C1363" i="10"/>
  <c r="D1363" i="10"/>
  <c r="E1363" i="10"/>
  <c r="F1363" i="10"/>
  <c r="G1363" i="10"/>
  <c r="H1363" i="10"/>
  <c r="I1363" i="10"/>
  <c r="C1364" i="10"/>
  <c r="D1364" i="10"/>
  <c r="E1364" i="10"/>
  <c r="F1364" i="10"/>
  <c r="G1364" i="10"/>
  <c r="H1364" i="10"/>
  <c r="I1364" i="10"/>
  <c r="C1348" i="10"/>
  <c r="D1348" i="10"/>
  <c r="E1348" i="10"/>
  <c r="F1348" i="10"/>
  <c r="G1348" i="10"/>
  <c r="H1348" i="10"/>
  <c r="I1348" i="10"/>
  <c r="C1349" i="10"/>
  <c r="C1417" i="10" s="1"/>
  <c r="D1349" i="10"/>
  <c r="E1349" i="10"/>
  <c r="F1349" i="10"/>
  <c r="G1349" i="10"/>
  <c r="H1349" i="10"/>
  <c r="I1349" i="10"/>
  <c r="C1350" i="10"/>
  <c r="C1418" i="10" s="1"/>
  <c r="D1350" i="10"/>
  <c r="E1350" i="10"/>
  <c r="F1350" i="10"/>
  <c r="G1350" i="10"/>
  <c r="H1350" i="10"/>
  <c r="I1350" i="10"/>
  <c r="C1351" i="10"/>
  <c r="C1419" i="10" s="1"/>
  <c r="D1351" i="10"/>
  <c r="E1351" i="10"/>
  <c r="F1351" i="10"/>
  <c r="G1351" i="10"/>
  <c r="H1351" i="10"/>
  <c r="I1351" i="10"/>
  <c r="C1352" i="10"/>
  <c r="C1420" i="10" s="1"/>
  <c r="D1352" i="10"/>
  <c r="E1352" i="10"/>
  <c r="F1352" i="10"/>
  <c r="G1352" i="10"/>
  <c r="H1352" i="10"/>
  <c r="I1352" i="10"/>
  <c r="C1353" i="10"/>
  <c r="C1421" i="10" s="1"/>
  <c r="D1353" i="10"/>
  <c r="E1353" i="10"/>
  <c r="F1353" i="10"/>
  <c r="G1353" i="10"/>
  <c r="H1353" i="10"/>
  <c r="I1353" i="10"/>
  <c r="C1354" i="10"/>
  <c r="C1422" i="10" s="1"/>
  <c r="D1354" i="10"/>
  <c r="E1354" i="10"/>
  <c r="F1354" i="10"/>
  <c r="G1354" i="10"/>
  <c r="H1354" i="10"/>
  <c r="I1354" i="10"/>
  <c r="J1348" i="10"/>
  <c r="J1349" i="10"/>
  <c r="J1350" i="10"/>
  <c r="J1351" i="10"/>
  <c r="J1352" i="10"/>
  <c r="J1353" i="10"/>
  <c r="J1354" i="10"/>
  <c r="J1356" i="10"/>
  <c r="J1357" i="10"/>
  <c r="J1358" i="10"/>
  <c r="J1359" i="10"/>
  <c r="J1360" i="10"/>
  <c r="J1361" i="10"/>
  <c r="J1362" i="10"/>
  <c r="J1363" i="10"/>
  <c r="J1364" i="10"/>
  <c r="R1326" i="10"/>
  <c r="R1327" i="10"/>
  <c r="R1328" i="10"/>
  <c r="R1329" i="10"/>
  <c r="R1330" i="10"/>
  <c r="R1331" i="10"/>
  <c r="R1332" i="10"/>
  <c r="R1334" i="10"/>
  <c r="R1335" i="10"/>
  <c r="R1336" i="10"/>
  <c r="R1337" i="10"/>
  <c r="R1338" i="10"/>
  <c r="R1339" i="10"/>
  <c r="R1340" i="10"/>
  <c r="R1341" i="10"/>
  <c r="R1342" i="10"/>
  <c r="C1342" i="10"/>
  <c r="D1342" i="10"/>
  <c r="E1342" i="10"/>
  <c r="F1342" i="10"/>
  <c r="G1342" i="10"/>
  <c r="H1342" i="10"/>
  <c r="I1342" i="10"/>
  <c r="C1339" i="10"/>
  <c r="D1339" i="10"/>
  <c r="E1339" i="10"/>
  <c r="F1339" i="10"/>
  <c r="G1339" i="10"/>
  <c r="H1339" i="10"/>
  <c r="I1339" i="10"/>
  <c r="C1340" i="10"/>
  <c r="D1340" i="10"/>
  <c r="E1340" i="10"/>
  <c r="F1340" i="10"/>
  <c r="G1340" i="10"/>
  <c r="H1340" i="10"/>
  <c r="I1340" i="10"/>
  <c r="C1341" i="10"/>
  <c r="D1341" i="10"/>
  <c r="E1341" i="10"/>
  <c r="F1341" i="10"/>
  <c r="G1341" i="10"/>
  <c r="H1341" i="10"/>
  <c r="I1341" i="10"/>
  <c r="C1336" i="10"/>
  <c r="D1336" i="10"/>
  <c r="E1336" i="10"/>
  <c r="F1336" i="10"/>
  <c r="G1336" i="10"/>
  <c r="H1336" i="10"/>
  <c r="I1336" i="10"/>
  <c r="C1337" i="10"/>
  <c r="D1337" i="10"/>
  <c r="E1337" i="10"/>
  <c r="F1337" i="10"/>
  <c r="G1337" i="10"/>
  <c r="H1337" i="10"/>
  <c r="I1337" i="10"/>
  <c r="C1338" i="10"/>
  <c r="D1338" i="10"/>
  <c r="E1338" i="10"/>
  <c r="F1338" i="10"/>
  <c r="G1338" i="10"/>
  <c r="H1338" i="10"/>
  <c r="I1338" i="10"/>
  <c r="C1334" i="10"/>
  <c r="C1335" i="10"/>
  <c r="D1334" i="10"/>
  <c r="E1334" i="10"/>
  <c r="F1334" i="10"/>
  <c r="G1334" i="10"/>
  <c r="H1334" i="10"/>
  <c r="I1334" i="10"/>
  <c r="D1335" i="10"/>
  <c r="E1335" i="10"/>
  <c r="F1335" i="10"/>
  <c r="G1335" i="10"/>
  <c r="H1335" i="10"/>
  <c r="I1335" i="10"/>
  <c r="C1326" i="10"/>
  <c r="D1326" i="10"/>
  <c r="E1326" i="10"/>
  <c r="F1326" i="10"/>
  <c r="G1326" i="10"/>
  <c r="H1326" i="10"/>
  <c r="I1326" i="10"/>
  <c r="C1327" i="10"/>
  <c r="D1327" i="10"/>
  <c r="E1327" i="10"/>
  <c r="F1327" i="10"/>
  <c r="G1327" i="10"/>
  <c r="H1327" i="10"/>
  <c r="I1327" i="10"/>
  <c r="C1328" i="10"/>
  <c r="D1328" i="10"/>
  <c r="E1328" i="10"/>
  <c r="F1328" i="10"/>
  <c r="G1328" i="10"/>
  <c r="H1328" i="10"/>
  <c r="I1328" i="10"/>
  <c r="C1329" i="10"/>
  <c r="D1329" i="10"/>
  <c r="E1329" i="10"/>
  <c r="F1329" i="10"/>
  <c r="G1329" i="10"/>
  <c r="H1329" i="10"/>
  <c r="I1329" i="10"/>
  <c r="C1330" i="10"/>
  <c r="D1330" i="10"/>
  <c r="E1330" i="10"/>
  <c r="F1330" i="10"/>
  <c r="G1330" i="10"/>
  <c r="H1330" i="10"/>
  <c r="I1330" i="10"/>
  <c r="C1331" i="10"/>
  <c r="D1331" i="10"/>
  <c r="E1331" i="10"/>
  <c r="F1331" i="10"/>
  <c r="G1331" i="10"/>
  <c r="H1331" i="10"/>
  <c r="I1331" i="10"/>
  <c r="C1332" i="10"/>
  <c r="D1332" i="10"/>
  <c r="E1332" i="10"/>
  <c r="F1332" i="10"/>
  <c r="G1332" i="10"/>
  <c r="H1332" i="10"/>
  <c r="I1332" i="10"/>
  <c r="J1326" i="10"/>
  <c r="J1327" i="10"/>
  <c r="J1328" i="10"/>
  <c r="J1329" i="10"/>
  <c r="J1330" i="10"/>
  <c r="J1331" i="10"/>
  <c r="J1332" i="10"/>
  <c r="J1334" i="10"/>
  <c r="J1335" i="10"/>
  <c r="J1336" i="10"/>
  <c r="J1337" i="10"/>
  <c r="J1338" i="10"/>
  <c r="J1339" i="10"/>
  <c r="J1340" i="10"/>
  <c r="J1341" i="10"/>
  <c r="J1342" i="10"/>
  <c r="R1317" i="10"/>
  <c r="C1320" i="10"/>
  <c r="D1320" i="10"/>
  <c r="E1320" i="10"/>
  <c r="F1320" i="10"/>
  <c r="G1320" i="10"/>
  <c r="H1320" i="10"/>
  <c r="I1320" i="10"/>
  <c r="C1318" i="10"/>
  <c r="D1318" i="10"/>
  <c r="E1318" i="10"/>
  <c r="F1318" i="10"/>
  <c r="G1318" i="10"/>
  <c r="H1318" i="10"/>
  <c r="I1318" i="10"/>
  <c r="C1319" i="10"/>
  <c r="D1319" i="10"/>
  <c r="E1319" i="10"/>
  <c r="F1319" i="10"/>
  <c r="G1319" i="10"/>
  <c r="H1319" i="10"/>
  <c r="I1319" i="10"/>
  <c r="C1316" i="10"/>
  <c r="D1316" i="10"/>
  <c r="E1316" i="10"/>
  <c r="F1316" i="10"/>
  <c r="G1316" i="10"/>
  <c r="H1316" i="10"/>
  <c r="I1316" i="10"/>
  <c r="C1317" i="10"/>
  <c r="D1317" i="10"/>
  <c r="E1317" i="10"/>
  <c r="F1317" i="10"/>
  <c r="G1317" i="10"/>
  <c r="H1317" i="10"/>
  <c r="I1317" i="10"/>
  <c r="C1314" i="10"/>
  <c r="D1314" i="10"/>
  <c r="E1314" i="10"/>
  <c r="F1314" i="10"/>
  <c r="G1314" i="10"/>
  <c r="H1314" i="10"/>
  <c r="I1314" i="10"/>
  <c r="C1315" i="10"/>
  <c r="D1315" i="10"/>
  <c r="E1315" i="10"/>
  <c r="F1315" i="10"/>
  <c r="G1315" i="10"/>
  <c r="H1315" i="10"/>
  <c r="I1315" i="10"/>
  <c r="C1313" i="10"/>
  <c r="D1313" i="10"/>
  <c r="E1313" i="10"/>
  <c r="F1313" i="10"/>
  <c r="G1313" i="10"/>
  <c r="H1313" i="10"/>
  <c r="I1313" i="10"/>
  <c r="C1312" i="10"/>
  <c r="D1312" i="10"/>
  <c r="E1312" i="10"/>
  <c r="F1312" i="10"/>
  <c r="G1312" i="10"/>
  <c r="H1312" i="10"/>
  <c r="I1312" i="10"/>
  <c r="C1310" i="10"/>
  <c r="D1310" i="10"/>
  <c r="E1310" i="10"/>
  <c r="F1310" i="10"/>
  <c r="G1310" i="10"/>
  <c r="H1310" i="10"/>
  <c r="I1310" i="10"/>
  <c r="C1309" i="10"/>
  <c r="D1309" i="10"/>
  <c r="E1309" i="10"/>
  <c r="F1309" i="10"/>
  <c r="G1309" i="10"/>
  <c r="H1309" i="10"/>
  <c r="I1309" i="10"/>
  <c r="C1308" i="10"/>
  <c r="D1308" i="10"/>
  <c r="E1308" i="10"/>
  <c r="F1308" i="10"/>
  <c r="G1308" i="10"/>
  <c r="H1308" i="10"/>
  <c r="I1308" i="10"/>
  <c r="C1307" i="10"/>
  <c r="D1307" i="10"/>
  <c r="E1307" i="10"/>
  <c r="F1307" i="10"/>
  <c r="G1307" i="10"/>
  <c r="H1307" i="10"/>
  <c r="I1307" i="10"/>
  <c r="C1306" i="10"/>
  <c r="D1306" i="10"/>
  <c r="E1306" i="10"/>
  <c r="F1306" i="10"/>
  <c r="G1306" i="10"/>
  <c r="H1306" i="10"/>
  <c r="I1306" i="10"/>
  <c r="C1305" i="10"/>
  <c r="D1305" i="10"/>
  <c r="E1305" i="10"/>
  <c r="F1305" i="10"/>
  <c r="G1305" i="10"/>
  <c r="H1305" i="10"/>
  <c r="I1305" i="10"/>
  <c r="C1304" i="10"/>
  <c r="D1304" i="10"/>
  <c r="E1304" i="10"/>
  <c r="F1304" i="10"/>
  <c r="G1304" i="10"/>
  <c r="H1304" i="10"/>
  <c r="I1304" i="10"/>
  <c r="R1320" i="10"/>
  <c r="R1319" i="10"/>
  <c r="R1318" i="10"/>
  <c r="R1316" i="10"/>
  <c r="R1315" i="10"/>
  <c r="R1314" i="10"/>
  <c r="R1313" i="10"/>
  <c r="R1312" i="10"/>
  <c r="R1310" i="10"/>
  <c r="R1309" i="10"/>
  <c r="R1308" i="10"/>
  <c r="R1307" i="10"/>
  <c r="R1306" i="10"/>
  <c r="R1305" i="10"/>
  <c r="R1304" i="10"/>
  <c r="J1304" i="10"/>
  <c r="J1305" i="10"/>
  <c r="J1306" i="10"/>
  <c r="J1307" i="10"/>
  <c r="J1308" i="10"/>
  <c r="J1309" i="10"/>
  <c r="J1310" i="10"/>
  <c r="J1312" i="10"/>
  <c r="J1313" i="10"/>
  <c r="J1314" i="10"/>
  <c r="J1315" i="10"/>
  <c r="J1316" i="10"/>
  <c r="J1317" i="10"/>
  <c r="J1318" i="10"/>
  <c r="J1319" i="10"/>
  <c r="J1320" i="10"/>
  <c r="J1728" i="10" l="1"/>
  <c r="J1897" i="10"/>
  <c r="J1718" i="10"/>
  <c r="R1705" i="10"/>
  <c r="J1703" i="10"/>
  <c r="J1720" i="10"/>
  <c r="J1889" i="10"/>
  <c r="R1926" i="10"/>
  <c r="J1891" i="10"/>
  <c r="J1887" i="10"/>
  <c r="J1899" i="10"/>
  <c r="R2140" i="10"/>
  <c r="N2140" i="10"/>
  <c r="Q2140" i="10"/>
  <c r="M2140" i="10"/>
  <c r="P2140" i="10"/>
  <c r="L2140" i="10"/>
  <c r="J1926" i="10"/>
  <c r="O1916" i="10"/>
  <c r="Q1701" i="10"/>
  <c r="M1701" i="10"/>
  <c r="M1707" i="10"/>
  <c r="P1706" i="10"/>
  <c r="O1705" i="10"/>
  <c r="Q1709" i="10"/>
  <c r="M1709" i="10"/>
  <c r="L1708" i="10"/>
  <c r="O1710" i="10"/>
  <c r="N1711" i="10"/>
  <c r="F1723" i="10"/>
  <c r="I1722" i="10"/>
  <c r="H1721" i="10"/>
  <c r="D1721" i="10"/>
  <c r="F1719" i="10"/>
  <c r="E1718" i="10"/>
  <c r="H1729" i="10"/>
  <c r="G1728" i="10"/>
  <c r="I1726" i="10"/>
  <c r="E1726" i="10"/>
  <c r="R1726" i="10"/>
  <c r="N1734" i="10"/>
  <c r="Q1733" i="10"/>
  <c r="P1732" i="10"/>
  <c r="L1732" i="10"/>
  <c r="N1730" i="10"/>
  <c r="M1729" i="10"/>
  <c r="P1728" i="10"/>
  <c r="O1727" i="10"/>
  <c r="Q1723" i="10"/>
  <c r="M1723" i="10"/>
  <c r="L1722" i="10"/>
  <c r="O1721" i="10"/>
  <c r="N1720" i="10"/>
  <c r="Q1719" i="10"/>
  <c r="P1718" i="10"/>
  <c r="L1718" i="10"/>
  <c r="I1893" i="10"/>
  <c r="H1901" i="10"/>
  <c r="D1901" i="10"/>
  <c r="F1899" i="10"/>
  <c r="E1903" i="10"/>
  <c r="H1902" i="10"/>
  <c r="R1901" i="10"/>
  <c r="P1889" i="10"/>
  <c r="O1888" i="10"/>
  <c r="Q1892" i="10"/>
  <c r="M1892" i="10"/>
  <c r="L1891" i="10"/>
  <c r="O1890" i="10"/>
  <c r="N1893" i="10"/>
  <c r="M1895" i="10"/>
  <c r="P1898" i="10"/>
  <c r="O1897" i="10"/>
  <c r="Q1900" i="10"/>
  <c r="M1900" i="10"/>
  <c r="L1899" i="10"/>
  <c r="O1902" i="10"/>
  <c r="N1901" i="10"/>
  <c r="Q1903" i="10"/>
  <c r="H1912" i="10"/>
  <c r="G1911" i="10"/>
  <c r="I1915" i="10"/>
  <c r="E1915" i="10"/>
  <c r="D1914" i="10"/>
  <c r="G1913" i="10"/>
  <c r="F1920" i="10"/>
  <c r="I1919" i="10"/>
  <c r="H1918" i="10"/>
  <c r="D1918" i="10"/>
  <c r="H1916" i="10"/>
  <c r="D1916" i="10"/>
  <c r="F1921" i="10"/>
  <c r="E1926" i="10"/>
  <c r="H1925" i="10"/>
  <c r="G1924" i="10"/>
  <c r="J1922" i="10"/>
  <c r="R1910" i="10"/>
  <c r="O1918" i="10"/>
  <c r="Q1914" i="10"/>
  <c r="L1913" i="10"/>
  <c r="N1922" i="10"/>
  <c r="P1920" i="10"/>
  <c r="M1925" i="10"/>
  <c r="J1734" i="10"/>
  <c r="J1730" i="10"/>
  <c r="R1897" i="10"/>
  <c r="J1419" i="10"/>
  <c r="I1422" i="10"/>
  <c r="E1422" i="10"/>
  <c r="H1421" i="10"/>
  <c r="D1421" i="10"/>
  <c r="G1420" i="10"/>
  <c r="F1419" i="10"/>
  <c r="I1418" i="10"/>
  <c r="D1417" i="10"/>
  <c r="F1700" i="10"/>
  <c r="H1698" i="10"/>
  <c r="E1695" i="10"/>
  <c r="G1710" i="10"/>
  <c r="I1708" i="10"/>
  <c r="D1707" i="10"/>
  <c r="F1705" i="10"/>
  <c r="O1696" i="10"/>
  <c r="Q1700" i="10"/>
  <c r="L1699" i="10"/>
  <c r="L1701" i="10"/>
  <c r="P1707" i="10"/>
  <c r="O1706" i="10"/>
  <c r="Q1704" i="10"/>
  <c r="M1704" i="10"/>
  <c r="L1709" i="10"/>
  <c r="O1708" i="10"/>
  <c r="N1710" i="10"/>
  <c r="Q1711" i="10"/>
  <c r="I1723" i="10"/>
  <c r="H1722" i="10"/>
  <c r="D1722" i="10"/>
  <c r="F1720" i="10"/>
  <c r="E1719" i="10"/>
  <c r="H1718" i="10"/>
  <c r="G1729" i="10"/>
  <c r="I1727" i="10"/>
  <c r="E1727" i="10"/>
  <c r="D1726" i="10"/>
  <c r="F1734" i="10"/>
  <c r="E1733" i="10"/>
  <c r="H1732" i="10"/>
  <c r="G1731" i="10"/>
  <c r="R1727" i="10"/>
  <c r="R1731" i="10"/>
  <c r="Q1734" i="10"/>
  <c r="P1733" i="10"/>
  <c r="L1733" i="10"/>
  <c r="N1731" i="10"/>
  <c r="M1730" i="10"/>
  <c r="P1729" i="10"/>
  <c r="O1728" i="10"/>
  <c r="Q1726" i="10"/>
  <c r="M1726" i="10"/>
  <c r="J1924" i="10"/>
  <c r="O2140" i="10"/>
  <c r="H1420" i="10"/>
  <c r="E1417" i="10"/>
  <c r="Q1912" i="10"/>
  <c r="M1912" i="10"/>
  <c r="P1911" i="10"/>
  <c r="L1911" i="10"/>
  <c r="O1910" i="10"/>
  <c r="M1911" i="10"/>
  <c r="E1418" i="10"/>
  <c r="H1417" i="10"/>
  <c r="F1422" i="10"/>
  <c r="F1892" i="10"/>
  <c r="I1891" i="10"/>
  <c r="H1890" i="10"/>
  <c r="D1890" i="10"/>
  <c r="F1888" i="10"/>
  <c r="E1887" i="10"/>
  <c r="H1898" i="10"/>
  <c r="G1897" i="10"/>
  <c r="I1895" i="10"/>
  <c r="E1895" i="10"/>
  <c r="P1895" i="10"/>
  <c r="O1898" i="10"/>
  <c r="Q1896" i="10"/>
  <c r="M1896" i="10"/>
  <c r="L1900" i="10"/>
  <c r="D1926" i="10"/>
  <c r="F1924" i="10"/>
  <c r="R1724" i="10"/>
  <c r="N1892" i="10"/>
  <c r="P1890" i="10"/>
  <c r="Q1898" i="10"/>
  <c r="L1897" i="10"/>
  <c r="N1900" i="10"/>
  <c r="P1902" i="10"/>
  <c r="I1912" i="10"/>
  <c r="D1911" i="10"/>
  <c r="F1915" i="10"/>
  <c r="H1913" i="10"/>
  <c r="E1918" i="10"/>
  <c r="O1899" i="10"/>
  <c r="N1902" i="10"/>
  <c r="J1910" i="10"/>
  <c r="E1703" i="10"/>
  <c r="E1724" i="10"/>
  <c r="H1734" i="10"/>
  <c r="G1733" i="10"/>
  <c r="I1731" i="10"/>
  <c r="E1731" i="10"/>
  <c r="D1730" i="10"/>
  <c r="O1724" i="10"/>
  <c r="N1723" i="10"/>
  <c r="Q1722" i="10"/>
  <c r="P1721" i="10"/>
  <c r="L1721" i="10"/>
  <c r="N1719" i="10"/>
  <c r="M1718" i="10"/>
  <c r="H1892" i="10"/>
  <c r="J1710" i="10"/>
  <c r="J1701" i="10"/>
  <c r="J1925" i="10"/>
  <c r="R1921" i="10"/>
  <c r="J1706" i="10"/>
  <c r="R1698" i="10"/>
  <c r="F1703" i="10"/>
  <c r="F1701" i="10"/>
  <c r="I1700" i="10"/>
  <c r="E1700" i="10"/>
  <c r="H1699" i="10"/>
  <c r="R1722" i="10"/>
  <c r="J1903" i="10"/>
  <c r="Q1901" i="10"/>
  <c r="P1903" i="10"/>
  <c r="L1903" i="10"/>
  <c r="F1922" i="10"/>
  <c r="H1926" i="10"/>
  <c r="D1699" i="10"/>
  <c r="G1698" i="10"/>
  <c r="F1697" i="10"/>
  <c r="I1696" i="10"/>
  <c r="E1696" i="10"/>
  <c r="H1695" i="10"/>
  <c r="D1695" i="10"/>
  <c r="G1711" i="10"/>
  <c r="F1710" i="10"/>
  <c r="I1709" i="10"/>
  <c r="E1709" i="10"/>
  <c r="H1708" i="10"/>
  <c r="D1708" i="10"/>
  <c r="G1707" i="10"/>
  <c r="F1706" i="10"/>
  <c r="I1705" i="10"/>
  <c r="E1705" i="10"/>
  <c r="H1704" i="10"/>
  <c r="D1704" i="10"/>
  <c r="R1696" i="10"/>
  <c r="O1697" i="10"/>
  <c r="N1696" i="10"/>
  <c r="Q1695" i="10"/>
  <c r="M1695" i="10"/>
  <c r="L1700" i="10"/>
  <c r="O1699" i="10"/>
  <c r="N1698" i="10"/>
  <c r="O1701" i="10"/>
  <c r="M1705" i="10"/>
  <c r="O1709" i="10"/>
  <c r="Q1710" i="10"/>
  <c r="L1711" i="10"/>
  <c r="D1723" i="10"/>
  <c r="F1721" i="10"/>
  <c r="H1719" i="10"/>
  <c r="E1728" i="10"/>
  <c r="G1726" i="10"/>
  <c r="F1724" i="10"/>
  <c r="H1733" i="10"/>
  <c r="E1730" i="10"/>
  <c r="R1728" i="10"/>
  <c r="L1734" i="10"/>
  <c r="N1732" i="10"/>
  <c r="P1730" i="10"/>
  <c r="M1727" i="10"/>
  <c r="O1723" i="10"/>
  <c r="Q1721" i="10"/>
  <c r="L1720" i="10"/>
  <c r="N1718" i="10"/>
  <c r="J1898" i="10"/>
  <c r="I1892" i="10"/>
  <c r="D1891" i="10"/>
  <c r="F1889" i="10"/>
  <c r="H1887" i="10"/>
  <c r="E1896" i="10"/>
  <c r="F1901" i="10"/>
  <c r="H1899" i="10"/>
  <c r="R1899" i="10"/>
  <c r="R1887" i="10"/>
  <c r="M1888" i="10"/>
  <c r="O1892" i="10"/>
  <c r="Q1890" i="10"/>
  <c r="L1893" i="10"/>
  <c r="E1911" i="10"/>
  <c r="G1915" i="10"/>
  <c r="I1913" i="10"/>
  <c r="D1920" i="10"/>
  <c r="F1918" i="10"/>
  <c r="F1916" i="10"/>
  <c r="H1921" i="10"/>
  <c r="R1915" i="10"/>
  <c r="P1916" i="10"/>
  <c r="L1916" i="10"/>
  <c r="N1914" i="10"/>
  <c r="M1913" i="10"/>
  <c r="P1923" i="10"/>
  <c r="O1922" i="10"/>
  <c r="Q1920" i="10"/>
  <c r="M1920" i="10"/>
  <c r="P1919" i="10"/>
  <c r="L1919" i="10"/>
  <c r="O1926" i="10"/>
  <c r="N1925" i="10"/>
  <c r="Q1924" i="10"/>
  <c r="M1924" i="10"/>
  <c r="G1422" i="10"/>
  <c r="I1420" i="10"/>
  <c r="D1419" i="10"/>
  <c r="F1417" i="10"/>
  <c r="J1707" i="10"/>
  <c r="I1703" i="10"/>
  <c r="R1902" i="10"/>
  <c r="R1914" i="10"/>
  <c r="Q1911" i="10"/>
  <c r="L1910" i="10"/>
  <c r="N1915" i="10"/>
  <c r="P1913" i="10"/>
  <c r="M1921" i="10"/>
  <c r="O1919" i="10"/>
  <c r="Q1925" i="10"/>
  <c r="L1924" i="10"/>
  <c r="E1889" i="10"/>
  <c r="G1887" i="10"/>
  <c r="I1897" i="10"/>
  <c r="D1896" i="10"/>
  <c r="E1901" i="10"/>
  <c r="G1899" i="10"/>
  <c r="I1902" i="10"/>
  <c r="Q1889" i="10"/>
  <c r="L1888" i="10"/>
  <c r="R1922" i="10"/>
  <c r="R1730" i="10"/>
  <c r="J1921" i="10"/>
  <c r="E1921" i="10"/>
  <c r="G1925" i="10"/>
  <c r="I1923" i="10"/>
  <c r="J1699" i="10"/>
  <c r="R1895" i="10"/>
  <c r="J1711" i="10"/>
  <c r="R1720" i="10"/>
  <c r="J1893" i="10"/>
  <c r="D1892" i="10"/>
  <c r="F1890" i="10"/>
  <c r="H1888" i="10"/>
  <c r="E1897" i="10"/>
  <c r="G1895" i="10"/>
  <c r="F1893" i="10"/>
  <c r="H1900" i="10"/>
  <c r="E1902" i="10"/>
  <c r="M1889" i="10"/>
  <c r="O1887" i="10"/>
  <c r="Q1891" i="10"/>
  <c r="L1890" i="10"/>
  <c r="M1898" i="10"/>
  <c r="O1896" i="10"/>
  <c r="Q1899" i="10"/>
  <c r="L1902" i="10"/>
  <c r="N1903" i="10"/>
  <c r="E1912" i="10"/>
  <c r="G1910" i="10"/>
  <c r="I1914" i="10"/>
  <c r="D1913" i="10"/>
  <c r="F1919" i="10"/>
  <c r="E1421" i="10"/>
  <c r="G1419" i="10"/>
  <c r="I1417" i="10"/>
  <c r="J1697" i="10"/>
  <c r="G1700" i="10"/>
  <c r="I1698" i="10"/>
  <c r="D1697" i="10"/>
  <c r="F1695" i="10"/>
  <c r="H1710" i="10"/>
  <c r="E1707" i="10"/>
  <c r="G1705" i="10"/>
  <c r="R1711" i="10"/>
  <c r="P1696" i="10"/>
  <c r="M1699" i="10"/>
  <c r="Q1707" i="10"/>
  <c r="R1734" i="10"/>
  <c r="M1733" i="10"/>
  <c r="J1709" i="10"/>
  <c r="E1923" i="10"/>
  <c r="P1700" i="10"/>
  <c r="P1701" i="10"/>
  <c r="L1707" i="10"/>
  <c r="N1705" i="10"/>
  <c r="P1709" i="10"/>
  <c r="M1711" i="10"/>
  <c r="E1723" i="10"/>
  <c r="G1721" i="10"/>
  <c r="I1719" i="10"/>
  <c r="D1718" i="10"/>
  <c r="F1728" i="10"/>
  <c r="H1726" i="10"/>
  <c r="G1724" i="10"/>
  <c r="I1733" i="10"/>
  <c r="D1732" i="10"/>
  <c r="F1730" i="10"/>
  <c r="M1734" i="10"/>
  <c r="O1732" i="10"/>
  <c r="Q1730" i="10"/>
  <c r="L1729" i="10"/>
  <c r="N1727" i="10"/>
  <c r="E1891" i="10"/>
  <c r="G1889" i="10"/>
  <c r="I1887" i="10"/>
  <c r="D1898" i="10"/>
  <c r="F1896" i="10"/>
  <c r="L1895" i="10"/>
  <c r="N1897" i="10"/>
  <c r="P1900" i="10"/>
  <c r="M1901" i="10"/>
  <c r="G1916" i="10"/>
  <c r="I1921" i="10"/>
  <c r="R1925" i="10"/>
  <c r="R1913" i="10"/>
  <c r="E1924" i="10"/>
  <c r="O1911" i="10"/>
  <c r="Q1918" i="10"/>
  <c r="Q1916" i="10"/>
  <c r="L1915" i="10"/>
  <c r="N1913" i="10"/>
  <c r="P1922" i="10"/>
  <c r="M1919" i="10"/>
  <c r="O1925" i="10"/>
  <c r="R1710" i="10"/>
  <c r="J1695" i="10"/>
  <c r="R1708" i="10"/>
  <c r="J1721" i="10"/>
  <c r="R1718" i="10"/>
  <c r="J1920" i="10"/>
  <c r="N1918" i="10"/>
  <c r="J1724" i="10"/>
  <c r="J1421" i="10"/>
  <c r="E1420" i="10"/>
  <c r="G1418" i="10"/>
  <c r="H1703" i="10"/>
  <c r="H1701" i="10"/>
  <c r="E1698" i="10"/>
  <c r="G1696" i="10"/>
  <c r="I1711" i="10"/>
  <c r="D1710" i="10"/>
  <c r="F1708" i="10"/>
  <c r="H1706" i="10"/>
  <c r="R1707" i="10"/>
  <c r="Q1697" i="10"/>
  <c r="L1696" i="10"/>
  <c r="N1700" i="10"/>
  <c r="P1698" i="10"/>
  <c r="N1706" i="10"/>
  <c r="P1704" i="10"/>
  <c r="M1710" i="10"/>
  <c r="J1732" i="10"/>
  <c r="G1722" i="10"/>
  <c r="I1720" i="10"/>
  <c r="D1719" i="10"/>
  <c r="F1729" i="10"/>
  <c r="H1727" i="10"/>
  <c r="I1734" i="10"/>
  <c r="D1733" i="10"/>
  <c r="F1731" i="10"/>
  <c r="R1719" i="10"/>
  <c r="R1732" i="10"/>
  <c r="O1733" i="10"/>
  <c r="Q1731" i="10"/>
  <c r="L1730" i="10"/>
  <c r="N1728" i="10"/>
  <c r="P1726" i="10"/>
  <c r="P1724" i="10"/>
  <c r="M1721" i="10"/>
  <c r="O1719" i="10"/>
  <c r="E1892" i="10"/>
  <c r="G1890" i="10"/>
  <c r="I1888" i="10"/>
  <c r="D1887" i="10"/>
  <c r="F1897" i="10"/>
  <c r="H1895" i="10"/>
  <c r="G1893" i="10"/>
  <c r="I1900" i="10"/>
  <c r="D1899" i="10"/>
  <c r="F1902" i="10"/>
  <c r="N1889" i="10"/>
  <c r="P1887" i="10"/>
  <c r="M1890" i="10"/>
  <c r="F1912" i="10"/>
  <c r="H1910" i="10"/>
  <c r="E1913" i="10"/>
  <c r="G1919" i="10"/>
  <c r="I1922" i="10"/>
  <c r="D1921" i="10"/>
  <c r="F1925" i="10"/>
  <c r="H1923" i="10"/>
  <c r="P1912" i="10"/>
  <c r="M1918" i="10"/>
  <c r="M1916" i="10"/>
  <c r="O1914" i="10"/>
  <c r="Q1923" i="10"/>
  <c r="L1922" i="10"/>
  <c r="N1920" i="10"/>
  <c r="P1926" i="10"/>
  <c r="I1421" i="10"/>
  <c r="D1420" i="10"/>
  <c r="F1418" i="10"/>
  <c r="J1705" i="10"/>
  <c r="G1701" i="10"/>
  <c r="I1699" i="10"/>
  <c r="D1698" i="10"/>
  <c r="F1696" i="10"/>
  <c r="H1711" i="10"/>
  <c r="E1708" i="10"/>
  <c r="G1706" i="10"/>
  <c r="I1704" i="10"/>
  <c r="R1706" i="10"/>
  <c r="P1697" i="10"/>
  <c r="M1700" i="10"/>
  <c r="O1698" i="10"/>
  <c r="J1918" i="10"/>
  <c r="L1706" i="10"/>
  <c r="N1704" i="10"/>
  <c r="P1708" i="10"/>
  <c r="E1722" i="10"/>
  <c r="G1720" i="10"/>
  <c r="I1718" i="10"/>
  <c r="D1729" i="10"/>
  <c r="F1727" i="10"/>
  <c r="O1731" i="10"/>
  <c r="Q1729" i="10"/>
  <c r="L1728" i="10"/>
  <c r="N1726" i="10"/>
  <c r="N1724" i="10"/>
  <c r="P1722" i="10"/>
  <c r="M1719" i="10"/>
  <c r="E1893" i="10"/>
  <c r="G1900" i="10"/>
  <c r="I1903" i="10"/>
  <c r="D1902" i="10"/>
  <c r="R1893" i="10"/>
  <c r="L1889" i="10"/>
  <c r="N1887" i="10"/>
  <c r="P1891" i="10"/>
  <c r="Q1895" i="10"/>
  <c r="L1898" i="10"/>
  <c r="N1896" i="10"/>
  <c r="P1899" i="10"/>
  <c r="M1903" i="10"/>
  <c r="J1916" i="10"/>
  <c r="D1912" i="10"/>
  <c r="F1910" i="10"/>
  <c r="H1914" i="10"/>
  <c r="E1919" i="10"/>
  <c r="G1922" i="10"/>
  <c r="I1926" i="10"/>
  <c r="D1925" i="10"/>
  <c r="F1923" i="10"/>
  <c r="R1918" i="10"/>
  <c r="N1912" i="10"/>
  <c r="P1910" i="10"/>
  <c r="M1914" i="10"/>
  <c r="O1923" i="10"/>
  <c r="Q1921" i="10"/>
  <c r="L1920" i="10"/>
  <c r="N1926" i="10"/>
  <c r="P1924" i="10"/>
  <c r="J1729" i="10"/>
  <c r="J1417" i="10"/>
  <c r="F1421" i="10"/>
  <c r="H1419" i="10"/>
  <c r="D1703" i="10"/>
  <c r="D1701" i="10"/>
  <c r="F1699" i="10"/>
  <c r="H1697" i="10"/>
  <c r="E1711" i="10"/>
  <c r="G1709" i="10"/>
  <c r="I1707" i="10"/>
  <c r="D1706" i="10"/>
  <c r="F1704" i="10"/>
  <c r="M1697" i="10"/>
  <c r="O1695" i="10"/>
  <c r="Q1699" i="10"/>
  <c r="L1698" i="10"/>
  <c r="O1707" i="10"/>
  <c r="Q1705" i="10"/>
  <c r="L1704" i="10"/>
  <c r="N1708" i="10"/>
  <c r="P1711" i="10"/>
  <c r="H1723" i="10"/>
  <c r="E1720" i="10"/>
  <c r="G1718" i="10"/>
  <c r="I1728" i="10"/>
  <c r="D1727" i="10"/>
  <c r="E1734" i="10"/>
  <c r="G1732" i="10"/>
  <c r="I1730" i="10"/>
  <c r="R1723" i="10"/>
  <c r="P1734" i="10"/>
  <c r="M1731" i="10"/>
  <c r="O1729" i="10"/>
  <c r="Q1727" i="10"/>
  <c r="L1726" i="10"/>
  <c r="L1724" i="10"/>
  <c r="N1722" i="10"/>
  <c r="P1720" i="10"/>
  <c r="J1902" i="10"/>
  <c r="J1890" i="10"/>
  <c r="H1891" i="10"/>
  <c r="E1888" i="10"/>
  <c r="G1898" i="10"/>
  <c r="I1896" i="10"/>
  <c r="D1895" i="10"/>
  <c r="E1900" i="10"/>
  <c r="G1903" i="10"/>
  <c r="R1903" i="10"/>
  <c r="R1891" i="10"/>
  <c r="Q1888" i="10"/>
  <c r="L1887" i="10"/>
  <c r="N1891" i="10"/>
  <c r="P1893" i="10"/>
  <c r="J1914" i="10"/>
  <c r="I1911" i="10"/>
  <c r="D1910" i="10"/>
  <c r="F1914" i="10"/>
  <c r="H1920" i="10"/>
  <c r="E1922" i="10"/>
  <c r="G1926" i="10"/>
  <c r="I1924" i="10"/>
  <c r="D1923" i="10"/>
  <c r="L1912" i="10"/>
  <c r="N1910" i="10"/>
  <c r="P1915" i="10"/>
  <c r="M1923" i="10"/>
  <c r="O1921" i="10"/>
  <c r="Q1919" i="10"/>
  <c r="L1926" i="10"/>
  <c r="N1924" i="10"/>
  <c r="E1699" i="10"/>
  <c r="G1697" i="10"/>
  <c r="I1695" i="10"/>
  <c r="D1711" i="10"/>
  <c r="F1709" i="10"/>
  <c r="H1707" i="10"/>
  <c r="E1704" i="10"/>
  <c r="L1697" i="10"/>
  <c r="N1695" i="10"/>
  <c r="P1699" i="10"/>
  <c r="I1724" i="10"/>
  <c r="D1734" i="10"/>
  <c r="F1732" i="10"/>
  <c r="H1730" i="10"/>
  <c r="M1722" i="10"/>
  <c r="O1720" i="10"/>
  <c r="Q1718" i="10"/>
  <c r="G1891" i="10"/>
  <c r="I1889" i="10"/>
  <c r="D1888" i="10"/>
  <c r="F1898" i="10"/>
  <c r="H1896" i="10"/>
  <c r="I1901" i="10"/>
  <c r="D1900" i="10"/>
  <c r="F1903" i="10"/>
  <c r="P1888" i="10"/>
  <c r="M1891" i="10"/>
  <c r="O1893" i="10"/>
  <c r="N1895" i="10"/>
  <c r="P1897" i="10"/>
  <c r="M1899" i="10"/>
  <c r="O1901" i="10"/>
  <c r="H1911" i="10"/>
  <c r="E1914" i="10"/>
  <c r="G1920" i="10"/>
  <c r="I1918" i="10"/>
  <c r="O1915" i="10"/>
  <c r="Q1913" i="10"/>
  <c r="L1923" i="10"/>
  <c r="N1921" i="10"/>
  <c r="J1901" i="10"/>
  <c r="R1920" i="10"/>
  <c r="R1372" i="10"/>
  <c r="I1372" i="10"/>
  <c r="E1376" i="10"/>
  <c r="G1378" i="10"/>
  <c r="I1380" i="10"/>
  <c r="K1380" i="10"/>
  <c r="D1381" i="10"/>
  <c r="F1382" i="10"/>
  <c r="J1410" i="10"/>
  <c r="J1394" i="10"/>
  <c r="H1398" i="10"/>
  <c r="G1397" i="10"/>
  <c r="I1395" i="10"/>
  <c r="D1394" i="10"/>
  <c r="D1406" i="10"/>
  <c r="F1404" i="10"/>
  <c r="D1408" i="10"/>
  <c r="R1410" i="10"/>
  <c r="R1398" i="10"/>
  <c r="J1425" i="10"/>
  <c r="G1431" i="10"/>
  <c r="I1429" i="10"/>
  <c r="C1427" i="10"/>
  <c r="Q1394" i="10"/>
  <c r="O1397" i="10"/>
  <c r="L1400" i="10"/>
  <c r="N1404" i="10"/>
  <c r="L1402" i="10"/>
  <c r="N1406" i="10"/>
  <c r="J1560" i="10"/>
  <c r="D1556" i="10"/>
  <c r="F1554" i="10"/>
  <c r="D1558" i="10"/>
  <c r="F1563" i="10"/>
  <c r="G1565" i="10"/>
  <c r="I1570" i="10"/>
  <c r="G1568" i="10"/>
  <c r="R1570" i="10"/>
  <c r="R1558" i="10"/>
  <c r="Q1555" i="10"/>
  <c r="L1554" i="10"/>
  <c r="Q1557" i="10"/>
  <c r="Q1560" i="10"/>
  <c r="L1566" i="10"/>
  <c r="N1564" i="10"/>
  <c r="L1568" i="10"/>
  <c r="N1570" i="10"/>
  <c r="J1580" i="10"/>
  <c r="I1581" i="10"/>
  <c r="D1580" i="10"/>
  <c r="F1578" i="10"/>
  <c r="H1576" i="10"/>
  <c r="F1586" i="10"/>
  <c r="D1584" i="10"/>
  <c r="F1592" i="10"/>
  <c r="D1590" i="10"/>
  <c r="F1588" i="10"/>
  <c r="R1580" i="10"/>
  <c r="M1591" i="10"/>
  <c r="O1589" i="10"/>
  <c r="M1587" i="10"/>
  <c r="O1585" i="10"/>
  <c r="L1582" i="10"/>
  <c r="N1580" i="10"/>
  <c r="P1578" i="10"/>
  <c r="K1577" i="10"/>
  <c r="N1576" i="10"/>
  <c r="J1386" i="10"/>
  <c r="R1377" i="10"/>
  <c r="G1373" i="10"/>
  <c r="E1375" i="10"/>
  <c r="F1378" i="10"/>
  <c r="D1385" i="10"/>
  <c r="I1386" i="10"/>
  <c r="J1409" i="10"/>
  <c r="J1397" i="10"/>
  <c r="D1399" i="10"/>
  <c r="F1397" i="10"/>
  <c r="D1395" i="10"/>
  <c r="D1402" i="10"/>
  <c r="R1405" i="10"/>
  <c r="J1428" i="10"/>
  <c r="J1416" i="10"/>
  <c r="F1431" i="10"/>
  <c r="D1429" i="10"/>
  <c r="I1426" i="10"/>
  <c r="G1424" i="10"/>
  <c r="N1399" i="10"/>
  <c r="O1402" i="10"/>
  <c r="J1563" i="10"/>
  <c r="I1554" i="10"/>
  <c r="F1565" i="10"/>
  <c r="H1570" i="10"/>
  <c r="I1567" i="10"/>
  <c r="L1557" i="10"/>
  <c r="L1560" i="10"/>
  <c r="N1565" i="10"/>
  <c r="L1569" i="10"/>
  <c r="N1567" i="10"/>
  <c r="J1591" i="10"/>
  <c r="J1587" i="10"/>
  <c r="I1582" i="10"/>
  <c r="E1582" i="10"/>
  <c r="H1581" i="10"/>
  <c r="D1581" i="10"/>
  <c r="G1580" i="10"/>
  <c r="C1580" i="10"/>
  <c r="F1579" i="10"/>
  <c r="I1578" i="10"/>
  <c r="E1578" i="10"/>
  <c r="H1577" i="10"/>
  <c r="D1577" i="10"/>
  <c r="F1587" i="10"/>
  <c r="I1586" i="10"/>
  <c r="E1586" i="10"/>
  <c r="H1585" i="10"/>
  <c r="D1585" i="10"/>
  <c r="G1584" i="10"/>
  <c r="C1584" i="10"/>
  <c r="I1592" i="10"/>
  <c r="E1592" i="10"/>
  <c r="H1591" i="10"/>
  <c r="D1591" i="10"/>
  <c r="G1590" i="10"/>
  <c r="C1590" i="10"/>
  <c r="F1589" i="10"/>
  <c r="I1588" i="10"/>
  <c r="E1588" i="10"/>
  <c r="R1591" i="10"/>
  <c r="R1587" i="10"/>
  <c r="R1579" i="10"/>
  <c r="Q1592" i="10"/>
  <c r="M1592" i="10"/>
  <c r="P1591" i="10"/>
  <c r="L1591" i="10"/>
  <c r="O1590" i="10"/>
  <c r="K1590" i="10"/>
  <c r="N1589" i="10"/>
  <c r="Q1588" i="10"/>
  <c r="M1588" i="10"/>
  <c r="P1587" i="10"/>
  <c r="L1587" i="10"/>
  <c r="O1586" i="10"/>
  <c r="K1586" i="10"/>
  <c r="N1585" i="10"/>
  <c r="Q1584" i="10"/>
  <c r="M1584" i="10"/>
  <c r="O1582" i="10"/>
  <c r="K1582" i="10"/>
  <c r="N1581" i="10"/>
  <c r="Q1580" i="10"/>
  <c r="M1580" i="10"/>
  <c r="P1579" i="10"/>
  <c r="L1579" i="10"/>
  <c r="O1578" i="10"/>
  <c r="K1578" i="10"/>
  <c r="N1577" i="10"/>
  <c r="Q1576" i="10"/>
  <c r="M1576" i="10"/>
  <c r="J1698" i="10"/>
  <c r="R1701" i="10"/>
  <c r="R1697" i="10"/>
  <c r="J1733" i="10"/>
  <c r="R1898" i="10"/>
  <c r="R1890" i="10"/>
  <c r="J1913" i="10"/>
  <c r="K1910" i="10"/>
  <c r="K1926" i="10"/>
  <c r="J1387" i="10"/>
  <c r="R1376" i="10"/>
  <c r="R1384" i="10"/>
  <c r="H1373" i="10"/>
  <c r="G1374" i="10"/>
  <c r="F1375" i="10"/>
  <c r="H1377" i="10"/>
  <c r="E1380" i="10"/>
  <c r="I1385" i="10"/>
  <c r="H1384" i="10"/>
  <c r="D1384" i="10"/>
  <c r="F1386" i="10"/>
  <c r="E1388" i="10"/>
  <c r="J1402" i="10"/>
  <c r="F1400" i="10"/>
  <c r="I1399" i="10"/>
  <c r="D1398" i="10"/>
  <c r="F1396" i="10"/>
  <c r="H1394" i="10"/>
  <c r="G1403" i="10"/>
  <c r="E1402" i="10"/>
  <c r="H1406" i="10"/>
  <c r="G1405" i="10"/>
  <c r="I1409" i="10"/>
  <c r="H1408" i="10"/>
  <c r="G1407" i="10"/>
  <c r="F1410" i="10"/>
  <c r="R1406" i="10"/>
  <c r="R1394" i="10"/>
  <c r="D1432" i="10"/>
  <c r="F1430" i="10"/>
  <c r="H1428" i="10"/>
  <c r="D1428" i="10"/>
  <c r="F1426" i="10"/>
  <c r="E1425" i="10"/>
  <c r="D1424" i="10"/>
  <c r="N1395" i="10"/>
  <c r="P1398" i="10"/>
  <c r="M1403" i="10"/>
  <c r="Q1405" i="10"/>
  <c r="P1410" i="10"/>
  <c r="O1409" i="10"/>
  <c r="J1570" i="10"/>
  <c r="J1556" i="10"/>
  <c r="I1559" i="10"/>
  <c r="H1558" i="10"/>
  <c r="G1557" i="10"/>
  <c r="G1560" i="10"/>
  <c r="D1566" i="10"/>
  <c r="F1564" i="10"/>
  <c r="H1569" i="10"/>
  <c r="N1556" i="10"/>
  <c r="P1554" i="10"/>
  <c r="M1557" i="10"/>
  <c r="L1563" i="10"/>
  <c r="P1566" i="10"/>
  <c r="O1565" i="10"/>
  <c r="Q1569" i="10"/>
  <c r="P1568" i="10"/>
  <c r="O1567" i="10"/>
  <c r="J1592" i="10"/>
  <c r="J1584" i="10"/>
  <c r="F1582" i="10"/>
  <c r="H1580" i="10"/>
  <c r="C1579" i="10"/>
  <c r="E1577" i="10"/>
  <c r="G1587" i="10"/>
  <c r="I1585" i="10"/>
  <c r="E1585" i="10"/>
  <c r="I1591" i="10"/>
  <c r="H1590" i="10"/>
  <c r="C1589" i="10"/>
  <c r="R1588" i="10"/>
  <c r="R1576" i="10"/>
  <c r="Q1591" i="10"/>
  <c r="P1590" i="10"/>
  <c r="K1589" i="10"/>
  <c r="Q1587" i="10"/>
  <c r="L1586" i="10"/>
  <c r="N1584" i="10"/>
  <c r="P1582" i="10"/>
  <c r="K1581" i="10"/>
  <c r="Q1579" i="10"/>
  <c r="L1578" i="10"/>
  <c r="K1914" i="10"/>
  <c r="J1382" i="10"/>
  <c r="J1374" i="10"/>
  <c r="R1381" i="10"/>
  <c r="H1372" i="10"/>
  <c r="C1373" i="10"/>
  <c r="F1374" i="10"/>
  <c r="H1376" i="10"/>
  <c r="D1380" i="10"/>
  <c r="H1385" i="10"/>
  <c r="G1384" i="10"/>
  <c r="F1387" i="10"/>
  <c r="E1386" i="10"/>
  <c r="D1388" i="10"/>
  <c r="J1405" i="10"/>
  <c r="I1400" i="10"/>
  <c r="H1399" i="10"/>
  <c r="G1398" i="10"/>
  <c r="I1396" i="10"/>
  <c r="H1395" i="10"/>
  <c r="G1394" i="10"/>
  <c r="F1403" i="10"/>
  <c r="G1406" i="10"/>
  <c r="I1404" i="10"/>
  <c r="E1404" i="10"/>
  <c r="D1409" i="10"/>
  <c r="F1407" i="10"/>
  <c r="E1410" i="10"/>
  <c r="J1432" i="10"/>
  <c r="J1424" i="10"/>
  <c r="G1432" i="10"/>
  <c r="I1430" i="10"/>
  <c r="E1430" i="10"/>
  <c r="G1428" i="10"/>
  <c r="F1427" i="10"/>
  <c r="H1425" i="10"/>
  <c r="M1395" i="10"/>
  <c r="L1394" i="10"/>
  <c r="N1397" i="10"/>
  <c r="M1396" i="10"/>
  <c r="O1400" i="10"/>
  <c r="Q1404" i="10"/>
  <c r="P1403" i="10"/>
  <c r="Q1406" i="10"/>
  <c r="P1405" i="10"/>
  <c r="O1410" i="10"/>
  <c r="N1409" i="10"/>
  <c r="M1408" i="10"/>
  <c r="J1559" i="10"/>
  <c r="E1554" i="10"/>
  <c r="D1559" i="10"/>
  <c r="E1563" i="10"/>
  <c r="F1560" i="10"/>
  <c r="I1564" i="10"/>
  <c r="D1570" i="10"/>
  <c r="G1569" i="10"/>
  <c r="F1568" i="10"/>
  <c r="R1569" i="10"/>
  <c r="R1557" i="10"/>
  <c r="M1556" i="10"/>
  <c r="O1554" i="10"/>
  <c r="N1559" i="10"/>
  <c r="M1558" i="10"/>
  <c r="M1564" i="10"/>
  <c r="M1570" i="10"/>
  <c r="J1579" i="10"/>
  <c r="C1576" i="10"/>
  <c r="J1381" i="10"/>
  <c r="J1373" i="10"/>
  <c r="R1378" i="10"/>
  <c r="R1387" i="10"/>
  <c r="C1372" i="10"/>
  <c r="I1374" i="10"/>
  <c r="H1375" i="10"/>
  <c r="F1377" i="10"/>
  <c r="E1378" i="10"/>
  <c r="C1380" i="10"/>
  <c r="H1382" i="10"/>
  <c r="I1387" i="10"/>
  <c r="H1386" i="10"/>
  <c r="J1408" i="10"/>
  <c r="J1400" i="10"/>
  <c r="D1400" i="10"/>
  <c r="I1397" i="10"/>
  <c r="H1396" i="10"/>
  <c r="I1403" i="10"/>
  <c r="I1405" i="10"/>
  <c r="H1404" i="10"/>
  <c r="I1407" i="10"/>
  <c r="H1410" i="10"/>
  <c r="D1410" i="10"/>
  <c r="R1404" i="10"/>
  <c r="R1396" i="10"/>
  <c r="J1427" i="10"/>
  <c r="F1432" i="10"/>
  <c r="E1431" i="10"/>
  <c r="D1430" i="10"/>
  <c r="C1429" i="10"/>
  <c r="I1427" i="10"/>
  <c r="H1426" i="10"/>
  <c r="G1425" i="10"/>
  <c r="F1424" i="10"/>
  <c r="Q1397" i="10"/>
  <c r="M1399" i="10"/>
  <c r="L1404" i="10"/>
  <c r="O1403" i="10"/>
  <c r="N1402" i="10"/>
  <c r="M1407" i="10"/>
  <c r="L1406" i="10"/>
  <c r="O1405" i="10"/>
  <c r="N1410" i="10"/>
  <c r="M1409" i="10"/>
  <c r="L1408" i="10"/>
  <c r="J1554" i="10"/>
  <c r="F1556" i="10"/>
  <c r="I1555" i="10"/>
  <c r="E1555" i="10"/>
  <c r="H1554" i="10"/>
  <c r="D1554" i="10"/>
  <c r="F1558" i="10"/>
  <c r="I1557" i="10"/>
  <c r="E1557" i="10"/>
  <c r="H1563" i="10"/>
  <c r="D1563" i="10"/>
  <c r="I1560" i="10"/>
  <c r="E1560" i="10"/>
  <c r="J1565" i="10"/>
  <c r="F1566" i="10"/>
  <c r="I1565" i="10"/>
  <c r="E1565" i="10"/>
  <c r="H1564" i="10"/>
  <c r="D1564" i="10"/>
  <c r="G1570" i="10"/>
  <c r="F1569" i="10"/>
  <c r="I1568" i="10"/>
  <c r="E1568" i="10"/>
  <c r="H1567" i="10"/>
  <c r="D1567" i="10"/>
  <c r="R1568" i="10"/>
  <c r="R1564" i="10"/>
  <c r="R1560" i="10"/>
  <c r="R1556" i="10"/>
  <c r="P1556" i="10"/>
  <c r="L1556" i="10"/>
  <c r="O1555" i="10"/>
  <c r="N1554" i="10"/>
  <c r="Q1559" i="10"/>
  <c r="M1559" i="10"/>
  <c r="P1558" i="10"/>
  <c r="L1558" i="10"/>
  <c r="O1557" i="10"/>
  <c r="N1563" i="10"/>
  <c r="O1560" i="10"/>
  <c r="N1566" i="10"/>
  <c r="Q1565" i="10"/>
  <c r="M1565" i="10"/>
  <c r="P1564" i="10"/>
  <c r="L1564" i="10"/>
  <c r="O1569" i="10"/>
  <c r="N1568" i="10"/>
  <c r="Q1567" i="10"/>
  <c r="M1567" i="10"/>
  <c r="P1570" i="10"/>
  <c r="L1570" i="10"/>
  <c r="J1590" i="10"/>
  <c r="J1586" i="10"/>
  <c r="J1582" i="10"/>
  <c r="J1578" i="10"/>
  <c r="H1582" i="10"/>
  <c r="D1582" i="10"/>
  <c r="G1581" i="10"/>
  <c r="C1581" i="10"/>
  <c r="F1580" i="10"/>
  <c r="I1579" i="10"/>
  <c r="E1579" i="10"/>
  <c r="H1578" i="10"/>
  <c r="D1578" i="10"/>
  <c r="G1577" i="10"/>
  <c r="C1577" i="10"/>
  <c r="F1576" i="10"/>
  <c r="I1587" i="10"/>
  <c r="E1587" i="10"/>
  <c r="H1586" i="10"/>
  <c r="D1586" i="10"/>
  <c r="G1585" i="10"/>
  <c r="C1585" i="10"/>
  <c r="F1584" i="10"/>
  <c r="H1592" i="10"/>
  <c r="D1592" i="10"/>
  <c r="G1591" i="10"/>
  <c r="C1591" i="10"/>
  <c r="F1590" i="10"/>
  <c r="I1589" i="10"/>
  <c r="E1589" i="10"/>
  <c r="H1588" i="10"/>
  <c r="D1588" i="10"/>
  <c r="R1590" i="10"/>
  <c r="R1586" i="10"/>
  <c r="R1582" i="10"/>
  <c r="R1578" i="10"/>
  <c r="P1592" i="10"/>
  <c r="L1592" i="10"/>
  <c r="O1591" i="10"/>
  <c r="K1591" i="10"/>
  <c r="N1590" i="10"/>
  <c r="Q1589" i="10"/>
  <c r="M1589" i="10"/>
  <c r="P1588" i="10"/>
  <c r="L1588" i="10"/>
  <c r="O1587" i="10"/>
  <c r="K1587" i="10"/>
  <c r="N1586" i="10"/>
  <c r="Q1585" i="10"/>
  <c r="M1585" i="10"/>
  <c r="P1584" i="10"/>
  <c r="L1584" i="10"/>
  <c r="N1582" i="10"/>
  <c r="Q1581" i="10"/>
  <c r="M1581" i="10"/>
  <c r="P1580" i="10"/>
  <c r="L1580" i="10"/>
  <c r="O1579" i="10"/>
  <c r="K1579" i="10"/>
  <c r="N1578" i="10"/>
  <c r="Q1577" i="10"/>
  <c r="M1577" i="10"/>
  <c r="P1576" i="10"/>
  <c r="L1576" i="10"/>
  <c r="R1709" i="10"/>
  <c r="R1700" i="10"/>
  <c r="R1889" i="10"/>
  <c r="J1912" i="10"/>
  <c r="R1916" i="10"/>
  <c r="R1912" i="10"/>
  <c r="K1919" i="10"/>
  <c r="J1375" i="10"/>
  <c r="R1380" i="10"/>
  <c r="E1372" i="10"/>
  <c r="D1373" i="10"/>
  <c r="I1376" i="10"/>
  <c r="D1377" i="10"/>
  <c r="H1381" i="10"/>
  <c r="E1385" i="10"/>
  <c r="G1387" i="10"/>
  <c r="I1388" i="10"/>
  <c r="J1406" i="10"/>
  <c r="J1398" i="10"/>
  <c r="E1399" i="10"/>
  <c r="E1395" i="10"/>
  <c r="I1402" i="10"/>
  <c r="E1409" i="10"/>
  <c r="R1402" i="10"/>
  <c r="J1429" i="10"/>
  <c r="H1432" i="10"/>
  <c r="C1431" i="10"/>
  <c r="E1429" i="10"/>
  <c r="G1427" i="10"/>
  <c r="I1425" i="10"/>
  <c r="H1424" i="10"/>
  <c r="M1394" i="10"/>
  <c r="L1398" i="10"/>
  <c r="N1396" i="10"/>
  <c r="P1400" i="10"/>
  <c r="O1399" i="10"/>
  <c r="Q1403" i="10"/>
  <c r="P1402" i="10"/>
  <c r="O1407" i="10"/>
  <c r="M1405" i="10"/>
  <c r="L1410" i="10"/>
  <c r="N1408" i="10"/>
  <c r="J1564" i="10"/>
  <c r="H1556" i="10"/>
  <c r="G1555" i="10"/>
  <c r="E1559" i="10"/>
  <c r="H1566" i="10"/>
  <c r="E1570" i="10"/>
  <c r="D1569" i="10"/>
  <c r="F1567" i="10"/>
  <c r="R1566" i="10"/>
  <c r="R1554" i="10"/>
  <c r="M1555" i="10"/>
  <c r="O1559" i="10"/>
  <c r="N1558" i="10"/>
  <c r="P1563" i="10"/>
  <c r="M1560" i="10"/>
  <c r="M1569" i="10"/>
  <c r="J1588" i="10"/>
  <c r="J1576" i="10"/>
  <c r="E1581" i="10"/>
  <c r="G1579" i="10"/>
  <c r="I1577" i="10"/>
  <c r="D1576" i="10"/>
  <c r="C1587" i="10"/>
  <c r="H1584" i="10"/>
  <c r="E1591" i="10"/>
  <c r="G1589" i="10"/>
  <c r="R1592" i="10"/>
  <c r="R1584" i="10"/>
  <c r="N1592" i="10"/>
  <c r="L1590" i="10"/>
  <c r="N1588" i="10"/>
  <c r="P1586" i="10"/>
  <c r="K1585" i="10"/>
  <c r="O1581" i="10"/>
  <c r="M1579" i="10"/>
  <c r="O1577" i="10"/>
  <c r="J1378" i="10"/>
  <c r="R1373" i="10"/>
  <c r="R1386" i="10"/>
  <c r="D1372" i="10"/>
  <c r="I1375" i="10"/>
  <c r="D1376" i="10"/>
  <c r="G1377" i="10"/>
  <c r="H1380" i="10"/>
  <c r="G1381" i="10"/>
  <c r="I1382" i="10"/>
  <c r="E1382" i="10"/>
  <c r="H1388" i="10"/>
  <c r="E1400" i="10"/>
  <c r="E1396" i="10"/>
  <c r="H1402" i="10"/>
  <c r="F1405" i="10"/>
  <c r="H1409" i="10"/>
  <c r="G1408" i="10"/>
  <c r="I1410" i="10"/>
  <c r="R1409" i="10"/>
  <c r="R1397" i="10"/>
  <c r="J1420" i="10"/>
  <c r="C1432" i="10"/>
  <c r="H1429" i="10"/>
  <c r="C1428" i="10"/>
  <c r="E1426" i="10"/>
  <c r="D1425" i="10"/>
  <c r="C1424" i="10"/>
  <c r="Q1395" i="10"/>
  <c r="P1394" i="10"/>
  <c r="O1398" i="10"/>
  <c r="Q1396" i="10"/>
  <c r="M1404" i="10"/>
  <c r="L1403" i="10"/>
  <c r="N1407" i="10"/>
  <c r="M1406" i="10"/>
  <c r="L1405" i="10"/>
  <c r="Q1408" i="10"/>
  <c r="J1569" i="10"/>
  <c r="J1555" i="10"/>
  <c r="G1556" i="10"/>
  <c r="F1555" i="10"/>
  <c r="H1559" i="10"/>
  <c r="G1558" i="10"/>
  <c r="F1557" i="10"/>
  <c r="I1563" i="10"/>
  <c r="J1566" i="10"/>
  <c r="G1566" i="10"/>
  <c r="E1564" i="10"/>
  <c r="E1567" i="10"/>
  <c r="R1565" i="10"/>
  <c r="Q1556" i="10"/>
  <c r="P1555" i="10"/>
  <c r="L1555" i="10"/>
  <c r="Q1558" i="10"/>
  <c r="P1557" i="10"/>
  <c r="O1563" i="10"/>
  <c r="P1560" i="10"/>
  <c r="O1566" i="10"/>
  <c r="Q1564" i="10"/>
  <c r="P1569" i="10"/>
  <c r="O1568" i="10"/>
  <c r="Q1570" i="10"/>
  <c r="G1576" i="10"/>
  <c r="J1385" i="10"/>
  <c r="J1377" i="10"/>
  <c r="R1374" i="10"/>
  <c r="R1382" i="10"/>
  <c r="G1372" i="10"/>
  <c r="F1373" i="10"/>
  <c r="E1374" i="10"/>
  <c r="D1375" i="10"/>
  <c r="G1376" i="10"/>
  <c r="I1378" i="10"/>
  <c r="G1380" i="10"/>
  <c r="F1381" i="10"/>
  <c r="D1382" i="10"/>
  <c r="G1385" i="10"/>
  <c r="F1384" i="10"/>
  <c r="E1387" i="10"/>
  <c r="D1386" i="10"/>
  <c r="G1388" i="10"/>
  <c r="J1404" i="10"/>
  <c r="J1396" i="10"/>
  <c r="H1400" i="10"/>
  <c r="G1399" i="10"/>
  <c r="F1398" i="10"/>
  <c r="E1397" i="10"/>
  <c r="D1396" i="10"/>
  <c r="G1395" i="10"/>
  <c r="F1394" i="10"/>
  <c r="E1403" i="10"/>
  <c r="G1402" i="10"/>
  <c r="F1406" i="10"/>
  <c r="E1405" i="10"/>
  <c r="D1404" i="10"/>
  <c r="G1409" i="10"/>
  <c r="F1408" i="10"/>
  <c r="E1407" i="10"/>
  <c r="R1408" i="10"/>
  <c r="R1400" i="10"/>
  <c r="J1431" i="10"/>
  <c r="I1431" i="10"/>
  <c r="H1430" i="10"/>
  <c r="G1429" i="10"/>
  <c r="F1428" i="10"/>
  <c r="E1427" i="10"/>
  <c r="D1426" i="10"/>
  <c r="C1425" i="10"/>
  <c r="P1395" i="10"/>
  <c r="L1395" i="10"/>
  <c r="O1394" i="10"/>
  <c r="N1398" i="10"/>
  <c r="M1397" i="10"/>
  <c r="P1396" i="10"/>
  <c r="L1396" i="10"/>
  <c r="N1400" i="10"/>
  <c r="Q1399" i="10"/>
  <c r="P1404" i="10"/>
  <c r="Q1407" i="10"/>
  <c r="P1406" i="10"/>
  <c r="Q1409" i="10"/>
  <c r="P1408" i="10"/>
  <c r="J1568" i="10"/>
  <c r="J1558" i="10"/>
  <c r="G1559" i="10"/>
  <c r="J1388" i="10"/>
  <c r="J1384" i="10"/>
  <c r="J1380" i="10"/>
  <c r="J1376" i="10"/>
  <c r="J1372" i="10"/>
  <c r="R1375" i="10"/>
  <c r="R1383" i="10"/>
  <c r="R1388" i="10"/>
  <c r="F1372" i="10"/>
  <c r="I1373" i="10"/>
  <c r="E1373" i="10"/>
  <c r="H1374" i="10"/>
  <c r="D1374" i="10"/>
  <c r="G1375" i="10"/>
  <c r="F1376" i="10"/>
  <c r="I1377" i="10"/>
  <c r="E1377" i="10"/>
  <c r="H1378" i="10"/>
  <c r="D1378" i="10"/>
  <c r="F1380" i="10"/>
  <c r="I1381" i="10"/>
  <c r="E1381" i="10"/>
  <c r="G1382" i="10"/>
  <c r="F1385" i="10"/>
  <c r="I1384" i="10"/>
  <c r="E1384" i="10"/>
  <c r="H1387" i="10"/>
  <c r="D1387" i="10"/>
  <c r="G1386" i="10"/>
  <c r="F1388" i="10"/>
  <c r="R1385" i="10"/>
  <c r="J1407" i="10"/>
  <c r="J1403" i="10"/>
  <c r="J1399" i="10"/>
  <c r="J1395" i="10"/>
  <c r="G1400" i="10"/>
  <c r="F1399" i="10"/>
  <c r="I1398" i="10"/>
  <c r="E1398" i="10"/>
  <c r="H1397" i="10"/>
  <c r="D1397" i="10"/>
  <c r="G1396" i="10"/>
  <c r="F1395" i="10"/>
  <c r="I1394" i="10"/>
  <c r="E1394" i="10"/>
  <c r="H1403" i="10"/>
  <c r="D1403" i="10"/>
  <c r="F1402" i="10"/>
  <c r="I1406" i="10"/>
  <c r="E1406" i="10"/>
  <c r="H1405" i="10"/>
  <c r="D1405" i="10"/>
  <c r="G1404" i="10"/>
  <c r="F1409" i="10"/>
  <c r="I1408" i="10"/>
  <c r="E1408" i="10"/>
  <c r="H1407" i="10"/>
  <c r="D1407" i="10"/>
  <c r="G1410" i="10"/>
  <c r="R1407" i="10"/>
  <c r="R1403" i="10"/>
  <c r="R1399" i="10"/>
  <c r="R1395" i="10"/>
  <c r="J1430" i="10"/>
  <c r="J1426" i="10"/>
  <c r="J1422" i="10"/>
  <c r="J1418" i="10"/>
  <c r="H1422" i="10"/>
  <c r="D1422" i="10"/>
  <c r="G1421" i="10"/>
  <c r="F1420" i="10"/>
  <c r="I1419" i="10"/>
  <c r="E1419" i="10"/>
  <c r="H1418" i="10"/>
  <c r="D1418" i="10"/>
  <c r="G1417" i="10"/>
  <c r="I1432" i="10"/>
  <c r="E1432" i="10"/>
  <c r="H1431" i="10"/>
  <c r="D1431" i="10"/>
  <c r="G1430" i="10"/>
  <c r="C1430" i="10"/>
  <c r="F1429" i="10"/>
  <c r="I1428" i="10"/>
  <c r="E1428" i="10"/>
  <c r="H1427" i="10"/>
  <c r="D1427" i="10"/>
  <c r="G1426" i="10"/>
  <c r="C1426" i="10"/>
  <c r="F1425" i="10"/>
  <c r="I1424" i="10"/>
  <c r="E1424" i="10"/>
  <c r="O1395" i="10"/>
  <c r="N1394" i="10"/>
  <c r="Q1398" i="10"/>
  <c r="M1398" i="10"/>
  <c r="P1397" i="10"/>
  <c r="L1397" i="10"/>
  <c r="O1396" i="10"/>
  <c r="Q1400" i="10"/>
  <c r="M1400" i="10"/>
  <c r="P1399" i="10"/>
  <c r="L1399" i="10"/>
  <c r="O1404" i="10"/>
  <c r="N1403" i="10"/>
  <c r="Q1402" i="10"/>
  <c r="M1402" i="10"/>
  <c r="P1407" i="10"/>
  <c r="L1407" i="10"/>
  <c r="O1406" i="10"/>
  <c r="N1405" i="10"/>
  <c r="Q1410" i="10"/>
  <c r="M1410" i="10"/>
  <c r="P1409" i="10"/>
  <c r="L1409" i="10"/>
  <c r="O1408" i="10"/>
  <c r="J1567" i="10"/>
  <c r="J1557" i="10"/>
  <c r="I1556" i="10"/>
  <c r="E1556" i="10"/>
  <c r="H1555" i="10"/>
  <c r="D1555" i="10"/>
  <c r="G1554" i="10"/>
  <c r="F1559" i="10"/>
  <c r="I1558" i="10"/>
  <c r="E1558" i="10"/>
  <c r="H1557" i="10"/>
  <c r="D1557" i="10"/>
  <c r="G1563" i="10"/>
  <c r="H1560" i="10"/>
  <c r="D1560" i="10"/>
  <c r="I1566" i="10"/>
  <c r="E1566" i="10"/>
  <c r="H1565" i="10"/>
  <c r="D1565" i="10"/>
  <c r="G1564" i="10"/>
  <c r="F1570" i="10"/>
  <c r="I1569" i="10"/>
  <c r="E1569" i="10"/>
  <c r="H1568" i="10"/>
  <c r="D1568" i="10"/>
  <c r="G1567" i="10"/>
  <c r="R1567" i="10"/>
  <c r="R1563" i="10"/>
  <c r="R1559" i="10"/>
  <c r="R1555" i="10"/>
  <c r="O1556" i="10"/>
  <c r="N1555" i="10"/>
  <c r="Q1554" i="10"/>
  <c r="M1554" i="10"/>
  <c r="P1559" i="10"/>
  <c r="L1559" i="10"/>
  <c r="O1558" i="10"/>
  <c r="N1557" i="10"/>
  <c r="Q1563" i="10"/>
  <c r="M1563" i="10"/>
  <c r="N1560" i="10"/>
  <c r="Q1566" i="10"/>
  <c r="M1566" i="10"/>
  <c r="P1565" i="10"/>
  <c r="L1565" i="10"/>
  <c r="O1564" i="10"/>
  <c r="N1569" i="10"/>
  <c r="Q1568" i="10"/>
  <c r="M1568" i="10"/>
  <c r="P1567" i="10"/>
  <c r="L1567" i="10"/>
  <c r="O1570" i="10"/>
  <c r="J1589" i="10"/>
  <c r="J1585" i="10"/>
  <c r="J1581" i="10"/>
  <c r="J1577" i="10"/>
  <c r="G1582" i="10"/>
  <c r="C1582" i="10"/>
  <c r="F1581" i="10"/>
  <c r="I1580" i="10"/>
  <c r="E1580" i="10"/>
  <c r="H1579" i="10"/>
  <c r="D1579" i="10"/>
  <c r="G1578" i="10"/>
  <c r="C1578" i="10"/>
  <c r="F1577" i="10"/>
  <c r="I1576" i="10"/>
  <c r="E1576" i="10"/>
  <c r="H1587" i="10"/>
  <c r="D1587" i="10"/>
  <c r="G1586" i="10"/>
  <c r="C1586" i="10"/>
  <c r="F1585" i="10"/>
  <c r="I1584" i="10"/>
  <c r="E1584" i="10"/>
  <c r="G1592" i="10"/>
  <c r="C1592" i="10"/>
  <c r="F1591" i="10"/>
  <c r="I1590" i="10"/>
  <c r="E1590" i="10"/>
  <c r="H1589" i="10"/>
  <c r="D1589" i="10"/>
  <c r="G1588" i="10"/>
  <c r="C1588" i="10"/>
  <c r="R1589" i="10"/>
  <c r="R1585" i="10"/>
  <c r="R1581" i="10"/>
  <c r="R1577" i="10"/>
  <c r="O1592" i="10"/>
  <c r="K1592" i="10"/>
  <c r="N1591" i="10"/>
  <c r="Q1590" i="10"/>
  <c r="M1590" i="10"/>
  <c r="P1589" i="10"/>
  <c r="L1589" i="10"/>
  <c r="O1588" i="10"/>
  <c r="K1588" i="10"/>
  <c r="N1587" i="10"/>
  <c r="Q1586" i="10"/>
  <c r="M1586" i="10"/>
  <c r="P1585" i="10"/>
  <c r="L1585" i="10"/>
  <c r="O1584" i="10"/>
  <c r="K1584" i="10"/>
  <c r="Q1582" i="10"/>
  <c r="M1582" i="10"/>
  <c r="P1581" i="10"/>
  <c r="L1581" i="10"/>
  <c r="O1580" i="10"/>
  <c r="K1580" i="10"/>
  <c r="N1579" i="10"/>
  <c r="Q1578" i="10"/>
  <c r="M1578" i="10"/>
  <c r="P1577" i="10"/>
  <c r="L1577" i="10"/>
  <c r="O1576" i="10"/>
  <c r="K1576" i="10"/>
  <c r="J1708" i="10"/>
  <c r="J1704" i="10"/>
  <c r="J1700" i="10"/>
  <c r="J1696" i="10"/>
  <c r="G1703" i="10"/>
  <c r="I1701" i="10"/>
  <c r="E1701" i="10"/>
  <c r="H1700" i="10"/>
  <c r="D1700" i="10"/>
  <c r="G1699" i="10"/>
  <c r="F1698" i="10"/>
  <c r="I1697" i="10"/>
  <c r="E1697" i="10"/>
  <c r="H1696" i="10"/>
  <c r="D1696" i="10"/>
  <c r="G1695" i="10"/>
  <c r="F1711" i="10"/>
  <c r="I1710" i="10"/>
  <c r="E1710" i="10"/>
  <c r="H1709" i="10"/>
  <c r="D1709" i="10"/>
  <c r="G1708" i="10"/>
  <c r="F1707" i="10"/>
  <c r="I1706" i="10"/>
  <c r="E1706" i="10"/>
  <c r="H1705" i="10"/>
  <c r="D1705" i="10"/>
  <c r="G1704" i="10"/>
  <c r="R1699" i="10"/>
  <c r="R1695" i="10"/>
  <c r="N1697" i="10"/>
  <c r="Q1696" i="10"/>
  <c r="M1696" i="10"/>
  <c r="P1695" i="10"/>
  <c r="L1695" i="10"/>
  <c r="O1700" i="10"/>
  <c r="N1699" i="10"/>
  <c r="Q1698" i="10"/>
  <c r="M1698" i="10"/>
  <c r="N1701" i="10"/>
  <c r="R1704" i="10"/>
  <c r="N1707" i="10"/>
  <c r="Q1706" i="10"/>
  <c r="M1706" i="10"/>
  <c r="P1705" i="10"/>
  <c r="L1705" i="10"/>
  <c r="O1704" i="10"/>
  <c r="N1709" i="10"/>
  <c r="Q1708" i="10"/>
  <c r="M1708" i="10"/>
  <c r="P1710" i="10"/>
  <c r="L1710" i="10"/>
  <c r="O1711" i="10"/>
  <c r="J1731" i="10"/>
  <c r="J1727" i="10"/>
  <c r="J1723" i="10"/>
  <c r="J1719" i="10"/>
  <c r="G1723" i="10"/>
  <c r="F1722" i="10"/>
  <c r="I1721" i="10"/>
  <c r="E1721" i="10"/>
  <c r="H1720" i="10"/>
  <c r="D1720" i="10"/>
  <c r="G1719" i="10"/>
  <c r="F1718" i="10"/>
  <c r="I1729" i="10"/>
  <c r="E1729" i="10"/>
  <c r="H1728" i="10"/>
  <c r="D1728" i="10"/>
  <c r="G1727" i="10"/>
  <c r="F1726" i="10"/>
  <c r="H1724" i="10"/>
  <c r="D1724" i="10"/>
  <c r="G1734" i="10"/>
  <c r="F1733" i="10"/>
  <c r="I1732" i="10"/>
  <c r="E1732" i="10"/>
  <c r="H1731" i="10"/>
  <c r="D1731" i="10"/>
  <c r="G1730" i="10"/>
  <c r="R1721" i="10"/>
  <c r="R1729" i="10"/>
  <c r="R1733" i="10"/>
  <c r="O1734" i="10"/>
  <c r="N1733" i="10"/>
  <c r="Q1732" i="10"/>
  <c r="M1732" i="10"/>
  <c r="P1731" i="10"/>
  <c r="L1731" i="10"/>
  <c r="O1730" i="10"/>
  <c r="N1729" i="10"/>
  <c r="Q1728" i="10"/>
  <c r="M1728" i="10"/>
  <c r="P1727" i="10"/>
  <c r="L1727" i="10"/>
  <c r="O1726" i="10"/>
  <c r="Q1724" i="10"/>
  <c r="M1724" i="10"/>
  <c r="P1723" i="10"/>
  <c r="L1723" i="10"/>
  <c r="O1722" i="10"/>
  <c r="N1721" i="10"/>
  <c r="Q1720" i="10"/>
  <c r="M1720" i="10"/>
  <c r="P1719" i="10"/>
  <c r="L1719" i="10"/>
  <c r="O1718" i="10"/>
  <c r="J1900" i="10"/>
  <c r="J1896" i="10"/>
  <c r="J1892" i="10"/>
  <c r="J1888" i="10"/>
  <c r="G1892" i="10"/>
  <c r="F1891" i="10"/>
  <c r="I1890" i="10"/>
  <c r="E1890" i="10"/>
  <c r="H1889" i="10"/>
  <c r="D1889" i="10"/>
  <c r="G1888" i="10"/>
  <c r="F1887" i="10"/>
  <c r="I1898" i="10"/>
  <c r="E1898" i="10"/>
  <c r="H1897" i="10"/>
  <c r="D1897" i="10"/>
  <c r="G1896" i="10"/>
  <c r="F1895" i="10"/>
  <c r="H1893" i="10"/>
  <c r="D1893" i="10"/>
  <c r="G1901" i="10"/>
  <c r="F1900" i="10"/>
  <c r="I1899" i="10"/>
  <c r="E1899" i="10"/>
  <c r="H1903" i="10"/>
  <c r="D1903" i="10"/>
  <c r="G1902" i="10"/>
  <c r="R1900" i="10"/>
  <c r="R1896" i="10"/>
  <c r="R1892" i="10"/>
  <c r="R1888" i="10"/>
  <c r="O1889" i="10"/>
  <c r="N1888" i="10"/>
  <c r="Q1887" i="10"/>
  <c r="M1887" i="10"/>
  <c r="P1892" i="10"/>
  <c r="L1892" i="10"/>
  <c r="O1891" i="10"/>
  <c r="N1890" i="10"/>
  <c r="Q1893" i="10"/>
  <c r="M1893" i="10"/>
  <c r="O1895" i="10"/>
  <c r="N1898" i="10"/>
  <c r="Q1897" i="10"/>
  <c r="M1897" i="10"/>
  <c r="P1896" i="10"/>
  <c r="L1896" i="10"/>
  <c r="O1900" i="10"/>
  <c r="N1899" i="10"/>
  <c r="Q1902" i="10"/>
  <c r="M1902" i="10"/>
  <c r="P1901" i="10"/>
  <c r="L1901" i="10"/>
  <c r="O1903" i="10"/>
  <c r="J1923" i="10"/>
  <c r="J1919" i="10"/>
  <c r="J1915" i="10"/>
  <c r="J1911" i="10"/>
  <c r="G1912" i="10"/>
  <c r="F1911" i="10"/>
  <c r="I1910" i="10"/>
  <c r="E1910" i="10"/>
  <c r="H1915" i="10"/>
  <c r="D1915" i="10"/>
  <c r="G1914" i="10"/>
  <c r="F1913" i="10"/>
  <c r="I1920" i="10"/>
  <c r="E1920" i="10"/>
  <c r="H1919" i="10"/>
  <c r="D1919" i="10"/>
  <c r="G1918" i="10"/>
  <c r="I1916" i="10"/>
  <c r="E1916" i="10"/>
  <c r="H1922" i="10"/>
  <c r="D1922" i="10"/>
  <c r="G1921" i="10"/>
  <c r="F1926" i="10"/>
  <c r="I1925" i="10"/>
  <c r="E1925" i="10"/>
  <c r="H1924" i="10"/>
  <c r="D1924" i="10"/>
  <c r="G1923" i="10"/>
  <c r="R1923" i="10"/>
  <c r="R1919" i="10"/>
  <c r="R1911" i="10"/>
  <c r="O1912" i="10"/>
  <c r="N1911" i="10"/>
  <c r="Q1910" i="10"/>
  <c r="M1910" i="10"/>
  <c r="P1918" i="10"/>
  <c r="L1918" i="10"/>
  <c r="N1916" i="10"/>
  <c r="Q1915" i="10"/>
  <c r="M1915" i="10"/>
  <c r="P1914" i="10"/>
  <c r="L1914" i="10"/>
  <c r="O1913" i="10"/>
  <c r="N1923" i="10"/>
  <c r="Q1922" i="10"/>
  <c r="M1922" i="10"/>
  <c r="P1921" i="10"/>
  <c r="L1921" i="10"/>
  <c r="O1920" i="10"/>
  <c r="N1919" i="10"/>
  <c r="Q1926" i="10"/>
  <c r="M1926" i="10"/>
  <c r="P1925" i="10"/>
  <c r="L1925" i="10"/>
  <c r="O1924" i="10"/>
  <c r="G1401" i="10"/>
  <c r="M1401" i="10"/>
  <c r="N1561" i="10"/>
  <c r="I1379" i="10"/>
  <c r="R1401" i="10"/>
  <c r="L1401" i="10"/>
  <c r="F1583" i="10"/>
  <c r="P1583" i="10"/>
  <c r="L1583" i="10"/>
  <c r="J1702" i="10"/>
  <c r="J1917" i="10"/>
  <c r="F1379" i="10"/>
  <c r="Q1401" i="10"/>
  <c r="H1561" i="10"/>
  <c r="G1583" i="10"/>
  <c r="E1379" i="10"/>
  <c r="Q1561" i="10"/>
  <c r="H1379" i="10"/>
  <c r="D1379" i="10"/>
  <c r="I1401" i="10"/>
  <c r="E1401" i="10"/>
  <c r="O1401" i="10"/>
  <c r="F1561" i="10"/>
  <c r="P1561" i="10"/>
  <c r="L1561" i="10"/>
  <c r="I1583" i="10"/>
  <c r="E1583" i="10"/>
  <c r="O1583" i="10"/>
  <c r="K1583" i="10"/>
  <c r="J1379" i="10"/>
  <c r="C1423" i="10"/>
  <c r="D1561" i="10"/>
  <c r="C1583" i="10"/>
  <c r="Q1583" i="10"/>
  <c r="M1583" i="10"/>
  <c r="J1401" i="10"/>
  <c r="F1401" i="10"/>
  <c r="P1401" i="10"/>
  <c r="G1561" i="10"/>
  <c r="R1561" i="10"/>
  <c r="M1561" i="10"/>
  <c r="J1583" i="10"/>
  <c r="R1583" i="10"/>
  <c r="R1379" i="10"/>
  <c r="G1379" i="10"/>
  <c r="H1401" i="10"/>
  <c r="D1401" i="10"/>
  <c r="N1401" i="10"/>
  <c r="J1561" i="10"/>
  <c r="I1561" i="10"/>
  <c r="E1561" i="10"/>
  <c r="O1561" i="10"/>
  <c r="H1583" i="10"/>
  <c r="D1583" i="10"/>
  <c r="N1583" i="10"/>
  <c r="F1702" i="10"/>
  <c r="O1702" i="10"/>
  <c r="I1725" i="10"/>
  <c r="E1725" i="10"/>
  <c r="R1725" i="10"/>
  <c r="N1725" i="10"/>
  <c r="I1894" i="10"/>
  <c r="E1894" i="10"/>
  <c r="P1894" i="10"/>
  <c r="L1894" i="10"/>
  <c r="F1917" i="10"/>
  <c r="O1917" i="10"/>
  <c r="K844" i="10"/>
  <c r="L844" i="10"/>
  <c r="M844" i="10"/>
  <c r="N844" i="10"/>
  <c r="O844" i="10"/>
  <c r="P844" i="10"/>
  <c r="Q844" i="10"/>
  <c r="K845" i="10"/>
  <c r="L845" i="10"/>
  <c r="M845" i="10"/>
  <c r="N845" i="10"/>
  <c r="O845" i="10"/>
  <c r="P845" i="10"/>
  <c r="Q845" i="10"/>
  <c r="K846" i="10"/>
  <c r="L846" i="10"/>
  <c r="M846" i="10"/>
  <c r="N846" i="10"/>
  <c r="O846" i="10"/>
  <c r="P846" i="10"/>
  <c r="Q846" i="10"/>
  <c r="K842" i="10"/>
  <c r="L842" i="10"/>
  <c r="M842" i="10"/>
  <c r="N842" i="10"/>
  <c r="O842" i="10"/>
  <c r="P842" i="10"/>
  <c r="Q842" i="10"/>
  <c r="K843" i="10"/>
  <c r="L843" i="10"/>
  <c r="M843" i="10"/>
  <c r="N843" i="10"/>
  <c r="O843" i="10"/>
  <c r="P843" i="10"/>
  <c r="Q843" i="10"/>
  <c r="K840" i="10"/>
  <c r="L840" i="10"/>
  <c r="M840" i="10"/>
  <c r="N840" i="10"/>
  <c r="O840" i="10"/>
  <c r="P840" i="10"/>
  <c r="Q840" i="10"/>
  <c r="K841" i="10"/>
  <c r="L841" i="10"/>
  <c r="M841" i="10"/>
  <c r="N841" i="10"/>
  <c r="O841" i="10"/>
  <c r="P841" i="10"/>
  <c r="Q841" i="10"/>
  <c r="K838" i="10"/>
  <c r="L838" i="10"/>
  <c r="M838" i="10"/>
  <c r="N838" i="10"/>
  <c r="O838" i="10"/>
  <c r="P838" i="10"/>
  <c r="Q838" i="10"/>
  <c r="K839" i="10"/>
  <c r="L839" i="10"/>
  <c r="M839" i="10"/>
  <c r="N839" i="10"/>
  <c r="O839" i="10"/>
  <c r="P839" i="10"/>
  <c r="Q839" i="10"/>
  <c r="K836" i="10"/>
  <c r="L836" i="10"/>
  <c r="M836" i="10"/>
  <c r="N836" i="10"/>
  <c r="O836" i="10"/>
  <c r="P836" i="10"/>
  <c r="Q836" i="10"/>
  <c r="K834" i="10"/>
  <c r="L834" i="10"/>
  <c r="M834" i="10"/>
  <c r="N834" i="10"/>
  <c r="O834" i="10"/>
  <c r="P834" i="10"/>
  <c r="Q834" i="10"/>
  <c r="K835" i="10"/>
  <c r="L835" i="10"/>
  <c r="M835" i="10"/>
  <c r="N835" i="10"/>
  <c r="O835" i="10"/>
  <c r="P835" i="10"/>
  <c r="Q835" i="10"/>
  <c r="K832" i="10"/>
  <c r="L832" i="10"/>
  <c r="M832" i="10"/>
  <c r="N832" i="10"/>
  <c r="O832" i="10"/>
  <c r="P832" i="10"/>
  <c r="Q832" i="10"/>
  <c r="K833" i="10"/>
  <c r="L833" i="10"/>
  <c r="M833" i="10"/>
  <c r="N833" i="10"/>
  <c r="O833" i="10"/>
  <c r="P833" i="10"/>
  <c r="Q833" i="10"/>
  <c r="K830" i="10"/>
  <c r="L830" i="10"/>
  <c r="M830" i="10"/>
  <c r="N830" i="10"/>
  <c r="O830" i="10"/>
  <c r="P830" i="10"/>
  <c r="Q830" i="10"/>
  <c r="K831" i="10"/>
  <c r="L831" i="10"/>
  <c r="M831" i="10"/>
  <c r="N831" i="10"/>
  <c r="O831" i="10"/>
  <c r="P831" i="10"/>
  <c r="Q831" i="10"/>
  <c r="R830" i="10"/>
  <c r="R831" i="10"/>
  <c r="R832" i="10"/>
  <c r="R833" i="10"/>
  <c r="R834" i="10"/>
  <c r="R836" i="10"/>
  <c r="R838" i="10"/>
  <c r="R839" i="10"/>
  <c r="R840" i="10"/>
  <c r="R841" i="10"/>
  <c r="R842" i="10"/>
  <c r="R843" i="10"/>
  <c r="R844" i="10"/>
  <c r="R845" i="10"/>
  <c r="R846" i="10"/>
  <c r="K824" i="10"/>
  <c r="L824" i="10"/>
  <c r="M824" i="10"/>
  <c r="N824" i="10"/>
  <c r="O824" i="10"/>
  <c r="P824" i="10"/>
  <c r="Q824" i="10"/>
  <c r="K823" i="10"/>
  <c r="L823" i="10"/>
  <c r="M823" i="10"/>
  <c r="N823" i="10"/>
  <c r="O823" i="10"/>
  <c r="P823" i="10"/>
  <c r="Q823" i="10"/>
  <c r="K822" i="10"/>
  <c r="L822" i="10"/>
  <c r="M822" i="10"/>
  <c r="N822" i="10"/>
  <c r="O822" i="10"/>
  <c r="P822" i="10"/>
  <c r="Q822" i="10"/>
  <c r="K821" i="10"/>
  <c r="L821" i="10"/>
  <c r="M821" i="10"/>
  <c r="N821" i="10"/>
  <c r="O821" i="10"/>
  <c r="P821" i="10"/>
  <c r="Q821" i="10"/>
  <c r="K820" i="10"/>
  <c r="L820" i="10"/>
  <c r="M820" i="10"/>
  <c r="N820" i="10"/>
  <c r="O820" i="10"/>
  <c r="P820" i="10"/>
  <c r="Q820" i="10"/>
  <c r="K819" i="10"/>
  <c r="L819" i="10"/>
  <c r="M819" i="10"/>
  <c r="N819" i="10"/>
  <c r="O819" i="10"/>
  <c r="P819" i="10"/>
  <c r="Q819" i="10"/>
  <c r="K818" i="10"/>
  <c r="L818" i="10"/>
  <c r="M818" i="10"/>
  <c r="N818" i="10"/>
  <c r="O818" i="10"/>
  <c r="P818" i="10"/>
  <c r="Q818" i="10"/>
  <c r="K817" i="10"/>
  <c r="L817" i="10"/>
  <c r="M817" i="10"/>
  <c r="N817" i="10"/>
  <c r="O817" i="10"/>
  <c r="P817" i="10"/>
  <c r="Q817" i="10"/>
  <c r="K816" i="10"/>
  <c r="L816" i="10"/>
  <c r="M816" i="10"/>
  <c r="N816" i="10"/>
  <c r="O816" i="10"/>
  <c r="P816" i="10"/>
  <c r="Q816" i="10"/>
  <c r="K814" i="10"/>
  <c r="L814" i="10"/>
  <c r="M814" i="10"/>
  <c r="N814" i="10"/>
  <c r="O814" i="10"/>
  <c r="P814" i="10"/>
  <c r="Q814" i="10"/>
  <c r="K813" i="10"/>
  <c r="L813" i="10"/>
  <c r="M813" i="10"/>
  <c r="N813" i="10"/>
  <c r="O813" i="10"/>
  <c r="P813" i="10"/>
  <c r="Q813" i="10"/>
  <c r="K812" i="10"/>
  <c r="L812" i="10"/>
  <c r="M812" i="10"/>
  <c r="N812" i="10"/>
  <c r="O812" i="10"/>
  <c r="P812" i="10"/>
  <c r="Q812" i="10"/>
  <c r="K811" i="10"/>
  <c r="L811" i="10"/>
  <c r="M811" i="10"/>
  <c r="N811" i="10"/>
  <c r="O811" i="10"/>
  <c r="P811" i="10"/>
  <c r="Q811" i="10"/>
  <c r="K810" i="10"/>
  <c r="L810" i="10"/>
  <c r="M810" i="10"/>
  <c r="N810" i="10"/>
  <c r="O810" i="10"/>
  <c r="P810" i="10"/>
  <c r="Q810" i="10"/>
  <c r="K809" i="10"/>
  <c r="L809" i="10"/>
  <c r="M809" i="10"/>
  <c r="N809" i="10"/>
  <c r="O809" i="10"/>
  <c r="P809" i="10"/>
  <c r="Q809" i="10"/>
  <c r="K808" i="10"/>
  <c r="L808" i="10"/>
  <c r="M808" i="10"/>
  <c r="N808" i="10"/>
  <c r="O808" i="10"/>
  <c r="P808" i="10"/>
  <c r="Q808" i="10"/>
  <c r="C824" i="10"/>
  <c r="D824" i="10"/>
  <c r="E824" i="10"/>
  <c r="F824" i="10"/>
  <c r="G824" i="10"/>
  <c r="H824" i="10"/>
  <c r="I824" i="10"/>
  <c r="C823" i="10"/>
  <c r="D823" i="10"/>
  <c r="E823" i="10"/>
  <c r="F823" i="10"/>
  <c r="G823" i="10"/>
  <c r="H823" i="10"/>
  <c r="I823" i="10"/>
  <c r="C822" i="10"/>
  <c r="D822" i="10"/>
  <c r="E822" i="10"/>
  <c r="F822" i="10"/>
  <c r="G822" i="10"/>
  <c r="H822" i="10"/>
  <c r="I822" i="10"/>
  <c r="C820" i="10"/>
  <c r="D820" i="10"/>
  <c r="E820" i="10"/>
  <c r="F820" i="10"/>
  <c r="G820" i="10"/>
  <c r="H820" i="10"/>
  <c r="I820" i="10"/>
  <c r="C819" i="10"/>
  <c r="D819" i="10"/>
  <c r="E819" i="10"/>
  <c r="F819" i="10"/>
  <c r="G819" i="10"/>
  <c r="H819" i="10"/>
  <c r="I819" i="10"/>
  <c r="C818" i="10"/>
  <c r="D818" i="10"/>
  <c r="E818" i="10"/>
  <c r="F818" i="10"/>
  <c r="G818" i="10"/>
  <c r="H818" i="10"/>
  <c r="I818" i="10"/>
  <c r="C817" i="10"/>
  <c r="C814" i="10"/>
  <c r="D814" i="10"/>
  <c r="E814" i="10"/>
  <c r="F814" i="10"/>
  <c r="G814" i="10"/>
  <c r="H814" i="10"/>
  <c r="I814" i="10"/>
  <c r="C813" i="10"/>
  <c r="D813" i="10"/>
  <c r="E813" i="10"/>
  <c r="F813" i="10"/>
  <c r="G813" i="10"/>
  <c r="H813" i="10"/>
  <c r="I813" i="10"/>
  <c r="C812" i="10"/>
  <c r="D812" i="10"/>
  <c r="E812" i="10"/>
  <c r="F812" i="10"/>
  <c r="G812" i="10"/>
  <c r="H812" i="10"/>
  <c r="I812" i="10"/>
  <c r="C811" i="10"/>
  <c r="D811" i="10"/>
  <c r="E811" i="10"/>
  <c r="F811" i="10"/>
  <c r="G811" i="10"/>
  <c r="H811" i="10"/>
  <c r="I811" i="10"/>
  <c r="C810" i="10"/>
  <c r="D810" i="10"/>
  <c r="E810" i="10"/>
  <c r="F810" i="10"/>
  <c r="G810" i="10"/>
  <c r="H810" i="10"/>
  <c r="I810" i="10"/>
  <c r="C808" i="10"/>
  <c r="D808" i="10"/>
  <c r="E808" i="10"/>
  <c r="F808" i="10"/>
  <c r="G808" i="10"/>
  <c r="H808" i="10"/>
  <c r="I808" i="10"/>
  <c r="R808" i="10"/>
  <c r="R809" i="10"/>
  <c r="R810" i="10"/>
  <c r="R811" i="10"/>
  <c r="R812" i="10"/>
  <c r="R814" i="10"/>
  <c r="R816" i="10"/>
  <c r="R817" i="10"/>
  <c r="R818" i="10"/>
  <c r="R819" i="10"/>
  <c r="R820" i="10"/>
  <c r="R821" i="10"/>
  <c r="R822" i="10"/>
  <c r="R823" i="10"/>
  <c r="R824" i="10"/>
  <c r="J808" i="10"/>
  <c r="J810" i="10"/>
  <c r="J811" i="10"/>
  <c r="J812" i="10"/>
  <c r="J814" i="10"/>
  <c r="J818" i="10"/>
  <c r="J819" i="10"/>
  <c r="J820" i="10"/>
  <c r="J822" i="10"/>
  <c r="J823" i="10"/>
  <c r="J824" i="10"/>
  <c r="K786" i="10"/>
  <c r="L786" i="10"/>
  <c r="M786" i="10"/>
  <c r="N786" i="10"/>
  <c r="O786" i="10"/>
  <c r="P786" i="10"/>
  <c r="Q786" i="10"/>
  <c r="K787" i="10"/>
  <c r="L787" i="10"/>
  <c r="M787" i="10"/>
  <c r="N787" i="10"/>
  <c r="O787" i="10"/>
  <c r="P787" i="10"/>
  <c r="Q787" i="10"/>
  <c r="K788" i="10"/>
  <c r="L788" i="10"/>
  <c r="M788" i="10"/>
  <c r="N788" i="10"/>
  <c r="O788" i="10"/>
  <c r="P788" i="10"/>
  <c r="Q788" i="10"/>
  <c r="K789" i="10"/>
  <c r="L789" i="10"/>
  <c r="M789" i="10"/>
  <c r="N789" i="10"/>
  <c r="O789" i="10"/>
  <c r="P789" i="10"/>
  <c r="Q789" i="10"/>
  <c r="K790" i="10"/>
  <c r="L790" i="10"/>
  <c r="M790" i="10"/>
  <c r="N790" i="10"/>
  <c r="O790" i="10"/>
  <c r="P790" i="10"/>
  <c r="Q790" i="10"/>
  <c r="K791" i="10"/>
  <c r="L791" i="10"/>
  <c r="M791" i="10"/>
  <c r="N791" i="10"/>
  <c r="O791" i="10"/>
  <c r="P791" i="10"/>
  <c r="Q791" i="10"/>
  <c r="K792" i="10"/>
  <c r="L792" i="10"/>
  <c r="M792" i="10"/>
  <c r="N792" i="10"/>
  <c r="O792" i="10"/>
  <c r="P792" i="10"/>
  <c r="Q792" i="10"/>
  <c r="K794" i="10"/>
  <c r="L794" i="10"/>
  <c r="M794" i="10"/>
  <c r="N794" i="10"/>
  <c r="O794" i="10"/>
  <c r="P794" i="10"/>
  <c r="Q794" i="10"/>
  <c r="K795" i="10"/>
  <c r="L795" i="10"/>
  <c r="M795" i="10"/>
  <c r="N795" i="10"/>
  <c r="O795" i="10"/>
  <c r="P795" i="10"/>
  <c r="Q795" i="10"/>
  <c r="K796" i="10"/>
  <c r="L796" i="10"/>
  <c r="M796" i="10"/>
  <c r="N796" i="10"/>
  <c r="O796" i="10"/>
  <c r="P796" i="10"/>
  <c r="Q796" i="10"/>
  <c r="K797" i="10"/>
  <c r="L797" i="10"/>
  <c r="M797" i="10"/>
  <c r="N797" i="10"/>
  <c r="O797" i="10"/>
  <c r="P797" i="10"/>
  <c r="Q797" i="10"/>
  <c r="K798" i="10"/>
  <c r="L798" i="10"/>
  <c r="M798" i="10"/>
  <c r="N798" i="10"/>
  <c r="O798" i="10"/>
  <c r="P798" i="10"/>
  <c r="Q798" i="10"/>
  <c r="K799" i="10"/>
  <c r="L799" i="10"/>
  <c r="M799" i="10"/>
  <c r="N799" i="10"/>
  <c r="O799" i="10"/>
  <c r="P799" i="10"/>
  <c r="Q799" i="10"/>
  <c r="K800" i="10"/>
  <c r="L800" i="10"/>
  <c r="M800" i="10"/>
  <c r="N800" i="10"/>
  <c r="O800" i="10"/>
  <c r="P800" i="10"/>
  <c r="Q800" i="10"/>
  <c r="K801" i="10"/>
  <c r="L801" i="10"/>
  <c r="M801" i="10"/>
  <c r="N801" i="10"/>
  <c r="O801" i="10"/>
  <c r="P801" i="10"/>
  <c r="Q801" i="10"/>
  <c r="K802" i="10"/>
  <c r="L802" i="10"/>
  <c r="M802" i="10"/>
  <c r="N802" i="10"/>
  <c r="O802" i="10"/>
  <c r="P802" i="10"/>
  <c r="Q802" i="10"/>
  <c r="R786" i="10"/>
  <c r="R787" i="10"/>
  <c r="R788" i="10"/>
  <c r="R789" i="10"/>
  <c r="R790" i="10"/>
  <c r="R792" i="10"/>
  <c r="R794" i="10"/>
  <c r="R795" i="10"/>
  <c r="R796" i="10"/>
  <c r="R797" i="10"/>
  <c r="R798" i="10"/>
  <c r="R799" i="10"/>
  <c r="R800" i="10"/>
  <c r="R801" i="10"/>
  <c r="R802" i="10"/>
  <c r="K764" i="10"/>
  <c r="L764" i="10"/>
  <c r="M764" i="10"/>
  <c r="N764" i="10"/>
  <c r="O764" i="10"/>
  <c r="P764" i="10"/>
  <c r="Q764" i="10"/>
  <c r="K765" i="10"/>
  <c r="L765" i="10"/>
  <c r="M765" i="10"/>
  <c r="N765" i="10"/>
  <c r="O765" i="10"/>
  <c r="P765" i="10"/>
  <c r="Q765" i="10"/>
  <c r="K766" i="10"/>
  <c r="L766" i="10"/>
  <c r="M766" i="10"/>
  <c r="N766" i="10"/>
  <c r="O766" i="10"/>
  <c r="P766" i="10"/>
  <c r="Q766" i="10"/>
  <c r="K767" i="10"/>
  <c r="L767" i="10"/>
  <c r="M767" i="10"/>
  <c r="N767" i="10"/>
  <c r="O767" i="10"/>
  <c r="P767" i="10"/>
  <c r="Q767" i="10"/>
  <c r="K768" i="10"/>
  <c r="L768" i="10"/>
  <c r="M768" i="10"/>
  <c r="N768" i="10"/>
  <c r="O768" i="10"/>
  <c r="P768" i="10"/>
  <c r="Q768" i="10"/>
  <c r="K769" i="10"/>
  <c r="L769" i="10"/>
  <c r="M769" i="10"/>
  <c r="N769" i="10"/>
  <c r="O769" i="10"/>
  <c r="P769" i="10"/>
  <c r="Q769" i="10"/>
  <c r="K770" i="10"/>
  <c r="L770" i="10"/>
  <c r="M770" i="10"/>
  <c r="N770" i="10"/>
  <c r="O770" i="10"/>
  <c r="P770" i="10"/>
  <c r="Q770" i="10"/>
  <c r="R770" i="10"/>
  <c r="R768" i="10"/>
  <c r="R767" i="10"/>
  <c r="R766" i="10"/>
  <c r="R765" i="10"/>
  <c r="R764" i="10"/>
  <c r="C802" i="10"/>
  <c r="D802" i="10"/>
  <c r="E802" i="10"/>
  <c r="F802" i="10"/>
  <c r="G802" i="10"/>
  <c r="H802" i="10"/>
  <c r="I802" i="10"/>
  <c r="C801" i="10"/>
  <c r="D801" i="10"/>
  <c r="E801" i="10"/>
  <c r="F801" i="10"/>
  <c r="G801" i="10"/>
  <c r="H801" i="10"/>
  <c r="I801" i="10"/>
  <c r="C800" i="10"/>
  <c r="D800" i="10"/>
  <c r="E800" i="10"/>
  <c r="F800" i="10"/>
  <c r="G800" i="10"/>
  <c r="H800" i="10"/>
  <c r="I800" i="10"/>
  <c r="C799" i="10"/>
  <c r="D799" i="10"/>
  <c r="E799" i="10"/>
  <c r="F799" i="10"/>
  <c r="G799" i="10"/>
  <c r="H799" i="10"/>
  <c r="I799" i="10"/>
  <c r="C798" i="10"/>
  <c r="D798" i="10"/>
  <c r="E798" i="10"/>
  <c r="F798" i="10"/>
  <c r="G798" i="10"/>
  <c r="H798" i="10"/>
  <c r="I798" i="10"/>
  <c r="C797" i="10"/>
  <c r="C887" i="10" s="1"/>
  <c r="D797" i="10"/>
  <c r="D887" i="10" s="1"/>
  <c r="E797" i="10"/>
  <c r="E887" i="10" s="1"/>
  <c r="F797" i="10"/>
  <c r="F887" i="10" s="1"/>
  <c r="G797" i="10"/>
  <c r="G887" i="10" s="1"/>
  <c r="H797" i="10"/>
  <c r="H887" i="10" s="1"/>
  <c r="I797" i="10"/>
  <c r="I887" i="10" s="1"/>
  <c r="C795" i="10"/>
  <c r="D795" i="10"/>
  <c r="E795" i="10"/>
  <c r="F795" i="10"/>
  <c r="G795" i="10"/>
  <c r="H795" i="10"/>
  <c r="I795" i="10"/>
  <c r="C794" i="10"/>
  <c r="D794" i="10"/>
  <c r="E794" i="10"/>
  <c r="F794" i="10"/>
  <c r="G794" i="10"/>
  <c r="H794" i="10"/>
  <c r="I794" i="10"/>
  <c r="J790" i="10"/>
  <c r="C790" i="10"/>
  <c r="D790" i="10"/>
  <c r="E790" i="10"/>
  <c r="F790" i="10"/>
  <c r="G790" i="10"/>
  <c r="H790" i="10"/>
  <c r="I790" i="10"/>
  <c r="C789" i="10"/>
  <c r="D789" i="10"/>
  <c r="E789" i="10"/>
  <c r="F789" i="10"/>
  <c r="G789" i="10"/>
  <c r="H789" i="10"/>
  <c r="I789" i="10"/>
  <c r="C788" i="10"/>
  <c r="D788" i="10"/>
  <c r="E788" i="10"/>
  <c r="F788" i="10"/>
  <c r="G788" i="10"/>
  <c r="H788" i="10"/>
  <c r="I788" i="10"/>
  <c r="J788" i="10"/>
  <c r="C786" i="10"/>
  <c r="D786" i="10"/>
  <c r="E786" i="10"/>
  <c r="F786" i="10"/>
  <c r="G786" i="10"/>
  <c r="H786" i="10"/>
  <c r="I786" i="10"/>
  <c r="C791" i="10"/>
  <c r="D791" i="10"/>
  <c r="E791" i="10"/>
  <c r="F791" i="10"/>
  <c r="G791" i="10"/>
  <c r="H791" i="10"/>
  <c r="I791" i="10"/>
  <c r="J786" i="10"/>
  <c r="J789" i="10"/>
  <c r="J794" i="10"/>
  <c r="J795" i="10"/>
  <c r="J797" i="10"/>
  <c r="J798" i="10"/>
  <c r="J799" i="10"/>
  <c r="J800" i="10"/>
  <c r="J801" i="10"/>
  <c r="J802" i="10"/>
  <c r="C776" i="10"/>
  <c r="D776" i="10"/>
  <c r="E776" i="10"/>
  <c r="F776" i="10"/>
  <c r="G776" i="10"/>
  <c r="H776" i="10"/>
  <c r="I776" i="10"/>
  <c r="C778" i="10"/>
  <c r="D778" i="10"/>
  <c r="E778" i="10"/>
  <c r="F778" i="10"/>
  <c r="G778" i="10"/>
  <c r="H778" i="10"/>
  <c r="I778" i="10"/>
  <c r="C780" i="10"/>
  <c r="D780" i="10"/>
  <c r="E780" i="10"/>
  <c r="F780" i="10"/>
  <c r="G780" i="10"/>
  <c r="H780" i="10"/>
  <c r="I780" i="10"/>
  <c r="C764" i="10"/>
  <c r="D764" i="10"/>
  <c r="E764" i="10"/>
  <c r="F764" i="10"/>
  <c r="G764" i="10"/>
  <c r="H764" i="10"/>
  <c r="I764" i="10"/>
  <c r="C765" i="10"/>
  <c r="D765" i="10"/>
  <c r="E765" i="10"/>
  <c r="F765" i="10"/>
  <c r="G765" i="10"/>
  <c r="H765" i="10"/>
  <c r="I765" i="10"/>
  <c r="C766" i="10"/>
  <c r="D766" i="10"/>
  <c r="E766" i="10"/>
  <c r="F766" i="10"/>
  <c r="G766" i="10"/>
  <c r="H766" i="10"/>
  <c r="I766" i="10"/>
  <c r="C767" i="10"/>
  <c r="D767" i="10"/>
  <c r="E767" i="10"/>
  <c r="F767" i="10"/>
  <c r="G767" i="10"/>
  <c r="H767" i="10"/>
  <c r="I767" i="10"/>
  <c r="C768" i="10"/>
  <c r="D768" i="10"/>
  <c r="E768" i="10"/>
  <c r="F768" i="10"/>
  <c r="G768" i="10"/>
  <c r="H768" i="10"/>
  <c r="I768" i="10"/>
  <c r="C769" i="10"/>
  <c r="D769" i="10"/>
  <c r="E769" i="10"/>
  <c r="F769" i="10"/>
  <c r="G769" i="10"/>
  <c r="H769" i="10"/>
  <c r="I769" i="10"/>
  <c r="C773" i="10"/>
  <c r="J764" i="10"/>
  <c r="J765" i="10"/>
  <c r="J766" i="10"/>
  <c r="J767" i="10"/>
  <c r="J768" i="10"/>
  <c r="J775" i="10"/>
  <c r="J776" i="10"/>
  <c r="J778" i="10"/>
  <c r="J780" i="10"/>
  <c r="D710" i="10"/>
  <c r="E710" i="10"/>
  <c r="F710" i="10"/>
  <c r="G710" i="10"/>
  <c r="H710" i="10"/>
  <c r="I710" i="10"/>
  <c r="D712" i="10"/>
  <c r="E712" i="10"/>
  <c r="F712" i="10"/>
  <c r="G712" i="10"/>
  <c r="H712" i="10"/>
  <c r="I712" i="10"/>
  <c r="D698" i="10"/>
  <c r="E698" i="10"/>
  <c r="F698" i="10"/>
  <c r="G698" i="10"/>
  <c r="H698" i="10"/>
  <c r="I698" i="10"/>
  <c r="D699" i="10"/>
  <c r="E699" i="10"/>
  <c r="F699" i="10"/>
  <c r="G699" i="10"/>
  <c r="H699" i="10"/>
  <c r="I699" i="10"/>
  <c r="D701" i="10"/>
  <c r="E701" i="10"/>
  <c r="F701" i="10"/>
  <c r="G701" i="10"/>
  <c r="H701" i="10"/>
  <c r="I701" i="10"/>
  <c r="D702" i="10"/>
  <c r="E702" i="10"/>
  <c r="F702" i="10"/>
  <c r="G702" i="10"/>
  <c r="H702" i="10"/>
  <c r="J696" i="10"/>
  <c r="J698" i="10"/>
  <c r="J699" i="10"/>
  <c r="J707" i="10"/>
  <c r="J710" i="10"/>
  <c r="J712" i="10"/>
  <c r="K402" i="10"/>
  <c r="L402" i="10"/>
  <c r="M402" i="10"/>
  <c r="N402" i="10"/>
  <c r="O402" i="10"/>
  <c r="P402" i="10"/>
  <c r="Q402" i="10"/>
  <c r="K403" i="10"/>
  <c r="L403" i="10"/>
  <c r="M403" i="10"/>
  <c r="N403" i="10"/>
  <c r="O403" i="10"/>
  <c r="P403" i="10"/>
  <c r="Q403" i="10"/>
  <c r="K404" i="10"/>
  <c r="L404" i="10"/>
  <c r="M404" i="10"/>
  <c r="N404" i="10"/>
  <c r="O404" i="10"/>
  <c r="P404" i="10"/>
  <c r="Q404" i="10"/>
  <c r="K405" i="10"/>
  <c r="L405" i="10"/>
  <c r="M405" i="10"/>
  <c r="N405" i="10"/>
  <c r="O405" i="10"/>
  <c r="P405" i="10"/>
  <c r="Q405" i="10"/>
  <c r="K406" i="10"/>
  <c r="L406" i="10"/>
  <c r="M406" i="10"/>
  <c r="N406" i="10"/>
  <c r="O406" i="10"/>
  <c r="P406" i="10"/>
  <c r="Q406" i="10"/>
  <c r="K407" i="10"/>
  <c r="L407" i="10"/>
  <c r="M407" i="10"/>
  <c r="N407" i="10"/>
  <c r="O407" i="10"/>
  <c r="P407" i="10"/>
  <c r="Q407" i="10"/>
  <c r="K408" i="10"/>
  <c r="L408" i="10"/>
  <c r="M408" i="10"/>
  <c r="N408" i="10"/>
  <c r="O408" i="10"/>
  <c r="P408" i="10"/>
  <c r="Q408" i="10"/>
  <c r="K410" i="10"/>
  <c r="M410" i="10"/>
  <c r="Q410" i="10"/>
  <c r="K411" i="10"/>
  <c r="L411" i="10"/>
  <c r="M411" i="10"/>
  <c r="N411" i="10"/>
  <c r="O411" i="10"/>
  <c r="P411" i="10"/>
  <c r="Q411" i="10"/>
  <c r="K412" i="10"/>
  <c r="L412" i="10"/>
  <c r="M412" i="10"/>
  <c r="N412" i="10"/>
  <c r="O412" i="10"/>
  <c r="P412" i="10"/>
  <c r="Q412" i="10"/>
  <c r="K413" i="10"/>
  <c r="L413" i="10"/>
  <c r="M413" i="10"/>
  <c r="N413" i="10"/>
  <c r="O413" i="10"/>
  <c r="P413" i="10"/>
  <c r="Q413" i="10"/>
  <c r="K414" i="10"/>
  <c r="L414" i="10"/>
  <c r="M414" i="10"/>
  <c r="N414" i="10"/>
  <c r="O414" i="10"/>
  <c r="P414" i="10"/>
  <c r="Q414" i="10"/>
  <c r="K415" i="10"/>
  <c r="L415" i="10"/>
  <c r="M415" i="10"/>
  <c r="N415" i="10"/>
  <c r="O415" i="10"/>
  <c r="P415" i="10"/>
  <c r="Q415" i="10"/>
  <c r="K416" i="10"/>
  <c r="L416" i="10"/>
  <c r="M416" i="10"/>
  <c r="N416" i="10"/>
  <c r="O416" i="10"/>
  <c r="P416" i="10"/>
  <c r="Q416" i="10"/>
  <c r="K417" i="10"/>
  <c r="L417" i="10"/>
  <c r="M417" i="10"/>
  <c r="N417" i="10"/>
  <c r="O417" i="10"/>
  <c r="P417" i="10"/>
  <c r="Q417" i="10"/>
  <c r="K418" i="10"/>
  <c r="L418" i="10"/>
  <c r="M418" i="10"/>
  <c r="N418" i="10"/>
  <c r="O418" i="10"/>
  <c r="P418" i="10"/>
  <c r="Q418" i="10"/>
  <c r="R418" i="10"/>
  <c r="R417" i="10"/>
  <c r="R416" i="10"/>
  <c r="R415" i="10"/>
  <c r="R414" i="10"/>
  <c r="R413" i="10"/>
  <c r="R412" i="10"/>
  <c r="R411" i="10"/>
  <c r="R410" i="10"/>
  <c r="R408" i="10"/>
  <c r="R407" i="10"/>
  <c r="R406" i="10"/>
  <c r="R405" i="10"/>
  <c r="R404" i="10"/>
  <c r="R403" i="10"/>
  <c r="R402" i="10"/>
  <c r="J418" i="10"/>
  <c r="C403" i="10"/>
  <c r="C1101" i="10" s="1"/>
  <c r="D403" i="10"/>
  <c r="D1101" i="10" s="1"/>
  <c r="E403" i="10"/>
  <c r="E1101" i="10" s="1"/>
  <c r="F403" i="10"/>
  <c r="F1101" i="10" s="1"/>
  <c r="G403" i="10"/>
  <c r="G1101" i="10" s="1"/>
  <c r="H403" i="10"/>
  <c r="H1101" i="10" s="1"/>
  <c r="I403" i="10"/>
  <c r="I1101" i="10" s="1"/>
  <c r="C404" i="10"/>
  <c r="C1102" i="10" s="1"/>
  <c r="D404" i="10"/>
  <c r="D1102" i="10" s="1"/>
  <c r="E404" i="10"/>
  <c r="E1102" i="10" s="1"/>
  <c r="F404" i="10"/>
  <c r="F1102" i="10" s="1"/>
  <c r="G404" i="10"/>
  <c r="G1102" i="10" s="1"/>
  <c r="H404" i="10"/>
  <c r="H1102" i="10" s="1"/>
  <c r="I404" i="10"/>
  <c r="I1102" i="10" s="1"/>
  <c r="C405" i="10"/>
  <c r="C1103" i="10" s="1"/>
  <c r="D405" i="10"/>
  <c r="D1103" i="10" s="1"/>
  <c r="E405" i="10"/>
  <c r="E1103" i="10" s="1"/>
  <c r="F405" i="10"/>
  <c r="F1103" i="10" s="1"/>
  <c r="G405" i="10"/>
  <c r="G1103" i="10" s="1"/>
  <c r="H405" i="10"/>
  <c r="H1103" i="10" s="1"/>
  <c r="I405" i="10"/>
  <c r="I1103" i="10" s="1"/>
  <c r="C406" i="10"/>
  <c r="C1104" i="10" s="1"/>
  <c r="D406" i="10"/>
  <c r="D1104" i="10" s="1"/>
  <c r="E406" i="10"/>
  <c r="E1104" i="10" s="1"/>
  <c r="F406" i="10"/>
  <c r="F1104" i="10" s="1"/>
  <c r="G406" i="10"/>
  <c r="G1104" i="10" s="1"/>
  <c r="H406" i="10"/>
  <c r="H1104" i="10" s="1"/>
  <c r="I406" i="10"/>
  <c r="I1104" i="10" s="1"/>
  <c r="C407" i="10"/>
  <c r="C1105" i="10" s="1"/>
  <c r="D407" i="10"/>
  <c r="D1105" i="10" s="1"/>
  <c r="E407" i="10"/>
  <c r="E1105" i="10" s="1"/>
  <c r="F407" i="10"/>
  <c r="F1105" i="10" s="1"/>
  <c r="G407" i="10"/>
  <c r="G1105" i="10" s="1"/>
  <c r="H407" i="10"/>
  <c r="H1105" i="10" s="1"/>
  <c r="I407" i="10"/>
  <c r="I1105" i="10" s="1"/>
  <c r="C408" i="10"/>
  <c r="C1106" i="10" s="1"/>
  <c r="D408" i="10"/>
  <c r="D1106" i="10" s="1"/>
  <c r="E408" i="10"/>
  <c r="E1106" i="10" s="1"/>
  <c r="F408" i="10"/>
  <c r="F1106" i="10" s="1"/>
  <c r="G408" i="10"/>
  <c r="G1106" i="10" s="1"/>
  <c r="H408" i="10"/>
  <c r="H1106" i="10" s="1"/>
  <c r="I408" i="10"/>
  <c r="I1106" i="10" s="1"/>
  <c r="C410" i="10"/>
  <c r="D410" i="10"/>
  <c r="E410" i="10"/>
  <c r="F410" i="10"/>
  <c r="G410" i="10"/>
  <c r="H410" i="10"/>
  <c r="I410" i="10"/>
  <c r="C411" i="10"/>
  <c r="D411" i="10"/>
  <c r="E411" i="10"/>
  <c r="F411" i="10"/>
  <c r="G411" i="10"/>
  <c r="H411" i="10"/>
  <c r="I411" i="10"/>
  <c r="C412" i="10"/>
  <c r="D412" i="10"/>
  <c r="E412" i="10"/>
  <c r="F412" i="10"/>
  <c r="G412" i="10"/>
  <c r="H412" i="10"/>
  <c r="I412" i="10"/>
  <c r="C413" i="10"/>
  <c r="D413" i="10"/>
  <c r="E413" i="10"/>
  <c r="F413" i="10"/>
  <c r="G413" i="10"/>
  <c r="H413" i="10"/>
  <c r="I413" i="10"/>
  <c r="C414" i="10"/>
  <c r="D414" i="10"/>
  <c r="E414" i="10"/>
  <c r="F414" i="10"/>
  <c r="G414" i="10"/>
  <c r="H414" i="10"/>
  <c r="I414" i="10"/>
  <c r="C415" i="10"/>
  <c r="D415" i="10"/>
  <c r="E415" i="10"/>
  <c r="F415" i="10"/>
  <c r="G415" i="10"/>
  <c r="H415" i="10"/>
  <c r="I415" i="10"/>
  <c r="C416" i="10"/>
  <c r="D416" i="10"/>
  <c r="E416" i="10"/>
  <c r="F416" i="10"/>
  <c r="G416" i="10"/>
  <c r="H416" i="10"/>
  <c r="I416" i="10"/>
  <c r="C417" i="10"/>
  <c r="D417" i="10"/>
  <c r="E417" i="10"/>
  <c r="F417" i="10"/>
  <c r="G417" i="10"/>
  <c r="H417" i="10"/>
  <c r="I417" i="10"/>
  <c r="C418" i="10"/>
  <c r="D418" i="10"/>
  <c r="E418" i="10"/>
  <c r="F418" i="10"/>
  <c r="G418" i="10"/>
  <c r="H418" i="10"/>
  <c r="I418" i="10"/>
  <c r="C402" i="10"/>
  <c r="C1100" i="10" s="1"/>
  <c r="D402" i="10"/>
  <c r="D1100" i="10" s="1"/>
  <c r="E402" i="10"/>
  <c r="E1100" i="10" s="1"/>
  <c r="F402" i="10"/>
  <c r="F1100" i="10" s="1"/>
  <c r="G402" i="10"/>
  <c r="G1100" i="10" s="1"/>
  <c r="H402" i="10"/>
  <c r="H1100" i="10" s="1"/>
  <c r="I402" i="10"/>
  <c r="I1100" i="10" s="1"/>
  <c r="J402" i="10"/>
  <c r="J1100" i="10" s="1"/>
  <c r="J403" i="10"/>
  <c r="J1101" i="10" s="1"/>
  <c r="J404" i="10"/>
  <c r="J1102" i="10" s="1"/>
  <c r="J405" i="10"/>
  <c r="J1103" i="10" s="1"/>
  <c r="J406" i="10"/>
  <c r="J1104" i="10" s="1"/>
  <c r="J407" i="10"/>
  <c r="J1105" i="10" s="1"/>
  <c r="J408" i="10"/>
  <c r="J1106" i="10" s="1"/>
  <c r="J410" i="10"/>
  <c r="J411" i="10"/>
  <c r="J412" i="10"/>
  <c r="J413" i="10"/>
  <c r="J414" i="10"/>
  <c r="J415" i="10"/>
  <c r="J416" i="10"/>
  <c r="J417" i="10"/>
  <c r="J380" i="10"/>
  <c r="K396" i="10"/>
  <c r="L396" i="10"/>
  <c r="M396" i="10"/>
  <c r="N396" i="10"/>
  <c r="O396" i="10"/>
  <c r="P396" i="10"/>
  <c r="Q396" i="10"/>
  <c r="K395" i="10"/>
  <c r="L395" i="10"/>
  <c r="M395" i="10"/>
  <c r="N395" i="10"/>
  <c r="O395" i="10"/>
  <c r="P395" i="10"/>
  <c r="Q395" i="10"/>
  <c r="K394" i="10"/>
  <c r="L394" i="10"/>
  <c r="M394" i="10"/>
  <c r="N394" i="10"/>
  <c r="O394" i="10"/>
  <c r="P394" i="10"/>
  <c r="Q394" i="10"/>
  <c r="K393" i="10"/>
  <c r="L393" i="10"/>
  <c r="M393" i="10"/>
  <c r="N393" i="10"/>
  <c r="O393" i="10"/>
  <c r="P393" i="10"/>
  <c r="Q393" i="10"/>
  <c r="K392" i="10"/>
  <c r="L392" i="10"/>
  <c r="M392" i="10"/>
  <c r="N392" i="10"/>
  <c r="O392" i="10"/>
  <c r="P392" i="10"/>
  <c r="Q392" i="10"/>
  <c r="K391" i="10"/>
  <c r="L391" i="10"/>
  <c r="M391" i="10"/>
  <c r="N391" i="10"/>
  <c r="O391" i="10"/>
  <c r="P391" i="10"/>
  <c r="Q391" i="10"/>
  <c r="K390" i="10"/>
  <c r="L390" i="10"/>
  <c r="M390" i="10"/>
  <c r="N390" i="10"/>
  <c r="O390" i="10"/>
  <c r="P390" i="10"/>
  <c r="Q390" i="10"/>
  <c r="K389" i="10"/>
  <c r="L389" i="10"/>
  <c r="M389" i="10"/>
  <c r="N389" i="10"/>
  <c r="O389" i="10"/>
  <c r="P389" i="10"/>
  <c r="Q389" i="10"/>
  <c r="K388" i="10"/>
  <c r="L388" i="10"/>
  <c r="M388" i="10"/>
  <c r="N388" i="10"/>
  <c r="O388" i="10"/>
  <c r="P388" i="10"/>
  <c r="Q388" i="10"/>
  <c r="K386" i="10"/>
  <c r="L386" i="10"/>
  <c r="M386" i="10"/>
  <c r="N386" i="10"/>
  <c r="O386" i="10"/>
  <c r="P386" i="10"/>
  <c r="Q386" i="10"/>
  <c r="K385" i="10"/>
  <c r="L385" i="10"/>
  <c r="M385" i="10"/>
  <c r="N385" i="10"/>
  <c r="O385" i="10"/>
  <c r="P385" i="10"/>
  <c r="Q385" i="10"/>
  <c r="K384" i="10"/>
  <c r="L384" i="10"/>
  <c r="M384" i="10"/>
  <c r="N384" i="10"/>
  <c r="O384" i="10"/>
  <c r="P384" i="10"/>
  <c r="Q384" i="10"/>
  <c r="K383" i="10"/>
  <c r="L383" i="10"/>
  <c r="M383" i="10"/>
  <c r="N383" i="10"/>
  <c r="O383" i="10"/>
  <c r="P383" i="10"/>
  <c r="Q383" i="10"/>
  <c r="K382" i="10"/>
  <c r="L382" i="10"/>
  <c r="M382" i="10"/>
  <c r="N382" i="10"/>
  <c r="O382" i="10"/>
  <c r="P382" i="10"/>
  <c r="Q382" i="10"/>
  <c r="K381" i="10"/>
  <c r="L381" i="10"/>
  <c r="M381" i="10"/>
  <c r="N381" i="10"/>
  <c r="O381" i="10"/>
  <c r="P381" i="10"/>
  <c r="Q381" i="10"/>
  <c r="K380" i="10"/>
  <c r="L380" i="10"/>
  <c r="M380" i="10"/>
  <c r="N380" i="10"/>
  <c r="O380" i="10"/>
  <c r="P380" i="10"/>
  <c r="Q380" i="10"/>
  <c r="R380" i="10"/>
  <c r="R381" i="10"/>
  <c r="R382" i="10"/>
  <c r="R383" i="10"/>
  <c r="R384" i="10"/>
  <c r="R385" i="10"/>
  <c r="R386" i="10"/>
  <c r="R388" i="10"/>
  <c r="R389" i="10"/>
  <c r="R390" i="10"/>
  <c r="R391" i="10"/>
  <c r="R392" i="10"/>
  <c r="R393" i="10"/>
  <c r="R394" i="10"/>
  <c r="R395" i="10"/>
  <c r="R396" i="10"/>
  <c r="C396" i="10"/>
  <c r="D396" i="10"/>
  <c r="E396" i="10"/>
  <c r="F396" i="10"/>
  <c r="G396" i="10"/>
  <c r="H396" i="10"/>
  <c r="I396" i="10"/>
  <c r="C395" i="10"/>
  <c r="D395" i="10"/>
  <c r="E395" i="10"/>
  <c r="F395" i="10"/>
  <c r="G395" i="10"/>
  <c r="H395" i="10"/>
  <c r="I395" i="10"/>
  <c r="C394" i="10"/>
  <c r="D394" i="10"/>
  <c r="E394" i="10"/>
  <c r="F394" i="10"/>
  <c r="G394" i="10"/>
  <c r="H394" i="10"/>
  <c r="I394" i="10"/>
  <c r="C392" i="10"/>
  <c r="D392" i="10"/>
  <c r="E392" i="10"/>
  <c r="F392" i="10"/>
  <c r="G392" i="10"/>
  <c r="H392" i="10"/>
  <c r="I392" i="10"/>
  <c r="C391" i="10"/>
  <c r="D391" i="10"/>
  <c r="E391" i="10"/>
  <c r="F391" i="10"/>
  <c r="G391" i="10"/>
  <c r="H391" i="10"/>
  <c r="I391" i="10"/>
  <c r="C389" i="10"/>
  <c r="C388" i="10"/>
  <c r="C386" i="10"/>
  <c r="D386" i="10"/>
  <c r="E386" i="10"/>
  <c r="F386" i="10"/>
  <c r="G386" i="10"/>
  <c r="H386" i="10"/>
  <c r="I386" i="10"/>
  <c r="C385" i="10"/>
  <c r="D385" i="10"/>
  <c r="E385" i="10"/>
  <c r="F385" i="10"/>
  <c r="G385" i="10"/>
  <c r="H385" i="10"/>
  <c r="I385" i="10"/>
  <c r="C384" i="10"/>
  <c r="D384" i="10"/>
  <c r="E384" i="10"/>
  <c r="F384" i="10"/>
  <c r="G384" i="10"/>
  <c r="H384" i="10"/>
  <c r="I384" i="10"/>
  <c r="C383" i="10"/>
  <c r="D383" i="10"/>
  <c r="E383" i="10"/>
  <c r="F383" i="10"/>
  <c r="H383" i="10"/>
  <c r="I383" i="10"/>
  <c r="C382" i="10"/>
  <c r="D382" i="10"/>
  <c r="E382" i="10"/>
  <c r="F382" i="10"/>
  <c r="G382" i="10"/>
  <c r="H382" i="10"/>
  <c r="I382" i="10"/>
  <c r="C380" i="10"/>
  <c r="D380" i="10"/>
  <c r="E380" i="10"/>
  <c r="F380" i="10"/>
  <c r="G380" i="10"/>
  <c r="H380" i="10"/>
  <c r="I380" i="10"/>
  <c r="J396" i="10"/>
  <c r="J395" i="10"/>
  <c r="J394" i="10"/>
  <c r="J391" i="10"/>
  <c r="J386" i="10"/>
  <c r="J385" i="10"/>
  <c r="J384" i="10"/>
  <c r="J383" i="10"/>
  <c r="J382" i="10"/>
  <c r="K374" i="10"/>
  <c r="L374" i="10"/>
  <c r="M374" i="10"/>
  <c r="N374" i="10"/>
  <c r="O374" i="10"/>
  <c r="P374" i="10"/>
  <c r="Q374" i="10"/>
  <c r="K373" i="10"/>
  <c r="L373" i="10"/>
  <c r="M373" i="10"/>
  <c r="N373" i="10"/>
  <c r="O373" i="10"/>
  <c r="P373" i="10"/>
  <c r="Q373" i="10"/>
  <c r="K372" i="10"/>
  <c r="L372" i="10"/>
  <c r="M372" i="10"/>
  <c r="N372" i="10"/>
  <c r="O372" i="10"/>
  <c r="P372" i="10"/>
  <c r="Q372" i="10"/>
  <c r="K371" i="10"/>
  <c r="L371" i="10"/>
  <c r="M371" i="10"/>
  <c r="N371" i="10"/>
  <c r="O371" i="10"/>
  <c r="P371" i="10"/>
  <c r="Q371" i="10"/>
  <c r="K370" i="10"/>
  <c r="L370" i="10"/>
  <c r="M370" i="10"/>
  <c r="N370" i="10"/>
  <c r="O370" i="10"/>
  <c r="P370" i="10"/>
  <c r="Q370" i="10"/>
  <c r="K369" i="10"/>
  <c r="L369" i="10"/>
  <c r="M369" i="10"/>
  <c r="N369" i="10"/>
  <c r="O369" i="10"/>
  <c r="P369" i="10"/>
  <c r="Q369" i="10"/>
  <c r="K368" i="10"/>
  <c r="L368" i="10"/>
  <c r="M368" i="10"/>
  <c r="N368" i="10"/>
  <c r="O368" i="10"/>
  <c r="P368" i="10"/>
  <c r="Q368" i="10"/>
  <c r="K367" i="10"/>
  <c r="L367" i="10"/>
  <c r="M367" i="10"/>
  <c r="N367" i="10"/>
  <c r="O367" i="10"/>
  <c r="P367" i="10"/>
  <c r="Q367" i="10"/>
  <c r="K366" i="10"/>
  <c r="L366" i="10"/>
  <c r="M366" i="10"/>
  <c r="N366" i="10"/>
  <c r="O366" i="10"/>
  <c r="P366" i="10"/>
  <c r="Q366" i="10"/>
  <c r="K364" i="10"/>
  <c r="L364" i="10"/>
  <c r="M364" i="10"/>
  <c r="N364" i="10"/>
  <c r="O364" i="10"/>
  <c r="P364" i="10"/>
  <c r="Q364" i="10"/>
  <c r="K363" i="10"/>
  <c r="L363" i="10"/>
  <c r="M363" i="10"/>
  <c r="N363" i="10"/>
  <c r="O363" i="10"/>
  <c r="P363" i="10"/>
  <c r="Q363" i="10"/>
  <c r="K362" i="10"/>
  <c r="L362" i="10"/>
  <c r="M362" i="10"/>
  <c r="N362" i="10"/>
  <c r="O362" i="10"/>
  <c r="P362" i="10"/>
  <c r="Q362" i="10"/>
  <c r="K361" i="10"/>
  <c r="L361" i="10"/>
  <c r="M361" i="10"/>
  <c r="N361" i="10"/>
  <c r="O361" i="10"/>
  <c r="P361" i="10"/>
  <c r="Q361" i="10"/>
  <c r="K360" i="10"/>
  <c r="L360" i="10"/>
  <c r="M360" i="10"/>
  <c r="N360" i="10"/>
  <c r="O360" i="10"/>
  <c r="P360" i="10"/>
  <c r="Q360" i="10"/>
  <c r="K359" i="10"/>
  <c r="L359" i="10"/>
  <c r="M359" i="10"/>
  <c r="N359" i="10"/>
  <c r="O359" i="10"/>
  <c r="P359" i="10"/>
  <c r="Q359" i="10"/>
  <c r="K358" i="10"/>
  <c r="L358" i="10"/>
  <c r="M358" i="10"/>
  <c r="N358" i="10"/>
  <c r="O358" i="10"/>
  <c r="P358" i="10"/>
  <c r="Q358" i="10"/>
  <c r="R374" i="10"/>
  <c r="R373" i="10"/>
  <c r="R372" i="10"/>
  <c r="R371" i="10"/>
  <c r="R370" i="10"/>
  <c r="R369" i="10"/>
  <c r="R368" i="10"/>
  <c r="R367" i="10"/>
  <c r="R366" i="10"/>
  <c r="R364" i="10"/>
  <c r="R363" i="10"/>
  <c r="R362" i="10"/>
  <c r="R361" i="10"/>
  <c r="R360" i="10"/>
  <c r="R359" i="10"/>
  <c r="R358" i="10"/>
  <c r="C374" i="10"/>
  <c r="D374" i="10"/>
  <c r="E374" i="10"/>
  <c r="F374" i="10"/>
  <c r="G374" i="10"/>
  <c r="H374" i="10"/>
  <c r="I374" i="10"/>
  <c r="C373" i="10"/>
  <c r="D373" i="10"/>
  <c r="E373" i="10"/>
  <c r="F373" i="10"/>
  <c r="G373" i="10"/>
  <c r="H373" i="10"/>
  <c r="I373" i="10"/>
  <c r="C372" i="10"/>
  <c r="D372" i="10"/>
  <c r="E372" i="10"/>
  <c r="F372" i="10"/>
  <c r="G372" i="10"/>
  <c r="H372" i="10"/>
  <c r="I372" i="10"/>
  <c r="C370" i="10"/>
  <c r="D370" i="10"/>
  <c r="E370" i="10"/>
  <c r="F370" i="10"/>
  <c r="G370" i="10"/>
  <c r="H370" i="10"/>
  <c r="I370" i="10"/>
  <c r="C367" i="10"/>
  <c r="D367" i="10"/>
  <c r="E367" i="10"/>
  <c r="F367" i="10"/>
  <c r="G367" i="10"/>
  <c r="H367" i="10"/>
  <c r="I367" i="10"/>
  <c r="C366" i="10"/>
  <c r="D366" i="10"/>
  <c r="E366" i="10"/>
  <c r="F366" i="10"/>
  <c r="G366" i="10"/>
  <c r="H366" i="10"/>
  <c r="I366" i="10"/>
  <c r="C363" i="10"/>
  <c r="D363" i="10"/>
  <c r="E363" i="10"/>
  <c r="F363" i="10"/>
  <c r="G363" i="10"/>
  <c r="H363" i="10"/>
  <c r="I363" i="10"/>
  <c r="C362" i="10"/>
  <c r="D362" i="10"/>
  <c r="E362" i="10"/>
  <c r="F362" i="10"/>
  <c r="G362" i="10"/>
  <c r="H362" i="10"/>
  <c r="I362" i="10"/>
  <c r="C361" i="10"/>
  <c r="D361" i="10"/>
  <c r="E361" i="10"/>
  <c r="F361" i="10"/>
  <c r="G361" i="10"/>
  <c r="H361" i="10"/>
  <c r="I361" i="10"/>
  <c r="C360" i="10"/>
  <c r="D360" i="10"/>
  <c r="E360" i="10"/>
  <c r="F360" i="10"/>
  <c r="G360" i="10"/>
  <c r="H360" i="10"/>
  <c r="I360" i="10"/>
  <c r="C358" i="10"/>
  <c r="D358" i="10"/>
  <c r="E358" i="10"/>
  <c r="F358" i="10"/>
  <c r="G358" i="10"/>
  <c r="H358" i="10"/>
  <c r="I358" i="10"/>
  <c r="J358" i="10"/>
  <c r="J360" i="10"/>
  <c r="J361" i="10"/>
  <c r="J362" i="10"/>
  <c r="J363" i="10"/>
  <c r="J364" i="10"/>
  <c r="J366" i="10"/>
  <c r="J367" i="10"/>
  <c r="J370" i="10"/>
  <c r="J372" i="10"/>
  <c r="J373" i="10"/>
  <c r="J374" i="10"/>
  <c r="K352" i="10"/>
  <c r="L352" i="10"/>
  <c r="M352" i="10"/>
  <c r="N352" i="10"/>
  <c r="O352" i="10"/>
  <c r="P352" i="10"/>
  <c r="Q352" i="10"/>
  <c r="K351" i="10"/>
  <c r="L351" i="10"/>
  <c r="M351" i="10"/>
  <c r="N351" i="10"/>
  <c r="O351" i="10"/>
  <c r="P351" i="10"/>
  <c r="Q351" i="10"/>
  <c r="R351" i="10"/>
  <c r="K350" i="10"/>
  <c r="L350" i="10"/>
  <c r="M350" i="10"/>
  <c r="N350" i="10"/>
  <c r="O350" i="10"/>
  <c r="P350" i="10"/>
  <c r="Q350" i="10"/>
  <c r="K349" i="10"/>
  <c r="L349" i="10"/>
  <c r="M349" i="10"/>
  <c r="N349" i="10"/>
  <c r="O349" i="10"/>
  <c r="P349" i="10"/>
  <c r="Q349" i="10"/>
  <c r="K348" i="10"/>
  <c r="L348" i="10"/>
  <c r="M348" i="10"/>
  <c r="N348" i="10"/>
  <c r="O348" i="10"/>
  <c r="P348" i="10"/>
  <c r="Q348" i="10"/>
  <c r="K347" i="10"/>
  <c r="L347" i="10"/>
  <c r="M347" i="10"/>
  <c r="N347" i="10"/>
  <c r="O347" i="10"/>
  <c r="P347" i="10"/>
  <c r="Q347" i="10"/>
  <c r="K346" i="10"/>
  <c r="L346" i="10"/>
  <c r="M346" i="10"/>
  <c r="N346" i="10"/>
  <c r="O346" i="10"/>
  <c r="P346" i="10"/>
  <c r="Q346" i="10"/>
  <c r="R346" i="10"/>
  <c r="K345" i="10"/>
  <c r="L345" i="10"/>
  <c r="M345" i="10"/>
  <c r="N345" i="10"/>
  <c r="O345" i="10"/>
  <c r="P345" i="10"/>
  <c r="Q345" i="10"/>
  <c r="R345" i="10"/>
  <c r="K344" i="10"/>
  <c r="L344" i="10"/>
  <c r="M344" i="10"/>
  <c r="N344" i="10"/>
  <c r="O344" i="10"/>
  <c r="P344" i="10"/>
  <c r="Q344" i="10"/>
  <c r="R344" i="10"/>
  <c r="K342" i="10"/>
  <c r="L342" i="10"/>
  <c r="M342" i="10"/>
  <c r="N342" i="10"/>
  <c r="O342" i="10"/>
  <c r="P342" i="10"/>
  <c r="Q342" i="10"/>
  <c r="K341" i="10"/>
  <c r="L341" i="10"/>
  <c r="M341" i="10"/>
  <c r="N341" i="10"/>
  <c r="O341" i="10"/>
  <c r="P341" i="10"/>
  <c r="Q341" i="10"/>
  <c r="K340" i="10"/>
  <c r="L340" i="10"/>
  <c r="M340" i="10"/>
  <c r="N340" i="10"/>
  <c r="O340" i="10"/>
  <c r="P340" i="10"/>
  <c r="Q340" i="10"/>
  <c r="K339" i="10"/>
  <c r="L339" i="10"/>
  <c r="M339" i="10"/>
  <c r="N339" i="10"/>
  <c r="O339" i="10"/>
  <c r="P339" i="10"/>
  <c r="Q339" i="10"/>
  <c r="K336" i="10"/>
  <c r="L336" i="10"/>
  <c r="M336" i="10"/>
  <c r="N336" i="10"/>
  <c r="O336" i="10"/>
  <c r="P336" i="10"/>
  <c r="Q336" i="10"/>
  <c r="K337" i="10"/>
  <c r="L337" i="10"/>
  <c r="M337" i="10"/>
  <c r="N337" i="10"/>
  <c r="O337" i="10"/>
  <c r="P337" i="10"/>
  <c r="Q337" i="10"/>
  <c r="K338" i="10"/>
  <c r="L338" i="10"/>
  <c r="M338" i="10"/>
  <c r="N338" i="10"/>
  <c r="O338" i="10"/>
  <c r="P338" i="10"/>
  <c r="Q338" i="10"/>
  <c r="R338" i="10"/>
  <c r="R336" i="10"/>
  <c r="R337" i="10"/>
  <c r="R339" i="10"/>
  <c r="R340" i="10"/>
  <c r="R341" i="10"/>
  <c r="R342" i="10"/>
  <c r="R347" i="10"/>
  <c r="R348" i="10"/>
  <c r="R349" i="10"/>
  <c r="R350" i="10"/>
  <c r="R352" i="10"/>
  <c r="C352" i="10"/>
  <c r="D352" i="10"/>
  <c r="E352" i="10"/>
  <c r="F352" i="10"/>
  <c r="G352" i="10"/>
  <c r="H352" i="10"/>
  <c r="I352" i="10"/>
  <c r="C351" i="10"/>
  <c r="D351" i="10"/>
  <c r="E351" i="10"/>
  <c r="F351" i="10"/>
  <c r="G351" i="10"/>
  <c r="H351" i="10"/>
  <c r="I351" i="10"/>
  <c r="J351" i="10"/>
  <c r="C350" i="10"/>
  <c r="D350" i="10"/>
  <c r="E350" i="10"/>
  <c r="F350" i="10"/>
  <c r="G350" i="10"/>
  <c r="H350" i="10"/>
  <c r="I350" i="10"/>
  <c r="C348" i="10"/>
  <c r="D348" i="10"/>
  <c r="E348" i="10"/>
  <c r="F348" i="10"/>
  <c r="G348" i="10"/>
  <c r="H348" i="10"/>
  <c r="I348" i="10"/>
  <c r="C345" i="10"/>
  <c r="C342" i="10"/>
  <c r="D342" i="10"/>
  <c r="E342" i="10"/>
  <c r="C341" i="10"/>
  <c r="D341" i="10"/>
  <c r="E341" i="10"/>
  <c r="F341" i="10"/>
  <c r="G341" i="10"/>
  <c r="H341" i="10"/>
  <c r="I341" i="10"/>
  <c r="C340" i="10"/>
  <c r="D340" i="10"/>
  <c r="E340" i="10"/>
  <c r="F340" i="10"/>
  <c r="G340" i="10"/>
  <c r="H340" i="10"/>
  <c r="I340" i="10"/>
  <c r="C339" i="10"/>
  <c r="D339" i="10"/>
  <c r="E339" i="10"/>
  <c r="F339" i="10"/>
  <c r="G339" i="10"/>
  <c r="H339" i="10"/>
  <c r="I339" i="10"/>
  <c r="C338" i="10"/>
  <c r="D338" i="10"/>
  <c r="E338" i="10"/>
  <c r="F338" i="10"/>
  <c r="G338" i="10"/>
  <c r="H338" i="10"/>
  <c r="I338" i="10"/>
  <c r="C337" i="10"/>
  <c r="D337" i="10"/>
  <c r="E337" i="10"/>
  <c r="F337" i="10"/>
  <c r="G337" i="10"/>
  <c r="H337" i="10"/>
  <c r="I337" i="10"/>
  <c r="C336" i="10"/>
  <c r="D336" i="10"/>
  <c r="E336" i="10"/>
  <c r="F336" i="10"/>
  <c r="G336" i="10"/>
  <c r="H336" i="10"/>
  <c r="I336" i="10"/>
  <c r="J352" i="10"/>
  <c r="J350" i="10"/>
  <c r="J348" i="10"/>
  <c r="J347" i="10"/>
  <c r="J341" i="10"/>
  <c r="J340" i="10"/>
  <c r="J339" i="10"/>
  <c r="J338" i="10"/>
  <c r="J337" i="10"/>
  <c r="J336" i="10"/>
  <c r="C306" i="10"/>
  <c r="D306" i="10"/>
  <c r="E306" i="10"/>
  <c r="F306" i="10"/>
  <c r="G306" i="10"/>
  <c r="H306" i="10"/>
  <c r="I306" i="10"/>
  <c r="D304" i="10"/>
  <c r="E304" i="10"/>
  <c r="F304" i="10"/>
  <c r="G304" i="10"/>
  <c r="H304" i="10"/>
  <c r="I304" i="10"/>
  <c r="C299" i="10"/>
  <c r="C295" i="10"/>
  <c r="D295" i="10"/>
  <c r="E295" i="10"/>
  <c r="F295" i="10"/>
  <c r="G295" i="10"/>
  <c r="H295" i="10"/>
  <c r="I295" i="10"/>
  <c r="C293" i="10"/>
  <c r="D293" i="10"/>
  <c r="E293" i="10"/>
  <c r="F293" i="10"/>
  <c r="G293" i="10"/>
  <c r="H293" i="10"/>
  <c r="I293" i="10"/>
  <c r="C292" i="10"/>
  <c r="D292" i="10"/>
  <c r="E292" i="10"/>
  <c r="F292" i="10"/>
  <c r="G292" i="10"/>
  <c r="H292" i="10"/>
  <c r="I292" i="10"/>
  <c r="J292" i="10"/>
  <c r="J306" i="10"/>
  <c r="J302" i="10"/>
  <c r="R302" i="10" s="1"/>
  <c r="J295" i="10"/>
  <c r="J294" i="10"/>
  <c r="J293" i="10"/>
  <c r="C256" i="10"/>
  <c r="D256" i="10"/>
  <c r="E256" i="10"/>
  <c r="F256" i="10"/>
  <c r="G256" i="10"/>
  <c r="H256" i="10"/>
  <c r="I256" i="10"/>
  <c r="J256" i="10"/>
  <c r="C260" i="10"/>
  <c r="D260" i="10"/>
  <c r="E260" i="10"/>
  <c r="F260" i="10"/>
  <c r="G260" i="10"/>
  <c r="H260" i="10"/>
  <c r="I260" i="10"/>
  <c r="C259" i="10"/>
  <c r="D259" i="10"/>
  <c r="E259" i="10"/>
  <c r="F259" i="10"/>
  <c r="G259" i="10"/>
  <c r="H259" i="10"/>
  <c r="I259" i="10"/>
  <c r="C258" i="10"/>
  <c r="D258" i="10"/>
  <c r="E258" i="10"/>
  <c r="F258" i="10"/>
  <c r="G258" i="10"/>
  <c r="H258" i="10"/>
  <c r="I258" i="10"/>
  <c r="C257" i="10"/>
  <c r="D257" i="10"/>
  <c r="E257" i="10"/>
  <c r="F257" i="10"/>
  <c r="G257" i="10"/>
  <c r="H257" i="10"/>
  <c r="I257" i="10"/>
  <c r="C255" i="10"/>
  <c r="D255" i="10"/>
  <c r="E255" i="10"/>
  <c r="F255" i="10"/>
  <c r="G255" i="10"/>
  <c r="H255" i="10"/>
  <c r="I255" i="10"/>
  <c r="C254" i="10"/>
  <c r="D254" i="10"/>
  <c r="E254" i="10"/>
  <c r="F254" i="10"/>
  <c r="G254" i="10"/>
  <c r="H254" i="10"/>
  <c r="I254" i="10"/>
  <c r="C253" i="10"/>
  <c r="D253" i="10"/>
  <c r="E253" i="10"/>
  <c r="F253" i="10"/>
  <c r="G253" i="10"/>
  <c r="H253" i="10"/>
  <c r="I253" i="10"/>
  <c r="G252" i="10"/>
  <c r="H252" i="10"/>
  <c r="I252" i="10"/>
  <c r="C250" i="10"/>
  <c r="D250" i="10"/>
  <c r="E250" i="10"/>
  <c r="F250" i="10"/>
  <c r="G250" i="10"/>
  <c r="H250" i="10"/>
  <c r="I250" i="10"/>
  <c r="C249" i="10"/>
  <c r="D249" i="10"/>
  <c r="E249" i="10"/>
  <c r="F249" i="10"/>
  <c r="G249" i="10"/>
  <c r="H249" i="10"/>
  <c r="I249" i="10"/>
  <c r="C248" i="10"/>
  <c r="D248" i="10"/>
  <c r="E248" i="10"/>
  <c r="F248" i="10"/>
  <c r="G248" i="10"/>
  <c r="H248" i="10"/>
  <c r="I248" i="10"/>
  <c r="C247" i="10"/>
  <c r="D247" i="10"/>
  <c r="E247" i="10"/>
  <c r="F247" i="10"/>
  <c r="G247" i="10"/>
  <c r="H247" i="10"/>
  <c r="I247" i="10"/>
  <c r="C246" i="10"/>
  <c r="D246" i="10"/>
  <c r="E246" i="10"/>
  <c r="F246" i="10"/>
  <c r="G246" i="10"/>
  <c r="H246" i="10"/>
  <c r="I246" i="10"/>
  <c r="C245" i="10"/>
  <c r="D245" i="10"/>
  <c r="E245" i="10"/>
  <c r="F245" i="10"/>
  <c r="G245" i="10"/>
  <c r="H245" i="10"/>
  <c r="I245" i="10"/>
  <c r="C244" i="10"/>
  <c r="D244" i="10"/>
  <c r="E244" i="10"/>
  <c r="F244" i="10"/>
  <c r="G244" i="10"/>
  <c r="H244" i="10"/>
  <c r="I244" i="10"/>
  <c r="J260" i="10"/>
  <c r="J259" i="10"/>
  <c r="J258" i="10"/>
  <c r="J257" i="10"/>
  <c r="J255" i="10"/>
  <c r="J254" i="10"/>
  <c r="J253" i="10"/>
  <c r="J252" i="10"/>
  <c r="J250" i="10"/>
  <c r="J248" i="10"/>
  <c r="J247" i="10"/>
  <c r="J246" i="10"/>
  <c r="J245" i="10"/>
  <c r="J244" i="10"/>
  <c r="C237" i="10"/>
  <c r="D237" i="10"/>
  <c r="E237" i="10"/>
  <c r="F237" i="10"/>
  <c r="G237" i="10"/>
  <c r="H237" i="10"/>
  <c r="I237" i="10"/>
  <c r="C236" i="10"/>
  <c r="D236" i="10"/>
  <c r="E236" i="10"/>
  <c r="F236" i="10"/>
  <c r="G236" i="10"/>
  <c r="H236" i="10"/>
  <c r="I236" i="10"/>
  <c r="C235" i="10"/>
  <c r="D235" i="10"/>
  <c r="E235" i="10"/>
  <c r="F235" i="10"/>
  <c r="G235" i="10"/>
  <c r="H235" i="10"/>
  <c r="I235" i="10"/>
  <c r="C234" i="10"/>
  <c r="D234" i="10"/>
  <c r="E234" i="10"/>
  <c r="F234" i="10"/>
  <c r="G234" i="10"/>
  <c r="H234" i="10"/>
  <c r="I234" i="10"/>
  <c r="C233" i="10"/>
  <c r="D233" i="10"/>
  <c r="E233" i="10"/>
  <c r="F233" i="10"/>
  <c r="G233" i="10"/>
  <c r="H233" i="10"/>
  <c r="I233" i="10"/>
  <c r="C232" i="10"/>
  <c r="D232" i="10"/>
  <c r="E232" i="10"/>
  <c r="F232" i="10"/>
  <c r="G232" i="10"/>
  <c r="H232" i="10"/>
  <c r="I232" i="10"/>
  <c r="C231" i="10"/>
  <c r="D231" i="10"/>
  <c r="E231" i="10"/>
  <c r="F231" i="10"/>
  <c r="G231" i="10"/>
  <c r="H231" i="10"/>
  <c r="I231" i="10"/>
  <c r="C230" i="10"/>
  <c r="D230" i="10"/>
  <c r="E230" i="10"/>
  <c r="F230" i="10"/>
  <c r="G230" i="10"/>
  <c r="H230" i="10"/>
  <c r="I230" i="10"/>
  <c r="C229" i="10"/>
  <c r="D229" i="10"/>
  <c r="E229" i="10"/>
  <c r="F229" i="10"/>
  <c r="G229" i="10"/>
  <c r="H229" i="10"/>
  <c r="I229" i="10"/>
  <c r="D227" i="10"/>
  <c r="E227" i="10"/>
  <c r="F227" i="10"/>
  <c r="G227" i="10"/>
  <c r="H227" i="10"/>
  <c r="I227" i="10"/>
  <c r="C226" i="10"/>
  <c r="D226" i="10"/>
  <c r="E226" i="10"/>
  <c r="F226" i="10"/>
  <c r="G226" i="10"/>
  <c r="H226" i="10"/>
  <c r="I226" i="10"/>
  <c r="C225" i="10"/>
  <c r="D225" i="10"/>
  <c r="E225" i="10"/>
  <c r="F225" i="10"/>
  <c r="G225" i="10"/>
  <c r="H225" i="10"/>
  <c r="I225" i="10"/>
  <c r="J224" i="10"/>
  <c r="C224" i="10"/>
  <c r="D224" i="10"/>
  <c r="E224" i="10"/>
  <c r="F224" i="10"/>
  <c r="G224" i="10"/>
  <c r="H224" i="10"/>
  <c r="I224" i="10"/>
  <c r="C223" i="10"/>
  <c r="D223" i="10"/>
  <c r="E223" i="10"/>
  <c r="F223" i="10"/>
  <c r="G223" i="10"/>
  <c r="H223" i="10"/>
  <c r="I223" i="10"/>
  <c r="C222" i="10"/>
  <c r="D222" i="10"/>
  <c r="E222" i="10"/>
  <c r="F222" i="10"/>
  <c r="G222" i="10"/>
  <c r="H222" i="10"/>
  <c r="I222" i="10"/>
  <c r="C221" i="10"/>
  <c r="D221" i="10"/>
  <c r="E221" i="10"/>
  <c r="F221" i="10"/>
  <c r="G221" i="10"/>
  <c r="H221" i="10"/>
  <c r="I221" i="10"/>
  <c r="J887" i="10" l="1"/>
  <c r="L328" i="10"/>
  <c r="P323" i="10"/>
  <c r="L323" i="10"/>
  <c r="O324" i="10"/>
  <c r="K324" i="10"/>
  <c r="K742" i="10"/>
  <c r="K746" i="10"/>
  <c r="O751" i="10"/>
  <c r="K751" i="10"/>
  <c r="K756" i="10"/>
  <c r="P314" i="10"/>
  <c r="L314" i="10"/>
  <c r="O315" i="10"/>
  <c r="K315" i="10"/>
  <c r="C721" i="10"/>
  <c r="Q317" i="10"/>
  <c r="M317" i="10"/>
  <c r="O323" i="10"/>
  <c r="K323" i="10"/>
  <c r="N324" i="10"/>
  <c r="K745" i="10"/>
  <c r="N751" i="10"/>
  <c r="O314" i="10"/>
  <c r="K314" i="10"/>
  <c r="C720" i="10"/>
  <c r="N315" i="10"/>
  <c r="P317" i="10"/>
  <c r="L317" i="10"/>
  <c r="N323" i="10"/>
  <c r="Q324" i="10"/>
  <c r="M324" i="10"/>
  <c r="K749" i="10"/>
  <c r="Q751" i="10"/>
  <c r="M751" i="10"/>
  <c r="N314" i="10"/>
  <c r="Q315" i="10"/>
  <c r="M315" i="10"/>
  <c r="Q323" i="10"/>
  <c r="M323" i="10"/>
  <c r="P324" i="10"/>
  <c r="L324" i="10"/>
  <c r="K743" i="10"/>
  <c r="P751" i="10"/>
  <c r="L751" i="10"/>
  <c r="R315" i="10"/>
  <c r="R306" i="10"/>
  <c r="Q314" i="10"/>
  <c r="M314" i="10"/>
  <c r="P315" i="10"/>
  <c r="L315" i="10"/>
  <c r="N317" i="10"/>
  <c r="O317" i="10"/>
  <c r="K317" i="10"/>
  <c r="C723" i="10"/>
  <c r="N326" i="10"/>
  <c r="Q328" i="10"/>
  <c r="M328" i="10"/>
  <c r="J517" i="10"/>
  <c r="J521" i="10"/>
  <c r="J431" i="10"/>
  <c r="J530" i="10"/>
  <c r="G516" i="10"/>
  <c r="F517" i="10"/>
  <c r="I428" i="10"/>
  <c r="I518" i="10"/>
  <c r="E428" i="10"/>
  <c r="E518" i="10"/>
  <c r="H519" i="10"/>
  <c r="H429" i="10"/>
  <c r="D429" i="10"/>
  <c r="D519" i="10"/>
  <c r="G520" i="10"/>
  <c r="F521" i="10"/>
  <c r="F431" i="10"/>
  <c r="E522" i="10"/>
  <c r="F528" i="10"/>
  <c r="F438" i="10"/>
  <c r="H440" i="10"/>
  <c r="H530" i="10"/>
  <c r="D530" i="10"/>
  <c r="D440" i="10"/>
  <c r="H531" i="10"/>
  <c r="D531" i="10"/>
  <c r="G532" i="10"/>
  <c r="G442" i="10"/>
  <c r="C442" i="10"/>
  <c r="R528" i="10"/>
  <c r="R438" i="10"/>
  <c r="R1046" i="10"/>
  <c r="R521" i="10"/>
  <c r="R431" i="10"/>
  <c r="R516" i="10"/>
  <c r="O518" i="10"/>
  <c r="O428" i="10"/>
  <c r="K428" i="10"/>
  <c r="N517" i="10"/>
  <c r="Q516" i="10"/>
  <c r="M516" i="10"/>
  <c r="P519" i="10"/>
  <c r="P429" i="10"/>
  <c r="L429" i="10"/>
  <c r="L519" i="10"/>
  <c r="O520" i="10"/>
  <c r="N521" i="10"/>
  <c r="N431" i="10"/>
  <c r="Q522" i="10"/>
  <c r="M522" i="10"/>
  <c r="Q524" i="10"/>
  <c r="Q1042" i="10"/>
  <c r="M524" i="10"/>
  <c r="M1042" i="10"/>
  <c r="Q525" i="10"/>
  <c r="Q1043" i="10"/>
  <c r="M525" i="10"/>
  <c r="M1043" i="10"/>
  <c r="Q526" i="10"/>
  <c r="Q1044" i="10"/>
  <c r="M526" i="10"/>
  <c r="M1044" i="10"/>
  <c r="P527" i="10"/>
  <c r="P1045" i="10"/>
  <c r="L527" i="10"/>
  <c r="L1045" i="10"/>
  <c r="O528" i="10"/>
  <c r="O438" i="10"/>
  <c r="O1046" i="10"/>
  <c r="K438" i="10"/>
  <c r="K1046" i="10"/>
  <c r="N529" i="10"/>
  <c r="N1047" i="10"/>
  <c r="Q440" i="10"/>
  <c r="Q530" i="10"/>
  <c r="Q1048" i="10"/>
  <c r="M530" i="10"/>
  <c r="M440" i="10"/>
  <c r="M1048" i="10"/>
  <c r="Q531" i="10"/>
  <c r="Q1049" i="10"/>
  <c r="M531" i="10"/>
  <c r="M1049" i="10"/>
  <c r="P532" i="10"/>
  <c r="P442" i="10"/>
  <c r="P1050" i="10"/>
  <c r="L442" i="10"/>
  <c r="L532" i="10"/>
  <c r="L1050" i="10"/>
  <c r="J552" i="10"/>
  <c r="J450" i="10"/>
  <c r="J540" i="10"/>
  <c r="H538" i="10"/>
  <c r="D538" i="10"/>
  <c r="F540" i="10"/>
  <c r="F450" i="10"/>
  <c r="I541" i="10"/>
  <c r="I451" i="10"/>
  <c r="E541" i="10"/>
  <c r="E451" i="10"/>
  <c r="H542" i="10"/>
  <c r="D542" i="10"/>
  <c r="G543" i="10"/>
  <c r="G453" i="10"/>
  <c r="C453" i="10"/>
  <c r="I546" i="10"/>
  <c r="E546" i="10"/>
  <c r="H547" i="10"/>
  <c r="D547" i="10"/>
  <c r="I550" i="10"/>
  <c r="I460" i="10"/>
  <c r="E550" i="10"/>
  <c r="E460" i="10"/>
  <c r="G552" i="10"/>
  <c r="G462" i="10"/>
  <c r="F553" i="10"/>
  <c r="I554" i="10"/>
  <c r="I464" i="10"/>
  <c r="E554" i="10"/>
  <c r="E464" i="10"/>
  <c r="R539" i="10"/>
  <c r="R543" i="10"/>
  <c r="R453" i="10"/>
  <c r="R547" i="10"/>
  <c r="R551" i="10"/>
  <c r="Q538" i="10"/>
  <c r="M538" i="10"/>
  <c r="P539" i="10"/>
  <c r="L539" i="10"/>
  <c r="O540" i="10"/>
  <c r="O450" i="10"/>
  <c r="K450" i="10"/>
  <c r="N541" i="10"/>
  <c r="N451" i="10"/>
  <c r="Q542" i="10"/>
  <c r="M542" i="10"/>
  <c r="P453" i="10"/>
  <c r="P543" i="10"/>
  <c r="L543" i="10"/>
  <c r="L453" i="10"/>
  <c r="O544" i="10"/>
  <c r="N546" i="10"/>
  <c r="Q547" i="10"/>
  <c r="M547" i="10"/>
  <c r="P548" i="10"/>
  <c r="L548" i="10"/>
  <c r="O549" i="10"/>
  <c r="O459" i="10"/>
  <c r="K459" i="10"/>
  <c r="N550" i="10"/>
  <c r="N460" i="10"/>
  <c r="Q551" i="10"/>
  <c r="M551" i="10"/>
  <c r="P462" i="10"/>
  <c r="P552" i="10"/>
  <c r="L552" i="10"/>
  <c r="L462" i="10"/>
  <c r="O553" i="10"/>
  <c r="N554" i="10"/>
  <c r="N464" i="10"/>
  <c r="J565" i="10"/>
  <c r="J475" i="10"/>
  <c r="J575" i="10"/>
  <c r="G560" i="10"/>
  <c r="I472" i="10"/>
  <c r="I562" i="10"/>
  <c r="E472" i="10"/>
  <c r="E562" i="10"/>
  <c r="H473" i="10"/>
  <c r="D473" i="10"/>
  <c r="D563" i="10"/>
  <c r="G564" i="10"/>
  <c r="F565" i="10"/>
  <c r="F475" i="10"/>
  <c r="I566" i="10"/>
  <c r="E566" i="10"/>
  <c r="G571" i="10"/>
  <c r="G481" i="10"/>
  <c r="C481" i="10"/>
  <c r="F572" i="10"/>
  <c r="F482" i="10"/>
  <c r="I574" i="10"/>
  <c r="I484" i="10"/>
  <c r="E574" i="10"/>
  <c r="E484" i="10"/>
  <c r="H575" i="10"/>
  <c r="D575" i="10"/>
  <c r="G486" i="10"/>
  <c r="G576" i="10"/>
  <c r="C486" i="10"/>
  <c r="R573" i="10"/>
  <c r="R569" i="10"/>
  <c r="R565" i="10"/>
  <c r="R475" i="10"/>
  <c r="R561" i="10"/>
  <c r="O560" i="10"/>
  <c r="N561" i="10"/>
  <c r="Q562" i="10"/>
  <c r="Q472" i="10"/>
  <c r="M562" i="10"/>
  <c r="M472" i="10"/>
  <c r="P563" i="10"/>
  <c r="P473" i="10"/>
  <c r="L473" i="10"/>
  <c r="L563" i="10"/>
  <c r="O564" i="10"/>
  <c r="N565" i="10"/>
  <c r="N475" i="10"/>
  <c r="Q566" i="10"/>
  <c r="M566" i="10"/>
  <c r="P568" i="10"/>
  <c r="L568" i="10"/>
  <c r="O569" i="10"/>
  <c r="K479" i="10"/>
  <c r="N570" i="10"/>
  <c r="Q571" i="10"/>
  <c r="Q481" i="10"/>
  <c r="M571" i="10"/>
  <c r="M481" i="10"/>
  <c r="P572" i="10"/>
  <c r="P482" i="10"/>
  <c r="L482" i="10"/>
  <c r="L572" i="10"/>
  <c r="O573" i="10"/>
  <c r="N574" i="10"/>
  <c r="N484" i="10"/>
  <c r="Q575" i="10"/>
  <c r="M575" i="10"/>
  <c r="P576" i="10"/>
  <c r="P486" i="10"/>
  <c r="L576" i="10"/>
  <c r="L486" i="10"/>
  <c r="J1114" i="10"/>
  <c r="J1110" i="10"/>
  <c r="G1116" i="10"/>
  <c r="C1116" i="10"/>
  <c r="F1115" i="10"/>
  <c r="I1114" i="10"/>
  <c r="E1114" i="10"/>
  <c r="H1113" i="10"/>
  <c r="D1113" i="10"/>
  <c r="G1112" i="10"/>
  <c r="C1112" i="10"/>
  <c r="F1111" i="10"/>
  <c r="I1110" i="10"/>
  <c r="E1110" i="10"/>
  <c r="H1109" i="10"/>
  <c r="D1109" i="10"/>
  <c r="G1108" i="10"/>
  <c r="C1108" i="10"/>
  <c r="R583" i="10"/>
  <c r="R497" i="10"/>
  <c r="R587" i="10"/>
  <c r="R591" i="10"/>
  <c r="R595" i="10"/>
  <c r="Q598" i="10"/>
  <c r="Q508" i="10"/>
  <c r="M598" i="10"/>
  <c r="M508" i="10"/>
  <c r="P597" i="10"/>
  <c r="L597" i="10"/>
  <c r="O506" i="10"/>
  <c r="O596" i="10"/>
  <c r="N595" i="10"/>
  <c r="Q504" i="10"/>
  <c r="Q594" i="10"/>
  <c r="M594" i="10"/>
  <c r="M504" i="10"/>
  <c r="P593" i="10"/>
  <c r="P503" i="10"/>
  <c r="L593" i="10"/>
  <c r="L503" i="10"/>
  <c r="O592" i="10"/>
  <c r="N591" i="10"/>
  <c r="O588" i="10"/>
  <c r="N497" i="10"/>
  <c r="N587" i="10"/>
  <c r="Q586" i="10"/>
  <c r="M586" i="10"/>
  <c r="P495" i="10"/>
  <c r="P585" i="10"/>
  <c r="L585" i="10"/>
  <c r="L495" i="10"/>
  <c r="O494" i="10"/>
  <c r="O584" i="10"/>
  <c r="K494" i="10"/>
  <c r="N583" i="10"/>
  <c r="Q582" i="10"/>
  <c r="M582" i="10"/>
  <c r="R754" i="10"/>
  <c r="R710" i="10"/>
  <c r="R868" i="10"/>
  <c r="J934" i="10"/>
  <c r="R740" i="10"/>
  <c r="J920" i="10"/>
  <c r="P746" i="10"/>
  <c r="P702" i="10"/>
  <c r="H926" i="10"/>
  <c r="L746" i="10"/>
  <c r="L702" i="10"/>
  <c r="D926" i="10"/>
  <c r="N745" i="10"/>
  <c r="F723" i="10"/>
  <c r="N701" i="10"/>
  <c r="F925" i="10"/>
  <c r="N743" i="10"/>
  <c r="F721" i="10"/>
  <c r="N699" i="10"/>
  <c r="F923" i="10"/>
  <c r="P742" i="10"/>
  <c r="H720" i="10"/>
  <c r="P698" i="10"/>
  <c r="H922" i="10"/>
  <c r="L698" i="10"/>
  <c r="L742" i="10"/>
  <c r="D720" i="10"/>
  <c r="D922" i="10"/>
  <c r="P756" i="10"/>
  <c r="H734" i="10"/>
  <c r="P712" i="10"/>
  <c r="H936" i="10"/>
  <c r="P870" i="10"/>
  <c r="L756" i="10"/>
  <c r="D734" i="10"/>
  <c r="L712" i="10"/>
  <c r="L870" i="10"/>
  <c r="D936" i="10"/>
  <c r="N754" i="10"/>
  <c r="F732" i="10"/>
  <c r="N710" i="10"/>
  <c r="N868" i="10"/>
  <c r="F934" i="10"/>
  <c r="J1050" i="10"/>
  <c r="J870" i="10"/>
  <c r="J1035" i="10"/>
  <c r="H859" i="10"/>
  <c r="H1039" i="10"/>
  <c r="D1039" i="10"/>
  <c r="D859" i="10"/>
  <c r="G1038" i="10"/>
  <c r="C1038" i="10"/>
  <c r="F1037" i="10"/>
  <c r="F857" i="10"/>
  <c r="I1036" i="10"/>
  <c r="I856" i="10"/>
  <c r="E1036" i="10"/>
  <c r="E856" i="10"/>
  <c r="H1035" i="10"/>
  <c r="D1035" i="10"/>
  <c r="G1034" i="10"/>
  <c r="C1034" i="10"/>
  <c r="F1050" i="10"/>
  <c r="F870" i="10"/>
  <c r="I1048" i="10"/>
  <c r="I868" i="10"/>
  <c r="E1048" i="10"/>
  <c r="E868" i="10"/>
  <c r="H1046" i="10"/>
  <c r="D1046" i="10"/>
  <c r="J1070" i="10"/>
  <c r="J1056" i="10"/>
  <c r="I1056" i="10"/>
  <c r="E1056" i="10"/>
  <c r="H1058" i="10"/>
  <c r="D1058" i="10"/>
  <c r="G1059" i="10"/>
  <c r="C1059" i="10"/>
  <c r="C879" i="10"/>
  <c r="J1060" i="10"/>
  <c r="H1064" i="10"/>
  <c r="D1064" i="10"/>
  <c r="G1065" i="10"/>
  <c r="C1065" i="10"/>
  <c r="C885" i="10"/>
  <c r="H1068" i="10"/>
  <c r="D1068" i="10"/>
  <c r="F1070" i="10"/>
  <c r="I1071" i="10"/>
  <c r="E1071" i="10"/>
  <c r="H1072" i="10"/>
  <c r="D1072" i="10"/>
  <c r="R856" i="10"/>
  <c r="R1036" i="10"/>
  <c r="R1040" i="10"/>
  <c r="N1040" i="10"/>
  <c r="N860" i="10"/>
  <c r="Q1039" i="10"/>
  <c r="Q859" i="10"/>
  <c r="M1039" i="10"/>
  <c r="M859" i="10"/>
  <c r="P1038" i="10"/>
  <c r="L1038" i="10"/>
  <c r="O1037" i="10"/>
  <c r="O857" i="10"/>
  <c r="K1037" i="10"/>
  <c r="K857" i="10"/>
  <c r="N856" i="10"/>
  <c r="N1036" i="10"/>
  <c r="Q1035" i="10"/>
  <c r="M1035" i="10"/>
  <c r="P1034" i="10"/>
  <c r="L1034" i="10"/>
  <c r="R1070" i="10"/>
  <c r="R890" i="10"/>
  <c r="R1066" i="10"/>
  <c r="R1062" i="10"/>
  <c r="R1058" i="10"/>
  <c r="R878" i="10"/>
  <c r="P1072" i="10"/>
  <c r="P892" i="10"/>
  <c r="L1072" i="10"/>
  <c r="L892" i="10"/>
  <c r="O1071" i="10"/>
  <c r="K1071" i="10"/>
  <c r="N890" i="10"/>
  <c r="N1070" i="10"/>
  <c r="Q1069" i="10"/>
  <c r="M1069" i="10"/>
  <c r="P1068" i="10"/>
  <c r="L1068" i="10"/>
  <c r="O1067" i="10"/>
  <c r="O887" i="10"/>
  <c r="K1067" i="10"/>
  <c r="K887" i="10"/>
  <c r="N1066" i="10"/>
  <c r="Q1065" i="10"/>
  <c r="M1065" i="10"/>
  <c r="P1064" i="10"/>
  <c r="L1064" i="10"/>
  <c r="N882" i="10"/>
  <c r="N1062" i="10"/>
  <c r="Q1061" i="10"/>
  <c r="Q881" i="10"/>
  <c r="M881" i="10"/>
  <c r="M1061" i="10"/>
  <c r="P1060" i="10"/>
  <c r="L1060" i="10"/>
  <c r="O1059" i="10"/>
  <c r="O879" i="10"/>
  <c r="K1059" i="10"/>
  <c r="K879" i="10"/>
  <c r="N1058" i="10"/>
  <c r="N878" i="10"/>
  <c r="Q1057" i="10"/>
  <c r="M1057" i="10"/>
  <c r="P1056" i="10"/>
  <c r="L1056" i="10"/>
  <c r="J1092" i="10"/>
  <c r="J912" i="10"/>
  <c r="R1092" i="10"/>
  <c r="R912" i="10"/>
  <c r="R1088" i="10"/>
  <c r="R1084" i="10"/>
  <c r="R1080" i="10"/>
  <c r="R900" i="10"/>
  <c r="H1078" i="10"/>
  <c r="D1078" i="10"/>
  <c r="F900" i="10"/>
  <c r="F1080" i="10"/>
  <c r="I1081" i="10"/>
  <c r="I901" i="10"/>
  <c r="E901" i="10"/>
  <c r="E1081" i="10"/>
  <c r="H1082" i="10"/>
  <c r="D1082" i="10"/>
  <c r="G1083" i="10"/>
  <c r="G903" i="10"/>
  <c r="C1083" i="10"/>
  <c r="C903" i="10"/>
  <c r="F904" i="10"/>
  <c r="F1084" i="10"/>
  <c r="F909" i="10"/>
  <c r="F1089" i="10"/>
  <c r="I1090" i="10"/>
  <c r="E1090" i="10"/>
  <c r="G1092" i="10"/>
  <c r="G912" i="10"/>
  <c r="C1092" i="10"/>
  <c r="F1093" i="10"/>
  <c r="I1094" i="10"/>
  <c r="I914" i="10"/>
  <c r="E914" i="10"/>
  <c r="E1094" i="10"/>
  <c r="P1078" i="10"/>
  <c r="L1078" i="10"/>
  <c r="O1079" i="10"/>
  <c r="K1079" i="10"/>
  <c r="N900" i="10"/>
  <c r="N1080" i="10"/>
  <c r="Q1081" i="10"/>
  <c r="Q901" i="10"/>
  <c r="M901" i="10"/>
  <c r="M1081" i="10"/>
  <c r="P1082" i="10"/>
  <c r="L1082" i="10"/>
  <c r="O1083" i="10"/>
  <c r="O903" i="10"/>
  <c r="K1083" i="10"/>
  <c r="K903" i="10"/>
  <c r="N904" i="10"/>
  <c r="N1084" i="10"/>
  <c r="P1086" i="10"/>
  <c r="L1086" i="10"/>
  <c r="O1087" i="10"/>
  <c r="K1087" i="10"/>
  <c r="K907" i="10"/>
  <c r="N1088" i="10"/>
  <c r="Q1089" i="10"/>
  <c r="Q909" i="10"/>
  <c r="M909" i="10"/>
  <c r="M1089" i="10"/>
  <c r="P1090" i="10"/>
  <c r="L1090" i="10"/>
  <c r="O1091" i="10"/>
  <c r="K1091" i="10"/>
  <c r="N912" i="10"/>
  <c r="N1092" i="10"/>
  <c r="Q1093" i="10"/>
  <c r="M1093" i="10"/>
  <c r="P1094" i="10"/>
  <c r="P914" i="10"/>
  <c r="L1094" i="10"/>
  <c r="L914" i="10"/>
  <c r="R1114" i="10"/>
  <c r="R934" i="10"/>
  <c r="R1110" i="10"/>
  <c r="R1106" i="10"/>
  <c r="R1102" i="10"/>
  <c r="R922" i="10"/>
  <c r="P1101" i="10"/>
  <c r="L1101" i="10"/>
  <c r="O1100" i="10"/>
  <c r="K1100" i="10"/>
  <c r="N923" i="10"/>
  <c r="N1103" i="10"/>
  <c r="Q1102" i="10"/>
  <c r="Q922" i="10"/>
  <c r="M922" i="10"/>
  <c r="M1102" i="10"/>
  <c r="P1105" i="10"/>
  <c r="P925" i="10"/>
  <c r="L1105" i="10"/>
  <c r="L925" i="10"/>
  <c r="O1104" i="10"/>
  <c r="K1104" i="10"/>
  <c r="Q1106" i="10"/>
  <c r="M926" i="10"/>
  <c r="M1106" i="10"/>
  <c r="P1109" i="10"/>
  <c r="L1109" i="10"/>
  <c r="K1108" i="10"/>
  <c r="N931" i="10"/>
  <c r="N1111" i="10"/>
  <c r="Q1110" i="10"/>
  <c r="M1110" i="10"/>
  <c r="P1113" i="10"/>
  <c r="L1113" i="10"/>
  <c r="O1112" i="10"/>
  <c r="K1112" i="10"/>
  <c r="N936" i="10"/>
  <c r="N1116" i="10"/>
  <c r="Q1115" i="10"/>
  <c r="M1115" i="10"/>
  <c r="P1114" i="10"/>
  <c r="P934" i="10"/>
  <c r="L1114" i="10"/>
  <c r="L934" i="10"/>
  <c r="K321" i="10"/>
  <c r="C727" i="10"/>
  <c r="Q326" i="10"/>
  <c r="M326" i="10"/>
  <c r="P328" i="10"/>
  <c r="J428" i="10"/>
  <c r="J518" i="10"/>
  <c r="J437" i="10"/>
  <c r="J527" i="10"/>
  <c r="J532" i="10"/>
  <c r="J442" i="10"/>
  <c r="F516" i="10"/>
  <c r="I517" i="10"/>
  <c r="E517" i="10"/>
  <c r="H518" i="10"/>
  <c r="H428" i="10"/>
  <c r="D518" i="10"/>
  <c r="D428" i="10"/>
  <c r="G519" i="10"/>
  <c r="G429" i="10"/>
  <c r="C429" i="10"/>
  <c r="F520" i="10"/>
  <c r="I521" i="10"/>
  <c r="I431" i="10"/>
  <c r="E521" i="10"/>
  <c r="E431" i="10"/>
  <c r="D522" i="10"/>
  <c r="C435" i="10"/>
  <c r="I528" i="10"/>
  <c r="I438" i="10"/>
  <c r="E528" i="10"/>
  <c r="E438" i="10"/>
  <c r="G530" i="10"/>
  <c r="G440" i="10"/>
  <c r="G531" i="10"/>
  <c r="F532" i="10"/>
  <c r="F442" i="10"/>
  <c r="R532" i="10"/>
  <c r="R442" i="10"/>
  <c r="R1050" i="10"/>
  <c r="R527" i="10"/>
  <c r="R1045" i="10"/>
  <c r="R520" i="10"/>
  <c r="R430" i="10"/>
  <c r="R518" i="10"/>
  <c r="R428" i="10"/>
  <c r="N518" i="10"/>
  <c r="N428" i="10"/>
  <c r="Q517" i="10"/>
  <c r="M517" i="10"/>
  <c r="P516" i="10"/>
  <c r="L516" i="10"/>
  <c r="O519" i="10"/>
  <c r="O429" i="10"/>
  <c r="K429" i="10"/>
  <c r="N520" i="10"/>
  <c r="Q431" i="10"/>
  <c r="Q521" i="10"/>
  <c r="M521" i="10"/>
  <c r="M431" i="10"/>
  <c r="P522" i="10"/>
  <c r="L522" i="10"/>
  <c r="P524" i="10"/>
  <c r="P1042" i="10"/>
  <c r="L524" i="10"/>
  <c r="L1042" i="10"/>
  <c r="P525" i="10"/>
  <c r="P1043" i="10"/>
  <c r="L525" i="10"/>
  <c r="L1043" i="10"/>
  <c r="P526" i="10"/>
  <c r="P1044" i="10"/>
  <c r="L526" i="10"/>
  <c r="L1044" i="10"/>
  <c r="O527" i="10"/>
  <c r="O1045" i="10"/>
  <c r="K1045" i="10"/>
  <c r="N528" i="10"/>
  <c r="N438" i="10"/>
  <c r="N1046" i="10"/>
  <c r="Q529" i="10"/>
  <c r="Q1047" i="10"/>
  <c r="M529" i="10"/>
  <c r="M1047" i="10"/>
  <c r="P440" i="10"/>
  <c r="P530" i="10"/>
  <c r="P1048" i="10"/>
  <c r="L530" i="10"/>
  <c r="L440" i="10"/>
  <c r="L1048" i="10"/>
  <c r="P531" i="10"/>
  <c r="P1049" i="10"/>
  <c r="L531" i="10"/>
  <c r="L1049" i="10"/>
  <c r="O532" i="10"/>
  <c r="O442" i="10"/>
  <c r="O1050" i="10"/>
  <c r="K442" i="10"/>
  <c r="K1050" i="10"/>
  <c r="J547" i="10"/>
  <c r="J543" i="10"/>
  <c r="J453" i="10"/>
  <c r="G538" i="10"/>
  <c r="I450" i="10"/>
  <c r="I540" i="10"/>
  <c r="E450" i="10"/>
  <c r="E540" i="10"/>
  <c r="H541" i="10"/>
  <c r="H451" i="10"/>
  <c r="D451" i="10"/>
  <c r="D541" i="10"/>
  <c r="G542" i="10"/>
  <c r="F543" i="10"/>
  <c r="F453" i="10"/>
  <c r="H546" i="10"/>
  <c r="D546" i="10"/>
  <c r="G547" i="10"/>
  <c r="C457" i="10"/>
  <c r="H550" i="10"/>
  <c r="H460" i="10"/>
  <c r="D460" i="10"/>
  <c r="D550" i="10"/>
  <c r="F552" i="10"/>
  <c r="F462" i="10"/>
  <c r="I553" i="10"/>
  <c r="E553" i="10"/>
  <c r="H554" i="10"/>
  <c r="H464" i="10"/>
  <c r="D554" i="10"/>
  <c r="D464" i="10"/>
  <c r="R540" i="10"/>
  <c r="R450" i="10"/>
  <c r="R544" i="10"/>
  <c r="R548" i="10"/>
  <c r="R552" i="10"/>
  <c r="P538" i="10"/>
  <c r="L538" i="10"/>
  <c r="O539" i="10"/>
  <c r="N540" i="10"/>
  <c r="N450" i="10"/>
  <c r="Q541" i="10"/>
  <c r="Q451" i="10"/>
  <c r="M451" i="10"/>
  <c r="M541" i="10"/>
  <c r="P542" i="10"/>
  <c r="L542" i="10"/>
  <c r="O543" i="10"/>
  <c r="O453" i="10"/>
  <c r="K453" i="10"/>
  <c r="N544" i="10"/>
  <c r="Q546" i="10"/>
  <c r="M546" i="10"/>
  <c r="P547" i="10"/>
  <c r="L547" i="10"/>
  <c r="O548" i="10"/>
  <c r="N549" i="10"/>
  <c r="N459" i="10"/>
  <c r="Q550" i="10"/>
  <c r="Q460" i="10"/>
  <c r="M460" i="10"/>
  <c r="M550" i="10"/>
  <c r="P551" i="10"/>
  <c r="L551" i="10"/>
  <c r="O552" i="10"/>
  <c r="O462" i="10"/>
  <c r="N553" i="10"/>
  <c r="Q554" i="10"/>
  <c r="Q464" i="10"/>
  <c r="M464" i="10"/>
  <c r="M554" i="10"/>
  <c r="J562" i="10"/>
  <c r="J472" i="10"/>
  <c r="J566" i="10"/>
  <c r="J481" i="10"/>
  <c r="J571" i="10"/>
  <c r="J576" i="10"/>
  <c r="J486" i="10"/>
  <c r="F560" i="10"/>
  <c r="H562" i="10"/>
  <c r="H472" i="10"/>
  <c r="D562" i="10"/>
  <c r="D472" i="10"/>
  <c r="C473" i="10"/>
  <c r="F564" i="10"/>
  <c r="I565" i="10"/>
  <c r="I475" i="10"/>
  <c r="E565" i="10"/>
  <c r="E475" i="10"/>
  <c r="H566" i="10"/>
  <c r="D566" i="10"/>
  <c r="F481" i="10"/>
  <c r="F571" i="10"/>
  <c r="I572" i="10"/>
  <c r="I482" i="10"/>
  <c r="E572" i="10"/>
  <c r="E482" i="10"/>
  <c r="H484" i="10"/>
  <c r="H574" i="10"/>
  <c r="D574" i="10"/>
  <c r="D484" i="10"/>
  <c r="G575" i="10"/>
  <c r="F576" i="10"/>
  <c r="F486" i="10"/>
  <c r="R576" i="10"/>
  <c r="R486" i="10"/>
  <c r="R572" i="10"/>
  <c r="R482" i="10"/>
  <c r="R568" i="10"/>
  <c r="R474" i="10"/>
  <c r="R564" i="10"/>
  <c r="R560" i="10"/>
  <c r="N560" i="10"/>
  <c r="Q561" i="10"/>
  <c r="M561" i="10"/>
  <c r="P562" i="10"/>
  <c r="P472" i="10"/>
  <c r="L562" i="10"/>
  <c r="L472" i="10"/>
  <c r="O563" i="10"/>
  <c r="O473" i="10"/>
  <c r="K473" i="10"/>
  <c r="N564" i="10"/>
  <c r="Q475" i="10"/>
  <c r="Q565" i="10"/>
  <c r="M565" i="10"/>
  <c r="M475" i="10"/>
  <c r="P566" i="10"/>
  <c r="L566" i="10"/>
  <c r="O568" i="10"/>
  <c r="N569" i="10"/>
  <c r="Q570" i="10"/>
  <c r="M570" i="10"/>
  <c r="P571" i="10"/>
  <c r="P481" i="10"/>
  <c r="L571" i="10"/>
  <c r="L481" i="10"/>
  <c r="O572" i="10"/>
  <c r="O482" i="10"/>
  <c r="K482" i="10"/>
  <c r="N573" i="10"/>
  <c r="Q484" i="10"/>
  <c r="Q574" i="10"/>
  <c r="M574" i="10"/>
  <c r="M484" i="10"/>
  <c r="P575" i="10"/>
  <c r="L575" i="10"/>
  <c r="O576" i="10"/>
  <c r="O486" i="10"/>
  <c r="K486" i="10"/>
  <c r="J1113" i="10"/>
  <c r="J1109" i="10"/>
  <c r="F1116" i="10"/>
  <c r="I1115" i="10"/>
  <c r="E1115" i="10"/>
  <c r="H1114" i="10"/>
  <c r="D1114" i="10"/>
  <c r="G1113" i="10"/>
  <c r="C1113" i="10"/>
  <c r="F1112" i="10"/>
  <c r="I1111" i="10"/>
  <c r="E1111" i="10"/>
  <c r="H1110" i="10"/>
  <c r="D1110" i="10"/>
  <c r="G1109" i="10"/>
  <c r="C1109" i="10"/>
  <c r="F1108" i="10"/>
  <c r="R584" i="10"/>
  <c r="R494" i="10"/>
  <c r="R588" i="10"/>
  <c r="R592" i="10"/>
  <c r="R596" i="10"/>
  <c r="P598" i="10"/>
  <c r="P508" i="10"/>
  <c r="L508" i="10"/>
  <c r="L598" i="10"/>
  <c r="O597" i="10"/>
  <c r="N506" i="10"/>
  <c r="N596" i="10"/>
  <c r="Q595" i="10"/>
  <c r="M595" i="10"/>
  <c r="P504" i="10"/>
  <c r="P594" i="10"/>
  <c r="L594" i="10"/>
  <c r="L504" i="10"/>
  <c r="O503" i="10"/>
  <c r="O593" i="10"/>
  <c r="K503" i="10"/>
  <c r="N592" i="10"/>
  <c r="Q591" i="10"/>
  <c r="M591" i="10"/>
  <c r="N588" i="10"/>
  <c r="Q587" i="10"/>
  <c r="Q497" i="10"/>
  <c r="M587" i="10"/>
  <c r="M497" i="10"/>
  <c r="P586" i="10"/>
  <c r="L586" i="10"/>
  <c r="O585" i="10"/>
  <c r="O495" i="10"/>
  <c r="K495" i="10"/>
  <c r="N584" i="10"/>
  <c r="N494" i="10"/>
  <c r="Q583" i="10"/>
  <c r="M583" i="10"/>
  <c r="P582" i="10"/>
  <c r="L582" i="10"/>
  <c r="R743" i="10"/>
  <c r="J721" i="10"/>
  <c r="R699" i="10"/>
  <c r="J923" i="10"/>
  <c r="O746" i="10"/>
  <c r="O702" i="10"/>
  <c r="G926" i="10"/>
  <c r="Q701" i="10"/>
  <c r="Q745" i="10"/>
  <c r="I723" i="10"/>
  <c r="I925" i="10"/>
  <c r="M701" i="10"/>
  <c r="M745" i="10"/>
  <c r="E723" i="10"/>
  <c r="E925" i="10"/>
  <c r="Q743" i="10"/>
  <c r="I721" i="10"/>
  <c r="Q699" i="10"/>
  <c r="I923" i="10"/>
  <c r="M743" i="10"/>
  <c r="E721" i="10"/>
  <c r="M699" i="10"/>
  <c r="E923" i="10"/>
  <c r="O742" i="10"/>
  <c r="G720" i="10"/>
  <c r="O698" i="10"/>
  <c r="G922" i="10"/>
  <c r="O756" i="10"/>
  <c r="G734" i="10"/>
  <c r="O712" i="10"/>
  <c r="O870" i="10"/>
  <c r="G936" i="10"/>
  <c r="Q710" i="10"/>
  <c r="Q754" i="10"/>
  <c r="I732" i="10"/>
  <c r="I934" i="10"/>
  <c r="Q868" i="10"/>
  <c r="M710" i="10"/>
  <c r="M754" i="10"/>
  <c r="E732" i="10"/>
  <c r="E934" i="10"/>
  <c r="M868" i="10"/>
  <c r="J1048" i="10"/>
  <c r="J868" i="10"/>
  <c r="J1038" i="10"/>
  <c r="J854" i="10"/>
  <c r="J1034" i="10"/>
  <c r="G859" i="10"/>
  <c r="G1039" i="10"/>
  <c r="C1039" i="10"/>
  <c r="C859" i="10"/>
  <c r="F1038" i="10"/>
  <c r="I1037" i="10"/>
  <c r="I857" i="10"/>
  <c r="E1037" i="10"/>
  <c r="E857" i="10"/>
  <c r="H1036" i="10"/>
  <c r="H856" i="10"/>
  <c r="D1036" i="10"/>
  <c r="D856" i="10"/>
  <c r="G1035" i="10"/>
  <c r="C1035" i="10"/>
  <c r="F1034" i="10"/>
  <c r="I1050" i="10"/>
  <c r="I870" i="10"/>
  <c r="E1050" i="10"/>
  <c r="E870" i="10"/>
  <c r="H1048" i="10"/>
  <c r="H868" i="10"/>
  <c r="D1048" i="10"/>
  <c r="D868" i="10"/>
  <c r="G1046" i="10"/>
  <c r="C1046" i="10"/>
  <c r="J1065" i="10"/>
  <c r="H1056" i="10"/>
  <c r="D1056" i="10"/>
  <c r="G1058" i="10"/>
  <c r="C1058" i="10"/>
  <c r="F1059" i="10"/>
  <c r="G1064" i="10"/>
  <c r="C1064" i="10"/>
  <c r="C974" i="10"/>
  <c r="F1065" i="10"/>
  <c r="G1068" i="10"/>
  <c r="C1068" i="10"/>
  <c r="I1070" i="10"/>
  <c r="E1070" i="10"/>
  <c r="H1071" i="10"/>
  <c r="D1071" i="10"/>
  <c r="G1072" i="10"/>
  <c r="C1072" i="10"/>
  <c r="C892" i="10"/>
  <c r="R857" i="10"/>
  <c r="R1037" i="10"/>
  <c r="Q1040" i="10"/>
  <c r="M1040" i="10"/>
  <c r="M860" i="10"/>
  <c r="P1039" i="10"/>
  <c r="P859" i="10"/>
  <c r="L1039" i="10"/>
  <c r="L859" i="10"/>
  <c r="O1038" i="10"/>
  <c r="K1038" i="10"/>
  <c r="N857" i="10"/>
  <c r="N1037" i="10"/>
  <c r="Q1036" i="10"/>
  <c r="Q856" i="10"/>
  <c r="M1036" i="10"/>
  <c r="M856" i="10"/>
  <c r="P1035" i="10"/>
  <c r="L1035" i="10"/>
  <c r="O1034" i="10"/>
  <c r="K1034" i="10"/>
  <c r="R1069" i="10"/>
  <c r="R1065" i="10"/>
  <c r="R1057" i="10"/>
  <c r="O1072" i="10"/>
  <c r="O892" i="10"/>
  <c r="K1072" i="10"/>
  <c r="K892" i="10"/>
  <c r="N1071" i="10"/>
  <c r="Q1070" i="10"/>
  <c r="Q890" i="10"/>
  <c r="M890" i="10"/>
  <c r="M1070" i="10"/>
  <c r="P1069" i="10"/>
  <c r="L1069" i="10"/>
  <c r="O1068" i="10"/>
  <c r="K1068" i="10"/>
  <c r="N887" i="10"/>
  <c r="N1067" i="10"/>
  <c r="Q1066" i="10"/>
  <c r="M1066" i="10"/>
  <c r="P1065" i="10"/>
  <c r="L1065" i="10"/>
  <c r="O1064" i="10"/>
  <c r="K1064" i="10"/>
  <c r="Q1062" i="10"/>
  <c r="M882" i="10"/>
  <c r="M1062" i="10"/>
  <c r="P1061" i="10"/>
  <c r="P881" i="10"/>
  <c r="L1061" i="10"/>
  <c r="L881" i="10"/>
  <c r="O1060" i="10"/>
  <c r="K1060" i="10"/>
  <c r="N1059" i="10"/>
  <c r="N879" i="10"/>
  <c r="Q1058" i="10"/>
  <c r="Q878" i="10"/>
  <c r="M1058" i="10"/>
  <c r="M878" i="10"/>
  <c r="P1057" i="10"/>
  <c r="L1057" i="10"/>
  <c r="O1056" i="10"/>
  <c r="K1056" i="10"/>
  <c r="J1082" i="10"/>
  <c r="J1078" i="10"/>
  <c r="J898" i="10"/>
  <c r="R1091" i="10"/>
  <c r="R1087" i="10"/>
  <c r="R1079" i="10"/>
  <c r="G1078" i="10"/>
  <c r="C1078" i="10"/>
  <c r="I1080" i="10"/>
  <c r="I900" i="10"/>
  <c r="E900" i="10"/>
  <c r="E1080" i="10"/>
  <c r="H1081" i="10"/>
  <c r="H901" i="10"/>
  <c r="D1081" i="10"/>
  <c r="D901" i="10"/>
  <c r="G1082" i="10"/>
  <c r="C1082" i="10"/>
  <c r="F903" i="10"/>
  <c r="F1083" i="10"/>
  <c r="I1084" i="10"/>
  <c r="E904" i="10"/>
  <c r="E1084" i="10"/>
  <c r="C1087" i="10"/>
  <c r="C907" i="10"/>
  <c r="I1089" i="10"/>
  <c r="I909" i="10"/>
  <c r="E909" i="10"/>
  <c r="E1089" i="10"/>
  <c r="H1090" i="10"/>
  <c r="D1090" i="10"/>
  <c r="F912" i="10"/>
  <c r="F1092" i="10"/>
  <c r="I1093" i="10"/>
  <c r="E1093" i="10"/>
  <c r="H1094" i="10"/>
  <c r="H914" i="10"/>
  <c r="D1094" i="10"/>
  <c r="D914" i="10"/>
  <c r="O1078" i="10"/>
  <c r="K1078" i="10"/>
  <c r="N1079" i="10"/>
  <c r="Q1080" i="10"/>
  <c r="Q900" i="10"/>
  <c r="M900" i="10"/>
  <c r="M1080" i="10"/>
  <c r="P1081" i="10"/>
  <c r="P901" i="10"/>
  <c r="L1081" i="10"/>
  <c r="L901" i="10"/>
  <c r="O1082" i="10"/>
  <c r="K1082" i="10"/>
  <c r="N903" i="10"/>
  <c r="N1083" i="10"/>
  <c r="Q1084" i="10"/>
  <c r="M904" i="10"/>
  <c r="M1084" i="10"/>
  <c r="O1086" i="10"/>
  <c r="K1086" i="10"/>
  <c r="N1087" i="10"/>
  <c r="Q1088" i="10"/>
  <c r="M1088" i="10"/>
  <c r="P1089" i="10"/>
  <c r="P909" i="10"/>
  <c r="L1089" i="10"/>
  <c r="L909" i="10"/>
  <c r="O1090" i="10"/>
  <c r="K1090" i="10"/>
  <c r="N1091" i="10"/>
  <c r="Q1092" i="10"/>
  <c r="Q912" i="10"/>
  <c r="M912" i="10"/>
  <c r="M1092" i="10"/>
  <c r="P1093" i="10"/>
  <c r="L1093" i="10"/>
  <c r="O1094" i="10"/>
  <c r="O914" i="10"/>
  <c r="K1094" i="10"/>
  <c r="K914" i="10"/>
  <c r="R1113" i="10"/>
  <c r="R1109" i="10"/>
  <c r="R1101" i="10"/>
  <c r="O1101" i="10"/>
  <c r="K1101" i="10"/>
  <c r="N1100" i="10"/>
  <c r="Q1103" i="10"/>
  <c r="Q923" i="10"/>
  <c r="M923" i="10"/>
  <c r="M1103" i="10"/>
  <c r="P1102" i="10"/>
  <c r="P922" i="10"/>
  <c r="L1102" i="10"/>
  <c r="L922" i="10"/>
  <c r="O1105" i="10"/>
  <c r="O925" i="10"/>
  <c r="K1105" i="10"/>
  <c r="K925" i="10"/>
  <c r="N1104" i="10"/>
  <c r="P1106" i="10"/>
  <c r="P926" i="10"/>
  <c r="L1106" i="10"/>
  <c r="L926" i="10"/>
  <c r="O1109" i="10"/>
  <c r="K1109" i="10"/>
  <c r="K929" i="10"/>
  <c r="Q1111" i="10"/>
  <c r="Q931" i="10"/>
  <c r="M931" i="10"/>
  <c r="M1111" i="10"/>
  <c r="P1110" i="10"/>
  <c r="L1110" i="10"/>
  <c r="O1113" i="10"/>
  <c r="K1113" i="10"/>
  <c r="N1112" i="10"/>
  <c r="Q1116" i="10"/>
  <c r="Q936" i="10"/>
  <c r="M936" i="10"/>
  <c r="M1116" i="10"/>
  <c r="P1115" i="10"/>
  <c r="L1115" i="10"/>
  <c r="O1114" i="10"/>
  <c r="O934" i="10"/>
  <c r="K1114" i="10"/>
  <c r="P326" i="10"/>
  <c r="L326" i="10"/>
  <c r="O328" i="10"/>
  <c r="K328" i="10"/>
  <c r="C734" i="10"/>
  <c r="J519" i="10"/>
  <c r="J429" i="10"/>
  <c r="J528" i="10"/>
  <c r="J438" i="10"/>
  <c r="I516" i="10"/>
  <c r="E516" i="10"/>
  <c r="H517" i="10"/>
  <c r="D517" i="10"/>
  <c r="G518" i="10"/>
  <c r="G428" i="10"/>
  <c r="C428" i="10"/>
  <c r="F519" i="10"/>
  <c r="F429" i="10"/>
  <c r="I520" i="10"/>
  <c r="E520" i="10"/>
  <c r="H431" i="10"/>
  <c r="H521" i="10"/>
  <c r="D521" i="10"/>
  <c r="D431" i="10"/>
  <c r="H528" i="10"/>
  <c r="H438" i="10"/>
  <c r="D438" i="10"/>
  <c r="D528" i="10"/>
  <c r="F530" i="10"/>
  <c r="F440" i="10"/>
  <c r="J531" i="10"/>
  <c r="F531" i="10"/>
  <c r="I532" i="10"/>
  <c r="I442" i="10"/>
  <c r="E532" i="10"/>
  <c r="E442" i="10"/>
  <c r="R530" i="10"/>
  <c r="R1048" i="10"/>
  <c r="R519" i="10"/>
  <c r="R429" i="10"/>
  <c r="Q518" i="10"/>
  <c r="Q428" i="10"/>
  <c r="M518" i="10"/>
  <c r="M428" i="10"/>
  <c r="P517" i="10"/>
  <c r="L517" i="10"/>
  <c r="O516" i="10"/>
  <c r="N519" i="10"/>
  <c r="N429" i="10"/>
  <c r="Q520" i="10"/>
  <c r="M520" i="10"/>
  <c r="P431" i="10"/>
  <c r="P521" i="10"/>
  <c r="L521" i="10"/>
  <c r="L431" i="10"/>
  <c r="O522" i="10"/>
  <c r="O524" i="10"/>
  <c r="O1042" i="10"/>
  <c r="K1042" i="10"/>
  <c r="O525" i="10"/>
  <c r="O1043" i="10"/>
  <c r="K435" i="10"/>
  <c r="K1043" i="10"/>
  <c r="O526" i="10"/>
  <c r="O1044" i="10"/>
  <c r="K1044" i="10"/>
  <c r="N527" i="10"/>
  <c r="N1045" i="10"/>
  <c r="Q528" i="10"/>
  <c r="Q438" i="10"/>
  <c r="Q1046" i="10"/>
  <c r="M438" i="10"/>
  <c r="M528" i="10"/>
  <c r="M1046" i="10"/>
  <c r="P529" i="10"/>
  <c r="P1047" i="10"/>
  <c r="L529" i="10"/>
  <c r="L1047" i="10"/>
  <c r="O530" i="10"/>
  <c r="O440" i="10"/>
  <c r="O1048" i="10"/>
  <c r="K1048" i="10"/>
  <c r="O531" i="10"/>
  <c r="O1049" i="10"/>
  <c r="K1049" i="10"/>
  <c r="N532" i="10"/>
  <c r="N442" i="10"/>
  <c r="N1050" i="10"/>
  <c r="J554" i="10"/>
  <c r="J464" i="10"/>
  <c r="J550" i="10"/>
  <c r="J460" i="10"/>
  <c r="J546" i="10"/>
  <c r="J542" i="10"/>
  <c r="J452" i="10"/>
  <c r="J538" i="10"/>
  <c r="F538" i="10"/>
  <c r="H540" i="10"/>
  <c r="H450" i="10"/>
  <c r="D540" i="10"/>
  <c r="D450" i="10"/>
  <c r="G541" i="10"/>
  <c r="G451" i="10"/>
  <c r="C451" i="10"/>
  <c r="F542" i="10"/>
  <c r="I543" i="10"/>
  <c r="I453" i="10"/>
  <c r="E543" i="10"/>
  <c r="E453" i="10"/>
  <c r="G546" i="10"/>
  <c r="F547" i="10"/>
  <c r="G550" i="10"/>
  <c r="G460" i="10"/>
  <c r="C460" i="10"/>
  <c r="I552" i="10"/>
  <c r="I462" i="10"/>
  <c r="E552" i="10"/>
  <c r="E462" i="10"/>
  <c r="H553" i="10"/>
  <c r="D553" i="10"/>
  <c r="G554" i="10"/>
  <c r="G464" i="10"/>
  <c r="C464" i="10"/>
  <c r="R541" i="10"/>
  <c r="R451" i="10"/>
  <c r="R549" i="10"/>
  <c r="R459" i="10"/>
  <c r="R553" i="10"/>
  <c r="O538" i="10"/>
  <c r="N539" i="10"/>
  <c r="Q540" i="10"/>
  <c r="Q450" i="10"/>
  <c r="M540" i="10"/>
  <c r="M450" i="10"/>
  <c r="P541" i="10"/>
  <c r="P451" i="10"/>
  <c r="L451" i="10"/>
  <c r="L541" i="10"/>
  <c r="O542" i="10"/>
  <c r="N543" i="10"/>
  <c r="N453" i="10"/>
  <c r="Q544" i="10"/>
  <c r="M544" i="10"/>
  <c r="P546" i="10"/>
  <c r="L546" i="10"/>
  <c r="O547" i="10"/>
  <c r="K457" i="10"/>
  <c r="N548" i="10"/>
  <c r="Q549" i="10"/>
  <c r="Q459" i="10"/>
  <c r="M549" i="10"/>
  <c r="M459" i="10"/>
  <c r="P550" i="10"/>
  <c r="P460" i="10"/>
  <c r="L460" i="10"/>
  <c r="L550" i="10"/>
  <c r="O551" i="10"/>
  <c r="N552" i="10"/>
  <c r="N462" i="10"/>
  <c r="Q553" i="10"/>
  <c r="M553" i="10"/>
  <c r="P554" i="10"/>
  <c r="P464" i="10"/>
  <c r="L464" i="10"/>
  <c r="L554" i="10"/>
  <c r="J563" i="10"/>
  <c r="J473" i="10"/>
  <c r="I560" i="10"/>
  <c r="E560" i="10"/>
  <c r="G562" i="10"/>
  <c r="G472" i="10"/>
  <c r="C472" i="10"/>
  <c r="F563" i="10"/>
  <c r="F473" i="10"/>
  <c r="I564" i="10"/>
  <c r="E564" i="10"/>
  <c r="H565" i="10"/>
  <c r="H475" i="10"/>
  <c r="D565" i="10"/>
  <c r="D475" i="10"/>
  <c r="G566" i="10"/>
  <c r="C479" i="10"/>
  <c r="I571" i="10"/>
  <c r="I481" i="10"/>
  <c r="E571" i="10"/>
  <c r="E481" i="10"/>
  <c r="H572" i="10"/>
  <c r="H482" i="10"/>
  <c r="D572" i="10"/>
  <c r="D482" i="10"/>
  <c r="G484" i="10"/>
  <c r="G574" i="10"/>
  <c r="F575" i="10"/>
  <c r="I576" i="10"/>
  <c r="I486" i="10"/>
  <c r="E576" i="10"/>
  <c r="E486" i="10"/>
  <c r="R575" i="10"/>
  <c r="R481" i="10"/>
  <c r="R571" i="10"/>
  <c r="R563" i="10"/>
  <c r="R473" i="10"/>
  <c r="Q560" i="10"/>
  <c r="M560" i="10"/>
  <c r="P561" i="10"/>
  <c r="L561" i="10"/>
  <c r="O562" i="10"/>
  <c r="O472" i="10"/>
  <c r="K472" i="10"/>
  <c r="N563" i="10"/>
  <c r="N473" i="10"/>
  <c r="Q564" i="10"/>
  <c r="M564" i="10"/>
  <c r="P475" i="10"/>
  <c r="P565" i="10"/>
  <c r="L475" i="10"/>
  <c r="L565" i="10"/>
  <c r="O566" i="10"/>
  <c r="N568" i="10"/>
  <c r="Q569" i="10"/>
  <c r="M569" i="10"/>
  <c r="P570" i="10"/>
  <c r="L570" i="10"/>
  <c r="O571" i="10"/>
  <c r="O481" i="10"/>
  <c r="K481" i="10"/>
  <c r="N572" i="10"/>
  <c r="N482" i="10"/>
  <c r="Q573" i="10"/>
  <c r="M573" i="10"/>
  <c r="P484" i="10"/>
  <c r="P574" i="10"/>
  <c r="L574" i="10"/>
  <c r="L484" i="10"/>
  <c r="O575" i="10"/>
  <c r="N576" i="10"/>
  <c r="N486" i="10"/>
  <c r="J560" i="10"/>
  <c r="J1112" i="10"/>
  <c r="J1108" i="10"/>
  <c r="I1116" i="10"/>
  <c r="E1116" i="10"/>
  <c r="H1115" i="10"/>
  <c r="D1115" i="10"/>
  <c r="G1114" i="10"/>
  <c r="C1114" i="10"/>
  <c r="F1113" i="10"/>
  <c r="I1112" i="10"/>
  <c r="E1112" i="10"/>
  <c r="H1111" i="10"/>
  <c r="D1111" i="10"/>
  <c r="G1110" i="10"/>
  <c r="C1110" i="10"/>
  <c r="F1109" i="10"/>
  <c r="I1108" i="10"/>
  <c r="E1108" i="10"/>
  <c r="J1116" i="10"/>
  <c r="R585" i="10"/>
  <c r="R495" i="10"/>
  <c r="R593" i="10"/>
  <c r="R503" i="10"/>
  <c r="R597" i="10"/>
  <c r="O598" i="10"/>
  <c r="O508" i="10"/>
  <c r="K508" i="10"/>
  <c r="N597" i="10"/>
  <c r="Q596" i="10"/>
  <c r="Q506" i="10"/>
  <c r="M596" i="10"/>
  <c r="M506" i="10"/>
  <c r="P595" i="10"/>
  <c r="L595" i="10"/>
  <c r="O594" i="10"/>
  <c r="O504" i="10"/>
  <c r="K504" i="10"/>
  <c r="N593" i="10"/>
  <c r="N503" i="10"/>
  <c r="Q592" i="10"/>
  <c r="M592" i="10"/>
  <c r="P591" i="10"/>
  <c r="L591" i="10"/>
  <c r="Q588" i="10"/>
  <c r="M588" i="10"/>
  <c r="P587" i="10"/>
  <c r="P497" i="10"/>
  <c r="L587" i="10"/>
  <c r="L497" i="10"/>
  <c r="O586" i="10"/>
  <c r="N585" i="10"/>
  <c r="N495" i="10"/>
  <c r="Q584" i="10"/>
  <c r="Q494" i="10"/>
  <c r="M584" i="10"/>
  <c r="M494" i="10"/>
  <c r="P583" i="10"/>
  <c r="L583" i="10"/>
  <c r="O582" i="10"/>
  <c r="R751" i="10"/>
  <c r="J729" i="10"/>
  <c r="R707" i="10"/>
  <c r="J931" i="10"/>
  <c r="R865" i="10"/>
  <c r="R742" i="10"/>
  <c r="J720" i="10"/>
  <c r="R698" i="10"/>
  <c r="J922" i="10"/>
  <c r="N746" i="10"/>
  <c r="N702" i="10"/>
  <c r="F926" i="10"/>
  <c r="P701" i="10"/>
  <c r="P745" i="10"/>
  <c r="H723" i="10"/>
  <c r="H925" i="10"/>
  <c r="L701" i="10"/>
  <c r="L745" i="10"/>
  <c r="D723" i="10"/>
  <c r="D925" i="10"/>
  <c r="P743" i="10"/>
  <c r="H721" i="10"/>
  <c r="P699" i="10"/>
  <c r="H923" i="10"/>
  <c r="L743" i="10"/>
  <c r="L699" i="10"/>
  <c r="D721" i="10"/>
  <c r="D923" i="10"/>
  <c r="N742" i="10"/>
  <c r="F720" i="10"/>
  <c r="N698" i="10"/>
  <c r="F922" i="10"/>
  <c r="N756" i="10"/>
  <c r="F734" i="10"/>
  <c r="N712" i="10"/>
  <c r="N870" i="10"/>
  <c r="F936" i="10"/>
  <c r="P710" i="10"/>
  <c r="P754" i="10"/>
  <c r="H732" i="10"/>
  <c r="H934" i="10"/>
  <c r="P868" i="10"/>
  <c r="L754" i="10"/>
  <c r="D732" i="10"/>
  <c r="D934" i="10"/>
  <c r="L868" i="10"/>
  <c r="J1046" i="10"/>
  <c r="J857" i="10"/>
  <c r="J1037" i="10"/>
  <c r="F1039" i="10"/>
  <c r="F859" i="10"/>
  <c r="I1038" i="10"/>
  <c r="E1038" i="10"/>
  <c r="H857" i="10"/>
  <c r="H1037" i="10"/>
  <c r="D1037" i="10"/>
  <c r="D857" i="10"/>
  <c r="G1036" i="10"/>
  <c r="G856" i="10"/>
  <c r="C1036" i="10"/>
  <c r="C856" i="10"/>
  <c r="F1035" i="10"/>
  <c r="I1034" i="10"/>
  <c r="E1034" i="10"/>
  <c r="H870" i="10"/>
  <c r="H1050" i="10"/>
  <c r="D1050" i="10"/>
  <c r="D870" i="10"/>
  <c r="G1048" i="10"/>
  <c r="G868" i="10"/>
  <c r="C1048" i="10"/>
  <c r="F1046" i="10"/>
  <c r="J1072" i="10"/>
  <c r="J1068" i="10"/>
  <c r="J1064" i="10"/>
  <c r="J1059" i="10"/>
  <c r="G1056" i="10"/>
  <c r="C1056" i="10"/>
  <c r="J1058" i="10"/>
  <c r="F1058" i="10"/>
  <c r="I1059" i="10"/>
  <c r="E1059" i="10"/>
  <c r="F1064" i="10"/>
  <c r="I1065" i="10"/>
  <c r="E1065" i="10"/>
  <c r="F1068" i="10"/>
  <c r="H1070" i="10"/>
  <c r="D1070" i="10"/>
  <c r="G1071" i="10"/>
  <c r="C1071" i="10"/>
  <c r="F1072" i="10"/>
  <c r="R854" i="10"/>
  <c r="R1034" i="10"/>
  <c r="R1038" i="10"/>
  <c r="P860" i="10"/>
  <c r="P1040" i="10"/>
  <c r="L1040" i="10"/>
  <c r="L860" i="10"/>
  <c r="O1039" i="10"/>
  <c r="O859" i="10"/>
  <c r="K1039" i="10"/>
  <c r="K859" i="10"/>
  <c r="N1038" i="10"/>
  <c r="Q1037" i="10"/>
  <c r="Q857" i="10"/>
  <c r="M1037" i="10"/>
  <c r="M857" i="10"/>
  <c r="P1036" i="10"/>
  <c r="P856" i="10"/>
  <c r="L856" i="10"/>
  <c r="L1036" i="10"/>
  <c r="O1035" i="10"/>
  <c r="K1035" i="10"/>
  <c r="N1034" i="10"/>
  <c r="R1072" i="10"/>
  <c r="R892" i="10"/>
  <c r="R1068" i="10"/>
  <c r="R1064" i="10"/>
  <c r="R1060" i="10"/>
  <c r="R1056" i="10"/>
  <c r="R876" i="10"/>
  <c r="N892" i="10"/>
  <c r="N1072" i="10"/>
  <c r="Q1071" i="10"/>
  <c r="M1071" i="10"/>
  <c r="P1070" i="10"/>
  <c r="P890" i="10"/>
  <c r="L1070" i="10"/>
  <c r="L890" i="10"/>
  <c r="O1069" i="10"/>
  <c r="K1069" i="10"/>
  <c r="N1068" i="10"/>
  <c r="Q1067" i="10"/>
  <c r="Q887" i="10"/>
  <c r="M887" i="10"/>
  <c r="M1067" i="10"/>
  <c r="P1066" i="10"/>
  <c r="L1066" i="10"/>
  <c r="O1065" i="10"/>
  <c r="K1065" i="10"/>
  <c r="K885" i="10"/>
  <c r="N1064" i="10"/>
  <c r="P1062" i="10"/>
  <c r="P882" i="10"/>
  <c r="L1062" i="10"/>
  <c r="L882" i="10"/>
  <c r="O1061" i="10"/>
  <c r="O881" i="10"/>
  <c r="K1061" i="10"/>
  <c r="K881" i="10"/>
  <c r="N1060" i="10"/>
  <c r="Q1059" i="10"/>
  <c r="Q879" i="10"/>
  <c r="M1059" i="10"/>
  <c r="M879" i="10"/>
  <c r="P1058" i="10"/>
  <c r="P878" i="10"/>
  <c r="L1058" i="10"/>
  <c r="L878" i="10"/>
  <c r="O1057" i="10"/>
  <c r="K1057" i="10"/>
  <c r="N1056" i="10"/>
  <c r="J1094" i="10"/>
  <c r="J914" i="10"/>
  <c r="J1081" i="10"/>
  <c r="J901" i="10"/>
  <c r="R1094" i="10"/>
  <c r="R914" i="10"/>
  <c r="R1090" i="10"/>
  <c r="R1086" i="10"/>
  <c r="R1082" i="10"/>
  <c r="R1078" i="10"/>
  <c r="R898" i="10"/>
  <c r="F1078" i="10"/>
  <c r="H1080" i="10"/>
  <c r="H900" i="10"/>
  <c r="D1080" i="10"/>
  <c r="D900" i="10"/>
  <c r="G901" i="10"/>
  <c r="C1081" i="10"/>
  <c r="C901" i="10"/>
  <c r="F1082" i="10"/>
  <c r="I1083" i="10"/>
  <c r="I903" i="10"/>
  <c r="E903" i="10"/>
  <c r="E1083" i="10"/>
  <c r="H1084" i="10"/>
  <c r="H904" i="10"/>
  <c r="D1084" i="10"/>
  <c r="D904" i="10"/>
  <c r="H1089" i="10"/>
  <c r="H909" i="10"/>
  <c r="D1089" i="10"/>
  <c r="D909" i="10"/>
  <c r="G1090" i="10"/>
  <c r="C1090" i="10"/>
  <c r="I1092" i="10"/>
  <c r="I912" i="10"/>
  <c r="E912" i="10"/>
  <c r="E1092" i="10"/>
  <c r="H1093" i="10"/>
  <c r="D1093" i="10"/>
  <c r="G1094" i="10"/>
  <c r="G914" i="10"/>
  <c r="C1094" i="10"/>
  <c r="C914" i="10"/>
  <c r="N1078" i="10"/>
  <c r="Q1079" i="10"/>
  <c r="M1079" i="10"/>
  <c r="P1080" i="10"/>
  <c r="P900" i="10"/>
  <c r="L1080" i="10"/>
  <c r="L900" i="10"/>
  <c r="O1081" i="10"/>
  <c r="O901" i="10"/>
  <c r="K1081" i="10"/>
  <c r="K901" i="10"/>
  <c r="N1082" i="10"/>
  <c r="Q1083" i="10"/>
  <c r="Q903" i="10"/>
  <c r="M903" i="10"/>
  <c r="M1083" i="10"/>
  <c r="P1084" i="10"/>
  <c r="P904" i="10"/>
  <c r="L1084" i="10"/>
  <c r="L904" i="10"/>
  <c r="N1086" i="10"/>
  <c r="Q1087" i="10"/>
  <c r="M1087" i="10"/>
  <c r="P1088" i="10"/>
  <c r="L1088" i="10"/>
  <c r="O1089" i="10"/>
  <c r="O909" i="10"/>
  <c r="K1089" i="10"/>
  <c r="K909" i="10"/>
  <c r="N1090" i="10"/>
  <c r="Q1091" i="10"/>
  <c r="M1091" i="10"/>
  <c r="P1092" i="10"/>
  <c r="P912" i="10"/>
  <c r="L1092" i="10"/>
  <c r="L912" i="10"/>
  <c r="O1093" i="10"/>
  <c r="K1093" i="10"/>
  <c r="N914" i="10"/>
  <c r="N1094" i="10"/>
  <c r="R1116" i="10"/>
  <c r="R936" i="10"/>
  <c r="R1112" i="10"/>
  <c r="R1108" i="10"/>
  <c r="R1104" i="10"/>
  <c r="R1100" i="10"/>
  <c r="R920" i="10"/>
  <c r="N1101" i="10"/>
  <c r="Q1100" i="10"/>
  <c r="M1100" i="10"/>
  <c r="P1103" i="10"/>
  <c r="P923" i="10"/>
  <c r="L1103" i="10"/>
  <c r="L923" i="10"/>
  <c r="O1102" i="10"/>
  <c r="O922" i="10"/>
  <c r="K1102" i="10"/>
  <c r="K922" i="10"/>
  <c r="N925" i="10"/>
  <c r="N1105" i="10"/>
  <c r="Q1104" i="10"/>
  <c r="M1104" i="10"/>
  <c r="O1106" i="10"/>
  <c r="O926" i="10"/>
  <c r="K1106" i="10"/>
  <c r="K926" i="10"/>
  <c r="N1109" i="10"/>
  <c r="Q1108" i="10"/>
  <c r="M1108" i="10"/>
  <c r="P1111" i="10"/>
  <c r="P931" i="10"/>
  <c r="L1111" i="10"/>
  <c r="L931" i="10"/>
  <c r="O1110" i="10"/>
  <c r="K1110" i="10"/>
  <c r="N1113" i="10"/>
  <c r="Q1112" i="10"/>
  <c r="M1112" i="10"/>
  <c r="P1116" i="10"/>
  <c r="P936" i="10"/>
  <c r="L1116" i="10"/>
  <c r="L936" i="10"/>
  <c r="O1115" i="10"/>
  <c r="K1115" i="10"/>
  <c r="N934" i="10"/>
  <c r="N1114" i="10"/>
  <c r="O326" i="10"/>
  <c r="N328" i="10"/>
  <c r="J516" i="10"/>
  <c r="J520" i="10"/>
  <c r="J430" i="10"/>
  <c r="H516" i="10"/>
  <c r="D516" i="10"/>
  <c r="G517" i="10"/>
  <c r="F518" i="10"/>
  <c r="F428" i="10"/>
  <c r="I519" i="10"/>
  <c r="I429" i="10"/>
  <c r="E519" i="10"/>
  <c r="E429" i="10"/>
  <c r="H520" i="10"/>
  <c r="D520" i="10"/>
  <c r="G521" i="10"/>
  <c r="G431" i="10"/>
  <c r="C431" i="10"/>
  <c r="G528" i="10"/>
  <c r="G438" i="10"/>
  <c r="C438" i="10"/>
  <c r="I530" i="10"/>
  <c r="I440" i="10"/>
  <c r="E530" i="10"/>
  <c r="E440" i="10"/>
  <c r="I531" i="10"/>
  <c r="E531" i="10"/>
  <c r="H532" i="10"/>
  <c r="H442" i="10"/>
  <c r="D442" i="10"/>
  <c r="D532" i="10"/>
  <c r="R529" i="10"/>
  <c r="R1047" i="10"/>
  <c r="R522" i="10"/>
  <c r="R517" i="10"/>
  <c r="P518" i="10"/>
  <c r="P428" i="10"/>
  <c r="L518" i="10"/>
  <c r="L428" i="10"/>
  <c r="O517" i="10"/>
  <c r="N516" i="10"/>
  <c r="Q519" i="10"/>
  <c r="Q429" i="10"/>
  <c r="M429" i="10"/>
  <c r="M519" i="10"/>
  <c r="P520" i="10"/>
  <c r="L520" i="10"/>
  <c r="O521" i="10"/>
  <c r="O431" i="10"/>
  <c r="K431" i="10"/>
  <c r="N522" i="10"/>
  <c r="R524" i="10"/>
  <c r="R1042" i="10"/>
  <c r="N524" i="10"/>
  <c r="N1042" i="10"/>
  <c r="R525" i="10"/>
  <c r="R1043" i="10"/>
  <c r="N525" i="10"/>
  <c r="N1043" i="10"/>
  <c r="R526" i="10"/>
  <c r="R1044" i="10"/>
  <c r="N526" i="10"/>
  <c r="N1044" i="10"/>
  <c r="Q527" i="10"/>
  <c r="Q1045" i="10"/>
  <c r="M527" i="10"/>
  <c r="M1045" i="10"/>
  <c r="P528" i="10"/>
  <c r="P438" i="10"/>
  <c r="P1046" i="10"/>
  <c r="L438" i="10"/>
  <c r="L528" i="10"/>
  <c r="L1046" i="10"/>
  <c r="O529" i="10"/>
  <c r="O1047" i="10"/>
  <c r="K1047" i="10"/>
  <c r="N530" i="10"/>
  <c r="N440" i="10"/>
  <c r="N1048" i="10"/>
  <c r="R531" i="10"/>
  <c r="R1049" i="10"/>
  <c r="N531" i="10"/>
  <c r="N1049" i="10"/>
  <c r="Q532" i="10"/>
  <c r="Q442" i="10"/>
  <c r="Q1050" i="10"/>
  <c r="M442" i="10"/>
  <c r="M532" i="10"/>
  <c r="M1050" i="10"/>
  <c r="J553" i="10"/>
  <c r="J541" i="10"/>
  <c r="J451" i="10"/>
  <c r="I538" i="10"/>
  <c r="E538" i="10"/>
  <c r="G540" i="10"/>
  <c r="G450" i="10"/>
  <c r="C450" i="10"/>
  <c r="F541" i="10"/>
  <c r="F451" i="10"/>
  <c r="I542" i="10"/>
  <c r="E542" i="10"/>
  <c r="H453" i="10"/>
  <c r="H543" i="10"/>
  <c r="D543" i="10"/>
  <c r="D453" i="10"/>
  <c r="F546" i="10"/>
  <c r="I547" i="10"/>
  <c r="E547" i="10"/>
  <c r="F550" i="10"/>
  <c r="F460" i="10"/>
  <c r="H462" i="10"/>
  <c r="H552" i="10"/>
  <c r="D552" i="10"/>
  <c r="D462" i="10"/>
  <c r="G553" i="10"/>
  <c r="F554" i="10"/>
  <c r="F464" i="10"/>
  <c r="R538" i="10"/>
  <c r="R542" i="10"/>
  <c r="R452" i="10"/>
  <c r="R546" i="10"/>
  <c r="R550" i="10"/>
  <c r="R460" i="10"/>
  <c r="R554" i="10"/>
  <c r="R464" i="10"/>
  <c r="N538" i="10"/>
  <c r="Q539" i="10"/>
  <c r="M539" i="10"/>
  <c r="P540" i="10"/>
  <c r="P450" i="10"/>
  <c r="L540" i="10"/>
  <c r="L450" i="10"/>
  <c r="O541" i="10"/>
  <c r="O451" i="10"/>
  <c r="K451" i="10"/>
  <c r="N542" i="10"/>
  <c r="Q453" i="10"/>
  <c r="Q543" i="10"/>
  <c r="M543" i="10"/>
  <c r="M453" i="10"/>
  <c r="P544" i="10"/>
  <c r="L544" i="10"/>
  <c r="O546" i="10"/>
  <c r="N547" i="10"/>
  <c r="Q548" i="10"/>
  <c r="M548" i="10"/>
  <c r="P549" i="10"/>
  <c r="P459" i="10"/>
  <c r="L549" i="10"/>
  <c r="L459" i="10"/>
  <c r="O550" i="10"/>
  <c r="O460" i="10"/>
  <c r="K460" i="10"/>
  <c r="N551" i="10"/>
  <c r="Q462" i="10"/>
  <c r="Q552" i="10"/>
  <c r="M552" i="10"/>
  <c r="M462" i="10"/>
  <c r="P553" i="10"/>
  <c r="L553" i="10"/>
  <c r="O554" i="10"/>
  <c r="O464" i="10"/>
  <c r="K464" i="10"/>
  <c r="J564" i="10"/>
  <c r="J474" i="10"/>
  <c r="J574" i="10"/>
  <c r="H560" i="10"/>
  <c r="D560" i="10"/>
  <c r="F562" i="10"/>
  <c r="F472" i="10"/>
  <c r="I563" i="10"/>
  <c r="I473" i="10"/>
  <c r="E563" i="10"/>
  <c r="E473" i="10"/>
  <c r="H564" i="10"/>
  <c r="D564" i="10"/>
  <c r="G475" i="10"/>
  <c r="G565" i="10"/>
  <c r="C475" i="10"/>
  <c r="F566" i="10"/>
  <c r="H571" i="10"/>
  <c r="H481" i="10"/>
  <c r="D571" i="10"/>
  <c r="D481" i="10"/>
  <c r="G482" i="10"/>
  <c r="G572" i="10"/>
  <c r="C482" i="10"/>
  <c r="F574" i="10"/>
  <c r="F484" i="10"/>
  <c r="I575" i="10"/>
  <c r="E575" i="10"/>
  <c r="H576" i="10"/>
  <c r="H486" i="10"/>
  <c r="D576" i="10"/>
  <c r="D486" i="10"/>
  <c r="R574" i="10"/>
  <c r="R570" i="10"/>
  <c r="R566" i="10"/>
  <c r="R472" i="10"/>
  <c r="R562" i="10"/>
  <c r="P560" i="10"/>
  <c r="L560" i="10"/>
  <c r="O561" i="10"/>
  <c r="N562" i="10"/>
  <c r="N472" i="10"/>
  <c r="Q563" i="10"/>
  <c r="Q473" i="10"/>
  <c r="M473" i="10"/>
  <c r="M563" i="10"/>
  <c r="P564" i="10"/>
  <c r="L564" i="10"/>
  <c r="O565" i="10"/>
  <c r="O475" i="10"/>
  <c r="K475" i="10"/>
  <c r="N566" i="10"/>
  <c r="Q568" i="10"/>
  <c r="M568" i="10"/>
  <c r="P569" i="10"/>
  <c r="L569" i="10"/>
  <c r="O570" i="10"/>
  <c r="N481" i="10"/>
  <c r="N571" i="10"/>
  <c r="Q572" i="10"/>
  <c r="Q482" i="10"/>
  <c r="M572" i="10"/>
  <c r="M482" i="10"/>
  <c r="P573" i="10"/>
  <c r="L573" i="10"/>
  <c r="O574" i="10"/>
  <c r="O484" i="10"/>
  <c r="N575" i="10"/>
  <c r="Q576" i="10"/>
  <c r="Q486" i="10"/>
  <c r="M576" i="10"/>
  <c r="M486" i="10"/>
  <c r="J1115" i="10"/>
  <c r="J1111" i="10"/>
  <c r="H1116" i="10"/>
  <c r="D1116" i="10"/>
  <c r="G1115" i="10"/>
  <c r="C1115" i="10"/>
  <c r="F1114" i="10"/>
  <c r="I1113" i="10"/>
  <c r="E1113" i="10"/>
  <c r="H1112" i="10"/>
  <c r="D1112" i="10"/>
  <c r="G1111" i="10"/>
  <c r="C1111" i="10"/>
  <c r="F1110" i="10"/>
  <c r="I1109" i="10"/>
  <c r="E1109" i="10"/>
  <c r="H1108" i="10"/>
  <c r="D1108" i="10"/>
  <c r="R582" i="10"/>
  <c r="R496" i="10"/>
  <c r="R586" i="10"/>
  <c r="R590" i="10"/>
  <c r="R594" i="10"/>
  <c r="R504" i="10"/>
  <c r="R598" i="10"/>
  <c r="R508" i="10"/>
  <c r="N598" i="10"/>
  <c r="N508" i="10"/>
  <c r="Q597" i="10"/>
  <c r="M597" i="10"/>
  <c r="P596" i="10"/>
  <c r="P506" i="10"/>
  <c r="L596" i="10"/>
  <c r="L506" i="10"/>
  <c r="O595" i="10"/>
  <c r="N594" i="10"/>
  <c r="N504" i="10"/>
  <c r="Q593" i="10"/>
  <c r="Q503" i="10"/>
  <c r="M593" i="10"/>
  <c r="M503" i="10"/>
  <c r="P592" i="10"/>
  <c r="L592" i="10"/>
  <c r="O591" i="10"/>
  <c r="K501" i="10"/>
  <c r="P588" i="10"/>
  <c r="L588" i="10"/>
  <c r="O497" i="10"/>
  <c r="O587" i="10"/>
  <c r="K497" i="10"/>
  <c r="N586" i="10"/>
  <c r="Q495" i="10"/>
  <c r="Q585" i="10"/>
  <c r="M585" i="10"/>
  <c r="M495" i="10"/>
  <c r="P494" i="10"/>
  <c r="P584" i="10"/>
  <c r="L584" i="10"/>
  <c r="L494" i="10"/>
  <c r="O583" i="10"/>
  <c r="N582" i="10"/>
  <c r="R756" i="10"/>
  <c r="J734" i="10"/>
  <c r="R712" i="10"/>
  <c r="R870" i="10"/>
  <c r="J936" i="10"/>
  <c r="M746" i="10"/>
  <c r="M702" i="10"/>
  <c r="E926" i="10"/>
  <c r="O701" i="10"/>
  <c r="O745" i="10"/>
  <c r="G723" i="10"/>
  <c r="G925" i="10"/>
  <c r="O699" i="10"/>
  <c r="O743" i="10"/>
  <c r="G721" i="10"/>
  <c r="G923" i="10"/>
  <c r="Q742" i="10"/>
  <c r="I720" i="10"/>
  <c r="Q698" i="10"/>
  <c r="I922" i="10"/>
  <c r="M742" i="10"/>
  <c r="E720" i="10"/>
  <c r="M698" i="10"/>
  <c r="E922" i="10"/>
  <c r="Q756" i="10"/>
  <c r="I734" i="10"/>
  <c r="Q712" i="10"/>
  <c r="I936" i="10"/>
  <c r="Q870" i="10"/>
  <c r="M756" i="10"/>
  <c r="E734" i="10"/>
  <c r="M712" i="10"/>
  <c r="E936" i="10"/>
  <c r="M870" i="10"/>
  <c r="O710" i="10"/>
  <c r="O754" i="10"/>
  <c r="G732" i="10"/>
  <c r="G934" i="10"/>
  <c r="O868" i="10"/>
  <c r="J1045" i="10"/>
  <c r="J865" i="10"/>
  <c r="J856" i="10"/>
  <c r="J1036" i="10"/>
  <c r="C1043" i="10"/>
  <c r="C863" i="10"/>
  <c r="I1039" i="10"/>
  <c r="I859" i="10"/>
  <c r="E1039" i="10"/>
  <c r="E859" i="10"/>
  <c r="H1038" i="10"/>
  <c r="D1038" i="10"/>
  <c r="G857" i="10"/>
  <c r="G1037" i="10"/>
  <c r="C1037" i="10"/>
  <c r="C857" i="10"/>
  <c r="F1036" i="10"/>
  <c r="F856" i="10"/>
  <c r="I1035" i="10"/>
  <c r="E1035" i="10"/>
  <c r="H1034" i="10"/>
  <c r="D1034" i="10"/>
  <c r="G870" i="10"/>
  <c r="G1050" i="10"/>
  <c r="C1050" i="10"/>
  <c r="C870" i="10"/>
  <c r="F1048" i="10"/>
  <c r="F868" i="10"/>
  <c r="I1046" i="10"/>
  <c r="E1046" i="10"/>
  <c r="J1071" i="10"/>
  <c r="F1056" i="10"/>
  <c r="I1058" i="10"/>
  <c r="E1058" i="10"/>
  <c r="H1059" i="10"/>
  <c r="D1059" i="10"/>
  <c r="I1064" i="10"/>
  <c r="E1064" i="10"/>
  <c r="H1065" i="10"/>
  <c r="D1065" i="10"/>
  <c r="I1068" i="10"/>
  <c r="E1068" i="10"/>
  <c r="G1070" i="10"/>
  <c r="C1070" i="10"/>
  <c r="F1071" i="10"/>
  <c r="I1072" i="10"/>
  <c r="E1072" i="10"/>
  <c r="R1035" i="10"/>
  <c r="O860" i="10"/>
  <c r="O1040" i="10"/>
  <c r="K1040" i="10"/>
  <c r="K860" i="10"/>
  <c r="N859" i="10"/>
  <c r="N1039" i="10"/>
  <c r="Q1038" i="10"/>
  <c r="M1038" i="10"/>
  <c r="P1037" i="10"/>
  <c r="P857" i="10"/>
  <c r="L857" i="10"/>
  <c r="L1037" i="10"/>
  <c r="O1036" i="10"/>
  <c r="O856" i="10"/>
  <c r="K1036" i="10"/>
  <c r="K856" i="10"/>
  <c r="N1035" i="10"/>
  <c r="Q1034" i="10"/>
  <c r="M1034" i="10"/>
  <c r="R1071" i="10"/>
  <c r="R1067" i="10"/>
  <c r="R887" i="10"/>
  <c r="R1059" i="10"/>
  <c r="R879" i="10"/>
  <c r="Q1072" i="10"/>
  <c r="Q892" i="10"/>
  <c r="M892" i="10"/>
  <c r="M1072" i="10"/>
  <c r="P1071" i="10"/>
  <c r="L1071" i="10"/>
  <c r="O1070" i="10"/>
  <c r="O890" i="10"/>
  <c r="K1070" i="10"/>
  <c r="N1069" i="10"/>
  <c r="Q1068" i="10"/>
  <c r="M1068" i="10"/>
  <c r="P1067" i="10"/>
  <c r="P887" i="10"/>
  <c r="L1067" i="10"/>
  <c r="L887" i="10"/>
  <c r="O1066" i="10"/>
  <c r="K1066" i="10"/>
  <c r="N1065" i="10"/>
  <c r="Q1064" i="10"/>
  <c r="M1064" i="10"/>
  <c r="O1062" i="10"/>
  <c r="O882" i="10"/>
  <c r="K1062" i="10"/>
  <c r="K882" i="10"/>
  <c r="N881" i="10"/>
  <c r="N1061" i="10"/>
  <c r="Q1060" i="10"/>
  <c r="M1060" i="10"/>
  <c r="P1059" i="10"/>
  <c r="P879" i="10"/>
  <c r="L1059" i="10"/>
  <c r="L879" i="10"/>
  <c r="O1058" i="10"/>
  <c r="O878" i="10"/>
  <c r="K1058" i="10"/>
  <c r="K878" i="10"/>
  <c r="N1057" i="10"/>
  <c r="Q1056" i="10"/>
  <c r="M1056" i="10"/>
  <c r="J1093" i="10"/>
  <c r="J1089" i="10"/>
  <c r="J909" i="10"/>
  <c r="J1084" i="10"/>
  <c r="J1080" i="10"/>
  <c r="J900" i="10"/>
  <c r="R1093" i="10"/>
  <c r="R1089" i="10"/>
  <c r="R909" i="10"/>
  <c r="R1081" i="10"/>
  <c r="R901" i="10"/>
  <c r="I1078" i="10"/>
  <c r="E1078" i="10"/>
  <c r="G1080" i="10"/>
  <c r="G900" i="10"/>
  <c r="C1080" i="10"/>
  <c r="C900" i="10"/>
  <c r="F901" i="10"/>
  <c r="F1081" i="10"/>
  <c r="I1082" i="10"/>
  <c r="E1082" i="10"/>
  <c r="H1083" i="10"/>
  <c r="H903" i="10"/>
  <c r="D1083" i="10"/>
  <c r="D903" i="10"/>
  <c r="G1084" i="10"/>
  <c r="G904" i="10"/>
  <c r="C1084" i="10"/>
  <c r="C904" i="10"/>
  <c r="G1089" i="10"/>
  <c r="G909" i="10"/>
  <c r="C1089" i="10"/>
  <c r="C909" i="10"/>
  <c r="F1090" i="10"/>
  <c r="H1092" i="10"/>
  <c r="H912" i="10"/>
  <c r="D1092" i="10"/>
  <c r="D912" i="10"/>
  <c r="G1093" i="10"/>
  <c r="C1093" i="10"/>
  <c r="F914" i="10"/>
  <c r="F1094" i="10"/>
  <c r="Q1078" i="10"/>
  <c r="M1078" i="10"/>
  <c r="P1079" i="10"/>
  <c r="L1079" i="10"/>
  <c r="O1080" i="10"/>
  <c r="O900" i="10"/>
  <c r="K1080" i="10"/>
  <c r="K900" i="10"/>
  <c r="N901" i="10"/>
  <c r="N1081" i="10"/>
  <c r="Q1082" i="10"/>
  <c r="M1082" i="10"/>
  <c r="P1083" i="10"/>
  <c r="P903" i="10"/>
  <c r="L1083" i="10"/>
  <c r="L903" i="10"/>
  <c r="O1084" i="10"/>
  <c r="O904" i="10"/>
  <c r="K1084" i="10"/>
  <c r="K904" i="10"/>
  <c r="Q1086" i="10"/>
  <c r="M1086" i="10"/>
  <c r="P1087" i="10"/>
  <c r="L1087" i="10"/>
  <c r="O1088" i="10"/>
  <c r="K1088" i="10"/>
  <c r="N909" i="10"/>
  <c r="N1089" i="10"/>
  <c r="Q1090" i="10"/>
  <c r="M1090" i="10"/>
  <c r="P1091" i="10"/>
  <c r="L1091" i="10"/>
  <c r="O1092" i="10"/>
  <c r="O912" i="10"/>
  <c r="K1092" i="10"/>
  <c r="N1093" i="10"/>
  <c r="Q1094" i="10"/>
  <c r="Q914" i="10"/>
  <c r="M914" i="10"/>
  <c r="M1094" i="10"/>
  <c r="R1115" i="10"/>
  <c r="R1111" i="10"/>
  <c r="R931" i="10"/>
  <c r="R1103" i="10"/>
  <c r="R923" i="10"/>
  <c r="Q1101" i="10"/>
  <c r="M1101" i="10"/>
  <c r="P1100" i="10"/>
  <c r="L1100" i="10"/>
  <c r="O1103" i="10"/>
  <c r="O923" i="10"/>
  <c r="K1103" i="10"/>
  <c r="K923" i="10"/>
  <c r="N922" i="10"/>
  <c r="N1102" i="10"/>
  <c r="Q1105" i="10"/>
  <c r="Q925" i="10"/>
  <c r="M925" i="10"/>
  <c r="M1105" i="10"/>
  <c r="P1104" i="10"/>
  <c r="L1104" i="10"/>
  <c r="N926" i="10"/>
  <c r="N1106" i="10"/>
  <c r="Q1109" i="10"/>
  <c r="M1109" i="10"/>
  <c r="O1111" i="10"/>
  <c r="O931" i="10"/>
  <c r="K1111" i="10"/>
  <c r="K931" i="10"/>
  <c r="N1110" i="10"/>
  <c r="Q1113" i="10"/>
  <c r="M1113" i="10"/>
  <c r="P1112" i="10"/>
  <c r="L1112" i="10"/>
  <c r="O1116" i="10"/>
  <c r="O936" i="10"/>
  <c r="K1116" i="10"/>
  <c r="K936" i="10"/>
  <c r="N1115" i="10"/>
  <c r="Q1114" i="10"/>
  <c r="Q934" i="10"/>
  <c r="M934" i="10"/>
  <c r="M1114" i="10"/>
  <c r="E1107" i="10"/>
  <c r="R747" i="10"/>
  <c r="J725" i="10"/>
  <c r="R703" i="10"/>
  <c r="R861" i="10"/>
  <c r="Q703" i="10"/>
  <c r="Q747" i="10"/>
  <c r="I725" i="10"/>
  <c r="Q861" i="10"/>
  <c r="I927" i="10"/>
  <c r="H1041" i="10"/>
  <c r="H861" i="10"/>
  <c r="E1061" i="10"/>
  <c r="E1060" i="10"/>
  <c r="D1063" i="10"/>
  <c r="D883" i="10"/>
  <c r="N1063" i="10"/>
  <c r="N883" i="10"/>
  <c r="H1085" i="10"/>
  <c r="H905" i="10"/>
  <c r="D1085" i="10"/>
  <c r="D905" i="10"/>
  <c r="L1085" i="10"/>
  <c r="L905" i="10"/>
  <c r="Q1107" i="10"/>
  <c r="Q927" i="10"/>
  <c r="M927" i="10"/>
  <c r="M1107" i="10"/>
  <c r="M703" i="10"/>
  <c r="M747" i="10"/>
  <c r="E725" i="10"/>
  <c r="M861" i="10"/>
  <c r="E927" i="10"/>
  <c r="D1041" i="10"/>
  <c r="D861" i="10"/>
  <c r="I1061" i="10"/>
  <c r="I1060" i="10"/>
  <c r="H1063" i="10"/>
  <c r="H883" i="10"/>
  <c r="J433" i="10"/>
  <c r="J523" i="10"/>
  <c r="R433" i="10"/>
  <c r="R523" i="10"/>
  <c r="R1041" i="10"/>
  <c r="R545" i="10"/>
  <c r="R455" i="10"/>
  <c r="J567" i="10"/>
  <c r="J477" i="10"/>
  <c r="R477" i="10"/>
  <c r="R567" i="10"/>
  <c r="H1107" i="10"/>
  <c r="D1107" i="10"/>
  <c r="R589" i="10"/>
  <c r="R499" i="10"/>
  <c r="N589" i="10"/>
  <c r="N499" i="10"/>
  <c r="P703" i="10"/>
  <c r="P747" i="10"/>
  <c r="H725" i="10"/>
  <c r="H927" i="10"/>
  <c r="P861" i="10"/>
  <c r="L703" i="10"/>
  <c r="L747" i="10"/>
  <c r="D725" i="10"/>
  <c r="L861" i="10"/>
  <c r="D927" i="10"/>
  <c r="J1041" i="10"/>
  <c r="J861" i="10"/>
  <c r="G1041" i="10"/>
  <c r="G861" i="10"/>
  <c r="C1041" i="10"/>
  <c r="C861" i="10"/>
  <c r="H1061" i="10"/>
  <c r="D1061" i="10"/>
  <c r="H1060" i="10"/>
  <c r="D1060" i="10"/>
  <c r="G1063" i="10"/>
  <c r="G883" i="10"/>
  <c r="C1063" i="10"/>
  <c r="C883" i="10"/>
  <c r="Q1063" i="10"/>
  <c r="Q883" i="10"/>
  <c r="M883" i="10"/>
  <c r="M1063" i="10"/>
  <c r="J1085" i="10"/>
  <c r="J905" i="10"/>
  <c r="G1085" i="10"/>
  <c r="G905" i="10"/>
  <c r="C1085" i="10"/>
  <c r="C905" i="10"/>
  <c r="O1085" i="10"/>
  <c r="O905" i="10"/>
  <c r="K1085" i="10"/>
  <c r="K905" i="10"/>
  <c r="P1107" i="10"/>
  <c r="P927" i="10"/>
  <c r="L1107" i="10"/>
  <c r="L927" i="10"/>
  <c r="O499" i="10"/>
  <c r="O589" i="10"/>
  <c r="J545" i="10"/>
  <c r="J455" i="10"/>
  <c r="J1107" i="10"/>
  <c r="G1107" i="10"/>
  <c r="C1107" i="10"/>
  <c r="Q589" i="10"/>
  <c r="Q499" i="10"/>
  <c r="M499" i="10"/>
  <c r="M589" i="10"/>
  <c r="O703" i="10"/>
  <c r="O747" i="10"/>
  <c r="G725" i="10"/>
  <c r="G927" i="10"/>
  <c r="O861" i="10"/>
  <c r="F1041" i="10"/>
  <c r="F861" i="10"/>
  <c r="J1063" i="10"/>
  <c r="J883" i="10"/>
  <c r="G1061" i="10"/>
  <c r="C1061" i="10"/>
  <c r="C881" i="10"/>
  <c r="G1060" i="10"/>
  <c r="C1060" i="10"/>
  <c r="F1063" i="10"/>
  <c r="F883" i="10"/>
  <c r="R1063" i="10"/>
  <c r="R883" i="10"/>
  <c r="P1063" i="10"/>
  <c r="P883" i="10"/>
  <c r="L1063" i="10"/>
  <c r="L883" i="10"/>
  <c r="R1085" i="10"/>
  <c r="R905" i="10"/>
  <c r="F1085" i="10"/>
  <c r="F905" i="10"/>
  <c r="N1085" i="10"/>
  <c r="N905" i="10"/>
  <c r="R1107" i="10"/>
  <c r="R927" i="10"/>
  <c r="O1107" i="10"/>
  <c r="O927" i="10"/>
  <c r="K1107" i="10"/>
  <c r="K927" i="10"/>
  <c r="I1107" i="10"/>
  <c r="K499" i="10"/>
  <c r="P1085" i="10"/>
  <c r="P905" i="10"/>
  <c r="F1107" i="10"/>
  <c r="P499" i="10"/>
  <c r="P589" i="10"/>
  <c r="L499" i="10"/>
  <c r="L589" i="10"/>
  <c r="N747" i="10"/>
  <c r="F725" i="10"/>
  <c r="N703" i="10"/>
  <c r="F927" i="10"/>
  <c r="N861" i="10"/>
  <c r="I861" i="10"/>
  <c r="I1041" i="10"/>
  <c r="E1041" i="10"/>
  <c r="E861" i="10"/>
  <c r="F1061" i="10"/>
  <c r="F1060" i="10"/>
  <c r="I1063" i="10"/>
  <c r="I883" i="10"/>
  <c r="E883" i="10"/>
  <c r="E1063" i="10"/>
  <c r="O1063" i="10"/>
  <c r="O883" i="10"/>
  <c r="K1063" i="10"/>
  <c r="K883" i="10"/>
  <c r="I1085" i="10"/>
  <c r="I905" i="10"/>
  <c r="E905" i="10"/>
  <c r="E1085" i="10"/>
  <c r="Q1085" i="10"/>
  <c r="Q905" i="10"/>
  <c r="M905" i="10"/>
  <c r="M1085" i="10"/>
  <c r="N1107" i="10"/>
  <c r="N927" i="10"/>
  <c r="R295" i="10"/>
  <c r="J595" i="10"/>
  <c r="J591" i="10"/>
  <c r="J497" i="10"/>
  <c r="J587" i="10"/>
  <c r="J583" i="10"/>
  <c r="G582" i="10"/>
  <c r="C582" i="10"/>
  <c r="F508" i="10"/>
  <c r="F598" i="10"/>
  <c r="I597" i="10"/>
  <c r="E597" i="10"/>
  <c r="H506" i="10"/>
  <c r="H596" i="10"/>
  <c r="D506" i="10"/>
  <c r="D596" i="10"/>
  <c r="G595" i="10"/>
  <c r="C595" i="10"/>
  <c r="F504" i="10"/>
  <c r="F594" i="10"/>
  <c r="I503" i="10"/>
  <c r="I593" i="10"/>
  <c r="E503" i="10"/>
  <c r="E593" i="10"/>
  <c r="H592" i="10"/>
  <c r="D592" i="10"/>
  <c r="G591" i="10"/>
  <c r="C501" i="10"/>
  <c r="C591" i="10"/>
  <c r="F590" i="10"/>
  <c r="I499" i="10"/>
  <c r="I589" i="10"/>
  <c r="E589" i="10"/>
  <c r="H588" i="10"/>
  <c r="D588" i="10"/>
  <c r="G497" i="10"/>
  <c r="G587" i="10"/>
  <c r="C497" i="10"/>
  <c r="C587" i="10"/>
  <c r="F586" i="10"/>
  <c r="I495" i="10"/>
  <c r="I585" i="10"/>
  <c r="E495" i="10"/>
  <c r="E585" i="10"/>
  <c r="H494" i="10"/>
  <c r="H584" i="10"/>
  <c r="D494" i="10"/>
  <c r="D584" i="10"/>
  <c r="G583" i="10"/>
  <c r="C583" i="10"/>
  <c r="J504" i="10"/>
  <c r="J594" i="10"/>
  <c r="J590" i="10"/>
  <c r="J586" i="10"/>
  <c r="J496" i="10"/>
  <c r="J582" i="10"/>
  <c r="F582" i="10"/>
  <c r="I598" i="10"/>
  <c r="I508" i="10"/>
  <c r="E598" i="10"/>
  <c r="E508" i="10"/>
  <c r="H597" i="10"/>
  <c r="D597" i="10"/>
  <c r="G596" i="10"/>
  <c r="G506" i="10"/>
  <c r="C596" i="10"/>
  <c r="F595" i="10"/>
  <c r="I594" i="10"/>
  <c r="I504" i="10"/>
  <c r="E594" i="10"/>
  <c r="E504" i="10"/>
  <c r="H503" i="10"/>
  <c r="H593" i="10"/>
  <c r="D503" i="10"/>
  <c r="D593" i="10"/>
  <c r="G592" i="10"/>
  <c r="C592" i="10"/>
  <c r="F591" i="10"/>
  <c r="I590" i="10"/>
  <c r="E590" i="10"/>
  <c r="H589" i="10"/>
  <c r="H499" i="10"/>
  <c r="D589" i="10"/>
  <c r="D499" i="10"/>
  <c r="G588" i="10"/>
  <c r="C588" i="10"/>
  <c r="F587" i="10"/>
  <c r="F497" i="10"/>
  <c r="I586" i="10"/>
  <c r="E586" i="10"/>
  <c r="H585" i="10"/>
  <c r="H495" i="10"/>
  <c r="D585" i="10"/>
  <c r="D495" i="10"/>
  <c r="G584" i="10"/>
  <c r="G494" i="10"/>
  <c r="C584" i="10"/>
  <c r="C494" i="10"/>
  <c r="F583" i="10"/>
  <c r="J598" i="10"/>
  <c r="J508" i="10"/>
  <c r="R293" i="10"/>
  <c r="J597" i="10"/>
  <c r="J593" i="10"/>
  <c r="J503" i="10"/>
  <c r="J589" i="10"/>
  <c r="J495" i="10"/>
  <c r="J585" i="10"/>
  <c r="I582" i="10"/>
  <c r="E582" i="10"/>
  <c r="H598" i="10"/>
  <c r="H508" i="10"/>
  <c r="D598" i="10"/>
  <c r="D508" i="10"/>
  <c r="G597" i="10"/>
  <c r="C597" i="10"/>
  <c r="F596" i="10"/>
  <c r="F506" i="10"/>
  <c r="I595" i="10"/>
  <c r="E595" i="10"/>
  <c r="H594" i="10"/>
  <c r="H504" i="10"/>
  <c r="D594" i="10"/>
  <c r="D504" i="10"/>
  <c r="G503" i="10"/>
  <c r="G593" i="10"/>
  <c r="C593" i="10"/>
  <c r="C503" i="10"/>
  <c r="F592" i="10"/>
  <c r="I591" i="10"/>
  <c r="E591" i="10"/>
  <c r="H590" i="10"/>
  <c r="D590" i="10"/>
  <c r="G589" i="10"/>
  <c r="G499" i="10"/>
  <c r="C589" i="10"/>
  <c r="F588" i="10"/>
  <c r="I587" i="10"/>
  <c r="I497" i="10"/>
  <c r="E587" i="10"/>
  <c r="E497" i="10"/>
  <c r="H586" i="10"/>
  <c r="D586" i="10"/>
  <c r="G585" i="10"/>
  <c r="G495" i="10"/>
  <c r="C585" i="10"/>
  <c r="C495" i="10"/>
  <c r="F584" i="10"/>
  <c r="F494" i="10"/>
  <c r="I583" i="10"/>
  <c r="E583" i="10"/>
  <c r="R292" i="10"/>
  <c r="J596" i="10"/>
  <c r="J592" i="10"/>
  <c r="J588" i="10"/>
  <c r="J584" i="10"/>
  <c r="J494" i="10"/>
  <c r="H582" i="10"/>
  <c r="D582" i="10"/>
  <c r="G598" i="10"/>
  <c r="G508" i="10"/>
  <c r="C598" i="10"/>
  <c r="C508" i="10"/>
  <c r="F597" i="10"/>
  <c r="I596" i="10"/>
  <c r="I506" i="10"/>
  <c r="E596" i="10"/>
  <c r="E506" i="10"/>
  <c r="H595" i="10"/>
  <c r="D595" i="10"/>
  <c r="G594" i="10"/>
  <c r="G504" i="10"/>
  <c r="C594" i="10"/>
  <c r="C504" i="10"/>
  <c r="F593" i="10"/>
  <c r="F503" i="10"/>
  <c r="I592" i="10"/>
  <c r="E592" i="10"/>
  <c r="H591" i="10"/>
  <c r="D591" i="10"/>
  <c r="G590" i="10"/>
  <c r="C590" i="10"/>
  <c r="F589" i="10"/>
  <c r="F499" i="10"/>
  <c r="I588" i="10"/>
  <c r="E588" i="10"/>
  <c r="H587" i="10"/>
  <c r="H497" i="10"/>
  <c r="D587" i="10"/>
  <c r="D497" i="10"/>
  <c r="G586" i="10"/>
  <c r="C586" i="10"/>
  <c r="F585" i="10"/>
  <c r="F495" i="10"/>
  <c r="I584" i="10"/>
  <c r="I494" i="10"/>
  <c r="E584" i="10"/>
  <c r="E494" i="10"/>
  <c r="H583" i="10"/>
  <c r="D583" i="10"/>
  <c r="J892" i="10"/>
  <c r="J876" i="10"/>
  <c r="J890" i="10"/>
  <c r="J879" i="10"/>
  <c r="J878" i="10"/>
  <c r="J237" i="10"/>
  <c r="J236" i="10"/>
  <c r="J235" i="10"/>
  <c r="J234" i="10"/>
  <c r="J233" i="10"/>
  <c r="J232" i="10"/>
  <c r="J231" i="10"/>
  <c r="J230" i="10"/>
  <c r="J229" i="10"/>
  <c r="J227" i="10"/>
  <c r="J226" i="10"/>
  <c r="J225" i="10"/>
  <c r="J223" i="10"/>
  <c r="J222" i="10"/>
  <c r="J221" i="10"/>
  <c r="C211" i="10"/>
  <c r="D211" i="10"/>
  <c r="E211" i="10"/>
  <c r="F211" i="10"/>
  <c r="G211" i="10"/>
  <c r="H211" i="10"/>
  <c r="I211" i="10"/>
  <c r="C212" i="10"/>
  <c r="D212" i="10"/>
  <c r="E212" i="10"/>
  <c r="F212" i="10"/>
  <c r="G212" i="10"/>
  <c r="H212" i="10"/>
  <c r="I212" i="10"/>
  <c r="C210" i="10"/>
  <c r="D210" i="10"/>
  <c r="E210" i="10"/>
  <c r="F210" i="10"/>
  <c r="G210" i="10"/>
  <c r="H210" i="10"/>
  <c r="I210" i="10"/>
  <c r="C209" i="10"/>
  <c r="D209" i="10"/>
  <c r="E209" i="10"/>
  <c r="F209" i="10"/>
  <c r="G209" i="10"/>
  <c r="H209" i="10"/>
  <c r="I209" i="10"/>
  <c r="C208" i="10"/>
  <c r="D208" i="10"/>
  <c r="E208" i="10"/>
  <c r="F208" i="10"/>
  <c r="G208" i="10"/>
  <c r="H208" i="10"/>
  <c r="I208" i="10"/>
  <c r="C207" i="10"/>
  <c r="D207" i="10"/>
  <c r="E207" i="10"/>
  <c r="F207" i="10"/>
  <c r="G207" i="10"/>
  <c r="H207" i="10"/>
  <c r="I207" i="10"/>
  <c r="C206" i="10"/>
  <c r="D206" i="10"/>
  <c r="E206" i="10"/>
  <c r="F206" i="10"/>
  <c r="G206" i="10"/>
  <c r="H206" i="10"/>
  <c r="I206" i="10"/>
  <c r="C205" i="10"/>
  <c r="D205" i="10"/>
  <c r="E205" i="10"/>
  <c r="F205" i="10"/>
  <c r="G205" i="10"/>
  <c r="H205" i="10"/>
  <c r="I205" i="10"/>
  <c r="C204" i="10"/>
  <c r="D204" i="10"/>
  <c r="E204" i="10"/>
  <c r="F204" i="10"/>
  <c r="G204" i="10"/>
  <c r="H204" i="10"/>
  <c r="I204" i="10"/>
  <c r="C202" i="10"/>
  <c r="D202" i="10"/>
  <c r="E202" i="10"/>
  <c r="F202" i="10"/>
  <c r="G202" i="10"/>
  <c r="H202" i="10"/>
  <c r="I202" i="10"/>
  <c r="C201" i="10"/>
  <c r="D201" i="10"/>
  <c r="E201" i="10"/>
  <c r="F201" i="10"/>
  <c r="G201" i="10"/>
  <c r="H201" i="10"/>
  <c r="I201" i="10"/>
  <c r="C200" i="10"/>
  <c r="D200" i="10"/>
  <c r="E200" i="10"/>
  <c r="F200" i="10"/>
  <c r="G200" i="10"/>
  <c r="H200" i="10"/>
  <c r="I200" i="10"/>
  <c r="C199" i="10"/>
  <c r="D199" i="10"/>
  <c r="E199" i="10"/>
  <c r="F199" i="10"/>
  <c r="G199" i="10"/>
  <c r="H199" i="10"/>
  <c r="I199" i="10"/>
  <c r="C198" i="10"/>
  <c r="D198" i="10"/>
  <c r="E198" i="10"/>
  <c r="F198" i="10"/>
  <c r="G198" i="10"/>
  <c r="H198" i="10"/>
  <c r="I198" i="10"/>
  <c r="C197" i="10"/>
  <c r="D197" i="10"/>
  <c r="E197" i="10"/>
  <c r="F197" i="10"/>
  <c r="G197" i="10"/>
  <c r="H197" i="10"/>
  <c r="I197" i="10"/>
  <c r="C196" i="10"/>
  <c r="D196" i="10"/>
  <c r="E196" i="10"/>
  <c r="F196" i="10"/>
  <c r="G196" i="10"/>
  <c r="H196" i="10"/>
  <c r="I196" i="10"/>
  <c r="J212" i="10"/>
  <c r="J211" i="10"/>
  <c r="J210" i="10"/>
  <c r="J209" i="10"/>
  <c r="J208" i="10"/>
  <c r="J207" i="10"/>
  <c r="J206" i="10"/>
  <c r="J205" i="10"/>
  <c r="J204" i="10"/>
  <c r="J202" i="10"/>
  <c r="J201" i="10"/>
  <c r="J200" i="10"/>
  <c r="J199" i="10"/>
  <c r="J198" i="10"/>
  <c r="J197" i="10"/>
  <c r="J196" i="10"/>
  <c r="C141" i="10"/>
  <c r="D141" i="10"/>
  <c r="E141" i="10"/>
  <c r="F141" i="10"/>
  <c r="G141" i="10"/>
  <c r="H141" i="10"/>
  <c r="I141" i="10"/>
  <c r="C140" i="10"/>
  <c r="D140" i="10"/>
  <c r="E140" i="10"/>
  <c r="F140" i="10"/>
  <c r="G140" i="10"/>
  <c r="H140" i="10"/>
  <c r="I140" i="10"/>
  <c r="C139" i="10"/>
  <c r="D139" i="10"/>
  <c r="E139" i="10"/>
  <c r="F139" i="10"/>
  <c r="G139" i="10"/>
  <c r="H139" i="10"/>
  <c r="I139" i="10"/>
  <c r="C137" i="10"/>
  <c r="D137" i="10"/>
  <c r="E137" i="10"/>
  <c r="F137" i="10"/>
  <c r="G137" i="10"/>
  <c r="H137" i="10"/>
  <c r="I137" i="10"/>
  <c r="C135" i="10"/>
  <c r="D135" i="10"/>
  <c r="E135" i="10"/>
  <c r="F135" i="10"/>
  <c r="G135" i="10"/>
  <c r="H135" i="10"/>
  <c r="I135" i="10"/>
  <c r="C134" i="10"/>
  <c r="D134" i="10"/>
  <c r="E134" i="10"/>
  <c r="F134" i="10"/>
  <c r="G134" i="10"/>
  <c r="H134" i="10"/>
  <c r="D131" i="10"/>
  <c r="E131" i="10"/>
  <c r="F131" i="10"/>
  <c r="G131" i="10"/>
  <c r="H131" i="10"/>
  <c r="I131" i="10"/>
  <c r="C130" i="10"/>
  <c r="D130" i="10"/>
  <c r="E130" i="10"/>
  <c r="F130" i="10"/>
  <c r="G130" i="10"/>
  <c r="H130" i="10"/>
  <c r="I130" i="10"/>
  <c r="C128" i="10"/>
  <c r="D128" i="10"/>
  <c r="E128" i="10"/>
  <c r="F128" i="10"/>
  <c r="G128" i="10"/>
  <c r="H128" i="10"/>
  <c r="I128" i="10"/>
  <c r="C127" i="10"/>
  <c r="D127" i="10"/>
  <c r="E127" i="10"/>
  <c r="F127" i="10"/>
  <c r="G127" i="10"/>
  <c r="H127" i="10"/>
  <c r="I127" i="10"/>
  <c r="C125" i="10"/>
  <c r="D125" i="10"/>
  <c r="E125" i="10"/>
  <c r="F125" i="10"/>
  <c r="G125" i="10"/>
  <c r="H125" i="10"/>
  <c r="I125" i="10"/>
  <c r="C189" i="10"/>
  <c r="D189" i="10"/>
  <c r="E189" i="10"/>
  <c r="F189" i="10"/>
  <c r="G189" i="10"/>
  <c r="H189" i="10"/>
  <c r="I189" i="10"/>
  <c r="C188" i="10"/>
  <c r="D188" i="10"/>
  <c r="E188" i="10"/>
  <c r="F188" i="10"/>
  <c r="G188" i="10"/>
  <c r="H188" i="10"/>
  <c r="I188" i="10"/>
  <c r="J188" i="10"/>
  <c r="C187" i="10"/>
  <c r="D187" i="10"/>
  <c r="E187" i="10"/>
  <c r="F187" i="10"/>
  <c r="G187" i="10"/>
  <c r="H187" i="10"/>
  <c r="I187" i="10"/>
  <c r="C186" i="10"/>
  <c r="D186" i="10"/>
  <c r="E186" i="10"/>
  <c r="F186" i="10"/>
  <c r="G186" i="10"/>
  <c r="H186" i="10"/>
  <c r="I186" i="10"/>
  <c r="J186" i="10"/>
  <c r="C185" i="10"/>
  <c r="D185" i="10"/>
  <c r="E185" i="10"/>
  <c r="F185" i="10"/>
  <c r="G185" i="10"/>
  <c r="H185" i="10"/>
  <c r="I185" i="10"/>
  <c r="J185" i="10"/>
  <c r="C173" i="10"/>
  <c r="D173" i="10"/>
  <c r="E173" i="10"/>
  <c r="F173" i="10"/>
  <c r="G173" i="10"/>
  <c r="H173" i="10"/>
  <c r="I173" i="10"/>
  <c r="C174" i="10"/>
  <c r="D174" i="10"/>
  <c r="E174" i="10"/>
  <c r="F174" i="10"/>
  <c r="G174" i="10"/>
  <c r="H174" i="10"/>
  <c r="I174" i="10"/>
  <c r="C175" i="10"/>
  <c r="D175" i="10"/>
  <c r="E175" i="10"/>
  <c r="F175" i="10"/>
  <c r="G175" i="10"/>
  <c r="H175" i="10"/>
  <c r="I175" i="10"/>
  <c r="C176" i="10"/>
  <c r="D176" i="10"/>
  <c r="E176" i="10"/>
  <c r="F176" i="10"/>
  <c r="G176" i="10"/>
  <c r="H176" i="10"/>
  <c r="I176" i="10"/>
  <c r="C184" i="10"/>
  <c r="D184" i="10"/>
  <c r="E184" i="10"/>
  <c r="F184" i="10"/>
  <c r="G184" i="10"/>
  <c r="H184" i="10"/>
  <c r="I184" i="10"/>
  <c r="J184" i="10"/>
  <c r="C183" i="10"/>
  <c r="D183" i="10"/>
  <c r="E183" i="10"/>
  <c r="F183" i="10"/>
  <c r="G183" i="10"/>
  <c r="H183" i="10"/>
  <c r="I183" i="10"/>
  <c r="J183" i="10"/>
  <c r="C182" i="10"/>
  <c r="D182" i="10"/>
  <c r="E182" i="10"/>
  <c r="F182" i="10"/>
  <c r="G182" i="10"/>
  <c r="H182" i="10"/>
  <c r="I182" i="10"/>
  <c r="C181" i="10"/>
  <c r="D181" i="10"/>
  <c r="E181" i="10"/>
  <c r="F181" i="10"/>
  <c r="G181" i="10"/>
  <c r="H181" i="10"/>
  <c r="C179" i="10"/>
  <c r="D179" i="10"/>
  <c r="E179" i="10"/>
  <c r="F179" i="10"/>
  <c r="G179" i="10"/>
  <c r="H179" i="10"/>
  <c r="I179" i="10"/>
  <c r="J179" i="10"/>
  <c r="C178" i="10"/>
  <c r="D178" i="10"/>
  <c r="E178" i="10"/>
  <c r="F178" i="10"/>
  <c r="G178" i="10"/>
  <c r="H178" i="10"/>
  <c r="I178" i="10"/>
  <c r="J178" i="10"/>
  <c r="C177" i="10"/>
  <c r="D177" i="10"/>
  <c r="E177" i="10"/>
  <c r="F177" i="10"/>
  <c r="G177" i="10"/>
  <c r="H177" i="10"/>
  <c r="I177" i="10"/>
  <c r="J177" i="10"/>
  <c r="J176" i="10"/>
  <c r="J174" i="10"/>
  <c r="J173" i="10"/>
  <c r="J189" i="10"/>
  <c r="J187" i="10"/>
  <c r="J182" i="10"/>
  <c r="J175" i="10"/>
  <c r="J125" i="10"/>
  <c r="J127" i="10"/>
  <c r="J128" i="10"/>
  <c r="J129" i="10"/>
  <c r="J131" i="10"/>
  <c r="J134" i="10"/>
  <c r="J135" i="10"/>
  <c r="J137" i="10"/>
  <c r="J139" i="10"/>
  <c r="J140" i="10"/>
  <c r="J141" i="10"/>
  <c r="J78" i="10"/>
  <c r="R101" i="10" l="1"/>
  <c r="R323" i="10"/>
  <c r="R314" i="10"/>
  <c r="R324" i="10"/>
  <c r="R328" i="10"/>
  <c r="R316" i="10"/>
  <c r="R317" i="10"/>
  <c r="R100" i="10"/>
  <c r="J94" i="10"/>
  <c r="I94" i="10"/>
  <c r="H94" i="10"/>
  <c r="G94" i="10"/>
  <c r="F94" i="10"/>
  <c r="E94" i="10"/>
  <c r="D94" i="10"/>
  <c r="J93" i="10"/>
  <c r="I93" i="10"/>
  <c r="H93" i="10"/>
  <c r="G93" i="10"/>
  <c r="F93" i="10"/>
  <c r="E93" i="10"/>
  <c r="D93" i="10"/>
  <c r="J92" i="10"/>
  <c r="I92" i="10"/>
  <c r="H92" i="10"/>
  <c r="G92" i="10"/>
  <c r="F92" i="10"/>
  <c r="E92" i="10"/>
  <c r="D92" i="10"/>
  <c r="J91" i="10"/>
  <c r="I91" i="10"/>
  <c r="H91" i="10"/>
  <c r="G91" i="10"/>
  <c r="F91" i="10"/>
  <c r="E91" i="10"/>
  <c r="D91" i="10"/>
  <c r="J90" i="10"/>
  <c r="I90" i="10"/>
  <c r="H90" i="10"/>
  <c r="G90" i="10"/>
  <c r="F90" i="10"/>
  <c r="E90" i="10"/>
  <c r="D90" i="10"/>
  <c r="J88" i="10"/>
  <c r="I88" i="10"/>
  <c r="H88" i="10"/>
  <c r="G88" i="10"/>
  <c r="F88" i="10"/>
  <c r="E88" i="10"/>
  <c r="D88" i="10"/>
  <c r="J87" i="10"/>
  <c r="I87" i="10"/>
  <c r="H87" i="10"/>
  <c r="G87" i="10"/>
  <c r="F87" i="10"/>
  <c r="E87" i="10"/>
  <c r="D87" i="10"/>
  <c r="J84" i="10"/>
  <c r="I84" i="10"/>
  <c r="H84" i="10"/>
  <c r="G84" i="10"/>
  <c r="F84" i="10"/>
  <c r="E84" i="10"/>
  <c r="D84" i="10"/>
  <c r="I83" i="10"/>
  <c r="H83" i="10"/>
  <c r="G83" i="10"/>
  <c r="F83" i="10"/>
  <c r="E83" i="10"/>
  <c r="D83" i="10"/>
  <c r="J82" i="10"/>
  <c r="I82" i="10"/>
  <c r="H82" i="10"/>
  <c r="G82" i="10"/>
  <c r="F82" i="10"/>
  <c r="E82" i="10"/>
  <c r="D82" i="10"/>
  <c r="J81" i="10"/>
  <c r="I81" i="10"/>
  <c r="H81" i="10"/>
  <c r="G81" i="10"/>
  <c r="F81" i="10"/>
  <c r="E81" i="10"/>
  <c r="D81" i="10"/>
  <c r="J80" i="10"/>
  <c r="I80" i="10"/>
  <c r="H80" i="10"/>
  <c r="G80" i="10"/>
  <c r="F80" i="10"/>
  <c r="E80" i="10"/>
  <c r="D80" i="10"/>
  <c r="I78" i="10"/>
  <c r="H78" i="10"/>
  <c r="G78" i="10"/>
  <c r="F78" i="10"/>
  <c r="E78" i="10"/>
  <c r="D78" i="10"/>
  <c r="C94" i="10"/>
  <c r="C93" i="10"/>
  <c r="C92" i="10"/>
  <c r="C91" i="10"/>
  <c r="C90" i="10"/>
  <c r="C88" i="10"/>
  <c r="C87" i="10"/>
  <c r="C84" i="10"/>
  <c r="C83" i="10"/>
  <c r="C82" i="10"/>
  <c r="C81" i="10"/>
  <c r="C80" i="10"/>
  <c r="C78" i="10"/>
  <c r="R70" i="10"/>
  <c r="Q70" i="10"/>
  <c r="P70" i="10"/>
  <c r="O70" i="10"/>
  <c r="N70" i="10"/>
  <c r="M70" i="10"/>
  <c r="L70" i="10"/>
  <c r="R69" i="10"/>
  <c r="Q69" i="10"/>
  <c r="P69" i="10"/>
  <c r="O69" i="10"/>
  <c r="N69" i="10"/>
  <c r="M69" i="10"/>
  <c r="L69" i="10"/>
  <c r="R68" i="10"/>
  <c r="Q68" i="10"/>
  <c r="P68" i="10"/>
  <c r="O68" i="10"/>
  <c r="N68" i="10"/>
  <c r="M68" i="10"/>
  <c r="L68" i="10"/>
  <c r="R67" i="10"/>
  <c r="Q67" i="10"/>
  <c r="P67" i="10"/>
  <c r="O67" i="10"/>
  <c r="N67" i="10"/>
  <c r="M67" i="10"/>
  <c r="L67" i="10"/>
  <c r="R66" i="10"/>
  <c r="Q66" i="10"/>
  <c r="P66" i="10"/>
  <c r="O66" i="10"/>
  <c r="N66" i="10"/>
  <c r="M66" i="10"/>
  <c r="L66" i="10"/>
  <c r="R65" i="10"/>
  <c r="Q65" i="10"/>
  <c r="P65" i="10"/>
  <c r="O65" i="10"/>
  <c r="N65" i="10"/>
  <c r="M65" i="10"/>
  <c r="L65" i="10"/>
  <c r="R64" i="10"/>
  <c r="Q64" i="10"/>
  <c r="P64" i="10"/>
  <c r="O64" i="10"/>
  <c r="N64" i="10"/>
  <c r="M64" i="10"/>
  <c r="L64" i="10"/>
  <c r="R63" i="10"/>
  <c r="Q63" i="10"/>
  <c r="P63" i="10"/>
  <c r="O63" i="10"/>
  <c r="N63" i="10"/>
  <c r="M63" i="10"/>
  <c r="L63" i="10"/>
  <c r="R60" i="10"/>
  <c r="Q60" i="10"/>
  <c r="P60" i="10"/>
  <c r="O60" i="10"/>
  <c r="N60" i="10"/>
  <c r="M60" i="10"/>
  <c r="L60" i="10"/>
  <c r="R59" i="10"/>
  <c r="Q59" i="10"/>
  <c r="P59" i="10"/>
  <c r="O59" i="10"/>
  <c r="N59" i="10"/>
  <c r="M59" i="10"/>
  <c r="L59" i="10"/>
  <c r="R58" i="10"/>
  <c r="Q58" i="10"/>
  <c r="P58" i="10"/>
  <c r="O58" i="10"/>
  <c r="N58" i="10"/>
  <c r="M58" i="10"/>
  <c r="L58" i="10"/>
  <c r="R57" i="10"/>
  <c r="Q57" i="10"/>
  <c r="P57" i="10"/>
  <c r="O57" i="10"/>
  <c r="N57" i="10"/>
  <c r="M57" i="10"/>
  <c r="L57" i="10"/>
  <c r="R56" i="10"/>
  <c r="Q56" i="10"/>
  <c r="P56" i="10"/>
  <c r="O56" i="10"/>
  <c r="N56" i="10"/>
  <c r="M56" i="10"/>
  <c r="L56" i="10"/>
  <c r="R55" i="10"/>
  <c r="Q55" i="10"/>
  <c r="P55" i="10"/>
  <c r="O55" i="10"/>
  <c r="N55" i="10"/>
  <c r="M55" i="10"/>
  <c r="L55" i="10"/>
  <c r="R54" i="10"/>
  <c r="Q54" i="10"/>
  <c r="P54" i="10"/>
  <c r="O54" i="10"/>
  <c r="N54" i="10"/>
  <c r="M54" i="10"/>
  <c r="L54" i="10"/>
  <c r="K54" i="10"/>
  <c r="K55" i="10"/>
  <c r="K56" i="10"/>
  <c r="K57" i="10"/>
  <c r="K58" i="10"/>
  <c r="K59" i="10"/>
  <c r="K60" i="10"/>
  <c r="K63" i="10"/>
  <c r="K64" i="10"/>
  <c r="K65" i="10"/>
  <c r="K66" i="10"/>
  <c r="K67" i="10"/>
  <c r="K68" i="10"/>
  <c r="K69" i="10"/>
  <c r="K70" i="10"/>
  <c r="J70" i="10"/>
  <c r="I70" i="10"/>
  <c r="H70" i="10"/>
  <c r="G70" i="10"/>
  <c r="F70" i="10"/>
  <c r="E70" i="10"/>
  <c r="D70" i="10"/>
  <c r="J69" i="10"/>
  <c r="I69" i="10"/>
  <c r="H69" i="10"/>
  <c r="G69" i="10"/>
  <c r="F69" i="10"/>
  <c r="E69" i="10"/>
  <c r="D69" i="10"/>
  <c r="J68" i="10"/>
  <c r="I68" i="10"/>
  <c r="H68" i="10"/>
  <c r="G68" i="10"/>
  <c r="F68" i="10"/>
  <c r="E68" i="10"/>
  <c r="D68" i="10"/>
  <c r="J67" i="10"/>
  <c r="I67" i="10"/>
  <c r="H67" i="10"/>
  <c r="G67" i="10"/>
  <c r="F67" i="10"/>
  <c r="E67" i="10"/>
  <c r="D67" i="10"/>
  <c r="J66" i="10"/>
  <c r="I66" i="10"/>
  <c r="H66" i="10"/>
  <c r="G66" i="10"/>
  <c r="F66" i="10"/>
  <c r="E66" i="10"/>
  <c r="D66" i="10"/>
  <c r="J65" i="10"/>
  <c r="I65" i="10"/>
  <c r="H65" i="10"/>
  <c r="G65" i="10"/>
  <c r="F65" i="10"/>
  <c r="E65" i="10"/>
  <c r="D65" i="10"/>
  <c r="J64" i="10"/>
  <c r="I64" i="10"/>
  <c r="H64" i="10"/>
  <c r="G64" i="10"/>
  <c r="F64" i="10"/>
  <c r="E64" i="10"/>
  <c r="D64" i="10"/>
  <c r="J63" i="10"/>
  <c r="I63" i="10"/>
  <c r="H63" i="10"/>
  <c r="G63" i="10"/>
  <c r="F63" i="10"/>
  <c r="E63" i="10"/>
  <c r="D63" i="10"/>
  <c r="J60" i="10"/>
  <c r="I60" i="10"/>
  <c r="H60" i="10"/>
  <c r="G60" i="10"/>
  <c r="F60" i="10"/>
  <c r="E60" i="10"/>
  <c r="D60" i="10"/>
  <c r="J59" i="10"/>
  <c r="I59" i="10"/>
  <c r="H59" i="10"/>
  <c r="G59" i="10"/>
  <c r="F59" i="10"/>
  <c r="E59" i="10"/>
  <c r="D59" i="10"/>
  <c r="J58" i="10"/>
  <c r="I58" i="10"/>
  <c r="H58" i="10"/>
  <c r="G58" i="10"/>
  <c r="F58" i="10"/>
  <c r="E58" i="10"/>
  <c r="D58" i="10"/>
  <c r="J57" i="10"/>
  <c r="I57" i="10"/>
  <c r="H57" i="10"/>
  <c r="G57" i="10"/>
  <c r="F57" i="10"/>
  <c r="E57" i="10"/>
  <c r="D57" i="10"/>
  <c r="J56" i="10"/>
  <c r="I56" i="10"/>
  <c r="H56" i="10"/>
  <c r="G56" i="10"/>
  <c r="F56" i="10"/>
  <c r="E56" i="10"/>
  <c r="D56" i="10"/>
  <c r="J55" i="10"/>
  <c r="I55" i="10"/>
  <c r="H55" i="10"/>
  <c r="G55" i="10"/>
  <c r="F55" i="10"/>
  <c r="E55" i="10"/>
  <c r="D55" i="10"/>
  <c r="J54" i="10"/>
  <c r="I54" i="10"/>
  <c r="H54" i="10"/>
  <c r="G54" i="10"/>
  <c r="F54" i="10"/>
  <c r="E54" i="10"/>
  <c r="D54" i="10"/>
  <c r="C70" i="10"/>
  <c r="C69" i="10"/>
  <c r="C68" i="10"/>
  <c r="C67" i="10"/>
  <c r="C66" i="10"/>
  <c r="C65" i="10"/>
  <c r="C64" i="10"/>
  <c r="C63" i="10"/>
  <c r="C60" i="10"/>
  <c r="C59" i="10"/>
  <c r="C58" i="10"/>
  <c r="C57" i="10"/>
  <c r="C56" i="10"/>
  <c r="C55" i="10"/>
  <c r="C54" i="10"/>
  <c r="D22" i="10"/>
  <c r="E22" i="10"/>
  <c r="F22" i="10"/>
  <c r="G22" i="10"/>
  <c r="H22" i="10"/>
  <c r="I22" i="10"/>
  <c r="J22" i="10"/>
  <c r="C22" i="10"/>
  <c r="P101" i="10" l="1"/>
  <c r="K114" i="10"/>
  <c r="M101" i="10"/>
  <c r="Q101" i="10"/>
  <c r="L101" i="10"/>
  <c r="N101" i="10"/>
  <c r="K106" i="10"/>
  <c r="K101" i="10"/>
  <c r="O101" i="10"/>
  <c r="M3212" i="10"/>
  <c r="M3479" i="10"/>
  <c r="M3480" i="10"/>
  <c r="K3212" i="10"/>
  <c r="K3479" i="10"/>
  <c r="K3480" i="10"/>
  <c r="O3212" i="10"/>
  <c r="O3479" i="10"/>
  <c r="O3480" i="10"/>
  <c r="Q3212" i="10"/>
  <c r="Q3479" i="10"/>
  <c r="Q3480" i="10"/>
  <c r="P3212" i="10"/>
  <c r="P3480" i="10"/>
  <c r="P3479" i="10"/>
  <c r="L3212" i="10"/>
  <c r="L3480" i="10"/>
  <c r="L3479" i="10"/>
  <c r="R3212" i="10"/>
  <c r="R3480" i="10"/>
  <c r="R3479" i="10"/>
  <c r="N3212" i="10"/>
  <c r="N3479" i="10"/>
  <c r="N3480" i="10"/>
  <c r="Q2807" i="10"/>
  <c r="Q2806" i="10"/>
  <c r="M2807" i="10"/>
  <c r="M2806" i="10"/>
  <c r="L2806" i="10"/>
  <c r="L2807" i="10"/>
  <c r="K2807" i="10"/>
  <c r="K2806" i="10"/>
  <c r="O2807" i="10"/>
  <c r="O2806" i="10"/>
  <c r="R2807" i="10"/>
  <c r="R2806" i="10"/>
  <c r="N2806" i="10"/>
  <c r="N2807" i="10"/>
  <c r="N162" i="10"/>
  <c r="N1228" i="10"/>
  <c r="F1294" i="10"/>
  <c r="F1250" i="10"/>
  <c r="N1272" i="10"/>
  <c r="F1272" i="10"/>
  <c r="F754" i="10"/>
  <c r="F280" i="10"/>
  <c r="N1250" i="10"/>
  <c r="F1228" i="10"/>
  <c r="N1294" i="10"/>
  <c r="K162" i="10"/>
  <c r="K1228" i="10"/>
  <c r="C1294" i="10"/>
  <c r="K1294" i="10"/>
  <c r="C1272" i="10"/>
  <c r="C280" i="10"/>
  <c r="C1250" i="10"/>
  <c r="K1272" i="10"/>
  <c r="K1250" i="10"/>
  <c r="C1228" i="10"/>
  <c r="O162" i="10"/>
  <c r="G1294" i="10"/>
  <c r="O1228" i="10"/>
  <c r="O1294" i="10"/>
  <c r="G280" i="10"/>
  <c r="G1272" i="10"/>
  <c r="G1228" i="10"/>
  <c r="G754" i="10"/>
  <c r="G1250" i="10"/>
  <c r="O1250" i="10"/>
  <c r="O1272" i="10"/>
  <c r="K102" i="10"/>
  <c r="K115" i="10"/>
  <c r="L102" i="10"/>
  <c r="P102" i="10"/>
  <c r="M103" i="10"/>
  <c r="Q103" i="10"/>
  <c r="N104" i="10"/>
  <c r="O105" i="10"/>
  <c r="L106" i="10"/>
  <c r="P106" i="10"/>
  <c r="M108" i="10"/>
  <c r="Q108" i="10"/>
  <c r="N109" i="10"/>
  <c r="O110" i="10"/>
  <c r="M112" i="10"/>
  <c r="Q112" i="10"/>
  <c r="N113" i="10"/>
  <c r="O114" i="10"/>
  <c r="G114" i="10"/>
  <c r="L115" i="10"/>
  <c r="P115" i="10"/>
  <c r="M116" i="10"/>
  <c r="Q116" i="10"/>
  <c r="R162" i="10"/>
  <c r="R1228" i="10"/>
  <c r="J1294" i="10"/>
  <c r="J1250" i="10"/>
  <c r="R1250" i="10"/>
  <c r="J1272" i="10"/>
  <c r="R1272" i="10"/>
  <c r="J754" i="10"/>
  <c r="J1228" i="10"/>
  <c r="J280" i="10"/>
  <c r="R1294" i="10"/>
  <c r="K103" i="10"/>
  <c r="K108" i="10"/>
  <c r="K112" i="10"/>
  <c r="K116" i="10"/>
  <c r="M102" i="10"/>
  <c r="Q102" i="10"/>
  <c r="N103" i="10"/>
  <c r="O104" i="10"/>
  <c r="L105" i="10"/>
  <c r="P105" i="10"/>
  <c r="M106" i="10"/>
  <c r="Q106" i="10"/>
  <c r="N108" i="10"/>
  <c r="O109" i="10"/>
  <c r="L110" i="10"/>
  <c r="P110" i="10"/>
  <c r="N112" i="10"/>
  <c r="O113" i="10"/>
  <c r="L114" i="10"/>
  <c r="D114" i="10"/>
  <c r="P114" i="10"/>
  <c r="H114" i="10"/>
  <c r="M115" i="10"/>
  <c r="Q115" i="10"/>
  <c r="N116" i="10"/>
  <c r="Q162" i="10"/>
  <c r="I1294" i="10"/>
  <c r="Q1228" i="10"/>
  <c r="I1250" i="10"/>
  <c r="Q1250" i="10"/>
  <c r="I280" i="10"/>
  <c r="Q1272" i="10"/>
  <c r="I1228" i="10"/>
  <c r="I754" i="10"/>
  <c r="I1272" i="10"/>
  <c r="Q1294" i="10"/>
  <c r="K104" i="10"/>
  <c r="K109" i="10"/>
  <c r="K113" i="10"/>
  <c r="N102" i="10"/>
  <c r="O103" i="10"/>
  <c r="L104" i="10"/>
  <c r="P104" i="10"/>
  <c r="M105" i="10"/>
  <c r="Q105" i="10"/>
  <c r="N106" i="10"/>
  <c r="O108" i="10"/>
  <c r="L109" i="10"/>
  <c r="P109" i="10"/>
  <c r="M110" i="10"/>
  <c r="Q110" i="10"/>
  <c r="O112" i="10"/>
  <c r="L113" i="10"/>
  <c r="P113" i="10"/>
  <c r="M114" i="10"/>
  <c r="E114" i="10"/>
  <c r="Q114" i="10"/>
  <c r="I114" i="10"/>
  <c r="N115" i="10"/>
  <c r="O116" i="10"/>
  <c r="M162" i="10"/>
  <c r="E1294" i="10"/>
  <c r="M1228" i="10"/>
  <c r="E280" i="10"/>
  <c r="E1228" i="10"/>
  <c r="E1250" i="10"/>
  <c r="M1250" i="10"/>
  <c r="M1272" i="10"/>
  <c r="E754" i="10"/>
  <c r="E1272" i="10"/>
  <c r="M1294" i="10"/>
  <c r="P162" i="10"/>
  <c r="H1294" i="10"/>
  <c r="P1228" i="10"/>
  <c r="H280" i="10"/>
  <c r="P1294" i="10"/>
  <c r="H1228" i="10"/>
  <c r="H754" i="10"/>
  <c r="P1272" i="10"/>
  <c r="H1272" i="10"/>
  <c r="H1250" i="10"/>
  <c r="P1250" i="10"/>
  <c r="L162" i="10"/>
  <c r="D1294" i="10"/>
  <c r="L1228" i="10"/>
  <c r="L1294" i="10"/>
  <c r="D1228" i="10"/>
  <c r="D280" i="10"/>
  <c r="L1250" i="10"/>
  <c r="L1272" i="10"/>
  <c r="D1272" i="10"/>
  <c r="D754" i="10"/>
  <c r="D1250" i="10"/>
  <c r="K105" i="10"/>
  <c r="K110" i="10"/>
  <c r="C114" i="10"/>
  <c r="O102" i="10"/>
  <c r="L103" i="10"/>
  <c r="P103" i="10"/>
  <c r="M104" i="10"/>
  <c r="Q104" i="10"/>
  <c r="N105" i="10"/>
  <c r="O106" i="10"/>
  <c r="L108" i="10"/>
  <c r="P108" i="10"/>
  <c r="M109" i="10"/>
  <c r="Q109" i="10"/>
  <c r="N110" i="10"/>
  <c r="L112" i="10"/>
  <c r="P112" i="10"/>
  <c r="M113" i="10"/>
  <c r="Q113" i="10"/>
  <c r="N114" i="10"/>
  <c r="F114" i="10"/>
  <c r="J114" i="10"/>
  <c r="O115" i="10"/>
  <c r="L116" i="10"/>
  <c r="P116" i="10"/>
  <c r="L100" i="10"/>
  <c r="P100" i="10"/>
  <c r="K100" i="10"/>
  <c r="M100" i="10"/>
  <c r="Q100" i="10"/>
  <c r="N100" i="10"/>
  <c r="O100" i="10"/>
  <c r="R103" i="10"/>
  <c r="R112" i="10"/>
  <c r="R116" i="10"/>
  <c r="R139" i="10"/>
  <c r="R102" i="10"/>
  <c r="R106" i="10"/>
  <c r="R115" i="10"/>
  <c r="R110" i="10"/>
  <c r="R114" i="10"/>
  <c r="R104" i="10"/>
  <c r="R109" i="10"/>
  <c r="R113" i="10"/>
  <c r="R108" i="10"/>
  <c r="L30" i="10"/>
  <c r="M30" i="10"/>
  <c r="N30" i="10"/>
  <c r="O30" i="10"/>
  <c r="P30" i="10"/>
  <c r="Q30" i="10"/>
  <c r="R30" i="10"/>
  <c r="K30" i="10"/>
  <c r="C1010" i="10" s="1"/>
  <c r="R31" i="10"/>
  <c r="R32" i="10"/>
  <c r="R33" i="10"/>
  <c r="R34" i="10"/>
  <c r="R35" i="10"/>
  <c r="R36" i="10"/>
  <c r="R40" i="10"/>
  <c r="R41" i="10"/>
  <c r="R42" i="10"/>
  <c r="R43" i="10"/>
  <c r="R44" i="10"/>
  <c r="R45" i="10"/>
  <c r="R46" i="10"/>
  <c r="R47" i="10"/>
  <c r="R48" i="10"/>
  <c r="L31" i="10"/>
  <c r="M31" i="10"/>
  <c r="N31" i="10"/>
  <c r="O31" i="10"/>
  <c r="P31" i="10"/>
  <c r="Q31" i="10"/>
  <c r="L32" i="10"/>
  <c r="M32" i="10"/>
  <c r="N32" i="10"/>
  <c r="O32" i="10"/>
  <c r="P32" i="10"/>
  <c r="Q32" i="10"/>
  <c r="L33" i="10"/>
  <c r="M33" i="10"/>
  <c r="N33" i="10"/>
  <c r="O33" i="10"/>
  <c r="P33" i="10"/>
  <c r="Q33" i="10"/>
  <c r="L34" i="10"/>
  <c r="M34" i="10"/>
  <c r="N34" i="10"/>
  <c r="O34" i="10"/>
  <c r="P34" i="10"/>
  <c r="Q34" i="10"/>
  <c r="L35" i="10"/>
  <c r="M35" i="10"/>
  <c r="N35" i="10"/>
  <c r="O35" i="10"/>
  <c r="P35" i="10"/>
  <c r="Q35" i="10"/>
  <c r="L36" i="10"/>
  <c r="M36" i="10"/>
  <c r="N36" i="10"/>
  <c r="O36" i="10"/>
  <c r="P36" i="10"/>
  <c r="Q36" i="10"/>
  <c r="L40" i="10"/>
  <c r="M40" i="10"/>
  <c r="N40" i="10"/>
  <c r="O40" i="10"/>
  <c r="P40" i="10"/>
  <c r="Q40" i="10"/>
  <c r="L41" i="10"/>
  <c r="M41" i="10"/>
  <c r="N41" i="10"/>
  <c r="O41" i="10"/>
  <c r="P41" i="10"/>
  <c r="Q41" i="10"/>
  <c r="L42" i="10"/>
  <c r="M42" i="10"/>
  <c r="N42" i="10"/>
  <c r="O42" i="10"/>
  <c r="P42" i="10"/>
  <c r="Q42" i="10"/>
  <c r="L43" i="10"/>
  <c r="M43" i="10"/>
  <c r="N43" i="10"/>
  <c r="O43" i="10"/>
  <c r="P43" i="10"/>
  <c r="Q43" i="10"/>
  <c r="L44" i="10"/>
  <c r="M44" i="10"/>
  <c r="N44" i="10"/>
  <c r="O44" i="10"/>
  <c r="P44" i="10"/>
  <c r="Q44" i="10"/>
  <c r="L45" i="10"/>
  <c r="M45" i="10"/>
  <c r="N45" i="10"/>
  <c r="O45" i="10"/>
  <c r="P45" i="10"/>
  <c r="Q45" i="10"/>
  <c r="L46" i="10"/>
  <c r="M46" i="10"/>
  <c r="N46" i="10"/>
  <c r="O46" i="10"/>
  <c r="P46" i="10"/>
  <c r="Q46" i="10"/>
  <c r="L47" i="10"/>
  <c r="M47" i="10"/>
  <c r="N47" i="10"/>
  <c r="O47" i="10"/>
  <c r="P47" i="10"/>
  <c r="Q47" i="10"/>
  <c r="L48" i="10"/>
  <c r="M48" i="10"/>
  <c r="N48" i="10"/>
  <c r="O48" i="10"/>
  <c r="P48" i="10"/>
  <c r="Q48" i="10"/>
  <c r="K31" i="10"/>
  <c r="C1011" i="10" s="1"/>
  <c r="K32" i="10"/>
  <c r="K33" i="10"/>
  <c r="C1013" i="10" s="1"/>
  <c r="K34" i="10"/>
  <c r="K35" i="10"/>
  <c r="C1015" i="10" s="1"/>
  <c r="K36" i="10"/>
  <c r="C1016" i="10" s="1"/>
  <c r="K40" i="10"/>
  <c r="C1018" i="10" s="1"/>
  <c r="K41" i="10"/>
  <c r="K42" i="10"/>
  <c r="C1020" i="10" s="1"/>
  <c r="K43" i="10"/>
  <c r="K44" i="10"/>
  <c r="C1022" i="10" s="1"/>
  <c r="K45" i="10"/>
  <c r="C1023" i="10" s="1"/>
  <c r="K46" i="10"/>
  <c r="C1024" i="10" s="1"/>
  <c r="K47" i="10"/>
  <c r="C1025" i="10" s="1"/>
  <c r="K48" i="10"/>
  <c r="L6" i="10"/>
  <c r="L173" i="10" s="1"/>
  <c r="M6" i="10"/>
  <c r="M173" i="10" s="1"/>
  <c r="N6" i="10"/>
  <c r="N173" i="10" s="1"/>
  <c r="O6" i="10"/>
  <c r="O173" i="10" s="1"/>
  <c r="P6" i="10"/>
  <c r="P173" i="10" s="1"/>
  <c r="Q6" i="10"/>
  <c r="Q173" i="10" s="1"/>
  <c r="R6" i="10"/>
  <c r="L7" i="10"/>
  <c r="M7" i="10"/>
  <c r="N7" i="10"/>
  <c r="O7" i="10"/>
  <c r="P7" i="10"/>
  <c r="Q7" i="10"/>
  <c r="R7" i="10"/>
  <c r="L8" i="10"/>
  <c r="L175" i="10" s="1"/>
  <c r="M8" i="10"/>
  <c r="M175" i="10" s="1"/>
  <c r="N8" i="10"/>
  <c r="N175" i="10" s="1"/>
  <c r="O8" i="10"/>
  <c r="O175" i="10" s="1"/>
  <c r="P8" i="10"/>
  <c r="P175" i="10" s="1"/>
  <c r="Q8" i="10"/>
  <c r="Q175" i="10" s="1"/>
  <c r="R8" i="10"/>
  <c r="R175" i="10" s="1"/>
  <c r="L9" i="10"/>
  <c r="L176" i="10" s="1"/>
  <c r="M9" i="10"/>
  <c r="M176" i="10" s="1"/>
  <c r="N9" i="10"/>
  <c r="N176" i="10" s="1"/>
  <c r="O9" i="10"/>
  <c r="O176" i="10" s="1"/>
  <c r="P9" i="10"/>
  <c r="P176" i="10" s="1"/>
  <c r="Q9" i="10"/>
  <c r="Q176" i="10" s="1"/>
  <c r="R9" i="10"/>
  <c r="R176" i="10" s="1"/>
  <c r="L10" i="10"/>
  <c r="L177" i="10" s="1"/>
  <c r="M10" i="10"/>
  <c r="M177" i="10" s="1"/>
  <c r="N10" i="10"/>
  <c r="N177" i="10" s="1"/>
  <c r="O10" i="10"/>
  <c r="O177" i="10" s="1"/>
  <c r="P10" i="10"/>
  <c r="P177" i="10" s="1"/>
  <c r="Q10" i="10"/>
  <c r="Q177" i="10" s="1"/>
  <c r="R10" i="10"/>
  <c r="R177" i="10" s="1"/>
  <c r="L11" i="10"/>
  <c r="L178" i="10" s="1"/>
  <c r="M11" i="10"/>
  <c r="M178" i="10" s="1"/>
  <c r="N11" i="10"/>
  <c r="N178" i="10" s="1"/>
  <c r="O11" i="10"/>
  <c r="O178" i="10" s="1"/>
  <c r="P11" i="10"/>
  <c r="P178" i="10" s="1"/>
  <c r="Q11" i="10"/>
  <c r="Q178" i="10" s="1"/>
  <c r="R11" i="10"/>
  <c r="R178" i="10" s="1"/>
  <c r="L12" i="10"/>
  <c r="L179" i="10" s="1"/>
  <c r="M12" i="10"/>
  <c r="M179" i="10" s="1"/>
  <c r="N12" i="10"/>
  <c r="N179" i="10" s="1"/>
  <c r="O12" i="10"/>
  <c r="O179" i="10" s="1"/>
  <c r="P12" i="10"/>
  <c r="P179" i="10" s="1"/>
  <c r="Q12" i="10"/>
  <c r="Q179" i="10" s="1"/>
  <c r="R12" i="10"/>
  <c r="R179" i="10" s="1"/>
  <c r="R16" i="10"/>
  <c r="R87" i="10" s="1"/>
  <c r="L17" i="10"/>
  <c r="L182" i="10" s="1"/>
  <c r="M17" i="10"/>
  <c r="M182" i="10" s="1"/>
  <c r="N17" i="10"/>
  <c r="N182" i="10" s="1"/>
  <c r="O17" i="10"/>
  <c r="O182" i="10" s="1"/>
  <c r="P17" i="10"/>
  <c r="P182" i="10" s="1"/>
  <c r="Q17" i="10"/>
  <c r="Q182" i="10" s="1"/>
  <c r="R17" i="10"/>
  <c r="R183" i="10" s="1"/>
  <c r="L18" i="10"/>
  <c r="L183" i="10" s="1"/>
  <c r="M18" i="10"/>
  <c r="M183" i="10" s="1"/>
  <c r="N18" i="10"/>
  <c r="N183" i="10" s="1"/>
  <c r="O18" i="10"/>
  <c r="O183" i="10" s="1"/>
  <c r="P18" i="10"/>
  <c r="P183" i="10" s="1"/>
  <c r="Q18" i="10"/>
  <c r="Q183" i="10" s="1"/>
  <c r="R18" i="10"/>
  <c r="R184" i="10" s="1"/>
  <c r="L19" i="10"/>
  <c r="L184" i="10" s="1"/>
  <c r="M19" i="10"/>
  <c r="M184" i="10" s="1"/>
  <c r="N19" i="10"/>
  <c r="N184" i="10" s="1"/>
  <c r="O19" i="10"/>
  <c r="O184" i="10" s="1"/>
  <c r="P19" i="10"/>
  <c r="P184" i="10" s="1"/>
  <c r="Q19" i="10"/>
  <c r="Q184" i="10" s="1"/>
  <c r="R19" i="10"/>
  <c r="R185" i="10" s="1"/>
  <c r="L20" i="10"/>
  <c r="L185" i="10" s="1"/>
  <c r="M20" i="10"/>
  <c r="M185" i="10" s="1"/>
  <c r="N20" i="10"/>
  <c r="N185" i="10" s="1"/>
  <c r="O20" i="10"/>
  <c r="O185" i="10" s="1"/>
  <c r="P20" i="10"/>
  <c r="P185" i="10" s="1"/>
  <c r="Q20" i="10"/>
  <c r="Q185" i="10" s="1"/>
  <c r="R20" i="10"/>
  <c r="R186" i="10" s="1"/>
  <c r="L21" i="10"/>
  <c r="L186" i="10" s="1"/>
  <c r="M21" i="10"/>
  <c r="M186" i="10" s="1"/>
  <c r="N21" i="10"/>
  <c r="N186" i="10" s="1"/>
  <c r="O21" i="10"/>
  <c r="O186" i="10" s="1"/>
  <c r="P21" i="10"/>
  <c r="P186" i="10" s="1"/>
  <c r="Q21" i="10"/>
  <c r="Q186" i="10" s="1"/>
  <c r="R21" i="10"/>
  <c r="R187" i="10" s="1"/>
  <c r="L22" i="10"/>
  <c r="L187" i="10" s="1"/>
  <c r="M22" i="10"/>
  <c r="M187" i="10" s="1"/>
  <c r="N22" i="10"/>
  <c r="N187" i="10" s="1"/>
  <c r="O22" i="10"/>
  <c r="O187" i="10" s="1"/>
  <c r="P22" i="10"/>
  <c r="P187" i="10" s="1"/>
  <c r="Q22" i="10"/>
  <c r="Q187" i="10" s="1"/>
  <c r="R22" i="10"/>
  <c r="R188" i="10" s="1"/>
  <c r="L23" i="10"/>
  <c r="L188" i="10" s="1"/>
  <c r="M23" i="10"/>
  <c r="M188" i="10" s="1"/>
  <c r="N23" i="10"/>
  <c r="N188" i="10" s="1"/>
  <c r="O23" i="10"/>
  <c r="O188" i="10" s="1"/>
  <c r="P23" i="10"/>
  <c r="P188" i="10" s="1"/>
  <c r="Q23" i="10"/>
  <c r="Q188" i="10" s="1"/>
  <c r="R23" i="10"/>
  <c r="R189" i="10" s="1"/>
  <c r="L24" i="10"/>
  <c r="L189" i="10" s="1"/>
  <c r="M24" i="10"/>
  <c r="M189" i="10" s="1"/>
  <c r="N24" i="10"/>
  <c r="N189" i="10" s="1"/>
  <c r="O24" i="10"/>
  <c r="O189" i="10" s="1"/>
  <c r="P24" i="10"/>
  <c r="P189" i="10" s="1"/>
  <c r="Q24" i="10"/>
  <c r="Q189" i="10" s="1"/>
  <c r="R24" i="10"/>
  <c r="K6" i="10"/>
  <c r="K173" i="10" s="1"/>
  <c r="K7" i="10"/>
  <c r="K8" i="10"/>
  <c r="K175" i="10" s="1"/>
  <c r="K9" i="10"/>
  <c r="K176" i="10" s="1"/>
  <c r="K10" i="10"/>
  <c r="K177" i="10" s="1"/>
  <c r="K11" i="10"/>
  <c r="K178" i="10" s="1"/>
  <c r="K12" i="10"/>
  <c r="K17" i="10"/>
  <c r="K182" i="10" s="1"/>
  <c r="K18" i="10"/>
  <c r="K183" i="10" s="1"/>
  <c r="K19" i="10"/>
  <c r="K184" i="10" s="1"/>
  <c r="K20" i="10"/>
  <c r="K185" i="10" s="1"/>
  <c r="K21" i="10"/>
  <c r="K186" i="10" s="1"/>
  <c r="K22" i="10"/>
  <c r="K187" i="10" s="1"/>
  <c r="K23" i="10"/>
  <c r="K188" i="10" s="1"/>
  <c r="K24" i="10"/>
  <c r="K189" i="10" s="1"/>
  <c r="J306" i="20"/>
  <c r="J302" i="20"/>
  <c r="J2461" i="10" s="1"/>
  <c r="I302" i="20"/>
  <c r="I2461" i="10" s="1"/>
  <c r="H302" i="20"/>
  <c r="H2461" i="10" s="1"/>
  <c r="G302" i="20"/>
  <c r="G2461" i="10" s="1"/>
  <c r="F302" i="20"/>
  <c r="F2461" i="10" s="1"/>
  <c r="E302" i="20"/>
  <c r="E2461" i="10" s="1"/>
  <c r="D302" i="20"/>
  <c r="D2461" i="10" s="1"/>
  <c r="J291" i="20"/>
  <c r="J287" i="20"/>
  <c r="J2459" i="10" s="1"/>
  <c r="I287" i="20"/>
  <c r="I2459" i="10" s="1"/>
  <c r="H287" i="20"/>
  <c r="H2459" i="10" s="1"/>
  <c r="G287" i="20"/>
  <c r="G2459" i="10" s="1"/>
  <c r="F287" i="20"/>
  <c r="F2459" i="10" s="1"/>
  <c r="E287" i="20"/>
  <c r="E2459" i="10" s="1"/>
  <c r="D287" i="20"/>
  <c r="D2459" i="10" s="1"/>
  <c r="C235" i="20"/>
  <c r="C234" i="20"/>
  <c r="C233" i="20"/>
  <c r="C232" i="20"/>
  <c r="C710" i="10" s="1"/>
  <c r="C890" i="10" s="1"/>
  <c r="J185" i="20"/>
  <c r="R1876" i="10" s="1"/>
  <c r="R1924" i="10" s="1"/>
  <c r="J181" i="20"/>
  <c r="J180" i="20" s="1"/>
  <c r="J165" i="20"/>
  <c r="J304" i="10" s="1"/>
  <c r="C165" i="20"/>
  <c r="C304" i="10" s="1"/>
  <c r="L93" i="10" l="1"/>
  <c r="K94" i="10"/>
  <c r="N90" i="10"/>
  <c r="O80" i="10"/>
  <c r="K81" i="10"/>
  <c r="Q90" i="10"/>
  <c r="R80" i="10"/>
  <c r="P92" i="10"/>
  <c r="O87" i="10"/>
  <c r="M93" i="10"/>
  <c r="O81" i="10"/>
  <c r="M83" i="10"/>
  <c r="D46" i="10"/>
  <c r="Q82" i="10"/>
  <c r="O79" i="10"/>
  <c r="O174" i="10"/>
  <c r="R173" i="10"/>
  <c r="R78" i="10"/>
  <c r="O93" i="10"/>
  <c r="O83" i="10"/>
  <c r="M81" i="10"/>
  <c r="J46" i="10"/>
  <c r="Q92" i="10"/>
  <c r="M87" i="10"/>
  <c r="R79" i="10"/>
  <c r="R174" i="10"/>
  <c r="Q94" i="10"/>
  <c r="O92" i="10"/>
  <c r="M90" i="10"/>
  <c r="R84" i="10"/>
  <c r="O82" i="10"/>
  <c r="M80" i="10"/>
  <c r="K90" i="10"/>
  <c r="G46" i="10"/>
  <c r="O91" i="10"/>
  <c r="L82" i="10"/>
  <c r="F46" i="10"/>
  <c r="R92" i="10"/>
  <c r="P90" i="10"/>
  <c r="N87" i="10"/>
  <c r="R82" i="10"/>
  <c r="P80" i="10"/>
  <c r="K93" i="10"/>
  <c r="H46" i="10"/>
  <c r="M88" i="10"/>
  <c r="L78" i="10"/>
  <c r="O94" i="10"/>
  <c r="M92" i="10"/>
  <c r="R88" i="10"/>
  <c r="P84" i="10"/>
  <c r="M82" i="10"/>
  <c r="Q78" i="10"/>
  <c r="K92" i="10"/>
  <c r="E46" i="10"/>
  <c r="R90" i="10"/>
  <c r="P78" i="10"/>
  <c r="K79" i="10"/>
  <c r="K174" i="10"/>
  <c r="L83" i="10"/>
  <c r="Q80" i="10"/>
  <c r="M91" i="10"/>
  <c r="O90" i="10"/>
  <c r="R86" i="10"/>
  <c r="R182" i="10"/>
  <c r="N79" i="10"/>
  <c r="N174" i="10"/>
  <c r="K227" i="10"/>
  <c r="C656" i="10"/>
  <c r="K179" i="10"/>
  <c r="Q79" i="10"/>
  <c r="Q174" i="10"/>
  <c r="M79" i="10"/>
  <c r="M174" i="10"/>
  <c r="M94" i="10"/>
  <c r="R91" i="10"/>
  <c r="P88" i="10"/>
  <c r="N84" i="10"/>
  <c r="R81" i="10"/>
  <c r="O78" i="10"/>
  <c r="K83" i="10"/>
  <c r="C46" i="10"/>
  <c r="Q88" i="10"/>
  <c r="N80" i="10"/>
  <c r="P94" i="10"/>
  <c r="N92" i="10"/>
  <c r="L90" i="10"/>
  <c r="Q84" i="10"/>
  <c r="N82" i="10"/>
  <c r="L80" i="10"/>
  <c r="K88" i="10"/>
  <c r="Q93" i="10"/>
  <c r="O84" i="10"/>
  <c r="R93" i="10"/>
  <c r="P91" i="10"/>
  <c r="N88" i="10"/>
  <c r="L84" i="10"/>
  <c r="P81" i="10"/>
  <c r="I46" i="10"/>
  <c r="P87" i="10"/>
  <c r="P79" i="10"/>
  <c r="P174" i="10"/>
  <c r="L79" i="10"/>
  <c r="L174" i="10"/>
  <c r="P93" i="10"/>
  <c r="N91" i="10"/>
  <c r="L88" i="10"/>
  <c r="P83" i="10"/>
  <c r="N81" i="10"/>
  <c r="K78" i="10"/>
  <c r="R94" i="10"/>
  <c r="L87" i="10"/>
  <c r="K84" i="10"/>
  <c r="L94" i="10"/>
  <c r="Q91" i="10"/>
  <c r="O88" i="10"/>
  <c r="M84" i="10"/>
  <c r="Q81" i="10"/>
  <c r="N78" i="10"/>
  <c r="K82" i="10"/>
  <c r="L92" i="10"/>
  <c r="P82" i="10"/>
  <c r="K80" i="10"/>
  <c r="N93" i="10"/>
  <c r="L91" i="10"/>
  <c r="Q87" i="10"/>
  <c r="N83" i="10"/>
  <c r="L81" i="10"/>
  <c r="M78" i="10"/>
  <c r="K87" i="10"/>
  <c r="N94" i="10"/>
  <c r="Q83" i="10"/>
  <c r="K91" i="10"/>
  <c r="K462" i="10"/>
  <c r="K440" i="10"/>
  <c r="C462" i="10"/>
  <c r="C484" i="10"/>
  <c r="K506" i="10"/>
  <c r="C440" i="10"/>
  <c r="C506" i="10"/>
  <c r="K484" i="10"/>
  <c r="K326" i="10"/>
  <c r="J732" i="10"/>
  <c r="J440" i="10"/>
  <c r="J462" i="10"/>
  <c r="R506" i="10"/>
  <c r="R440" i="10"/>
  <c r="R462" i="10"/>
  <c r="J484" i="10"/>
  <c r="R484" i="10"/>
  <c r="R304" i="10"/>
  <c r="J506" i="10"/>
  <c r="R326" i="10"/>
  <c r="C934" i="10"/>
  <c r="K868" i="10"/>
  <c r="C912" i="10"/>
  <c r="C868" i="10"/>
  <c r="K754" i="10"/>
  <c r="L710" i="10"/>
  <c r="K912" i="10"/>
  <c r="K934" i="10"/>
  <c r="C732" i="10"/>
  <c r="K890" i="10"/>
  <c r="C754" i="10"/>
  <c r="K729" i="10"/>
  <c r="C1201" i="10"/>
  <c r="K1451" i="10"/>
  <c r="C617" i="10"/>
  <c r="C323" i="10"/>
  <c r="C1135" i="10"/>
  <c r="K1135" i="10"/>
  <c r="C1495" i="10"/>
  <c r="K1633" i="10"/>
  <c r="C1451" i="10"/>
  <c r="K1611" i="10"/>
  <c r="C1611" i="10"/>
  <c r="C1473" i="10"/>
  <c r="C1633" i="10"/>
  <c r="K1473" i="10"/>
  <c r="C661" i="10"/>
  <c r="K683" i="10"/>
  <c r="K1157" i="10"/>
  <c r="K661" i="10"/>
  <c r="K255" i="10"/>
  <c r="K232" i="10"/>
  <c r="K639" i="10"/>
  <c r="K617" i="10"/>
  <c r="C1157" i="10"/>
  <c r="C683" i="10"/>
  <c r="K1201" i="10"/>
  <c r="K1179" i="10"/>
  <c r="C1179" i="10"/>
  <c r="K207" i="10"/>
  <c r="L1456" i="10"/>
  <c r="L1140" i="10"/>
  <c r="D1206" i="10"/>
  <c r="L2022" i="10"/>
  <c r="D1500" i="10"/>
  <c r="D1616" i="10"/>
  <c r="D1638" i="10"/>
  <c r="L1616" i="10"/>
  <c r="D1456" i="10"/>
  <c r="L1638" i="10"/>
  <c r="D1478" i="10"/>
  <c r="D1999" i="10"/>
  <c r="L1478" i="10"/>
  <c r="L1162" i="10"/>
  <c r="L622" i="10"/>
  <c r="L734" i="10"/>
  <c r="L644" i="10"/>
  <c r="D1162" i="10"/>
  <c r="L1184" i="10"/>
  <c r="D644" i="10"/>
  <c r="L237" i="10"/>
  <c r="L260" i="10"/>
  <c r="L666" i="10"/>
  <c r="L688" i="10"/>
  <c r="D1184" i="10"/>
  <c r="D1140" i="10"/>
  <c r="L1206" i="10"/>
  <c r="D666" i="10"/>
  <c r="D622" i="10"/>
  <c r="D688" i="10"/>
  <c r="L212" i="10"/>
  <c r="I1203" i="10"/>
  <c r="Q1137" i="10"/>
  <c r="Q1453" i="10"/>
  <c r="I1497" i="10"/>
  <c r="I1453" i="10"/>
  <c r="I1613" i="10"/>
  <c r="I1635" i="10"/>
  <c r="Q2019" i="10"/>
  <c r="Q1635" i="10"/>
  <c r="I1475" i="10"/>
  <c r="Q1613" i="10"/>
  <c r="I1996" i="10"/>
  <c r="Q1475" i="10"/>
  <c r="Q257" i="10"/>
  <c r="Q641" i="10"/>
  <c r="Q619" i="10"/>
  <c r="Q685" i="10"/>
  <c r="Q234" i="10"/>
  <c r="Q1159" i="10"/>
  <c r="Q663" i="10"/>
  <c r="Q1203" i="10"/>
  <c r="Q1181" i="10"/>
  <c r="I1159" i="10"/>
  <c r="I685" i="10"/>
  <c r="Q209" i="10"/>
  <c r="R1134" i="10"/>
  <c r="J1200" i="10"/>
  <c r="J1450" i="10"/>
  <c r="R1472" i="10"/>
  <c r="R1610" i="10"/>
  <c r="J1632" i="10"/>
  <c r="R1632" i="10"/>
  <c r="J1993" i="10"/>
  <c r="R2016" i="10"/>
  <c r="J1494" i="10"/>
  <c r="J1610" i="10"/>
  <c r="R1450" i="10"/>
  <c r="J1472" i="10"/>
  <c r="J1178" i="10"/>
  <c r="R1178" i="10"/>
  <c r="R638" i="10"/>
  <c r="R682" i="10"/>
  <c r="J682" i="10"/>
  <c r="R1156" i="10"/>
  <c r="R254" i="10"/>
  <c r="R1200" i="10"/>
  <c r="R660" i="10"/>
  <c r="R616" i="10"/>
  <c r="R231" i="10"/>
  <c r="R206" i="10"/>
  <c r="C1200" i="10"/>
  <c r="K1450" i="10"/>
  <c r="K1134" i="10"/>
  <c r="K1632" i="10"/>
  <c r="C1450" i="10"/>
  <c r="C1472" i="10"/>
  <c r="C1494" i="10"/>
  <c r="C1610" i="10"/>
  <c r="K1610" i="10"/>
  <c r="K1472" i="10"/>
  <c r="C1632" i="10"/>
  <c r="K231" i="10"/>
  <c r="K638" i="10"/>
  <c r="C1178" i="10"/>
  <c r="C682" i="10"/>
  <c r="K254" i="10"/>
  <c r="K616" i="10"/>
  <c r="K682" i="10"/>
  <c r="K1200" i="10"/>
  <c r="K660" i="10"/>
  <c r="K1156" i="10"/>
  <c r="K1178" i="10"/>
  <c r="K206" i="10"/>
  <c r="C1190" i="10"/>
  <c r="K1440" i="10"/>
  <c r="K1600" i="10"/>
  <c r="C1622" i="10"/>
  <c r="C1440" i="10"/>
  <c r="K1462" i="10"/>
  <c r="C1600" i="10"/>
  <c r="K1622" i="10"/>
  <c r="C1462" i="10"/>
  <c r="K221" i="10"/>
  <c r="K1146" i="10"/>
  <c r="K672" i="10"/>
  <c r="K244" i="10"/>
  <c r="K1124" i="10"/>
  <c r="K628" i="10"/>
  <c r="C606" i="10"/>
  <c r="C650" i="10"/>
  <c r="K1190" i="10"/>
  <c r="C628" i="10"/>
  <c r="C1168" i="10"/>
  <c r="K606" i="10"/>
  <c r="K650" i="10"/>
  <c r="C1124" i="10"/>
  <c r="K1168" i="10"/>
  <c r="C1146" i="10"/>
  <c r="K196" i="10"/>
  <c r="N1139" i="10"/>
  <c r="F1205" i="10"/>
  <c r="N1455" i="10"/>
  <c r="F1499" i="10"/>
  <c r="N2021" i="10"/>
  <c r="F1998" i="10"/>
  <c r="N1477" i="10"/>
  <c r="F1455" i="10"/>
  <c r="F1615" i="10"/>
  <c r="F1477" i="10"/>
  <c r="N1637" i="10"/>
  <c r="N1615" i="10"/>
  <c r="F1637" i="10"/>
  <c r="F687" i="10"/>
  <c r="F665" i="10"/>
  <c r="N1161" i="10"/>
  <c r="F643" i="10"/>
  <c r="F1183" i="10"/>
  <c r="N643" i="10"/>
  <c r="N687" i="10"/>
  <c r="N236" i="10"/>
  <c r="N259" i="10"/>
  <c r="F621" i="10"/>
  <c r="N621" i="10"/>
  <c r="N665" i="10"/>
  <c r="F1161" i="10"/>
  <c r="N1183" i="10"/>
  <c r="N1205" i="10"/>
  <c r="N211" i="10"/>
  <c r="E1204" i="10"/>
  <c r="M1454" i="10"/>
  <c r="M1138" i="10"/>
  <c r="E1454" i="10"/>
  <c r="M1476" i="10"/>
  <c r="E1498" i="10"/>
  <c r="M2020" i="10"/>
  <c r="E1614" i="10"/>
  <c r="E1997" i="10"/>
  <c r="E1476" i="10"/>
  <c r="M1636" i="10"/>
  <c r="M1614" i="10"/>
  <c r="E1636" i="10"/>
  <c r="E686" i="10"/>
  <c r="M664" i="10"/>
  <c r="E1160" i="10"/>
  <c r="M686" i="10"/>
  <c r="M235" i="10"/>
  <c r="M258" i="10"/>
  <c r="M620" i="10"/>
  <c r="E642" i="10"/>
  <c r="M1160" i="10"/>
  <c r="M1182" i="10"/>
  <c r="E664" i="10"/>
  <c r="E1138" i="10"/>
  <c r="M732" i="10"/>
  <c r="M642" i="10"/>
  <c r="E1182" i="10"/>
  <c r="E620" i="10"/>
  <c r="M1204" i="10"/>
  <c r="M210" i="10"/>
  <c r="G324" i="10"/>
  <c r="O1452" i="10"/>
  <c r="G1202" i="10"/>
  <c r="O1136" i="10"/>
  <c r="G1995" i="10"/>
  <c r="G1452" i="10"/>
  <c r="G1474" i="10"/>
  <c r="G1496" i="10"/>
  <c r="G1634" i="10"/>
  <c r="O2018" i="10"/>
  <c r="O1474" i="10"/>
  <c r="G1612" i="10"/>
  <c r="O1612" i="10"/>
  <c r="O1634" i="10"/>
  <c r="O618" i="10"/>
  <c r="O1202" i="10"/>
  <c r="O662" i="10"/>
  <c r="G640" i="10"/>
  <c r="O684" i="10"/>
  <c r="O1180" i="10"/>
  <c r="G684" i="10"/>
  <c r="G1136" i="10"/>
  <c r="G1158" i="10"/>
  <c r="O233" i="10"/>
  <c r="O256" i="10"/>
  <c r="O1158" i="10"/>
  <c r="G662" i="10"/>
  <c r="G618" i="10"/>
  <c r="G1180" i="10"/>
  <c r="O640" i="10"/>
  <c r="O208" i="10"/>
  <c r="F617" i="10"/>
  <c r="N729" i="10"/>
  <c r="N1451" i="10"/>
  <c r="F1135" i="10"/>
  <c r="N1135" i="10"/>
  <c r="F323" i="10"/>
  <c r="F1201" i="10"/>
  <c r="F1451" i="10"/>
  <c r="N1611" i="10"/>
  <c r="F1611" i="10"/>
  <c r="F1633" i="10"/>
  <c r="F1495" i="10"/>
  <c r="F1994" i="10"/>
  <c r="N1473" i="10"/>
  <c r="N2017" i="10"/>
  <c r="F1473" i="10"/>
  <c r="N1633" i="10"/>
  <c r="F1179" i="10"/>
  <c r="N1201" i="10"/>
  <c r="N255" i="10"/>
  <c r="N232" i="10"/>
  <c r="F661" i="10"/>
  <c r="N617" i="10"/>
  <c r="F683" i="10"/>
  <c r="N639" i="10"/>
  <c r="N1157" i="10"/>
  <c r="N683" i="10"/>
  <c r="N661" i="10"/>
  <c r="N1179" i="10"/>
  <c r="F1157" i="10"/>
  <c r="N207" i="10"/>
  <c r="H1199" i="10"/>
  <c r="P1133" i="10"/>
  <c r="P1449" i="10"/>
  <c r="H1631" i="10"/>
  <c r="P1609" i="10"/>
  <c r="H1449" i="10"/>
  <c r="H1493" i="10"/>
  <c r="P1471" i="10"/>
  <c r="H1609" i="10"/>
  <c r="H1992" i="10"/>
  <c r="H1471" i="10"/>
  <c r="P1631" i="10"/>
  <c r="P2015" i="10"/>
  <c r="P253" i="10"/>
  <c r="H637" i="10"/>
  <c r="H681" i="10"/>
  <c r="P615" i="10"/>
  <c r="P637" i="10"/>
  <c r="P230" i="10"/>
  <c r="P1199" i="10"/>
  <c r="P1155" i="10"/>
  <c r="P681" i="10"/>
  <c r="H1155" i="10"/>
  <c r="P659" i="10"/>
  <c r="P1177" i="10"/>
  <c r="P205" i="10"/>
  <c r="D1196" i="10"/>
  <c r="L1446" i="10"/>
  <c r="L1468" i="10"/>
  <c r="L1606" i="10"/>
  <c r="L1628" i="10"/>
  <c r="D1468" i="10"/>
  <c r="D1628" i="10"/>
  <c r="D1989" i="10"/>
  <c r="D1446" i="10"/>
  <c r="D1606" i="10"/>
  <c r="L2012" i="10"/>
  <c r="D656" i="10"/>
  <c r="L227" i="10"/>
  <c r="D612" i="10"/>
  <c r="L724" i="10"/>
  <c r="L612" i="10"/>
  <c r="L1196" i="10"/>
  <c r="L250" i="10"/>
  <c r="L656" i="10"/>
  <c r="L1130" i="10"/>
  <c r="L1152" i="10"/>
  <c r="L634" i="10"/>
  <c r="D1174" i="10"/>
  <c r="L1174" i="10"/>
  <c r="L678" i="10"/>
  <c r="L202" i="10"/>
  <c r="F1194" i="10"/>
  <c r="N1444" i="10"/>
  <c r="N1626" i="10"/>
  <c r="F1626" i="10"/>
  <c r="F1604" i="10"/>
  <c r="F1987" i="10"/>
  <c r="N1604" i="10"/>
  <c r="F1466" i="10"/>
  <c r="N2010" i="10"/>
  <c r="N1466" i="10"/>
  <c r="F1444" i="10"/>
  <c r="N248" i="10"/>
  <c r="N610" i="10"/>
  <c r="N225" i="10"/>
  <c r="N654" i="10"/>
  <c r="F632" i="10"/>
  <c r="F1128" i="10"/>
  <c r="F610" i="10"/>
  <c r="F654" i="10"/>
  <c r="N1194" i="10"/>
  <c r="N1128" i="10"/>
  <c r="N1150" i="10"/>
  <c r="N632" i="10"/>
  <c r="F1172" i="10"/>
  <c r="F1150" i="10"/>
  <c r="N1172" i="10"/>
  <c r="N676" i="10"/>
  <c r="N200" i="10"/>
  <c r="J1190" i="10"/>
  <c r="R1440" i="10"/>
  <c r="J1462" i="10"/>
  <c r="R1462" i="10"/>
  <c r="R1622" i="10"/>
  <c r="J1600" i="10"/>
  <c r="R1600" i="10"/>
  <c r="J1622" i="10"/>
  <c r="R2006" i="10"/>
  <c r="J1440" i="10"/>
  <c r="R606" i="10"/>
  <c r="J1124" i="10"/>
  <c r="R244" i="10"/>
  <c r="R718" i="10"/>
  <c r="J1146" i="10"/>
  <c r="R650" i="10"/>
  <c r="J628" i="10"/>
  <c r="J650" i="10"/>
  <c r="J1168" i="10"/>
  <c r="R628" i="10"/>
  <c r="R672" i="10"/>
  <c r="R1124" i="10"/>
  <c r="R1190" i="10"/>
  <c r="R1146" i="10"/>
  <c r="R1168" i="10"/>
  <c r="J606" i="10"/>
  <c r="R196" i="10"/>
  <c r="R221" i="10"/>
  <c r="C1206" i="10"/>
  <c r="K1456" i="10"/>
  <c r="K734" i="10"/>
  <c r="K1140" i="10"/>
  <c r="C1456" i="10"/>
  <c r="K1478" i="10"/>
  <c r="C1616" i="10"/>
  <c r="C1500" i="10"/>
  <c r="C1478" i="10"/>
  <c r="C1638" i="10"/>
  <c r="K1616" i="10"/>
  <c r="K1638" i="10"/>
  <c r="C622" i="10"/>
  <c r="K622" i="10"/>
  <c r="K237" i="10"/>
  <c r="K260" i="10"/>
  <c r="K1184" i="10"/>
  <c r="C666" i="10"/>
  <c r="C688" i="10"/>
  <c r="C1162" i="10"/>
  <c r="K666" i="10"/>
  <c r="K1162" i="10"/>
  <c r="C644" i="10"/>
  <c r="K688" i="10"/>
  <c r="C1184" i="10"/>
  <c r="C1140" i="10"/>
  <c r="K644" i="10"/>
  <c r="K1206" i="10"/>
  <c r="K212" i="10"/>
  <c r="K1136" i="10"/>
  <c r="C324" i="10"/>
  <c r="K1452" i="10"/>
  <c r="C1202" i="10"/>
  <c r="K1612" i="10"/>
  <c r="C1474" i="10"/>
  <c r="C1612" i="10"/>
  <c r="K1474" i="10"/>
  <c r="C1496" i="10"/>
  <c r="K1634" i="10"/>
  <c r="C1452" i="10"/>
  <c r="C1634" i="10"/>
  <c r="K618" i="10"/>
  <c r="C684" i="10"/>
  <c r="C1136" i="10"/>
  <c r="K233" i="10"/>
  <c r="K1158" i="10"/>
  <c r="K1180" i="10"/>
  <c r="K256" i="10"/>
  <c r="C1158" i="10"/>
  <c r="K1202" i="10"/>
  <c r="K662" i="10"/>
  <c r="C640" i="10"/>
  <c r="K684" i="10"/>
  <c r="C618" i="10"/>
  <c r="C1180" i="10"/>
  <c r="K640" i="10"/>
  <c r="C662" i="10"/>
  <c r="K208" i="10"/>
  <c r="K1446" i="10"/>
  <c r="K724" i="10"/>
  <c r="C1196" i="10"/>
  <c r="C1446" i="10"/>
  <c r="C1606" i="10"/>
  <c r="K1628" i="10"/>
  <c r="K1606" i="10"/>
  <c r="C1468" i="10"/>
  <c r="K1468" i="10"/>
  <c r="C1628" i="10"/>
  <c r="K678" i="10"/>
  <c r="K656" i="10"/>
  <c r="K250" i="10"/>
  <c r="K634" i="10"/>
  <c r="K612" i="10"/>
  <c r="C612" i="10"/>
  <c r="K1130" i="10"/>
  <c r="K1152" i="10"/>
  <c r="K1196" i="10"/>
  <c r="C1174" i="10"/>
  <c r="K1174" i="10"/>
  <c r="K202" i="10"/>
  <c r="K720" i="10"/>
  <c r="K1442" i="10"/>
  <c r="C1192" i="10"/>
  <c r="C1442" i="10"/>
  <c r="K1624" i="10"/>
  <c r="C1602" i="10"/>
  <c r="K1464" i="10"/>
  <c r="C1464" i="10"/>
  <c r="C1624" i="10"/>
  <c r="K1602" i="10"/>
  <c r="K674" i="10"/>
  <c r="K652" i="10"/>
  <c r="K223" i="10"/>
  <c r="K630" i="10"/>
  <c r="C1148" i="10"/>
  <c r="K246" i="10"/>
  <c r="K608" i="10"/>
  <c r="C608" i="10"/>
  <c r="C652" i="10"/>
  <c r="C1126" i="10"/>
  <c r="C630" i="10"/>
  <c r="C1170" i="10"/>
  <c r="K1170" i="10"/>
  <c r="K1192" i="10"/>
  <c r="K1126" i="10"/>
  <c r="K1148" i="10"/>
  <c r="K198" i="10"/>
  <c r="I1206" i="10"/>
  <c r="Q1140" i="10"/>
  <c r="Q1456" i="10"/>
  <c r="I1638" i="10"/>
  <c r="Q1638" i="10"/>
  <c r="I1616" i="10"/>
  <c r="I1478" i="10"/>
  <c r="I1999" i="10"/>
  <c r="I1456" i="10"/>
  <c r="I1500" i="10"/>
  <c r="Q2022" i="10"/>
  <c r="Q1616" i="10"/>
  <c r="Q1478" i="10"/>
  <c r="Q237" i="10"/>
  <c r="Q688" i="10"/>
  <c r="I666" i="10"/>
  <c r="Q260" i="10"/>
  <c r="Q644" i="10"/>
  <c r="I688" i="10"/>
  <c r="I644" i="10"/>
  <c r="I1184" i="10"/>
  <c r="Q1206" i="10"/>
  <c r="I1140" i="10"/>
  <c r="I622" i="10"/>
  <c r="Q622" i="10"/>
  <c r="Q1184" i="10"/>
  <c r="I1162" i="10"/>
  <c r="Q734" i="10"/>
  <c r="Q666" i="10"/>
  <c r="Q1162" i="10"/>
  <c r="Q212" i="10"/>
  <c r="E1206" i="10"/>
  <c r="M1456" i="10"/>
  <c r="M1140" i="10"/>
  <c r="E1456" i="10"/>
  <c r="M1616" i="10"/>
  <c r="E1638" i="10"/>
  <c r="M1638" i="10"/>
  <c r="E1616" i="10"/>
  <c r="E1999" i="10"/>
  <c r="M2022" i="10"/>
  <c r="E1478" i="10"/>
  <c r="M1478" i="10"/>
  <c r="E1500" i="10"/>
  <c r="M688" i="10"/>
  <c r="M237" i="10"/>
  <c r="M644" i="10"/>
  <c r="E644" i="10"/>
  <c r="E1140" i="10"/>
  <c r="M260" i="10"/>
  <c r="E1184" i="10"/>
  <c r="M1206" i="10"/>
  <c r="E622" i="10"/>
  <c r="E666" i="10"/>
  <c r="E688" i="10"/>
  <c r="E1162" i="10"/>
  <c r="M622" i="10"/>
  <c r="M734" i="10"/>
  <c r="M1184" i="10"/>
  <c r="M666" i="10"/>
  <c r="M1162" i="10"/>
  <c r="M212" i="10"/>
  <c r="H1205" i="10"/>
  <c r="P1139" i="10"/>
  <c r="P1455" i="10"/>
  <c r="H1637" i="10"/>
  <c r="P1637" i="10"/>
  <c r="H1615" i="10"/>
  <c r="H1998" i="10"/>
  <c r="P1615" i="10"/>
  <c r="H1477" i="10"/>
  <c r="H1499" i="10"/>
  <c r="H1455" i="10"/>
  <c r="P1477" i="10"/>
  <c r="P2021" i="10"/>
  <c r="H621" i="10"/>
  <c r="P621" i="10"/>
  <c r="P1183" i="10"/>
  <c r="H687" i="10"/>
  <c r="P236" i="10"/>
  <c r="H665" i="10"/>
  <c r="H1161" i="10"/>
  <c r="P259" i="10"/>
  <c r="P687" i="10"/>
  <c r="P665" i="10"/>
  <c r="P1205" i="10"/>
  <c r="H643" i="10"/>
  <c r="H1183" i="10"/>
  <c r="P643" i="10"/>
  <c r="P1161" i="10"/>
  <c r="P211" i="10"/>
  <c r="D1205" i="10"/>
  <c r="L1139" i="10"/>
  <c r="L1455" i="10"/>
  <c r="L1615" i="10"/>
  <c r="D1637" i="10"/>
  <c r="L1637" i="10"/>
  <c r="D1998" i="10"/>
  <c r="D1477" i="10"/>
  <c r="L2021" i="10"/>
  <c r="D1455" i="10"/>
  <c r="L1477" i="10"/>
  <c r="D1615" i="10"/>
  <c r="D1499" i="10"/>
  <c r="D621" i="10"/>
  <c r="L1183" i="10"/>
  <c r="L259" i="10"/>
  <c r="D665" i="10"/>
  <c r="L1205" i="10"/>
  <c r="L687" i="10"/>
  <c r="L621" i="10"/>
  <c r="L665" i="10"/>
  <c r="D1161" i="10"/>
  <c r="L236" i="10"/>
  <c r="D643" i="10"/>
  <c r="D687" i="10"/>
  <c r="D1183" i="10"/>
  <c r="L643" i="10"/>
  <c r="L1161" i="10"/>
  <c r="L211" i="10"/>
  <c r="G1204" i="10"/>
  <c r="O1138" i="10"/>
  <c r="O1454" i="10"/>
  <c r="G1614" i="10"/>
  <c r="G1636" i="10"/>
  <c r="O1636" i="10"/>
  <c r="G1454" i="10"/>
  <c r="O1476" i="10"/>
  <c r="G1498" i="10"/>
  <c r="O2020" i="10"/>
  <c r="O1614" i="10"/>
  <c r="G1476" i="10"/>
  <c r="G1997" i="10"/>
  <c r="O686" i="10"/>
  <c r="O1204" i="10"/>
  <c r="O620" i="10"/>
  <c r="O235" i="10"/>
  <c r="G642" i="10"/>
  <c r="O642" i="10"/>
  <c r="G686" i="10"/>
  <c r="O258" i="10"/>
  <c r="G620" i="10"/>
  <c r="G1182" i="10"/>
  <c r="G664" i="10"/>
  <c r="G1138" i="10"/>
  <c r="O732" i="10"/>
  <c r="G1160" i="10"/>
  <c r="O1160" i="10"/>
  <c r="O1182" i="10"/>
  <c r="O664" i="10"/>
  <c r="O210" i="10"/>
  <c r="R1137" i="10"/>
  <c r="J1203" i="10"/>
  <c r="J1497" i="10"/>
  <c r="R1613" i="10"/>
  <c r="J1996" i="10"/>
  <c r="R1453" i="10"/>
  <c r="J1635" i="10"/>
  <c r="R1635" i="10"/>
  <c r="R2019" i="10"/>
  <c r="J1475" i="10"/>
  <c r="R1475" i="10"/>
  <c r="J1613" i="10"/>
  <c r="J1453" i="10"/>
  <c r="R641" i="10"/>
  <c r="R663" i="10"/>
  <c r="J1159" i="10"/>
  <c r="R1203" i="10"/>
  <c r="R685" i="10"/>
  <c r="J685" i="10"/>
  <c r="R1159" i="10"/>
  <c r="R257" i="10"/>
  <c r="R1181" i="10"/>
  <c r="R619" i="10"/>
  <c r="R234" i="10"/>
  <c r="R209" i="10"/>
  <c r="N1137" i="10"/>
  <c r="N1453" i="10"/>
  <c r="F1203" i="10"/>
  <c r="F1635" i="10"/>
  <c r="N1635" i="10"/>
  <c r="N1613" i="10"/>
  <c r="F1996" i="10"/>
  <c r="N2019" i="10"/>
  <c r="F1475" i="10"/>
  <c r="F1613" i="10"/>
  <c r="F1453" i="10"/>
  <c r="F1497" i="10"/>
  <c r="N1475" i="10"/>
  <c r="F1159" i="10"/>
  <c r="N1181" i="10"/>
  <c r="N257" i="10"/>
  <c r="N685" i="10"/>
  <c r="N663" i="10"/>
  <c r="F685" i="10"/>
  <c r="N234" i="10"/>
  <c r="N619" i="10"/>
  <c r="N641" i="10"/>
  <c r="N1159" i="10"/>
  <c r="N1203" i="10"/>
  <c r="N209" i="10"/>
  <c r="I1202" i="10"/>
  <c r="Q1452" i="10"/>
  <c r="Q1136" i="10"/>
  <c r="I324" i="10"/>
  <c r="I1634" i="10"/>
  <c r="Q1634" i="10"/>
  <c r="I1995" i="10"/>
  <c r="Q2018" i="10"/>
  <c r="Q1474" i="10"/>
  <c r="I1452" i="10"/>
  <c r="Q1612" i="10"/>
  <c r="I1612" i="10"/>
  <c r="I1474" i="10"/>
  <c r="I1496" i="10"/>
  <c r="Q684" i="10"/>
  <c r="Q618" i="10"/>
  <c r="I684" i="10"/>
  <c r="Q256" i="10"/>
  <c r="I1180" i="10"/>
  <c r="Q640" i="10"/>
  <c r="I662" i="10"/>
  <c r="I640" i="10"/>
  <c r="Q233" i="10"/>
  <c r="I618" i="10"/>
  <c r="Q1202" i="10"/>
  <c r="I1136" i="10"/>
  <c r="I1158" i="10"/>
  <c r="Q662" i="10"/>
  <c r="Q1158" i="10"/>
  <c r="Q1180" i="10"/>
  <c r="Q208" i="10"/>
  <c r="E1202" i="10"/>
  <c r="E324" i="10"/>
  <c r="M1452" i="10"/>
  <c r="M1136" i="10"/>
  <c r="M2018" i="10"/>
  <c r="E1634" i="10"/>
  <c r="M1634" i="10"/>
  <c r="E1995" i="10"/>
  <c r="E1474" i="10"/>
  <c r="M1474" i="10"/>
  <c r="E1452" i="10"/>
  <c r="E1496" i="10"/>
  <c r="M1612" i="10"/>
  <c r="E1612" i="10"/>
  <c r="M684" i="10"/>
  <c r="E662" i="10"/>
  <c r="M233" i="10"/>
  <c r="M618" i="10"/>
  <c r="E684" i="10"/>
  <c r="E640" i="10"/>
  <c r="E1180" i="10"/>
  <c r="M640" i="10"/>
  <c r="M256" i="10"/>
  <c r="E618" i="10"/>
  <c r="E1158" i="10"/>
  <c r="M1180" i="10"/>
  <c r="M1202" i="10"/>
  <c r="M662" i="10"/>
  <c r="E1136" i="10"/>
  <c r="M1158" i="10"/>
  <c r="M208" i="10"/>
  <c r="H1201" i="10"/>
  <c r="P1451" i="10"/>
  <c r="H323" i="10"/>
  <c r="P729" i="10"/>
  <c r="H617" i="10"/>
  <c r="H1135" i="10"/>
  <c r="P1135" i="10"/>
  <c r="P2017" i="10"/>
  <c r="P1473" i="10"/>
  <c r="P1633" i="10"/>
  <c r="H1994" i="10"/>
  <c r="H1451" i="10"/>
  <c r="H1611" i="10"/>
  <c r="P1611" i="10"/>
  <c r="H1633" i="10"/>
  <c r="H1473" i="10"/>
  <c r="H1495" i="10"/>
  <c r="H1157" i="10"/>
  <c r="P255" i="10"/>
  <c r="P1179" i="10"/>
  <c r="P232" i="10"/>
  <c r="P617" i="10"/>
  <c r="P683" i="10"/>
  <c r="P661" i="10"/>
  <c r="H683" i="10"/>
  <c r="P639" i="10"/>
  <c r="P1157" i="10"/>
  <c r="H1179" i="10"/>
  <c r="P1201" i="10"/>
  <c r="H661" i="10"/>
  <c r="P207" i="10"/>
  <c r="D323" i="10"/>
  <c r="D1135" i="10"/>
  <c r="D1201" i="10"/>
  <c r="D617" i="10"/>
  <c r="L729" i="10"/>
  <c r="L1451" i="10"/>
  <c r="L1135" i="10"/>
  <c r="L1633" i="10"/>
  <c r="L2017" i="10"/>
  <c r="D1994" i="10"/>
  <c r="D1473" i="10"/>
  <c r="D1451" i="10"/>
  <c r="D1495" i="10"/>
  <c r="L1473" i="10"/>
  <c r="D1611" i="10"/>
  <c r="L1611" i="10"/>
  <c r="D1633" i="10"/>
  <c r="L255" i="10"/>
  <c r="L232" i="10"/>
  <c r="D1157" i="10"/>
  <c r="D683" i="10"/>
  <c r="L617" i="10"/>
  <c r="L683" i="10"/>
  <c r="L661" i="10"/>
  <c r="L1179" i="10"/>
  <c r="L1157" i="10"/>
  <c r="L1201" i="10"/>
  <c r="L639" i="10"/>
  <c r="D661" i="10"/>
  <c r="D1179" i="10"/>
  <c r="L207" i="10"/>
  <c r="O1450" i="10"/>
  <c r="G1200" i="10"/>
  <c r="O1134" i="10"/>
  <c r="O1632" i="10"/>
  <c r="O2016" i="10"/>
  <c r="G1993" i="10"/>
  <c r="O1472" i="10"/>
  <c r="G1610" i="10"/>
  <c r="O1610" i="10"/>
  <c r="G1632" i="10"/>
  <c r="G1450" i="10"/>
  <c r="G1472" i="10"/>
  <c r="G1494" i="10"/>
  <c r="O254" i="10"/>
  <c r="O682" i="10"/>
  <c r="O638" i="10"/>
  <c r="G1178" i="10"/>
  <c r="O616" i="10"/>
  <c r="O231" i="10"/>
  <c r="G682" i="10"/>
  <c r="O1156" i="10"/>
  <c r="O1178" i="10"/>
  <c r="O1200" i="10"/>
  <c r="O660" i="10"/>
  <c r="O206" i="10"/>
  <c r="J1199" i="10"/>
  <c r="R1133" i="10"/>
  <c r="J1493" i="10"/>
  <c r="R1449" i="10"/>
  <c r="J1609" i="10"/>
  <c r="J1449" i="10"/>
  <c r="J1471" i="10"/>
  <c r="R1471" i="10"/>
  <c r="J1992" i="10"/>
  <c r="R1609" i="10"/>
  <c r="R2015" i="10"/>
  <c r="J1631" i="10"/>
  <c r="R1631" i="10"/>
  <c r="J1155" i="10"/>
  <c r="R1177" i="10"/>
  <c r="R637" i="10"/>
  <c r="R1199" i="10"/>
  <c r="R253" i="10"/>
  <c r="R681" i="10"/>
  <c r="J637" i="10"/>
  <c r="R1155" i="10"/>
  <c r="R659" i="10"/>
  <c r="J681" i="10"/>
  <c r="R615" i="10"/>
  <c r="R230" i="10"/>
  <c r="R205" i="10"/>
  <c r="N1449" i="10"/>
  <c r="N1133" i="10"/>
  <c r="F1199" i="10"/>
  <c r="N2015" i="10"/>
  <c r="F1609" i="10"/>
  <c r="N1631" i="10"/>
  <c r="F1471" i="10"/>
  <c r="F1992" i="10"/>
  <c r="N1609" i="10"/>
  <c r="N1471" i="10"/>
  <c r="F1631" i="10"/>
  <c r="F1449" i="10"/>
  <c r="F1493" i="10"/>
  <c r="N230" i="10"/>
  <c r="N681" i="10"/>
  <c r="N659" i="10"/>
  <c r="F637" i="10"/>
  <c r="F1155" i="10"/>
  <c r="N1177" i="10"/>
  <c r="N253" i="10"/>
  <c r="F681" i="10"/>
  <c r="N637" i="10"/>
  <c r="N1199" i="10"/>
  <c r="N615" i="10"/>
  <c r="N1155" i="10"/>
  <c r="N205" i="10"/>
  <c r="J1196" i="10"/>
  <c r="J1606" i="10"/>
  <c r="R2012" i="10"/>
  <c r="R1446" i="10"/>
  <c r="J1628" i="10"/>
  <c r="R1628" i="10"/>
  <c r="J1446" i="10"/>
  <c r="J1468" i="10"/>
  <c r="R1606" i="10"/>
  <c r="J1989" i="10"/>
  <c r="R1468" i="10"/>
  <c r="R1196" i="10"/>
  <c r="J634" i="10"/>
  <c r="R1174" i="10"/>
  <c r="R1130" i="10"/>
  <c r="R634" i="10"/>
  <c r="J656" i="10"/>
  <c r="R250" i="10"/>
  <c r="R1152" i="10"/>
  <c r="R678" i="10"/>
  <c r="J1174" i="10"/>
  <c r="R612" i="10"/>
  <c r="R656" i="10"/>
  <c r="R202" i="10"/>
  <c r="R227" i="10"/>
  <c r="F1196" i="10"/>
  <c r="N1446" i="10"/>
  <c r="N2012" i="10"/>
  <c r="F1468" i="10"/>
  <c r="F1606" i="10"/>
  <c r="F1446" i="10"/>
  <c r="F1628" i="10"/>
  <c r="N1628" i="10"/>
  <c r="F1989" i="10"/>
  <c r="N1468" i="10"/>
  <c r="N1606" i="10"/>
  <c r="N1130" i="10"/>
  <c r="N1152" i="10"/>
  <c r="F1174" i="10"/>
  <c r="N724" i="10"/>
  <c r="N1174" i="10"/>
  <c r="N250" i="10"/>
  <c r="N227" i="10"/>
  <c r="N634" i="10"/>
  <c r="N678" i="10"/>
  <c r="N612" i="10"/>
  <c r="F656" i="10"/>
  <c r="N656" i="10"/>
  <c r="N1196" i="10"/>
  <c r="N202" i="10"/>
  <c r="I1195" i="10"/>
  <c r="Q1445" i="10"/>
  <c r="Q2011" i="10"/>
  <c r="I1605" i="10"/>
  <c r="I1627" i="10"/>
  <c r="Q1605" i="10"/>
  <c r="Q1627" i="10"/>
  <c r="I1467" i="10"/>
  <c r="I1988" i="10"/>
  <c r="Q1467" i="10"/>
  <c r="I1445" i="10"/>
  <c r="Q1129" i="10"/>
  <c r="Q655" i="10"/>
  <c r="Q677" i="10"/>
  <c r="I633" i="10"/>
  <c r="Q226" i="10"/>
  <c r="Q249" i="10"/>
  <c r="Q1151" i="10"/>
  <c r="I611" i="10"/>
  <c r="Q611" i="10"/>
  <c r="I655" i="10"/>
  <c r="Q723" i="10"/>
  <c r="Q1173" i="10"/>
  <c r="I1129" i="10"/>
  <c r="I1151" i="10"/>
  <c r="Q1195" i="10"/>
  <c r="I1173" i="10"/>
  <c r="Q633" i="10"/>
  <c r="Q201" i="10"/>
  <c r="E1195" i="10"/>
  <c r="M1445" i="10"/>
  <c r="M1627" i="10"/>
  <c r="E1467" i="10"/>
  <c r="E1605" i="10"/>
  <c r="E1988" i="10"/>
  <c r="M1605" i="10"/>
  <c r="M2011" i="10"/>
  <c r="M1467" i="10"/>
  <c r="E1445" i="10"/>
  <c r="E1627" i="10"/>
  <c r="M249" i="10"/>
  <c r="M611" i="10"/>
  <c r="M655" i="10"/>
  <c r="M677" i="10"/>
  <c r="E317" i="10"/>
  <c r="M723" i="10"/>
  <c r="E633" i="10"/>
  <c r="M1151" i="10"/>
  <c r="M226" i="10"/>
  <c r="M1129" i="10"/>
  <c r="E611" i="10"/>
  <c r="E655" i="10"/>
  <c r="M1173" i="10"/>
  <c r="M633" i="10"/>
  <c r="E1151" i="10"/>
  <c r="E1129" i="10"/>
  <c r="E1173" i="10"/>
  <c r="M1195" i="10"/>
  <c r="M201" i="10"/>
  <c r="H1194" i="10"/>
  <c r="P1444" i="10"/>
  <c r="H1626" i="10"/>
  <c r="H1466" i="10"/>
  <c r="P2010" i="10"/>
  <c r="P1466" i="10"/>
  <c r="P1604" i="10"/>
  <c r="H1604" i="10"/>
  <c r="P1626" i="10"/>
  <c r="H1444" i="10"/>
  <c r="H1987" i="10"/>
  <c r="H632" i="10"/>
  <c r="P1128" i="10"/>
  <c r="P1172" i="10"/>
  <c r="P632" i="10"/>
  <c r="P248" i="10"/>
  <c r="P1150" i="10"/>
  <c r="P225" i="10"/>
  <c r="H1172" i="10"/>
  <c r="P676" i="10"/>
  <c r="H610" i="10"/>
  <c r="P610" i="10"/>
  <c r="H654" i="10"/>
  <c r="P654" i="10"/>
  <c r="P1194" i="10"/>
  <c r="H1128" i="10"/>
  <c r="H1150" i="10"/>
  <c r="P200" i="10"/>
  <c r="L1444" i="10"/>
  <c r="D1194" i="10"/>
  <c r="D1987" i="10"/>
  <c r="L2010" i="10"/>
  <c r="D1466" i="10"/>
  <c r="D1626" i="10"/>
  <c r="D1604" i="10"/>
  <c r="L1626" i="10"/>
  <c r="L1466" i="10"/>
  <c r="L1604" i="10"/>
  <c r="D1444" i="10"/>
  <c r="D632" i="10"/>
  <c r="D1172" i="10"/>
  <c r="L632" i="10"/>
  <c r="L248" i="10"/>
  <c r="L1128" i="10"/>
  <c r="L1172" i="10"/>
  <c r="L676" i="10"/>
  <c r="L225" i="10"/>
  <c r="L1150" i="10"/>
  <c r="D610" i="10"/>
  <c r="D1128" i="10"/>
  <c r="L610" i="10"/>
  <c r="D654" i="10"/>
  <c r="L654" i="10"/>
  <c r="L1194" i="10"/>
  <c r="D1150" i="10"/>
  <c r="L200" i="10"/>
  <c r="G1193" i="10"/>
  <c r="O1443" i="10"/>
  <c r="G1465" i="10"/>
  <c r="O2009" i="10"/>
  <c r="G1603" i="10"/>
  <c r="O1465" i="10"/>
  <c r="O1603" i="10"/>
  <c r="G1986" i="10"/>
  <c r="O1625" i="10"/>
  <c r="G1625" i="10"/>
  <c r="G1443" i="10"/>
  <c r="G1149" i="10"/>
  <c r="O653" i="10"/>
  <c r="O675" i="10"/>
  <c r="G631" i="10"/>
  <c r="O224" i="10"/>
  <c r="O1149" i="10"/>
  <c r="O1127" i="10"/>
  <c r="G609" i="10"/>
  <c r="O247" i="10"/>
  <c r="O609" i="10"/>
  <c r="O721" i="10"/>
  <c r="G1127" i="10"/>
  <c r="G1171" i="10"/>
  <c r="O1171" i="10"/>
  <c r="O631" i="10"/>
  <c r="O1193" i="10"/>
  <c r="O199" i="10"/>
  <c r="J1192" i="10"/>
  <c r="J1602" i="10"/>
  <c r="R1464" i="10"/>
  <c r="J1985" i="10"/>
  <c r="R1602" i="10"/>
  <c r="J1442" i="10"/>
  <c r="J1624" i="10"/>
  <c r="R1624" i="10"/>
  <c r="R2008" i="10"/>
  <c r="J1464" i="10"/>
  <c r="R1442" i="10"/>
  <c r="J630" i="10"/>
  <c r="R1126" i="10"/>
  <c r="R674" i="10"/>
  <c r="R246" i="10"/>
  <c r="R1148" i="10"/>
  <c r="R1192" i="10"/>
  <c r="R608" i="10"/>
  <c r="R1170" i="10"/>
  <c r="J608" i="10"/>
  <c r="R630" i="10"/>
  <c r="J652" i="10"/>
  <c r="J1148" i="10"/>
  <c r="R720" i="10"/>
  <c r="J1126" i="10"/>
  <c r="R652" i="10"/>
  <c r="J1170" i="10"/>
  <c r="R198" i="10"/>
  <c r="R223" i="10"/>
  <c r="N1442" i="10"/>
  <c r="F1192" i="10"/>
  <c r="F1624" i="10"/>
  <c r="N2008" i="10"/>
  <c r="N1464" i="10"/>
  <c r="N1602" i="10"/>
  <c r="F1442" i="10"/>
  <c r="F1602" i="10"/>
  <c r="N1624" i="10"/>
  <c r="F1464" i="10"/>
  <c r="F1985" i="10"/>
  <c r="N608" i="10"/>
  <c r="N720" i="10"/>
  <c r="N1126" i="10"/>
  <c r="N223" i="10"/>
  <c r="F630" i="10"/>
  <c r="N1148" i="10"/>
  <c r="F1170" i="10"/>
  <c r="N630" i="10"/>
  <c r="N674" i="10"/>
  <c r="N246" i="10"/>
  <c r="N1170" i="10"/>
  <c r="F1148" i="10"/>
  <c r="F652" i="10"/>
  <c r="N652" i="10"/>
  <c r="N1192" i="10"/>
  <c r="F608" i="10"/>
  <c r="F1126" i="10"/>
  <c r="N198" i="10"/>
  <c r="I1191" i="10"/>
  <c r="Q1441" i="10"/>
  <c r="Q2007" i="10"/>
  <c r="I1463" i="10"/>
  <c r="Q1601" i="10"/>
  <c r="Q1623" i="10"/>
  <c r="I1984" i="10"/>
  <c r="I1601" i="10"/>
  <c r="I1441" i="10"/>
  <c r="Q1463" i="10"/>
  <c r="I1623" i="10"/>
  <c r="Q651" i="10"/>
  <c r="Q222" i="10"/>
  <c r="Q1147" i="10"/>
  <c r="Q673" i="10"/>
  <c r="Q1125" i="10"/>
  <c r="Q245" i="10"/>
  <c r="I607" i="10"/>
  <c r="Q607" i="10"/>
  <c r="Q1191" i="10"/>
  <c r="Q1169" i="10"/>
  <c r="I1125" i="10"/>
  <c r="Q629" i="10"/>
  <c r="Q197" i="10"/>
  <c r="E1191" i="10"/>
  <c r="M1441" i="10"/>
  <c r="M2007" i="10"/>
  <c r="E1623" i="10"/>
  <c r="M1463" i="10"/>
  <c r="E1984" i="10"/>
  <c r="M1623" i="10"/>
  <c r="E1601" i="10"/>
  <c r="E1463" i="10"/>
  <c r="M1601" i="10"/>
  <c r="E1441" i="10"/>
  <c r="M607" i="10"/>
  <c r="M673" i="10"/>
  <c r="M245" i="10"/>
  <c r="M1125" i="10"/>
  <c r="M651" i="10"/>
  <c r="M222" i="10"/>
  <c r="M1147" i="10"/>
  <c r="E607" i="10"/>
  <c r="M629" i="10"/>
  <c r="E1125" i="10"/>
  <c r="M1191" i="10"/>
  <c r="M1169" i="10"/>
  <c r="M197" i="10"/>
  <c r="H1190" i="10"/>
  <c r="P1440" i="10"/>
  <c r="H1462" i="10"/>
  <c r="H1622" i="10"/>
  <c r="P1600" i="10"/>
  <c r="H1600" i="10"/>
  <c r="P1622" i="10"/>
  <c r="P2006" i="10"/>
  <c r="H1440" i="10"/>
  <c r="P1462" i="10"/>
  <c r="H628" i="10"/>
  <c r="P628" i="10"/>
  <c r="P1146" i="10"/>
  <c r="H1168" i="10"/>
  <c r="P221" i="10"/>
  <c r="P244" i="10"/>
  <c r="P1124" i="10"/>
  <c r="P1168" i="10"/>
  <c r="P606" i="10"/>
  <c r="H1146" i="10"/>
  <c r="P672" i="10"/>
  <c r="H606" i="10"/>
  <c r="P1190" i="10"/>
  <c r="H1124" i="10"/>
  <c r="H650" i="10"/>
  <c r="P650" i="10"/>
  <c r="P196" i="10"/>
  <c r="L1440" i="10"/>
  <c r="D1190" i="10"/>
  <c r="D1462" i="10"/>
  <c r="L1600" i="10"/>
  <c r="L2006" i="10"/>
  <c r="L1462" i="10"/>
  <c r="D1600" i="10"/>
  <c r="L1622" i="10"/>
  <c r="D1622" i="10"/>
  <c r="D1440" i="10"/>
  <c r="D628" i="10"/>
  <c r="L1124" i="10"/>
  <c r="L628" i="10"/>
  <c r="D1168" i="10"/>
  <c r="L606" i="10"/>
  <c r="L672" i="10"/>
  <c r="L221" i="10"/>
  <c r="L244" i="10"/>
  <c r="L1146" i="10"/>
  <c r="L1168" i="10"/>
  <c r="D1146" i="10"/>
  <c r="D606" i="10"/>
  <c r="L1190" i="10"/>
  <c r="D650" i="10"/>
  <c r="L650" i="10"/>
  <c r="D1124" i="10"/>
  <c r="L196" i="10"/>
  <c r="C1019" i="10"/>
  <c r="C1800" i="10"/>
  <c r="K1800" i="10"/>
  <c r="C1823" i="10"/>
  <c r="F1026" i="10"/>
  <c r="N1830" i="10"/>
  <c r="N960" i="10"/>
  <c r="F1830" i="10"/>
  <c r="N1999" i="10"/>
  <c r="F2022" i="10"/>
  <c r="N1807" i="10"/>
  <c r="F1807" i="10"/>
  <c r="F960" i="10"/>
  <c r="N1026" i="10"/>
  <c r="F982" i="10"/>
  <c r="N1004" i="10"/>
  <c r="F1004" i="10"/>
  <c r="N982" i="10"/>
  <c r="H1025" i="10"/>
  <c r="P959" i="10"/>
  <c r="P1829" i="10"/>
  <c r="H1806" i="10"/>
  <c r="H2021" i="10"/>
  <c r="H1829" i="10"/>
  <c r="P1806" i="10"/>
  <c r="P1998" i="10"/>
  <c r="P1003" i="10"/>
  <c r="P1025" i="10"/>
  <c r="H981" i="10"/>
  <c r="H1003" i="10"/>
  <c r="P981" i="10"/>
  <c r="L959" i="10"/>
  <c r="D1025" i="10"/>
  <c r="L1829" i="10"/>
  <c r="D1829" i="10"/>
  <c r="D1806" i="10"/>
  <c r="D2021" i="10"/>
  <c r="L1806" i="10"/>
  <c r="L1998" i="10"/>
  <c r="L1003" i="10"/>
  <c r="D981" i="10"/>
  <c r="L1025" i="10"/>
  <c r="D1003" i="10"/>
  <c r="L981" i="10"/>
  <c r="F1024" i="10"/>
  <c r="N958" i="10"/>
  <c r="N1828" i="10"/>
  <c r="F1805" i="10"/>
  <c r="N1805" i="10"/>
  <c r="F1828" i="10"/>
  <c r="F2020" i="10"/>
  <c r="N1997" i="10"/>
  <c r="F980" i="10"/>
  <c r="N980" i="10"/>
  <c r="F1002" i="10"/>
  <c r="N1002" i="10"/>
  <c r="N1024" i="10"/>
  <c r="F958" i="10"/>
  <c r="P1827" i="10"/>
  <c r="H1023" i="10"/>
  <c r="P957" i="10"/>
  <c r="P1996" i="10"/>
  <c r="H2019" i="10"/>
  <c r="H1804" i="10"/>
  <c r="H1827" i="10"/>
  <c r="P1804" i="10"/>
  <c r="P1023" i="10"/>
  <c r="P979" i="10"/>
  <c r="H979" i="10"/>
  <c r="P1001" i="10"/>
  <c r="L957" i="10"/>
  <c r="L1827" i="10"/>
  <c r="D1023" i="10"/>
  <c r="D2019" i="10"/>
  <c r="L1996" i="10"/>
  <c r="D1804" i="10"/>
  <c r="D1827" i="10"/>
  <c r="L1804" i="10"/>
  <c r="L1023" i="10"/>
  <c r="L979" i="10"/>
  <c r="L1001" i="10"/>
  <c r="D979" i="10"/>
  <c r="F1022" i="10"/>
  <c r="N956" i="10"/>
  <c r="N1826" i="10"/>
  <c r="F2018" i="10"/>
  <c r="N1803" i="10"/>
  <c r="F1803" i="10"/>
  <c r="F1826" i="10"/>
  <c r="N1995" i="10"/>
  <c r="N1022" i="10"/>
  <c r="F956" i="10"/>
  <c r="F978" i="10"/>
  <c r="F1000" i="10"/>
  <c r="N978" i="10"/>
  <c r="N1000" i="10"/>
  <c r="H1021" i="10"/>
  <c r="H955" i="10"/>
  <c r="P955" i="10"/>
  <c r="P1825" i="10"/>
  <c r="P1802" i="10"/>
  <c r="H1802" i="10"/>
  <c r="P1994" i="10"/>
  <c r="H2017" i="10"/>
  <c r="H1825" i="10"/>
  <c r="H977" i="10"/>
  <c r="P999" i="10"/>
  <c r="H999" i="10"/>
  <c r="P977" i="10"/>
  <c r="P1021" i="10"/>
  <c r="L955" i="10"/>
  <c r="D955" i="10"/>
  <c r="D1021" i="10"/>
  <c r="L1825" i="10"/>
  <c r="L1802" i="10"/>
  <c r="D2017" i="10"/>
  <c r="L1994" i="10"/>
  <c r="D1802" i="10"/>
  <c r="D1825" i="10"/>
  <c r="L999" i="10"/>
  <c r="D977" i="10"/>
  <c r="L1021" i="10"/>
  <c r="D999" i="10"/>
  <c r="L977" i="10"/>
  <c r="F1020" i="10"/>
  <c r="N954" i="10"/>
  <c r="N1824" i="10"/>
  <c r="N1993" i="10"/>
  <c r="N1801" i="10"/>
  <c r="F1824" i="10"/>
  <c r="F2016" i="10"/>
  <c r="F1801" i="10"/>
  <c r="N998" i="10"/>
  <c r="F998" i="10"/>
  <c r="N976" i="10"/>
  <c r="N1020" i="10"/>
  <c r="P1823" i="10"/>
  <c r="H1019" i="10"/>
  <c r="P953" i="10"/>
  <c r="H1823" i="10"/>
  <c r="P1992" i="10"/>
  <c r="P1800" i="10"/>
  <c r="H1800" i="10"/>
  <c r="H2015" i="10"/>
  <c r="P1019" i="10"/>
  <c r="P975" i="10"/>
  <c r="H975" i="10"/>
  <c r="P997" i="10"/>
  <c r="L1823" i="10"/>
  <c r="L953" i="10"/>
  <c r="D1019" i="10"/>
  <c r="D1800" i="10"/>
  <c r="L1800" i="10"/>
  <c r="D1823" i="10"/>
  <c r="L1992" i="10"/>
  <c r="D2015" i="10"/>
  <c r="L1019" i="10"/>
  <c r="L975" i="10"/>
  <c r="D975" i="10"/>
  <c r="L997" i="10"/>
  <c r="N952" i="10"/>
  <c r="F1018" i="10"/>
  <c r="N1822" i="10"/>
  <c r="F1799" i="10"/>
  <c r="F2014" i="10"/>
  <c r="N1799" i="10"/>
  <c r="F1822" i="10"/>
  <c r="N1991" i="10"/>
  <c r="N1018" i="10"/>
  <c r="N974" i="10"/>
  <c r="F974" i="10"/>
  <c r="N996" i="10"/>
  <c r="N1820" i="10"/>
  <c r="F1016" i="10"/>
  <c r="F1820" i="10"/>
  <c r="N1989" i="10"/>
  <c r="F1797" i="10"/>
  <c r="N1797" i="10"/>
  <c r="F2012" i="10"/>
  <c r="N972" i="10"/>
  <c r="N950" i="10"/>
  <c r="F994" i="10"/>
  <c r="N994" i="10"/>
  <c r="N1016" i="10"/>
  <c r="H1015" i="10"/>
  <c r="P1819" i="10"/>
  <c r="H1796" i="10"/>
  <c r="P1988" i="10"/>
  <c r="H1819" i="10"/>
  <c r="P1796" i="10"/>
  <c r="H2011" i="10"/>
  <c r="P971" i="10"/>
  <c r="P1015" i="10"/>
  <c r="H949" i="10"/>
  <c r="P949" i="10"/>
  <c r="H993" i="10"/>
  <c r="H971" i="10"/>
  <c r="P993" i="10"/>
  <c r="D1015" i="10"/>
  <c r="L1819" i="10"/>
  <c r="D1796" i="10"/>
  <c r="L1796" i="10"/>
  <c r="D1819" i="10"/>
  <c r="D2011" i="10"/>
  <c r="L1988" i="10"/>
  <c r="L1015" i="10"/>
  <c r="D949" i="10"/>
  <c r="L949" i="10"/>
  <c r="L971" i="10"/>
  <c r="D993" i="10"/>
  <c r="L993" i="10"/>
  <c r="D971" i="10"/>
  <c r="F1014" i="10"/>
  <c r="N1818" i="10"/>
  <c r="F1795" i="10"/>
  <c r="N1987" i="10"/>
  <c r="F1818" i="10"/>
  <c r="N1795" i="10"/>
  <c r="F2010" i="10"/>
  <c r="N1014" i="10"/>
  <c r="F948" i="10"/>
  <c r="N992" i="10"/>
  <c r="N948" i="10"/>
  <c r="N970" i="10"/>
  <c r="F992" i="10"/>
  <c r="F970" i="10"/>
  <c r="H1013" i="10"/>
  <c r="P1817" i="10"/>
  <c r="P1794" i="10"/>
  <c r="H2009" i="10"/>
  <c r="P1986" i="10"/>
  <c r="H1794" i="10"/>
  <c r="H1817" i="10"/>
  <c r="H991" i="10"/>
  <c r="P991" i="10"/>
  <c r="H947" i="10"/>
  <c r="H969" i="10"/>
  <c r="P947" i="10"/>
  <c r="P1013" i="10"/>
  <c r="P969" i="10"/>
  <c r="D1013" i="10"/>
  <c r="L1817" i="10"/>
  <c r="L1986" i="10"/>
  <c r="D2009" i="10"/>
  <c r="L1794" i="10"/>
  <c r="D1794" i="10"/>
  <c r="D1817" i="10"/>
  <c r="D991" i="10"/>
  <c r="L991" i="10"/>
  <c r="D947" i="10"/>
  <c r="D969" i="10"/>
  <c r="L947" i="10"/>
  <c r="L1013" i="10"/>
  <c r="L969" i="10"/>
  <c r="F1012" i="10"/>
  <c r="N1816" i="10"/>
  <c r="N1793" i="10"/>
  <c r="F1816" i="10"/>
  <c r="N1985" i="10"/>
  <c r="F1793" i="10"/>
  <c r="F2008" i="10"/>
  <c r="N968" i="10"/>
  <c r="F990" i="10"/>
  <c r="N990" i="10"/>
  <c r="N946" i="10"/>
  <c r="F968" i="10"/>
  <c r="F946" i="10"/>
  <c r="N1012" i="10"/>
  <c r="H1011" i="10"/>
  <c r="P1815" i="10"/>
  <c r="H1792" i="10"/>
  <c r="H1815" i="10"/>
  <c r="H2007" i="10"/>
  <c r="P1984" i="10"/>
  <c r="P1792" i="10"/>
  <c r="P1011" i="10"/>
  <c r="H945" i="10"/>
  <c r="P945" i="10"/>
  <c r="P967" i="10"/>
  <c r="P989" i="10"/>
  <c r="D1011" i="10"/>
  <c r="L1815" i="10"/>
  <c r="D1792" i="10"/>
  <c r="D1815" i="10"/>
  <c r="D2007" i="10"/>
  <c r="L1984" i="10"/>
  <c r="L1792" i="10"/>
  <c r="L945" i="10"/>
  <c r="L967" i="10"/>
  <c r="L1011" i="10"/>
  <c r="D945" i="10"/>
  <c r="L989" i="10"/>
  <c r="J1023" i="10"/>
  <c r="R957" i="10"/>
  <c r="R1827" i="10"/>
  <c r="J2019" i="10"/>
  <c r="R1996" i="10"/>
  <c r="J1804" i="10"/>
  <c r="R1804" i="10"/>
  <c r="J1827" i="10"/>
  <c r="R979" i="10"/>
  <c r="J979" i="10"/>
  <c r="R1023" i="10"/>
  <c r="R1001" i="10"/>
  <c r="J1019" i="10"/>
  <c r="R953" i="10"/>
  <c r="J2015" i="10"/>
  <c r="R1823" i="10"/>
  <c r="R1992" i="10"/>
  <c r="J1800" i="10"/>
  <c r="R1800" i="10"/>
  <c r="J1823" i="10"/>
  <c r="R975" i="10"/>
  <c r="J975" i="10"/>
  <c r="R997" i="10"/>
  <c r="R1019" i="10"/>
  <c r="J1015" i="10"/>
  <c r="R1988" i="10"/>
  <c r="J2011" i="10"/>
  <c r="R1796" i="10"/>
  <c r="J1819" i="10"/>
  <c r="J1796" i="10"/>
  <c r="R1819" i="10"/>
  <c r="J1011" i="10"/>
  <c r="J2007" i="10"/>
  <c r="R1815" i="10"/>
  <c r="R1984" i="10"/>
  <c r="R1792" i="10"/>
  <c r="J1815" i="10"/>
  <c r="J1792" i="10"/>
  <c r="J945" i="10"/>
  <c r="R989" i="10"/>
  <c r="R1011" i="10"/>
  <c r="R967" i="10"/>
  <c r="R945" i="10"/>
  <c r="H1010" i="10"/>
  <c r="P1814" i="10"/>
  <c r="P1791" i="10"/>
  <c r="H1814" i="10"/>
  <c r="H1791" i="10"/>
  <c r="P1983" i="10"/>
  <c r="H2006" i="10"/>
  <c r="P944" i="10"/>
  <c r="P966" i="10"/>
  <c r="P988" i="10"/>
  <c r="H966" i="10"/>
  <c r="H988" i="10"/>
  <c r="H944" i="10"/>
  <c r="P1010" i="10"/>
  <c r="D1010" i="10"/>
  <c r="L1814" i="10"/>
  <c r="L1983" i="10"/>
  <c r="L1791" i="10"/>
  <c r="D1814" i="10"/>
  <c r="D2006" i="10"/>
  <c r="D1791" i="10"/>
  <c r="L944" i="10"/>
  <c r="L966" i="10"/>
  <c r="L988" i="10"/>
  <c r="D966" i="10"/>
  <c r="D988" i="10"/>
  <c r="D944" i="10"/>
  <c r="L1010" i="10"/>
  <c r="K723" i="10"/>
  <c r="K1445" i="10"/>
  <c r="C1195" i="10"/>
  <c r="K1467" i="10"/>
  <c r="K1627" i="10"/>
  <c r="C1605" i="10"/>
  <c r="K1605" i="10"/>
  <c r="C1445" i="10"/>
  <c r="C1467" i="10"/>
  <c r="C1627" i="10"/>
  <c r="C633" i="10"/>
  <c r="K633" i="10"/>
  <c r="K1195" i="10"/>
  <c r="K226" i="10"/>
  <c r="C317" i="10"/>
  <c r="C1173" i="10"/>
  <c r="K249" i="10"/>
  <c r="K1173" i="10"/>
  <c r="C1129" i="10"/>
  <c r="C611" i="10"/>
  <c r="K677" i="10"/>
  <c r="K1151" i="10"/>
  <c r="K611" i="10"/>
  <c r="C655" i="10"/>
  <c r="K655" i="10"/>
  <c r="K1129" i="10"/>
  <c r="C1151" i="10"/>
  <c r="K201" i="10"/>
  <c r="O1139" i="10"/>
  <c r="O1455" i="10"/>
  <c r="G1205" i="10"/>
  <c r="O1477" i="10"/>
  <c r="G1615" i="10"/>
  <c r="G1499" i="10"/>
  <c r="O1637" i="10"/>
  <c r="G1637" i="10"/>
  <c r="O1615" i="10"/>
  <c r="G1455" i="10"/>
  <c r="G1477" i="10"/>
  <c r="G1998" i="10"/>
  <c r="O2021" i="10"/>
  <c r="O1161" i="10"/>
  <c r="O687" i="10"/>
  <c r="O236" i="10"/>
  <c r="G665" i="10"/>
  <c r="O665" i="10"/>
  <c r="O259" i="10"/>
  <c r="O643" i="10"/>
  <c r="G621" i="10"/>
  <c r="O621" i="10"/>
  <c r="G1161" i="10"/>
  <c r="G1183" i="10"/>
  <c r="O1183" i="10"/>
  <c r="G643" i="10"/>
  <c r="G687" i="10"/>
  <c r="O1205" i="10"/>
  <c r="O211" i="10"/>
  <c r="E1203" i="10"/>
  <c r="M1137" i="10"/>
  <c r="M1453" i="10"/>
  <c r="M1635" i="10"/>
  <c r="M1613" i="10"/>
  <c r="M2019" i="10"/>
  <c r="M1475" i="10"/>
  <c r="E1635" i="10"/>
  <c r="E1453" i="10"/>
  <c r="E1497" i="10"/>
  <c r="E1475" i="10"/>
  <c r="E1996" i="10"/>
  <c r="E1613" i="10"/>
  <c r="M641" i="10"/>
  <c r="M685" i="10"/>
  <c r="M257" i="10"/>
  <c r="M619" i="10"/>
  <c r="M663" i="10"/>
  <c r="M234" i="10"/>
  <c r="M1159" i="10"/>
  <c r="E685" i="10"/>
  <c r="E1159" i="10"/>
  <c r="M1203" i="10"/>
  <c r="M1181" i="10"/>
  <c r="M209" i="10"/>
  <c r="D324" i="10"/>
  <c r="L1452" i="10"/>
  <c r="D1202" i="10"/>
  <c r="L1136" i="10"/>
  <c r="L1612" i="10"/>
  <c r="D1452" i="10"/>
  <c r="D1496" i="10"/>
  <c r="D1474" i="10"/>
  <c r="D1612" i="10"/>
  <c r="L1474" i="10"/>
  <c r="L1634" i="10"/>
  <c r="D1634" i="10"/>
  <c r="L2018" i="10"/>
  <c r="D1995" i="10"/>
  <c r="D1136" i="10"/>
  <c r="L1158" i="10"/>
  <c r="L684" i="10"/>
  <c r="D662" i="10"/>
  <c r="L640" i="10"/>
  <c r="D1158" i="10"/>
  <c r="L1180" i="10"/>
  <c r="D640" i="10"/>
  <c r="L233" i="10"/>
  <c r="L256" i="10"/>
  <c r="L662" i="10"/>
  <c r="D1180" i="10"/>
  <c r="D618" i="10"/>
  <c r="D684" i="10"/>
  <c r="L1202" i="10"/>
  <c r="L618" i="10"/>
  <c r="L208" i="10"/>
  <c r="N1450" i="10"/>
  <c r="F1200" i="10"/>
  <c r="N1134" i="10"/>
  <c r="F1450" i="10"/>
  <c r="F1610" i="10"/>
  <c r="F1472" i="10"/>
  <c r="N1610" i="10"/>
  <c r="N1472" i="10"/>
  <c r="F1632" i="10"/>
  <c r="N2016" i="10"/>
  <c r="F1494" i="10"/>
  <c r="N1632" i="10"/>
  <c r="F1993" i="10"/>
  <c r="N231" i="10"/>
  <c r="N660" i="10"/>
  <c r="N1178" i="10"/>
  <c r="N254" i="10"/>
  <c r="N682" i="10"/>
  <c r="F1178" i="10"/>
  <c r="N1156" i="10"/>
  <c r="N638" i="10"/>
  <c r="N1200" i="10"/>
  <c r="N616" i="10"/>
  <c r="F682" i="10"/>
  <c r="N206" i="10"/>
  <c r="I1199" i="10"/>
  <c r="Q1133" i="10"/>
  <c r="Q1449" i="10"/>
  <c r="I1631" i="10"/>
  <c r="Q1631" i="10"/>
  <c r="I1471" i="10"/>
  <c r="Q2015" i="10"/>
  <c r="Q1471" i="10"/>
  <c r="I1493" i="10"/>
  <c r="I1609" i="10"/>
  <c r="I1449" i="10"/>
  <c r="I1992" i="10"/>
  <c r="Q1609" i="10"/>
  <c r="Q230" i="10"/>
  <c r="Q637" i="10"/>
  <c r="Q1155" i="10"/>
  <c r="Q681" i="10"/>
  <c r="Q253" i="10"/>
  <c r="Q615" i="10"/>
  <c r="Q659" i="10"/>
  <c r="I1155" i="10"/>
  <c r="Q1177" i="10"/>
  <c r="I637" i="10"/>
  <c r="I681" i="10"/>
  <c r="Q1199" i="10"/>
  <c r="Q205" i="10"/>
  <c r="E1199" i="10"/>
  <c r="M1449" i="10"/>
  <c r="M1133" i="10"/>
  <c r="E1493" i="10"/>
  <c r="E1609" i="10"/>
  <c r="E1631" i="10"/>
  <c r="M1631" i="10"/>
  <c r="M1471" i="10"/>
  <c r="M2015" i="10"/>
  <c r="M1609" i="10"/>
  <c r="E1992" i="10"/>
  <c r="E1471" i="10"/>
  <c r="E1449" i="10"/>
  <c r="M615" i="10"/>
  <c r="M637" i="10"/>
  <c r="M681" i="10"/>
  <c r="M253" i="10"/>
  <c r="M230" i="10"/>
  <c r="M1155" i="10"/>
  <c r="M659" i="10"/>
  <c r="E681" i="10"/>
  <c r="M1199" i="10"/>
  <c r="E1155" i="10"/>
  <c r="M1177" i="10"/>
  <c r="E637" i="10"/>
  <c r="M205" i="10"/>
  <c r="I1196" i="10"/>
  <c r="Q1446" i="10"/>
  <c r="I1628" i="10"/>
  <c r="Q1606" i="10"/>
  <c r="I1606" i="10"/>
  <c r="Q2012" i="10"/>
  <c r="I1468" i="10"/>
  <c r="I1446" i="10"/>
  <c r="Q1628" i="10"/>
  <c r="Q1468" i="10"/>
  <c r="I1989" i="10"/>
  <c r="Q250" i="10"/>
  <c r="Q612" i="10"/>
  <c r="Q656" i="10"/>
  <c r="Q1152" i="10"/>
  <c r="Q227" i="10"/>
  <c r="I656" i="10"/>
  <c r="Q1196" i="10"/>
  <c r="Q1130" i="10"/>
  <c r="I1174" i="10"/>
  <c r="Q1174" i="10"/>
  <c r="Q634" i="10"/>
  <c r="Q678" i="10"/>
  <c r="Q202" i="10"/>
  <c r="E1196" i="10"/>
  <c r="M1446" i="10"/>
  <c r="E1446" i="10"/>
  <c r="E1628" i="10"/>
  <c r="E1606" i="10"/>
  <c r="M1606" i="10"/>
  <c r="M2012" i="10"/>
  <c r="M1468" i="10"/>
  <c r="E1989" i="10"/>
  <c r="E1468" i="10"/>
  <c r="M1628" i="10"/>
  <c r="E656" i="10"/>
  <c r="M656" i="10"/>
  <c r="M1196" i="10"/>
  <c r="E1174" i="10"/>
  <c r="M1174" i="10"/>
  <c r="M612" i="10"/>
  <c r="M1130" i="10"/>
  <c r="M1152" i="10"/>
  <c r="M250" i="10"/>
  <c r="M227" i="10"/>
  <c r="E612" i="10"/>
  <c r="M634" i="10"/>
  <c r="M724" i="10"/>
  <c r="M678" i="10"/>
  <c r="M202" i="10"/>
  <c r="H1195" i="10"/>
  <c r="P1445" i="10"/>
  <c r="H1627" i="10"/>
  <c r="H1988" i="10"/>
  <c r="H1445" i="10"/>
  <c r="H1467" i="10"/>
  <c r="P2011" i="10"/>
  <c r="P1467" i="10"/>
  <c r="P1627" i="10"/>
  <c r="P1605" i="10"/>
  <c r="H1605" i="10"/>
  <c r="P249" i="10"/>
  <c r="P1195" i="10"/>
  <c r="P1151" i="10"/>
  <c r="P655" i="10"/>
  <c r="P677" i="10"/>
  <c r="P633" i="10"/>
  <c r="H1129" i="10"/>
  <c r="P611" i="10"/>
  <c r="H611" i="10"/>
  <c r="P226" i="10"/>
  <c r="H317" i="10"/>
  <c r="P1129" i="10"/>
  <c r="H655" i="10"/>
  <c r="P723" i="10"/>
  <c r="P1173" i="10"/>
  <c r="H1151" i="10"/>
  <c r="H633" i="10"/>
  <c r="H1173" i="10"/>
  <c r="P201" i="10"/>
  <c r="L1445" i="10"/>
  <c r="D1195" i="10"/>
  <c r="D1988" i="10"/>
  <c r="D1467" i="10"/>
  <c r="D1627" i="10"/>
  <c r="D1445" i="10"/>
  <c r="L2011" i="10"/>
  <c r="D1605" i="10"/>
  <c r="L1467" i="10"/>
  <c r="L1605" i="10"/>
  <c r="L1627" i="10"/>
  <c r="L226" i="10"/>
  <c r="L723" i="10"/>
  <c r="L249" i="10"/>
  <c r="D317" i="10"/>
  <c r="L1129" i="10"/>
  <c r="L655" i="10"/>
  <c r="L633" i="10"/>
  <c r="L1195" i="10"/>
  <c r="L1151" i="10"/>
  <c r="L611" i="10"/>
  <c r="D1129" i="10"/>
  <c r="D611" i="10"/>
  <c r="D655" i="10"/>
  <c r="L677" i="10"/>
  <c r="D633" i="10"/>
  <c r="D1151" i="10"/>
  <c r="D1173" i="10"/>
  <c r="L1173" i="10"/>
  <c r="L201" i="10"/>
  <c r="O1444" i="10"/>
  <c r="G1194" i="10"/>
  <c r="G1626" i="10"/>
  <c r="G1987" i="10"/>
  <c r="G1466" i="10"/>
  <c r="O2010" i="10"/>
  <c r="O1466" i="10"/>
  <c r="G1604" i="10"/>
  <c r="O1626" i="10"/>
  <c r="O1604" i="10"/>
  <c r="G1444" i="10"/>
  <c r="O610" i="10"/>
  <c r="O654" i="10"/>
  <c r="O1194" i="10"/>
  <c r="O1150" i="10"/>
  <c r="O1172" i="10"/>
  <c r="O248" i="10"/>
  <c r="O1128" i="10"/>
  <c r="O632" i="10"/>
  <c r="O225" i="10"/>
  <c r="G610" i="10"/>
  <c r="G654" i="10"/>
  <c r="G1128" i="10"/>
  <c r="G632" i="10"/>
  <c r="G1172" i="10"/>
  <c r="O676" i="10"/>
  <c r="G1150" i="10"/>
  <c r="O200" i="10"/>
  <c r="J1193" i="10"/>
  <c r="J1986" i="10"/>
  <c r="J1465" i="10"/>
  <c r="R1625" i="10"/>
  <c r="R1465" i="10"/>
  <c r="R1603" i="10"/>
  <c r="J1625" i="10"/>
  <c r="R2009" i="10"/>
  <c r="J1443" i="10"/>
  <c r="J1603" i="10"/>
  <c r="R1443" i="10"/>
  <c r="R224" i="10"/>
  <c r="R609" i="10"/>
  <c r="R721" i="10"/>
  <c r="R1127" i="10"/>
  <c r="R631" i="10"/>
  <c r="R247" i="10"/>
  <c r="J609" i="10"/>
  <c r="J653" i="10"/>
  <c r="R653" i="10"/>
  <c r="R675" i="10"/>
  <c r="J1127" i="10"/>
  <c r="R1171" i="10"/>
  <c r="J1149" i="10"/>
  <c r="J1171" i="10"/>
  <c r="J631" i="10"/>
  <c r="R1149" i="10"/>
  <c r="R1193" i="10"/>
  <c r="R199" i="10"/>
  <c r="F1193" i="10"/>
  <c r="N1443" i="10"/>
  <c r="F1986" i="10"/>
  <c r="F1465" i="10"/>
  <c r="F1625" i="10"/>
  <c r="F1443" i="10"/>
  <c r="N1465" i="10"/>
  <c r="N2009" i="10"/>
  <c r="N1603" i="10"/>
  <c r="N1625" i="10"/>
  <c r="F1603" i="10"/>
  <c r="N631" i="10"/>
  <c r="N609" i="10"/>
  <c r="N1193" i="10"/>
  <c r="N1127" i="10"/>
  <c r="N1149" i="10"/>
  <c r="N247" i="10"/>
  <c r="F609" i="10"/>
  <c r="F653" i="10"/>
  <c r="N224" i="10"/>
  <c r="N721" i="10"/>
  <c r="F1127" i="10"/>
  <c r="F1149" i="10"/>
  <c r="N653" i="10"/>
  <c r="N675" i="10"/>
  <c r="F1171" i="10"/>
  <c r="F631" i="10"/>
  <c r="N1171" i="10"/>
  <c r="N199" i="10"/>
  <c r="Q1442" i="10"/>
  <c r="I1192" i="10"/>
  <c r="I1464" i="10"/>
  <c r="I1624" i="10"/>
  <c r="Q2008" i="10"/>
  <c r="I1442" i="10"/>
  <c r="Q1464" i="10"/>
  <c r="I1602" i="10"/>
  <c r="I1985" i="10"/>
  <c r="Q1602" i="10"/>
  <c r="Q1624" i="10"/>
  <c r="Q1148" i="10"/>
  <c r="Q608" i="10"/>
  <c r="Q652" i="10"/>
  <c r="Q1126" i="10"/>
  <c r="Q223" i="10"/>
  <c r="Q246" i="10"/>
  <c r="Q1192" i="10"/>
  <c r="I1170" i="10"/>
  <c r="Q1170" i="10"/>
  <c r="I608" i="10"/>
  <c r="I652" i="10"/>
  <c r="I1126" i="10"/>
  <c r="I630" i="10"/>
  <c r="Q630" i="10"/>
  <c r="I1148" i="10"/>
  <c r="Q674" i="10"/>
  <c r="Q720" i="10"/>
  <c r="Q198" i="10"/>
  <c r="E1192" i="10"/>
  <c r="M1442" i="10"/>
  <c r="E1624" i="10"/>
  <c r="M1602" i="10"/>
  <c r="E1985" i="10"/>
  <c r="M1464" i="10"/>
  <c r="M2008" i="10"/>
  <c r="E1442" i="10"/>
  <c r="E1602" i="10"/>
  <c r="E1464" i="10"/>
  <c r="M1624" i="10"/>
  <c r="M246" i="10"/>
  <c r="E608" i="10"/>
  <c r="E630" i="10"/>
  <c r="M608" i="10"/>
  <c r="M652" i="10"/>
  <c r="E1126" i="10"/>
  <c r="E1170" i="10"/>
  <c r="M1170" i="10"/>
  <c r="M223" i="10"/>
  <c r="E652" i="10"/>
  <c r="M1192" i="10"/>
  <c r="M1126" i="10"/>
  <c r="M1148" i="10"/>
  <c r="M630" i="10"/>
  <c r="M674" i="10"/>
  <c r="M720" i="10"/>
  <c r="E1148" i="10"/>
  <c r="M198" i="10"/>
  <c r="P1441" i="10"/>
  <c r="H1191" i="10"/>
  <c r="H1441" i="10"/>
  <c r="H1623" i="10"/>
  <c r="H1463" i="10"/>
  <c r="P2007" i="10"/>
  <c r="H1984" i="10"/>
  <c r="P1601" i="10"/>
  <c r="P1463" i="10"/>
  <c r="H1601" i="10"/>
  <c r="P1623" i="10"/>
  <c r="P1147" i="10"/>
  <c r="P651" i="10"/>
  <c r="P673" i="10"/>
  <c r="P245" i="10"/>
  <c r="P629" i="10"/>
  <c r="P1125" i="10"/>
  <c r="P607" i="10"/>
  <c r="P1191" i="10"/>
  <c r="H607" i="10"/>
  <c r="P222" i="10"/>
  <c r="H1125" i="10"/>
  <c r="P1169" i="10"/>
  <c r="P197" i="10"/>
  <c r="L1441" i="10"/>
  <c r="D1191" i="10"/>
  <c r="D1623" i="10"/>
  <c r="D1463" i="10"/>
  <c r="L2007" i="10"/>
  <c r="D1441" i="10"/>
  <c r="L1463" i="10"/>
  <c r="D1601" i="10"/>
  <c r="L1623" i="10"/>
  <c r="D1984" i="10"/>
  <c r="L1601" i="10"/>
  <c r="L222" i="10"/>
  <c r="L1191" i="10"/>
  <c r="D1125" i="10"/>
  <c r="L651" i="10"/>
  <c r="L629" i="10"/>
  <c r="L1147" i="10"/>
  <c r="L607" i="10"/>
  <c r="L245" i="10"/>
  <c r="L1125" i="10"/>
  <c r="D607" i="10"/>
  <c r="L673" i="10"/>
  <c r="L1169" i="10"/>
  <c r="L197" i="10"/>
  <c r="O1440" i="10"/>
  <c r="G1190" i="10"/>
  <c r="O2006" i="10"/>
  <c r="G1462" i="10"/>
  <c r="O1600" i="10"/>
  <c r="G1622" i="10"/>
  <c r="O1462" i="10"/>
  <c r="G1440" i="10"/>
  <c r="G1600" i="10"/>
  <c r="O1622" i="10"/>
  <c r="O650" i="10"/>
  <c r="G1124" i="10"/>
  <c r="G1168" i="10"/>
  <c r="O1146" i="10"/>
  <c r="O1168" i="10"/>
  <c r="O628" i="10"/>
  <c r="O221" i="10"/>
  <c r="O244" i="10"/>
  <c r="G606" i="10"/>
  <c r="G650" i="10"/>
  <c r="O1190" i="10"/>
  <c r="G628" i="10"/>
  <c r="O1124" i="10"/>
  <c r="O606" i="10"/>
  <c r="G1146" i="10"/>
  <c r="O672" i="10"/>
  <c r="O196" i="10"/>
  <c r="C1026" i="10"/>
  <c r="C1807" i="10"/>
  <c r="C1830" i="10"/>
  <c r="C1014" i="10"/>
  <c r="C1795" i="10"/>
  <c r="K1795" i="10"/>
  <c r="Q1830" i="10"/>
  <c r="Q960" i="10"/>
  <c r="I1026" i="10"/>
  <c r="I1830" i="10"/>
  <c r="Q1807" i="10"/>
  <c r="Q1999" i="10"/>
  <c r="I1807" i="10"/>
  <c r="I2022" i="10"/>
  <c r="Q1026" i="10"/>
  <c r="I1004" i="10"/>
  <c r="I960" i="10"/>
  <c r="Q982" i="10"/>
  <c r="Q1004" i="10"/>
  <c r="I982" i="10"/>
  <c r="M1830" i="10"/>
  <c r="M960" i="10"/>
  <c r="E1026" i="10"/>
  <c r="M1807" i="10"/>
  <c r="M1999" i="10"/>
  <c r="E1830" i="10"/>
  <c r="E2022" i="10"/>
  <c r="E1807" i="10"/>
  <c r="E1004" i="10"/>
  <c r="M1026" i="10"/>
  <c r="E960" i="10"/>
  <c r="M982" i="10"/>
  <c r="E982" i="10"/>
  <c r="M1004" i="10"/>
  <c r="O1829" i="10"/>
  <c r="G1025" i="10"/>
  <c r="O959" i="10"/>
  <c r="G1806" i="10"/>
  <c r="O1806" i="10"/>
  <c r="G1829" i="10"/>
  <c r="G2021" i="10"/>
  <c r="O1998" i="10"/>
  <c r="O981" i="10"/>
  <c r="O1003" i="10"/>
  <c r="G981" i="10"/>
  <c r="G1003" i="10"/>
  <c r="O1025" i="10"/>
  <c r="Q958" i="10"/>
  <c r="I1024" i="10"/>
  <c r="Q1828" i="10"/>
  <c r="Q1805" i="10"/>
  <c r="I1805" i="10"/>
  <c r="I1828" i="10"/>
  <c r="Q1997" i="10"/>
  <c r="I2020" i="10"/>
  <c r="I958" i="10"/>
  <c r="I980" i="10"/>
  <c r="Q980" i="10"/>
  <c r="Q1002" i="10"/>
  <c r="I1002" i="10"/>
  <c r="Q1024" i="10"/>
  <c r="E1024" i="10"/>
  <c r="M1828" i="10"/>
  <c r="M958" i="10"/>
  <c r="M1997" i="10"/>
  <c r="M1805" i="10"/>
  <c r="E1805" i="10"/>
  <c r="E2020" i="10"/>
  <c r="E1828" i="10"/>
  <c r="E958" i="10"/>
  <c r="E980" i="10"/>
  <c r="M980" i="10"/>
  <c r="M1002" i="10"/>
  <c r="E1002" i="10"/>
  <c r="M1024" i="10"/>
  <c r="G1023" i="10"/>
  <c r="O957" i="10"/>
  <c r="O1827" i="10"/>
  <c r="O1996" i="10"/>
  <c r="G1827" i="10"/>
  <c r="G2019" i="10"/>
  <c r="O1804" i="10"/>
  <c r="G1804" i="10"/>
  <c r="O1001" i="10"/>
  <c r="G979" i="10"/>
  <c r="O1023" i="10"/>
  <c r="O979" i="10"/>
  <c r="Q1826" i="10"/>
  <c r="Q956" i="10"/>
  <c r="I1022" i="10"/>
  <c r="I2018" i="10"/>
  <c r="Q1803" i="10"/>
  <c r="I1826" i="10"/>
  <c r="Q1995" i="10"/>
  <c r="I1803" i="10"/>
  <c r="I1000" i="10"/>
  <c r="Q978" i="10"/>
  <c r="Q1000" i="10"/>
  <c r="Q1022" i="10"/>
  <c r="I956" i="10"/>
  <c r="I978" i="10"/>
  <c r="M1826" i="10"/>
  <c r="M956" i="10"/>
  <c r="E1022" i="10"/>
  <c r="E1826" i="10"/>
  <c r="E2018" i="10"/>
  <c r="M1803" i="10"/>
  <c r="E1803" i="10"/>
  <c r="M1995" i="10"/>
  <c r="E1000" i="10"/>
  <c r="M978" i="10"/>
  <c r="M1000" i="10"/>
  <c r="M1022" i="10"/>
  <c r="E956" i="10"/>
  <c r="E978" i="10"/>
  <c r="O1825" i="10"/>
  <c r="G1021" i="10"/>
  <c r="G955" i="10"/>
  <c r="O955" i="10"/>
  <c r="G2017" i="10"/>
  <c r="O1994" i="10"/>
  <c r="G1825" i="10"/>
  <c r="O1802" i="10"/>
  <c r="G1802" i="10"/>
  <c r="O977" i="10"/>
  <c r="G977" i="10"/>
  <c r="O999" i="10"/>
  <c r="O1021" i="10"/>
  <c r="G999" i="10"/>
  <c r="I1020" i="10"/>
  <c r="Q954" i="10"/>
  <c r="Q1824" i="10"/>
  <c r="Q1801" i="10"/>
  <c r="I1824" i="10"/>
  <c r="Q1993" i="10"/>
  <c r="I1801" i="10"/>
  <c r="I2016" i="10"/>
  <c r="Q1020" i="10"/>
  <c r="Q976" i="10"/>
  <c r="Q998" i="10"/>
  <c r="I998" i="10"/>
  <c r="M1824" i="10"/>
  <c r="E1020" i="10"/>
  <c r="M954" i="10"/>
  <c r="E1801" i="10"/>
  <c r="M1993" i="10"/>
  <c r="M1801" i="10"/>
  <c r="E1824" i="10"/>
  <c r="E2016" i="10"/>
  <c r="M1020" i="10"/>
  <c r="M998" i="10"/>
  <c r="M976" i="10"/>
  <c r="E998" i="10"/>
  <c r="G1019" i="10"/>
  <c r="O1823" i="10"/>
  <c r="O953" i="10"/>
  <c r="G1800" i="10"/>
  <c r="G2015" i="10"/>
  <c r="O1992" i="10"/>
  <c r="O1800" i="10"/>
  <c r="G1823" i="10"/>
  <c r="G975" i="10"/>
  <c r="O1019" i="10"/>
  <c r="O997" i="10"/>
  <c r="O975" i="10"/>
  <c r="Q1822" i="10"/>
  <c r="I1018" i="10"/>
  <c r="Q952" i="10"/>
  <c r="I2014" i="10"/>
  <c r="I1799" i="10"/>
  <c r="Q1799" i="10"/>
  <c r="Q1991" i="10"/>
  <c r="I1822" i="10"/>
  <c r="Q1018" i="10"/>
  <c r="I974" i="10"/>
  <c r="Q996" i="10"/>
  <c r="Q974" i="10"/>
  <c r="M1822" i="10"/>
  <c r="E1018" i="10"/>
  <c r="M952" i="10"/>
  <c r="E1822" i="10"/>
  <c r="M1991" i="10"/>
  <c r="M1799" i="10"/>
  <c r="E2014" i="10"/>
  <c r="E1799" i="10"/>
  <c r="M1018" i="10"/>
  <c r="E974" i="10"/>
  <c r="M974" i="10"/>
  <c r="M996" i="10"/>
  <c r="Q1820" i="10"/>
  <c r="I1016" i="10"/>
  <c r="I1820" i="10"/>
  <c r="I1797" i="10"/>
  <c r="I2012" i="10"/>
  <c r="Q1797" i="10"/>
  <c r="Q1989" i="10"/>
  <c r="Q972" i="10"/>
  <c r="Q950" i="10"/>
  <c r="I994" i="10"/>
  <c r="Q1016" i="10"/>
  <c r="Q994" i="10"/>
  <c r="E1016" i="10"/>
  <c r="M1820" i="10"/>
  <c r="E1797" i="10"/>
  <c r="E1820" i="10"/>
  <c r="M1989" i="10"/>
  <c r="E2012" i="10"/>
  <c r="M1797" i="10"/>
  <c r="M972" i="10"/>
  <c r="M950" i="10"/>
  <c r="E994" i="10"/>
  <c r="M1016" i="10"/>
  <c r="M994" i="10"/>
  <c r="O1819" i="10"/>
  <c r="G1015" i="10"/>
  <c r="O1988" i="10"/>
  <c r="G1819" i="10"/>
  <c r="G1796" i="10"/>
  <c r="O1796" i="10"/>
  <c r="G2011" i="10"/>
  <c r="G949" i="10"/>
  <c r="O1015" i="10"/>
  <c r="G993" i="10"/>
  <c r="O993" i="10"/>
  <c r="O949" i="10"/>
  <c r="G971" i="10"/>
  <c r="O971" i="10"/>
  <c r="I1014" i="10"/>
  <c r="Q1818" i="10"/>
  <c r="Q1795" i="10"/>
  <c r="I1818" i="10"/>
  <c r="I2010" i="10"/>
  <c r="I1795" i="10"/>
  <c r="Q1987" i="10"/>
  <c r="Q948" i="10"/>
  <c r="Q992" i="10"/>
  <c r="Q1014" i="10"/>
  <c r="I948" i="10"/>
  <c r="I992" i="10"/>
  <c r="Q970" i="10"/>
  <c r="I970" i="10"/>
  <c r="E1014" i="10"/>
  <c r="M1818" i="10"/>
  <c r="E2010" i="10"/>
  <c r="M1795" i="10"/>
  <c r="M1987" i="10"/>
  <c r="E1818" i="10"/>
  <c r="E1795" i="10"/>
  <c r="M1014" i="10"/>
  <c r="M948" i="10"/>
  <c r="E948" i="10"/>
  <c r="E992" i="10"/>
  <c r="M970" i="10"/>
  <c r="M992" i="10"/>
  <c r="E970" i="10"/>
  <c r="G1013" i="10"/>
  <c r="O1817" i="10"/>
  <c r="G1817" i="10"/>
  <c r="O1794" i="10"/>
  <c r="G2009" i="10"/>
  <c r="G1794" i="10"/>
  <c r="O1986" i="10"/>
  <c r="G969" i="10"/>
  <c r="O947" i="10"/>
  <c r="O969" i="10"/>
  <c r="O991" i="10"/>
  <c r="O1013" i="10"/>
  <c r="G991" i="10"/>
  <c r="G947" i="10"/>
  <c r="Q1816" i="10"/>
  <c r="I1012" i="10"/>
  <c r="Q1793" i="10"/>
  <c r="I1793" i="10"/>
  <c r="I1816" i="10"/>
  <c r="I2008" i="10"/>
  <c r="Q1985" i="10"/>
  <c r="Q1012" i="10"/>
  <c r="I990" i="10"/>
  <c r="I946" i="10"/>
  <c r="Q968" i="10"/>
  <c r="Q990" i="10"/>
  <c r="Q946" i="10"/>
  <c r="I968" i="10"/>
  <c r="M1816" i="10"/>
  <c r="E1012" i="10"/>
  <c r="M1793" i="10"/>
  <c r="E1793" i="10"/>
  <c r="M1985" i="10"/>
  <c r="E1816" i="10"/>
  <c r="E2008" i="10"/>
  <c r="M946" i="10"/>
  <c r="E990" i="10"/>
  <c r="E946" i="10"/>
  <c r="M968" i="10"/>
  <c r="M990" i="10"/>
  <c r="M1012" i="10"/>
  <c r="E968" i="10"/>
  <c r="G1011" i="10"/>
  <c r="O1815" i="10"/>
  <c r="O1984" i="10"/>
  <c r="G2007" i="10"/>
  <c r="O1792" i="10"/>
  <c r="G1815" i="10"/>
  <c r="G1792" i="10"/>
  <c r="O989" i="10"/>
  <c r="G945" i="10"/>
  <c r="O1011" i="10"/>
  <c r="O967" i="10"/>
  <c r="O945" i="10"/>
  <c r="R960" i="10"/>
  <c r="J1026" i="10"/>
  <c r="R1999" i="10"/>
  <c r="R1807" i="10"/>
  <c r="J1807" i="10"/>
  <c r="J1830" i="10"/>
  <c r="J2022" i="10"/>
  <c r="R1830" i="10"/>
  <c r="J960" i="10"/>
  <c r="R982" i="10"/>
  <c r="J982" i="10"/>
  <c r="J1004" i="10"/>
  <c r="R1004" i="10"/>
  <c r="R1026" i="10"/>
  <c r="J1022" i="10"/>
  <c r="R956" i="10"/>
  <c r="R1995" i="10"/>
  <c r="J1803" i="10"/>
  <c r="J1826" i="10"/>
  <c r="R1826" i="10"/>
  <c r="R1803" i="10"/>
  <c r="J2018" i="10"/>
  <c r="J956" i="10"/>
  <c r="J1000" i="10"/>
  <c r="J978" i="10"/>
  <c r="R978" i="10"/>
  <c r="R1022" i="10"/>
  <c r="R1000" i="10"/>
  <c r="J1018" i="10"/>
  <c r="R952" i="10"/>
  <c r="J1799" i="10"/>
  <c r="J1822" i="10"/>
  <c r="R1799" i="10"/>
  <c r="R1991" i="10"/>
  <c r="R1822" i="10"/>
  <c r="J2014" i="10"/>
  <c r="R996" i="10"/>
  <c r="R1018" i="10"/>
  <c r="J974" i="10"/>
  <c r="R974" i="10"/>
  <c r="J1014" i="10"/>
  <c r="R1987" i="10"/>
  <c r="R1795" i="10"/>
  <c r="J1795" i="10"/>
  <c r="J2010" i="10"/>
  <c r="J1818" i="10"/>
  <c r="R1818" i="10"/>
  <c r="J992" i="10"/>
  <c r="J948" i="10"/>
  <c r="R970" i="10"/>
  <c r="R948" i="10"/>
  <c r="R992" i="10"/>
  <c r="J970" i="10"/>
  <c r="R1014" i="10"/>
  <c r="G1010" i="10"/>
  <c r="O1814" i="10"/>
  <c r="O1791" i="10"/>
  <c r="G1791" i="10"/>
  <c r="G1814" i="10"/>
  <c r="O1983" i="10"/>
  <c r="G2006" i="10"/>
  <c r="O944" i="10"/>
  <c r="O966" i="10"/>
  <c r="O988" i="10"/>
  <c r="G944" i="10"/>
  <c r="O1010" i="10"/>
  <c r="G988" i="10"/>
  <c r="G966" i="10"/>
  <c r="C1191" i="10"/>
  <c r="K1441" i="10"/>
  <c r="K1623" i="10"/>
  <c r="C1623" i="10"/>
  <c r="K1601" i="10"/>
  <c r="C1601" i="10"/>
  <c r="C1441" i="10"/>
  <c r="C1463" i="10"/>
  <c r="K1463" i="10"/>
  <c r="K245" i="10"/>
  <c r="K629" i="10"/>
  <c r="K222" i="10"/>
  <c r="K1169" i="10"/>
  <c r="C1125" i="10"/>
  <c r="K1191" i="10"/>
  <c r="C607" i="10"/>
  <c r="K673" i="10"/>
  <c r="K1125" i="10"/>
  <c r="K607" i="10"/>
  <c r="K651" i="10"/>
  <c r="K1147" i="10"/>
  <c r="K197" i="10"/>
  <c r="R1138" i="10"/>
  <c r="J1204" i="10"/>
  <c r="J1454" i="10"/>
  <c r="J1476" i="10"/>
  <c r="J1636" i="10"/>
  <c r="R1636" i="10"/>
  <c r="R1454" i="10"/>
  <c r="J1997" i="10"/>
  <c r="R2020" i="10"/>
  <c r="R1614" i="10"/>
  <c r="J1614" i="10"/>
  <c r="R1476" i="10"/>
  <c r="J1498" i="10"/>
  <c r="R258" i="10"/>
  <c r="J642" i="10"/>
  <c r="J686" i="10"/>
  <c r="R642" i="10"/>
  <c r="R686" i="10"/>
  <c r="R620" i="10"/>
  <c r="J620" i="10"/>
  <c r="J1160" i="10"/>
  <c r="R1160" i="10"/>
  <c r="R732" i="10"/>
  <c r="R1204" i="10"/>
  <c r="J1182" i="10"/>
  <c r="R1182" i="10"/>
  <c r="J1138" i="10"/>
  <c r="R664" i="10"/>
  <c r="J664" i="10"/>
  <c r="R210" i="10"/>
  <c r="R235" i="10"/>
  <c r="P1452" i="10"/>
  <c r="H324" i="10"/>
  <c r="P1136" i="10"/>
  <c r="H1202" i="10"/>
  <c r="P1612" i="10"/>
  <c r="H1474" i="10"/>
  <c r="H1634" i="10"/>
  <c r="H1452" i="10"/>
  <c r="P1634" i="10"/>
  <c r="P2018" i="10"/>
  <c r="H1496" i="10"/>
  <c r="H1612" i="10"/>
  <c r="P1474" i="10"/>
  <c r="H1995" i="10"/>
  <c r="H1180" i="10"/>
  <c r="P640" i="10"/>
  <c r="H662" i="10"/>
  <c r="P233" i="10"/>
  <c r="H1158" i="10"/>
  <c r="P256" i="10"/>
  <c r="P662" i="10"/>
  <c r="H1136" i="10"/>
  <c r="P1158" i="10"/>
  <c r="P1180" i="10"/>
  <c r="H640" i="10"/>
  <c r="P684" i="10"/>
  <c r="H618" i="10"/>
  <c r="P618" i="10"/>
  <c r="P1202" i="10"/>
  <c r="H684" i="10"/>
  <c r="P208" i="10"/>
  <c r="C1194" i="10"/>
  <c r="K1444" i="10"/>
  <c r="K1466" i="10"/>
  <c r="C1626" i="10"/>
  <c r="C1604" i="10"/>
  <c r="C1444" i="10"/>
  <c r="C1466" i="10"/>
  <c r="K1604" i="10"/>
  <c r="K1626" i="10"/>
  <c r="K248" i="10"/>
  <c r="K225" i="10"/>
  <c r="K1194" i="10"/>
  <c r="C1172" i="10"/>
  <c r="K676" i="10"/>
  <c r="C1128" i="10"/>
  <c r="K1172" i="10"/>
  <c r="K632" i="10"/>
  <c r="C610" i="10"/>
  <c r="C654" i="10"/>
  <c r="C632" i="10"/>
  <c r="K1150" i="10"/>
  <c r="K610" i="10"/>
  <c r="K654" i="10"/>
  <c r="K1128" i="10"/>
  <c r="C1150" i="10"/>
  <c r="K200" i="10"/>
  <c r="J1205" i="10"/>
  <c r="R1139" i="10"/>
  <c r="J1637" i="10"/>
  <c r="J1477" i="10"/>
  <c r="J1998" i="10"/>
  <c r="R1637" i="10"/>
  <c r="R1615" i="10"/>
  <c r="R2021" i="10"/>
  <c r="J1455" i="10"/>
  <c r="R1455" i="10"/>
  <c r="R1477" i="10"/>
  <c r="J1615" i="10"/>
  <c r="J1499" i="10"/>
  <c r="J665" i="10"/>
  <c r="J621" i="10"/>
  <c r="R259" i="10"/>
  <c r="R665" i="10"/>
  <c r="R687" i="10"/>
  <c r="R643" i="10"/>
  <c r="R621" i="10"/>
  <c r="J643" i="10"/>
  <c r="J1183" i="10"/>
  <c r="J687" i="10"/>
  <c r="J1161" i="10"/>
  <c r="R1161" i="10"/>
  <c r="R1205" i="10"/>
  <c r="R1183" i="10"/>
  <c r="R236" i="10"/>
  <c r="R211" i="10"/>
  <c r="D1203" i="10"/>
  <c r="L1137" i="10"/>
  <c r="L1453" i="10"/>
  <c r="D1453" i="10"/>
  <c r="D1497" i="10"/>
  <c r="D1996" i="10"/>
  <c r="D1613" i="10"/>
  <c r="L1475" i="10"/>
  <c r="L1613" i="10"/>
  <c r="L2019" i="10"/>
  <c r="D1475" i="10"/>
  <c r="L1635" i="10"/>
  <c r="D1635" i="10"/>
  <c r="L234" i="10"/>
  <c r="L257" i="10"/>
  <c r="D685" i="10"/>
  <c r="L641" i="10"/>
  <c r="L1159" i="10"/>
  <c r="L1203" i="10"/>
  <c r="L619" i="10"/>
  <c r="L685" i="10"/>
  <c r="L663" i="10"/>
  <c r="D1159" i="10"/>
  <c r="L1181" i="10"/>
  <c r="L209" i="10"/>
  <c r="I1200" i="10"/>
  <c r="Q1450" i="10"/>
  <c r="Q1134" i="10"/>
  <c r="I1993" i="10"/>
  <c r="I1494" i="10"/>
  <c r="I1632" i="10"/>
  <c r="I1610" i="10"/>
  <c r="I1472" i="10"/>
  <c r="Q1472" i="10"/>
  <c r="Q1610" i="10"/>
  <c r="Q1632" i="10"/>
  <c r="I1450" i="10"/>
  <c r="Q2016" i="10"/>
  <c r="Q660" i="10"/>
  <c r="Q1156" i="10"/>
  <c r="Q231" i="10"/>
  <c r="Q254" i="10"/>
  <c r="I682" i="10"/>
  <c r="Q1200" i="10"/>
  <c r="Q682" i="10"/>
  <c r="Q616" i="10"/>
  <c r="Q1178" i="10"/>
  <c r="I1178" i="10"/>
  <c r="Q638" i="10"/>
  <c r="Q206" i="10"/>
  <c r="D1199" i="10"/>
  <c r="L1133" i="10"/>
  <c r="L1449" i="10"/>
  <c r="D1449" i="10"/>
  <c r="D1992" i="10"/>
  <c r="D1631" i="10"/>
  <c r="L1609" i="10"/>
  <c r="D1609" i="10"/>
  <c r="L1471" i="10"/>
  <c r="D1493" i="10"/>
  <c r="D1471" i="10"/>
  <c r="L2015" i="10"/>
  <c r="L1631" i="10"/>
  <c r="D637" i="10"/>
  <c r="L637" i="10"/>
  <c r="L1155" i="10"/>
  <c r="L615" i="10"/>
  <c r="L253" i="10"/>
  <c r="L230" i="10"/>
  <c r="D681" i="10"/>
  <c r="L1199" i="10"/>
  <c r="D1155" i="10"/>
  <c r="L1177" i="10"/>
  <c r="L659" i="10"/>
  <c r="L681" i="10"/>
  <c r="L205" i="10"/>
  <c r="O1445" i="10"/>
  <c r="G1195" i="10"/>
  <c r="G1627" i="10"/>
  <c r="O1605" i="10"/>
  <c r="G1445" i="10"/>
  <c r="G1988" i="10"/>
  <c r="O1467" i="10"/>
  <c r="O1627" i="10"/>
  <c r="G1605" i="10"/>
  <c r="G1467" i="10"/>
  <c r="O2011" i="10"/>
  <c r="O226" i="10"/>
  <c r="G317" i="10"/>
  <c r="O249" i="10"/>
  <c r="G633" i="10"/>
  <c r="G1173" i="10"/>
  <c r="O633" i="10"/>
  <c r="G1129" i="10"/>
  <c r="O1173" i="10"/>
  <c r="O1195" i="10"/>
  <c r="O1129" i="10"/>
  <c r="O1151" i="10"/>
  <c r="G611" i="10"/>
  <c r="O677" i="10"/>
  <c r="O611" i="10"/>
  <c r="G655" i="10"/>
  <c r="O655" i="10"/>
  <c r="O723" i="10"/>
  <c r="G1151" i="10"/>
  <c r="O201" i="10"/>
  <c r="I1193" i="10"/>
  <c r="Q1443" i="10"/>
  <c r="Q1603" i="10"/>
  <c r="I1465" i="10"/>
  <c r="Q1465" i="10"/>
  <c r="I1603" i="10"/>
  <c r="Q1625" i="10"/>
  <c r="I1625" i="10"/>
  <c r="I1986" i="10"/>
  <c r="Q2009" i="10"/>
  <c r="I1443" i="10"/>
  <c r="I1171" i="10"/>
  <c r="Q721" i="10"/>
  <c r="Q247" i="10"/>
  <c r="Q1171" i="10"/>
  <c r="Q631" i="10"/>
  <c r="I631" i="10"/>
  <c r="I1127" i="10"/>
  <c r="Q1193" i="10"/>
  <c r="Q224" i="10"/>
  <c r="I1149" i="10"/>
  <c r="I653" i="10"/>
  <c r="Q1127" i="10"/>
  <c r="Q675" i="10"/>
  <c r="I609" i="10"/>
  <c r="Q1149" i="10"/>
  <c r="Q609" i="10"/>
  <c r="Q653" i="10"/>
  <c r="Q199" i="10"/>
  <c r="H1192" i="10"/>
  <c r="P1442" i="10"/>
  <c r="H1985" i="10"/>
  <c r="P1624" i="10"/>
  <c r="P1602" i="10"/>
  <c r="H1602" i="10"/>
  <c r="H1464" i="10"/>
  <c r="H1624" i="10"/>
  <c r="P1464" i="10"/>
  <c r="H1442" i="10"/>
  <c r="P2008" i="10"/>
  <c r="H1148" i="10"/>
  <c r="P720" i="10"/>
  <c r="H608" i="10"/>
  <c r="H652" i="10"/>
  <c r="H1126" i="10"/>
  <c r="P223" i="10"/>
  <c r="P246" i="10"/>
  <c r="P652" i="10"/>
  <c r="P1192" i="10"/>
  <c r="H630" i="10"/>
  <c r="H1170" i="10"/>
  <c r="P1126" i="10"/>
  <c r="P1170" i="10"/>
  <c r="P608" i="10"/>
  <c r="P630" i="10"/>
  <c r="P1148" i="10"/>
  <c r="P674" i="10"/>
  <c r="P198" i="10"/>
  <c r="D1192" i="10"/>
  <c r="L1442" i="10"/>
  <c r="L1624" i="10"/>
  <c r="D1602" i="10"/>
  <c r="D1624" i="10"/>
  <c r="D1985" i="10"/>
  <c r="L1602" i="10"/>
  <c r="D1464" i="10"/>
  <c r="L1464" i="10"/>
  <c r="L2008" i="10"/>
  <c r="D1442" i="10"/>
  <c r="L223" i="10"/>
  <c r="L246" i="10"/>
  <c r="L720" i="10"/>
  <c r="D1148" i="10"/>
  <c r="D608" i="10"/>
  <c r="D652" i="10"/>
  <c r="L1192" i="10"/>
  <c r="L652" i="10"/>
  <c r="D1126" i="10"/>
  <c r="D630" i="10"/>
  <c r="L674" i="10"/>
  <c r="L1148" i="10"/>
  <c r="D1170" i="10"/>
  <c r="L608" i="10"/>
  <c r="L630" i="10"/>
  <c r="L1126" i="10"/>
  <c r="L1170" i="10"/>
  <c r="L198" i="10"/>
  <c r="F1190" i="10"/>
  <c r="N1440" i="10"/>
  <c r="F1600" i="10"/>
  <c r="N1622" i="10"/>
  <c r="N1600" i="10"/>
  <c r="F1622" i="10"/>
  <c r="F1462" i="10"/>
  <c r="N2006" i="10"/>
  <c r="N1462" i="10"/>
  <c r="F1440" i="10"/>
  <c r="N221" i="10"/>
  <c r="F1124" i="10"/>
  <c r="N244" i="10"/>
  <c r="N650" i="10"/>
  <c r="N1190" i="10"/>
  <c r="F628" i="10"/>
  <c r="F606" i="10"/>
  <c r="F650" i="10"/>
  <c r="N1168" i="10"/>
  <c r="N606" i="10"/>
  <c r="N628" i="10"/>
  <c r="N1124" i="10"/>
  <c r="N1146" i="10"/>
  <c r="N672" i="10"/>
  <c r="F1168" i="10"/>
  <c r="F1146" i="10"/>
  <c r="N196" i="10"/>
  <c r="C1021" i="10"/>
  <c r="C1802" i="10"/>
  <c r="H1026" i="10"/>
  <c r="P960" i="10"/>
  <c r="P1830" i="10"/>
  <c r="H1807" i="10"/>
  <c r="H1830" i="10"/>
  <c r="P1807" i="10"/>
  <c r="P1999" i="10"/>
  <c r="H2022" i="10"/>
  <c r="H982" i="10"/>
  <c r="P1004" i="10"/>
  <c r="P982" i="10"/>
  <c r="H1004" i="10"/>
  <c r="P1026" i="10"/>
  <c r="H960" i="10"/>
  <c r="D1026" i="10"/>
  <c r="L1830" i="10"/>
  <c r="L960" i="10"/>
  <c r="D1807" i="10"/>
  <c r="L1999" i="10"/>
  <c r="D1830" i="10"/>
  <c r="L1807" i="10"/>
  <c r="D2022" i="10"/>
  <c r="D982" i="10"/>
  <c r="L1004" i="10"/>
  <c r="D1004" i="10"/>
  <c r="L982" i="10"/>
  <c r="D960" i="10"/>
  <c r="L1026" i="10"/>
  <c r="F1025" i="10"/>
  <c r="N959" i="10"/>
  <c r="N1829" i="10"/>
  <c r="N1998" i="10"/>
  <c r="F2021" i="10"/>
  <c r="F1806" i="10"/>
  <c r="N1806" i="10"/>
  <c r="F1829" i="10"/>
  <c r="N981" i="10"/>
  <c r="F1003" i="10"/>
  <c r="N1003" i="10"/>
  <c r="N1025" i="10"/>
  <c r="F981" i="10"/>
  <c r="P1828" i="10"/>
  <c r="H1024" i="10"/>
  <c r="P958" i="10"/>
  <c r="P1997" i="10"/>
  <c r="H1828" i="10"/>
  <c r="H2020" i="10"/>
  <c r="H1805" i="10"/>
  <c r="P1805" i="10"/>
  <c r="H958" i="10"/>
  <c r="P1024" i="10"/>
  <c r="H980" i="10"/>
  <c r="P980" i="10"/>
  <c r="P1002" i="10"/>
  <c r="H1002" i="10"/>
  <c r="L958" i="10"/>
  <c r="L1828" i="10"/>
  <c r="D1024" i="10"/>
  <c r="D1828" i="10"/>
  <c r="D2020" i="10"/>
  <c r="L1997" i="10"/>
  <c r="D1805" i="10"/>
  <c r="L1805" i="10"/>
  <c r="L1024" i="10"/>
  <c r="D958" i="10"/>
  <c r="D980" i="10"/>
  <c r="L1002" i="10"/>
  <c r="D1002" i="10"/>
  <c r="L980" i="10"/>
  <c r="F1023" i="10"/>
  <c r="N1827" i="10"/>
  <c r="N957" i="10"/>
  <c r="N1804" i="10"/>
  <c r="F1804" i="10"/>
  <c r="F1827" i="10"/>
  <c r="N1996" i="10"/>
  <c r="F2019" i="10"/>
  <c r="F979" i="10"/>
  <c r="N1001" i="10"/>
  <c r="N1023" i="10"/>
  <c r="N979" i="10"/>
  <c r="H1022" i="10"/>
  <c r="P1826" i="10"/>
  <c r="P956" i="10"/>
  <c r="P1995" i="10"/>
  <c r="P1803" i="10"/>
  <c r="H1826" i="10"/>
  <c r="H2018" i="10"/>
  <c r="H1803" i="10"/>
  <c r="P1000" i="10"/>
  <c r="H978" i="10"/>
  <c r="H956" i="10"/>
  <c r="P978" i="10"/>
  <c r="H1000" i="10"/>
  <c r="P1022" i="10"/>
  <c r="D1022" i="10"/>
  <c r="L1826" i="10"/>
  <c r="L956" i="10"/>
  <c r="L1995" i="10"/>
  <c r="D1826" i="10"/>
  <c r="D2018" i="10"/>
  <c r="L1803" i="10"/>
  <c r="D1803" i="10"/>
  <c r="L1000" i="10"/>
  <c r="D978" i="10"/>
  <c r="D956" i="10"/>
  <c r="D1000" i="10"/>
  <c r="L978" i="10"/>
  <c r="L1022" i="10"/>
  <c r="F1021" i="10"/>
  <c r="F955" i="10"/>
  <c r="N955" i="10"/>
  <c r="N1825" i="10"/>
  <c r="F1802" i="10"/>
  <c r="F1825" i="10"/>
  <c r="N1994" i="10"/>
  <c r="N1802" i="10"/>
  <c r="F2017" i="10"/>
  <c r="N977" i="10"/>
  <c r="N1021" i="10"/>
  <c r="F999" i="10"/>
  <c r="F977" i="10"/>
  <c r="N999" i="10"/>
  <c r="H1020" i="10"/>
  <c r="P954" i="10"/>
  <c r="P1824" i="10"/>
  <c r="H2016" i="10"/>
  <c r="H1801" i="10"/>
  <c r="P1801" i="10"/>
  <c r="H1824" i="10"/>
  <c r="P1993" i="10"/>
  <c r="P1020" i="10"/>
  <c r="P976" i="10"/>
  <c r="P998" i="10"/>
  <c r="H998" i="10"/>
  <c r="L1824" i="10"/>
  <c r="D1020" i="10"/>
  <c r="L954" i="10"/>
  <c r="D1801" i="10"/>
  <c r="D2016" i="10"/>
  <c r="L1801" i="10"/>
  <c r="D1824" i="10"/>
  <c r="L1993" i="10"/>
  <c r="L1020" i="10"/>
  <c r="L976" i="10"/>
  <c r="L998" i="10"/>
  <c r="D998" i="10"/>
  <c r="N953" i="10"/>
  <c r="F1019" i="10"/>
  <c r="N1823" i="10"/>
  <c r="N1800" i="10"/>
  <c r="F2015" i="10"/>
  <c r="N1992" i="10"/>
  <c r="F1800" i="10"/>
  <c r="F1823" i="10"/>
  <c r="F975" i="10"/>
  <c r="N997" i="10"/>
  <c r="N975" i="10"/>
  <c r="N1019" i="10"/>
  <c r="H1018" i="10"/>
  <c r="P952" i="10"/>
  <c r="P1822" i="10"/>
  <c r="P1991" i="10"/>
  <c r="P1799" i="10"/>
  <c r="H1822" i="10"/>
  <c r="H2014" i="10"/>
  <c r="H1799" i="10"/>
  <c r="P996" i="10"/>
  <c r="P974" i="10"/>
  <c r="H974" i="10"/>
  <c r="P1018" i="10"/>
  <c r="D1018" i="10"/>
  <c r="L1822" i="10"/>
  <c r="L952" i="10"/>
  <c r="L1799" i="10"/>
  <c r="D1822" i="10"/>
  <c r="L1991" i="10"/>
  <c r="D1799" i="10"/>
  <c r="L974" i="10"/>
  <c r="D974" i="10"/>
  <c r="L996" i="10"/>
  <c r="L1018" i="10"/>
  <c r="H1016" i="10"/>
  <c r="P1820" i="10"/>
  <c r="H1820" i="10"/>
  <c r="H1797" i="10"/>
  <c r="P1989" i="10"/>
  <c r="H2012" i="10"/>
  <c r="P1797" i="10"/>
  <c r="P1016" i="10"/>
  <c r="P950" i="10"/>
  <c r="P972" i="10"/>
  <c r="P994" i="10"/>
  <c r="H994" i="10"/>
  <c r="L1820" i="10"/>
  <c r="D1016" i="10"/>
  <c r="D1820" i="10"/>
  <c r="D1797" i="10"/>
  <c r="L1989" i="10"/>
  <c r="D2012" i="10"/>
  <c r="L1797" i="10"/>
  <c r="L1016" i="10"/>
  <c r="L972" i="10"/>
  <c r="D994" i="10"/>
  <c r="L994" i="10"/>
  <c r="L950" i="10"/>
  <c r="F1015" i="10"/>
  <c r="N1819" i="10"/>
  <c r="N1796" i="10"/>
  <c r="F2011" i="10"/>
  <c r="F1796" i="10"/>
  <c r="N1988" i="10"/>
  <c r="F1819" i="10"/>
  <c r="F949" i="10"/>
  <c r="F993" i="10"/>
  <c r="N993" i="10"/>
  <c r="N949" i="10"/>
  <c r="N971" i="10"/>
  <c r="N1015" i="10"/>
  <c r="F971" i="10"/>
  <c r="P1818" i="10"/>
  <c r="H1014" i="10"/>
  <c r="P1795" i="10"/>
  <c r="H2010" i="10"/>
  <c r="H1795" i="10"/>
  <c r="P1987" i="10"/>
  <c r="H1818" i="10"/>
  <c r="H992" i="10"/>
  <c r="P948" i="10"/>
  <c r="P970" i="10"/>
  <c r="P992" i="10"/>
  <c r="H970" i="10"/>
  <c r="H948" i="10"/>
  <c r="P1014" i="10"/>
  <c r="D1014" i="10"/>
  <c r="L1818" i="10"/>
  <c r="L1795" i="10"/>
  <c r="D1795" i="10"/>
  <c r="D2010" i="10"/>
  <c r="D1818" i="10"/>
  <c r="L1987" i="10"/>
  <c r="D992" i="10"/>
  <c r="L992" i="10"/>
  <c r="L970" i="10"/>
  <c r="L948" i="10"/>
  <c r="D948" i="10"/>
  <c r="L1014" i="10"/>
  <c r="D970" i="10"/>
  <c r="F1013" i="10"/>
  <c r="N1817" i="10"/>
  <c r="F1794" i="10"/>
  <c r="F1817" i="10"/>
  <c r="N1986" i="10"/>
  <c r="N1794" i="10"/>
  <c r="F2009" i="10"/>
  <c r="F947" i="10"/>
  <c r="N969" i="10"/>
  <c r="F969" i="10"/>
  <c r="N1013" i="10"/>
  <c r="N947" i="10"/>
  <c r="F991" i="10"/>
  <c r="N991" i="10"/>
  <c r="P1816" i="10"/>
  <c r="H1012" i="10"/>
  <c r="H2008" i="10"/>
  <c r="P1793" i="10"/>
  <c r="H1816" i="10"/>
  <c r="H1793" i="10"/>
  <c r="P1985" i="10"/>
  <c r="H946" i="10"/>
  <c r="H968" i="10"/>
  <c r="P1012" i="10"/>
  <c r="H990" i="10"/>
  <c r="P946" i="10"/>
  <c r="P968" i="10"/>
  <c r="P990" i="10"/>
  <c r="D1012" i="10"/>
  <c r="L1816" i="10"/>
  <c r="D2008" i="10"/>
  <c r="D1793" i="10"/>
  <c r="L1793" i="10"/>
  <c r="D1816" i="10"/>
  <c r="L1985" i="10"/>
  <c r="L1012" i="10"/>
  <c r="D946" i="10"/>
  <c r="D968" i="10"/>
  <c r="L946" i="10"/>
  <c r="L990" i="10"/>
  <c r="D990" i="10"/>
  <c r="L968" i="10"/>
  <c r="F1011" i="10"/>
  <c r="N1815" i="10"/>
  <c r="N1984" i="10"/>
  <c r="F2007" i="10"/>
  <c r="F1792" i="10"/>
  <c r="F1815" i="10"/>
  <c r="N1792" i="10"/>
  <c r="N989" i="10"/>
  <c r="F945" i="10"/>
  <c r="N967" i="10"/>
  <c r="N945" i="10"/>
  <c r="N1011" i="10"/>
  <c r="R959" i="10"/>
  <c r="J1025" i="10"/>
  <c r="J1806" i="10"/>
  <c r="R1806" i="10"/>
  <c r="J1829" i="10"/>
  <c r="J2021" i="10"/>
  <c r="R1998" i="10"/>
  <c r="R1829" i="10"/>
  <c r="R1025" i="10"/>
  <c r="J1003" i="10"/>
  <c r="R1003" i="10"/>
  <c r="J981" i="10"/>
  <c r="R981" i="10"/>
  <c r="J1021" i="10"/>
  <c r="R955" i="10"/>
  <c r="J1802" i="10"/>
  <c r="R1802" i="10"/>
  <c r="J1825" i="10"/>
  <c r="R1825" i="10"/>
  <c r="R1994" i="10"/>
  <c r="J2017" i="10"/>
  <c r="R977" i="10"/>
  <c r="J999" i="10"/>
  <c r="J955" i="10"/>
  <c r="R999" i="10"/>
  <c r="R1021" i="10"/>
  <c r="J977" i="10"/>
  <c r="J1013" i="10"/>
  <c r="J1794" i="10"/>
  <c r="R1794" i="10"/>
  <c r="J1817" i="10"/>
  <c r="R1817" i="10"/>
  <c r="J2009" i="10"/>
  <c r="R1986" i="10"/>
  <c r="R947" i="10"/>
  <c r="J947" i="10"/>
  <c r="R991" i="10"/>
  <c r="J991" i="10"/>
  <c r="R969" i="10"/>
  <c r="J969" i="10"/>
  <c r="R1013" i="10"/>
  <c r="J1010" i="10"/>
  <c r="R1814" i="10"/>
  <c r="R1983" i="10"/>
  <c r="J1814" i="10"/>
  <c r="J1791" i="10"/>
  <c r="R1791" i="10"/>
  <c r="J2006" i="10"/>
  <c r="J944" i="10"/>
  <c r="J988" i="10"/>
  <c r="J966" i="10"/>
  <c r="R944" i="10"/>
  <c r="R966" i="10"/>
  <c r="R1010" i="10"/>
  <c r="R988" i="10"/>
  <c r="F1010" i="10"/>
  <c r="N1814" i="10"/>
  <c r="F2006" i="10"/>
  <c r="N1791" i="10"/>
  <c r="F1814" i="10"/>
  <c r="F1791" i="10"/>
  <c r="N1983" i="10"/>
  <c r="N1010" i="10"/>
  <c r="F944" i="10"/>
  <c r="N944" i="10"/>
  <c r="N966" i="10"/>
  <c r="F966" i="10"/>
  <c r="F988" i="10"/>
  <c r="N988" i="10"/>
  <c r="K1139" i="10"/>
  <c r="K1455" i="10"/>
  <c r="C1205" i="10"/>
  <c r="K1477" i="10"/>
  <c r="C1455" i="10"/>
  <c r="K1615" i="10"/>
  <c r="C1637" i="10"/>
  <c r="C1499" i="10"/>
  <c r="C1477" i="10"/>
  <c r="K1637" i="10"/>
  <c r="C1615" i="10"/>
  <c r="K1161" i="10"/>
  <c r="K687" i="10"/>
  <c r="C665" i="10"/>
  <c r="K665" i="10"/>
  <c r="K259" i="10"/>
  <c r="K643" i="10"/>
  <c r="C621" i="10"/>
  <c r="K236" i="10"/>
  <c r="K621" i="10"/>
  <c r="C1161" i="10"/>
  <c r="C643" i="10"/>
  <c r="K1205" i="10"/>
  <c r="K1183" i="10"/>
  <c r="C687" i="10"/>
  <c r="C1183" i="10"/>
  <c r="K211" i="10"/>
  <c r="H1206" i="10"/>
  <c r="P1456" i="10"/>
  <c r="P1140" i="10"/>
  <c r="P2022" i="10"/>
  <c r="P1478" i="10"/>
  <c r="H1616" i="10"/>
  <c r="P1638" i="10"/>
  <c r="H1478" i="10"/>
  <c r="H1638" i="10"/>
  <c r="P1616" i="10"/>
  <c r="H1500" i="10"/>
  <c r="H1456" i="10"/>
  <c r="H1999" i="10"/>
  <c r="H1184" i="10"/>
  <c r="P644" i="10"/>
  <c r="P734" i="10"/>
  <c r="H1162" i="10"/>
  <c r="P237" i="10"/>
  <c r="P260" i="10"/>
  <c r="P666" i="10"/>
  <c r="P1162" i="10"/>
  <c r="H644" i="10"/>
  <c r="P622" i="10"/>
  <c r="P1184" i="10"/>
  <c r="P688" i="10"/>
  <c r="H666" i="10"/>
  <c r="P1206" i="10"/>
  <c r="H688" i="10"/>
  <c r="H622" i="10"/>
  <c r="H1140" i="10"/>
  <c r="P212" i="10"/>
  <c r="F1204" i="10"/>
  <c r="N1138" i="10"/>
  <c r="N1454" i="10"/>
  <c r="F1498" i="10"/>
  <c r="F1997" i="10"/>
  <c r="N1636" i="10"/>
  <c r="N1614" i="10"/>
  <c r="F1454" i="10"/>
  <c r="N2020" i="10"/>
  <c r="F1614" i="10"/>
  <c r="F1636" i="10"/>
  <c r="N1476" i="10"/>
  <c r="F1476" i="10"/>
  <c r="N258" i="10"/>
  <c r="F1182" i="10"/>
  <c r="N664" i="10"/>
  <c r="N1160" i="10"/>
  <c r="F642" i="10"/>
  <c r="N686" i="10"/>
  <c r="F620" i="10"/>
  <c r="N235" i="10"/>
  <c r="N732" i="10"/>
  <c r="F1160" i="10"/>
  <c r="N1182" i="10"/>
  <c r="N642" i="10"/>
  <c r="N620" i="10"/>
  <c r="F1138" i="10"/>
  <c r="F686" i="10"/>
  <c r="N1204" i="10"/>
  <c r="F664" i="10"/>
  <c r="N210" i="10"/>
  <c r="O1451" i="10"/>
  <c r="G323" i="10"/>
  <c r="G1201" i="10"/>
  <c r="O1135" i="10"/>
  <c r="G1135" i="10"/>
  <c r="O729" i="10"/>
  <c r="G617" i="10"/>
  <c r="G1473" i="10"/>
  <c r="G1611" i="10"/>
  <c r="G1451" i="10"/>
  <c r="O2017" i="10"/>
  <c r="G1495" i="10"/>
  <c r="G1633" i="10"/>
  <c r="O1473" i="10"/>
  <c r="O1633" i="10"/>
  <c r="O1611" i="10"/>
  <c r="G1994" i="10"/>
  <c r="O232" i="10"/>
  <c r="G661" i="10"/>
  <c r="O1157" i="10"/>
  <c r="O683" i="10"/>
  <c r="O661" i="10"/>
  <c r="O255" i="10"/>
  <c r="O639" i="10"/>
  <c r="O617" i="10"/>
  <c r="O1179" i="10"/>
  <c r="O1201" i="10"/>
  <c r="G1179" i="10"/>
  <c r="G1157" i="10"/>
  <c r="G683" i="10"/>
  <c r="O207" i="10"/>
  <c r="K732" i="10"/>
  <c r="C1204" i="10"/>
  <c r="K1138" i="10"/>
  <c r="K1454" i="10"/>
  <c r="C1614" i="10"/>
  <c r="C1476" i="10"/>
  <c r="C1636" i="10"/>
  <c r="K1636" i="10"/>
  <c r="K1614" i="10"/>
  <c r="C1454" i="10"/>
  <c r="K1476" i="10"/>
  <c r="C1498" i="10"/>
  <c r="K258" i="10"/>
  <c r="C642" i="10"/>
  <c r="K642" i="10"/>
  <c r="K620" i="10"/>
  <c r="C620" i="10"/>
  <c r="K235" i="10"/>
  <c r="K1204" i="10"/>
  <c r="C664" i="10"/>
  <c r="K686" i="10"/>
  <c r="C1182" i="10"/>
  <c r="C686" i="10"/>
  <c r="C1138" i="10"/>
  <c r="C326" i="10"/>
  <c r="K1160" i="10"/>
  <c r="K1182" i="10"/>
  <c r="K664" i="10"/>
  <c r="C1160" i="10"/>
  <c r="K210" i="10"/>
  <c r="G1206" i="10"/>
  <c r="O1140" i="10"/>
  <c r="O1456" i="10"/>
  <c r="O2022" i="10"/>
  <c r="G1999" i="10"/>
  <c r="G1500" i="10"/>
  <c r="O1478" i="10"/>
  <c r="G1616" i="10"/>
  <c r="G1478" i="10"/>
  <c r="O1616" i="10"/>
  <c r="O1638" i="10"/>
  <c r="G1456" i="10"/>
  <c r="G1638" i="10"/>
  <c r="O237" i="10"/>
  <c r="G688" i="10"/>
  <c r="O622" i="10"/>
  <c r="O666" i="10"/>
  <c r="O734" i="10"/>
  <c r="G644" i="10"/>
  <c r="O688" i="10"/>
  <c r="G622" i="10"/>
  <c r="G1162" i="10"/>
  <c r="O1162" i="10"/>
  <c r="O1184" i="10"/>
  <c r="O260" i="10"/>
  <c r="G666" i="10"/>
  <c r="O1206" i="10"/>
  <c r="G1184" i="10"/>
  <c r="O644" i="10"/>
  <c r="G1140" i="10"/>
  <c r="O212" i="10"/>
  <c r="I1204" i="10"/>
  <c r="Q1138" i="10"/>
  <c r="Q1454" i="10"/>
  <c r="I1454" i="10"/>
  <c r="I1997" i="10"/>
  <c r="I1614" i="10"/>
  <c r="Q2020" i="10"/>
  <c r="I1498" i="10"/>
  <c r="Q1476" i="10"/>
  <c r="Q1614" i="10"/>
  <c r="I1636" i="10"/>
  <c r="I1476" i="10"/>
  <c r="Q1636" i="10"/>
  <c r="Q235" i="10"/>
  <c r="I664" i="10"/>
  <c r="Q664" i="10"/>
  <c r="Q732" i="10"/>
  <c r="I1138" i="10"/>
  <c r="I1160" i="10"/>
  <c r="Q1182" i="10"/>
  <c r="I642" i="10"/>
  <c r="Q686" i="10"/>
  <c r="Q1160" i="10"/>
  <c r="Q258" i="10"/>
  <c r="Q620" i="10"/>
  <c r="I686" i="10"/>
  <c r="I1182" i="10"/>
  <c r="I620" i="10"/>
  <c r="Q1204" i="10"/>
  <c r="Q642" i="10"/>
  <c r="Q210" i="10"/>
  <c r="H1203" i="10"/>
  <c r="P1453" i="10"/>
  <c r="P1137" i="10"/>
  <c r="H1996" i="10"/>
  <c r="H1453" i="10"/>
  <c r="H1613" i="10"/>
  <c r="H1475" i="10"/>
  <c r="H1635" i="10"/>
  <c r="P1475" i="10"/>
  <c r="P1613" i="10"/>
  <c r="H1497" i="10"/>
  <c r="P1635" i="10"/>
  <c r="P2019" i="10"/>
  <c r="P641" i="10"/>
  <c r="P1203" i="10"/>
  <c r="P1159" i="10"/>
  <c r="P619" i="10"/>
  <c r="P257" i="10"/>
  <c r="H685" i="10"/>
  <c r="P234" i="10"/>
  <c r="P685" i="10"/>
  <c r="P1181" i="10"/>
  <c r="P663" i="10"/>
  <c r="H1159" i="10"/>
  <c r="P209" i="10"/>
  <c r="R1135" i="10"/>
  <c r="J323" i="10"/>
  <c r="J1201" i="10"/>
  <c r="R2017" i="10"/>
  <c r="R1473" i="10"/>
  <c r="R1633" i="10"/>
  <c r="J1633" i="10"/>
  <c r="J1473" i="10"/>
  <c r="J1495" i="10"/>
  <c r="J1451" i="10"/>
  <c r="J1994" i="10"/>
  <c r="J1611" i="10"/>
  <c r="R1611" i="10"/>
  <c r="R1451" i="10"/>
  <c r="R639" i="10"/>
  <c r="R661" i="10"/>
  <c r="R729" i="10"/>
  <c r="R255" i="10"/>
  <c r="J617" i="10"/>
  <c r="J661" i="10"/>
  <c r="R617" i="10"/>
  <c r="R683" i="10"/>
  <c r="J1135" i="10"/>
  <c r="J1179" i="10"/>
  <c r="J1157" i="10"/>
  <c r="R1157" i="10"/>
  <c r="R1201" i="10"/>
  <c r="J683" i="10"/>
  <c r="R1179" i="10"/>
  <c r="R232" i="10"/>
  <c r="R207" i="10"/>
  <c r="E1200" i="10"/>
  <c r="M1450" i="10"/>
  <c r="M1134" i="10"/>
  <c r="E1472" i="10"/>
  <c r="E1632" i="10"/>
  <c r="M1610" i="10"/>
  <c r="E1993" i="10"/>
  <c r="M2016" i="10"/>
  <c r="E1450" i="10"/>
  <c r="E1610" i="10"/>
  <c r="E1494" i="10"/>
  <c r="M1472" i="10"/>
  <c r="M1632" i="10"/>
  <c r="M616" i="10"/>
  <c r="M660" i="10"/>
  <c r="M1156" i="10"/>
  <c r="M1178" i="10"/>
  <c r="M682" i="10"/>
  <c r="M231" i="10"/>
  <c r="E682" i="10"/>
  <c r="M1200" i="10"/>
  <c r="M254" i="10"/>
  <c r="E1178" i="10"/>
  <c r="M638" i="10"/>
  <c r="M206" i="10"/>
  <c r="H1196" i="10"/>
  <c r="P1446" i="10"/>
  <c r="H1989" i="10"/>
  <c r="H1628" i="10"/>
  <c r="P1468" i="10"/>
  <c r="P1628" i="10"/>
  <c r="H1468" i="10"/>
  <c r="H1606" i="10"/>
  <c r="P2012" i="10"/>
  <c r="P1606" i="10"/>
  <c r="H1446" i="10"/>
  <c r="P227" i="10"/>
  <c r="P724" i="10"/>
  <c r="H656" i="10"/>
  <c r="P250" i="10"/>
  <c r="P612" i="10"/>
  <c r="P656" i="10"/>
  <c r="P1196" i="10"/>
  <c r="P678" i="10"/>
  <c r="P1174" i="10"/>
  <c r="H1174" i="10"/>
  <c r="P634" i="10"/>
  <c r="P1130" i="10"/>
  <c r="P1152" i="10"/>
  <c r="P202" i="10"/>
  <c r="J1194" i="10"/>
  <c r="R1604" i="10"/>
  <c r="R1444" i="10"/>
  <c r="J1626" i="10"/>
  <c r="R1626" i="10"/>
  <c r="J1987" i="10"/>
  <c r="R1466" i="10"/>
  <c r="J1466" i="10"/>
  <c r="J1444" i="10"/>
  <c r="J1604" i="10"/>
  <c r="R2010" i="10"/>
  <c r="R248" i="10"/>
  <c r="J1128" i="10"/>
  <c r="J1150" i="10"/>
  <c r="R610" i="10"/>
  <c r="J1172" i="10"/>
  <c r="R654" i="10"/>
  <c r="J632" i="10"/>
  <c r="R632" i="10"/>
  <c r="J654" i="10"/>
  <c r="R676" i="10"/>
  <c r="R1150" i="10"/>
  <c r="R1194" i="10"/>
  <c r="R1172" i="10"/>
  <c r="J610" i="10"/>
  <c r="R1128" i="10"/>
  <c r="R225" i="10"/>
  <c r="R200" i="10"/>
  <c r="E1193" i="10"/>
  <c r="M1443" i="10"/>
  <c r="M1603" i="10"/>
  <c r="E1443" i="10"/>
  <c r="E1625" i="10"/>
  <c r="E1986" i="10"/>
  <c r="E1603" i="10"/>
  <c r="E1465" i="10"/>
  <c r="M2009" i="10"/>
  <c r="M1625" i="10"/>
  <c r="M1465" i="10"/>
  <c r="M224" i="10"/>
  <c r="E1171" i="10"/>
  <c r="E1127" i="10"/>
  <c r="M1171" i="10"/>
  <c r="M631" i="10"/>
  <c r="E631" i="10"/>
  <c r="M721" i="10"/>
  <c r="M247" i="10"/>
  <c r="M1193" i="10"/>
  <c r="M1127" i="10"/>
  <c r="E653" i="10"/>
  <c r="M675" i="10"/>
  <c r="M1149" i="10"/>
  <c r="E609" i="10"/>
  <c r="E1149" i="10"/>
  <c r="M609" i="10"/>
  <c r="M653" i="10"/>
  <c r="M199" i="10"/>
  <c r="G1191" i="10"/>
  <c r="O1441" i="10"/>
  <c r="G1441" i="10"/>
  <c r="O1601" i="10"/>
  <c r="G1984" i="10"/>
  <c r="G1623" i="10"/>
  <c r="G1601" i="10"/>
  <c r="O1623" i="10"/>
  <c r="O1463" i="10"/>
  <c r="G1463" i="10"/>
  <c r="O2007" i="10"/>
  <c r="O222" i="10"/>
  <c r="O1169" i="10"/>
  <c r="O1191" i="10"/>
  <c r="O245" i="10"/>
  <c r="O629" i="10"/>
  <c r="G1125" i="10"/>
  <c r="O1147" i="10"/>
  <c r="G607" i="10"/>
  <c r="O673" i="10"/>
  <c r="O1125" i="10"/>
  <c r="O607" i="10"/>
  <c r="O651" i="10"/>
  <c r="O197" i="10"/>
  <c r="K1137" i="10"/>
  <c r="C1203" i="10"/>
  <c r="K1453" i="10"/>
  <c r="K1475" i="10"/>
  <c r="C1635" i="10"/>
  <c r="K1635" i="10"/>
  <c r="C1497" i="10"/>
  <c r="C1475" i="10"/>
  <c r="C1453" i="10"/>
  <c r="K1613" i="10"/>
  <c r="C1613" i="10"/>
  <c r="K1181" i="10"/>
  <c r="K257" i="10"/>
  <c r="C1159" i="10"/>
  <c r="C685" i="10"/>
  <c r="K641" i="10"/>
  <c r="K234" i="10"/>
  <c r="K1203" i="10"/>
  <c r="K663" i="10"/>
  <c r="K1159" i="10"/>
  <c r="K619" i="10"/>
  <c r="K685" i="10"/>
  <c r="K209" i="10"/>
  <c r="K1133" i="10"/>
  <c r="K1449" i="10"/>
  <c r="C1199" i="10"/>
  <c r="K727" i="10"/>
  <c r="C1449" i="10"/>
  <c r="K1609" i="10"/>
  <c r="C1631" i="10"/>
  <c r="C1471" i="10"/>
  <c r="K1631" i="10"/>
  <c r="C1493" i="10"/>
  <c r="C1609" i="10"/>
  <c r="K1471" i="10"/>
  <c r="K1199" i="10"/>
  <c r="C659" i="10"/>
  <c r="C615" i="10"/>
  <c r="K637" i="10"/>
  <c r="K1177" i="10"/>
  <c r="C637" i="10"/>
  <c r="K253" i="10"/>
  <c r="K230" i="10"/>
  <c r="K659" i="10"/>
  <c r="C1155" i="10"/>
  <c r="C321" i="10"/>
  <c r="C681" i="10"/>
  <c r="C1177" i="10"/>
  <c r="K615" i="10"/>
  <c r="C1133" i="10"/>
  <c r="K681" i="10"/>
  <c r="K1155" i="10"/>
  <c r="K205" i="10"/>
  <c r="K721" i="10"/>
  <c r="C1193" i="10"/>
  <c r="K1443" i="10"/>
  <c r="K1465" i="10"/>
  <c r="K1625" i="10"/>
  <c r="C1465" i="10"/>
  <c r="K1603" i="10"/>
  <c r="C1625" i="10"/>
  <c r="C1603" i="10"/>
  <c r="C1443" i="10"/>
  <c r="K1127" i="10"/>
  <c r="K247" i="10"/>
  <c r="C1149" i="10"/>
  <c r="C609" i="10"/>
  <c r="C653" i="10"/>
  <c r="K224" i="10"/>
  <c r="K609" i="10"/>
  <c r="K1149" i="10"/>
  <c r="K653" i="10"/>
  <c r="K675" i="10"/>
  <c r="C631" i="10"/>
  <c r="K1171" i="10"/>
  <c r="K631" i="10"/>
  <c r="K1193" i="10"/>
  <c r="C1171" i="10"/>
  <c r="C1127" i="10"/>
  <c r="K199" i="10"/>
  <c r="R1140" i="10"/>
  <c r="J1206" i="10"/>
  <c r="R1478" i="10"/>
  <c r="J1999" i="10"/>
  <c r="J1478" i="10"/>
  <c r="R1616" i="10"/>
  <c r="J1616" i="10"/>
  <c r="J1638" i="10"/>
  <c r="J1500" i="10"/>
  <c r="R2022" i="10"/>
  <c r="R1456" i="10"/>
  <c r="R1638" i="10"/>
  <c r="J1456" i="10"/>
  <c r="J1140" i="10"/>
  <c r="J622" i="10"/>
  <c r="J666" i="10"/>
  <c r="J688" i="10"/>
  <c r="R666" i="10"/>
  <c r="R260" i="10"/>
  <c r="R622" i="10"/>
  <c r="J644" i="10"/>
  <c r="J1162" i="10"/>
  <c r="R644" i="10"/>
  <c r="R688" i="10"/>
  <c r="R1162" i="10"/>
  <c r="R1184" i="10"/>
  <c r="R1206" i="10"/>
  <c r="J1184" i="10"/>
  <c r="R734" i="10"/>
  <c r="R212" i="10"/>
  <c r="R237" i="10"/>
  <c r="N1140" i="10"/>
  <c r="F1206" i="10"/>
  <c r="N1456" i="10"/>
  <c r="F1478" i="10"/>
  <c r="N1616" i="10"/>
  <c r="F1638" i="10"/>
  <c r="N1478" i="10"/>
  <c r="F1999" i="10"/>
  <c r="F1500" i="10"/>
  <c r="N1638" i="10"/>
  <c r="N2022" i="10"/>
  <c r="F1456" i="10"/>
  <c r="F1616" i="10"/>
  <c r="N237" i="10"/>
  <c r="N260" i="10"/>
  <c r="N644" i="10"/>
  <c r="F666" i="10"/>
  <c r="N734" i="10"/>
  <c r="F622" i="10"/>
  <c r="F688" i="10"/>
  <c r="F1140" i="10"/>
  <c r="N1206" i="10"/>
  <c r="N622" i="10"/>
  <c r="N666" i="10"/>
  <c r="N688" i="10"/>
  <c r="F1162" i="10"/>
  <c r="N1184" i="10"/>
  <c r="F1184" i="10"/>
  <c r="N1162" i="10"/>
  <c r="F644" i="10"/>
  <c r="N212" i="10"/>
  <c r="I1205" i="10"/>
  <c r="Q1139" i="10"/>
  <c r="Q1455" i="10"/>
  <c r="Q1615" i="10"/>
  <c r="I1637" i="10"/>
  <c r="I1998" i="10"/>
  <c r="Q2021" i="10"/>
  <c r="I1455" i="10"/>
  <c r="Q1637" i="10"/>
  <c r="I1477" i="10"/>
  <c r="I1499" i="10"/>
  <c r="Q1477" i="10"/>
  <c r="I1615" i="10"/>
  <c r="Q236" i="10"/>
  <c r="Q621" i="10"/>
  <c r="I1161" i="10"/>
  <c r="Q1183" i="10"/>
  <c r="Q665" i="10"/>
  <c r="I1183" i="10"/>
  <c r="Q259" i="10"/>
  <c r="Q1205" i="10"/>
  <c r="I643" i="10"/>
  <c r="I687" i="10"/>
  <c r="Q643" i="10"/>
  <c r="Q1161" i="10"/>
  <c r="Q687" i="10"/>
  <c r="I665" i="10"/>
  <c r="I621" i="10"/>
  <c r="Q211" i="10"/>
  <c r="E1205" i="10"/>
  <c r="M1139" i="10"/>
  <c r="M1455" i="10"/>
  <c r="E1998" i="10"/>
  <c r="M1637" i="10"/>
  <c r="E1477" i="10"/>
  <c r="E1499" i="10"/>
  <c r="M2021" i="10"/>
  <c r="M1477" i="10"/>
  <c r="E1637" i="10"/>
  <c r="M1615" i="10"/>
  <c r="E1455" i="10"/>
  <c r="E1615" i="10"/>
  <c r="M259" i="10"/>
  <c r="M665" i="10"/>
  <c r="M1183" i="10"/>
  <c r="M236" i="10"/>
  <c r="M621" i="10"/>
  <c r="E687" i="10"/>
  <c r="E1183" i="10"/>
  <c r="E1161" i="10"/>
  <c r="M1205" i="10"/>
  <c r="E643" i="10"/>
  <c r="M643" i="10"/>
  <c r="E665" i="10"/>
  <c r="M1161" i="10"/>
  <c r="E621" i="10"/>
  <c r="M687" i="10"/>
  <c r="M211" i="10"/>
  <c r="P1454" i="10"/>
  <c r="P1138" i="10"/>
  <c r="H1204" i="10"/>
  <c r="H1476" i="10"/>
  <c r="P1636" i="10"/>
  <c r="H1636" i="10"/>
  <c r="H1997" i="10"/>
  <c r="P1614" i="10"/>
  <c r="H1454" i="10"/>
  <c r="P2020" i="10"/>
  <c r="H1498" i="10"/>
  <c r="H1614" i="10"/>
  <c r="P1476" i="10"/>
  <c r="P235" i="10"/>
  <c r="P258" i="10"/>
  <c r="P620" i="10"/>
  <c r="H664" i="10"/>
  <c r="P664" i="10"/>
  <c r="P732" i="10"/>
  <c r="H620" i="10"/>
  <c r="P642" i="10"/>
  <c r="P1204" i="10"/>
  <c r="H686" i="10"/>
  <c r="H1138" i="10"/>
  <c r="H1160" i="10"/>
  <c r="P1160" i="10"/>
  <c r="P686" i="10"/>
  <c r="P1182" i="10"/>
  <c r="H642" i="10"/>
  <c r="H1182" i="10"/>
  <c r="P210" i="10"/>
  <c r="D1204" i="10"/>
  <c r="L1454" i="10"/>
  <c r="L1138" i="10"/>
  <c r="L1614" i="10"/>
  <c r="D1636" i="10"/>
  <c r="D1476" i="10"/>
  <c r="L1476" i="10"/>
  <c r="D1997" i="10"/>
  <c r="D1498" i="10"/>
  <c r="L2020" i="10"/>
  <c r="L1636" i="10"/>
  <c r="D1454" i="10"/>
  <c r="D1614" i="10"/>
  <c r="D664" i="10"/>
  <c r="L235" i="10"/>
  <c r="L258" i="10"/>
  <c r="L1204" i="10"/>
  <c r="D686" i="10"/>
  <c r="D1138" i="10"/>
  <c r="L664" i="10"/>
  <c r="D620" i="10"/>
  <c r="L642" i="10"/>
  <c r="L620" i="10"/>
  <c r="L732" i="10"/>
  <c r="D642" i="10"/>
  <c r="D1160" i="10"/>
  <c r="L686" i="10"/>
  <c r="L1182" i="10"/>
  <c r="D1182" i="10"/>
  <c r="L1160" i="10"/>
  <c r="L210" i="10"/>
  <c r="O1453" i="10"/>
  <c r="G1203" i="10"/>
  <c r="O1137" i="10"/>
  <c r="O1635" i="10"/>
  <c r="G1996" i="10"/>
  <c r="O1613" i="10"/>
  <c r="O1475" i="10"/>
  <c r="G1475" i="10"/>
  <c r="G1635" i="10"/>
  <c r="O2019" i="10"/>
  <c r="G1497" i="10"/>
  <c r="G1453" i="10"/>
  <c r="G1613" i="10"/>
  <c r="O663" i="10"/>
  <c r="O234" i="10"/>
  <c r="G1159" i="10"/>
  <c r="O1181" i="10"/>
  <c r="O1203" i="10"/>
  <c r="O641" i="10"/>
  <c r="O257" i="10"/>
  <c r="G685" i="10"/>
  <c r="O1159" i="10"/>
  <c r="O619" i="10"/>
  <c r="O685" i="10"/>
  <c r="O209" i="10"/>
  <c r="R1136" i="10"/>
  <c r="J1202" i="10"/>
  <c r="R2018" i="10"/>
  <c r="J1496" i="10"/>
  <c r="J1474" i="10"/>
  <c r="R1474" i="10"/>
  <c r="R1452" i="10"/>
  <c r="R1634" i="10"/>
  <c r="J1634" i="10"/>
  <c r="J1995" i="10"/>
  <c r="J1612" i="10"/>
  <c r="J1452" i="10"/>
  <c r="R1612" i="10"/>
  <c r="R662" i="10"/>
  <c r="J684" i="10"/>
  <c r="R256" i="10"/>
  <c r="R618" i="10"/>
  <c r="J618" i="10"/>
  <c r="J640" i="10"/>
  <c r="J324" i="10"/>
  <c r="J1136" i="10"/>
  <c r="J1158" i="10"/>
  <c r="J1180" i="10"/>
  <c r="R640" i="10"/>
  <c r="R684" i="10"/>
  <c r="R1158" i="10"/>
  <c r="R1180" i="10"/>
  <c r="R1202" i="10"/>
  <c r="R233" i="10"/>
  <c r="R208" i="10"/>
  <c r="F324" i="10"/>
  <c r="F1202" i="10"/>
  <c r="N1136" i="10"/>
  <c r="N1452" i="10"/>
  <c r="N2018" i="10"/>
  <c r="F1995" i="10"/>
  <c r="N1474" i="10"/>
  <c r="F1634" i="10"/>
  <c r="F1612" i="10"/>
  <c r="N1612" i="10"/>
  <c r="N1634" i="10"/>
  <c r="F1452" i="10"/>
  <c r="F1496" i="10"/>
  <c r="F1474" i="10"/>
  <c r="N233" i="10"/>
  <c r="N256" i="10"/>
  <c r="N640" i="10"/>
  <c r="N618" i="10"/>
  <c r="F618" i="10"/>
  <c r="N1202" i="10"/>
  <c r="F662" i="10"/>
  <c r="F684" i="10"/>
  <c r="N662" i="10"/>
  <c r="N684" i="10"/>
  <c r="N1180" i="10"/>
  <c r="F1180" i="10"/>
  <c r="F1136" i="10"/>
  <c r="F1158" i="10"/>
  <c r="N1158" i="10"/>
  <c r="F640" i="10"/>
  <c r="N208" i="10"/>
  <c r="Q1451" i="10"/>
  <c r="Q1135" i="10"/>
  <c r="I323" i="10"/>
  <c r="I1135" i="10"/>
  <c r="Q729" i="10"/>
  <c r="I1201" i="10"/>
  <c r="I617" i="10"/>
  <c r="Q1633" i="10"/>
  <c r="I1451" i="10"/>
  <c r="I1633" i="10"/>
  <c r="I1994" i="10"/>
  <c r="Q1473" i="10"/>
  <c r="Q2017" i="10"/>
  <c r="I1611" i="10"/>
  <c r="Q1611" i="10"/>
  <c r="I1473" i="10"/>
  <c r="I1495" i="10"/>
  <c r="Q255" i="10"/>
  <c r="Q1201" i="10"/>
  <c r="Q232" i="10"/>
  <c r="Q661" i="10"/>
  <c r="I683" i="10"/>
  <c r="I661" i="10"/>
  <c r="I1157" i="10"/>
  <c r="Q1179" i="10"/>
  <c r="I1179" i="10"/>
  <c r="Q639" i="10"/>
  <c r="Q1157" i="10"/>
  <c r="Q617" i="10"/>
  <c r="Q683" i="10"/>
  <c r="Q207" i="10"/>
  <c r="E617" i="10"/>
  <c r="E323" i="10"/>
  <c r="M729" i="10"/>
  <c r="E1135" i="10"/>
  <c r="M1451" i="10"/>
  <c r="E1201" i="10"/>
  <c r="M1135" i="10"/>
  <c r="E1994" i="10"/>
  <c r="M1633" i="10"/>
  <c r="E1611" i="10"/>
  <c r="M1611" i="10"/>
  <c r="M1473" i="10"/>
  <c r="M2017" i="10"/>
  <c r="E1633" i="10"/>
  <c r="E1495" i="10"/>
  <c r="E1473" i="10"/>
  <c r="E1451" i="10"/>
  <c r="M661" i="10"/>
  <c r="E1179" i="10"/>
  <c r="M1201" i="10"/>
  <c r="E1157" i="10"/>
  <c r="E661" i="10"/>
  <c r="M255" i="10"/>
  <c r="M232" i="10"/>
  <c r="M1179" i="10"/>
  <c r="E683" i="10"/>
  <c r="M639" i="10"/>
  <c r="M1157" i="10"/>
  <c r="M617" i="10"/>
  <c r="M683" i="10"/>
  <c r="M207" i="10"/>
  <c r="H1200" i="10"/>
  <c r="P1134" i="10"/>
  <c r="P1450" i="10"/>
  <c r="H1993" i="10"/>
  <c r="H1472" i="10"/>
  <c r="H1632" i="10"/>
  <c r="H1450" i="10"/>
  <c r="H1494" i="10"/>
  <c r="H1610" i="10"/>
  <c r="P1610" i="10"/>
  <c r="P1632" i="10"/>
  <c r="P1472" i="10"/>
  <c r="P2016" i="10"/>
  <c r="P660" i="10"/>
  <c r="P638" i="10"/>
  <c r="H682" i="10"/>
  <c r="P231" i="10"/>
  <c r="P1200" i="10"/>
  <c r="P254" i="10"/>
  <c r="P616" i="10"/>
  <c r="H1178" i="10"/>
  <c r="P1178" i="10"/>
  <c r="P682" i="10"/>
  <c r="P1156" i="10"/>
  <c r="P206" i="10"/>
  <c r="L1134" i="10"/>
  <c r="L1450" i="10"/>
  <c r="D1200" i="10"/>
  <c r="L2016" i="10"/>
  <c r="D1993" i="10"/>
  <c r="L1632" i="10"/>
  <c r="L1472" i="10"/>
  <c r="L1610" i="10"/>
  <c r="D1610" i="10"/>
  <c r="D1632" i="10"/>
  <c r="D1450" i="10"/>
  <c r="D1472" i="10"/>
  <c r="D1494" i="10"/>
  <c r="L1200" i="10"/>
  <c r="L254" i="10"/>
  <c r="L616" i="10"/>
  <c r="L660" i="10"/>
  <c r="L638" i="10"/>
  <c r="L231" i="10"/>
  <c r="D682" i="10"/>
  <c r="L1178" i="10"/>
  <c r="D1178" i="10"/>
  <c r="L1156" i="10"/>
  <c r="L682" i="10"/>
  <c r="L206" i="10"/>
  <c r="O1449" i="10"/>
  <c r="O1133" i="10"/>
  <c r="G1199" i="10"/>
  <c r="O1631" i="10"/>
  <c r="O2015" i="10"/>
  <c r="G1631" i="10"/>
  <c r="G1449" i="10"/>
  <c r="G1471" i="10"/>
  <c r="G1992" i="10"/>
  <c r="O1471" i="10"/>
  <c r="G1493" i="10"/>
  <c r="G1609" i="10"/>
  <c r="O1609" i="10"/>
  <c r="O659" i="10"/>
  <c r="O1177" i="10"/>
  <c r="O1199" i="10"/>
  <c r="O253" i="10"/>
  <c r="G681" i="10"/>
  <c r="O230" i="10"/>
  <c r="O637" i="10"/>
  <c r="G1155" i="10"/>
  <c r="G637" i="10"/>
  <c r="O615" i="10"/>
  <c r="O1155" i="10"/>
  <c r="O681" i="10"/>
  <c r="O205" i="10"/>
  <c r="R1132" i="10"/>
  <c r="J1198" i="10"/>
  <c r="J1630" i="10"/>
  <c r="J1991" i="10"/>
  <c r="J1492" i="10"/>
  <c r="R1448" i="10"/>
  <c r="J1470" i="10"/>
  <c r="R1470" i="10"/>
  <c r="R1630" i="10"/>
  <c r="J1448" i="10"/>
  <c r="R658" i="10"/>
  <c r="R252" i="10"/>
  <c r="J636" i="10"/>
  <c r="J680" i="10"/>
  <c r="J1154" i="10"/>
  <c r="R1154" i="10"/>
  <c r="R1176" i="10"/>
  <c r="R1198" i="10"/>
  <c r="R614" i="10"/>
  <c r="R636" i="10"/>
  <c r="R680" i="10"/>
  <c r="R229" i="10"/>
  <c r="R204" i="10"/>
  <c r="G1196" i="10"/>
  <c r="O1446" i="10"/>
  <c r="G1446" i="10"/>
  <c r="O1628" i="10"/>
  <c r="G1606" i="10"/>
  <c r="O2012" i="10"/>
  <c r="G1989" i="10"/>
  <c r="O1606" i="10"/>
  <c r="O1468" i="10"/>
  <c r="G1628" i="10"/>
  <c r="G1468" i="10"/>
  <c r="O724" i="10"/>
  <c r="G656" i="10"/>
  <c r="O227" i="10"/>
  <c r="O678" i="10"/>
  <c r="O656" i="10"/>
  <c r="O250" i="10"/>
  <c r="O634" i="10"/>
  <c r="O612" i="10"/>
  <c r="O1152" i="10"/>
  <c r="O1174" i="10"/>
  <c r="G1174" i="10"/>
  <c r="O1130" i="10"/>
  <c r="O1196" i="10"/>
  <c r="O202" i="10"/>
  <c r="J1195" i="10"/>
  <c r="J1605" i="10"/>
  <c r="R1445" i="10"/>
  <c r="R2011" i="10"/>
  <c r="R1605" i="10"/>
  <c r="J1627" i="10"/>
  <c r="R1627" i="10"/>
  <c r="J1445" i="10"/>
  <c r="R1467" i="10"/>
  <c r="J1988" i="10"/>
  <c r="J1467" i="10"/>
  <c r="R611" i="10"/>
  <c r="R633" i="10"/>
  <c r="R655" i="10"/>
  <c r="J633" i="10"/>
  <c r="J611" i="10"/>
  <c r="J655" i="10"/>
  <c r="R677" i="10"/>
  <c r="R201" i="10"/>
  <c r="R226" i="10"/>
  <c r="F1195" i="10"/>
  <c r="N1445" i="10"/>
  <c r="N1627" i="10"/>
  <c r="N2011" i="10"/>
  <c r="N1467" i="10"/>
  <c r="N1605" i="10"/>
  <c r="F1445" i="10"/>
  <c r="F1605" i="10"/>
  <c r="F1627" i="10"/>
  <c r="F1467" i="10"/>
  <c r="F1988" i="10"/>
  <c r="N226" i="10"/>
  <c r="F317" i="10"/>
  <c r="F611" i="10"/>
  <c r="N611" i="10"/>
  <c r="F655" i="10"/>
  <c r="N655" i="10"/>
  <c r="N723" i="10"/>
  <c r="F633" i="10"/>
  <c r="F1173" i="10"/>
  <c r="N1173" i="10"/>
  <c r="N249" i="10"/>
  <c r="N677" i="10"/>
  <c r="N633" i="10"/>
  <c r="F1129" i="10"/>
  <c r="N1195" i="10"/>
  <c r="F1151" i="10"/>
  <c r="N1129" i="10"/>
  <c r="N1151" i="10"/>
  <c r="N201" i="10"/>
  <c r="I1194" i="10"/>
  <c r="Q1444" i="10"/>
  <c r="Q1626" i="10"/>
  <c r="I1444" i="10"/>
  <c r="Q2010" i="10"/>
  <c r="I1466" i="10"/>
  <c r="Q1604" i="10"/>
  <c r="Q1466" i="10"/>
  <c r="I1604" i="10"/>
  <c r="I1626" i="10"/>
  <c r="I1987" i="10"/>
  <c r="Q248" i="10"/>
  <c r="Q632" i="10"/>
  <c r="I610" i="10"/>
  <c r="Q610" i="10"/>
  <c r="I654" i="10"/>
  <c r="Q225" i="10"/>
  <c r="Q676" i="10"/>
  <c r="Q654" i="10"/>
  <c r="I1128" i="10"/>
  <c r="I1172" i="10"/>
  <c r="I632" i="10"/>
  <c r="Q1172" i="10"/>
  <c r="I1150" i="10"/>
  <c r="Q1194" i="10"/>
  <c r="Q1128" i="10"/>
  <c r="Q1150" i="10"/>
  <c r="Q200" i="10"/>
  <c r="E1194" i="10"/>
  <c r="M1444" i="10"/>
  <c r="M1626" i="10"/>
  <c r="E1444" i="10"/>
  <c r="M1604" i="10"/>
  <c r="E1987" i="10"/>
  <c r="M1466" i="10"/>
  <c r="E1604" i="10"/>
  <c r="E1626" i="10"/>
  <c r="E1466" i="10"/>
  <c r="M2010" i="10"/>
  <c r="M632" i="10"/>
  <c r="E610" i="10"/>
  <c r="M610" i="10"/>
  <c r="E654" i="10"/>
  <c r="M248" i="10"/>
  <c r="M225" i="10"/>
  <c r="M676" i="10"/>
  <c r="M654" i="10"/>
  <c r="M1128" i="10"/>
  <c r="E1172" i="10"/>
  <c r="E632" i="10"/>
  <c r="M1150" i="10"/>
  <c r="M1172" i="10"/>
  <c r="E1150" i="10"/>
  <c r="E1128" i="10"/>
  <c r="M1194" i="10"/>
  <c r="M200" i="10"/>
  <c r="H1193" i="10"/>
  <c r="P1443" i="10"/>
  <c r="P2009" i="10"/>
  <c r="P1625" i="10"/>
  <c r="H1443" i="10"/>
  <c r="H1603" i="10"/>
  <c r="H1986" i="10"/>
  <c r="P1465" i="10"/>
  <c r="P1603" i="10"/>
  <c r="H1465" i="10"/>
  <c r="H1625" i="10"/>
  <c r="P224" i="10"/>
  <c r="P675" i="10"/>
  <c r="P631" i="10"/>
  <c r="P721" i="10"/>
  <c r="H1171" i="10"/>
  <c r="P1171" i="10"/>
  <c r="P247" i="10"/>
  <c r="H609" i="10"/>
  <c r="P609" i="10"/>
  <c r="H653" i="10"/>
  <c r="P653" i="10"/>
  <c r="H631" i="10"/>
  <c r="H1127" i="10"/>
  <c r="P1193" i="10"/>
  <c r="H1149" i="10"/>
  <c r="P1127" i="10"/>
  <c r="P1149" i="10"/>
  <c r="P199" i="10"/>
  <c r="L1443" i="10"/>
  <c r="D1193" i="10"/>
  <c r="L1625" i="10"/>
  <c r="L1603" i="10"/>
  <c r="L2009" i="10"/>
  <c r="L1465" i="10"/>
  <c r="D1443" i="10"/>
  <c r="D1465" i="10"/>
  <c r="D1625" i="10"/>
  <c r="D1603" i="10"/>
  <c r="D1986" i="10"/>
  <c r="L247" i="10"/>
  <c r="L631" i="10"/>
  <c r="L224" i="10"/>
  <c r="D609" i="10"/>
  <c r="L675" i="10"/>
  <c r="L609" i="10"/>
  <c r="D653" i="10"/>
  <c r="D631" i="10"/>
  <c r="L653" i="10"/>
  <c r="D1171" i="10"/>
  <c r="L1171" i="10"/>
  <c r="L1193" i="10"/>
  <c r="L1127" i="10"/>
  <c r="L1149" i="10"/>
  <c r="D1149" i="10"/>
  <c r="L721" i="10"/>
  <c r="D1127" i="10"/>
  <c r="L199" i="10"/>
  <c r="O1442" i="10"/>
  <c r="G1192" i="10"/>
  <c r="O1624" i="10"/>
  <c r="G1442" i="10"/>
  <c r="G1985" i="10"/>
  <c r="O1602" i="10"/>
  <c r="O2008" i="10"/>
  <c r="O1464" i="10"/>
  <c r="G1602" i="10"/>
  <c r="G1464" i="10"/>
  <c r="G1624" i="10"/>
  <c r="O608" i="10"/>
  <c r="O720" i="10"/>
  <c r="G608" i="10"/>
  <c r="G652" i="10"/>
  <c r="O223" i="10"/>
  <c r="O246" i="10"/>
  <c r="G1148" i="10"/>
  <c r="O674" i="10"/>
  <c r="O652" i="10"/>
  <c r="O630" i="10"/>
  <c r="O1126" i="10"/>
  <c r="O1148" i="10"/>
  <c r="G630" i="10"/>
  <c r="O1170" i="10"/>
  <c r="G1126" i="10"/>
  <c r="O1192" i="10"/>
  <c r="G1170" i="10"/>
  <c r="O198" i="10"/>
  <c r="J1191" i="10"/>
  <c r="J1441" i="10"/>
  <c r="R2007" i="10"/>
  <c r="J1601" i="10"/>
  <c r="R1463" i="10"/>
  <c r="R1441" i="10"/>
  <c r="J1463" i="10"/>
  <c r="R1601" i="10"/>
  <c r="J1623" i="10"/>
  <c r="R1623" i="10"/>
  <c r="J1984" i="10"/>
  <c r="J607" i="10"/>
  <c r="R673" i="10"/>
  <c r="R651" i="10"/>
  <c r="R1147" i="10"/>
  <c r="J1125" i="10"/>
  <c r="R245" i="10"/>
  <c r="R629" i="10"/>
  <c r="R1169" i="10"/>
  <c r="R1191" i="10"/>
  <c r="R1125" i="10"/>
  <c r="R607" i="10"/>
  <c r="R197" i="10"/>
  <c r="R222" i="10"/>
  <c r="F1191" i="10"/>
  <c r="N1441" i="10"/>
  <c r="N2007" i="10"/>
  <c r="N1463" i="10"/>
  <c r="F1984" i="10"/>
  <c r="N1623" i="10"/>
  <c r="F1601" i="10"/>
  <c r="F1441" i="10"/>
  <c r="F1463" i="10"/>
  <c r="N1601" i="10"/>
  <c r="F1623" i="10"/>
  <c r="N245" i="10"/>
  <c r="N1169" i="10"/>
  <c r="N222" i="10"/>
  <c r="F607" i="10"/>
  <c r="N607" i="10"/>
  <c r="N651" i="10"/>
  <c r="N673" i="10"/>
  <c r="N629" i="10"/>
  <c r="F1125" i="10"/>
  <c r="N1125" i="10"/>
  <c r="N1147" i="10"/>
  <c r="N1191" i="10"/>
  <c r="N197" i="10"/>
  <c r="I1190" i="10"/>
  <c r="Q1440" i="10"/>
  <c r="Q1462" i="10"/>
  <c r="Q2006" i="10"/>
  <c r="I1600" i="10"/>
  <c r="Q1622" i="10"/>
  <c r="I1440" i="10"/>
  <c r="I1462" i="10"/>
  <c r="Q1600" i="10"/>
  <c r="I1622" i="10"/>
  <c r="Q628" i="10"/>
  <c r="I606" i="10"/>
  <c r="I650" i="10"/>
  <c r="Q221" i="10"/>
  <c r="Q244" i="10"/>
  <c r="Q606" i="10"/>
  <c r="Q672" i="10"/>
  <c r="I1146" i="10"/>
  <c r="Q650" i="10"/>
  <c r="Q1190" i="10"/>
  <c r="Q1124" i="10"/>
  <c r="Q1146" i="10"/>
  <c r="I628" i="10"/>
  <c r="I1168" i="10"/>
  <c r="I1124" i="10"/>
  <c r="Q1168" i="10"/>
  <c r="Q196" i="10"/>
  <c r="E1190" i="10"/>
  <c r="M1440" i="10"/>
  <c r="M2006" i="10"/>
  <c r="M1622" i="10"/>
  <c r="E1600" i="10"/>
  <c r="M1462" i="10"/>
  <c r="E1440" i="10"/>
  <c r="E1462" i="10"/>
  <c r="M1600" i="10"/>
  <c r="E1622" i="10"/>
  <c r="M628" i="10"/>
  <c r="E606" i="10"/>
  <c r="E650" i="10"/>
  <c r="E1124" i="10"/>
  <c r="M606" i="10"/>
  <c r="M672" i="10"/>
  <c r="M221" i="10"/>
  <c r="M244" i="10"/>
  <c r="E1146" i="10"/>
  <c r="M650" i="10"/>
  <c r="M1190" i="10"/>
  <c r="E628" i="10"/>
  <c r="M1124" i="10"/>
  <c r="E1168" i="10"/>
  <c r="M1146" i="10"/>
  <c r="M1168" i="10"/>
  <c r="M196" i="10"/>
  <c r="C1012" i="10"/>
  <c r="C1793" i="10"/>
  <c r="G1026" i="10"/>
  <c r="O1830" i="10"/>
  <c r="O960" i="10"/>
  <c r="G2022" i="10"/>
  <c r="G1807" i="10"/>
  <c r="O1807" i="10"/>
  <c r="O1999" i="10"/>
  <c r="G1830" i="10"/>
  <c r="O1004" i="10"/>
  <c r="G982" i="10"/>
  <c r="O982" i="10"/>
  <c r="G960" i="10"/>
  <c r="G1004" i="10"/>
  <c r="O1026" i="10"/>
  <c r="Q959" i="10"/>
  <c r="I1025" i="10"/>
  <c r="Q1829" i="10"/>
  <c r="I2021" i="10"/>
  <c r="Q1998" i="10"/>
  <c r="I1829" i="10"/>
  <c r="I1806" i="10"/>
  <c r="Q1806" i="10"/>
  <c r="I1003" i="10"/>
  <c r="I981" i="10"/>
  <c r="Q1025" i="10"/>
  <c r="Q1003" i="10"/>
  <c r="Q981" i="10"/>
  <c r="M959" i="10"/>
  <c r="E1025" i="10"/>
  <c r="M1829" i="10"/>
  <c r="E2021" i="10"/>
  <c r="M1998" i="10"/>
  <c r="E1829" i="10"/>
  <c r="E1806" i="10"/>
  <c r="M1806" i="10"/>
  <c r="M1025" i="10"/>
  <c r="E981" i="10"/>
  <c r="M1003" i="10"/>
  <c r="E1003" i="10"/>
  <c r="M981" i="10"/>
  <c r="O958" i="10"/>
  <c r="O1828" i="10"/>
  <c r="G1024" i="10"/>
  <c r="G1828" i="10"/>
  <c r="O1805" i="10"/>
  <c r="O1997" i="10"/>
  <c r="G2020" i="10"/>
  <c r="G1805" i="10"/>
  <c r="G1002" i="10"/>
  <c r="O1024" i="10"/>
  <c r="G958" i="10"/>
  <c r="O1002" i="10"/>
  <c r="G980" i="10"/>
  <c r="O980" i="10"/>
  <c r="I1023" i="10"/>
  <c r="Q957" i="10"/>
  <c r="Q1827" i="10"/>
  <c r="I2019" i="10"/>
  <c r="I1804" i="10"/>
  <c r="I1827" i="10"/>
  <c r="Q1804" i="10"/>
  <c r="Q1996" i="10"/>
  <c r="Q979" i="10"/>
  <c r="I979" i="10"/>
  <c r="Q1023" i="10"/>
  <c r="Q1001" i="10"/>
  <c r="E1023" i="10"/>
  <c r="M1827" i="10"/>
  <c r="M957" i="10"/>
  <c r="E1804" i="10"/>
  <c r="E2019" i="10"/>
  <c r="E1827" i="10"/>
  <c r="M1804" i="10"/>
  <c r="M1996" i="10"/>
  <c r="M979" i="10"/>
  <c r="E979" i="10"/>
  <c r="M1023" i="10"/>
  <c r="M1001" i="10"/>
  <c r="O956" i="10"/>
  <c r="G1022" i="10"/>
  <c r="O1826" i="10"/>
  <c r="G1803" i="10"/>
  <c r="O1995" i="10"/>
  <c r="G1826" i="10"/>
  <c r="O1803" i="10"/>
  <c r="G2018" i="10"/>
  <c r="O978" i="10"/>
  <c r="O1022" i="10"/>
  <c r="G956" i="10"/>
  <c r="G978" i="10"/>
  <c r="O1000" i="10"/>
  <c r="G1000" i="10"/>
  <c r="I955" i="10"/>
  <c r="I1021" i="10"/>
  <c r="Q1825" i="10"/>
  <c r="Q955" i="10"/>
  <c r="I1802" i="10"/>
  <c r="I1825" i="10"/>
  <c r="I2017" i="10"/>
  <c r="Q1994" i="10"/>
  <c r="Q1802" i="10"/>
  <c r="I977" i="10"/>
  <c r="Q1021" i="10"/>
  <c r="Q999" i="10"/>
  <c r="I999" i="10"/>
  <c r="Q977" i="10"/>
  <c r="E955" i="10"/>
  <c r="M1825" i="10"/>
  <c r="M955" i="10"/>
  <c r="E1021" i="10"/>
  <c r="M1802" i="10"/>
  <c r="E1802" i="10"/>
  <c r="E2017" i="10"/>
  <c r="E1825" i="10"/>
  <c r="M1994" i="10"/>
  <c r="E977" i="10"/>
  <c r="M999" i="10"/>
  <c r="E999" i="10"/>
  <c r="M1021" i="10"/>
  <c r="M977" i="10"/>
  <c r="O1824" i="10"/>
  <c r="O954" i="10"/>
  <c r="G1020" i="10"/>
  <c r="G2016" i="10"/>
  <c r="O1993" i="10"/>
  <c r="O1801" i="10"/>
  <c r="G1801" i="10"/>
  <c r="G1824" i="10"/>
  <c r="G998" i="10"/>
  <c r="O1020" i="10"/>
  <c r="O976" i="10"/>
  <c r="O998" i="10"/>
  <c r="I1019" i="10"/>
  <c r="Q1823" i="10"/>
  <c r="Q953" i="10"/>
  <c r="Q1800" i="10"/>
  <c r="I1823" i="10"/>
  <c r="Q1992" i="10"/>
  <c r="I2015" i="10"/>
  <c r="I1800" i="10"/>
  <c r="Q975" i="10"/>
  <c r="I975" i="10"/>
  <c r="Q1019" i="10"/>
  <c r="Q997" i="10"/>
  <c r="E1019" i="10"/>
  <c r="M1823" i="10"/>
  <c r="M953" i="10"/>
  <c r="M1800" i="10"/>
  <c r="E1823" i="10"/>
  <c r="E2015" i="10"/>
  <c r="M1992" i="10"/>
  <c r="E1800" i="10"/>
  <c r="M975" i="10"/>
  <c r="M997" i="10"/>
  <c r="E975" i="10"/>
  <c r="M1019" i="10"/>
  <c r="G1018" i="10"/>
  <c r="O1822" i="10"/>
  <c r="O952" i="10"/>
  <c r="O1799" i="10"/>
  <c r="O1991" i="10"/>
  <c r="G1799" i="10"/>
  <c r="G1822" i="10"/>
  <c r="G2014" i="10"/>
  <c r="O1018" i="10"/>
  <c r="O974" i="10"/>
  <c r="G974" i="10"/>
  <c r="O996" i="10"/>
  <c r="O1820" i="10"/>
  <c r="G1016" i="10"/>
  <c r="O1989" i="10"/>
  <c r="G1797" i="10"/>
  <c r="G1820" i="10"/>
  <c r="O1797" i="10"/>
  <c r="G2012" i="10"/>
  <c r="O972" i="10"/>
  <c r="O1016" i="10"/>
  <c r="G994" i="10"/>
  <c r="O994" i="10"/>
  <c r="O950" i="10"/>
  <c r="Q1819" i="10"/>
  <c r="I1015" i="10"/>
  <c r="Q1796" i="10"/>
  <c r="I2011" i="10"/>
  <c r="I1819" i="10"/>
  <c r="I1796" i="10"/>
  <c r="Q1988" i="10"/>
  <c r="Q971" i="10"/>
  <c r="Q949" i="10"/>
  <c r="Q1015" i="10"/>
  <c r="Q993" i="10"/>
  <c r="I993" i="10"/>
  <c r="I949" i="10"/>
  <c r="I971" i="10"/>
  <c r="M1819" i="10"/>
  <c r="E1015" i="10"/>
  <c r="M1988" i="10"/>
  <c r="E2011" i="10"/>
  <c r="M1796" i="10"/>
  <c r="E1796" i="10"/>
  <c r="E1819" i="10"/>
  <c r="M949" i="10"/>
  <c r="M971" i="10"/>
  <c r="E949" i="10"/>
  <c r="M993" i="10"/>
  <c r="E993" i="10"/>
  <c r="M1015" i="10"/>
  <c r="E971" i="10"/>
  <c r="G1014" i="10"/>
  <c r="O1818" i="10"/>
  <c r="G1818" i="10"/>
  <c r="G1795" i="10"/>
  <c r="O1987" i="10"/>
  <c r="O1795" i="10"/>
  <c r="G2010" i="10"/>
  <c r="G948" i="10"/>
  <c r="O1014" i="10"/>
  <c r="G992" i="10"/>
  <c r="O970" i="10"/>
  <c r="O948" i="10"/>
  <c r="O992" i="10"/>
  <c r="G970" i="10"/>
  <c r="Q1817" i="10"/>
  <c r="I1013" i="10"/>
  <c r="I1817" i="10"/>
  <c r="I1794" i="10"/>
  <c r="Q1986" i="10"/>
  <c r="I2009" i="10"/>
  <c r="Q1794" i="10"/>
  <c r="Q1013" i="10"/>
  <c r="I947" i="10"/>
  <c r="Q991" i="10"/>
  <c r="I991" i="10"/>
  <c r="I969" i="10"/>
  <c r="Q969" i="10"/>
  <c r="Q947" i="10"/>
  <c r="M1817" i="10"/>
  <c r="E1013" i="10"/>
  <c r="M1986" i="10"/>
  <c r="E1817" i="10"/>
  <c r="E1794" i="10"/>
  <c r="E2009" i="10"/>
  <c r="M1794" i="10"/>
  <c r="E991" i="10"/>
  <c r="M1013" i="10"/>
  <c r="M991" i="10"/>
  <c r="E947" i="10"/>
  <c r="E969" i="10"/>
  <c r="M969" i="10"/>
  <c r="M947" i="10"/>
  <c r="O1816" i="10"/>
  <c r="G1012" i="10"/>
  <c r="O1985" i="10"/>
  <c r="G2008" i="10"/>
  <c r="G1816" i="10"/>
  <c r="G1793" i="10"/>
  <c r="O1793" i="10"/>
  <c r="G968" i="10"/>
  <c r="O968" i="10"/>
  <c r="G990" i="10"/>
  <c r="O990" i="10"/>
  <c r="O946" i="10"/>
  <c r="G946" i="10"/>
  <c r="O1012" i="10"/>
  <c r="Q1815" i="10"/>
  <c r="I1011" i="10"/>
  <c r="I1815" i="10"/>
  <c r="I1792" i="10"/>
  <c r="Q1792" i="10"/>
  <c r="Q1984" i="10"/>
  <c r="I2007" i="10"/>
  <c r="Q945" i="10"/>
  <c r="Q967" i="10"/>
  <c r="I945" i="10"/>
  <c r="Q989" i="10"/>
  <c r="Q1011" i="10"/>
  <c r="M1815" i="10"/>
  <c r="E1011" i="10"/>
  <c r="E1792" i="10"/>
  <c r="E1815" i="10"/>
  <c r="M1792" i="10"/>
  <c r="M1984" i="10"/>
  <c r="E2007" i="10"/>
  <c r="M967" i="10"/>
  <c r="M945" i="10"/>
  <c r="E945" i="10"/>
  <c r="M1011" i="10"/>
  <c r="M989" i="10"/>
  <c r="J1024" i="10"/>
  <c r="R958" i="10"/>
  <c r="R1828" i="10"/>
  <c r="J1828" i="10"/>
  <c r="J2020" i="10"/>
  <c r="J1805" i="10"/>
  <c r="R1805" i="10"/>
  <c r="R1997" i="10"/>
  <c r="R980" i="10"/>
  <c r="J958" i="10"/>
  <c r="R1002" i="10"/>
  <c r="R1024" i="10"/>
  <c r="J980" i="10"/>
  <c r="J1002" i="10"/>
  <c r="J1020" i="10"/>
  <c r="R954" i="10"/>
  <c r="J2016" i="10"/>
  <c r="R1824" i="10"/>
  <c r="J1824" i="10"/>
  <c r="J1801" i="10"/>
  <c r="R1801" i="10"/>
  <c r="R1993" i="10"/>
  <c r="J998" i="10"/>
  <c r="R998" i="10"/>
  <c r="R976" i="10"/>
  <c r="R1020" i="10"/>
  <c r="J1016" i="10"/>
  <c r="J2012" i="10"/>
  <c r="R1820" i="10"/>
  <c r="R1797" i="10"/>
  <c r="J1820" i="10"/>
  <c r="J1797" i="10"/>
  <c r="R1989" i="10"/>
  <c r="R950" i="10"/>
  <c r="R1016" i="10"/>
  <c r="R994" i="10"/>
  <c r="R972" i="10"/>
  <c r="J994" i="10"/>
  <c r="J1012" i="10"/>
  <c r="R1816" i="10"/>
  <c r="J2008" i="10"/>
  <c r="J1793" i="10"/>
  <c r="R1793" i="10"/>
  <c r="J1816" i="10"/>
  <c r="R1985" i="10"/>
  <c r="R1012" i="10"/>
  <c r="R968" i="10"/>
  <c r="R990" i="10"/>
  <c r="R946" i="10"/>
  <c r="J946" i="10"/>
  <c r="J990" i="10"/>
  <c r="J968" i="10"/>
  <c r="I1010" i="10"/>
  <c r="Q1814" i="10"/>
  <c r="Q1983" i="10"/>
  <c r="I2006" i="10"/>
  <c r="Q1791" i="10"/>
  <c r="I1791" i="10"/>
  <c r="I1814" i="10"/>
  <c r="I966" i="10"/>
  <c r="I944" i="10"/>
  <c r="Q1010" i="10"/>
  <c r="I988" i="10"/>
  <c r="Q966" i="10"/>
  <c r="Q944" i="10"/>
  <c r="Q988" i="10"/>
  <c r="E1010" i="10"/>
  <c r="M1814" i="10"/>
  <c r="E2006" i="10"/>
  <c r="M1983" i="10"/>
  <c r="M1791" i="10"/>
  <c r="E1791" i="10"/>
  <c r="E1814" i="10"/>
  <c r="E966" i="10"/>
  <c r="E944" i="10"/>
  <c r="E988" i="10"/>
  <c r="M966" i="10"/>
  <c r="M988" i="10"/>
  <c r="M1010" i="10"/>
  <c r="M944" i="10"/>
  <c r="C1488" i="10"/>
  <c r="C676" i="10"/>
  <c r="C672" i="10"/>
  <c r="H1490" i="10"/>
  <c r="H678" i="10"/>
  <c r="D1490" i="10"/>
  <c r="D678" i="10"/>
  <c r="G1489" i="10"/>
  <c r="G677" i="10"/>
  <c r="J1488" i="10"/>
  <c r="J676" i="10"/>
  <c r="F1488" i="10"/>
  <c r="F676" i="10"/>
  <c r="I1487" i="10"/>
  <c r="I675" i="10"/>
  <c r="E1487" i="10"/>
  <c r="E675" i="10"/>
  <c r="H1486" i="10"/>
  <c r="H674" i="10"/>
  <c r="D1486" i="10"/>
  <c r="D674" i="10"/>
  <c r="G1485" i="10"/>
  <c r="G673" i="10"/>
  <c r="J1484" i="10"/>
  <c r="J672" i="10"/>
  <c r="F672" i="10"/>
  <c r="C1489" i="10"/>
  <c r="C677" i="10"/>
  <c r="C1487" i="10"/>
  <c r="C675" i="10"/>
  <c r="J328" i="10"/>
  <c r="G1490" i="10"/>
  <c r="G678" i="10"/>
  <c r="J1489" i="10"/>
  <c r="J677" i="10"/>
  <c r="J317" i="10"/>
  <c r="F1489" i="10"/>
  <c r="F677" i="10"/>
  <c r="I1488" i="10"/>
  <c r="I676" i="10"/>
  <c r="E1488" i="10"/>
  <c r="E676" i="10"/>
  <c r="H1487" i="10"/>
  <c r="H675" i="10"/>
  <c r="D1487" i="10"/>
  <c r="D675" i="10"/>
  <c r="G1486" i="10"/>
  <c r="G674" i="10"/>
  <c r="J1485" i="10"/>
  <c r="J673" i="10"/>
  <c r="F1485" i="10"/>
  <c r="F673" i="10"/>
  <c r="I672" i="10"/>
  <c r="E672" i="10"/>
  <c r="C1485" i="10"/>
  <c r="C673" i="10"/>
  <c r="C1490" i="10"/>
  <c r="C678" i="10"/>
  <c r="C1486" i="10"/>
  <c r="C674" i="10"/>
  <c r="J1490" i="10"/>
  <c r="J678" i="10"/>
  <c r="F1490" i="10"/>
  <c r="F678" i="10"/>
  <c r="I1489" i="10"/>
  <c r="I677" i="10"/>
  <c r="E1489" i="10"/>
  <c r="E677" i="10"/>
  <c r="H1488" i="10"/>
  <c r="H676" i="10"/>
  <c r="D1488" i="10"/>
  <c r="D676" i="10"/>
  <c r="G1487" i="10"/>
  <c r="G675" i="10"/>
  <c r="J1486" i="10"/>
  <c r="J674" i="10"/>
  <c r="J314" i="10"/>
  <c r="F1486" i="10"/>
  <c r="F674" i="10"/>
  <c r="I1485" i="10"/>
  <c r="I673" i="10"/>
  <c r="E1485" i="10"/>
  <c r="E673" i="10"/>
  <c r="H672" i="10"/>
  <c r="D672" i="10"/>
  <c r="J326" i="10"/>
  <c r="I1490" i="10"/>
  <c r="I678" i="10"/>
  <c r="E1490" i="10"/>
  <c r="E678" i="10"/>
  <c r="H1489" i="10"/>
  <c r="H677" i="10"/>
  <c r="D1489" i="10"/>
  <c r="D677" i="10"/>
  <c r="G1488" i="10"/>
  <c r="G676" i="10"/>
  <c r="J1487" i="10"/>
  <c r="J315" i="10"/>
  <c r="J675" i="10"/>
  <c r="F1487" i="10"/>
  <c r="F675" i="10"/>
  <c r="I1486" i="10"/>
  <c r="I674" i="10"/>
  <c r="E1486" i="10"/>
  <c r="E674" i="10"/>
  <c r="H1485" i="10"/>
  <c r="H673" i="10"/>
  <c r="D1485" i="10"/>
  <c r="D673" i="10"/>
  <c r="G672" i="10"/>
  <c r="D6" i="10"/>
  <c r="E6" i="10"/>
  <c r="F6" i="10"/>
  <c r="G6" i="10"/>
  <c r="H6" i="10"/>
  <c r="I6" i="10"/>
  <c r="J6" i="10"/>
  <c r="D7" i="10"/>
  <c r="L3434" i="10" s="1"/>
  <c r="E7" i="10"/>
  <c r="M3434" i="10" s="1"/>
  <c r="F7" i="10"/>
  <c r="N3434" i="10" s="1"/>
  <c r="G7" i="10"/>
  <c r="O3434" i="10" s="1"/>
  <c r="H7" i="10"/>
  <c r="P3434" i="10" s="1"/>
  <c r="I7" i="10"/>
  <c r="Q3434" i="10" s="1"/>
  <c r="J7" i="10"/>
  <c r="R3434" i="10" s="1"/>
  <c r="D8" i="10"/>
  <c r="L3437" i="10" s="1"/>
  <c r="E8" i="10"/>
  <c r="M3437" i="10" s="1"/>
  <c r="F8" i="10"/>
  <c r="N3437" i="10" s="1"/>
  <c r="G8" i="10"/>
  <c r="O3437" i="10" s="1"/>
  <c r="H8" i="10"/>
  <c r="P3437" i="10" s="1"/>
  <c r="I8" i="10"/>
  <c r="Q3437" i="10" s="1"/>
  <c r="J8" i="10"/>
  <c r="R3437" i="10" s="1"/>
  <c r="D9" i="10"/>
  <c r="L3442" i="10" s="1"/>
  <c r="E9" i="10"/>
  <c r="M3442" i="10" s="1"/>
  <c r="F9" i="10"/>
  <c r="N3442" i="10" s="1"/>
  <c r="G9" i="10"/>
  <c r="O3442" i="10" s="1"/>
  <c r="H9" i="10"/>
  <c r="P3442" i="10" s="1"/>
  <c r="I9" i="10"/>
  <c r="Q3442" i="10" s="1"/>
  <c r="J9" i="10"/>
  <c r="R3442" i="10" s="1"/>
  <c r="D10" i="10"/>
  <c r="L3446" i="10" s="1"/>
  <c r="E10" i="10"/>
  <c r="M3446" i="10" s="1"/>
  <c r="F10" i="10"/>
  <c r="N3446" i="10" s="1"/>
  <c r="G10" i="10"/>
  <c r="O3446" i="10" s="1"/>
  <c r="H10" i="10"/>
  <c r="P3446" i="10" s="1"/>
  <c r="I10" i="10"/>
  <c r="Q3446" i="10" s="1"/>
  <c r="J10" i="10"/>
  <c r="R3446" i="10" s="1"/>
  <c r="D11" i="10"/>
  <c r="E11" i="10"/>
  <c r="F11" i="10"/>
  <c r="G11" i="10"/>
  <c r="H11" i="10"/>
  <c r="I11" i="10"/>
  <c r="D16" i="10"/>
  <c r="E16" i="10"/>
  <c r="F16" i="10"/>
  <c r="G16" i="10"/>
  <c r="H16" i="10"/>
  <c r="I16" i="10"/>
  <c r="J16" i="10"/>
  <c r="D17" i="10"/>
  <c r="L3463" i="10" s="1"/>
  <c r="E17" i="10"/>
  <c r="M3463" i="10" s="1"/>
  <c r="F17" i="10"/>
  <c r="N3463" i="10" s="1"/>
  <c r="G17" i="10"/>
  <c r="O3463" i="10" s="1"/>
  <c r="H17" i="10"/>
  <c r="I17" i="10"/>
  <c r="Q3463" i="10" s="1"/>
  <c r="J17" i="10"/>
  <c r="D18" i="10"/>
  <c r="E18" i="10"/>
  <c r="F18" i="10"/>
  <c r="G18" i="10"/>
  <c r="H18" i="10"/>
  <c r="I18" i="10"/>
  <c r="J18" i="10"/>
  <c r="D20" i="10"/>
  <c r="D44" i="10" s="1"/>
  <c r="E20" i="10"/>
  <c r="E44" i="10" s="1"/>
  <c r="F20" i="10"/>
  <c r="F44" i="10" s="1"/>
  <c r="G20" i="10"/>
  <c r="G44" i="10" s="1"/>
  <c r="H20" i="10"/>
  <c r="H44" i="10" s="1"/>
  <c r="I20" i="10"/>
  <c r="I44" i="10" s="1"/>
  <c r="J20" i="10"/>
  <c r="J44" i="10" s="1"/>
  <c r="D21" i="10"/>
  <c r="E21" i="10"/>
  <c r="F21" i="10"/>
  <c r="G21" i="10"/>
  <c r="H21" i="10"/>
  <c r="I21" i="10"/>
  <c r="I45" i="10" s="1"/>
  <c r="J21" i="10"/>
  <c r="D23" i="10"/>
  <c r="L3483" i="10" s="1"/>
  <c r="E23" i="10"/>
  <c r="M3483" i="10" s="1"/>
  <c r="F23" i="10"/>
  <c r="N3483" i="10" s="1"/>
  <c r="G23" i="10"/>
  <c r="O3483" i="10" s="1"/>
  <c r="H23" i="10"/>
  <c r="I23" i="10"/>
  <c r="Q3483" i="10" s="1"/>
  <c r="J23" i="10"/>
  <c r="R3483" i="10" s="1"/>
  <c r="D24" i="10"/>
  <c r="E24" i="10"/>
  <c r="F24" i="10"/>
  <c r="G24" i="10"/>
  <c r="H24" i="10"/>
  <c r="I24" i="10"/>
  <c r="J24" i="10"/>
  <c r="C6" i="10"/>
  <c r="C7" i="10"/>
  <c r="K3434" i="10" s="1"/>
  <c r="C8" i="10"/>
  <c r="K3437" i="10" s="1"/>
  <c r="C9" i="10"/>
  <c r="K3442" i="10" s="1"/>
  <c r="C10" i="10"/>
  <c r="K3446" i="10" s="1"/>
  <c r="C11" i="10"/>
  <c r="C16" i="10"/>
  <c r="C17" i="10"/>
  <c r="K3463" i="10" s="1"/>
  <c r="C18" i="10"/>
  <c r="C20" i="10"/>
  <c r="C44" i="10" s="1"/>
  <c r="C21" i="10"/>
  <c r="C23" i="10"/>
  <c r="C24" i="10"/>
  <c r="C48" i="10" s="1"/>
  <c r="J680" i="19"/>
  <c r="J679" i="19" s="1"/>
  <c r="J2694" i="10" s="1"/>
  <c r="R2694" i="10" s="1"/>
  <c r="J8" i="19"/>
  <c r="I8" i="19"/>
  <c r="H8" i="19"/>
  <c r="G8" i="19"/>
  <c r="F8" i="19"/>
  <c r="E8" i="19"/>
  <c r="D8" i="19"/>
  <c r="C8" i="19"/>
  <c r="J457" i="18"/>
  <c r="J454" i="18"/>
  <c r="J434" i="18"/>
  <c r="I434" i="18"/>
  <c r="J410" i="18"/>
  <c r="I410" i="18"/>
  <c r="J394" i="18"/>
  <c r="I394" i="18"/>
  <c r="H394" i="18"/>
  <c r="G394" i="18"/>
  <c r="F394" i="18"/>
  <c r="E394" i="18"/>
  <c r="D394" i="18"/>
  <c r="C394" i="18"/>
  <c r="J388" i="18"/>
  <c r="I388" i="18"/>
  <c r="H388" i="18"/>
  <c r="H382" i="18" s="1"/>
  <c r="H2830" i="10" s="1"/>
  <c r="G388" i="18"/>
  <c r="F388" i="18"/>
  <c r="E388" i="18"/>
  <c r="D388" i="18"/>
  <c r="C388" i="18"/>
  <c r="C382" i="18" s="1"/>
  <c r="C2830" i="10" s="1"/>
  <c r="C229" i="18"/>
  <c r="C697" i="10" s="1"/>
  <c r="K719" i="10" s="1"/>
  <c r="J224" i="18"/>
  <c r="I224" i="18"/>
  <c r="H224" i="18"/>
  <c r="H787" i="10" s="1"/>
  <c r="G224" i="18"/>
  <c r="G787" i="10" s="1"/>
  <c r="F224" i="18"/>
  <c r="F787" i="10" s="1"/>
  <c r="E224" i="18"/>
  <c r="E787" i="10" s="1"/>
  <c r="D224" i="18"/>
  <c r="D787" i="10" s="1"/>
  <c r="C224" i="18"/>
  <c r="C787" i="10" s="1"/>
  <c r="C1147" i="10" s="1"/>
  <c r="J219" i="18"/>
  <c r="J809" i="10" s="1"/>
  <c r="J1169" i="10" s="1"/>
  <c r="I219" i="18"/>
  <c r="I809" i="10" s="1"/>
  <c r="H219" i="18"/>
  <c r="H809" i="10" s="1"/>
  <c r="H1169" i="10" s="1"/>
  <c r="G219" i="18"/>
  <c r="G809" i="10" s="1"/>
  <c r="F219" i="18"/>
  <c r="F809" i="10" s="1"/>
  <c r="F1169" i="10" s="1"/>
  <c r="E219" i="18"/>
  <c r="E809" i="10" s="1"/>
  <c r="D219" i="18"/>
  <c r="D809" i="10" s="1"/>
  <c r="C219" i="18"/>
  <c r="C809" i="10" s="1"/>
  <c r="C1169" i="10" s="1"/>
  <c r="J158" i="18"/>
  <c r="J359" i="10" s="1"/>
  <c r="I158" i="18"/>
  <c r="I359" i="10" s="1"/>
  <c r="H158" i="18"/>
  <c r="H359" i="10" s="1"/>
  <c r="G158" i="18"/>
  <c r="G359" i="10" s="1"/>
  <c r="G629" i="10" s="1"/>
  <c r="F158" i="18"/>
  <c r="F359" i="10" s="1"/>
  <c r="F629" i="10" s="1"/>
  <c r="E158" i="18"/>
  <c r="E359" i="10" s="1"/>
  <c r="D158" i="18"/>
  <c r="D359" i="10" s="1"/>
  <c r="C158" i="18"/>
  <c r="C359" i="10" s="1"/>
  <c r="J153" i="18"/>
  <c r="I153" i="18"/>
  <c r="H153" i="18"/>
  <c r="G153" i="18"/>
  <c r="F153" i="18"/>
  <c r="E153" i="18"/>
  <c r="D153" i="18"/>
  <c r="C153" i="18"/>
  <c r="J43" i="18"/>
  <c r="I43" i="18"/>
  <c r="H43" i="18"/>
  <c r="G43" i="18"/>
  <c r="G39" i="18" s="1"/>
  <c r="G126" i="10" s="1"/>
  <c r="F43" i="18"/>
  <c r="E43" i="18"/>
  <c r="D43" i="18"/>
  <c r="C43" i="18"/>
  <c r="J40" i="18"/>
  <c r="I40" i="18"/>
  <c r="I39" i="18" s="1"/>
  <c r="I126" i="10" s="1"/>
  <c r="H40" i="18"/>
  <c r="G40" i="18"/>
  <c r="F40" i="18"/>
  <c r="E40" i="18"/>
  <c r="D40" i="18"/>
  <c r="C40" i="18"/>
  <c r="E39" i="18" l="1"/>
  <c r="E126" i="10" s="1"/>
  <c r="D382" i="18"/>
  <c r="D2830" i="10" s="1"/>
  <c r="E382" i="18"/>
  <c r="E2830" i="10" s="1"/>
  <c r="F382" i="18"/>
  <c r="F2830" i="10" s="1"/>
  <c r="H39" i="18"/>
  <c r="H126" i="10" s="1"/>
  <c r="G382" i="18"/>
  <c r="G2830" i="10" s="1"/>
  <c r="I382" i="18"/>
  <c r="I2830" i="10" s="1"/>
  <c r="D39" i="18"/>
  <c r="D126" i="10" s="1"/>
  <c r="J39" i="18"/>
  <c r="J126" i="10" s="1"/>
  <c r="C39" i="18"/>
  <c r="C126" i="10" s="1"/>
  <c r="R2760" i="10"/>
  <c r="R3166" i="10"/>
  <c r="N2760" i="10"/>
  <c r="N3166" i="10"/>
  <c r="Q2760" i="10"/>
  <c r="Q3166" i="10"/>
  <c r="O2760" i="10"/>
  <c r="O3166" i="10"/>
  <c r="M2760" i="10"/>
  <c r="M3166" i="10"/>
  <c r="K2760" i="10"/>
  <c r="K3166" i="10"/>
  <c r="P2760" i="10"/>
  <c r="P3166" i="10"/>
  <c r="L2760" i="10"/>
  <c r="L3166" i="10"/>
  <c r="N3476" i="10"/>
  <c r="F45" i="10"/>
  <c r="M3476" i="10"/>
  <c r="E45" i="10"/>
  <c r="P3476" i="10"/>
  <c r="H45" i="10"/>
  <c r="L3476" i="10"/>
  <c r="D45" i="10"/>
  <c r="R3476" i="10"/>
  <c r="J45" i="10"/>
  <c r="K3483" i="10"/>
  <c r="C47" i="10"/>
  <c r="K3476" i="10"/>
  <c r="C45" i="10"/>
  <c r="O3476" i="10"/>
  <c r="G45" i="10"/>
  <c r="K3199" i="10"/>
  <c r="K3466" i="10"/>
  <c r="O3199" i="10"/>
  <c r="O3466" i="10"/>
  <c r="N3449" i="10"/>
  <c r="N3450" i="10"/>
  <c r="O3218" i="10"/>
  <c r="O3486" i="10"/>
  <c r="O3487" i="10"/>
  <c r="P3473" i="10"/>
  <c r="Q3441" i="10"/>
  <c r="Q3440" i="10"/>
  <c r="Q3443" i="10"/>
  <c r="M3443" i="10"/>
  <c r="M3440" i="10"/>
  <c r="M3441" i="10"/>
  <c r="N3431" i="10"/>
  <c r="N3430" i="10"/>
  <c r="Q3430" i="10"/>
  <c r="Q3431" i="10"/>
  <c r="Q3218" i="10"/>
  <c r="Q3486" i="10"/>
  <c r="Q3487" i="10"/>
  <c r="M3218" i="10"/>
  <c r="M3486" i="10"/>
  <c r="M3487" i="10"/>
  <c r="P3215" i="10"/>
  <c r="P3483" i="10"/>
  <c r="R3473" i="10"/>
  <c r="N3473" i="10"/>
  <c r="Q3199" i="10"/>
  <c r="Q3466" i="10"/>
  <c r="M3199" i="10"/>
  <c r="M3466" i="10"/>
  <c r="P3196" i="10"/>
  <c r="P3463" i="10"/>
  <c r="Q3450" i="10"/>
  <c r="Q3449" i="10"/>
  <c r="M3450" i="10"/>
  <c r="M3449" i="10"/>
  <c r="O3443" i="10"/>
  <c r="O3440" i="10"/>
  <c r="O3441" i="10"/>
  <c r="P3430" i="10"/>
  <c r="P3431" i="10"/>
  <c r="L3430" i="10"/>
  <c r="L3431" i="10"/>
  <c r="K3218" i="10"/>
  <c r="K3486" i="10"/>
  <c r="K3487" i="10"/>
  <c r="K3430" i="10"/>
  <c r="K3431" i="10"/>
  <c r="Q3209" i="10"/>
  <c r="Q3476" i="10"/>
  <c r="L3473" i="10"/>
  <c r="O3449" i="10"/>
  <c r="O3450" i="10"/>
  <c r="R3430" i="10"/>
  <c r="R3431" i="10"/>
  <c r="K3441" i="10"/>
  <c r="K3443" i="10"/>
  <c r="K3440" i="10"/>
  <c r="R3218" i="10"/>
  <c r="R3487" i="10"/>
  <c r="R3486" i="10"/>
  <c r="N3218" i="10"/>
  <c r="N3487" i="10"/>
  <c r="N3486" i="10"/>
  <c r="O3473" i="10"/>
  <c r="R3199" i="10"/>
  <c r="R3466" i="10"/>
  <c r="N3199" i="10"/>
  <c r="N3466" i="10"/>
  <c r="P3441" i="10"/>
  <c r="P3443" i="10"/>
  <c r="P3440" i="10"/>
  <c r="L3443" i="10"/>
  <c r="L3440" i="10"/>
  <c r="L3441" i="10"/>
  <c r="M2753" i="10"/>
  <c r="M3430" i="10"/>
  <c r="M3431" i="10"/>
  <c r="K3473" i="10"/>
  <c r="K3449" i="10"/>
  <c r="K3450" i="10"/>
  <c r="P3218" i="10"/>
  <c r="P3486" i="10"/>
  <c r="P3487" i="10"/>
  <c r="L3218" i="10"/>
  <c r="L3486" i="10"/>
  <c r="L3487" i="10"/>
  <c r="Q3473" i="10"/>
  <c r="M3473" i="10"/>
  <c r="P3199" i="10"/>
  <c r="P3466" i="10"/>
  <c r="L3199" i="10"/>
  <c r="L3466" i="10"/>
  <c r="P3449" i="10"/>
  <c r="P3450" i="10"/>
  <c r="L3449" i="10"/>
  <c r="L3450" i="10"/>
  <c r="R3441" i="10"/>
  <c r="R3440" i="10"/>
  <c r="R3443" i="10"/>
  <c r="N3443" i="10"/>
  <c r="N3440" i="10"/>
  <c r="N3441" i="10"/>
  <c r="O3430" i="10"/>
  <c r="O3431" i="10"/>
  <c r="N2810" i="10"/>
  <c r="N3215" i="10"/>
  <c r="M2803" i="10"/>
  <c r="M3209" i="10"/>
  <c r="P2800" i="10"/>
  <c r="P3205" i="10"/>
  <c r="P3206" i="10"/>
  <c r="L3206" i="10"/>
  <c r="L3205" i="10"/>
  <c r="N2788" i="10"/>
  <c r="N3196" i="10"/>
  <c r="K2810" i="10"/>
  <c r="K3215" i="10"/>
  <c r="Q2810" i="10"/>
  <c r="Q3215" i="10"/>
  <c r="P2803" i="10"/>
  <c r="P3209" i="10"/>
  <c r="O3205" i="10"/>
  <c r="O3206" i="10"/>
  <c r="M2788" i="10"/>
  <c r="M3196" i="10"/>
  <c r="K2803" i="10"/>
  <c r="K3209" i="10"/>
  <c r="L2810" i="10"/>
  <c r="L3215" i="10"/>
  <c r="O2803" i="10"/>
  <c r="O3209" i="10"/>
  <c r="R3206" i="10"/>
  <c r="R3205" i="10"/>
  <c r="N3206" i="10"/>
  <c r="N3205" i="10"/>
  <c r="L2788" i="10"/>
  <c r="L3196" i="10"/>
  <c r="R2810" i="10"/>
  <c r="R3215" i="10"/>
  <c r="R3196" i="10"/>
  <c r="K2788" i="10"/>
  <c r="K3196" i="10"/>
  <c r="M2810" i="10"/>
  <c r="M3215" i="10"/>
  <c r="L2803" i="10"/>
  <c r="L3209" i="10"/>
  <c r="Q2788" i="10"/>
  <c r="Q3196" i="10"/>
  <c r="K3206" i="10"/>
  <c r="K3205" i="10"/>
  <c r="O2810" i="10"/>
  <c r="O3215" i="10"/>
  <c r="R3209" i="10"/>
  <c r="N2803" i="10"/>
  <c r="N3209" i="10"/>
  <c r="Q3205" i="10"/>
  <c r="Q3206" i="10"/>
  <c r="M3206" i="10"/>
  <c r="M3205" i="10"/>
  <c r="O2788" i="10"/>
  <c r="O3196" i="10"/>
  <c r="L3183" i="10"/>
  <c r="L3182" i="10"/>
  <c r="R3174" i="10"/>
  <c r="R3175" i="10"/>
  <c r="R3172" i="10"/>
  <c r="R3173" i="10"/>
  <c r="N3173" i="10"/>
  <c r="N3175" i="10"/>
  <c r="N3172" i="10"/>
  <c r="N3174" i="10"/>
  <c r="M2763" i="10"/>
  <c r="M3169" i="10"/>
  <c r="K2770" i="10"/>
  <c r="K3178" i="10"/>
  <c r="K3179" i="10"/>
  <c r="K2754" i="10"/>
  <c r="K3163" i="10"/>
  <c r="O3183" i="10"/>
  <c r="O3182" i="10"/>
  <c r="R2770" i="10"/>
  <c r="R3178" i="10"/>
  <c r="R3179" i="10"/>
  <c r="N2770" i="10"/>
  <c r="N3179" i="10"/>
  <c r="N3178" i="10"/>
  <c r="Q3175" i="10"/>
  <c r="Q3173" i="10"/>
  <c r="Q3174" i="10"/>
  <c r="Q3172" i="10"/>
  <c r="M3175" i="10"/>
  <c r="M3173" i="10"/>
  <c r="M3174" i="10"/>
  <c r="M3172" i="10"/>
  <c r="P2763" i="10"/>
  <c r="P3169" i="10"/>
  <c r="L2763" i="10"/>
  <c r="L3169" i="10"/>
  <c r="R2753" i="10"/>
  <c r="R3163" i="10"/>
  <c r="R3161" i="10"/>
  <c r="R3160" i="10"/>
  <c r="R3162" i="10"/>
  <c r="K3173" i="10"/>
  <c r="K3175" i="10"/>
  <c r="K3172" i="10"/>
  <c r="K3174" i="10"/>
  <c r="Q2770" i="10"/>
  <c r="Q3178" i="10"/>
  <c r="Q3179" i="10"/>
  <c r="L3172" i="10"/>
  <c r="L3175" i="10"/>
  <c r="L3174" i="10"/>
  <c r="L3173" i="10"/>
  <c r="Q3163" i="10"/>
  <c r="Q3160" i="10"/>
  <c r="Q3161" i="10"/>
  <c r="Q3162" i="10"/>
  <c r="R2814" i="10"/>
  <c r="N3183" i="10"/>
  <c r="N3182" i="10"/>
  <c r="M2770" i="10"/>
  <c r="M3179" i="10"/>
  <c r="M3178" i="10"/>
  <c r="P3174" i="10"/>
  <c r="P3175" i="10"/>
  <c r="P3173" i="10"/>
  <c r="P3172" i="10"/>
  <c r="O2763" i="10"/>
  <c r="O3169" i="10"/>
  <c r="K2763" i="10"/>
  <c r="K3169" i="10"/>
  <c r="Q3182" i="10"/>
  <c r="Q3183" i="10"/>
  <c r="M3183" i="10"/>
  <c r="M3182" i="10"/>
  <c r="P2770" i="10"/>
  <c r="P3178" i="10"/>
  <c r="P3179" i="10"/>
  <c r="L2770" i="10"/>
  <c r="L3179" i="10"/>
  <c r="L3178" i="10"/>
  <c r="O3172" i="10"/>
  <c r="O3174" i="10"/>
  <c r="O3173" i="10"/>
  <c r="O3175" i="10"/>
  <c r="R2763" i="10"/>
  <c r="R3169" i="10"/>
  <c r="N2763" i="10"/>
  <c r="N3169" i="10"/>
  <c r="L3160" i="10"/>
  <c r="L3161" i="10"/>
  <c r="K3183" i="10"/>
  <c r="K3182" i="10"/>
  <c r="P3183" i="10"/>
  <c r="P3182" i="10"/>
  <c r="O2770" i="10"/>
  <c r="O3178" i="10"/>
  <c r="O3179" i="10"/>
  <c r="Q2763" i="10"/>
  <c r="Q3169" i="10"/>
  <c r="O2800" i="10"/>
  <c r="R2800" i="10"/>
  <c r="L2800" i="10"/>
  <c r="N2800" i="10"/>
  <c r="K2800" i="10"/>
  <c r="Q2800" i="10"/>
  <c r="M2800" i="10"/>
  <c r="K2793" i="10"/>
  <c r="K2791" i="10"/>
  <c r="K2792" i="10"/>
  <c r="O2813" i="10"/>
  <c r="O2814" i="10"/>
  <c r="O2793" i="10"/>
  <c r="O2792" i="10"/>
  <c r="O2791" i="10"/>
  <c r="O2773" i="10"/>
  <c r="K2767" i="10"/>
  <c r="K2766" i="10"/>
  <c r="N2773" i="10"/>
  <c r="P2766" i="10"/>
  <c r="P2767" i="10"/>
  <c r="R2754" i="10"/>
  <c r="R2756" i="10"/>
  <c r="R2757" i="10"/>
  <c r="R2755" i="10"/>
  <c r="R2813" i="10"/>
  <c r="L2767" i="10"/>
  <c r="L2766" i="10"/>
  <c r="Q2814" i="10"/>
  <c r="Q2813" i="10"/>
  <c r="M2813" i="10"/>
  <c r="M2814" i="10"/>
  <c r="Q2791" i="10"/>
  <c r="Q2793" i="10"/>
  <c r="Q2792" i="10"/>
  <c r="M2791" i="10"/>
  <c r="M2793" i="10"/>
  <c r="M2792" i="10"/>
  <c r="Q2773" i="10"/>
  <c r="M2773" i="10"/>
  <c r="O2767" i="10"/>
  <c r="O2766" i="10"/>
  <c r="L2753" i="10"/>
  <c r="L2757" i="10"/>
  <c r="K2813" i="10"/>
  <c r="K2814" i="10"/>
  <c r="Q2767" i="10"/>
  <c r="Q2766" i="10"/>
  <c r="M2767" i="10"/>
  <c r="M2766" i="10"/>
  <c r="N2757" i="10"/>
  <c r="N2756" i="10"/>
  <c r="N2814" i="10"/>
  <c r="N2813" i="10"/>
  <c r="R2791" i="10"/>
  <c r="R2792" i="10"/>
  <c r="R2793" i="10"/>
  <c r="N2792" i="10"/>
  <c r="N2793" i="10"/>
  <c r="N2791" i="10"/>
  <c r="K2773" i="10"/>
  <c r="L2814" i="10"/>
  <c r="L2813" i="10"/>
  <c r="L2792" i="10"/>
  <c r="L2793" i="10"/>
  <c r="L2791" i="10"/>
  <c r="P2773" i="10"/>
  <c r="L2773" i="10"/>
  <c r="R2767" i="10"/>
  <c r="R2766" i="10"/>
  <c r="N2767" i="10"/>
  <c r="N2766" i="10"/>
  <c r="G1057" i="10"/>
  <c r="D989" i="10"/>
  <c r="H1057" i="10"/>
  <c r="E1057" i="10"/>
  <c r="I989" i="10"/>
  <c r="E967" i="10"/>
  <c r="D1057" i="10"/>
  <c r="D967" i="10"/>
  <c r="E1147" i="10"/>
  <c r="H989" i="10"/>
  <c r="F1057" i="10"/>
  <c r="F1147" i="10"/>
  <c r="E163" i="18"/>
  <c r="E291" i="10" s="1"/>
  <c r="E449" i="10" s="1"/>
  <c r="E381" i="10"/>
  <c r="E1079" i="10" s="1"/>
  <c r="I539" i="10"/>
  <c r="F163" i="18"/>
  <c r="F291" i="10" s="1"/>
  <c r="F449" i="10" s="1"/>
  <c r="F381" i="10"/>
  <c r="F1079" i="10" s="1"/>
  <c r="J539" i="10"/>
  <c r="I163" i="18"/>
  <c r="I291" i="10" s="1"/>
  <c r="I381" i="10"/>
  <c r="I229" i="18"/>
  <c r="I697" i="10" s="1"/>
  <c r="I899" i="10" s="1"/>
  <c r="I787" i="10"/>
  <c r="E989" i="10"/>
  <c r="F967" i="10"/>
  <c r="H967" i="10"/>
  <c r="F39" i="18"/>
  <c r="F126" i="10" s="1"/>
  <c r="J163" i="18"/>
  <c r="J291" i="10" s="1"/>
  <c r="J381" i="10"/>
  <c r="J1079" i="10" s="1"/>
  <c r="J229" i="18"/>
  <c r="J697" i="10" s="1"/>
  <c r="J899" i="10" s="1"/>
  <c r="J787" i="10"/>
  <c r="J1237" i="10" s="1"/>
  <c r="F989" i="10"/>
  <c r="E1169" i="10"/>
  <c r="G163" i="18"/>
  <c r="G291" i="10" s="1"/>
  <c r="G449" i="10" s="1"/>
  <c r="G381" i="10"/>
  <c r="G1079" i="10" s="1"/>
  <c r="J629" i="10"/>
  <c r="G967" i="10"/>
  <c r="D1169" i="10"/>
  <c r="H1147" i="10"/>
  <c r="C921" i="10"/>
  <c r="K899" i="10"/>
  <c r="K741" i="10"/>
  <c r="K921" i="10"/>
  <c r="K877" i="10"/>
  <c r="C855" i="10"/>
  <c r="K855" i="10"/>
  <c r="D539" i="10"/>
  <c r="D229" i="18"/>
  <c r="D697" i="10" s="1"/>
  <c r="D899" i="10" s="1"/>
  <c r="D1147" i="10"/>
  <c r="I629" i="10"/>
  <c r="C899" i="10"/>
  <c r="E229" i="18"/>
  <c r="E697" i="10" s="1"/>
  <c r="E899" i="10" s="1"/>
  <c r="C629" i="10"/>
  <c r="E539" i="10"/>
  <c r="F539" i="10"/>
  <c r="G1169" i="10"/>
  <c r="D629" i="10"/>
  <c r="F229" i="18"/>
  <c r="F697" i="10" s="1"/>
  <c r="F899" i="10" s="1"/>
  <c r="C163" i="18"/>
  <c r="C291" i="10" s="1"/>
  <c r="C381" i="10"/>
  <c r="C1079" i="10" s="1"/>
  <c r="G539" i="10"/>
  <c r="C1057" i="10"/>
  <c r="G229" i="18"/>
  <c r="G697" i="10" s="1"/>
  <c r="G899" i="10" s="1"/>
  <c r="G1147" i="10"/>
  <c r="G989" i="10"/>
  <c r="J989" i="10"/>
  <c r="H163" i="18"/>
  <c r="H291" i="10" s="1"/>
  <c r="H449" i="10" s="1"/>
  <c r="H381" i="10"/>
  <c r="H1079" i="10" s="1"/>
  <c r="D163" i="18"/>
  <c r="D291" i="10" s="1"/>
  <c r="D449" i="10" s="1"/>
  <c r="D381" i="10"/>
  <c r="H539" i="10"/>
  <c r="H229" i="18"/>
  <c r="H697" i="10" s="1"/>
  <c r="H899" i="10" s="1"/>
  <c r="H629" i="10"/>
  <c r="I1169" i="10"/>
  <c r="E629" i="10"/>
  <c r="K157" i="10"/>
  <c r="C1289" i="10"/>
  <c r="K1223" i="10"/>
  <c r="C749" i="10"/>
  <c r="C1245" i="10"/>
  <c r="K1267" i="10"/>
  <c r="C275" i="10"/>
  <c r="C1267" i="10"/>
  <c r="K1289" i="10"/>
  <c r="K1245" i="10"/>
  <c r="C1223" i="10"/>
  <c r="C109" i="10"/>
  <c r="O164" i="10"/>
  <c r="G1296" i="10"/>
  <c r="O1230" i="10"/>
  <c r="G1252" i="10"/>
  <c r="O1252" i="10"/>
  <c r="G282" i="10"/>
  <c r="G756" i="10"/>
  <c r="O1274" i="10"/>
  <c r="G1230" i="10"/>
  <c r="O1296" i="10"/>
  <c r="G1274" i="10"/>
  <c r="G116" i="10"/>
  <c r="Q161" i="10"/>
  <c r="I1293" i="10"/>
  <c r="Q1227" i="10"/>
  <c r="Q1249" i="10"/>
  <c r="I279" i="10"/>
  <c r="I1249" i="10"/>
  <c r="Q1293" i="10"/>
  <c r="Q1271" i="10"/>
  <c r="I113" i="10"/>
  <c r="Q157" i="10"/>
  <c r="I1289" i="10"/>
  <c r="Q1223" i="10"/>
  <c r="Q1245" i="10"/>
  <c r="I275" i="10"/>
  <c r="Q1289" i="10"/>
  <c r="Q1267" i="10"/>
  <c r="I1245" i="10"/>
  <c r="I109" i="10"/>
  <c r="L156" i="10"/>
  <c r="L1222" i="10"/>
  <c r="D1288" i="10"/>
  <c r="D1244" i="10"/>
  <c r="L1244" i="10"/>
  <c r="L1266" i="10"/>
  <c r="L1288" i="10"/>
  <c r="D108" i="10"/>
  <c r="Q152" i="10"/>
  <c r="I1284" i="10"/>
  <c r="I270" i="10"/>
  <c r="Q1218" i="10"/>
  <c r="Q1240" i="10"/>
  <c r="Q1262" i="10"/>
  <c r="I1240" i="10"/>
  <c r="I1218" i="10"/>
  <c r="Q1284" i="10"/>
  <c r="I1262" i="10"/>
  <c r="I104" i="10"/>
  <c r="R149" i="10"/>
  <c r="J1281" i="10"/>
  <c r="R1281" i="10"/>
  <c r="J1215" i="10"/>
  <c r="J267" i="10"/>
  <c r="J1259" i="10"/>
  <c r="R1259" i="10"/>
  <c r="R1237" i="10"/>
  <c r="R1215" i="10"/>
  <c r="J741" i="10"/>
  <c r="K151" i="10"/>
  <c r="C1283" i="10"/>
  <c r="C743" i="10"/>
  <c r="C269" i="10"/>
  <c r="C1239" i="10"/>
  <c r="K1239" i="10"/>
  <c r="K1217" i="10"/>
  <c r="C1261" i="10"/>
  <c r="K1283" i="10"/>
  <c r="K1261" i="10"/>
  <c r="C1217" i="10"/>
  <c r="C103" i="10"/>
  <c r="N164" i="10"/>
  <c r="N1230" i="10"/>
  <c r="F1296" i="10"/>
  <c r="N1296" i="10"/>
  <c r="F1230" i="10"/>
  <c r="F282" i="10"/>
  <c r="F756" i="10"/>
  <c r="N1252" i="10"/>
  <c r="F1252" i="10"/>
  <c r="F1274" i="10"/>
  <c r="N1274" i="10"/>
  <c r="F116" i="10"/>
  <c r="M163" i="10"/>
  <c r="E1295" i="10"/>
  <c r="M1229" i="10"/>
  <c r="E1251" i="10"/>
  <c r="M1295" i="10"/>
  <c r="E1273" i="10"/>
  <c r="E281" i="10"/>
  <c r="M1273" i="10"/>
  <c r="M1251" i="10"/>
  <c r="E115" i="10"/>
  <c r="O160" i="10"/>
  <c r="O1226" i="10"/>
  <c r="G1292" i="10"/>
  <c r="G278" i="10"/>
  <c r="G1248" i="10"/>
  <c r="O1292" i="10"/>
  <c r="O1248" i="10"/>
  <c r="G1226" i="10"/>
  <c r="O1270" i="10"/>
  <c r="G1270" i="10"/>
  <c r="O137" i="10"/>
  <c r="G112" i="10"/>
  <c r="P157" i="10"/>
  <c r="P1223" i="10"/>
  <c r="H1289" i="10"/>
  <c r="P1289" i="10"/>
  <c r="P1245" i="10"/>
  <c r="H275" i="10"/>
  <c r="H1245" i="10"/>
  <c r="P1267" i="10"/>
  <c r="H109" i="10"/>
  <c r="M153" i="10"/>
  <c r="E1285" i="10"/>
  <c r="E745" i="10"/>
  <c r="M1241" i="10"/>
  <c r="E271" i="10"/>
  <c r="M1219" i="10"/>
  <c r="E1263" i="10"/>
  <c r="E1241" i="10"/>
  <c r="E1219" i="10"/>
  <c r="M1285" i="10"/>
  <c r="M1263" i="10"/>
  <c r="E105" i="10"/>
  <c r="L152" i="10"/>
  <c r="D1284" i="10"/>
  <c r="L1240" i="10"/>
  <c r="L1218" i="10"/>
  <c r="D1262" i="10"/>
  <c r="D270" i="10"/>
  <c r="L1262" i="10"/>
  <c r="D1218" i="10"/>
  <c r="L1284" i="10"/>
  <c r="D1240" i="10"/>
  <c r="D104" i="10"/>
  <c r="R150" i="10"/>
  <c r="J1282" i="10"/>
  <c r="J268" i="10"/>
  <c r="J742" i="10"/>
  <c r="R1260" i="10"/>
  <c r="R1282" i="10"/>
  <c r="R1216" i="10"/>
  <c r="R1238" i="10"/>
  <c r="J1238" i="10"/>
  <c r="J1216" i="10"/>
  <c r="J1260" i="10"/>
  <c r="J102" i="10"/>
  <c r="I101" i="10"/>
  <c r="Q149" i="10"/>
  <c r="I1281" i="10"/>
  <c r="Q1215" i="10"/>
  <c r="I267" i="10"/>
  <c r="Q1237" i="10"/>
  <c r="I1259" i="10"/>
  <c r="Q1259" i="10"/>
  <c r="Q1281" i="10"/>
  <c r="I1215" i="10"/>
  <c r="K164" i="10"/>
  <c r="C1296" i="10"/>
  <c r="K1230" i="10"/>
  <c r="C756" i="10"/>
  <c r="C282" i="10"/>
  <c r="C1252" i="10"/>
  <c r="K1274" i="10"/>
  <c r="K1252" i="10"/>
  <c r="C1274" i="10"/>
  <c r="C1230" i="10"/>
  <c r="K1296" i="10"/>
  <c r="C116" i="10"/>
  <c r="K150" i="10"/>
  <c r="C742" i="10"/>
  <c r="C1282" i="10"/>
  <c r="C1238" i="10"/>
  <c r="C268" i="10"/>
  <c r="K1282" i="10"/>
  <c r="K1216" i="10"/>
  <c r="K1238" i="10"/>
  <c r="C1216" i="10"/>
  <c r="C1260" i="10"/>
  <c r="K1260" i="10"/>
  <c r="C102" i="10"/>
  <c r="Q164" i="10"/>
  <c r="I1296" i="10"/>
  <c r="Q1230" i="10"/>
  <c r="I282" i="10"/>
  <c r="I1230" i="10"/>
  <c r="I1274" i="10"/>
  <c r="Q1296" i="10"/>
  <c r="I1252" i="10"/>
  <c r="I756" i="10"/>
  <c r="Q1274" i="10"/>
  <c r="Q1252" i="10"/>
  <c r="I116" i="10"/>
  <c r="M164" i="10"/>
  <c r="E1296" i="10"/>
  <c r="M1230" i="10"/>
  <c r="E1274" i="10"/>
  <c r="E282" i="10"/>
  <c r="E1230" i="10"/>
  <c r="M1296" i="10"/>
  <c r="E756" i="10"/>
  <c r="M1274" i="10"/>
  <c r="E1252" i="10"/>
  <c r="M1252" i="10"/>
  <c r="E116" i="10"/>
  <c r="P163" i="10"/>
  <c r="H1295" i="10"/>
  <c r="P1229" i="10"/>
  <c r="H1251" i="10"/>
  <c r="P1295" i="10"/>
  <c r="H281" i="10"/>
  <c r="P1273" i="10"/>
  <c r="P1251" i="10"/>
  <c r="H1273" i="10"/>
  <c r="H115" i="10"/>
  <c r="L163" i="10"/>
  <c r="D1295" i="10"/>
  <c r="L1229" i="10"/>
  <c r="D281" i="10"/>
  <c r="D1251" i="10"/>
  <c r="L1295" i="10"/>
  <c r="L1273" i="10"/>
  <c r="L1251" i="10"/>
  <c r="D1273" i="10"/>
  <c r="D115" i="10"/>
  <c r="O161" i="10"/>
  <c r="O1227" i="10"/>
  <c r="G1293" i="10"/>
  <c r="O1293" i="10"/>
  <c r="G279" i="10"/>
  <c r="O1271" i="10"/>
  <c r="G1249" i="10"/>
  <c r="O1249" i="10"/>
  <c r="G113" i="10"/>
  <c r="R160" i="10"/>
  <c r="J1292" i="10"/>
  <c r="R1226" i="10"/>
  <c r="J278" i="10"/>
  <c r="R1270" i="10"/>
  <c r="R1292" i="10"/>
  <c r="J1226" i="10"/>
  <c r="J1270" i="10"/>
  <c r="R1248" i="10"/>
  <c r="J1248" i="10"/>
  <c r="R137" i="10"/>
  <c r="J112" i="10"/>
  <c r="N160" i="10"/>
  <c r="N1226" i="10"/>
  <c r="F1292" i="10"/>
  <c r="F278" i="10"/>
  <c r="N1292" i="10"/>
  <c r="N1248" i="10"/>
  <c r="N1270" i="10"/>
  <c r="F1270" i="10"/>
  <c r="F1226" i="10"/>
  <c r="F1248" i="10"/>
  <c r="N137" i="10"/>
  <c r="F112" i="10"/>
  <c r="P158" i="10"/>
  <c r="P1224" i="10"/>
  <c r="H1290" i="10"/>
  <c r="H276" i="10"/>
  <c r="P1290" i="10"/>
  <c r="P1246" i="10"/>
  <c r="P1268" i="10"/>
  <c r="H1268" i="10"/>
  <c r="H110" i="10"/>
  <c r="L158" i="10"/>
  <c r="L1224" i="10"/>
  <c r="D1290" i="10"/>
  <c r="D276" i="10"/>
  <c r="L1290" i="10"/>
  <c r="L1246" i="10"/>
  <c r="L1268" i="10"/>
  <c r="D1268" i="10"/>
  <c r="D110" i="10"/>
  <c r="O157" i="10"/>
  <c r="O1223" i="10"/>
  <c r="G1289" i="10"/>
  <c r="G275" i="10"/>
  <c r="O1267" i="10"/>
  <c r="G1245" i="10"/>
  <c r="O1289" i="10"/>
  <c r="O1245" i="10"/>
  <c r="G109" i="10"/>
  <c r="R156" i="10"/>
  <c r="R1222" i="10"/>
  <c r="J1288" i="10"/>
  <c r="J274" i="10"/>
  <c r="R1266" i="10"/>
  <c r="R1288" i="10"/>
  <c r="J1244" i="10"/>
  <c r="R1244" i="10"/>
  <c r="J108" i="10"/>
  <c r="N156" i="10"/>
  <c r="N1222" i="10"/>
  <c r="F1288" i="10"/>
  <c r="N1288" i="10"/>
  <c r="N1266" i="10"/>
  <c r="N1244" i="10"/>
  <c r="F1244" i="10"/>
  <c r="F108" i="10"/>
  <c r="P153" i="10"/>
  <c r="H1285" i="10"/>
  <c r="P1285" i="10"/>
  <c r="P1219" i="10"/>
  <c r="H1219" i="10"/>
  <c r="P1241" i="10"/>
  <c r="H271" i="10"/>
  <c r="H745" i="10"/>
  <c r="H1263" i="10"/>
  <c r="H1241" i="10"/>
  <c r="P1263" i="10"/>
  <c r="H105" i="10"/>
  <c r="L153" i="10"/>
  <c r="D1285" i="10"/>
  <c r="L1219" i="10"/>
  <c r="L1285" i="10"/>
  <c r="D271" i="10"/>
  <c r="D1219" i="10"/>
  <c r="L1241" i="10"/>
  <c r="D745" i="10"/>
  <c r="D1263" i="10"/>
  <c r="L1263" i="10"/>
  <c r="D1241" i="10"/>
  <c r="D105" i="10"/>
  <c r="O152" i="10"/>
  <c r="G1284" i="10"/>
  <c r="G1218" i="10"/>
  <c r="O1218" i="10"/>
  <c r="O1240" i="10"/>
  <c r="G1262" i="10"/>
  <c r="O1262" i="10"/>
  <c r="G270" i="10"/>
  <c r="O1284" i="10"/>
  <c r="G1240" i="10"/>
  <c r="G104" i="10"/>
  <c r="R151" i="10"/>
  <c r="J1283" i="10"/>
  <c r="J743" i="10"/>
  <c r="R1217" i="10"/>
  <c r="J269" i="10"/>
  <c r="J1239" i="10"/>
  <c r="R1261" i="10"/>
  <c r="R1283" i="10"/>
  <c r="J1217" i="10"/>
  <c r="J1261" i="10"/>
  <c r="R1239" i="10"/>
  <c r="J103" i="10"/>
  <c r="N151" i="10"/>
  <c r="F1283" i="10"/>
  <c r="F1217" i="10"/>
  <c r="N1283" i="10"/>
  <c r="F1239" i="10"/>
  <c r="F269" i="10"/>
  <c r="N1239" i="10"/>
  <c r="F743" i="10"/>
  <c r="N1217" i="10"/>
  <c r="N1261" i="10"/>
  <c r="F1261" i="10"/>
  <c r="F103" i="10"/>
  <c r="Q150" i="10"/>
  <c r="I1282" i="10"/>
  <c r="I268" i="10"/>
  <c r="I1216" i="10"/>
  <c r="I1260" i="10"/>
  <c r="Q1260" i="10"/>
  <c r="Q1238" i="10"/>
  <c r="Q1282" i="10"/>
  <c r="Q1216" i="10"/>
  <c r="I742" i="10"/>
  <c r="I1238" i="10"/>
  <c r="I102" i="10"/>
  <c r="M150" i="10"/>
  <c r="E1282" i="10"/>
  <c r="M1282" i="10"/>
  <c r="M1216" i="10"/>
  <c r="E1216" i="10"/>
  <c r="M1260" i="10"/>
  <c r="E268" i="10"/>
  <c r="M1238" i="10"/>
  <c r="E1260" i="10"/>
  <c r="E1238" i="10"/>
  <c r="E742" i="10"/>
  <c r="E102" i="10"/>
  <c r="H101" i="10"/>
  <c r="P149" i="10"/>
  <c r="H1281" i="10"/>
  <c r="H267" i="10"/>
  <c r="H1215" i="10"/>
  <c r="P1237" i="10"/>
  <c r="H1237" i="10"/>
  <c r="P1281" i="10"/>
  <c r="P1215" i="10"/>
  <c r="P1259" i="10"/>
  <c r="H1259" i="10"/>
  <c r="D101" i="10"/>
  <c r="L149" i="10"/>
  <c r="D1281" i="10"/>
  <c r="D1215" i="10"/>
  <c r="D1237" i="10"/>
  <c r="L1237" i="10"/>
  <c r="D267" i="10"/>
  <c r="L1215" i="10"/>
  <c r="L1281" i="10"/>
  <c r="D1259" i="10"/>
  <c r="L1259" i="10"/>
  <c r="G1280" i="10"/>
  <c r="O1280" i="10"/>
  <c r="G266" i="10"/>
  <c r="G1214" i="10"/>
  <c r="O1214" i="10"/>
  <c r="O1236" i="10"/>
  <c r="G1258" i="10"/>
  <c r="O1258" i="10"/>
  <c r="G1236" i="10"/>
  <c r="G100" i="10"/>
  <c r="C1280" i="10"/>
  <c r="C266" i="10"/>
  <c r="K1214" i="10"/>
  <c r="C1258" i="10"/>
  <c r="K1258" i="10"/>
  <c r="K1280" i="10"/>
  <c r="C1214" i="10"/>
  <c r="K1236" i="10"/>
  <c r="C1236" i="10"/>
  <c r="C100" i="10"/>
  <c r="P160" i="10"/>
  <c r="H1292" i="10"/>
  <c r="P1226" i="10"/>
  <c r="P1248" i="10"/>
  <c r="P1270" i="10"/>
  <c r="H278" i="10"/>
  <c r="H1270" i="10"/>
  <c r="H1226" i="10"/>
  <c r="H1248" i="10"/>
  <c r="P1292" i="10"/>
  <c r="P137" i="10"/>
  <c r="H112" i="10"/>
  <c r="N158" i="10"/>
  <c r="N1224" i="10"/>
  <c r="F1290" i="10"/>
  <c r="F276" i="10"/>
  <c r="N1246" i="10"/>
  <c r="N1268" i="10"/>
  <c r="F1268" i="10"/>
  <c r="N1290" i="10"/>
  <c r="F110" i="10"/>
  <c r="M152" i="10"/>
  <c r="E1284" i="10"/>
  <c r="E270" i="10"/>
  <c r="E1240" i="10"/>
  <c r="M1284" i="10"/>
  <c r="M1218" i="10"/>
  <c r="M1240" i="10"/>
  <c r="E1262" i="10"/>
  <c r="M1262" i="10"/>
  <c r="E1218" i="10"/>
  <c r="E104" i="10"/>
  <c r="O150" i="10"/>
  <c r="G1282" i="10"/>
  <c r="G268" i="10"/>
  <c r="G1238" i="10"/>
  <c r="G742" i="10"/>
  <c r="G1216" i="10"/>
  <c r="O1282" i="10"/>
  <c r="O1216" i="10"/>
  <c r="O1238" i="10"/>
  <c r="G1260" i="10"/>
  <c r="O1260" i="10"/>
  <c r="G102" i="10"/>
  <c r="K156" i="10"/>
  <c r="K1222" i="10"/>
  <c r="C1288" i="10"/>
  <c r="K1288" i="10"/>
  <c r="K1244" i="10"/>
  <c r="C1244" i="10"/>
  <c r="K1266" i="10"/>
  <c r="C108" i="10"/>
  <c r="R164" i="10"/>
  <c r="J1296" i="10"/>
  <c r="R1230" i="10"/>
  <c r="J282" i="10"/>
  <c r="J1230" i="10"/>
  <c r="J1274" i="10"/>
  <c r="R1252" i="10"/>
  <c r="J756" i="10"/>
  <c r="J1252" i="10"/>
  <c r="R1274" i="10"/>
  <c r="R1296" i="10"/>
  <c r="J116" i="10"/>
  <c r="P161" i="10"/>
  <c r="H1293" i="10"/>
  <c r="P1227" i="10"/>
  <c r="H279" i="10"/>
  <c r="P1293" i="10"/>
  <c r="P1249" i="10"/>
  <c r="H1249" i="10"/>
  <c r="P1271" i="10"/>
  <c r="H113" i="10"/>
  <c r="Q158" i="10"/>
  <c r="I1290" i="10"/>
  <c r="Q1224" i="10"/>
  <c r="I276" i="10"/>
  <c r="Q1268" i="10"/>
  <c r="Q1290" i="10"/>
  <c r="Q1246" i="10"/>
  <c r="I1268" i="10"/>
  <c r="I110" i="10"/>
  <c r="L157" i="10"/>
  <c r="D1289" i="10"/>
  <c r="L1223" i="10"/>
  <c r="D275" i="10"/>
  <c r="L1289" i="10"/>
  <c r="L1245" i="10"/>
  <c r="L1267" i="10"/>
  <c r="D1245" i="10"/>
  <c r="D109" i="10"/>
  <c r="Q153" i="10"/>
  <c r="I1285" i="10"/>
  <c r="I271" i="10"/>
  <c r="Q1241" i="10"/>
  <c r="Q1219" i="10"/>
  <c r="I745" i="10"/>
  <c r="I1219" i="10"/>
  <c r="I1263" i="10"/>
  <c r="Q1263" i="10"/>
  <c r="Q1285" i="10"/>
  <c r="I1241" i="10"/>
  <c r="I105" i="10"/>
  <c r="O151" i="10"/>
  <c r="G1283" i="10"/>
  <c r="O1217" i="10"/>
  <c r="O1239" i="10"/>
  <c r="G269" i="10"/>
  <c r="G1239" i="10"/>
  <c r="G1261" i="10"/>
  <c r="G743" i="10"/>
  <c r="O1283" i="10"/>
  <c r="O1261" i="10"/>
  <c r="G1217" i="10"/>
  <c r="G103" i="10"/>
  <c r="N150" i="10"/>
  <c r="F1282" i="10"/>
  <c r="F268" i="10"/>
  <c r="N1238" i="10"/>
  <c r="N1216" i="10"/>
  <c r="F1260" i="10"/>
  <c r="N1260" i="10"/>
  <c r="F742" i="10"/>
  <c r="F1216" i="10"/>
  <c r="N1282" i="10"/>
  <c r="F1238" i="10"/>
  <c r="F102" i="10"/>
  <c r="E101" i="10"/>
  <c r="M149" i="10"/>
  <c r="E1281" i="10"/>
  <c r="E267" i="10"/>
  <c r="M1237" i="10"/>
  <c r="M1215" i="10"/>
  <c r="E1215" i="10"/>
  <c r="M1259" i="10"/>
  <c r="E1237" i="10"/>
  <c r="M1281" i="10"/>
  <c r="E1259" i="10"/>
  <c r="D1280" i="10"/>
  <c r="D266" i="10"/>
  <c r="D1258" i="10"/>
  <c r="L1258" i="10"/>
  <c r="L1236" i="10"/>
  <c r="D1236" i="10"/>
  <c r="L1214" i="10"/>
  <c r="D1214" i="10"/>
  <c r="L1280" i="10"/>
  <c r="D100" i="10"/>
  <c r="K163" i="10"/>
  <c r="C1295" i="10"/>
  <c r="K1229" i="10"/>
  <c r="C281" i="10"/>
  <c r="K1251" i="10"/>
  <c r="K1295" i="10"/>
  <c r="C1251" i="10"/>
  <c r="K1273" i="10"/>
  <c r="C1273" i="10"/>
  <c r="C115" i="10"/>
  <c r="K158" i="10"/>
  <c r="C1290" i="10"/>
  <c r="K1224" i="10"/>
  <c r="C1268" i="10"/>
  <c r="C276" i="10"/>
  <c r="K1268" i="10"/>
  <c r="K1290" i="10"/>
  <c r="K1246" i="10"/>
  <c r="C110" i="10"/>
  <c r="K153" i="10"/>
  <c r="C1285" i="10"/>
  <c r="C745" i="10"/>
  <c r="C1263" i="10"/>
  <c r="K1263" i="10"/>
  <c r="C271" i="10"/>
  <c r="C1219" i="10"/>
  <c r="K1285" i="10"/>
  <c r="K1241" i="10"/>
  <c r="K1219" i="10"/>
  <c r="C1241" i="10"/>
  <c r="C105" i="10"/>
  <c r="C101" i="10"/>
  <c r="K149" i="10"/>
  <c r="C741" i="10"/>
  <c r="C1281" i="10"/>
  <c r="C1215" i="10"/>
  <c r="K1281" i="10"/>
  <c r="C1259" i="10"/>
  <c r="C1237" i="10"/>
  <c r="C267" i="10"/>
  <c r="K1259" i="10"/>
  <c r="K1215" i="10"/>
  <c r="K1237" i="10"/>
  <c r="P164" i="10"/>
  <c r="H1296" i="10"/>
  <c r="P1230" i="10"/>
  <c r="H756" i="10"/>
  <c r="P1252" i="10"/>
  <c r="P1274" i="10"/>
  <c r="H282" i="10"/>
  <c r="H1274" i="10"/>
  <c r="H1252" i="10"/>
  <c r="H1230" i="10"/>
  <c r="P1296" i="10"/>
  <c r="H116" i="10"/>
  <c r="L164" i="10"/>
  <c r="L1230" i="10"/>
  <c r="D1296" i="10"/>
  <c r="D282" i="10"/>
  <c r="D756" i="10"/>
  <c r="L1252" i="10"/>
  <c r="L1274" i="10"/>
  <c r="D1274" i="10"/>
  <c r="D1252" i="10"/>
  <c r="D1230" i="10"/>
  <c r="L1296" i="10"/>
  <c r="D116" i="10"/>
  <c r="O163" i="10"/>
  <c r="G1295" i="10"/>
  <c r="O1229" i="10"/>
  <c r="G281" i="10"/>
  <c r="O1251" i="10"/>
  <c r="O1295" i="10"/>
  <c r="G1251" i="10"/>
  <c r="O1273" i="10"/>
  <c r="G1273" i="10"/>
  <c r="G115" i="10"/>
  <c r="R161" i="10"/>
  <c r="R1227" i="10"/>
  <c r="J1293" i="10"/>
  <c r="R1249" i="10"/>
  <c r="R1271" i="10"/>
  <c r="R1293" i="10"/>
  <c r="J279" i="10"/>
  <c r="J1249" i="10"/>
  <c r="J113" i="10"/>
  <c r="N161" i="10"/>
  <c r="N1227" i="10"/>
  <c r="F1293" i="10"/>
  <c r="F279" i="10"/>
  <c r="N1271" i="10"/>
  <c r="F1249" i="10"/>
  <c r="N1293" i="10"/>
  <c r="N1249" i="10"/>
  <c r="F113" i="10"/>
  <c r="Q160" i="10"/>
  <c r="I1292" i="10"/>
  <c r="Q1226" i="10"/>
  <c r="I278" i="10"/>
  <c r="I1270" i="10"/>
  <c r="I1248" i="10"/>
  <c r="Q1270" i="10"/>
  <c r="Q1292" i="10"/>
  <c r="I1226" i="10"/>
  <c r="Q1248" i="10"/>
  <c r="Q137" i="10"/>
  <c r="I112" i="10"/>
  <c r="M160" i="10"/>
  <c r="M1226" i="10"/>
  <c r="E1292" i="10"/>
  <c r="E278" i="10"/>
  <c r="E1270" i="10"/>
  <c r="M1292" i="10"/>
  <c r="E1248" i="10"/>
  <c r="M1248" i="10"/>
  <c r="E1226" i="10"/>
  <c r="M1270" i="10"/>
  <c r="M137" i="10"/>
  <c r="E112" i="10"/>
  <c r="O158" i="10"/>
  <c r="O1224" i="10"/>
  <c r="G1290" i="10"/>
  <c r="G276" i="10"/>
  <c r="G1268" i="10"/>
  <c r="O1268" i="10"/>
  <c r="O1290" i="10"/>
  <c r="O1246" i="10"/>
  <c r="G110" i="10"/>
  <c r="R157" i="10"/>
  <c r="R1223" i="10"/>
  <c r="J1289" i="10"/>
  <c r="J275" i="10"/>
  <c r="R1245" i="10"/>
  <c r="R1267" i="10"/>
  <c r="R1289" i="10"/>
  <c r="J1245" i="10"/>
  <c r="J109" i="10"/>
  <c r="N157" i="10"/>
  <c r="F1289" i="10"/>
  <c r="N1223" i="10"/>
  <c r="F275" i="10"/>
  <c r="N1267" i="10"/>
  <c r="F1245" i="10"/>
  <c r="N1289" i="10"/>
  <c r="N1245" i="10"/>
  <c r="F109" i="10"/>
  <c r="Q156" i="10"/>
  <c r="I1288" i="10"/>
  <c r="Q1222" i="10"/>
  <c r="I274" i="10"/>
  <c r="Q1244" i="10"/>
  <c r="I1244" i="10"/>
  <c r="Q1266" i="10"/>
  <c r="Q1288" i="10"/>
  <c r="I108" i="10"/>
  <c r="M156" i="10"/>
  <c r="M1222" i="10"/>
  <c r="E1288" i="10"/>
  <c r="M1244" i="10"/>
  <c r="M1266" i="10"/>
  <c r="M1288" i="10"/>
  <c r="E1244" i="10"/>
  <c r="E108" i="10"/>
  <c r="O153" i="10"/>
  <c r="G1285" i="10"/>
  <c r="G271" i="10"/>
  <c r="O1263" i="10"/>
  <c r="G1219" i="10"/>
  <c r="O1285" i="10"/>
  <c r="G1263" i="10"/>
  <c r="G745" i="10"/>
  <c r="G1241" i="10"/>
  <c r="O1219" i="10"/>
  <c r="O1241" i="10"/>
  <c r="G105" i="10"/>
  <c r="R152" i="10"/>
  <c r="J1284" i="10"/>
  <c r="J1240" i="10"/>
  <c r="J1262" i="10"/>
  <c r="J270" i="10"/>
  <c r="J1218" i="10"/>
  <c r="R1240" i="10"/>
  <c r="R1262" i="10"/>
  <c r="R1218" i="10"/>
  <c r="R1284" i="10"/>
  <c r="J104" i="10"/>
  <c r="N152" i="10"/>
  <c r="F1284" i="10"/>
  <c r="N1284" i="10"/>
  <c r="F1218" i="10"/>
  <c r="F270" i="10"/>
  <c r="F1240" i="10"/>
  <c r="N1218" i="10"/>
  <c r="N1240" i="10"/>
  <c r="F1262" i="10"/>
  <c r="N1262" i="10"/>
  <c r="F104" i="10"/>
  <c r="Q151" i="10"/>
  <c r="I1283" i="10"/>
  <c r="I269" i="10"/>
  <c r="Q1261" i="10"/>
  <c r="I1261" i="10"/>
  <c r="I743" i="10"/>
  <c r="I1217" i="10"/>
  <c r="Q1283" i="10"/>
  <c r="Q1239" i="10"/>
  <c r="I1239" i="10"/>
  <c r="Q1217" i="10"/>
  <c r="I103" i="10"/>
  <c r="M151" i="10"/>
  <c r="E1283" i="10"/>
  <c r="M1261" i="10"/>
  <c r="E1217" i="10"/>
  <c r="E1261" i="10"/>
  <c r="E743" i="10"/>
  <c r="E269" i="10"/>
  <c r="M1283" i="10"/>
  <c r="M1217" i="10"/>
  <c r="E1239" i="10"/>
  <c r="M1239" i="10"/>
  <c r="E103" i="10"/>
  <c r="P150" i="10"/>
  <c r="H1282" i="10"/>
  <c r="H742" i="10"/>
  <c r="P1282" i="10"/>
  <c r="H1238" i="10"/>
  <c r="H268" i="10"/>
  <c r="H1216" i="10"/>
  <c r="P1238" i="10"/>
  <c r="P1216" i="10"/>
  <c r="H1260" i="10"/>
  <c r="P1260" i="10"/>
  <c r="H102" i="10"/>
  <c r="L150" i="10"/>
  <c r="D1282" i="10"/>
  <c r="D1238" i="10"/>
  <c r="D268" i="10"/>
  <c r="L1282" i="10"/>
  <c r="D1216" i="10"/>
  <c r="D742" i="10"/>
  <c r="L1238" i="10"/>
  <c r="L1260" i="10"/>
  <c r="L1216" i="10"/>
  <c r="D1260" i="10"/>
  <c r="D102" i="10"/>
  <c r="G101" i="10"/>
  <c r="O149" i="10"/>
  <c r="G1281" i="10"/>
  <c r="G1215" i="10"/>
  <c r="G1237" i="10"/>
  <c r="O1281" i="10"/>
  <c r="G1259" i="10"/>
  <c r="G267" i="10"/>
  <c r="O1259" i="10"/>
  <c r="O1215" i="10"/>
  <c r="O1237" i="10"/>
  <c r="J1280" i="10"/>
  <c r="J1236" i="10"/>
  <c r="J1214" i="10"/>
  <c r="J266" i="10"/>
  <c r="J740" i="10"/>
  <c r="J1258" i="10"/>
  <c r="R1214" i="10"/>
  <c r="R1236" i="10"/>
  <c r="R1258" i="10"/>
  <c r="R1280" i="10"/>
  <c r="J100" i="10"/>
  <c r="F1280" i="10"/>
  <c r="F266" i="10"/>
  <c r="F1214" i="10"/>
  <c r="N1280" i="10"/>
  <c r="N1214" i="10"/>
  <c r="F1258" i="10"/>
  <c r="N1258" i="10"/>
  <c r="F1236" i="10"/>
  <c r="N1236" i="10"/>
  <c r="F100" i="10"/>
  <c r="K161" i="10"/>
  <c r="K1227" i="10"/>
  <c r="C1293" i="10"/>
  <c r="C279" i="10"/>
  <c r="K1293" i="10"/>
  <c r="C1249" i="10"/>
  <c r="K1271" i="10"/>
  <c r="K1249" i="10"/>
  <c r="C113" i="10"/>
  <c r="R163" i="10"/>
  <c r="J1295" i="10"/>
  <c r="R1229" i="10"/>
  <c r="J281" i="10"/>
  <c r="J1251" i="10"/>
  <c r="R1251" i="10"/>
  <c r="R1273" i="10"/>
  <c r="J1273" i="10"/>
  <c r="R1295" i="10"/>
  <c r="J115" i="10"/>
  <c r="M161" i="10"/>
  <c r="M1227" i="10"/>
  <c r="E1293" i="10"/>
  <c r="E279" i="10"/>
  <c r="M1249" i="10"/>
  <c r="E1249" i="10"/>
  <c r="M1271" i="10"/>
  <c r="M1293" i="10"/>
  <c r="E113" i="10"/>
  <c r="R158" i="10"/>
  <c r="J1290" i="10"/>
  <c r="R1224" i="10"/>
  <c r="R1290" i="10"/>
  <c r="R1246" i="10"/>
  <c r="J1268" i="10"/>
  <c r="R1268" i="10"/>
  <c r="J276" i="10"/>
  <c r="J110" i="10"/>
  <c r="P156" i="10"/>
  <c r="H1288" i="10"/>
  <c r="P1222" i="10"/>
  <c r="H274" i="10"/>
  <c r="P1244" i="10"/>
  <c r="P1266" i="10"/>
  <c r="H1244" i="10"/>
  <c r="P1288" i="10"/>
  <c r="H108" i="10"/>
  <c r="N153" i="10"/>
  <c r="F1285" i="10"/>
  <c r="F745" i="10"/>
  <c r="N1263" i="10"/>
  <c r="F1219" i="10"/>
  <c r="F271" i="10"/>
  <c r="F1263" i="10"/>
  <c r="N1285" i="10"/>
  <c r="F1241" i="10"/>
  <c r="N1241" i="10"/>
  <c r="N1219" i="10"/>
  <c r="F105" i="10"/>
  <c r="L151" i="10"/>
  <c r="D1283" i="10"/>
  <c r="D1261" i="10"/>
  <c r="L1261" i="10"/>
  <c r="D1217" i="10"/>
  <c r="D269" i="10"/>
  <c r="D743" i="10"/>
  <c r="D1239" i="10"/>
  <c r="L1283" i="10"/>
  <c r="L1217" i="10"/>
  <c r="L1239" i="10"/>
  <c r="D103" i="10"/>
  <c r="I1280" i="10"/>
  <c r="I266" i="10"/>
  <c r="I1236" i="10"/>
  <c r="I1214" i="10"/>
  <c r="Q1280" i="10"/>
  <c r="I1258" i="10"/>
  <c r="Q1214" i="10"/>
  <c r="Q1236" i="10"/>
  <c r="Q1258" i="10"/>
  <c r="I100" i="10"/>
  <c r="K152" i="10"/>
  <c r="C1284" i="10"/>
  <c r="C1218" i="10"/>
  <c r="K1240" i="10"/>
  <c r="K1218" i="10"/>
  <c r="C1262" i="10"/>
  <c r="K1262" i="10"/>
  <c r="C270" i="10"/>
  <c r="K1284" i="10"/>
  <c r="C1240" i="10"/>
  <c r="C104" i="10"/>
  <c r="N163" i="10"/>
  <c r="N1229" i="10"/>
  <c r="F1295" i="10"/>
  <c r="F1273" i="10"/>
  <c r="N1251" i="10"/>
  <c r="F281" i="10"/>
  <c r="F1251" i="10"/>
  <c r="N1273" i="10"/>
  <c r="N1295" i="10"/>
  <c r="F115" i="10"/>
  <c r="L160" i="10"/>
  <c r="D1292" i="10"/>
  <c r="L1226" i="10"/>
  <c r="D278" i="10"/>
  <c r="L1248" i="10"/>
  <c r="L1270" i="10"/>
  <c r="D1270" i="10"/>
  <c r="D1226" i="10"/>
  <c r="D1248" i="10"/>
  <c r="L1292" i="10"/>
  <c r="L137" i="10"/>
  <c r="D112" i="10"/>
  <c r="M157" i="10"/>
  <c r="E1289" i="10"/>
  <c r="M1223" i="10"/>
  <c r="E275" i="10"/>
  <c r="M1245" i="10"/>
  <c r="M1267" i="10"/>
  <c r="M1289" i="10"/>
  <c r="E1245" i="10"/>
  <c r="E109" i="10"/>
  <c r="P151" i="10"/>
  <c r="H1283" i="10"/>
  <c r="H1217" i="10"/>
  <c r="H269" i="10"/>
  <c r="H1261" i="10"/>
  <c r="P1261" i="10"/>
  <c r="H743" i="10"/>
  <c r="P1217" i="10"/>
  <c r="P1283" i="10"/>
  <c r="H1239" i="10"/>
  <c r="P1239" i="10"/>
  <c r="H103" i="10"/>
  <c r="F101" i="10"/>
  <c r="N149" i="10"/>
  <c r="F1281" i="10"/>
  <c r="F1259" i="10"/>
  <c r="N1259" i="10"/>
  <c r="F267" i="10"/>
  <c r="F1215" i="10"/>
  <c r="F1237" i="10"/>
  <c r="N1215" i="10"/>
  <c r="N1237" i="10"/>
  <c r="N1281" i="10"/>
  <c r="E1280" i="10"/>
  <c r="E1236" i="10"/>
  <c r="E1214" i="10"/>
  <c r="E266" i="10"/>
  <c r="M1280" i="10"/>
  <c r="M1214" i="10"/>
  <c r="M1236" i="10"/>
  <c r="E1258" i="10"/>
  <c r="M1258" i="10"/>
  <c r="E100" i="10"/>
  <c r="K160" i="10"/>
  <c r="C1292" i="10"/>
  <c r="K1226" i="10"/>
  <c r="C1248" i="10"/>
  <c r="K1270" i="10"/>
  <c r="C278" i="10"/>
  <c r="K1292" i="10"/>
  <c r="K1248" i="10"/>
  <c r="C1226" i="10"/>
  <c r="C1270" i="10"/>
  <c r="K137" i="10"/>
  <c r="C112" i="10"/>
  <c r="Q163" i="10"/>
  <c r="Q1229" i="10"/>
  <c r="I1295" i="10"/>
  <c r="Q1295" i="10"/>
  <c r="I281" i="10"/>
  <c r="Q1273" i="10"/>
  <c r="I1273" i="10"/>
  <c r="I1251" i="10"/>
  <c r="Q1251" i="10"/>
  <c r="I115" i="10"/>
  <c r="L161" i="10"/>
  <c r="L1227" i="10"/>
  <c r="D1293" i="10"/>
  <c r="L1293" i="10"/>
  <c r="L1249" i="10"/>
  <c r="D279" i="10"/>
  <c r="D1249" i="10"/>
  <c r="L1271" i="10"/>
  <c r="D113" i="10"/>
  <c r="M158" i="10"/>
  <c r="M1224" i="10"/>
  <c r="E1290" i="10"/>
  <c r="E276" i="10"/>
  <c r="M1290" i="10"/>
  <c r="M1268" i="10"/>
  <c r="M1246" i="10"/>
  <c r="E1268" i="10"/>
  <c r="E110" i="10"/>
  <c r="O156" i="10"/>
  <c r="O1222" i="10"/>
  <c r="G1288" i="10"/>
  <c r="G1244" i="10"/>
  <c r="G274" i="10"/>
  <c r="O1266" i="10"/>
  <c r="O1288" i="10"/>
  <c r="O1244" i="10"/>
  <c r="G108" i="10"/>
  <c r="P152" i="10"/>
  <c r="H1284" i="10"/>
  <c r="H270" i="10"/>
  <c r="P1218" i="10"/>
  <c r="H1262" i="10"/>
  <c r="P1262" i="10"/>
  <c r="P1240" i="10"/>
  <c r="H1218" i="10"/>
  <c r="P1284" i="10"/>
  <c r="H1240" i="10"/>
  <c r="H104" i="10"/>
  <c r="H1280" i="10"/>
  <c r="P1258" i="10"/>
  <c r="H266" i="10"/>
  <c r="P1214" i="10"/>
  <c r="P1236" i="10"/>
  <c r="H1258" i="10"/>
  <c r="H1236" i="10"/>
  <c r="H1214" i="10"/>
  <c r="P1280" i="10"/>
  <c r="H100" i="10"/>
  <c r="R134" i="10"/>
  <c r="R148" i="10"/>
  <c r="R125" i="10"/>
  <c r="R140" i="10"/>
  <c r="R135" i="10"/>
  <c r="R126" i="10"/>
  <c r="Q148" i="10"/>
  <c r="R141" i="10"/>
  <c r="R127" i="10"/>
  <c r="R128" i="10"/>
  <c r="J833" i="16"/>
  <c r="I833" i="16"/>
  <c r="H833" i="16"/>
  <c r="G833" i="16"/>
  <c r="F833" i="16"/>
  <c r="E833" i="16"/>
  <c r="D833" i="16"/>
  <c r="C833" i="16"/>
  <c r="J832" i="16"/>
  <c r="I832" i="16"/>
  <c r="I831" i="16" s="1"/>
  <c r="I830" i="16" s="1"/>
  <c r="I3469" i="10" s="1"/>
  <c r="H832" i="16"/>
  <c r="G832" i="16"/>
  <c r="F832" i="16"/>
  <c r="E832" i="16"/>
  <c r="D832" i="16"/>
  <c r="C832" i="16"/>
  <c r="C831" i="16" s="1"/>
  <c r="C830" i="16" s="1"/>
  <c r="C3469" i="10" s="1"/>
  <c r="J790" i="16"/>
  <c r="J789" i="16" s="1"/>
  <c r="I790" i="16"/>
  <c r="I789" i="16" s="1"/>
  <c r="H790" i="16"/>
  <c r="H789" i="16" s="1"/>
  <c r="G790" i="16"/>
  <c r="G789" i="16" s="1"/>
  <c r="F790" i="16"/>
  <c r="F789" i="16" s="1"/>
  <c r="E790" i="16"/>
  <c r="E789" i="16" s="1"/>
  <c r="D790" i="16"/>
  <c r="D789" i="16" s="1"/>
  <c r="J785" i="16"/>
  <c r="I785" i="16"/>
  <c r="I783" i="16" s="1"/>
  <c r="I782" i="16" s="1"/>
  <c r="I3665" i="10" s="1"/>
  <c r="H785" i="16"/>
  <c r="G785" i="16"/>
  <c r="F785" i="16"/>
  <c r="E785" i="16"/>
  <c r="D785" i="16"/>
  <c r="C785" i="16"/>
  <c r="C783" i="16" s="1"/>
  <c r="C782" i="16" s="1"/>
  <c r="C3665" i="10" s="1"/>
  <c r="J784" i="16"/>
  <c r="J783" i="16" s="1"/>
  <c r="J782" i="16" s="1"/>
  <c r="J3665" i="10" s="1"/>
  <c r="I784" i="16"/>
  <c r="H784" i="16"/>
  <c r="G784" i="16"/>
  <c r="G783" i="16" s="1"/>
  <c r="G782" i="16" s="1"/>
  <c r="G3665" i="10" s="1"/>
  <c r="F784" i="16"/>
  <c r="E784" i="16"/>
  <c r="E783" i="16" s="1"/>
  <c r="E782" i="16" s="1"/>
  <c r="E3665" i="10" s="1"/>
  <c r="D784" i="16"/>
  <c r="D783" i="16" s="1"/>
  <c r="D782" i="16" s="1"/>
  <c r="D3665" i="10" s="1"/>
  <c r="C784" i="16"/>
  <c r="C770" i="16"/>
  <c r="C769" i="16"/>
  <c r="C768" i="16"/>
  <c r="J767" i="16"/>
  <c r="J766" i="16" s="1"/>
  <c r="J3601" i="10" s="1"/>
  <c r="I767" i="16"/>
  <c r="I766" i="16" s="1"/>
  <c r="I3601" i="10" s="1"/>
  <c r="H767" i="16"/>
  <c r="H766" i="16" s="1"/>
  <c r="H3601" i="10" s="1"/>
  <c r="G767" i="16"/>
  <c r="G766" i="16" s="1"/>
  <c r="G3601" i="10" s="1"/>
  <c r="F767" i="16"/>
  <c r="F766" i="16" s="1"/>
  <c r="F3601" i="10" s="1"/>
  <c r="E767" i="16"/>
  <c r="E766" i="16" s="1"/>
  <c r="E3601" i="10" s="1"/>
  <c r="D767" i="16"/>
  <c r="D766" i="16" s="1"/>
  <c r="D3601" i="10" s="1"/>
  <c r="J575" i="16"/>
  <c r="J573" i="16"/>
  <c r="I573" i="16"/>
  <c r="H573" i="16"/>
  <c r="G573" i="16"/>
  <c r="F573" i="16"/>
  <c r="E573" i="16"/>
  <c r="D573" i="16"/>
  <c r="C573" i="16"/>
  <c r="J572" i="16"/>
  <c r="I572" i="16"/>
  <c r="I571" i="16" s="1"/>
  <c r="I570" i="16" s="1"/>
  <c r="I2796" i="10" s="1"/>
  <c r="H572" i="16"/>
  <c r="H571" i="16" s="1"/>
  <c r="H570" i="16" s="1"/>
  <c r="H2796" i="10" s="1"/>
  <c r="G572" i="16"/>
  <c r="F572" i="16"/>
  <c r="F571" i="16" s="1"/>
  <c r="F570" i="16" s="1"/>
  <c r="F2796" i="10" s="1"/>
  <c r="E572" i="16"/>
  <c r="D572" i="16"/>
  <c r="C572" i="16"/>
  <c r="J432" i="16"/>
  <c r="J431" i="16" s="1"/>
  <c r="J2324" i="10" s="1"/>
  <c r="I432" i="16"/>
  <c r="I431" i="16" s="1"/>
  <c r="I2324" i="10" s="1"/>
  <c r="H432" i="16"/>
  <c r="H431" i="16" s="1"/>
  <c r="H2324" i="10" s="1"/>
  <c r="G432" i="16"/>
  <c r="G431" i="16" s="1"/>
  <c r="G2324" i="10" s="1"/>
  <c r="F432" i="16"/>
  <c r="F431" i="16" s="1"/>
  <c r="F2324" i="10" s="1"/>
  <c r="E432" i="16"/>
  <c r="E431" i="16" s="1"/>
  <c r="E2324" i="10" s="1"/>
  <c r="D432" i="16"/>
  <c r="C432" i="16"/>
  <c r="C431" i="16" s="1"/>
  <c r="C2324" i="10" s="1"/>
  <c r="D431" i="16"/>
  <c r="D2324" i="10" s="1"/>
  <c r="J418" i="16"/>
  <c r="J412" i="16" s="1"/>
  <c r="J411" i="16" s="1"/>
  <c r="J2323" i="10" s="1"/>
  <c r="I418" i="16"/>
  <c r="I412" i="16" s="1"/>
  <c r="I411" i="16" s="1"/>
  <c r="I2323" i="10" s="1"/>
  <c r="H418" i="16"/>
  <c r="H412" i="16" s="1"/>
  <c r="H411" i="16" s="1"/>
  <c r="H2323" i="10" s="1"/>
  <c r="G418" i="16"/>
  <c r="G412" i="16" s="1"/>
  <c r="G411" i="16" s="1"/>
  <c r="G2323" i="10" s="1"/>
  <c r="F418" i="16"/>
  <c r="F412" i="16" s="1"/>
  <c r="F411" i="16" s="1"/>
  <c r="F2323" i="10" s="1"/>
  <c r="E418" i="16"/>
  <c r="E412" i="16" s="1"/>
  <c r="E411" i="16" s="1"/>
  <c r="E2323" i="10" s="1"/>
  <c r="D418" i="16"/>
  <c r="D412" i="16" s="1"/>
  <c r="D411" i="16" s="1"/>
  <c r="D2323" i="10" s="1"/>
  <c r="C418" i="16"/>
  <c r="C412" i="16"/>
  <c r="C411" i="16" s="1"/>
  <c r="C2323" i="10" s="1"/>
  <c r="J403" i="16"/>
  <c r="J402" i="16" s="1"/>
  <c r="J2322" i="10" s="1"/>
  <c r="I403" i="16"/>
  <c r="I402" i="16" s="1"/>
  <c r="I2322" i="10" s="1"/>
  <c r="H403" i="16"/>
  <c r="H402" i="16" s="1"/>
  <c r="H2322" i="10" s="1"/>
  <c r="G403" i="16"/>
  <c r="F403" i="16"/>
  <c r="E403" i="16"/>
  <c r="E402" i="16" s="1"/>
  <c r="E2322" i="10" s="1"/>
  <c r="D403" i="16"/>
  <c r="D402" i="16" s="1"/>
  <c r="D2322" i="10" s="1"/>
  <c r="C403" i="16"/>
  <c r="C402" i="16" s="1"/>
  <c r="C2322" i="10" s="1"/>
  <c r="G402" i="16"/>
  <c r="G2322" i="10" s="1"/>
  <c r="F402" i="16"/>
  <c r="F2322" i="10" s="1"/>
  <c r="J373" i="16"/>
  <c r="J372" i="16" s="1"/>
  <c r="J2209" i="10" s="1"/>
  <c r="I373" i="16"/>
  <c r="I372" i="16" s="1"/>
  <c r="I2209" i="10" s="1"/>
  <c r="H373" i="16"/>
  <c r="H372" i="16" s="1"/>
  <c r="H2209" i="10" s="1"/>
  <c r="G373" i="16"/>
  <c r="G372" i="16" s="1"/>
  <c r="G2209" i="10" s="1"/>
  <c r="F373" i="16"/>
  <c r="F372" i="16" s="1"/>
  <c r="F2209" i="10" s="1"/>
  <c r="E373" i="16"/>
  <c r="E372" i="16" s="1"/>
  <c r="E2209" i="10" s="1"/>
  <c r="D373" i="16"/>
  <c r="D372" i="16" s="1"/>
  <c r="D2209" i="10" s="1"/>
  <c r="C373" i="16"/>
  <c r="C372" i="16" s="1"/>
  <c r="C2209" i="10" s="1"/>
  <c r="J351" i="16"/>
  <c r="J2208" i="10" s="1"/>
  <c r="I351" i="16"/>
  <c r="I2208" i="10" s="1"/>
  <c r="H351" i="16"/>
  <c r="H2208" i="10" s="1"/>
  <c r="G351" i="16"/>
  <c r="G2208" i="10" s="1"/>
  <c r="F351" i="16"/>
  <c r="F2208" i="10" s="1"/>
  <c r="E351" i="16"/>
  <c r="E2208" i="10" s="1"/>
  <c r="D351" i="16"/>
  <c r="D2208" i="10" s="1"/>
  <c r="C351" i="16"/>
  <c r="C2208" i="10" s="1"/>
  <c r="J341" i="16"/>
  <c r="J2207" i="10" s="1"/>
  <c r="I341" i="16"/>
  <c r="I2207" i="10" s="1"/>
  <c r="H341" i="16"/>
  <c r="H2207" i="10" s="1"/>
  <c r="G341" i="16"/>
  <c r="G2207" i="10" s="1"/>
  <c r="F341" i="16"/>
  <c r="F2207" i="10" s="1"/>
  <c r="E341" i="16"/>
  <c r="E2207" i="10" s="1"/>
  <c r="D341" i="16"/>
  <c r="D2207" i="10" s="1"/>
  <c r="C341" i="16"/>
  <c r="C2207" i="10" s="1"/>
  <c r="J234" i="16"/>
  <c r="I234" i="16"/>
  <c r="H234" i="16"/>
  <c r="G234" i="16"/>
  <c r="F234" i="16"/>
  <c r="E234" i="16"/>
  <c r="D234" i="16"/>
  <c r="C234" i="16"/>
  <c r="J166" i="16"/>
  <c r="J369" i="10" s="1"/>
  <c r="I166" i="16"/>
  <c r="I369" i="10" s="1"/>
  <c r="H166" i="16"/>
  <c r="H369" i="10" s="1"/>
  <c r="G166" i="16"/>
  <c r="G369" i="10" s="1"/>
  <c r="F166" i="16"/>
  <c r="F369" i="10" s="1"/>
  <c r="E166" i="16"/>
  <c r="E369" i="10" s="1"/>
  <c r="D166" i="16"/>
  <c r="D369" i="10" s="1"/>
  <c r="C166" i="16"/>
  <c r="C369" i="10" s="1"/>
  <c r="J81" i="16"/>
  <c r="I81" i="16"/>
  <c r="H81" i="16"/>
  <c r="G81" i="16"/>
  <c r="F81" i="16"/>
  <c r="E81" i="16"/>
  <c r="D81" i="16"/>
  <c r="C81" i="16"/>
  <c r="J80" i="16"/>
  <c r="I80" i="16"/>
  <c r="H80" i="16"/>
  <c r="G80" i="16"/>
  <c r="F80" i="16"/>
  <c r="E80" i="16"/>
  <c r="D80" i="16"/>
  <c r="C80" i="16"/>
  <c r="J78" i="16"/>
  <c r="I78" i="16"/>
  <c r="H78" i="16"/>
  <c r="G78" i="16"/>
  <c r="F78" i="16"/>
  <c r="E78" i="16"/>
  <c r="D78" i="16"/>
  <c r="C78" i="16"/>
  <c r="J77" i="16"/>
  <c r="I77" i="16"/>
  <c r="H77" i="16"/>
  <c r="G77" i="16"/>
  <c r="F77" i="16"/>
  <c r="E77" i="16"/>
  <c r="D77" i="16"/>
  <c r="C77" i="16"/>
  <c r="J76" i="16"/>
  <c r="I76" i="16"/>
  <c r="H76" i="16"/>
  <c r="G76" i="16"/>
  <c r="F76" i="16"/>
  <c r="E76" i="16"/>
  <c r="D76" i="16"/>
  <c r="C76" i="16"/>
  <c r="J75" i="16"/>
  <c r="I75" i="16"/>
  <c r="H75" i="16"/>
  <c r="G75" i="16"/>
  <c r="F75" i="16"/>
  <c r="E75" i="16"/>
  <c r="D75" i="16"/>
  <c r="C75" i="16"/>
  <c r="J74" i="16"/>
  <c r="I74" i="16"/>
  <c r="H74" i="16"/>
  <c r="G74" i="16"/>
  <c r="F74" i="16"/>
  <c r="E74" i="16"/>
  <c r="D74" i="16"/>
  <c r="C74" i="16"/>
  <c r="J73" i="16"/>
  <c r="I73" i="16"/>
  <c r="H73" i="16"/>
  <c r="G73" i="16"/>
  <c r="G71" i="16" s="1"/>
  <c r="F73" i="16"/>
  <c r="E73" i="16"/>
  <c r="D73" i="16"/>
  <c r="D71" i="16" s="1"/>
  <c r="C73" i="16"/>
  <c r="J69" i="16"/>
  <c r="I69" i="16"/>
  <c r="H69" i="16"/>
  <c r="G69" i="16"/>
  <c r="F69" i="16"/>
  <c r="E69" i="16"/>
  <c r="D69" i="16"/>
  <c r="C69" i="16"/>
  <c r="J68" i="16"/>
  <c r="I68" i="16"/>
  <c r="H68" i="16"/>
  <c r="G68" i="16"/>
  <c r="F68" i="16"/>
  <c r="E68" i="16"/>
  <c r="D68" i="16"/>
  <c r="C68" i="16"/>
  <c r="J67" i="16"/>
  <c r="I67" i="16"/>
  <c r="H67" i="16"/>
  <c r="G67" i="16"/>
  <c r="F67" i="16"/>
  <c r="E67" i="16"/>
  <c r="D67" i="16"/>
  <c r="C67" i="16"/>
  <c r="J66" i="16"/>
  <c r="I66" i="16"/>
  <c r="H66" i="16"/>
  <c r="G66" i="16"/>
  <c r="F66" i="16"/>
  <c r="E66" i="16"/>
  <c r="D66" i="16"/>
  <c r="C66" i="16"/>
  <c r="J65" i="16"/>
  <c r="I65" i="16"/>
  <c r="H65" i="16"/>
  <c r="G65" i="16"/>
  <c r="F65" i="16"/>
  <c r="E65" i="16"/>
  <c r="D65" i="16"/>
  <c r="C65" i="16"/>
  <c r="J64" i="16"/>
  <c r="I64" i="16"/>
  <c r="H64" i="16"/>
  <c r="G64" i="16"/>
  <c r="F64" i="16"/>
  <c r="E64" i="16"/>
  <c r="D64" i="16"/>
  <c r="C64" i="16"/>
  <c r="J63" i="16"/>
  <c r="I63" i="16"/>
  <c r="H63" i="16"/>
  <c r="G63" i="16"/>
  <c r="F63" i="16"/>
  <c r="E63" i="16"/>
  <c r="D63" i="16"/>
  <c r="C63" i="16"/>
  <c r="J62" i="16"/>
  <c r="I62" i="16"/>
  <c r="H62" i="16"/>
  <c r="G62" i="16"/>
  <c r="F62" i="16"/>
  <c r="E62" i="16"/>
  <c r="D62" i="16"/>
  <c r="J61" i="16"/>
  <c r="I61" i="16"/>
  <c r="H61" i="16"/>
  <c r="H59" i="16" s="1"/>
  <c r="G61" i="16"/>
  <c r="F61" i="16"/>
  <c r="E61" i="16"/>
  <c r="D61" i="16"/>
  <c r="C61" i="16"/>
  <c r="J48" i="16"/>
  <c r="I48" i="16"/>
  <c r="H48" i="16"/>
  <c r="G48" i="16"/>
  <c r="F48" i="16"/>
  <c r="E48" i="16"/>
  <c r="D48" i="16"/>
  <c r="C48" i="16"/>
  <c r="J47" i="16"/>
  <c r="J159" i="10" s="1"/>
  <c r="I47" i="16"/>
  <c r="I159" i="10" s="1"/>
  <c r="H47" i="16"/>
  <c r="H159" i="10" s="1"/>
  <c r="G47" i="16"/>
  <c r="G159" i="10" s="1"/>
  <c r="F47" i="16"/>
  <c r="F159" i="10" s="1"/>
  <c r="E47" i="16"/>
  <c r="E159" i="10" s="1"/>
  <c r="D47" i="16"/>
  <c r="D159" i="10" s="1"/>
  <c r="C47" i="16"/>
  <c r="C159" i="10" s="1"/>
  <c r="J44" i="16"/>
  <c r="I44" i="16"/>
  <c r="H44" i="16"/>
  <c r="G44" i="16"/>
  <c r="F44" i="16"/>
  <c r="E44" i="16"/>
  <c r="D44" i="16"/>
  <c r="C44" i="16"/>
  <c r="J41" i="16"/>
  <c r="I41" i="16"/>
  <c r="H41" i="16"/>
  <c r="G41" i="16"/>
  <c r="F41" i="16"/>
  <c r="E41" i="16"/>
  <c r="D41" i="16"/>
  <c r="C41" i="16"/>
  <c r="J39" i="16"/>
  <c r="J136" i="10" s="1"/>
  <c r="I39" i="16"/>
  <c r="I136" i="10" s="1"/>
  <c r="H39" i="16"/>
  <c r="H136" i="10" s="1"/>
  <c r="G39" i="16"/>
  <c r="G136" i="10" s="1"/>
  <c r="F39" i="16"/>
  <c r="F136" i="10" s="1"/>
  <c r="E39" i="16"/>
  <c r="E136" i="10" s="1"/>
  <c r="D39" i="16"/>
  <c r="D136" i="10" s="1"/>
  <c r="C39" i="16"/>
  <c r="C136" i="10" s="1"/>
  <c r="J25" i="16"/>
  <c r="I25" i="16"/>
  <c r="H25" i="16"/>
  <c r="G25" i="16"/>
  <c r="F25" i="16"/>
  <c r="E25" i="16"/>
  <c r="D25" i="16"/>
  <c r="C25" i="16"/>
  <c r="J23" i="16"/>
  <c r="I23" i="16"/>
  <c r="H23" i="16"/>
  <c r="G23" i="16"/>
  <c r="F23" i="16"/>
  <c r="E23" i="16"/>
  <c r="D23" i="16"/>
  <c r="C23" i="16"/>
  <c r="J20" i="16"/>
  <c r="J89" i="10" s="1"/>
  <c r="R89" i="10" s="1"/>
  <c r="I20" i="16"/>
  <c r="I89" i="10" s="1"/>
  <c r="H20" i="16"/>
  <c r="H89" i="10" s="1"/>
  <c r="P89" i="10" s="1"/>
  <c r="G20" i="16"/>
  <c r="G89" i="10" s="1"/>
  <c r="F20" i="16"/>
  <c r="F89" i="10" s="1"/>
  <c r="E20" i="16"/>
  <c r="E89" i="10" s="1"/>
  <c r="M89" i="10" s="1"/>
  <c r="D20" i="16"/>
  <c r="D89" i="10" s="1"/>
  <c r="C20" i="16"/>
  <c r="C89" i="10" s="1"/>
  <c r="K89" i="10" s="1"/>
  <c r="C8" i="16"/>
  <c r="J7" i="16"/>
  <c r="I7" i="16"/>
  <c r="H7" i="16"/>
  <c r="G7" i="16"/>
  <c r="F7" i="16"/>
  <c r="E7" i="16"/>
  <c r="D7" i="16"/>
  <c r="C7" i="16"/>
  <c r="C19" i="10" s="1"/>
  <c r="C43" i="10" s="1"/>
  <c r="L2324" i="10" l="1"/>
  <c r="L2209" i="10"/>
  <c r="N2324" i="10"/>
  <c r="N2209" i="10"/>
  <c r="Q2324" i="10"/>
  <c r="Q2209" i="10"/>
  <c r="M2324" i="10"/>
  <c r="M2209" i="10"/>
  <c r="Q2322" i="10"/>
  <c r="Q2207" i="10"/>
  <c r="P2322" i="10"/>
  <c r="P2207" i="10"/>
  <c r="R2322" i="10"/>
  <c r="R2207" i="10"/>
  <c r="O2324" i="10"/>
  <c r="O2209" i="10"/>
  <c r="K2323" i="10"/>
  <c r="P2324" i="10"/>
  <c r="P2209" i="10"/>
  <c r="L2323" i="10"/>
  <c r="L2208" i="10"/>
  <c r="J571" i="16"/>
  <c r="J570" i="16" s="1"/>
  <c r="J2796" i="10" s="1"/>
  <c r="M2323" i="10"/>
  <c r="M2208" i="10"/>
  <c r="R2324" i="10"/>
  <c r="R2209" i="10"/>
  <c r="N2323" i="10"/>
  <c r="N2208" i="10"/>
  <c r="E571" i="16"/>
  <c r="E570" i="16" s="1"/>
  <c r="E2796" i="10" s="1"/>
  <c r="G831" i="16"/>
  <c r="G830" i="16" s="1"/>
  <c r="G3469" i="10" s="1"/>
  <c r="H783" i="16"/>
  <c r="H782" i="16" s="1"/>
  <c r="H3665" i="10" s="1"/>
  <c r="O2322" i="10"/>
  <c r="O2207" i="10"/>
  <c r="O2323" i="10"/>
  <c r="O2208" i="10"/>
  <c r="Q2323" i="10"/>
  <c r="Q2208" i="10"/>
  <c r="P2323" i="10"/>
  <c r="P2208" i="10"/>
  <c r="R2323" i="10"/>
  <c r="R2208" i="10"/>
  <c r="L2322" i="10"/>
  <c r="L2207" i="10"/>
  <c r="D831" i="16"/>
  <c r="D830" i="16" s="1"/>
  <c r="D3469" i="10" s="1"/>
  <c r="K2322" i="10"/>
  <c r="M2322" i="10"/>
  <c r="M2207" i="10"/>
  <c r="C571" i="16"/>
  <c r="C570" i="16" s="1"/>
  <c r="C2796" i="10" s="1"/>
  <c r="K2796" i="10" s="1"/>
  <c r="N2322" i="10"/>
  <c r="N2207" i="10"/>
  <c r="K2324" i="10"/>
  <c r="F831" i="16"/>
  <c r="F830" i="16" s="1"/>
  <c r="F3469" i="10" s="1"/>
  <c r="N111" i="10"/>
  <c r="N89" i="10"/>
  <c r="L111" i="10"/>
  <c r="L89" i="10"/>
  <c r="Q111" i="10"/>
  <c r="Q89" i="10"/>
  <c r="O111" i="10"/>
  <c r="O89" i="10"/>
  <c r="K3202" i="10"/>
  <c r="K3469" i="10"/>
  <c r="K1269" i="10"/>
  <c r="F741" i="10"/>
  <c r="E741" i="10"/>
  <c r="H741" i="10"/>
  <c r="K159" i="10"/>
  <c r="C111" i="10"/>
  <c r="K136" i="10"/>
  <c r="G741" i="10"/>
  <c r="D741" i="10"/>
  <c r="I741" i="10"/>
  <c r="I1067" i="10"/>
  <c r="I459" i="10"/>
  <c r="I549" i="10"/>
  <c r="I639" i="10"/>
  <c r="K1247" i="10"/>
  <c r="E8" i="16"/>
  <c r="E19" i="10"/>
  <c r="E43" i="10" s="1"/>
  <c r="P111" i="10"/>
  <c r="C59" i="16"/>
  <c r="C71" i="16"/>
  <c r="C57" i="16" s="1"/>
  <c r="E831" i="16"/>
  <c r="E830" i="16" s="1"/>
  <c r="E3469" i="10" s="1"/>
  <c r="C277" i="10"/>
  <c r="D8" i="16"/>
  <c r="D19" i="10"/>
  <c r="D43" i="10" s="1"/>
  <c r="J459" i="10"/>
  <c r="J549" i="10"/>
  <c r="J1067" i="10"/>
  <c r="J639" i="10"/>
  <c r="C751" i="10"/>
  <c r="H921" i="10"/>
  <c r="P921" i="10"/>
  <c r="H855" i="10"/>
  <c r="P855" i="10"/>
  <c r="P697" i="10"/>
  <c r="P741" i="10"/>
  <c r="H719" i="10"/>
  <c r="P877" i="10"/>
  <c r="P899" i="10"/>
  <c r="P719" i="10"/>
  <c r="E471" i="10"/>
  <c r="E561" i="10"/>
  <c r="E651" i="10"/>
  <c r="F8" i="16"/>
  <c r="F19" i="10"/>
  <c r="G8" i="16"/>
  <c r="G19" i="10"/>
  <c r="G43" i="10" s="1"/>
  <c r="R111" i="10"/>
  <c r="J59" i="16"/>
  <c r="E71" i="16"/>
  <c r="C1225" i="10"/>
  <c r="J561" i="10"/>
  <c r="J471" i="10"/>
  <c r="J651" i="10"/>
  <c r="I561" i="10"/>
  <c r="I471" i="10"/>
  <c r="I651" i="10"/>
  <c r="H831" i="16"/>
  <c r="H830" i="16" s="1"/>
  <c r="H3469" i="10" s="1"/>
  <c r="C1291" i="10"/>
  <c r="C471" i="10"/>
  <c r="C651" i="10"/>
  <c r="R449" i="10"/>
  <c r="R493" i="10"/>
  <c r="R471" i="10"/>
  <c r="R291" i="10"/>
  <c r="J427" i="10"/>
  <c r="J493" i="10"/>
  <c r="R427" i="10"/>
  <c r="R313" i="10"/>
  <c r="J313" i="10"/>
  <c r="Q493" i="10"/>
  <c r="Q313" i="10"/>
  <c r="Q427" i="10"/>
  <c r="Q471" i="10"/>
  <c r="I427" i="10"/>
  <c r="I493" i="10"/>
  <c r="Q449" i="10"/>
  <c r="I1057" i="10"/>
  <c r="I1147" i="10"/>
  <c r="I967" i="10"/>
  <c r="G59" i="16"/>
  <c r="G57" i="16" s="1"/>
  <c r="D561" i="10"/>
  <c r="D471" i="10"/>
  <c r="D651" i="10"/>
  <c r="K449" i="10"/>
  <c r="K313" i="10"/>
  <c r="C427" i="10"/>
  <c r="C493" i="10"/>
  <c r="K427" i="10"/>
  <c r="K471" i="10"/>
  <c r="K493" i="10"/>
  <c r="J8" i="16"/>
  <c r="J19" i="10"/>
  <c r="H71" i="16"/>
  <c r="H57" i="16" s="1"/>
  <c r="D549" i="10"/>
  <c r="D459" i="10"/>
  <c r="D1067" i="10"/>
  <c r="D639" i="10"/>
  <c r="J831" i="16"/>
  <c r="J830" i="16" s="1"/>
  <c r="J3469" i="10" s="1"/>
  <c r="L449" i="10"/>
  <c r="L471" i="10"/>
  <c r="D427" i="10"/>
  <c r="L427" i="10"/>
  <c r="L493" i="10"/>
  <c r="L313" i="10"/>
  <c r="D493" i="10"/>
  <c r="N899" i="10"/>
  <c r="F855" i="10"/>
  <c r="N741" i="10"/>
  <c r="N921" i="10"/>
  <c r="F719" i="10"/>
  <c r="N697" i="10"/>
  <c r="F921" i="10"/>
  <c r="N855" i="10"/>
  <c r="N877" i="10"/>
  <c r="N719" i="10"/>
  <c r="M855" i="10"/>
  <c r="M697" i="10"/>
  <c r="M741" i="10"/>
  <c r="E719" i="10"/>
  <c r="E921" i="10"/>
  <c r="M877" i="10"/>
  <c r="M899" i="10"/>
  <c r="E855" i="10"/>
  <c r="M921" i="10"/>
  <c r="M719" i="10"/>
  <c r="J449" i="10"/>
  <c r="H561" i="10"/>
  <c r="H471" i="10"/>
  <c r="H651" i="10"/>
  <c r="C449" i="10"/>
  <c r="G561" i="10"/>
  <c r="G471" i="10"/>
  <c r="G651" i="10"/>
  <c r="D1079" i="10"/>
  <c r="F561" i="10"/>
  <c r="F471" i="10"/>
  <c r="F651" i="10"/>
  <c r="F71" i="16"/>
  <c r="F59" i="16"/>
  <c r="F549" i="10"/>
  <c r="F459" i="10"/>
  <c r="F1067" i="10"/>
  <c r="F639" i="10"/>
  <c r="G571" i="16"/>
  <c r="G570" i="16" s="1"/>
  <c r="G2796" i="10" s="1"/>
  <c r="F783" i="16"/>
  <c r="F782" i="16" s="1"/>
  <c r="F3665" i="10" s="1"/>
  <c r="C1247" i="10"/>
  <c r="I1237" i="10"/>
  <c r="H427" i="10"/>
  <c r="P427" i="10"/>
  <c r="P313" i="10"/>
  <c r="P449" i="10"/>
  <c r="P471" i="10"/>
  <c r="H493" i="10"/>
  <c r="P493" i="10"/>
  <c r="O449" i="10"/>
  <c r="O313" i="10"/>
  <c r="G493" i="10"/>
  <c r="O427" i="10"/>
  <c r="O471" i="10"/>
  <c r="G427" i="10"/>
  <c r="O493" i="10"/>
  <c r="N427" i="10"/>
  <c r="N471" i="10"/>
  <c r="N313" i="10"/>
  <c r="N493" i="10"/>
  <c r="F427" i="10"/>
  <c r="N449" i="10"/>
  <c r="F493" i="10"/>
  <c r="K1291" i="10"/>
  <c r="J1057" i="10"/>
  <c r="J877" i="10"/>
  <c r="J1147" i="10"/>
  <c r="J967" i="10"/>
  <c r="J71" i="16"/>
  <c r="G1067" i="10"/>
  <c r="G549" i="10"/>
  <c r="G459" i="10"/>
  <c r="G639" i="10"/>
  <c r="D571" i="16"/>
  <c r="D570" i="16" s="1"/>
  <c r="D2796" i="10" s="1"/>
  <c r="C1269" i="10"/>
  <c r="C719" i="10"/>
  <c r="I449" i="10"/>
  <c r="H8" i="16"/>
  <c r="H19" i="10"/>
  <c r="I8" i="16"/>
  <c r="I19" i="10"/>
  <c r="I43" i="10" s="1"/>
  <c r="C1067" i="10"/>
  <c r="C459" i="10"/>
  <c r="C639" i="10"/>
  <c r="I71" i="16"/>
  <c r="E1067" i="10"/>
  <c r="E459" i="10"/>
  <c r="E549" i="10"/>
  <c r="E639" i="10"/>
  <c r="K111" i="10"/>
  <c r="M111" i="10"/>
  <c r="H549" i="10"/>
  <c r="H459" i="10"/>
  <c r="H1067" i="10"/>
  <c r="H639" i="10"/>
  <c r="I1079" i="10"/>
  <c r="G855" i="10"/>
  <c r="O921" i="10"/>
  <c r="O855" i="10"/>
  <c r="O899" i="10"/>
  <c r="O877" i="10"/>
  <c r="O741" i="10"/>
  <c r="G719" i="10"/>
  <c r="O697" i="10"/>
  <c r="G921" i="10"/>
  <c r="O719" i="10"/>
  <c r="L877" i="10"/>
  <c r="L697" i="10"/>
  <c r="D719" i="10"/>
  <c r="L741" i="10"/>
  <c r="D921" i="10"/>
  <c r="L921" i="10"/>
  <c r="D855" i="10"/>
  <c r="L855" i="10"/>
  <c r="L899" i="10"/>
  <c r="L719" i="10"/>
  <c r="R899" i="10"/>
  <c r="R921" i="10"/>
  <c r="J855" i="10"/>
  <c r="R877" i="10"/>
  <c r="R741" i="10"/>
  <c r="R855" i="10"/>
  <c r="J719" i="10"/>
  <c r="R697" i="10"/>
  <c r="J921" i="10"/>
  <c r="R719" i="10"/>
  <c r="Q697" i="10"/>
  <c r="Q741" i="10"/>
  <c r="I719" i="10"/>
  <c r="I921" i="10"/>
  <c r="Q877" i="10"/>
  <c r="Q855" i="10"/>
  <c r="Q899" i="10"/>
  <c r="I855" i="10"/>
  <c r="Q921" i="10"/>
  <c r="Q719" i="10"/>
  <c r="E427" i="10"/>
  <c r="M313" i="10"/>
  <c r="M493" i="10"/>
  <c r="M427" i="10"/>
  <c r="M471" i="10"/>
  <c r="M449" i="10"/>
  <c r="E493" i="10"/>
  <c r="D59" i="16"/>
  <c r="D57" i="16" s="1"/>
  <c r="C767" i="16"/>
  <c r="C766" i="16" s="1"/>
  <c r="C3601" i="10" s="1"/>
  <c r="E59" i="16"/>
  <c r="I59" i="16"/>
  <c r="J901" i="15"/>
  <c r="I901" i="15"/>
  <c r="H901" i="15"/>
  <c r="G901" i="15"/>
  <c r="F901" i="15"/>
  <c r="E901" i="15"/>
  <c r="D901" i="15"/>
  <c r="C901" i="15"/>
  <c r="J796" i="15"/>
  <c r="I796" i="15"/>
  <c r="H796" i="15"/>
  <c r="G796" i="15"/>
  <c r="F796" i="15"/>
  <c r="E796" i="15"/>
  <c r="D796" i="15"/>
  <c r="C796" i="15"/>
  <c r="J789" i="15"/>
  <c r="J3520" i="10" s="1"/>
  <c r="I789" i="15"/>
  <c r="I3520" i="10" s="1"/>
  <c r="H789" i="15"/>
  <c r="H3520" i="10" s="1"/>
  <c r="G789" i="15"/>
  <c r="G3520" i="10" s="1"/>
  <c r="F789" i="15"/>
  <c r="F3520" i="10" s="1"/>
  <c r="E789" i="15"/>
  <c r="E3520" i="10" s="1"/>
  <c r="D789" i="15"/>
  <c r="D3520" i="10" s="1"/>
  <c r="C789" i="15"/>
  <c r="C3520" i="10" s="1"/>
  <c r="J537" i="15"/>
  <c r="J2778" i="10" s="1"/>
  <c r="I537" i="15"/>
  <c r="I2778" i="10" s="1"/>
  <c r="H537" i="15"/>
  <c r="H2778" i="10" s="1"/>
  <c r="G537" i="15"/>
  <c r="G2778" i="10" s="1"/>
  <c r="F537" i="15"/>
  <c r="F2778" i="10" s="1"/>
  <c r="E537" i="15"/>
  <c r="E2778" i="10" s="1"/>
  <c r="D537" i="15"/>
  <c r="D2778" i="10" s="1"/>
  <c r="C537" i="15"/>
  <c r="C2778" i="10" s="1"/>
  <c r="J484" i="15"/>
  <c r="J483" i="15" s="1"/>
  <c r="J2921" i="10" s="1"/>
  <c r="I484" i="15"/>
  <c r="I483" i="15" s="1"/>
  <c r="I2921" i="10" s="1"/>
  <c r="H484" i="15"/>
  <c r="H483" i="15" s="1"/>
  <c r="H2921" i="10" s="1"/>
  <c r="G484" i="15"/>
  <c r="G483" i="15" s="1"/>
  <c r="G2921" i="10" s="1"/>
  <c r="F484" i="15"/>
  <c r="E484" i="15"/>
  <c r="E483" i="15" s="1"/>
  <c r="E2921" i="10" s="1"/>
  <c r="D484" i="15"/>
  <c r="D483" i="15" s="1"/>
  <c r="D2921" i="10" s="1"/>
  <c r="C484" i="15"/>
  <c r="C483" i="15" s="1"/>
  <c r="C2921" i="10" s="1"/>
  <c r="F483" i="15"/>
  <c r="F2921" i="10" s="1"/>
  <c r="J476" i="15"/>
  <c r="J475" i="15" s="1"/>
  <c r="J2920" i="10" s="1"/>
  <c r="I476" i="15"/>
  <c r="I475" i="15" s="1"/>
  <c r="I2920" i="10" s="1"/>
  <c r="H476" i="15"/>
  <c r="H475" i="15" s="1"/>
  <c r="H2920" i="10" s="1"/>
  <c r="G476" i="15"/>
  <c r="G475" i="15" s="1"/>
  <c r="G2920" i="10" s="1"/>
  <c r="F476" i="15"/>
  <c r="E476" i="15"/>
  <c r="E475" i="15" s="1"/>
  <c r="E2920" i="10" s="1"/>
  <c r="D476" i="15"/>
  <c r="D475" i="15" s="1"/>
  <c r="D2920" i="10" s="1"/>
  <c r="C476" i="15"/>
  <c r="C475" i="15" s="1"/>
  <c r="C2920" i="10" s="1"/>
  <c r="F475" i="15"/>
  <c r="F2920" i="10" s="1"/>
  <c r="J428" i="15"/>
  <c r="J424" i="15" s="1"/>
  <c r="I424" i="15"/>
  <c r="H424" i="15"/>
  <c r="G424" i="15"/>
  <c r="F424" i="15"/>
  <c r="E424" i="15"/>
  <c r="D424" i="15"/>
  <c r="C424" i="15"/>
  <c r="J419" i="15"/>
  <c r="J415" i="15" s="1"/>
  <c r="J2849" i="10" s="1"/>
  <c r="I415" i="15"/>
  <c r="I2849" i="10" s="1"/>
  <c r="H415" i="15"/>
  <c r="H2849" i="10" s="1"/>
  <c r="G415" i="15"/>
  <c r="G2849" i="10" s="1"/>
  <c r="F415" i="15"/>
  <c r="F2849" i="10" s="1"/>
  <c r="E415" i="15"/>
  <c r="E2849" i="10" s="1"/>
  <c r="D415" i="15"/>
  <c r="D2849" i="10" s="1"/>
  <c r="C415" i="15"/>
  <c r="C2849" i="10" s="1"/>
  <c r="J398" i="15"/>
  <c r="J2300" i="10" s="1"/>
  <c r="I398" i="15"/>
  <c r="I2300" i="10" s="1"/>
  <c r="H398" i="15"/>
  <c r="H2300" i="10" s="1"/>
  <c r="G398" i="15"/>
  <c r="G2300" i="10" s="1"/>
  <c r="F398" i="15"/>
  <c r="F2300" i="10" s="1"/>
  <c r="E398" i="15"/>
  <c r="E2300" i="10" s="1"/>
  <c r="D398" i="15"/>
  <c r="D2300" i="10" s="1"/>
  <c r="C398" i="15"/>
  <c r="C2300" i="10" s="1"/>
  <c r="J378" i="15"/>
  <c r="J2299" i="10" s="1"/>
  <c r="I378" i="15"/>
  <c r="I2299" i="10" s="1"/>
  <c r="H378" i="15"/>
  <c r="H2299" i="10" s="1"/>
  <c r="G378" i="15"/>
  <c r="G2299" i="10" s="1"/>
  <c r="F378" i="15"/>
  <c r="F2299" i="10" s="1"/>
  <c r="E378" i="15"/>
  <c r="E2299" i="10" s="1"/>
  <c r="D378" i="15"/>
  <c r="D2299" i="10" s="1"/>
  <c r="C378" i="15"/>
  <c r="C2299" i="10" s="1"/>
  <c r="J370" i="15"/>
  <c r="J2298" i="10" s="1"/>
  <c r="I370" i="15"/>
  <c r="I2298" i="10" s="1"/>
  <c r="H370" i="15"/>
  <c r="H2298" i="10" s="1"/>
  <c r="G370" i="15"/>
  <c r="G2298" i="10" s="1"/>
  <c r="F370" i="15"/>
  <c r="F2298" i="10" s="1"/>
  <c r="E370" i="15"/>
  <c r="D370" i="15"/>
  <c r="D2298" i="10" s="1"/>
  <c r="C370" i="15"/>
  <c r="C2298" i="10" s="1"/>
  <c r="F367" i="15"/>
  <c r="F2297" i="10" s="1"/>
  <c r="N2297" i="10" s="1"/>
  <c r="J350" i="15"/>
  <c r="I350" i="15"/>
  <c r="H350" i="15"/>
  <c r="G350" i="15"/>
  <c r="F350" i="15"/>
  <c r="E350" i="15"/>
  <c r="D350" i="15"/>
  <c r="C350" i="15"/>
  <c r="J330" i="15"/>
  <c r="I330" i="15"/>
  <c r="H330" i="15"/>
  <c r="G330" i="15"/>
  <c r="F330" i="15"/>
  <c r="E330" i="15"/>
  <c r="D330" i="15"/>
  <c r="C330" i="15"/>
  <c r="J322" i="15"/>
  <c r="I322" i="15"/>
  <c r="H322" i="15"/>
  <c r="G322" i="15"/>
  <c r="F322" i="15"/>
  <c r="E322" i="15"/>
  <c r="D322" i="15"/>
  <c r="C322" i="15"/>
  <c r="J300" i="15"/>
  <c r="I300" i="15"/>
  <c r="H300" i="15"/>
  <c r="G300" i="15"/>
  <c r="F300" i="15"/>
  <c r="E300" i="15"/>
  <c r="D300" i="15"/>
  <c r="C300" i="15"/>
  <c r="J296" i="15"/>
  <c r="I296" i="15"/>
  <c r="Q2413" i="10" s="1"/>
  <c r="H296" i="15"/>
  <c r="G296" i="15"/>
  <c r="F296" i="15"/>
  <c r="N2413" i="10" s="1"/>
  <c r="E296" i="15"/>
  <c r="M2413" i="10" s="1"/>
  <c r="D296" i="15"/>
  <c r="L2413" i="10" s="1"/>
  <c r="C296" i="15"/>
  <c r="K2413" i="10" s="1"/>
  <c r="J241" i="15"/>
  <c r="J702" i="10" s="1"/>
  <c r="I241" i="15"/>
  <c r="I702" i="10" s="1"/>
  <c r="J232" i="15"/>
  <c r="J792" i="10" s="1"/>
  <c r="I232" i="15"/>
  <c r="I792" i="10" s="1"/>
  <c r="H232" i="15"/>
  <c r="H792" i="10" s="1"/>
  <c r="G232" i="15"/>
  <c r="G792" i="10" s="1"/>
  <c r="F232" i="15"/>
  <c r="F792" i="10" s="1"/>
  <c r="E232" i="15"/>
  <c r="E792" i="10" s="1"/>
  <c r="D232" i="15"/>
  <c r="D792" i="10" s="1"/>
  <c r="C232" i="15"/>
  <c r="C792" i="10" s="1"/>
  <c r="J223" i="15"/>
  <c r="J770" i="10" s="1"/>
  <c r="I223" i="15"/>
  <c r="I770" i="10" s="1"/>
  <c r="H223" i="15"/>
  <c r="H770" i="10" s="1"/>
  <c r="G223" i="15"/>
  <c r="G770" i="10" s="1"/>
  <c r="F223" i="15"/>
  <c r="F770" i="10" s="1"/>
  <c r="E223" i="15"/>
  <c r="E770" i="10" s="1"/>
  <c r="D223" i="15"/>
  <c r="D770" i="10" s="1"/>
  <c r="C223" i="15"/>
  <c r="C770" i="10" s="1"/>
  <c r="J171" i="15"/>
  <c r="J296" i="10" s="1"/>
  <c r="I171" i="15"/>
  <c r="I296" i="10" s="1"/>
  <c r="H171" i="15"/>
  <c r="H296" i="10" s="1"/>
  <c r="G171" i="15"/>
  <c r="G296" i="10" s="1"/>
  <c r="F171" i="15"/>
  <c r="F296" i="10" s="1"/>
  <c r="E171" i="15"/>
  <c r="E296" i="10" s="1"/>
  <c r="D171" i="15"/>
  <c r="D296" i="10" s="1"/>
  <c r="C171" i="15"/>
  <c r="C296" i="10" s="1"/>
  <c r="I162" i="15"/>
  <c r="I364" i="10" s="1"/>
  <c r="H162" i="15"/>
  <c r="H364" i="10" s="1"/>
  <c r="G162" i="15"/>
  <c r="G364" i="10" s="1"/>
  <c r="F162" i="15"/>
  <c r="F364" i="10" s="1"/>
  <c r="E162" i="15"/>
  <c r="E364" i="10" s="1"/>
  <c r="D162" i="15"/>
  <c r="D364" i="10" s="1"/>
  <c r="C162" i="15"/>
  <c r="C364" i="10" s="1"/>
  <c r="J153" i="15"/>
  <c r="J342" i="10" s="1"/>
  <c r="I153" i="15"/>
  <c r="I342" i="10" s="1"/>
  <c r="H153" i="15"/>
  <c r="H342" i="10" s="1"/>
  <c r="G153" i="15"/>
  <c r="G342" i="10" s="1"/>
  <c r="F153" i="15"/>
  <c r="F342" i="10" s="1"/>
  <c r="J68" i="15"/>
  <c r="I68" i="15"/>
  <c r="H68" i="15"/>
  <c r="G68" i="15"/>
  <c r="F68" i="15"/>
  <c r="E68" i="15"/>
  <c r="D68" i="15"/>
  <c r="C68" i="15"/>
  <c r="J58" i="15"/>
  <c r="I58" i="15"/>
  <c r="H58" i="15"/>
  <c r="G58" i="15"/>
  <c r="F58" i="15"/>
  <c r="E58" i="15"/>
  <c r="D58" i="15"/>
  <c r="C58" i="15"/>
  <c r="J46" i="15"/>
  <c r="I46" i="15"/>
  <c r="H46" i="15"/>
  <c r="G46" i="15"/>
  <c r="F46" i="15"/>
  <c r="E46" i="15"/>
  <c r="D46" i="15"/>
  <c r="C46" i="15"/>
  <c r="J45" i="15"/>
  <c r="I45" i="15"/>
  <c r="H45" i="15"/>
  <c r="G45" i="15"/>
  <c r="F45" i="15"/>
  <c r="E45" i="15"/>
  <c r="D45" i="15"/>
  <c r="C45" i="15"/>
  <c r="J7" i="15"/>
  <c r="J12" i="10" s="1"/>
  <c r="I7" i="15"/>
  <c r="I12" i="10" s="1"/>
  <c r="H7" i="15"/>
  <c r="H12" i="10" s="1"/>
  <c r="G7" i="15"/>
  <c r="G12" i="10" s="1"/>
  <c r="F7" i="15"/>
  <c r="F12" i="10" s="1"/>
  <c r="E7" i="15"/>
  <c r="E12" i="10" s="1"/>
  <c r="D7" i="15"/>
  <c r="D12" i="10" s="1"/>
  <c r="C7" i="15"/>
  <c r="C12" i="10" s="1"/>
  <c r="J347" i="15" l="1"/>
  <c r="J2534" i="10" s="1"/>
  <c r="J2184" i="10"/>
  <c r="J57" i="16"/>
  <c r="G295" i="15"/>
  <c r="G2413" i="10" s="1"/>
  <c r="O2413" i="10"/>
  <c r="G327" i="15"/>
  <c r="G2532" i="10" s="1"/>
  <c r="G2183" i="10"/>
  <c r="G358" i="15"/>
  <c r="G2536" i="10" s="1"/>
  <c r="G2185" i="10"/>
  <c r="I327" i="15"/>
  <c r="I2532" i="10" s="1"/>
  <c r="I2183" i="10"/>
  <c r="I358" i="15"/>
  <c r="I2536" i="10" s="1"/>
  <c r="I2185" i="10"/>
  <c r="J358" i="15"/>
  <c r="J2536" i="10" s="1"/>
  <c r="J2185" i="10"/>
  <c r="H295" i="15"/>
  <c r="H2413" i="10" s="1"/>
  <c r="P2413" i="10"/>
  <c r="J295" i="15"/>
  <c r="J2413" i="10" s="1"/>
  <c r="R2413" i="10"/>
  <c r="J327" i="15"/>
  <c r="J2532" i="10" s="1"/>
  <c r="J2183" i="10"/>
  <c r="C347" i="15"/>
  <c r="C2534" i="10" s="1"/>
  <c r="C2184" i="10"/>
  <c r="K2299" i="10" s="1"/>
  <c r="C327" i="15"/>
  <c r="C2532" i="10" s="1"/>
  <c r="C2183" i="10"/>
  <c r="K2298" i="10" s="1"/>
  <c r="C358" i="15"/>
  <c r="C2536" i="10" s="1"/>
  <c r="C2185" i="10"/>
  <c r="K2300" i="10" s="1"/>
  <c r="E358" i="15"/>
  <c r="E2536" i="10" s="1"/>
  <c r="E2185" i="10"/>
  <c r="H327" i="15"/>
  <c r="H2532" i="10" s="1"/>
  <c r="H2183" i="10"/>
  <c r="D347" i="15"/>
  <c r="D2534" i="10" s="1"/>
  <c r="D2184" i="10"/>
  <c r="D358" i="15"/>
  <c r="D2536" i="10" s="1"/>
  <c r="D2185" i="10"/>
  <c r="E327" i="15"/>
  <c r="E2532" i="10" s="1"/>
  <c r="E2183" i="10"/>
  <c r="F327" i="15"/>
  <c r="F2532" i="10" s="1"/>
  <c r="F2183" i="10"/>
  <c r="F358" i="15"/>
  <c r="F2536" i="10" s="1"/>
  <c r="F2185" i="10"/>
  <c r="H358" i="15"/>
  <c r="H2536" i="10" s="1"/>
  <c r="H2185" i="10"/>
  <c r="D327" i="15"/>
  <c r="D2532" i="10" s="1"/>
  <c r="D2183" i="10"/>
  <c r="E347" i="15"/>
  <c r="E2534" i="10" s="1"/>
  <c r="E2184" i="10"/>
  <c r="F347" i="15"/>
  <c r="F2534" i="10" s="1"/>
  <c r="F2184" i="10"/>
  <c r="E367" i="15"/>
  <c r="E2297" i="10" s="1"/>
  <c r="M2297" i="10" s="1"/>
  <c r="E2298" i="10"/>
  <c r="G347" i="15"/>
  <c r="G2534" i="10" s="1"/>
  <c r="G2184" i="10"/>
  <c r="H347" i="15"/>
  <c r="H2534" i="10" s="1"/>
  <c r="H2184" i="10"/>
  <c r="I347" i="15"/>
  <c r="I2534" i="10" s="1"/>
  <c r="I2184" i="10"/>
  <c r="P3469" i="10"/>
  <c r="H43" i="10"/>
  <c r="R3469" i="10"/>
  <c r="J43" i="10"/>
  <c r="N3469" i="10"/>
  <c r="F43" i="10"/>
  <c r="M3202" i="10"/>
  <c r="M3469" i="10"/>
  <c r="N3454" i="10"/>
  <c r="N3453" i="10"/>
  <c r="R3454" i="10"/>
  <c r="R3453" i="10"/>
  <c r="L3202" i="10"/>
  <c r="L3469" i="10"/>
  <c r="Q3454" i="10"/>
  <c r="Q3453" i="10"/>
  <c r="K3454" i="10"/>
  <c r="K3453" i="10"/>
  <c r="O3454" i="10"/>
  <c r="O3453" i="10"/>
  <c r="Q3202" i="10"/>
  <c r="Q3469" i="10"/>
  <c r="M3454" i="10"/>
  <c r="M3453" i="10"/>
  <c r="L3454" i="10"/>
  <c r="L3453" i="10"/>
  <c r="P3454" i="10"/>
  <c r="P3453" i="10"/>
  <c r="O3202" i="10"/>
  <c r="O3469" i="10"/>
  <c r="O2778" i="10"/>
  <c r="O3187" i="10"/>
  <c r="O3186" i="10"/>
  <c r="L2778" i="10"/>
  <c r="L3186" i="10"/>
  <c r="L3187" i="10"/>
  <c r="Q3186" i="10"/>
  <c r="Q3187" i="10"/>
  <c r="P136" i="10"/>
  <c r="P3202" i="10"/>
  <c r="R2796" i="10"/>
  <c r="R3202" i="10"/>
  <c r="K2778" i="10"/>
  <c r="K3186" i="10"/>
  <c r="K3187" i="10"/>
  <c r="P2778" i="10"/>
  <c r="P3186" i="10"/>
  <c r="P3187" i="10"/>
  <c r="M2778" i="10"/>
  <c r="M3186" i="10"/>
  <c r="M3187" i="10"/>
  <c r="N2778" i="10"/>
  <c r="N3187" i="10"/>
  <c r="N3186" i="10"/>
  <c r="R2778" i="10"/>
  <c r="R3187" i="10"/>
  <c r="R3186" i="10"/>
  <c r="N2796" i="10"/>
  <c r="N3202" i="10"/>
  <c r="O159" i="10"/>
  <c r="O2796" i="10"/>
  <c r="M159" i="10"/>
  <c r="M2796" i="10"/>
  <c r="Q159" i="10"/>
  <c r="Q2796" i="10"/>
  <c r="L159" i="10"/>
  <c r="L2796" i="10"/>
  <c r="O136" i="10"/>
  <c r="O498" i="10"/>
  <c r="O454" i="10"/>
  <c r="O476" i="10"/>
  <c r="G724" i="10"/>
  <c r="O432" i="10"/>
  <c r="G476" i="10"/>
  <c r="G498" i="10"/>
  <c r="O318" i="10"/>
  <c r="G318" i="10"/>
  <c r="L154" i="10"/>
  <c r="D1286" i="10"/>
  <c r="D272" i="10"/>
  <c r="D746" i="10"/>
  <c r="L1286" i="10"/>
  <c r="L1220" i="10"/>
  <c r="D1264" i="10"/>
  <c r="L1242" i="10"/>
  <c r="L1264" i="10"/>
  <c r="D106" i="10"/>
  <c r="H1062" i="10"/>
  <c r="H1152" i="10"/>
  <c r="H972" i="10"/>
  <c r="H1242" i="10"/>
  <c r="G1040" i="10"/>
  <c r="G860" i="10"/>
  <c r="G950" i="10"/>
  <c r="G1130" i="10"/>
  <c r="G1220" i="10"/>
  <c r="G522" i="10"/>
  <c r="G432" i="10"/>
  <c r="G612" i="10"/>
  <c r="R926" i="10"/>
  <c r="R904" i="10"/>
  <c r="R860" i="10"/>
  <c r="R746" i="10"/>
  <c r="R702" i="10"/>
  <c r="R882" i="10"/>
  <c r="J926" i="10"/>
  <c r="J724" i="10"/>
  <c r="J904" i="10"/>
  <c r="R724" i="10"/>
  <c r="J746" i="10"/>
  <c r="J272" i="10"/>
  <c r="R1264" i="10"/>
  <c r="J1264" i="10"/>
  <c r="J106" i="10"/>
  <c r="R131" i="10"/>
  <c r="R1242" i="10"/>
  <c r="R154" i="10"/>
  <c r="J1286" i="10"/>
  <c r="R1220" i="10"/>
  <c r="R1286" i="10"/>
  <c r="I522" i="10"/>
  <c r="I432" i="10"/>
  <c r="I612" i="10"/>
  <c r="N318" i="10"/>
  <c r="F724" i="10"/>
  <c r="N454" i="10"/>
  <c r="F476" i="10"/>
  <c r="N476" i="10"/>
  <c r="N432" i="10"/>
  <c r="F498" i="10"/>
  <c r="N498" i="10"/>
  <c r="F318" i="10"/>
  <c r="J860" i="10"/>
  <c r="J1040" i="10"/>
  <c r="J1130" i="10"/>
  <c r="J950" i="10"/>
  <c r="J1220" i="10"/>
  <c r="F57" i="16"/>
  <c r="J1291" i="10"/>
  <c r="J277" i="10"/>
  <c r="J751" i="10"/>
  <c r="J1247" i="10"/>
  <c r="J111" i="10"/>
  <c r="R1247" i="10"/>
  <c r="R1269" i="10"/>
  <c r="J1269" i="10"/>
  <c r="J1225" i="10"/>
  <c r="R1291" i="10"/>
  <c r="R136" i="10"/>
  <c r="R159" i="10"/>
  <c r="F1269" i="10"/>
  <c r="N1247" i="10"/>
  <c r="F1247" i="10"/>
  <c r="N1269" i="10"/>
  <c r="F1291" i="10"/>
  <c r="F1225" i="10"/>
  <c r="F751" i="10"/>
  <c r="F277" i="10"/>
  <c r="N1291" i="10"/>
  <c r="C454" i="10"/>
  <c r="C634" i="10"/>
  <c r="P476" i="10"/>
  <c r="P318" i="10"/>
  <c r="H476" i="10"/>
  <c r="P432" i="10"/>
  <c r="P454" i="10"/>
  <c r="P498" i="10"/>
  <c r="H498" i="10"/>
  <c r="H724" i="10"/>
  <c r="H318" i="10"/>
  <c r="D1062" i="10"/>
  <c r="D1152" i="10"/>
  <c r="D972" i="10"/>
  <c r="D1242" i="10"/>
  <c r="Q136" i="10"/>
  <c r="E1062" i="10"/>
  <c r="E972" i="10"/>
  <c r="E1152" i="10"/>
  <c r="E1242" i="10"/>
  <c r="H1247" i="10"/>
  <c r="P1291" i="10"/>
  <c r="P1247" i="10"/>
  <c r="H1269" i="10"/>
  <c r="P1269" i="10"/>
  <c r="H111" i="10"/>
  <c r="H277" i="10"/>
  <c r="H751" i="10"/>
  <c r="H1291" i="10"/>
  <c r="H1225" i="10"/>
  <c r="D544" i="10"/>
  <c r="D454" i="10"/>
  <c r="D634" i="10"/>
  <c r="E454" i="10"/>
  <c r="E544" i="10"/>
  <c r="E634" i="10"/>
  <c r="F1062" i="10"/>
  <c r="F972" i="10"/>
  <c r="F1152" i="10"/>
  <c r="F1242" i="10"/>
  <c r="I57" i="16"/>
  <c r="Q318" i="10"/>
  <c r="Q454" i="10"/>
  <c r="Q498" i="10"/>
  <c r="Q432" i="10"/>
  <c r="Q476" i="10"/>
  <c r="I476" i="10"/>
  <c r="I498" i="10"/>
  <c r="J476" i="10"/>
  <c r="R498" i="10"/>
  <c r="R296" i="10"/>
  <c r="R454" i="10"/>
  <c r="J454" i="10"/>
  <c r="R432" i="10"/>
  <c r="R476" i="10"/>
  <c r="J498" i="10"/>
  <c r="R318" i="10"/>
  <c r="J318" i="10"/>
  <c r="K1264" i="10"/>
  <c r="K1220" i="10"/>
  <c r="K1242" i="10"/>
  <c r="C106" i="10"/>
  <c r="K154" i="10"/>
  <c r="C1286" i="10"/>
  <c r="C746" i="10"/>
  <c r="C272" i="10"/>
  <c r="C1264" i="10"/>
  <c r="K1286" i="10"/>
  <c r="F544" i="10"/>
  <c r="F454" i="10"/>
  <c r="F634" i="10"/>
  <c r="G1062" i="10"/>
  <c r="G1152" i="10"/>
  <c r="G972" i="10"/>
  <c r="G1242" i="10"/>
  <c r="I295" i="15"/>
  <c r="I2413" i="10" s="1"/>
  <c r="E57" i="16"/>
  <c r="F111" i="10"/>
  <c r="E751" i="10"/>
  <c r="E1291" i="10"/>
  <c r="E1225" i="10"/>
  <c r="E277" i="10"/>
  <c r="E1269" i="10"/>
  <c r="M1291" i="10"/>
  <c r="E1247" i="10"/>
  <c r="E111" i="10"/>
  <c r="M1269" i="10"/>
  <c r="M1247" i="10"/>
  <c r="M136" i="10"/>
  <c r="N136" i="10"/>
  <c r="P159" i="10"/>
  <c r="H544" i="10"/>
  <c r="H454" i="10"/>
  <c r="H634" i="10"/>
  <c r="J522" i="10"/>
  <c r="J432" i="10"/>
  <c r="J612" i="10"/>
  <c r="G544" i="10"/>
  <c r="G454" i="10"/>
  <c r="G634" i="10"/>
  <c r="E1264" i="10"/>
  <c r="E272" i="10"/>
  <c r="M1220" i="10"/>
  <c r="E746" i="10"/>
  <c r="E106" i="10"/>
  <c r="M1242" i="10"/>
  <c r="M154" i="10"/>
  <c r="E1286" i="10"/>
  <c r="M1264" i="10"/>
  <c r="M1286" i="10"/>
  <c r="I1062" i="10"/>
  <c r="I1152" i="10"/>
  <c r="I972" i="10"/>
  <c r="I1242" i="10"/>
  <c r="N159" i="10"/>
  <c r="N154" i="10"/>
  <c r="F1286" i="10"/>
  <c r="F106" i="10"/>
  <c r="F272" i="10"/>
  <c r="N1220" i="10"/>
  <c r="F1264" i="10"/>
  <c r="N1264" i="10"/>
  <c r="N1242" i="10"/>
  <c r="N1286" i="10"/>
  <c r="F746" i="10"/>
  <c r="I454" i="10"/>
  <c r="I544" i="10"/>
  <c r="J544" i="10"/>
  <c r="I634" i="10"/>
  <c r="F1040" i="10"/>
  <c r="F860" i="10"/>
  <c r="F1130" i="10"/>
  <c r="F1220" i="10"/>
  <c r="J1062" i="10"/>
  <c r="J882" i="10"/>
  <c r="J1152" i="10"/>
  <c r="J972" i="10"/>
  <c r="J1242" i="10"/>
  <c r="D295" i="15"/>
  <c r="D2413" i="10" s="1"/>
  <c r="C1062" i="10"/>
  <c r="C882" i="10"/>
  <c r="C1152" i="10"/>
  <c r="C1242" i="10"/>
  <c r="I1291" i="10"/>
  <c r="I1225" i="10"/>
  <c r="I751" i="10"/>
  <c r="I1269" i="10"/>
  <c r="I1247" i="10"/>
  <c r="Q1291" i="10"/>
  <c r="I277" i="10"/>
  <c r="Q1269" i="10"/>
  <c r="Q1247" i="10"/>
  <c r="I111" i="10"/>
  <c r="K498" i="10"/>
  <c r="K454" i="10"/>
  <c r="K476" i="10"/>
  <c r="C432" i="10"/>
  <c r="C476" i="10"/>
  <c r="C498" i="10"/>
  <c r="C724" i="10"/>
  <c r="K432" i="10"/>
  <c r="K318" i="10"/>
  <c r="C318" i="10"/>
  <c r="E295" i="15"/>
  <c r="E2413" i="10" s="1"/>
  <c r="D1247" i="10"/>
  <c r="L1291" i="10"/>
  <c r="L1247" i="10"/>
  <c r="D1269" i="10"/>
  <c r="D111" i="10"/>
  <c r="D277" i="10"/>
  <c r="D1291" i="10"/>
  <c r="D751" i="10"/>
  <c r="D1225" i="10"/>
  <c r="L1269" i="10"/>
  <c r="O1220" i="10"/>
  <c r="O1242" i="10"/>
  <c r="G1264" i="10"/>
  <c r="G106" i="10"/>
  <c r="O154" i="10"/>
  <c r="G1286" i="10"/>
  <c r="G272" i="10"/>
  <c r="G746" i="10"/>
  <c r="O1286" i="10"/>
  <c r="O1264" i="10"/>
  <c r="F522" i="10"/>
  <c r="F432" i="10"/>
  <c r="F612" i="10"/>
  <c r="Q860" i="10"/>
  <c r="Q926" i="10"/>
  <c r="Q882" i="10"/>
  <c r="I904" i="10"/>
  <c r="Q904" i="10"/>
  <c r="Q702" i="10"/>
  <c r="I926" i="10"/>
  <c r="I724" i="10"/>
  <c r="Q746" i="10"/>
  <c r="Q724" i="10"/>
  <c r="I746" i="10"/>
  <c r="P154" i="10"/>
  <c r="H1286" i="10"/>
  <c r="H746" i="10"/>
  <c r="H106" i="10"/>
  <c r="P1286" i="10"/>
  <c r="H272" i="10"/>
  <c r="H1264" i="10"/>
  <c r="P1220" i="10"/>
  <c r="P1242" i="10"/>
  <c r="P1264" i="10"/>
  <c r="L318" i="10"/>
  <c r="L476" i="10"/>
  <c r="D724" i="10"/>
  <c r="D476" i="10"/>
  <c r="D432" i="10"/>
  <c r="L432" i="10"/>
  <c r="D498" i="10"/>
  <c r="L454" i="10"/>
  <c r="L498" i="10"/>
  <c r="D318" i="10"/>
  <c r="H1040" i="10"/>
  <c r="H860" i="10"/>
  <c r="H950" i="10"/>
  <c r="H1130" i="10"/>
  <c r="H1220" i="10"/>
  <c r="F295" i="15"/>
  <c r="F2413" i="10" s="1"/>
  <c r="I1264" i="10"/>
  <c r="Q1264" i="10"/>
  <c r="Q1220" i="10"/>
  <c r="I106" i="10"/>
  <c r="Q154" i="10"/>
  <c r="I1286" i="10"/>
  <c r="Q1242" i="10"/>
  <c r="I272" i="10"/>
  <c r="Q1286" i="10"/>
  <c r="H522" i="10"/>
  <c r="H432" i="10"/>
  <c r="H612" i="10"/>
  <c r="E432" i="10"/>
  <c r="E476" i="10"/>
  <c r="M454" i="10"/>
  <c r="M498" i="10"/>
  <c r="M432" i="10"/>
  <c r="M476" i="10"/>
  <c r="M318" i="10"/>
  <c r="E498" i="10"/>
  <c r="E724" i="10"/>
  <c r="E318" i="10"/>
  <c r="I860" i="10"/>
  <c r="I1040" i="10"/>
  <c r="I1130" i="10"/>
  <c r="I950" i="10"/>
  <c r="I1220" i="10"/>
  <c r="C295" i="15"/>
  <c r="C2413" i="10" s="1"/>
  <c r="G751" i="10"/>
  <c r="G1291" i="10"/>
  <c r="G1225" i="10"/>
  <c r="G277" i="10"/>
  <c r="O1247" i="10"/>
  <c r="O1269" i="10"/>
  <c r="G1269" i="10"/>
  <c r="G1247" i="10"/>
  <c r="O1291" i="10"/>
  <c r="G111" i="10"/>
  <c r="L136" i="10"/>
  <c r="C1220" i="10"/>
  <c r="C1130" i="10"/>
  <c r="C1040" i="10"/>
  <c r="C860" i="10"/>
  <c r="E1220" i="10"/>
  <c r="E1040" i="10"/>
  <c r="E860" i="10"/>
  <c r="E950" i="10"/>
  <c r="E1130" i="10"/>
  <c r="F950" i="10"/>
  <c r="D1220" i="10"/>
  <c r="D1130" i="10"/>
  <c r="D1040" i="10"/>
  <c r="D860" i="10"/>
  <c r="D950" i="10"/>
  <c r="E406" i="15"/>
  <c r="M2535" i="10" s="1"/>
  <c r="E375" i="15"/>
  <c r="M2533" i="10" s="1"/>
  <c r="F375" i="15"/>
  <c r="N2533" i="10" s="1"/>
  <c r="F406" i="15"/>
  <c r="N2535" i="10" s="1"/>
  <c r="D367" i="15"/>
  <c r="D406" i="15" s="1"/>
  <c r="L2535" i="10" s="1"/>
  <c r="C367" i="15"/>
  <c r="F395" i="15"/>
  <c r="N2534" i="10" s="1"/>
  <c r="I367" i="15"/>
  <c r="I395" i="15"/>
  <c r="Q2534" i="10" s="1"/>
  <c r="E395" i="15"/>
  <c r="M2534" i="10" s="1"/>
  <c r="G367" i="15"/>
  <c r="G395" i="15" s="1"/>
  <c r="O2534" i="10" s="1"/>
  <c r="H367" i="15"/>
  <c r="J367" i="15"/>
  <c r="J395" i="15"/>
  <c r="R2534" i="10" s="1"/>
  <c r="J949" i="14"/>
  <c r="I949" i="14"/>
  <c r="H949" i="14"/>
  <c r="H3472" i="10" s="1"/>
  <c r="P3472" i="10" s="1"/>
  <c r="G949" i="14"/>
  <c r="F949" i="14"/>
  <c r="E949" i="14"/>
  <c r="D949" i="14"/>
  <c r="C949" i="14"/>
  <c r="C3472" i="10" s="1"/>
  <c r="K3472" i="10" s="1"/>
  <c r="J910" i="14"/>
  <c r="I910" i="14"/>
  <c r="H910" i="14"/>
  <c r="G910" i="14"/>
  <c r="F910" i="14"/>
  <c r="E910" i="14"/>
  <c r="E3406" i="10" s="1"/>
  <c r="D910" i="14"/>
  <c r="C910" i="14"/>
  <c r="C3406" i="10" s="1"/>
  <c r="E908" i="14"/>
  <c r="J562" i="14"/>
  <c r="J2799" i="10" s="1"/>
  <c r="R2799" i="10" s="1"/>
  <c r="I562" i="14"/>
  <c r="I2799" i="10" s="1"/>
  <c r="Q2799" i="10" s="1"/>
  <c r="H562" i="14"/>
  <c r="H2799" i="10" s="1"/>
  <c r="G562" i="14"/>
  <c r="G2799" i="10" s="1"/>
  <c r="O2799" i="10" s="1"/>
  <c r="F562" i="14"/>
  <c r="F2799" i="10" s="1"/>
  <c r="N2799" i="10" s="1"/>
  <c r="E562" i="14"/>
  <c r="E2799" i="10" s="1"/>
  <c r="M2799" i="10" s="1"/>
  <c r="D562" i="14"/>
  <c r="D2799" i="10" s="1"/>
  <c r="L2799" i="10" s="1"/>
  <c r="C562" i="14"/>
  <c r="C2799" i="10" s="1"/>
  <c r="K2799" i="10" s="1"/>
  <c r="J495" i="14"/>
  <c r="J2939" i="10" s="1"/>
  <c r="I495" i="14"/>
  <c r="I2939" i="10" s="1"/>
  <c r="H495" i="14"/>
  <c r="H2939" i="10" s="1"/>
  <c r="G495" i="14"/>
  <c r="G2939" i="10" s="1"/>
  <c r="F495" i="14"/>
  <c r="F2939" i="10" s="1"/>
  <c r="E495" i="14"/>
  <c r="E2939" i="10" s="1"/>
  <c r="D495" i="14"/>
  <c r="D2939" i="10" s="1"/>
  <c r="C495" i="14"/>
  <c r="C2939" i="10" s="1"/>
  <c r="J441" i="14"/>
  <c r="R2571" i="10" s="1"/>
  <c r="J421" i="14"/>
  <c r="R2570" i="10" s="1"/>
  <c r="J366" i="14"/>
  <c r="J316" i="14"/>
  <c r="R2445" i="10" s="1"/>
  <c r="I316" i="14"/>
  <c r="Q2445" i="10" s="1"/>
  <c r="H316" i="14"/>
  <c r="P2445" i="10" s="1"/>
  <c r="G316" i="14"/>
  <c r="O2445" i="10" s="1"/>
  <c r="F316" i="14"/>
  <c r="N2445" i="10" s="1"/>
  <c r="E316" i="14"/>
  <c r="M2445" i="10" s="1"/>
  <c r="D316" i="14"/>
  <c r="L2445" i="10" s="1"/>
  <c r="C316" i="14"/>
  <c r="K2445" i="10" s="1"/>
  <c r="I303" i="14"/>
  <c r="Q2444" i="10" s="1"/>
  <c r="H303" i="14"/>
  <c r="P2444" i="10" s="1"/>
  <c r="G303" i="14"/>
  <c r="O2444" i="10" s="1"/>
  <c r="F303" i="14"/>
  <c r="N2444" i="10" s="1"/>
  <c r="E303" i="14"/>
  <c r="M2444" i="10" s="1"/>
  <c r="D303" i="14"/>
  <c r="L2444" i="10" s="1"/>
  <c r="C303" i="14"/>
  <c r="K2444" i="10" s="1"/>
  <c r="J234" i="14"/>
  <c r="J708" i="10" s="1"/>
  <c r="I234" i="14"/>
  <c r="I708" i="10" s="1"/>
  <c r="H234" i="14"/>
  <c r="H708" i="10" s="1"/>
  <c r="G234" i="14"/>
  <c r="G708" i="10" s="1"/>
  <c r="F234" i="14"/>
  <c r="F708" i="10" s="1"/>
  <c r="E234" i="14"/>
  <c r="E708" i="10" s="1"/>
  <c r="D234" i="14"/>
  <c r="D708" i="10" s="1"/>
  <c r="C234" i="14"/>
  <c r="C708" i="10" s="1"/>
  <c r="J157" i="14"/>
  <c r="J392" i="10" s="1"/>
  <c r="J125" i="14"/>
  <c r="D908" i="14" l="1"/>
  <c r="D3406" i="10"/>
  <c r="L3406" i="10" s="1"/>
  <c r="M2299" i="10"/>
  <c r="M2184" i="10"/>
  <c r="P2298" i="10"/>
  <c r="P2183" i="10"/>
  <c r="R2300" i="10"/>
  <c r="R2185" i="10"/>
  <c r="J946" i="14"/>
  <c r="J3472" i="10"/>
  <c r="R3472" i="10" s="1"/>
  <c r="M3406" i="10"/>
  <c r="F908" i="14"/>
  <c r="F3406" i="10"/>
  <c r="N3406" i="10" s="1"/>
  <c r="J375" i="15"/>
  <c r="R2533" i="10" s="1"/>
  <c r="J2297" i="10"/>
  <c r="R2297" i="10" s="1"/>
  <c r="L2298" i="10"/>
  <c r="L2183" i="10"/>
  <c r="M2300" i="10"/>
  <c r="M2185" i="10"/>
  <c r="Q2300" i="10"/>
  <c r="Q2185" i="10"/>
  <c r="G908" i="14"/>
  <c r="G3406" i="10"/>
  <c r="H908" i="14"/>
  <c r="H3406" i="10"/>
  <c r="P3406" i="10" s="1"/>
  <c r="P2300" i="10"/>
  <c r="P2185" i="10"/>
  <c r="Q2298" i="10"/>
  <c r="Q2183" i="10"/>
  <c r="I908" i="14"/>
  <c r="I3406" i="10"/>
  <c r="G375" i="15"/>
  <c r="O2533" i="10" s="1"/>
  <c r="G2297" i="10"/>
  <c r="O2297" i="10" s="1"/>
  <c r="I946" i="14"/>
  <c r="I3472" i="10"/>
  <c r="Q3472" i="10" s="1"/>
  <c r="J908" i="14"/>
  <c r="J3406" i="10"/>
  <c r="Q2299" i="10"/>
  <c r="Q2184" i="10"/>
  <c r="N2300" i="10"/>
  <c r="N2185" i="10"/>
  <c r="O2300" i="10"/>
  <c r="O2185" i="10"/>
  <c r="H395" i="15"/>
  <c r="P2534" i="10" s="1"/>
  <c r="H2297" i="10"/>
  <c r="P2297" i="10" s="1"/>
  <c r="C946" i="14"/>
  <c r="H946" i="14"/>
  <c r="I375" i="15"/>
  <c r="Q2533" i="10" s="1"/>
  <c r="I2297" i="10"/>
  <c r="Q2297" i="10" s="1"/>
  <c r="P2299" i="10"/>
  <c r="P2184" i="10"/>
  <c r="N2298" i="10"/>
  <c r="N2183" i="10"/>
  <c r="O2298" i="10"/>
  <c r="O2183" i="10"/>
  <c r="J346" i="14"/>
  <c r="J2213" i="10" s="1"/>
  <c r="J2214" i="10"/>
  <c r="D946" i="14"/>
  <c r="D3472" i="10"/>
  <c r="L3472" i="10" s="1"/>
  <c r="C406" i="15"/>
  <c r="K2535" i="10" s="1"/>
  <c r="C2297" i="10"/>
  <c r="K2297" i="10" s="1"/>
  <c r="O2299" i="10"/>
  <c r="O2184" i="10"/>
  <c r="M2298" i="10"/>
  <c r="M2183" i="10"/>
  <c r="R2298" i="10"/>
  <c r="R2183" i="10"/>
  <c r="E946" i="14"/>
  <c r="E3472" i="10"/>
  <c r="M3472" i="10" s="1"/>
  <c r="F946" i="14"/>
  <c r="F3472" i="10"/>
  <c r="N3472" i="10" s="1"/>
  <c r="D395" i="15"/>
  <c r="L2534" i="10" s="1"/>
  <c r="D2297" i="10"/>
  <c r="L2297" i="10" s="1"/>
  <c r="L2300" i="10"/>
  <c r="L2185" i="10"/>
  <c r="C908" i="14"/>
  <c r="G946" i="14"/>
  <c r="G3472" i="10"/>
  <c r="O3472" i="10" s="1"/>
  <c r="R2299" i="10"/>
  <c r="R2184" i="10"/>
  <c r="N2299" i="10"/>
  <c r="N2184" i="10"/>
  <c r="L2299" i="10"/>
  <c r="L2184" i="10"/>
  <c r="F932" i="10"/>
  <c r="N932" i="10"/>
  <c r="F866" i="10"/>
  <c r="N752" i="10"/>
  <c r="F730" i="10"/>
  <c r="N910" i="10"/>
  <c r="N708" i="10"/>
  <c r="F910" i="10"/>
  <c r="N866" i="10"/>
  <c r="N888" i="10"/>
  <c r="N730" i="10"/>
  <c r="F752" i="10"/>
  <c r="K866" i="10"/>
  <c r="C932" i="10"/>
  <c r="C730" i="10"/>
  <c r="K910" i="10"/>
  <c r="K888" i="10"/>
  <c r="K932" i="10"/>
  <c r="C866" i="10"/>
  <c r="C888" i="10"/>
  <c r="C910" i="10"/>
  <c r="K752" i="10"/>
  <c r="K730" i="10"/>
  <c r="C752" i="10"/>
  <c r="M752" i="10"/>
  <c r="E910" i="10"/>
  <c r="E730" i="10"/>
  <c r="M708" i="10"/>
  <c r="E932" i="10"/>
  <c r="M888" i="10"/>
  <c r="M932" i="10"/>
  <c r="M866" i="10"/>
  <c r="E866" i="10"/>
  <c r="M910" i="10"/>
  <c r="M730" i="10"/>
  <c r="E752" i="10"/>
  <c r="O866" i="10"/>
  <c r="O932" i="10"/>
  <c r="G866" i="10"/>
  <c r="G932" i="10"/>
  <c r="O708" i="10"/>
  <c r="G730" i="10"/>
  <c r="O752" i="10"/>
  <c r="G910" i="10"/>
  <c r="O888" i="10"/>
  <c r="O910" i="10"/>
  <c r="O730" i="10"/>
  <c r="G752" i="10"/>
  <c r="P888" i="10"/>
  <c r="H866" i="10"/>
  <c r="H910" i="10"/>
  <c r="P910" i="10"/>
  <c r="P708" i="10"/>
  <c r="H932" i="10"/>
  <c r="P866" i="10"/>
  <c r="H730" i="10"/>
  <c r="P752" i="10"/>
  <c r="P932" i="10"/>
  <c r="P730" i="10"/>
  <c r="H752" i="10"/>
  <c r="I730" i="10"/>
  <c r="Q708" i="10"/>
  <c r="Q866" i="10"/>
  <c r="I932" i="10"/>
  <c r="I910" i="10"/>
  <c r="Q888" i="10"/>
  <c r="Q752" i="10"/>
  <c r="I866" i="10"/>
  <c r="Q910" i="10"/>
  <c r="Q932" i="10"/>
  <c r="Q730" i="10"/>
  <c r="I752" i="10"/>
  <c r="J932" i="10"/>
  <c r="R888" i="10"/>
  <c r="R752" i="10"/>
  <c r="J730" i="10"/>
  <c r="R910" i="10"/>
  <c r="R708" i="10"/>
  <c r="R866" i="10"/>
  <c r="R932" i="10"/>
  <c r="J888" i="10"/>
  <c r="J910" i="10"/>
  <c r="J866" i="10"/>
  <c r="R730" i="10"/>
  <c r="J752" i="10"/>
  <c r="G406" i="15"/>
  <c r="O2535" i="10" s="1"/>
  <c r="L888" i="10"/>
  <c r="D866" i="10"/>
  <c r="D910" i="10"/>
  <c r="L910" i="10"/>
  <c r="L752" i="10"/>
  <c r="L708" i="10"/>
  <c r="D730" i="10"/>
  <c r="D932" i="10"/>
  <c r="L866" i="10"/>
  <c r="L932" i="10"/>
  <c r="L730" i="10"/>
  <c r="D752" i="10"/>
  <c r="J1090" i="10"/>
  <c r="J572" i="10"/>
  <c r="J482" i="10"/>
  <c r="J662" i="10"/>
  <c r="I406" i="15"/>
  <c r="Q2535" i="10" s="1"/>
  <c r="C395" i="15"/>
  <c r="K2534" i="10" s="1"/>
  <c r="H406" i="15"/>
  <c r="P2535" i="10" s="1"/>
  <c r="C375" i="15"/>
  <c r="K2533" i="10" s="1"/>
  <c r="H375" i="15"/>
  <c r="P2533" i="10" s="1"/>
  <c r="J406" i="15"/>
  <c r="R2535" i="10" s="1"/>
  <c r="D375" i="15"/>
  <c r="L2533" i="10" s="1"/>
  <c r="Q3406" i="10" l="1"/>
  <c r="R2328" i="10"/>
  <c r="R2213" i="10"/>
  <c r="R2329" i="10"/>
  <c r="R2214" i="10"/>
  <c r="O3406" i="10"/>
  <c r="R3406" i="10"/>
  <c r="J363" i="14"/>
  <c r="J2570" i="10" s="1"/>
  <c r="J383" i="14"/>
  <c r="J2571" i="10" s="1"/>
  <c r="J710" i="13"/>
  <c r="J709" i="13"/>
  <c r="J703" i="13"/>
  <c r="J702" i="13" s="1"/>
  <c r="J3463" i="10" s="1"/>
  <c r="R3463" i="10" s="1"/>
  <c r="J687" i="13"/>
  <c r="J686" i="13" s="1"/>
  <c r="J680" i="13"/>
  <c r="J679" i="13" s="1"/>
  <c r="J663" i="13"/>
  <c r="J662" i="13" s="1"/>
  <c r="J3659" i="10" s="1"/>
  <c r="J648" i="13"/>
  <c r="J647" i="13"/>
  <c r="J3595" i="10" s="1"/>
  <c r="J472" i="13"/>
  <c r="J471" i="13"/>
  <c r="J2788" i="10" s="1"/>
  <c r="R2788" i="10" s="1"/>
  <c r="J448" i="13"/>
  <c r="J2718" i="10" s="1"/>
  <c r="R2718" i="10" s="1"/>
  <c r="I423" i="13"/>
  <c r="I2930" i="10" s="1"/>
  <c r="H423" i="13"/>
  <c r="H2930" i="10" s="1"/>
  <c r="G423" i="13"/>
  <c r="G2930" i="10" s="1"/>
  <c r="F423" i="13"/>
  <c r="F2930" i="10" s="1"/>
  <c r="E423" i="13"/>
  <c r="E2930" i="10" s="1"/>
  <c r="D423" i="13"/>
  <c r="D2930" i="10" s="1"/>
  <c r="C423" i="13"/>
  <c r="C2930" i="10" s="1"/>
  <c r="I406" i="13"/>
  <c r="J397" i="13"/>
  <c r="J2859" i="10" s="1"/>
  <c r="I397" i="13"/>
  <c r="I2859" i="10" s="1"/>
  <c r="H397" i="13"/>
  <c r="H2859" i="10" s="1"/>
  <c r="G397" i="13"/>
  <c r="G2859" i="10" s="1"/>
  <c r="F397" i="13"/>
  <c r="F2859" i="10" s="1"/>
  <c r="E397" i="13"/>
  <c r="E2859" i="10" s="1"/>
  <c r="D397" i="13"/>
  <c r="D2859" i="10" s="1"/>
  <c r="C397" i="13"/>
  <c r="C2859" i="10" s="1"/>
  <c r="J371" i="13"/>
  <c r="J2314" i="10" s="1"/>
  <c r="I371" i="13"/>
  <c r="I2314" i="10" s="1"/>
  <c r="H371" i="13"/>
  <c r="H2314" i="10" s="1"/>
  <c r="G371" i="13"/>
  <c r="G2314" i="10" s="1"/>
  <c r="F371" i="13"/>
  <c r="F2314" i="10" s="1"/>
  <c r="E371" i="13"/>
  <c r="E2314" i="10" s="1"/>
  <c r="D371" i="13"/>
  <c r="D2314" i="10" s="1"/>
  <c r="C371" i="13"/>
  <c r="C2314" i="10" s="1"/>
  <c r="J334" i="13"/>
  <c r="J2199" i="10" s="1"/>
  <c r="I334" i="13"/>
  <c r="I2199" i="10" s="1"/>
  <c r="H334" i="13"/>
  <c r="H2199" i="10" s="1"/>
  <c r="G334" i="13"/>
  <c r="G2199" i="10" s="1"/>
  <c r="F334" i="13"/>
  <c r="F2199" i="10" s="1"/>
  <c r="E334" i="13"/>
  <c r="E2199" i="10" s="1"/>
  <c r="D334" i="13"/>
  <c r="D2199" i="10" s="1"/>
  <c r="C334" i="13"/>
  <c r="C2199" i="10" s="1"/>
  <c r="K2314" i="10" s="1"/>
  <c r="J239" i="13"/>
  <c r="I239" i="13"/>
  <c r="H239" i="13"/>
  <c r="G239" i="13"/>
  <c r="F239" i="13"/>
  <c r="E239" i="13"/>
  <c r="D239" i="13"/>
  <c r="J223" i="13"/>
  <c r="I223" i="13"/>
  <c r="I817" i="10" s="1"/>
  <c r="H223" i="13"/>
  <c r="H817" i="10" s="1"/>
  <c r="G223" i="13"/>
  <c r="F223" i="13"/>
  <c r="E223" i="13"/>
  <c r="E817" i="10" s="1"/>
  <c r="D223" i="13"/>
  <c r="D817" i="10" s="1"/>
  <c r="J219" i="13"/>
  <c r="J773" i="10" s="1"/>
  <c r="I219" i="13"/>
  <c r="I773" i="10" s="1"/>
  <c r="H219" i="13"/>
  <c r="H773" i="10" s="1"/>
  <c r="G219" i="13"/>
  <c r="G773" i="10" s="1"/>
  <c r="F219" i="13"/>
  <c r="F773" i="10" s="1"/>
  <c r="E219" i="13"/>
  <c r="E773" i="10" s="1"/>
  <c r="D219" i="13"/>
  <c r="D773" i="10" s="1"/>
  <c r="J155" i="13"/>
  <c r="J389" i="10" s="1"/>
  <c r="I155" i="13"/>
  <c r="I389" i="10" s="1"/>
  <c r="H155" i="13"/>
  <c r="G155" i="13"/>
  <c r="F155" i="13"/>
  <c r="F389" i="10" s="1"/>
  <c r="E155" i="13"/>
  <c r="E389" i="10" s="1"/>
  <c r="D155" i="13"/>
  <c r="D389" i="10" s="1"/>
  <c r="J151" i="13"/>
  <c r="J345" i="10" s="1"/>
  <c r="I151" i="13"/>
  <c r="I345" i="10" s="1"/>
  <c r="H151" i="13"/>
  <c r="H345" i="10" s="1"/>
  <c r="G151" i="13"/>
  <c r="G345" i="10" s="1"/>
  <c r="F151" i="13"/>
  <c r="F345" i="10" s="1"/>
  <c r="E151" i="13"/>
  <c r="E345" i="10" s="1"/>
  <c r="D151" i="13"/>
  <c r="D345" i="10" s="1"/>
  <c r="J123" i="13"/>
  <c r="D40" i="13"/>
  <c r="C40" i="13"/>
  <c r="I39" i="13"/>
  <c r="I134" i="10" s="1"/>
  <c r="R2314" i="10" l="1"/>
  <c r="R2199" i="10"/>
  <c r="J676" i="13"/>
  <c r="J3397" i="10"/>
  <c r="R3397" i="10" s="1"/>
  <c r="L2314" i="10"/>
  <c r="L2199" i="10"/>
  <c r="M2314" i="10"/>
  <c r="M2199" i="10"/>
  <c r="N2314" i="10"/>
  <c r="N2199" i="10"/>
  <c r="O2314" i="10"/>
  <c r="O2199" i="10"/>
  <c r="P2314" i="10"/>
  <c r="P2199" i="10"/>
  <c r="Q2314" i="10"/>
  <c r="Q2199" i="10"/>
  <c r="D1087" i="10"/>
  <c r="D997" i="10"/>
  <c r="D1177" i="10"/>
  <c r="D1267" i="10"/>
  <c r="H165" i="13"/>
  <c r="H299" i="10" s="1"/>
  <c r="H435" i="10" s="1"/>
  <c r="H389" i="10"/>
  <c r="I569" i="10" s="1"/>
  <c r="I659" i="10"/>
  <c r="F233" i="13"/>
  <c r="F817" i="10"/>
  <c r="J1043" i="10"/>
  <c r="J1133" i="10"/>
  <c r="J953" i="10"/>
  <c r="J1223" i="10"/>
  <c r="G165" i="13"/>
  <c r="G299" i="10" s="1"/>
  <c r="G435" i="10" s="1"/>
  <c r="G389" i="10"/>
  <c r="E525" i="10"/>
  <c r="E615" i="10"/>
  <c r="F525" i="10"/>
  <c r="F615" i="10"/>
  <c r="D165" i="13"/>
  <c r="D299" i="10" s="1"/>
  <c r="H1177" i="10"/>
  <c r="H1267" i="10"/>
  <c r="E569" i="10"/>
  <c r="E659" i="10"/>
  <c r="J569" i="10"/>
  <c r="J659" i="10"/>
  <c r="G525" i="10"/>
  <c r="G615" i="10"/>
  <c r="I1087" i="10"/>
  <c r="I997" i="10"/>
  <c r="I1177" i="10"/>
  <c r="I1267" i="10"/>
  <c r="H525" i="10"/>
  <c r="H615" i="10"/>
  <c r="E1043" i="10"/>
  <c r="E1133" i="10"/>
  <c r="E953" i="10"/>
  <c r="E1223" i="10"/>
  <c r="J233" i="13"/>
  <c r="J817" i="10"/>
  <c r="G1043" i="10"/>
  <c r="G953" i="10"/>
  <c r="G1133" i="10"/>
  <c r="G1223" i="10"/>
  <c r="I1043" i="10"/>
  <c r="I1133" i="10"/>
  <c r="I953" i="10"/>
  <c r="I1223" i="10"/>
  <c r="F569" i="10"/>
  <c r="F659" i="10"/>
  <c r="E1087" i="10"/>
  <c r="E997" i="10"/>
  <c r="E1177" i="10"/>
  <c r="E1267" i="10"/>
  <c r="D525" i="10"/>
  <c r="D615" i="10"/>
  <c r="G233" i="13"/>
  <c r="G817" i="10"/>
  <c r="D1043" i="10"/>
  <c r="D1133" i="10"/>
  <c r="D953" i="10"/>
  <c r="D1223" i="10"/>
  <c r="I525" i="10"/>
  <c r="I615" i="10"/>
  <c r="F1043" i="10"/>
  <c r="F1133" i="10"/>
  <c r="F953" i="10"/>
  <c r="F1223" i="10"/>
  <c r="J525" i="10"/>
  <c r="J615" i="10"/>
  <c r="J699" i="13"/>
  <c r="D569" i="10"/>
  <c r="D659" i="10"/>
  <c r="H1043" i="10"/>
  <c r="H953" i="10"/>
  <c r="H1133" i="10"/>
  <c r="H1223" i="10"/>
  <c r="E165" i="13"/>
  <c r="E299" i="10" s="1"/>
  <c r="E479" i="10" s="1"/>
  <c r="F165" i="13"/>
  <c r="F299" i="10" s="1"/>
  <c r="F479" i="10" s="1"/>
  <c r="E233" i="13"/>
  <c r="I165" i="13"/>
  <c r="I299" i="10" s="1"/>
  <c r="J165" i="13"/>
  <c r="J299" i="10" s="1"/>
  <c r="I233" i="13"/>
  <c r="D233" i="13"/>
  <c r="H233" i="13"/>
  <c r="H1087" i="10" l="1"/>
  <c r="F435" i="10"/>
  <c r="L457" i="10"/>
  <c r="D457" i="10"/>
  <c r="L435" i="10"/>
  <c r="L321" i="10"/>
  <c r="L479" i="10"/>
  <c r="L501" i="10"/>
  <c r="D501" i="10"/>
  <c r="L299" i="10"/>
  <c r="D321" i="10"/>
  <c r="F1087" i="10"/>
  <c r="F997" i="10"/>
  <c r="F1177" i="10"/>
  <c r="F1267" i="10"/>
  <c r="D234" i="13"/>
  <c r="D705" i="10"/>
  <c r="F234" i="13"/>
  <c r="F705" i="10"/>
  <c r="F907" i="10" s="1"/>
  <c r="I234" i="13"/>
  <c r="I705" i="10"/>
  <c r="D479" i="10"/>
  <c r="D435" i="10"/>
  <c r="E435" i="10"/>
  <c r="E234" i="13"/>
  <c r="E705" i="10"/>
  <c r="G569" i="10"/>
  <c r="G479" i="10"/>
  <c r="G659" i="10"/>
  <c r="H457" i="10"/>
  <c r="P435" i="10"/>
  <c r="P321" i="10"/>
  <c r="P299" i="10"/>
  <c r="P501" i="10"/>
  <c r="P457" i="10"/>
  <c r="P479" i="10"/>
  <c r="H501" i="10"/>
  <c r="H321" i="10"/>
  <c r="H569" i="10"/>
  <c r="H479" i="10"/>
  <c r="H659" i="10"/>
  <c r="N299" i="10"/>
  <c r="N321" i="10"/>
  <c r="N479" i="10"/>
  <c r="N501" i="10"/>
  <c r="N435" i="10"/>
  <c r="F457" i="10"/>
  <c r="F501" i="10"/>
  <c r="N457" i="10"/>
  <c r="F321" i="10"/>
  <c r="J1087" i="10"/>
  <c r="J1177" i="10"/>
  <c r="J997" i="10"/>
  <c r="J1267" i="10"/>
  <c r="O299" i="10"/>
  <c r="O321" i="10"/>
  <c r="G457" i="10"/>
  <c r="O435" i="10"/>
  <c r="O457" i="10"/>
  <c r="O479" i="10"/>
  <c r="O501" i="10"/>
  <c r="G501" i="10"/>
  <c r="G321" i="10"/>
  <c r="H234" i="13"/>
  <c r="H705" i="10"/>
  <c r="M435" i="10"/>
  <c r="M501" i="10"/>
  <c r="M299" i="10"/>
  <c r="E457" i="10"/>
  <c r="E501" i="10"/>
  <c r="M479" i="10"/>
  <c r="M457" i="10"/>
  <c r="M321" i="10"/>
  <c r="E321" i="10"/>
  <c r="G1087" i="10"/>
  <c r="G1177" i="10"/>
  <c r="G997" i="10"/>
  <c r="G1267" i="10"/>
  <c r="J234" i="13"/>
  <c r="J705" i="10"/>
  <c r="J727" i="10" s="1"/>
  <c r="H997" i="10"/>
  <c r="G234" i="13"/>
  <c r="G705" i="10"/>
  <c r="I501" i="10"/>
  <c r="Q321" i="10"/>
  <c r="I321" i="10"/>
  <c r="Q299" i="10"/>
  <c r="Q435" i="10"/>
  <c r="Q479" i="10"/>
  <c r="Q457" i="10"/>
  <c r="Q501" i="10"/>
  <c r="I479" i="10"/>
  <c r="I727" i="10"/>
  <c r="I435" i="10"/>
  <c r="I457" i="10"/>
  <c r="J501" i="10"/>
  <c r="R299" i="10"/>
  <c r="J321" i="10"/>
  <c r="R321" i="10"/>
  <c r="R479" i="10"/>
  <c r="J457" i="10"/>
  <c r="R457" i="10"/>
  <c r="R501" i="10"/>
  <c r="J479" i="10"/>
  <c r="R435" i="10"/>
  <c r="J435" i="10"/>
  <c r="J374" i="12"/>
  <c r="I374" i="12"/>
  <c r="H374" i="12"/>
  <c r="G374" i="12"/>
  <c r="F374" i="12"/>
  <c r="E374" i="12"/>
  <c r="D374" i="12"/>
  <c r="C374" i="12"/>
  <c r="J365" i="12"/>
  <c r="I365" i="12"/>
  <c r="H365" i="12"/>
  <c r="G365" i="12"/>
  <c r="F365" i="12"/>
  <c r="E365" i="12"/>
  <c r="D365" i="12"/>
  <c r="C365" i="12"/>
  <c r="J337" i="12"/>
  <c r="I337" i="12"/>
  <c r="H337" i="12"/>
  <c r="G337" i="12"/>
  <c r="F337" i="12"/>
  <c r="E337" i="12"/>
  <c r="D337" i="12"/>
  <c r="C337" i="12"/>
  <c r="J328" i="12"/>
  <c r="I328" i="12"/>
  <c r="H328" i="12"/>
  <c r="G328" i="12"/>
  <c r="F328" i="12"/>
  <c r="E328" i="12"/>
  <c r="D328" i="12"/>
  <c r="C328" i="12"/>
  <c r="J224" i="12"/>
  <c r="J222" i="12" s="1"/>
  <c r="I224" i="12"/>
  <c r="I222" i="12" s="1"/>
  <c r="H224" i="12"/>
  <c r="H222" i="12" s="1"/>
  <c r="G224" i="12"/>
  <c r="G222" i="12" s="1"/>
  <c r="F224" i="12"/>
  <c r="F222" i="12" s="1"/>
  <c r="E224" i="12"/>
  <c r="E222" i="12" s="1"/>
  <c r="D224" i="12"/>
  <c r="D222" i="12" s="1"/>
  <c r="C224" i="12"/>
  <c r="C222" i="12" s="1"/>
  <c r="J169" i="12"/>
  <c r="J305" i="10" s="1"/>
  <c r="I169" i="12"/>
  <c r="I305" i="10" s="1"/>
  <c r="H169" i="12"/>
  <c r="H305" i="10" s="1"/>
  <c r="G169" i="12"/>
  <c r="G305" i="10" s="1"/>
  <c r="F169" i="12"/>
  <c r="F305" i="10" s="1"/>
  <c r="E169" i="12"/>
  <c r="E305" i="10" s="1"/>
  <c r="D169" i="12"/>
  <c r="D305" i="10" s="1"/>
  <c r="C169" i="12"/>
  <c r="C305" i="10" s="1"/>
  <c r="D485" i="10" l="1"/>
  <c r="L441" i="10"/>
  <c r="L327" i="10"/>
  <c r="L485" i="10"/>
  <c r="L507" i="10"/>
  <c r="D463" i="10"/>
  <c r="D507" i="10"/>
  <c r="D441" i="10"/>
  <c r="L463" i="10"/>
  <c r="O705" i="10"/>
  <c r="O749" i="10"/>
  <c r="G727" i="10"/>
  <c r="O863" i="10"/>
  <c r="G929" i="10"/>
  <c r="O907" i="10"/>
  <c r="O929" i="10"/>
  <c r="O885" i="10"/>
  <c r="O727" i="10"/>
  <c r="G749" i="10"/>
  <c r="G863" i="10"/>
  <c r="M463" i="10"/>
  <c r="M485" i="10"/>
  <c r="M441" i="10"/>
  <c r="E463" i="10"/>
  <c r="M327" i="10"/>
  <c r="E507" i="10"/>
  <c r="M507" i="10"/>
  <c r="E485" i="10"/>
  <c r="E441" i="10"/>
  <c r="G485" i="10"/>
  <c r="O485" i="10"/>
  <c r="O463" i="10"/>
  <c r="O441" i="10"/>
  <c r="G441" i="10"/>
  <c r="G507" i="10"/>
  <c r="O507" i="10"/>
  <c r="G463" i="10"/>
  <c r="O327" i="10"/>
  <c r="P485" i="10"/>
  <c r="P507" i="10"/>
  <c r="H463" i="10"/>
  <c r="H441" i="10"/>
  <c r="P441" i="10"/>
  <c r="H485" i="10"/>
  <c r="P463" i="10"/>
  <c r="P327" i="10"/>
  <c r="H507" i="10"/>
  <c r="Q907" i="10"/>
  <c r="Q749" i="10"/>
  <c r="Q705" i="10"/>
  <c r="I929" i="10"/>
  <c r="Q929" i="10"/>
  <c r="Q885" i="10"/>
  <c r="Q863" i="10"/>
  <c r="Q727" i="10"/>
  <c r="I749" i="10"/>
  <c r="I907" i="10"/>
  <c r="I863" i="10"/>
  <c r="N749" i="10"/>
  <c r="F727" i="10"/>
  <c r="N705" i="10"/>
  <c r="N863" i="10"/>
  <c r="F929" i="10"/>
  <c r="N885" i="10"/>
  <c r="N929" i="10"/>
  <c r="N907" i="10"/>
  <c r="N727" i="10"/>
  <c r="F749" i="10"/>
  <c r="F863" i="10"/>
  <c r="R907" i="10"/>
  <c r="R929" i="10"/>
  <c r="R885" i="10"/>
  <c r="R749" i="10"/>
  <c r="R705" i="10"/>
  <c r="R863" i="10"/>
  <c r="J929" i="10"/>
  <c r="J885" i="10"/>
  <c r="R727" i="10"/>
  <c r="J749" i="10"/>
  <c r="J863" i="10"/>
  <c r="P749" i="10"/>
  <c r="H727" i="10"/>
  <c r="H929" i="10"/>
  <c r="P863" i="10"/>
  <c r="P929" i="10"/>
  <c r="P885" i="10"/>
  <c r="P705" i="10"/>
  <c r="P907" i="10"/>
  <c r="P727" i="10"/>
  <c r="H749" i="10"/>
  <c r="H907" i="10"/>
  <c r="H863" i="10"/>
  <c r="M885" i="10"/>
  <c r="M907" i="10"/>
  <c r="M929" i="10"/>
  <c r="M749" i="10"/>
  <c r="E727" i="10"/>
  <c r="M705" i="10"/>
  <c r="E929" i="10"/>
  <c r="M863" i="10"/>
  <c r="M727" i="10"/>
  <c r="E749" i="10"/>
  <c r="E907" i="10"/>
  <c r="E863" i="10"/>
  <c r="R485" i="10"/>
  <c r="J485" i="10"/>
  <c r="R463" i="10"/>
  <c r="J507" i="10"/>
  <c r="J441" i="10"/>
  <c r="R441" i="10"/>
  <c r="J463" i="10"/>
  <c r="R305" i="10"/>
  <c r="R507" i="10"/>
  <c r="R327" i="10"/>
  <c r="J327" i="10"/>
  <c r="G907" i="10"/>
  <c r="L705" i="10"/>
  <c r="L749" i="10"/>
  <c r="D727" i="10"/>
  <c r="D929" i="10"/>
  <c r="L863" i="10"/>
  <c r="L885" i="10"/>
  <c r="L929" i="10"/>
  <c r="L907" i="10"/>
  <c r="L727" i="10"/>
  <c r="D749" i="10"/>
  <c r="D907" i="10"/>
  <c r="D863" i="10"/>
  <c r="F441" i="10"/>
  <c r="N507" i="10"/>
  <c r="N327" i="10"/>
  <c r="N463" i="10"/>
  <c r="F463" i="10"/>
  <c r="F485" i="10"/>
  <c r="N485" i="10"/>
  <c r="N441" i="10"/>
  <c r="F507" i="10"/>
  <c r="J907" i="10"/>
  <c r="Q463" i="10"/>
  <c r="Q485" i="10"/>
  <c r="Q441" i="10"/>
  <c r="I463" i="10"/>
  <c r="Q327" i="10"/>
  <c r="I507" i="10"/>
  <c r="Q507" i="10"/>
  <c r="I485" i="10"/>
  <c r="I441" i="10"/>
  <c r="C441" i="10"/>
  <c r="K507" i="10"/>
  <c r="C485" i="10"/>
  <c r="K463" i="10"/>
  <c r="K485" i="10"/>
  <c r="K441" i="10"/>
  <c r="C507" i="10"/>
  <c r="C463" i="10"/>
  <c r="K327" i="10"/>
  <c r="C327" i="10"/>
  <c r="H235" i="12"/>
  <c r="H711" i="10" s="1"/>
  <c r="H779" i="10"/>
  <c r="J235" i="12"/>
  <c r="J711" i="10" s="1"/>
  <c r="J779" i="10"/>
  <c r="C235" i="12"/>
  <c r="C711" i="10" s="1"/>
  <c r="C779" i="10"/>
  <c r="F235" i="12"/>
  <c r="F711" i="10" s="1"/>
  <c r="F779" i="10"/>
  <c r="D235" i="12"/>
  <c r="D711" i="10" s="1"/>
  <c r="D779" i="10"/>
  <c r="G235" i="12"/>
  <c r="G711" i="10" s="1"/>
  <c r="G779" i="10"/>
  <c r="E235" i="12"/>
  <c r="E711" i="10" s="1"/>
  <c r="E779" i="10"/>
  <c r="I235" i="12"/>
  <c r="I711" i="10" s="1"/>
  <c r="I779" i="10"/>
  <c r="J937" i="11"/>
  <c r="J3400" i="10" s="1"/>
  <c r="R3400" i="10" s="1"/>
  <c r="I937" i="11"/>
  <c r="I3400" i="10" s="1"/>
  <c r="H937" i="11"/>
  <c r="H3400" i="10" s="1"/>
  <c r="G937" i="11"/>
  <c r="G3400" i="10" s="1"/>
  <c r="O3400" i="10" s="1"/>
  <c r="F937" i="11"/>
  <c r="F3400" i="10" s="1"/>
  <c r="E937" i="11"/>
  <c r="E3400" i="10" s="1"/>
  <c r="D937" i="11"/>
  <c r="D3400" i="10" s="1"/>
  <c r="L3400" i="10" s="1"/>
  <c r="C937" i="11"/>
  <c r="C3400" i="10" s="1"/>
  <c r="J920" i="11"/>
  <c r="J3662" i="10" s="1"/>
  <c r="I920" i="11"/>
  <c r="I3662" i="10" s="1"/>
  <c r="H920" i="11"/>
  <c r="H3662" i="10" s="1"/>
  <c r="G920" i="11"/>
  <c r="G3662" i="10" s="1"/>
  <c r="F920" i="11"/>
  <c r="F3662" i="10" s="1"/>
  <c r="E920" i="11"/>
  <c r="E3662" i="10" s="1"/>
  <c r="D920" i="11"/>
  <c r="D3662" i="10" s="1"/>
  <c r="C920" i="11"/>
  <c r="C3662" i="10" s="1"/>
  <c r="J905" i="11"/>
  <c r="J3598" i="10" s="1"/>
  <c r="I905" i="11"/>
  <c r="I3598" i="10" s="1"/>
  <c r="H905" i="11"/>
  <c r="H3598" i="10" s="1"/>
  <c r="G905" i="11"/>
  <c r="G3598" i="10" s="1"/>
  <c r="F905" i="11"/>
  <c r="F3598" i="10" s="1"/>
  <c r="E905" i="11"/>
  <c r="E3598" i="10" s="1"/>
  <c r="D905" i="11"/>
  <c r="D3598" i="10" s="1"/>
  <c r="C905" i="11"/>
  <c r="C3598" i="10" s="1"/>
  <c r="J876" i="11"/>
  <c r="J3532" i="10" s="1"/>
  <c r="I876" i="11"/>
  <c r="I3532" i="10" s="1"/>
  <c r="H876" i="11"/>
  <c r="H3532" i="10" s="1"/>
  <c r="G876" i="11"/>
  <c r="G3532" i="10" s="1"/>
  <c r="F876" i="11"/>
  <c r="F3532" i="10" s="1"/>
  <c r="E876" i="11"/>
  <c r="E3532" i="10" s="1"/>
  <c r="D876" i="11"/>
  <c r="D3532" i="10" s="1"/>
  <c r="C876" i="11"/>
  <c r="C3532" i="10" s="1"/>
  <c r="J507" i="11"/>
  <c r="I507" i="11"/>
  <c r="H507" i="11"/>
  <c r="G507" i="11"/>
  <c r="F507" i="11"/>
  <c r="E507" i="11"/>
  <c r="D507" i="11"/>
  <c r="C507" i="11"/>
  <c r="J466" i="11"/>
  <c r="I466" i="11"/>
  <c r="H466" i="11"/>
  <c r="G466" i="11"/>
  <c r="F466" i="11"/>
  <c r="E466" i="11"/>
  <c r="D466" i="11"/>
  <c r="C466" i="11"/>
  <c r="J458" i="11"/>
  <c r="J2317" i="10" s="1"/>
  <c r="R2317" i="10" s="1"/>
  <c r="I458" i="11"/>
  <c r="H458" i="11"/>
  <c r="G458" i="11"/>
  <c r="F458" i="11"/>
  <c r="F2317" i="10" s="1"/>
  <c r="N2317" i="10" s="1"/>
  <c r="E458" i="11"/>
  <c r="D458" i="11"/>
  <c r="C458" i="11"/>
  <c r="C2317" i="10" s="1"/>
  <c r="K2317" i="10" s="1"/>
  <c r="F449" i="11"/>
  <c r="J400" i="11"/>
  <c r="I400" i="11"/>
  <c r="H400" i="11"/>
  <c r="G400" i="11"/>
  <c r="F400" i="11"/>
  <c r="E400" i="11"/>
  <c r="D400" i="11"/>
  <c r="C400" i="11"/>
  <c r="J359" i="11"/>
  <c r="I359" i="11"/>
  <c r="H359" i="11"/>
  <c r="G359" i="11"/>
  <c r="F359" i="11"/>
  <c r="E359" i="11"/>
  <c r="D359" i="11"/>
  <c r="C359" i="11"/>
  <c r="J342" i="11"/>
  <c r="I342" i="11"/>
  <c r="H342" i="11"/>
  <c r="G342" i="11"/>
  <c r="F342" i="11"/>
  <c r="E342" i="11"/>
  <c r="D342" i="11"/>
  <c r="C342" i="11"/>
  <c r="J234" i="11"/>
  <c r="J796" i="10" s="1"/>
  <c r="I234" i="11"/>
  <c r="I796" i="10" s="1"/>
  <c r="H234" i="11"/>
  <c r="H796" i="10" s="1"/>
  <c r="G234" i="11"/>
  <c r="G796" i="10" s="1"/>
  <c r="F234" i="11"/>
  <c r="F796" i="10" s="1"/>
  <c r="E234" i="11"/>
  <c r="E796" i="10" s="1"/>
  <c r="D234" i="11"/>
  <c r="D796" i="10" s="1"/>
  <c r="C234" i="11"/>
  <c r="C796" i="10" s="1"/>
  <c r="J225" i="11"/>
  <c r="J774" i="10" s="1"/>
  <c r="I225" i="11"/>
  <c r="I774" i="10" s="1"/>
  <c r="H225" i="11"/>
  <c r="H774" i="10" s="1"/>
  <c r="G225" i="11"/>
  <c r="G774" i="10" s="1"/>
  <c r="F225" i="11"/>
  <c r="F774" i="10" s="1"/>
  <c r="E225" i="11"/>
  <c r="E774" i="10" s="1"/>
  <c r="D225" i="11"/>
  <c r="D774" i="10" s="1"/>
  <c r="C225" i="11"/>
  <c r="C774" i="10" s="1"/>
  <c r="J167" i="11"/>
  <c r="J368" i="10" s="1"/>
  <c r="I167" i="11"/>
  <c r="I368" i="10" s="1"/>
  <c r="H167" i="11"/>
  <c r="H368" i="10" s="1"/>
  <c r="G167" i="11"/>
  <c r="G368" i="10" s="1"/>
  <c r="F167" i="11"/>
  <c r="F368" i="10" s="1"/>
  <c r="E167" i="11"/>
  <c r="E368" i="10" s="1"/>
  <c r="D167" i="11"/>
  <c r="D368" i="10" s="1"/>
  <c r="C167" i="11"/>
  <c r="C368" i="10" s="1"/>
  <c r="J162" i="11"/>
  <c r="J390" i="10" s="1"/>
  <c r="I162" i="11"/>
  <c r="I390" i="10" s="1"/>
  <c r="H162" i="11"/>
  <c r="H390" i="10" s="1"/>
  <c r="G162" i="11"/>
  <c r="G390" i="10" s="1"/>
  <c r="F162" i="11"/>
  <c r="F390" i="10" s="1"/>
  <c r="E162" i="11"/>
  <c r="E390" i="10" s="1"/>
  <c r="D162" i="11"/>
  <c r="D390" i="10" s="1"/>
  <c r="C162" i="11"/>
  <c r="C390" i="10" s="1"/>
  <c r="J158" i="11"/>
  <c r="I158" i="11"/>
  <c r="H158" i="11"/>
  <c r="G158" i="11"/>
  <c r="G346" i="10" s="1"/>
  <c r="F158" i="11"/>
  <c r="F346" i="10" s="1"/>
  <c r="E158" i="11"/>
  <c r="D158" i="11"/>
  <c r="C158" i="11"/>
  <c r="P3400" i="10" l="1"/>
  <c r="H449" i="11"/>
  <c r="H2317" i="10"/>
  <c r="P2317" i="10" s="1"/>
  <c r="I449" i="11"/>
  <c r="I2317" i="10"/>
  <c r="Q2317" i="10" s="1"/>
  <c r="Q3400" i="10"/>
  <c r="C449" i="11"/>
  <c r="J449" i="11"/>
  <c r="G449" i="11"/>
  <c r="G2317" i="10"/>
  <c r="O2317" i="10" s="1"/>
  <c r="D449" i="11"/>
  <c r="D2317" i="10"/>
  <c r="L2317" i="10" s="1"/>
  <c r="E449" i="11"/>
  <c r="E2317" i="10"/>
  <c r="M2317" i="10" s="1"/>
  <c r="M3400" i="10"/>
  <c r="N3400" i="10"/>
  <c r="F1088" i="10"/>
  <c r="F570" i="10"/>
  <c r="F660" i="10"/>
  <c r="G1088" i="10"/>
  <c r="G570" i="10"/>
  <c r="G660" i="10"/>
  <c r="C1134" i="10"/>
  <c r="C1224" i="10"/>
  <c r="D172" i="11"/>
  <c r="D300" i="10" s="1"/>
  <c r="D458" i="10" s="1"/>
  <c r="D346" i="10"/>
  <c r="D1044" i="10" s="1"/>
  <c r="H570" i="10"/>
  <c r="H1088" i="10"/>
  <c r="H660" i="10"/>
  <c r="D954" i="10"/>
  <c r="D1134" i="10"/>
  <c r="D1224" i="10"/>
  <c r="H1066" i="10"/>
  <c r="H976" i="10"/>
  <c r="H1156" i="10"/>
  <c r="H1246" i="10"/>
  <c r="F1066" i="10"/>
  <c r="F976" i="10"/>
  <c r="F1156" i="10"/>
  <c r="F1246" i="10"/>
  <c r="F616" i="10"/>
  <c r="J570" i="10"/>
  <c r="J1088" i="10"/>
  <c r="J660" i="10"/>
  <c r="F1044" i="10"/>
  <c r="F1134" i="10"/>
  <c r="F954" i="10"/>
  <c r="F1224" i="10"/>
  <c r="J1066" i="10"/>
  <c r="J976" i="10"/>
  <c r="J1156" i="10"/>
  <c r="J1246" i="10"/>
  <c r="I1088" i="10"/>
  <c r="I570" i="10"/>
  <c r="I660" i="10"/>
  <c r="G1044" i="10"/>
  <c r="G954" i="10"/>
  <c r="G1134" i="10"/>
  <c r="G1224" i="10"/>
  <c r="H172" i="11"/>
  <c r="H300" i="10" s="1"/>
  <c r="H458" i="10" s="1"/>
  <c r="H346" i="10"/>
  <c r="D548" i="10"/>
  <c r="D638" i="10"/>
  <c r="H1134" i="10"/>
  <c r="H954" i="10"/>
  <c r="H1224" i="10"/>
  <c r="I172" i="11"/>
  <c r="I300" i="10" s="1"/>
  <c r="I458" i="10" s="1"/>
  <c r="I346" i="10"/>
  <c r="J548" i="10"/>
  <c r="J638" i="10"/>
  <c r="E1134" i="10"/>
  <c r="E954" i="10"/>
  <c r="E1224" i="10"/>
  <c r="G526" i="10"/>
  <c r="G616" i="10"/>
  <c r="E548" i="10"/>
  <c r="E638" i="10"/>
  <c r="I954" i="10"/>
  <c r="I1134" i="10"/>
  <c r="I1224" i="10"/>
  <c r="J172" i="11"/>
  <c r="J300" i="10" s="1"/>
  <c r="J480" i="10" s="1"/>
  <c r="J346" i="10"/>
  <c r="J1044" i="10" s="1"/>
  <c r="F548" i="10"/>
  <c r="F638" i="10"/>
  <c r="J954" i="10"/>
  <c r="J1134" i="10"/>
  <c r="J1224" i="10"/>
  <c r="C638" i="10"/>
  <c r="E172" i="11"/>
  <c r="E300" i="10" s="1"/>
  <c r="E458" i="10" s="1"/>
  <c r="E346" i="10"/>
  <c r="F526" i="10" s="1"/>
  <c r="G548" i="10"/>
  <c r="G638" i="10"/>
  <c r="D570" i="10"/>
  <c r="D1088" i="10"/>
  <c r="D660" i="10"/>
  <c r="H548" i="10"/>
  <c r="H638" i="10"/>
  <c r="D1066" i="10"/>
  <c r="D1156" i="10"/>
  <c r="D976" i="10"/>
  <c r="D1246" i="10"/>
  <c r="I1066" i="10"/>
  <c r="I1156" i="10"/>
  <c r="I976" i="10"/>
  <c r="I1246" i="10"/>
  <c r="C1088" i="10"/>
  <c r="C660" i="10"/>
  <c r="C1066" i="10"/>
  <c r="C1156" i="10"/>
  <c r="C1246" i="10"/>
  <c r="E1088" i="10"/>
  <c r="E570" i="10"/>
  <c r="E660" i="10"/>
  <c r="I548" i="10"/>
  <c r="I638" i="10"/>
  <c r="E1066" i="10"/>
  <c r="E1156" i="10"/>
  <c r="E976" i="10"/>
  <c r="E1246" i="10"/>
  <c r="C172" i="11"/>
  <c r="C300" i="10" s="1"/>
  <c r="C480" i="10" s="1"/>
  <c r="C346" i="10"/>
  <c r="C1044" i="10" s="1"/>
  <c r="G1066" i="10"/>
  <c r="G976" i="10"/>
  <c r="G1156" i="10"/>
  <c r="G1246" i="10"/>
  <c r="G1229" i="10"/>
  <c r="G1139" i="10"/>
  <c r="G1049" i="10"/>
  <c r="G959" i="10"/>
  <c r="G869" i="10"/>
  <c r="F1229" i="10"/>
  <c r="F1139" i="10"/>
  <c r="F1049" i="10"/>
  <c r="F959" i="10"/>
  <c r="F869" i="10"/>
  <c r="Q711" i="10"/>
  <c r="Q935" i="10"/>
  <c r="Q913" i="10"/>
  <c r="I913" i="10"/>
  <c r="Q891" i="10"/>
  <c r="Q869" i="10"/>
  <c r="Q755" i="10"/>
  <c r="I755" i="10"/>
  <c r="Q733" i="10"/>
  <c r="I733" i="10"/>
  <c r="I935" i="10"/>
  <c r="N935" i="10"/>
  <c r="N913" i="10"/>
  <c r="F913" i="10"/>
  <c r="N891" i="10"/>
  <c r="N869" i="10"/>
  <c r="N755" i="10"/>
  <c r="F755" i="10"/>
  <c r="N733" i="10"/>
  <c r="F733" i="10"/>
  <c r="N711" i="10"/>
  <c r="F935" i="10"/>
  <c r="R935" i="10"/>
  <c r="R913" i="10"/>
  <c r="J913" i="10"/>
  <c r="R891" i="10"/>
  <c r="R869" i="10"/>
  <c r="R755" i="10"/>
  <c r="J755" i="10"/>
  <c r="R733" i="10"/>
  <c r="J733" i="10"/>
  <c r="R711" i="10"/>
  <c r="J935" i="10"/>
  <c r="I1229" i="10"/>
  <c r="I1139" i="10"/>
  <c r="I959" i="10"/>
  <c r="I869" i="10"/>
  <c r="I1049" i="10"/>
  <c r="J1049" i="10"/>
  <c r="J1229" i="10"/>
  <c r="J1139" i="10"/>
  <c r="J959" i="10"/>
  <c r="J869" i="10"/>
  <c r="O935" i="10"/>
  <c r="O711" i="10"/>
  <c r="O913" i="10"/>
  <c r="G913" i="10"/>
  <c r="O891" i="10"/>
  <c r="O869" i="10"/>
  <c r="O755" i="10"/>
  <c r="G755" i="10"/>
  <c r="O733" i="10"/>
  <c r="G733" i="10"/>
  <c r="G935" i="10"/>
  <c r="E1229" i="10"/>
  <c r="E1049" i="10"/>
  <c r="E1139" i="10"/>
  <c r="E959" i="10"/>
  <c r="E869" i="10"/>
  <c r="D1139" i="10"/>
  <c r="D1049" i="10"/>
  <c r="D1229" i="10"/>
  <c r="D959" i="10"/>
  <c r="D869" i="10"/>
  <c r="C1229" i="10"/>
  <c r="C1139" i="10"/>
  <c r="C1049" i="10"/>
  <c r="C869" i="10"/>
  <c r="H1229" i="10"/>
  <c r="H1139" i="10"/>
  <c r="H1049" i="10"/>
  <c r="H869" i="10"/>
  <c r="H959" i="10"/>
  <c r="M711" i="10"/>
  <c r="M935" i="10"/>
  <c r="M913" i="10"/>
  <c r="E913" i="10"/>
  <c r="M891" i="10"/>
  <c r="M869" i="10"/>
  <c r="M755" i="10"/>
  <c r="E755" i="10"/>
  <c r="M733" i="10"/>
  <c r="E733" i="10"/>
  <c r="E935" i="10"/>
  <c r="L711" i="10"/>
  <c r="L913" i="10"/>
  <c r="D913" i="10"/>
  <c r="L891" i="10"/>
  <c r="L869" i="10"/>
  <c r="L755" i="10"/>
  <c r="D755" i="10"/>
  <c r="L733" i="10"/>
  <c r="D733" i="10"/>
  <c r="L935" i="10"/>
  <c r="D935" i="10"/>
  <c r="K935" i="10"/>
  <c r="C755" i="10"/>
  <c r="C733" i="10"/>
  <c r="K755" i="10"/>
  <c r="K733" i="10"/>
  <c r="K913" i="10"/>
  <c r="C913" i="10"/>
  <c r="K891" i="10"/>
  <c r="K869" i="10"/>
  <c r="C891" i="10"/>
  <c r="C935" i="10"/>
  <c r="P711" i="10"/>
  <c r="P913" i="10"/>
  <c r="H913" i="10"/>
  <c r="P891" i="10"/>
  <c r="P869" i="10"/>
  <c r="P755" i="10"/>
  <c r="H755" i="10"/>
  <c r="P733" i="10"/>
  <c r="H733" i="10"/>
  <c r="P935" i="10"/>
  <c r="H935" i="10"/>
  <c r="J891" i="10"/>
  <c r="C239" i="11"/>
  <c r="C706" i="10" s="1"/>
  <c r="C886" i="10" s="1"/>
  <c r="D239" i="11"/>
  <c r="D706" i="10" s="1"/>
  <c r="D886" i="10" s="1"/>
  <c r="F172" i="11"/>
  <c r="F300" i="10" s="1"/>
  <c r="E239" i="11"/>
  <c r="E706" i="10" s="1"/>
  <c r="E864" i="10" s="1"/>
  <c r="H239" i="11"/>
  <c r="H706" i="10" s="1"/>
  <c r="H864" i="10" s="1"/>
  <c r="G172" i="11"/>
  <c r="G300" i="10" s="1"/>
  <c r="G480" i="10" s="1"/>
  <c r="G239" i="11"/>
  <c r="G706" i="10" s="1"/>
  <c r="G864" i="10" s="1"/>
  <c r="I239" i="11"/>
  <c r="I706" i="10" s="1"/>
  <c r="I886" i="10" s="1"/>
  <c r="F239" i="11"/>
  <c r="F706" i="10" s="1"/>
  <c r="J239" i="11"/>
  <c r="J706" i="10" s="1"/>
  <c r="J864" i="10" s="1"/>
  <c r="J30" i="10"/>
  <c r="J31" i="10"/>
  <c r="J32" i="10"/>
  <c r="J33" i="10"/>
  <c r="J34" i="10"/>
  <c r="J36" i="10"/>
  <c r="J40" i="10"/>
  <c r="R107" i="10" s="1"/>
  <c r="J41" i="10"/>
  <c r="J42" i="10"/>
  <c r="J47" i="10"/>
  <c r="J48" i="10"/>
  <c r="P3163" i="10"/>
  <c r="O3163" i="10"/>
  <c r="N3163" i="10"/>
  <c r="M3163" i="10"/>
  <c r="L3163" i="10"/>
  <c r="P3162" i="10"/>
  <c r="O3162" i="10"/>
  <c r="N3162" i="10"/>
  <c r="M3162" i="10"/>
  <c r="L3162" i="10"/>
  <c r="K3162" i="10"/>
  <c r="P3161" i="10"/>
  <c r="O3161" i="10"/>
  <c r="N3161" i="10"/>
  <c r="M3161" i="10"/>
  <c r="K3161" i="10"/>
  <c r="P3160" i="10"/>
  <c r="O3160" i="10"/>
  <c r="N3160" i="10"/>
  <c r="M3160" i="10"/>
  <c r="K3160" i="10"/>
  <c r="P2814" i="10"/>
  <c r="P2813" i="10"/>
  <c r="P2810" i="10"/>
  <c r="P2807" i="10"/>
  <c r="P2806" i="10"/>
  <c r="P2799" i="10"/>
  <c r="P2796" i="10"/>
  <c r="P2793" i="10"/>
  <c r="P2792" i="10"/>
  <c r="P2791" i="10"/>
  <c r="P2788" i="10"/>
  <c r="Q2778" i="10"/>
  <c r="Q2757" i="10"/>
  <c r="P2757" i="10"/>
  <c r="O2757" i="10"/>
  <c r="M2757" i="10"/>
  <c r="K2757" i="10"/>
  <c r="Q2756" i="10"/>
  <c r="P2756" i="10"/>
  <c r="O2756" i="10"/>
  <c r="M2756" i="10"/>
  <c r="L2756" i="10"/>
  <c r="K2756" i="10"/>
  <c r="Q2755" i="10"/>
  <c r="P2755" i="10"/>
  <c r="O2755" i="10"/>
  <c r="N2755" i="10"/>
  <c r="M2755" i="10"/>
  <c r="L2755" i="10"/>
  <c r="K2755" i="10"/>
  <c r="Q2754" i="10"/>
  <c r="P2754" i="10"/>
  <c r="O2754" i="10"/>
  <c r="N2754" i="10"/>
  <c r="M2754" i="10"/>
  <c r="L2754" i="10"/>
  <c r="Q2753" i="10"/>
  <c r="P2753" i="10"/>
  <c r="O2753" i="10"/>
  <c r="N2753" i="10"/>
  <c r="K2753" i="10"/>
  <c r="I1484" i="10"/>
  <c r="H1484" i="10"/>
  <c r="G1484" i="10"/>
  <c r="E1484" i="10"/>
  <c r="D1484" i="10"/>
  <c r="E1416" i="10"/>
  <c r="H892" i="10"/>
  <c r="E888" i="10"/>
  <c r="I885" i="10"/>
  <c r="G877" i="10"/>
  <c r="I890" i="10"/>
  <c r="E882" i="10"/>
  <c r="E879" i="10"/>
  <c r="D879" i="10"/>
  <c r="D878" i="10"/>
  <c r="E877" i="10"/>
  <c r="Q293" i="10"/>
  <c r="I328" i="10"/>
  <c r="H328" i="10"/>
  <c r="F328" i="10"/>
  <c r="E328" i="10"/>
  <c r="D328" i="10"/>
  <c r="H327" i="10"/>
  <c r="G327" i="10"/>
  <c r="D327" i="10"/>
  <c r="H326" i="10"/>
  <c r="F326" i="10"/>
  <c r="E326" i="10"/>
  <c r="D326" i="10"/>
  <c r="I318" i="10"/>
  <c r="I315" i="10"/>
  <c r="G315" i="10"/>
  <c r="F315" i="10"/>
  <c r="C315" i="10"/>
  <c r="I314" i="10"/>
  <c r="G314" i="10"/>
  <c r="F314" i="10"/>
  <c r="E314" i="10"/>
  <c r="D314" i="10"/>
  <c r="C314" i="10"/>
  <c r="I313" i="10"/>
  <c r="H313" i="10"/>
  <c r="F313" i="10"/>
  <c r="E313" i="10"/>
  <c r="D313" i="10"/>
  <c r="Q306" i="10"/>
  <c r="O306" i="10"/>
  <c r="N306" i="10"/>
  <c r="M306" i="10"/>
  <c r="P305" i="10"/>
  <c r="O305" i="10"/>
  <c r="N305" i="10"/>
  <c r="M305" i="10"/>
  <c r="L305" i="10"/>
  <c r="P304" i="10"/>
  <c r="O304" i="10"/>
  <c r="N304" i="10"/>
  <c r="M304" i="10"/>
  <c r="L304" i="10"/>
  <c r="Q296" i="10"/>
  <c r="P296" i="10"/>
  <c r="O296" i="10"/>
  <c r="N296" i="10"/>
  <c r="M296" i="10"/>
  <c r="L296" i="10"/>
  <c r="N295" i="10"/>
  <c r="L295" i="10"/>
  <c r="P293" i="10"/>
  <c r="O293" i="10"/>
  <c r="O292" i="10"/>
  <c r="N292" i="10"/>
  <c r="M292" i="10"/>
  <c r="L292" i="10"/>
  <c r="Q291" i="10"/>
  <c r="N291" i="10"/>
  <c r="M291" i="10"/>
  <c r="P148" i="10"/>
  <c r="O148" i="10"/>
  <c r="N148" i="10"/>
  <c r="M148" i="10"/>
  <c r="L148" i="10"/>
  <c r="K148" i="10"/>
  <c r="Q141" i="10"/>
  <c r="P141" i="10"/>
  <c r="O141" i="10"/>
  <c r="N141" i="10"/>
  <c r="M141" i="10"/>
  <c r="L141" i="10"/>
  <c r="K141" i="10"/>
  <c r="Q140" i="10"/>
  <c r="P140" i="10"/>
  <c r="O140" i="10"/>
  <c r="N140" i="10"/>
  <c r="M140" i="10"/>
  <c r="L140" i="10"/>
  <c r="K140" i="10"/>
  <c r="Q139" i="10"/>
  <c r="P139" i="10"/>
  <c r="O139" i="10"/>
  <c r="N139" i="10"/>
  <c r="M139" i="10"/>
  <c r="L139" i="10"/>
  <c r="K139" i="10"/>
  <c r="Q135" i="10"/>
  <c r="P135" i="10"/>
  <c r="O135" i="10"/>
  <c r="N135" i="10"/>
  <c r="M135" i="10"/>
  <c r="L135" i="10"/>
  <c r="K135" i="10"/>
  <c r="Q134" i="10"/>
  <c r="P134" i="10"/>
  <c r="O134" i="10"/>
  <c r="N134" i="10"/>
  <c r="M134" i="10"/>
  <c r="L134" i="10"/>
  <c r="K134" i="10"/>
  <c r="Q131" i="10"/>
  <c r="P131" i="10"/>
  <c r="O131" i="10"/>
  <c r="N131" i="10"/>
  <c r="M131" i="10"/>
  <c r="L131" i="10"/>
  <c r="K131" i="10"/>
  <c r="Q130" i="10"/>
  <c r="P130" i="10"/>
  <c r="O130" i="10"/>
  <c r="N130" i="10"/>
  <c r="M130" i="10"/>
  <c r="L130" i="10"/>
  <c r="K130" i="10"/>
  <c r="Q128" i="10"/>
  <c r="P128" i="10"/>
  <c r="O128" i="10"/>
  <c r="N128" i="10"/>
  <c r="M128" i="10"/>
  <c r="L128" i="10"/>
  <c r="K128" i="10"/>
  <c r="Q127" i="10"/>
  <c r="P127" i="10"/>
  <c r="O127" i="10"/>
  <c r="N127" i="10"/>
  <c r="M127" i="10"/>
  <c r="L127" i="10"/>
  <c r="K127" i="10"/>
  <c r="Q126" i="10"/>
  <c r="P126" i="10"/>
  <c r="O126" i="10"/>
  <c r="N126" i="10"/>
  <c r="M126" i="10"/>
  <c r="L126" i="10"/>
  <c r="K126" i="10"/>
  <c r="Q125" i="10"/>
  <c r="P125" i="10"/>
  <c r="O125" i="10"/>
  <c r="N125" i="10"/>
  <c r="M125" i="10"/>
  <c r="L125" i="10"/>
  <c r="K125" i="10"/>
  <c r="I48" i="10"/>
  <c r="H48" i="10"/>
  <c r="G48" i="10"/>
  <c r="F48" i="10"/>
  <c r="E48" i="10"/>
  <c r="D48" i="10"/>
  <c r="I47" i="10"/>
  <c r="H47" i="10"/>
  <c r="G47" i="10"/>
  <c r="F47" i="10"/>
  <c r="E47" i="10"/>
  <c r="D47" i="10"/>
  <c r="I42" i="10"/>
  <c r="H42" i="10"/>
  <c r="G42" i="10"/>
  <c r="F42" i="10"/>
  <c r="E42" i="10"/>
  <c r="D42" i="10"/>
  <c r="C42" i="10"/>
  <c r="I41" i="10"/>
  <c r="H41" i="10"/>
  <c r="G41" i="10"/>
  <c r="F41" i="10"/>
  <c r="E41" i="10"/>
  <c r="D41" i="10"/>
  <c r="C41" i="10"/>
  <c r="I36" i="10"/>
  <c r="H36" i="10"/>
  <c r="G36" i="10"/>
  <c r="F36" i="10"/>
  <c r="E36" i="10"/>
  <c r="D36" i="10"/>
  <c r="C36" i="10"/>
  <c r="I35" i="10"/>
  <c r="H35" i="10"/>
  <c r="G35" i="10"/>
  <c r="F35" i="10"/>
  <c r="E35" i="10"/>
  <c r="D35" i="10"/>
  <c r="C35" i="10"/>
  <c r="I34" i="10"/>
  <c r="H34" i="10"/>
  <c r="G34" i="10"/>
  <c r="F34" i="10"/>
  <c r="E34" i="10"/>
  <c r="D34" i="10"/>
  <c r="C34" i="10"/>
  <c r="I33" i="10"/>
  <c r="H33" i="10"/>
  <c r="G33" i="10"/>
  <c r="F33" i="10"/>
  <c r="E33" i="10"/>
  <c r="D33" i="10"/>
  <c r="C33" i="10"/>
  <c r="I32" i="10"/>
  <c r="H32" i="10"/>
  <c r="G32" i="10"/>
  <c r="F32" i="10"/>
  <c r="E32" i="10"/>
  <c r="D32" i="10"/>
  <c r="C32" i="10"/>
  <c r="I31" i="10"/>
  <c r="H31" i="10"/>
  <c r="G31" i="10"/>
  <c r="F31" i="10"/>
  <c r="E31" i="10"/>
  <c r="D31" i="10"/>
  <c r="C31" i="10"/>
  <c r="I30" i="10"/>
  <c r="H30" i="10"/>
  <c r="G30" i="10"/>
  <c r="F30" i="10"/>
  <c r="E30" i="10"/>
  <c r="D30" i="10"/>
  <c r="C30" i="10"/>
  <c r="J1459" i="8"/>
  <c r="C1423" i="8"/>
  <c r="C1422" i="8" s="1"/>
  <c r="C1421" i="8" s="1"/>
  <c r="C3377" i="10" s="1"/>
  <c r="L3377" i="10" s="1"/>
  <c r="J1006" i="8"/>
  <c r="J1005" i="8"/>
  <c r="J1004" i="8"/>
  <c r="J1003" i="8"/>
  <c r="J749" i="8"/>
  <c r="J710" i="8"/>
  <c r="I710" i="8"/>
  <c r="G158" i="8"/>
  <c r="G383" i="10" s="1"/>
  <c r="J8" i="8"/>
  <c r="I8" i="8"/>
  <c r="H8" i="8"/>
  <c r="G8" i="8"/>
  <c r="F8" i="8"/>
  <c r="E8" i="8"/>
  <c r="D8" i="8"/>
  <c r="C8" i="8"/>
  <c r="I698" i="7"/>
  <c r="I697" i="7" s="1"/>
  <c r="I3656" i="10" s="1"/>
  <c r="H698" i="7"/>
  <c r="H697" i="7" s="1"/>
  <c r="H3656" i="10" s="1"/>
  <c r="G697" i="7"/>
  <c r="G3656" i="10" s="1"/>
  <c r="F697" i="7"/>
  <c r="F3656" i="10" s="1"/>
  <c r="I683" i="7"/>
  <c r="I682" i="7" s="1"/>
  <c r="I3592" i="10" s="1"/>
  <c r="H683" i="7"/>
  <c r="H682" i="7" s="1"/>
  <c r="H3592" i="10" s="1"/>
  <c r="E683" i="7"/>
  <c r="E682" i="7" s="1"/>
  <c r="E3592" i="10" s="1"/>
  <c r="D683" i="7"/>
  <c r="D682" i="7" s="1"/>
  <c r="D3592" i="10" s="1"/>
  <c r="C683" i="7"/>
  <c r="G682" i="7"/>
  <c r="G3592" i="10" s="1"/>
  <c r="F682" i="7"/>
  <c r="F3592" i="10" s="1"/>
  <c r="C682" i="7"/>
  <c r="C3592" i="10" s="1"/>
  <c r="I622" i="7"/>
  <c r="H622" i="7"/>
  <c r="G622" i="7"/>
  <c r="F622" i="7"/>
  <c r="E622" i="7"/>
  <c r="D622" i="7"/>
  <c r="C622" i="7"/>
  <c r="I606" i="7"/>
  <c r="H606" i="7"/>
  <c r="G606" i="7"/>
  <c r="F606" i="7"/>
  <c r="E606" i="7"/>
  <c r="D606" i="7"/>
  <c r="C606" i="7"/>
  <c r="D573" i="7"/>
  <c r="C573" i="7"/>
  <c r="D557" i="7"/>
  <c r="D555" i="7" s="1"/>
  <c r="D3126" i="10" s="1"/>
  <c r="C557" i="7"/>
  <c r="C555" i="7" s="1"/>
  <c r="C3126" i="10" s="1"/>
  <c r="K3126" i="10" s="1"/>
  <c r="H413" i="7"/>
  <c r="H412" i="7" s="1"/>
  <c r="H2310" i="10" s="1"/>
  <c r="G413" i="7"/>
  <c r="G412" i="7" s="1"/>
  <c r="G2310" i="10" s="1"/>
  <c r="F413" i="7"/>
  <c r="F412" i="7" s="1"/>
  <c r="F2310" i="10" s="1"/>
  <c r="C413" i="7"/>
  <c r="C412" i="7" s="1"/>
  <c r="C2310" i="10" s="1"/>
  <c r="J412" i="7"/>
  <c r="J2310" i="10" s="1"/>
  <c r="I412" i="7"/>
  <c r="I2310" i="10" s="1"/>
  <c r="E412" i="7"/>
  <c r="E2310" i="10" s="1"/>
  <c r="D412" i="7"/>
  <c r="D2310" i="10" s="1"/>
  <c r="J405" i="7"/>
  <c r="J2309" i="10" s="1"/>
  <c r="I405" i="7"/>
  <c r="I2309" i="10" s="1"/>
  <c r="H405" i="7"/>
  <c r="H2309" i="10" s="1"/>
  <c r="G405" i="7"/>
  <c r="G2309" i="10" s="1"/>
  <c r="F405" i="7"/>
  <c r="F2309" i="10" s="1"/>
  <c r="E405" i="7"/>
  <c r="E2309" i="10" s="1"/>
  <c r="D405" i="7"/>
  <c r="D2309" i="10" s="1"/>
  <c r="C405" i="7"/>
  <c r="C2309" i="10" s="1"/>
  <c r="J398" i="7"/>
  <c r="J2308" i="10" s="1"/>
  <c r="I398" i="7"/>
  <c r="I2308" i="10" s="1"/>
  <c r="H398" i="7"/>
  <c r="G398" i="7"/>
  <c r="F398" i="7"/>
  <c r="E398" i="7"/>
  <c r="D398" i="7"/>
  <c r="C398" i="7"/>
  <c r="J391" i="7"/>
  <c r="J2307" i="10" s="1"/>
  <c r="I391" i="7"/>
  <c r="I2307" i="10" s="1"/>
  <c r="H391" i="7"/>
  <c r="H2307" i="10" s="1"/>
  <c r="G391" i="7"/>
  <c r="G2307" i="10" s="1"/>
  <c r="F391" i="7"/>
  <c r="F2307" i="10" s="1"/>
  <c r="E391" i="7"/>
  <c r="E2307" i="10" s="1"/>
  <c r="D391" i="7"/>
  <c r="D2307" i="10" s="1"/>
  <c r="C391" i="7"/>
  <c r="C2307" i="10" s="1"/>
  <c r="C372" i="7"/>
  <c r="C371" i="7" s="1"/>
  <c r="C2195" i="10" s="1"/>
  <c r="K2195" i="10" s="1"/>
  <c r="J371" i="7"/>
  <c r="J2195" i="10" s="1"/>
  <c r="I371" i="7"/>
  <c r="I2195" i="10" s="1"/>
  <c r="H371" i="7"/>
  <c r="H2195" i="10" s="1"/>
  <c r="G371" i="7"/>
  <c r="G2195" i="10" s="1"/>
  <c r="F371" i="7"/>
  <c r="F2195" i="10" s="1"/>
  <c r="E371" i="7"/>
  <c r="E2195" i="10" s="1"/>
  <c r="D371" i="7"/>
  <c r="D2195" i="10" s="1"/>
  <c r="J364" i="7"/>
  <c r="J2194" i="10" s="1"/>
  <c r="I364" i="7"/>
  <c r="I2194" i="10" s="1"/>
  <c r="H364" i="7"/>
  <c r="H2194" i="10" s="1"/>
  <c r="G364" i="7"/>
  <c r="G2194" i="10" s="1"/>
  <c r="F364" i="7"/>
  <c r="F2194" i="10" s="1"/>
  <c r="E364" i="7"/>
  <c r="E2194" i="10" s="1"/>
  <c r="D364" i="7"/>
  <c r="D2194" i="10" s="1"/>
  <c r="C364" i="7"/>
  <c r="C2194" i="10" s="1"/>
  <c r="K2194" i="10" s="1"/>
  <c r="I358" i="7"/>
  <c r="I357" i="7" s="1"/>
  <c r="I2193" i="10" s="1"/>
  <c r="H358" i="7"/>
  <c r="H357" i="7" s="1"/>
  <c r="H2193" i="10" s="1"/>
  <c r="G358" i="7"/>
  <c r="G357" i="7" s="1"/>
  <c r="G2193" i="10" s="1"/>
  <c r="F358" i="7"/>
  <c r="F357" i="7" s="1"/>
  <c r="F2193" i="10" s="1"/>
  <c r="E358" i="7"/>
  <c r="E357" i="7" s="1"/>
  <c r="E2193" i="10" s="1"/>
  <c r="D358" i="7"/>
  <c r="C358" i="7"/>
  <c r="C357" i="7" s="1"/>
  <c r="C2193" i="10" s="1"/>
  <c r="K2193" i="10" s="1"/>
  <c r="J357" i="7"/>
  <c r="J2193" i="10" s="1"/>
  <c r="D357" i="7"/>
  <c r="D2193" i="10" s="1"/>
  <c r="I351" i="7"/>
  <c r="H351" i="7"/>
  <c r="H350" i="7" s="1"/>
  <c r="H2192" i="10" s="1"/>
  <c r="G351" i="7"/>
  <c r="G350" i="7" s="1"/>
  <c r="G2192" i="10" s="1"/>
  <c r="F351" i="7"/>
  <c r="F350" i="7" s="1"/>
  <c r="F2192" i="10" s="1"/>
  <c r="E351" i="7"/>
  <c r="E350" i="7" s="1"/>
  <c r="E2192" i="10" s="1"/>
  <c r="D351" i="7"/>
  <c r="D350" i="7" s="1"/>
  <c r="D2192" i="10" s="1"/>
  <c r="C351" i="7"/>
  <c r="C350" i="7" s="1"/>
  <c r="C2192" i="10" s="1"/>
  <c r="K2192" i="10" s="1"/>
  <c r="J350" i="7"/>
  <c r="J2192" i="10" s="1"/>
  <c r="I350" i="7"/>
  <c r="I2192" i="10" s="1"/>
  <c r="J330" i="7"/>
  <c r="I330" i="7"/>
  <c r="H330" i="7"/>
  <c r="G330" i="7"/>
  <c r="F330" i="7"/>
  <c r="E330" i="7"/>
  <c r="D330" i="7"/>
  <c r="C330" i="7"/>
  <c r="J327" i="7"/>
  <c r="R2426" i="10" s="1"/>
  <c r="I327" i="7"/>
  <c r="H327" i="7"/>
  <c r="P2426" i="10" s="1"/>
  <c r="G327" i="7"/>
  <c r="O2426" i="10" s="1"/>
  <c r="F327" i="7"/>
  <c r="N2426" i="10" s="1"/>
  <c r="E327" i="7"/>
  <c r="M2426" i="10" s="1"/>
  <c r="D327" i="7"/>
  <c r="L2426" i="10" s="1"/>
  <c r="C327" i="7"/>
  <c r="K2426" i="10" s="1"/>
  <c r="J316" i="7"/>
  <c r="I316" i="7"/>
  <c r="H316" i="7"/>
  <c r="G316" i="7"/>
  <c r="F316" i="7"/>
  <c r="E316" i="7"/>
  <c r="D316" i="7"/>
  <c r="C316" i="7"/>
  <c r="J313" i="7"/>
  <c r="R2425" i="10" s="1"/>
  <c r="I313" i="7"/>
  <c r="H313" i="7"/>
  <c r="G313" i="7"/>
  <c r="F313" i="7"/>
  <c r="N2425" i="10" s="1"/>
  <c r="E313" i="7"/>
  <c r="D313" i="7"/>
  <c r="C313" i="7"/>
  <c r="J303" i="7"/>
  <c r="I303" i="7"/>
  <c r="H303" i="7"/>
  <c r="G303" i="7"/>
  <c r="F303" i="7"/>
  <c r="E303" i="7"/>
  <c r="E299" i="7" s="1"/>
  <c r="E2424" i="10" s="1"/>
  <c r="D303" i="7"/>
  <c r="C303" i="7"/>
  <c r="J300" i="7"/>
  <c r="R2424" i="10" s="1"/>
  <c r="I300" i="7"/>
  <c r="Q2424" i="10" s="1"/>
  <c r="H300" i="7"/>
  <c r="G300" i="7"/>
  <c r="O2424" i="10" s="1"/>
  <c r="F300" i="7"/>
  <c r="N2424" i="10" s="1"/>
  <c r="E300" i="7"/>
  <c r="M2424" i="10" s="1"/>
  <c r="D300" i="7"/>
  <c r="L2424" i="10" s="1"/>
  <c r="C300" i="7"/>
  <c r="J290" i="7"/>
  <c r="I290" i="7"/>
  <c r="H290" i="7"/>
  <c r="G290" i="7"/>
  <c r="F290" i="7"/>
  <c r="E290" i="7"/>
  <c r="D290" i="7"/>
  <c r="C290" i="7"/>
  <c r="J287" i="7"/>
  <c r="I287" i="7"/>
  <c r="Q2423" i="10" s="1"/>
  <c r="H287" i="7"/>
  <c r="G287" i="7"/>
  <c r="F287" i="7"/>
  <c r="E287" i="7"/>
  <c r="M2423" i="10" s="1"/>
  <c r="D287" i="7"/>
  <c r="C287" i="7"/>
  <c r="J271" i="7"/>
  <c r="I271" i="7"/>
  <c r="H271" i="7"/>
  <c r="G271" i="7"/>
  <c r="F271" i="7"/>
  <c r="F266" i="7" s="1"/>
  <c r="E271" i="7"/>
  <c r="D271" i="7"/>
  <c r="C271" i="7"/>
  <c r="C270" i="7" s="1"/>
  <c r="C1966" i="10" s="1"/>
  <c r="D2014" i="10" s="1"/>
  <c r="J267" i="7"/>
  <c r="I267" i="7"/>
  <c r="H267" i="7"/>
  <c r="G267" i="7"/>
  <c r="F267" i="7"/>
  <c r="E267" i="7"/>
  <c r="D267" i="7"/>
  <c r="C267" i="7"/>
  <c r="J261" i="7"/>
  <c r="I261" i="7"/>
  <c r="H261" i="7"/>
  <c r="G261" i="7"/>
  <c r="F261" i="7"/>
  <c r="E261" i="7"/>
  <c r="D261" i="7"/>
  <c r="C261" i="7"/>
  <c r="C260" i="7" s="1"/>
  <c r="C1943" i="10" s="1"/>
  <c r="J257" i="7"/>
  <c r="I257" i="7"/>
  <c r="H257" i="7"/>
  <c r="H256" i="7" s="1"/>
  <c r="G257" i="7"/>
  <c r="F257" i="7"/>
  <c r="E257" i="7"/>
  <c r="D257" i="7"/>
  <c r="J251" i="7"/>
  <c r="R1966" i="10" s="1"/>
  <c r="I251" i="7"/>
  <c r="Q1966" i="10" s="1"/>
  <c r="H251" i="7"/>
  <c r="P1966" i="10" s="1"/>
  <c r="G251" i="7"/>
  <c r="O1966" i="10" s="1"/>
  <c r="F251" i="7"/>
  <c r="N1966" i="10" s="1"/>
  <c r="E251" i="7"/>
  <c r="M1966" i="10" s="1"/>
  <c r="D251" i="7"/>
  <c r="L1966" i="10" s="1"/>
  <c r="J247" i="7"/>
  <c r="I247" i="7"/>
  <c r="I246" i="7" s="1"/>
  <c r="H247" i="7"/>
  <c r="G247" i="7"/>
  <c r="F247" i="7"/>
  <c r="E247" i="7"/>
  <c r="D247" i="7"/>
  <c r="J241" i="7"/>
  <c r="I241" i="7"/>
  <c r="H241" i="7"/>
  <c r="G241" i="7"/>
  <c r="F241" i="7"/>
  <c r="E241" i="7"/>
  <c r="D241" i="7"/>
  <c r="C241" i="7"/>
  <c r="J240" i="7"/>
  <c r="I240" i="7"/>
  <c r="H240" i="7"/>
  <c r="G240" i="7"/>
  <c r="F240" i="7"/>
  <c r="E240" i="7"/>
  <c r="D240" i="7"/>
  <c r="J237" i="7"/>
  <c r="I237" i="7"/>
  <c r="H237" i="7"/>
  <c r="G237" i="7"/>
  <c r="F237" i="7"/>
  <c r="E237" i="7"/>
  <c r="D237" i="7"/>
  <c r="C237" i="7"/>
  <c r="J217" i="7"/>
  <c r="J772" i="10" s="1"/>
  <c r="J221" i="7"/>
  <c r="J816" i="10" s="1"/>
  <c r="I217" i="7"/>
  <c r="I221" i="7"/>
  <c r="I816" i="10" s="1"/>
  <c r="H217" i="7"/>
  <c r="H772" i="10" s="1"/>
  <c r="H221" i="7"/>
  <c r="H816" i="10" s="1"/>
  <c r="G217" i="7"/>
  <c r="G772" i="10" s="1"/>
  <c r="G221" i="7"/>
  <c r="G816" i="10" s="1"/>
  <c r="F217" i="7"/>
  <c r="F772" i="10" s="1"/>
  <c r="F221" i="7"/>
  <c r="F816" i="10" s="1"/>
  <c r="E217" i="7"/>
  <c r="E772" i="10" s="1"/>
  <c r="E221" i="7"/>
  <c r="D217" i="7"/>
  <c r="D772" i="10" s="1"/>
  <c r="D221" i="7"/>
  <c r="D816" i="10" s="1"/>
  <c r="C217" i="7"/>
  <c r="C772" i="10" s="1"/>
  <c r="C221" i="7"/>
  <c r="C816" i="10" s="1"/>
  <c r="J204" i="7"/>
  <c r="I204" i="7"/>
  <c r="H204" i="7"/>
  <c r="G204" i="7"/>
  <c r="F204" i="7"/>
  <c r="E204" i="7"/>
  <c r="D204" i="7"/>
  <c r="C204" i="7"/>
  <c r="J200" i="7"/>
  <c r="I200" i="7"/>
  <c r="H200" i="7"/>
  <c r="G200" i="7"/>
  <c r="F200" i="7"/>
  <c r="E200" i="7"/>
  <c r="D200" i="7"/>
  <c r="C200" i="7"/>
  <c r="J194" i="7"/>
  <c r="I194" i="7"/>
  <c r="H194" i="7"/>
  <c r="G194" i="7"/>
  <c r="F194" i="7"/>
  <c r="E194" i="7"/>
  <c r="D194" i="7"/>
  <c r="C194" i="7"/>
  <c r="J190" i="7"/>
  <c r="I190" i="7"/>
  <c r="H190" i="7"/>
  <c r="G190" i="7"/>
  <c r="F190" i="7"/>
  <c r="E190" i="7"/>
  <c r="D190" i="7"/>
  <c r="C190" i="7"/>
  <c r="I181" i="7"/>
  <c r="H181" i="7"/>
  <c r="P1655" i="10" s="1"/>
  <c r="G181" i="7"/>
  <c r="F181" i="7"/>
  <c r="E181" i="7"/>
  <c r="D181" i="7"/>
  <c r="L1655" i="10" s="1"/>
  <c r="L1703" i="10" s="1"/>
  <c r="J180" i="7"/>
  <c r="J179" i="7" s="1"/>
  <c r="J174" i="7"/>
  <c r="I174" i="7"/>
  <c r="H174" i="7"/>
  <c r="G174" i="7"/>
  <c r="F174" i="7"/>
  <c r="E174" i="7"/>
  <c r="D174" i="7"/>
  <c r="I171" i="7"/>
  <c r="I170" i="7" s="1"/>
  <c r="I169" i="7" s="1"/>
  <c r="H171" i="7"/>
  <c r="H170" i="7" s="1"/>
  <c r="H169" i="7" s="1"/>
  <c r="G171" i="7"/>
  <c r="G170" i="7" s="1"/>
  <c r="G169" i="7" s="1"/>
  <c r="F171" i="7"/>
  <c r="F170" i="7" s="1"/>
  <c r="F169" i="7" s="1"/>
  <c r="E171" i="7"/>
  <c r="E170" i="7" s="1"/>
  <c r="E169" i="7" s="1"/>
  <c r="D171" i="7"/>
  <c r="D170" i="7" s="1"/>
  <c r="D169" i="7" s="1"/>
  <c r="J170" i="7"/>
  <c r="J169" i="7" s="1"/>
  <c r="J150" i="7"/>
  <c r="J344" i="10" s="1"/>
  <c r="J154" i="7"/>
  <c r="J388" i="10" s="1"/>
  <c r="I150" i="7"/>
  <c r="I344" i="10" s="1"/>
  <c r="I154" i="7"/>
  <c r="I388" i="10" s="1"/>
  <c r="H150" i="7"/>
  <c r="H344" i="10" s="1"/>
  <c r="H157" i="7"/>
  <c r="G150" i="7"/>
  <c r="G344" i="10" s="1"/>
  <c r="G157" i="7"/>
  <c r="O410" i="10" s="1"/>
  <c r="G154" i="7"/>
  <c r="F150" i="7"/>
  <c r="F344" i="10" s="1"/>
  <c r="F157" i="7"/>
  <c r="E150" i="7"/>
  <c r="E344" i="10" s="1"/>
  <c r="E154" i="7"/>
  <c r="E388" i="10" s="1"/>
  <c r="D150" i="7"/>
  <c r="D344" i="10" s="1"/>
  <c r="D157" i="7"/>
  <c r="C150" i="7"/>
  <c r="J138" i="7"/>
  <c r="I138" i="7"/>
  <c r="H138" i="7"/>
  <c r="G138" i="7"/>
  <c r="E138" i="7"/>
  <c r="D138" i="7"/>
  <c r="C138" i="7"/>
  <c r="J133" i="7"/>
  <c r="R1516" i="10" s="1"/>
  <c r="I133" i="7"/>
  <c r="Q1516" i="10" s="1"/>
  <c r="H133" i="7"/>
  <c r="P1516" i="10" s="1"/>
  <c r="G133" i="7"/>
  <c r="O1516" i="10" s="1"/>
  <c r="F133" i="7"/>
  <c r="N1516" i="10" s="1"/>
  <c r="E133" i="7"/>
  <c r="M1516" i="10" s="1"/>
  <c r="D133" i="7"/>
  <c r="L1516" i="10" s="1"/>
  <c r="L1562" i="10" s="1"/>
  <c r="J127" i="7"/>
  <c r="J1516" i="10" s="1"/>
  <c r="I127" i="7"/>
  <c r="I1516" i="10" s="1"/>
  <c r="H127" i="7"/>
  <c r="H1516" i="10" s="1"/>
  <c r="G127" i="7"/>
  <c r="G1516" i="10" s="1"/>
  <c r="F127" i="7"/>
  <c r="F1516" i="10" s="1"/>
  <c r="E127" i="7"/>
  <c r="E1516" i="10" s="1"/>
  <c r="D127" i="7"/>
  <c r="D1516" i="10" s="1"/>
  <c r="C127" i="7"/>
  <c r="C1516" i="10" s="1"/>
  <c r="F105" i="7"/>
  <c r="F252" i="10" s="1"/>
  <c r="F274" i="10" s="1"/>
  <c r="E105" i="7"/>
  <c r="E252" i="10" s="1"/>
  <c r="E274" i="10" s="1"/>
  <c r="D105" i="7"/>
  <c r="D252" i="10" s="1"/>
  <c r="D274" i="10" s="1"/>
  <c r="C105" i="7"/>
  <c r="C252" i="10" s="1"/>
  <c r="C274" i="10" s="1"/>
  <c r="J98" i="7"/>
  <c r="J181" i="10" s="1"/>
  <c r="R181" i="10" s="1"/>
  <c r="I98" i="7"/>
  <c r="I181" i="10" s="1"/>
  <c r="J67" i="7"/>
  <c r="I67" i="7"/>
  <c r="H67" i="7"/>
  <c r="G67" i="7"/>
  <c r="F67" i="7"/>
  <c r="E67" i="7"/>
  <c r="D67" i="7"/>
  <c r="C67" i="7"/>
  <c r="J57" i="7"/>
  <c r="I57" i="7"/>
  <c r="H57" i="7"/>
  <c r="G57" i="7"/>
  <c r="F57" i="7"/>
  <c r="F55" i="7" s="1"/>
  <c r="E57" i="7"/>
  <c r="E55" i="7" s="1"/>
  <c r="D57" i="7"/>
  <c r="C57" i="7"/>
  <c r="J43" i="7"/>
  <c r="I43" i="7"/>
  <c r="H43" i="7"/>
  <c r="G43" i="7"/>
  <c r="F43" i="7"/>
  <c r="E43" i="7"/>
  <c r="D43" i="7"/>
  <c r="C43" i="7"/>
  <c r="J40" i="7"/>
  <c r="I40" i="7"/>
  <c r="H40" i="7"/>
  <c r="G40" i="7"/>
  <c r="F40" i="7"/>
  <c r="E40" i="7"/>
  <c r="D40" i="7"/>
  <c r="C40" i="7"/>
  <c r="C39" i="7" s="1"/>
  <c r="C133" i="10" s="1"/>
  <c r="K133" i="10" s="1"/>
  <c r="J8" i="7"/>
  <c r="I6" i="7"/>
  <c r="Q16" i="10" s="1"/>
  <c r="Q86" i="10" s="1"/>
  <c r="H6" i="7"/>
  <c r="P16" i="10" s="1"/>
  <c r="G6" i="7"/>
  <c r="O16" i="10" s="1"/>
  <c r="F6" i="7"/>
  <c r="N16" i="10" s="1"/>
  <c r="E6" i="7"/>
  <c r="D6" i="7"/>
  <c r="C6" i="7"/>
  <c r="K16" i="10" s="1"/>
  <c r="K2785" i="10" s="1"/>
  <c r="C777" i="5"/>
  <c r="C776" i="5" s="1"/>
  <c r="C3672" i="10" s="1"/>
  <c r="J762" i="5"/>
  <c r="J761" i="5" s="1"/>
  <c r="J3608" i="10" s="1"/>
  <c r="I762" i="5"/>
  <c r="I761" i="5" s="1"/>
  <c r="I3608" i="10" s="1"/>
  <c r="H762" i="5"/>
  <c r="H761" i="5" s="1"/>
  <c r="H3608" i="10" s="1"/>
  <c r="G762" i="5"/>
  <c r="G761" i="5" s="1"/>
  <c r="G3608" i="10" s="1"/>
  <c r="F762" i="5"/>
  <c r="F761" i="5" s="1"/>
  <c r="F3608" i="10" s="1"/>
  <c r="E762" i="5"/>
  <c r="E761" i="5" s="1"/>
  <c r="E3608" i="10" s="1"/>
  <c r="D762" i="5"/>
  <c r="D761" i="5" s="1"/>
  <c r="D3608" i="10" s="1"/>
  <c r="C762" i="5"/>
  <c r="C761" i="5" s="1"/>
  <c r="C3608" i="10" s="1"/>
  <c r="J585" i="5"/>
  <c r="J584" i="5" s="1"/>
  <c r="J2803" i="10" s="1"/>
  <c r="R2803" i="10" s="1"/>
  <c r="I585" i="5"/>
  <c r="I584" i="5" s="1"/>
  <c r="I2803" i="10" s="1"/>
  <c r="Q2803" i="10" s="1"/>
  <c r="J562" i="5"/>
  <c r="J561" i="5" s="1"/>
  <c r="J2733" i="10" s="1"/>
  <c r="R2733" i="10" s="1"/>
  <c r="I562" i="5"/>
  <c r="I561" i="5" s="1"/>
  <c r="I2733" i="10" s="1"/>
  <c r="H562" i="5"/>
  <c r="H561" i="5" s="1"/>
  <c r="H2733" i="10" s="1"/>
  <c r="P2733" i="10" s="1"/>
  <c r="G562" i="5"/>
  <c r="G561" i="5" s="1"/>
  <c r="G2733" i="10" s="1"/>
  <c r="F562" i="5"/>
  <c r="E562" i="5"/>
  <c r="E561" i="5" s="1"/>
  <c r="E2733" i="10" s="1"/>
  <c r="D562" i="5"/>
  <c r="D561" i="5" s="1"/>
  <c r="D2733" i="10" s="1"/>
  <c r="C562" i="5"/>
  <c r="C561" i="5" s="1"/>
  <c r="C2733" i="10" s="1"/>
  <c r="F561" i="5"/>
  <c r="F2733" i="10" s="1"/>
  <c r="N2733" i="10" s="1"/>
  <c r="J537" i="5"/>
  <c r="J536" i="5" s="1"/>
  <c r="J2942" i="10" s="1"/>
  <c r="I537" i="5"/>
  <c r="I536" i="5" s="1"/>
  <c r="I2942" i="10" s="1"/>
  <c r="H537" i="5"/>
  <c r="H536" i="5" s="1"/>
  <c r="H2942" i="10" s="1"/>
  <c r="G537" i="5"/>
  <c r="G536" i="5" s="1"/>
  <c r="G2942" i="10" s="1"/>
  <c r="F537" i="5"/>
  <c r="F536" i="5" s="1"/>
  <c r="F2942" i="10" s="1"/>
  <c r="E537" i="5"/>
  <c r="E536" i="5" s="1"/>
  <c r="E2942" i="10" s="1"/>
  <c r="D537" i="5"/>
  <c r="D536" i="5" s="1"/>
  <c r="D2942" i="10" s="1"/>
  <c r="C537" i="5"/>
  <c r="C536" i="5" s="1"/>
  <c r="C2942" i="10" s="1"/>
  <c r="J497" i="5"/>
  <c r="J2340" i="10" s="1"/>
  <c r="I497" i="5"/>
  <c r="I2340" i="10" s="1"/>
  <c r="H497" i="5"/>
  <c r="H2340" i="10" s="1"/>
  <c r="G497" i="5"/>
  <c r="G2340" i="10" s="1"/>
  <c r="F497" i="5"/>
  <c r="F2340" i="10" s="1"/>
  <c r="J491" i="5"/>
  <c r="J2339" i="10" s="1"/>
  <c r="R2339" i="10" s="1"/>
  <c r="I491" i="5"/>
  <c r="I2339" i="10" s="1"/>
  <c r="Q2339" i="10" s="1"/>
  <c r="H491" i="5"/>
  <c r="H2339" i="10" s="1"/>
  <c r="P2339" i="10" s="1"/>
  <c r="G491" i="5"/>
  <c r="G2339" i="10" s="1"/>
  <c r="O2339" i="10" s="1"/>
  <c r="F491" i="5"/>
  <c r="F2339" i="10" s="1"/>
  <c r="N2339" i="10" s="1"/>
  <c r="E491" i="5"/>
  <c r="E2339" i="10" s="1"/>
  <c r="M2339" i="10" s="1"/>
  <c r="D491" i="5"/>
  <c r="D2339" i="10" s="1"/>
  <c r="L2339" i="10" s="1"/>
  <c r="C491" i="5"/>
  <c r="C2339" i="10" s="1"/>
  <c r="K2339" i="10" s="1"/>
  <c r="J485" i="5"/>
  <c r="J2338" i="10" s="1"/>
  <c r="R2338" i="10" s="1"/>
  <c r="I485" i="5"/>
  <c r="I2338" i="10" s="1"/>
  <c r="Q2338" i="10" s="1"/>
  <c r="H485" i="5"/>
  <c r="H2338" i="10" s="1"/>
  <c r="P2338" i="10" s="1"/>
  <c r="G485" i="5"/>
  <c r="G2338" i="10" s="1"/>
  <c r="O2338" i="10" s="1"/>
  <c r="F485" i="5"/>
  <c r="F2338" i="10" s="1"/>
  <c r="N2338" i="10" s="1"/>
  <c r="E485" i="5"/>
  <c r="E2338" i="10" s="1"/>
  <c r="M2338" i="10" s="1"/>
  <c r="D485" i="5"/>
  <c r="D2338" i="10" s="1"/>
  <c r="L2338" i="10" s="1"/>
  <c r="C485" i="5"/>
  <c r="C2338" i="10" s="1"/>
  <c r="K2338" i="10" s="1"/>
  <c r="J479" i="5"/>
  <c r="J2337" i="10" s="1"/>
  <c r="I479" i="5"/>
  <c r="I2337" i="10" s="1"/>
  <c r="H479" i="5"/>
  <c r="H2337" i="10" s="1"/>
  <c r="G479" i="5"/>
  <c r="G2337" i="10" s="1"/>
  <c r="F479" i="5"/>
  <c r="F2337" i="10" s="1"/>
  <c r="E479" i="5"/>
  <c r="E2337" i="10" s="1"/>
  <c r="D479" i="5"/>
  <c r="D2337" i="10" s="1"/>
  <c r="C479" i="5"/>
  <c r="C2337" i="10" s="1"/>
  <c r="K2337" i="10" s="1"/>
  <c r="J473" i="5"/>
  <c r="J2336" i="10" s="1"/>
  <c r="I473" i="5"/>
  <c r="H473" i="5"/>
  <c r="G473" i="5"/>
  <c r="F473" i="5"/>
  <c r="E473" i="5"/>
  <c r="D473" i="5"/>
  <c r="C473" i="5"/>
  <c r="J468" i="5"/>
  <c r="J2335" i="10" s="1"/>
  <c r="I468" i="5"/>
  <c r="I2335" i="10" s="1"/>
  <c r="H468" i="5"/>
  <c r="H2335" i="10" s="1"/>
  <c r="P2335" i="10" s="1"/>
  <c r="G468" i="5"/>
  <c r="G2335" i="10" s="1"/>
  <c r="F468" i="5"/>
  <c r="F2335" i="10" s="1"/>
  <c r="E468" i="5"/>
  <c r="E2335" i="10" s="1"/>
  <c r="D468" i="5"/>
  <c r="D2335" i="10" s="1"/>
  <c r="C468" i="5"/>
  <c r="C2335" i="10" s="1"/>
  <c r="J461" i="5"/>
  <c r="J2334" i="10" s="1"/>
  <c r="I461" i="5"/>
  <c r="I2334" i="10" s="1"/>
  <c r="Q2334" i="10" s="1"/>
  <c r="H461" i="5"/>
  <c r="H2334" i="10" s="1"/>
  <c r="P2334" i="10" s="1"/>
  <c r="G461" i="5"/>
  <c r="G2334" i="10" s="1"/>
  <c r="O2334" i="10" s="1"/>
  <c r="F461" i="5"/>
  <c r="F2334" i="10" s="1"/>
  <c r="N2334" i="10" s="1"/>
  <c r="E461" i="5"/>
  <c r="E2334" i="10" s="1"/>
  <c r="M2334" i="10" s="1"/>
  <c r="D461" i="5"/>
  <c r="D2334" i="10" s="1"/>
  <c r="L2334" i="10" s="1"/>
  <c r="C461" i="5"/>
  <c r="C2334" i="10" s="1"/>
  <c r="K2334" i="10" s="1"/>
  <c r="J455" i="5"/>
  <c r="J2333" i="10" s="1"/>
  <c r="I455" i="5"/>
  <c r="I2333" i="10" s="1"/>
  <c r="Q2333" i="10" s="1"/>
  <c r="H455" i="5"/>
  <c r="H2333" i="10" s="1"/>
  <c r="P2333" i="10" s="1"/>
  <c r="G455" i="5"/>
  <c r="G2333" i="10" s="1"/>
  <c r="O2333" i="10" s="1"/>
  <c r="F455" i="5"/>
  <c r="F2333" i="10" s="1"/>
  <c r="N2333" i="10" s="1"/>
  <c r="E455" i="5"/>
  <c r="E2333" i="10" s="1"/>
  <c r="M2333" i="10" s="1"/>
  <c r="D455" i="5"/>
  <c r="D2333" i="10" s="1"/>
  <c r="L2333" i="10" s="1"/>
  <c r="C455" i="5"/>
  <c r="C2333" i="10" s="1"/>
  <c r="K2333" i="10" s="1"/>
  <c r="J446" i="5"/>
  <c r="J2332" i="10" s="1"/>
  <c r="I446" i="5"/>
  <c r="I2332" i="10" s="1"/>
  <c r="H446" i="5"/>
  <c r="H2332" i="10" s="1"/>
  <c r="G446" i="5"/>
  <c r="G2332" i="10" s="1"/>
  <c r="F446" i="5"/>
  <c r="F2332" i="10" s="1"/>
  <c r="E446" i="5"/>
  <c r="E2332" i="10" s="1"/>
  <c r="D446" i="5"/>
  <c r="D2332" i="10" s="1"/>
  <c r="C446" i="5"/>
  <c r="C2332" i="10" s="1"/>
  <c r="J431" i="5"/>
  <c r="J2225" i="10" s="1"/>
  <c r="I431" i="5"/>
  <c r="I2225" i="10" s="1"/>
  <c r="H431" i="5"/>
  <c r="H2225" i="10" s="1"/>
  <c r="G431" i="5"/>
  <c r="G2225" i="10" s="1"/>
  <c r="F431" i="5"/>
  <c r="F2225" i="10" s="1"/>
  <c r="J413" i="5"/>
  <c r="J2222" i="10" s="1"/>
  <c r="I413" i="5"/>
  <c r="I2222" i="10" s="1"/>
  <c r="H413" i="5"/>
  <c r="H2222" i="10" s="1"/>
  <c r="G413" i="5"/>
  <c r="G2222" i="10" s="1"/>
  <c r="F413" i="5"/>
  <c r="F2222" i="10" s="1"/>
  <c r="E413" i="5"/>
  <c r="E2222" i="10" s="1"/>
  <c r="D413" i="5"/>
  <c r="D2222" i="10" s="1"/>
  <c r="J407" i="5"/>
  <c r="J2221" i="10" s="1"/>
  <c r="J402" i="5"/>
  <c r="J2220" i="10" s="1"/>
  <c r="I402" i="5"/>
  <c r="I2220" i="10" s="1"/>
  <c r="H402" i="5"/>
  <c r="H2220" i="10" s="1"/>
  <c r="G402" i="5"/>
  <c r="G2220" i="10" s="1"/>
  <c r="F402" i="5"/>
  <c r="F2220" i="10" s="1"/>
  <c r="E402" i="5"/>
  <c r="E2220" i="10" s="1"/>
  <c r="D402" i="5"/>
  <c r="D2220" i="10" s="1"/>
  <c r="C402" i="5"/>
  <c r="C2220" i="10" s="1"/>
  <c r="J395" i="5"/>
  <c r="J2219" i="10" s="1"/>
  <c r="R2219" i="10" s="1"/>
  <c r="I395" i="5"/>
  <c r="H395" i="5"/>
  <c r="G395" i="5"/>
  <c r="F395" i="5"/>
  <c r="E395" i="5"/>
  <c r="D395" i="5"/>
  <c r="C395" i="5"/>
  <c r="J389" i="5"/>
  <c r="J2218" i="10" s="1"/>
  <c r="J380" i="5"/>
  <c r="J2217" i="10" s="1"/>
  <c r="I380" i="5"/>
  <c r="I2217" i="10" s="1"/>
  <c r="H380" i="5"/>
  <c r="H2217" i="10" s="1"/>
  <c r="G380" i="5"/>
  <c r="G2217" i="10" s="1"/>
  <c r="F380" i="5"/>
  <c r="F2217" i="10" s="1"/>
  <c r="E380" i="5"/>
  <c r="E2217" i="10" s="1"/>
  <c r="M2217" i="10" s="1"/>
  <c r="D380" i="5"/>
  <c r="D2217" i="10" s="1"/>
  <c r="C380" i="5"/>
  <c r="C2217" i="10" s="1"/>
  <c r="K2332" i="10" s="1"/>
  <c r="J361" i="5"/>
  <c r="J2456" i="10" s="1"/>
  <c r="J355" i="5"/>
  <c r="J2455" i="10" s="1"/>
  <c r="J349" i="5"/>
  <c r="J2454" i="10" s="1"/>
  <c r="J343" i="5"/>
  <c r="J2453" i="10" s="1"/>
  <c r="J337" i="5"/>
  <c r="J2452" i="10" s="1"/>
  <c r="J331" i="5"/>
  <c r="J2451" i="10" s="1"/>
  <c r="J325" i="5"/>
  <c r="J2450" i="10" s="1"/>
  <c r="J319" i="5"/>
  <c r="J2449" i="10" s="1"/>
  <c r="J308" i="5"/>
  <c r="J305" i="5" s="1"/>
  <c r="J250" i="5"/>
  <c r="J709" i="10" s="1"/>
  <c r="I250" i="5"/>
  <c r="I709" i="10" s="1"/>
  <c r="H250" i="5"/>
  <c r="H709" i="10" s="1"/>
  <c r="G250" i="5"/>
  <c r="G709" i="10" s="1"/>
  <c r="F250" i="5"/>
  <c r="F709" i="10" s="1"/>
  <c r="E250" i="5"/>
  <c r="E709" i="10" s="1"/>
  <c r="D250" i="5"/>
  <c r="D709" i="10" s="1"/>
  <c r="C250" i="5"/>
  <c r="C709" i="10" s="1"/>
  <c r="J239" i="5"/>
  <c r="J821" i="10" s="1"/>
  <c r="I239" i="5"/>
  <c r="I821" i="10" s="1"/>
  <c r="H239" i="5"/>
  <c r="H821" i="10" s="1"/>
  <c r="G239" i="5"/>
  <c r="G821" i="10" s="1"/>
  <c r="F239" i="5"/>
  <c r="F821" i="10" s="1"/>
  <c r="E239" i="5"/>
  <c r="E821" i="10" s="1"/>
  <c r="D239" i="5"/>
  <c r="D821" i="10" s="1"/>
  <c r="C239" i="5"/>
  <c r="C821" i="10" s="1"/>
  <c r="J235" i="5"/>
  <c r="J777" i="10" s="1"/>
  <c r="I235" i="5"/>
  <c r="I777" i="10" s="1"/>
  <c r="H235" i="5"/>
  <c r="H777" i="10" s="1"/>
  <c r="G235" i="5"/>
  <c r="G777" i="10" s="1"/>
  <c r="F235" i="5"/>
  <c r="F777" i="10" s="1"/>
  <c r="E235" i="5"/>
  <c r="E777" i="10" s="1"/>
  <c r="D235" i="5"/>
  <c r="D777" i="10" s="1"/>
  <c r="C235" i="5"/>
  <c r="C777" i="10" s="1"/>
  <c r="J182" i="5"/>
  <c r="J303" i="10" s="1"/>
  <c r="I182" i="5"/>
  <c r="I303" i="10" s="1"/>
  <c r="H182" i="5"/>
  <c r="H303" i="10" s="1"/>
  <c r="G182" i="5"/>
  <c r="G303" i="10" s="1"/>
  <c r="F182" i="5"/>
  <c r="F303" i="10" s="1"/>
  <c r="E182" i="5"/>
  <c r="E303" i="10" s="1"/>
  <c r="D182" i="5"/>
  <c r="D303" i="10" s="1"/>
  <c r="C182" i="5"/>
  <c r="C303" i="10" s="1"/>
  <c r="J177" i="5"/>
  <c r="J371" i="10" s="1"/>
  <c r="I177" i="5"/>
  <c r="I371" i="10" s="1"/>
  <c r="H177" i="5"/>
  <c r="H371" i="10" s="1"/>
  <c r="G177" i="5"/>
  <c r="G371" i="10" s="1"/>
  <c r="F177" i="5"/>
  <c r="F371" i="10" s="1"/>
  <c r="E177" i="5"/>
  <c r="E371" i="10" s="1"/>
  <c r="D177" i="5"/>
  <c r="D371" i="10" s="1"/>
  <c r="C177" i="5"/>
  <c r="C371" i="10" s="1"/>
  <c r="J171" i="5"/>
  <c r="J393" i="10" s="1"/>
  <c r="I171" i="5"/>
  <c r="I393" i="10" s="1"/>
  <c r="H171" i="5"/>
  <c r="H393" i="10" s="1"/>
  <c r="G171" i="5"/>
  <c r="G393" i="10" s="1"/>
  <c r="F171" i="5"/>
  <c r="F393" i="10" s="1"/>
  <c r="E171" i="5"/>
  <c r="E393" i="10" s="1"/>
  <c r="D171" i="5"/>
  <c r="D393" i="10" s="1"/>
  <c r="C171" i="5"/>
  <c r="C393" i="10" s="1"/>
  <c r="J167" i="5"/>
  <c r="J349" i="10" s="1"/>
  <c r="I167" i="5"/>
  <c r="I349" i="10" s="1"/>
  <c r="H167" i="5"/>
  <c r="H349" i="10" s="1"/>
  <c r="G167" i="5"/>
  <c r="G349" i="10" s="1"/>
  <c r="F167" i="5"/>
  <c r="F349" i="10" s="1"/>
  <c r="E167" i="5"/>
  <c r="E349" i="10" s="1"/>
  <c r="D167" i="5"/>
  <c r="D349" i="10" s="1"/>
  <c r="C167" i="5"/>
  <c r="C349" i="10" s="1"/>
  <c r="J39" i="5"/>
  <c r="J138" i="10" s="1"/>
  <c r="R138" i="10" s="1"/>
  <c r="I39" i="5"/>
  <c r="I138" i="10" s="1"/>
  <c r="Q138" i="10" s="1"/>
  <c r="H39" i="5"/>
  <c r="H138" i="10" s="1"/>
  <c r="P138" i="10" s="1"/>
  <c r="G39" i="5"/>
  <c r="G138" i="10" s="1"/>
  <c r="O138" i="10" s="1"/>
  <c r="F39" i="5"/>
  <c r="F138" i="10" s="1"/>
  <c r="N138" i="10" s="1"/>
  <c r="E39" i="5"/>
  <c r="E138" i="10" s="1"/>
  <c r="M138" i="10" s="1"/>
  <c r="D39" i="5"/>
  <c r="D138" i="10" s="1"/>
  <c r="L138" i="10" s="1"/>
  <c r="C39" i="5"/>
  <c r="C138" i="10" s="1"/>
  <c r="K138" i="10" s="1"/>
  <c r="J1029" i="4"/>
  <c r="J1026" i="4"/>
  <c r="J1025" i="4"/>
  <c r="J1024" i="4"/>
  <c r="J1023" i="4"/>
  <c r="J1022" i="4"/>
  <c r="J1007" i="4"/>
  <c r="J3449" i="10" s="1"/>
  <c r="J966" i="4"/>
  <c r="J958" i="4"/>
  <c r="J957" i="4"/>
  <c r="J956" i="4"/>
  <c r="J955" i="4"/>
  <c r="J946" i="4"/>
  <c r="J945" i="4" s="1"/>
  <c r="J3645" i="10" s="1"/>
  <c r="J932" i="4"/>
  <c r="J931" i="4" s="1"/>
  <c r="J3582" i="10" s="1"/>
  <c r="J909" i="4"/>
  <c r="J902" i="4"/>
  <c r="J895" i="4"/>
  <c r="J3516" i="10" s="1"/>
  <c r="J851" i="4"/>
  <c r="J850" i="4"/>
  <c r="J849" i="4"/>
  <c r="J848" i="4"/>
  <c r="J843" i="4"/>
  <c r="J840" i="4"/>
  <c r="J837" i="4"/>
  <c r="J836" i="4"/>
  <c r="J835" i="4"/>
  <c r="J819" i="4" s="1"/>
  <c r="J829" i="4"/>
  <c r="J828" i="4"/>
  <c r="J827" i="4"/>
  <c r="J826" i="4"/>
  <c r="J825" i="4"/>
  <c r="J824" i="4" s="1"/>
  <c r="J818" i="4"/>
  <c r="J698" i="4"/>
  <c r="I698" i="4"/>
  <c r="H698" i="4"/>
  <c r="G698" i="4"/>
  <c r="J697" i="4"/>
  <c r="I697" i="4"/>
  <c r="H697" i="4"/>
  <c r="G697" i="4"/>
  <c r="F697" i="4"/>
  <c r="E697" i="4"/>
  <c r="D697" i="4"/>
  <c r="C697" i="4"/>
  <c r="J696" i="4"/>
  <c r="I696" i="4"/>
  <c r="H696" i="4"/>
  <c r="G696" i="4"/>
  <c r="F696" i="4"/>
  <c r="E696" i="4"/>
  <c r="D696" i="4"/>
  <c r="C696" i="4"/>
  <c r="J694" i="4"/>
  <c r="I694" i="4"/>
  <c r="H694" i="4"/>
  <c r="G694" i="4"/>
  <c r="F694" i="4"/>
  <c r="E694" i="4"/>
  <c r="D694" i="4"/>
  <c r="C694" i="4"/>
  <c r="J693" i="4"/>
  <c r="I693" i="4"/>
  <c r="H693" i="4"/>
  <c r="G693" i="4"/>
  <c r="F693" i="4"/>
  <c r="E693" i="4"/>
  <c r="D693" i="4"/>
  <c r="C693" i="4"/>
  <c r="J689" i="4"/>
  <c r="J2775" i="10" s="1"/>
  <c r="I689" i="4"/>
  <c r="I2775" i="10" s="1"/>
  <c r="Q2775" i="10" s="1"/>
  <c r="H689" i="4"/>
  <c r="H2775" i="10" s="1"/>
  <c r="P2775" i="10" s="1"/>
  <c r="G689" i="4"/>
  <c r="G2775" i="10" s="1"/>
  <c r="O2775" i="10" s="1"/>
  <c r="F689" i="4"/>
  <c r="F2775" i="10" s="1"/>
  <c r="N2775" i="10" s="1"/>
  <c r="E689" i="4"/>
  <c r="E2775" i="10" s="1"/>
  <c r="M2775" i="10" s="1"/>
  <c r="D689" i="4"/>
  <c r="C689" i="4"/>
  <c r="J676" i="4"/>
  <c r="I676" i="4"/>
  <c r="H676" i="4"/>
  <c r="G676" i="4"/>
  <c r="F676" i="4"/>
  <c r="E676" i="4"/>
  <c r="D676" i="4"/>
  <c r="C676" i="4"/>
  <c r="J675" i="4"/>
  <c r="I675" i="4"/>
  <c r="H675" i="4"/>
  <c r="G675" i="4"/>
  <c r="F675" i="4"/>
  <c r="E675" i="4"/>
  <c r="D675" i="4"/>
  <c r="C675" i="4"/>
  <c r="J674" i="4"/>
  <c r="I674" i="4"/>
  <c r="H674" i="4"/>
  <c r="G674" i="4"/>
  <c r="F674" i="4"/>
  <c r="E674" i="4"/>
  <c r="D674" i="4"/>
  <c r="C674" i="4"/>
  <c r="J673" i="4"/>
  <c r="J2774" i="10" s="1"/>
  <c r="I673" i="4"/>
  <c r="I2774" i="10" s="1"/>
  <c r="Q2774" i="10" s="1"/>
  <c r="H673" i="4"/>
  <c r="H2774" i="10" s="1"/>
  <c r="P2774" i="10" s="1"/>
  <c r="G673" i="4"/>
  <c r="G2774" i="10" s="1"/>
  <c r="O2774" i="10" s="1"/>
  <c r="F673" i="4"/>
  <c r="F2774" i="10" s="1"/>
  <c r="N2774" i="10" s="1"/>
  <c r="E673" i="4"/>
  <c r="E2774" i="10" s="1"/>
  <c r="M2774" i="10" s="1"/>
  <c r="D673" i="4"/>
  <c r="D2774" i="10" s="1"/>
  <c r="L2774" i="10" s="1"/>
  <c r="C673" i="4"/>
  <c r="C2774" i="10" s="1"/>
  <c r="K2774" i="10" s="1"/>
  <c r="J660" i="4"/>
  <c r="J658" i="4"/>
  <c r="J657" i="4"/>
  <c r="J2773" i="10" s="1"/>
  <c r="J594" i="4"/>
  <c r="J2979" i="10" s="1"/>
  <c r="J474" i="4"/>
  <c r="J473" i="4"/>
  <c r="J472" i="4"/>
  <c r="J471" i="4"/>
  <c r="J2294" i="10" s="1"/>
  <c r="R2294" i="10" s="1"/>
  <c r="J454" i="4"/>
  <c r="J453" i="4"/>
  <c r="J452" i="4"/>
  <c r="J451" i="4"/>
  <c r="J2293" i="10" s="1"/>
  <c r="R2293" i="10" s="1"/>
  <c r="J438" i="4"/>
  <c r="J432" i="4"/>
  <c r="J431" i="4"/>
  <c r="J2292" i="10" s="1"/>
  <c r="R2292" i="10" s="1"/>
  <c r="J423" i="4"/>
  <c r="J422" i="4"/>
  <c r="J2291" i="10" s="1"/>
  <c r="R2291" i="10" s="1"/>
  <c r="J238" i="4"/>
  <c r="J236" i="4"/>
  <c r="J235" i="4"/>
  <c r="J229" i="4"/>
  <c r="J701" i="10" s="1"/>
  <c r="J224" i="4"/>
  <c r="J791" i="10" s="1"/>
  <c r="J223" i="4"/>
  <c r="R791" i="10" s="1"/>
  <c r="J222" i="4"/>
  <c r="R835" i="10" s="1"/>
  <c r="J220" i="4"/>
  <c r="R813" i="10" s="1"/>
  <c r="J219" i="4"/>
  <c r="J813" i="10" s="1"/>
  <c r="J218" i="4"/>
  <c r="R769" i="10" s="1"/>
  <c r="J217" i="4"/>
  <c r="J215" i="4"/>
  <c r="J769" i="10" s="1"/>
  <c r="J102" i="4"/>
  <c r="J96" i="4"/>
  <c r="J90" i="4"/>
  <c r="J78" i="4"/>
  <c r="J77" i="4"/>
  <c r="J75" i="4"/>
  <c r="J74" i="4"/>
  <c r="J73" i="4"/>
  <c r="J72" i="4"/>
  <c r="J71" i="4"/>
  <c r="J70" i="4"/>
  <c r="J68" i="4"/>
  <c r="J66" i="4"/>
  <c r="J65" i="4"/>
  <c r="J64" i="4"/>
  <c r="J63" i="4"/>
  <c r="J62" i="4"/>
  <c r="J61" i="4"/>
  <c r="J60" i="4"/>
  <c r="J58" i="4"/>
  <c r="J56" i="4"/>
  <c r="J48" i="4"/>
  <c r="J47" i="4"/>
  <c r="J153" i="10" s="1"/>
  <c r="J43" i="4"/>
  <c r="J40" i="4"/>
  <c r="J39" i="4"/>
  <c r="J130" i="10" s="1"/>
  <c r="J27" i="4"/>
  <c r="J25" i="4"/>
  <c r="J23" i="4"/>
  <c r="J21" i="4"/>
  <c r="J20" i="4"/>
  <c r="J83" i="10" s="1"/>
  <c r="R83" i="10" s="1"/>
  <c r="J8" i="4"/>
  <c r="J7" i="4"/>
  <c r="J11" i="10" s="1"/>
  <c r="J455" i="3"/>
  <c r="J2976" i="10" s="1"/>
  <c r="I455" i="3"/>
  <c r="I2976" i="10" s="1"/>
  <c r="J232" i="3"/>
  <c r="J700" i="10" s="1"/>
  <c r="I232" i="3"/>
  <c r="I700" i="10" s="1"/>
  <c r="I880" i="10" s="1"/>
  <c r="H232" i="3"/>
  <c r="H700" i="10" s="1"/>
  <c r="G232" i="3"/>
  <c r="G700" i="10" s="1"/>
  <c r="F232" i="3"/>
  <c r="F700" i="10" s="1"/>
  <c r="E232" i="3"/>
  <c r="E700" i="10" s="1"/>
  <c r="D232" i="3"/>
  <c r="D700" i="10" s="1"/>
  <c r="C232" i="3"/>
  <c r="C700" i="10" s="1"/>
  <c r="I166" i="3"/>
  <c r="I294" i="10" s="1"/>
  <c r="H166" i="3"/>
  <c r="H294" i="10" s="1"/>
  <c r="G166" i="3"/>
  <c r="G294" i="10" s="1"/>
  <c r="F166" i="3"/>
  <c r="F294" i="10" s="1"/>
  <c r="E166" i="3"/>
  <c r="E294" i="10" s="1"/>
  <c r="D166" i="3"/>
  <c r="D294" i="10" s="1"/>
  <c r="C166" i="3"/>
  <c r="C294" i="10" s="1"/>
  <c r="J165" i="3"/>
  <c r="I39" i="3"/>
  <c r="I129" i="10" s="1"/>
  <c r="H39" i="3"/>
  <c r="H129" i="10" s="1"/>
  <c r="P129" i="10" s="1"/>
  <c r="G39" i="3"/>
  <c r="G129" i="10" s="1"/>
  <c r="O129" i="10" s="1"/>
  <c r="F39" i="3"/>
  <c r="F129" i="10" s="1"/>
  <c r="N129" i="10" s="1"/>
  <c r="E39" i="3"/>
  <c r="E129" i="10" s="1"/>
  <c r="M129" i="10" s="1"/>
  <c r="D39" i="3"/>
  <c r="D129" i="10" s="1"/>
  <c r="L129" i="10" s="1"/>
  <c r="C39" i="3"/>
  <c r="C129" i="10" s="1"/>
  <c r="K129" i="10" s="1"/>
  <c r="J8" i="3"/>
  <c r="I8" i="3"/>
  <c r="C8" i="2"/>
  <c r="D8" i="2"/>
  <c r="E8" i="2"/>
  <c r="F8" i="2"/>
  <c r="G8" i="2"/>
  <c r="H8" i="2"/>
  <c r="I8" i="2"/>
  <c r="F134" i="2"/>
  <c r="G134" i="2"/>
  <c r="H134" i="2"/>
  <c r="I134" i="2"/>
  <c r="J134" i="2"/>
  <c r="C174" i="2"/>
  <c r="C290" i="10" s="1"/>
  <c r="D174" i="2"/>
  <c r="D290" i="10" s="1"/>
  <c r="D312" i="10" s="1"/>
  <c r="E174" i="2"/>
  <c r="E290" i="10" s="1"/>
  <c r="F174" i="2"/>
  <c r="F290" i="10" s="1"/>
  <c r="G174" i="2"/>
  <c r="G290" i="10" s="1"/>
  <c r="H174" i="2"/>
  <c r="H290" i="10" s="1"/>
  <c r="I174" i="2"/>
  <c r="I290" i="10" s="1"/>
  <c r="J174" i="2"/>
  <c r="J290" i="10" s="1"/>
  <c r="C240" i="2"/>
  <c r="C696" i="10" s="1"/>
  <c r="D240" i="2"/>
  <c r="D696" i="10" s="1"/>
  <c r="E240" i="2"/>
  <c r="E696" i="10" s="1"/>
  <c r="F240" i="2"/>
  <c r="F696" i="10" s="1"/>
  <c r="G240" i="2"/>
  <c r="G696" i="10" s="1"/>
  <c r="H240" i="2"/>
  <c r="H696" i="10" s="1"/>
  <c r="I240" i="2"/>
  <c r="I696" i="10" s="1"/>
  <c r="H1286" i="2"/>
  <c r="H3095" i="10" s="1"/>
  <c r="P3095" i="10" s="1"/>
  <c r="I1286" i="2"/>
  <c r="I3095" i="10" s="1"/>
  <c r="Q3095" i="10" s="1"/>
  <c r="J1289" i="2"/>
  <c r="J1288" i="2"/>
  <c r="J1286" i="2" s="1"/>
  <c r="J3095" i="10" s="1"/>
  <c r="R3095" i="10" s="1"/>
  <c r="J1314" i="2"/>
  <c r="R2335" i="10" l="1"/>
  <c r="R2220" i="10"/>
  <c r="M2332" i="10"/>
  <c r="R2336" i="10"/>
  <c r="R2221" i="10"/>
  <c r="O2733" i="10"/>
  <c r="I55" i="7"/>
  <c r="E326" i="7"/>
  <c r="E2426" i="10" s="1"/>
  <c r="L2193" i="10"/>
  <c r="R2309" i="10"/>
  <c r="R2194" i="10"/>
  <c r="L2337" i="10"/>
  <c r="L2222" i="10"/>
  <c r="J39" i="7"/>
  <c r="J133" i="10" s="1"/>
  <c r="R133" i="10" s="1"/>
  <c r="J55" i="7"/>
  <c r="I286" i="7"/>
  <c r="I2423" i="10" s="1"/>
  <c r="R2308" i="10"/>
  <c r="R2193" i="10"/>
  <c r="M2337" i="10"/>
  <c r="M2222" i="10"/>
  <c r="Q2733" i="10"/>
  <c r="H189" i="7"/>
  <c r="D256" i="7"/>
  <c r="C286" i="7"/>
  <c r="C2423" i="10" s="1"/>
  <c r="K2423" i="10"/>
  <c r="L2310" i="10"/>
  <c r="L2195" i="10"/>
  <c r="J397" i="7"/>
  <c r="R2333" i="10"/>
  <c r="R2218" i="10"/>
  <c r="C2775" i="10"/>
  <c r="K2775" i="10" s="1"/>
  <c r="J249" i="10"/>
  <c r="D2775" i="10"/>
  <c r="L2775" i="10" s="1"/>
  <c r="N2337" i="10"/>
  <c r="N2222" i="10"/>
  <c r="Q2332" i="10"/>
  <c r="D286" i="7"/>
  <c r="D2423" i="10" s="1"/>
  <c r="L2423" i="10"/>
  <c r="C299" i="7"/>
  <c r="C2424" i="10" s="1"/>
  <c r="K2424" i="10"/>
  <c r="J312" i="7"/>
  <c r="J2425" i="10" s="1"/>
  <c r="M2310" i="10"/>
  <c r="M2195" i="10"/>
  <c r="C397" i="7"/>
  <c r="C2308" i="10"/>
  <c r="K2308" i="10" s="1"/>
  <c r="O2337" i="10"/>
  <c r="O2222" i="10"/>
  <c r="R2334" i="10"/>
  <c r="F8" i="7"/>
  <c r="D246" i="7"/>
  <c r="C312" i="7"/>
  <c r="C2425" i="10" s="1"/>
  <c r="K2425" i="10"/>
  <c r="D326" i="7"/>
  <c r="D2426" i="10" s="1"/>
  <c r="M2308" i="10"/>
  <c r="M2193" i="10"/>
  <c r="N2310" i="10"/>
  <c r="N2195" i="10"/>
  <c r="D397" i="7"/>
  <c r="D2308" i="10"/>
  <c r="L2308" i="10" s="1"/>
  <c r="P2337" i="10"/>
  <c r="P2222" i="10"/>
  <c r="H180" i="7"/>
  <c r="H179" i="7" s="1"/>
  <c r="F286" i="7"/>
  <c r="F2423" i="10" s="1"/>
  <c r="N2423" i="10"/>
  <c r="D312" i="7"/>
  <c r="D2425" i="10" s="1"/>
  <c r="L2425" i="10"/>
  <c r="J326" i="7"/>
  <c r="J2426" i="10" s="1"/>
  <c r="N2193" i="10"/>
  <c r="O2310" i="10"/>
  <c r="O2195" i="10"/>
  <c r="E397" i="7"/>
  <c r="E2308" i="10"/>
  <c r="O2340" i="10"/>
  <c r="O2225" i="10"/>
  <c r="Q2337" i="10"/>
  <c r="Q2222" i="10"/>
  <c r="G286" i="7"/>
  <c r="G2423" i="10" s="1"/>
  <c r="O2423" i="10"/>
  <c r="E312" i="7"/>
  <c r="E2425" i="10" s="1"/>
  <c r="M2425" i="10"/>
  <c r="O2193" i="10"/>
  <c r="P2310" i="10"/>
  <c r="P2195" i="10"/>
  <c r="F397" i="7"/>
  <c r="F2308" i="10"/>
  <c r="N2308" i="10" s="1"/>
  <c r="H286" i="7"/>
  <c r="H2423" i="10" s="1"/>
  <c r="P2423" i="10"/>
  <c r="Q2307" i="10"/>
  <c r="Q2192" i="10"/>
  <c r="P2193" i="10"/>
  <c r="Q2310" i="10"/>
  <c r="Q2195" i="10"/>
  <c r="G397" i="7"/>
  <c r="G2308" i="10"/>
  <c r="O2308" i="10" s="1"/>
  <c r="K2310" i="10"/>
  <c r="R2337" i="10"/>
  <c r="R2222" i="10"/>
  <c r="J1004" i="4"/>
  <c r="J3450" i="10"/>
  <c r="L2332" i="10"/>
  <c r="L2217" i="10"/>
  <c r="K2335" i="10"/>
  <c r="N2340" i="10"/>
  <c r="N2225" i="10"/>
  <c r="H299" i="7"/>
  <c r="H2424" i="10" s="1"/>
  <c r="P2424" i="10"/>
  <c r="G312" i="7"/>
  <c r="G2425" i="10" s="1"/>
  <c r="O2425" i="10"/>
  <c r="R2307" i="10"/>
  <c r="R2192" i="10"/>
  <c r="Q2308" i="10"/>
  <c r="Q2193" i="10"/>
  <c r="R2310" i="10"/>
  <c r="R2195" i="10"/>
  <c r="H397" i="7"/>
  <c r="H2308" i="10"/>
  <c r="P2308" i="10" s="1"/>
  <c r="L2335" i="10"/>
  <c r="L2220" i="10"/>
  <c r="J286" i="7"/>
  <c r="J2423" i="10" s="1"/>
  <c r="R2423" i="10"/>
  <c r="H312" i="7"/>
  <c r="H2425" i="10" s="1"/>
  <c r="P2425" i="10"/>
  <c r="N2332" i="10"/>
  <c r="N2217" i="10"/>
  <c r="M2335" i="10"/>
  <c r="M2220" i="10"/>
  <c r="P2340" i="10"/>
  <c r="P2225" i="10"/>
  <c r="I312" i="7"/>
  <c r="I2425" i="10" s="1"/>
  <c r="Q2425" i="10"/>
  <c r="L2307" i="10"/>
  <c r="L2192" i="10"/>
  <c r="L2309" i="10"/>
  <c r="L2194" i="10"/>
  <c r="K2307" i="10"/>
  <c r="O2332" i="10"/>
  <c r="O2217" i="10"/>
  <c r="N2335" i="10"/>
  <c r="N2220" i="10"/>
  <c r="Q2340" i="10"/>
  <c r="Q2225" i="10"/>
  <c r="M2307" i="10"/>
  <c r="M2192" i="10"/>
  <c r="M2309" i="10"/>
  <c r="M2194" i="10"/>
  <c r="K2309" i="10"/>
  <c r="I326" i="7"/>
  <c r="I2426" i="10" s="1"/>
  <c r="Q2426" i="10"/>
  <c r="N2307" i="10"/>
  <c r="N2192" i="10"/>
  <c r="N2309" i="10"/>
  <c r="N2194" i="10"/>
  <c r="M3126" i="10"/>
  <c r="L3126" i="10"/>
  <c r="Q2217" i="10"/>
  <c r="P2220" i="10"/>
  <c r="L2733" i="10"/>
  <c r="O2307" i="10"/>
  <c r="O2192" i="10"/>
  <c r="O2309" i="10"/>
  <c r="O2194" i="10"/>
  <c r="P2332" i="10"/>
  <c r="P2217" i="10"/>
  <c r="O2335" i="10"/>
  <c r="O2220" i="10"/>
  <c r="R2340" i="10"/>
  <c r="R2225" i="10"/>
  <c r="J304" i="5"/>
  <c r="J2448" i="10" s="1"/>
  <c r="R2448" i="10"/>
  <c r="R2332" i="10"/>
  <c r="R2217" i="10"/>
  <c r="Q2335" i="10"/>
  <c r="Q2220" i="10"/>
  <c r="M2733" i="10"/>
  <c r="D189" i="7"/>
  <c r="D199" i="7"/>
  <c r="P2307" i="10"/>
  <c r="P2192" i="10"/>
  <c r="P2309" i="10"/>
  <c r="P2194" i="10"/>
  <c r="H39" i="7"/>
  <c r="H133" i="10" s="1"/>
  <c r="P133" i="10" s="1"/>
  <c r="E189" i="7"/>
  <c r="Q2309" i="10"/>
  <c r="Q2194" i="10"/>
  <c r="Q181" i="10"/>
  <c r="O86" i="10"/>
  <c r="O181" i="10"/>
  <c r="P86" i="10"/>
  <c r="P181" i="10"/>
  <c r="K86" i="10"/>
  <c r="K181" i="10"/>
  <c r="N86" i="10"/>
  <c r="N181" i="10"/>
  <c r="R3449" i="10"/>
  <c r="R3450" i="10"/>
  <c r="R3183" i="10"/>
  <c r="R2773" i="10"/>
  <c r="R2774" i="10"/>
  <c r="R2775" i="10"/>
  <c r="G524" i="10"/>
  <c r="H1562" i="10"/>
  <c r="E1044" i="10"/>
  <c r="J458" i="10"/>
  <c r="O1562" i="10"/>
  <c r="J886" i="10"/>
  <c r="E1562" i="10"/>
  <c r="E524" i="10"/>
  <c r="E886" i="10"/>
  <c r="D1562" i="10"/>
  <c r="O294" i="10"/>
  <c r="F1562" i="10"/>
  <c r="Q1562" i="10"/>
  <c r="D480" i="10"/>
  <c r="J1285" i="10"/>
  <c r="J35" i="10"/>
  <c r="F452" i="10"/>
  <c r="N430" i="10"/>
  <c r="N474" i="10"/>
  <c r="N316" i="10"/>
  <c r="F430" i="10"/>
  <c r="F474" i="10"/>
  <c r="F496" i="10"/>
  <c r="N452" i="10"/>
  <c r="N496" i="10"/>
  <c r="N294" i="10"/>
  <c r="R153" i="10"/>
  <c r="E483" i="10"/>
  <c r="E573" i="10"/>
  <c r="E663" i="10"/>
  <c r="I1069" i="10"/>
  <c r="I551" i="10"/>
  <c r="I641" i="10"/>
  <c r="E867" i="10"/>
  <c r="E1047" i="10"/>
  <c r="E1137" i="10"/>
  <c r="E957" i="10"/>
  <c r="E1227" i="10"/>
  <c r="I1091" i="10"/>
  <c r="I1001" i="10"/>
  <c r="I1181" i="10"/>
  <c r="I1271" i="10"/>
  <c r="J1562" i="10"/>
  <c r="J1608" i="10"/>
  <c r="K864" i="10"/>
  <c r="C930" i="10"/>
  <c r="C908" i="10"/>
  <c r="C728" i="10"/>
  <c r="K750" i="10"/>
  <c r="K908" i="10"/>
  <c r="K930" i="10"/>
  <c r="K886" i="10"/>
  <c r="K728" i="10"/>
  <c r="C750" i="10"/>
  <c r="C864" i="10"/>
  <c r="J1091" i="10"/>
  <c r="J1001" i="10"/>
  <c r="J1181" i="10"/>
  <c r="J1271" i="10"/>
  <c r="P452" i="10"/>
  <c r="P316" i="10"/>
  <c r="H452" i="10"/>
  <c r="P496" i="10"/>
  <c r="P430" i="10"/>
  <c r="P474" i="10"/>
  <c r="H496" i="10"/>
  <c r="H474" i="10"/>
  <c r="H430" i="10"/>
  <c r="P294" i="10"/>
  <c r="J718" i="10"/>
  <c r="R470" i="10"/>
  <c r="R426" i="10"/>
  <c r="J470" i="10"/>
  <c r="R448" i="10"/>
  <c r="J492" i="10"/>
  <c r="J426" i="10"/>
  <c r="J448" i="10"/>
  <c r="R492" i="10"/>
  <c r="R290" i="10"/>
  <c r="R312" i="10"/>
  <c r="J312" i="10"/>
  <c r="Q430" i="10"/>
  <c r="I474" i="10"/>
  <c r="Q316" i="10"/>
  <c r="Q496" i="10"/>
  <c r="Q452" i="10"/>
  <c r="I430" i="10"/>
  <c r="Q474" i="10"/>
  <c r="R294" i="10"/>
  <c r="I452" i="10"/>
  <c r="I496" i="10"/>
  <c r="R1083" i="10"/>
  <c r="R903" i="10"/>
  <c r="R993" i="10"/>
  <c r="R1173" i="10"/>
  <c r="R1263" i="10"/>
  <c r="J820" i="4"/>
  <c r="D529" i="10"/>
  <c r="D439" i="10"/>
  <c r="D619" i="10"/>
  <c r="H573" i="10"/>
  <c r="H663" i="10"/>
  <c r="L461" i="10"/>
  <c r="L483" i="10"/>
  <c r="D505" i="10"/>
  <c r="L505" i="10"/>
  <c r="L325" i="10"/>
  <c r="L439" i="10"/>
  <c r="L303" i="10"/>
  <c r="L709" i="10"/>
  <c r="L753" i="10"/>
  <c r="D731" i="10"/>
  <c r="D933" i="10"/>
  <c r="L867" i="10"/>
  <c r="L889" i="10"/>
  <c r="L911" i="10"/>
  <c r="L933" i="10"/>
  <c r="L731" i="10"/>
  <c r="D753" i="10"/>
  <c r="N1562" i="10"/>
  <c r="C164" i="7"/>
  <c r="C298" i="10" s="1"/>
  <c r="C320" i="10" s="1"/>
  <c r="C344" i="10"/>
  <c r="C1042" i="10" s="1"/>
  <c r="F180" i="7"/>
  <c r="F179" i="7" s="1"/>
  <c r="N1655" i="10"/>
  <c r="C326" i="7"/>
  <c r="C2426" i="10" s="1"/>
  <c r="I436" i="10"/>
  <c r="I526" i="10"/>
  <c r="I616" i="10"/>
  <c r="I1044" i="10"/>
  <c r="C439" i="10"/>
  <c r="C619" i="10"/>
  <c r="I573" i="10"/>
  <c r="I663" i="10"/>
  <c r="J1069" i="10"/>
  <c r="J551" i="10"/>
  <c r="J641" i="10"/>
  <c r="H154" i="7"/>
  <c r="H388" i="10" s="1"/>
  <c r="H658" i="10" s="1"/>
  <c r="P410" i="10"/>
  <c r="P680" i="10" s="1"/>
  <c r="I470" i="10"/>
  <c r="Q426" i="10"/>
  <c r="Q312" i="10"/>
  <c r="Q448" i="10"/>
  <c r="I426" i="10"/>
  <c r="Q470" i="10"/>
  <c r="Q492" i="10"/>
  <c r="I448" i="10"/>
  <c r="I492" i="10"/>
  <c r="I312" i="10"/>
  <c r="M753" i="10"/>
  <c r="E731" i="10"/>
  <c r="M709" i="10"/>
  <c r="E933" i="10"/>
  <c r="M867" i="10"/>
  <c r="M889" i="10"/>
  <c r="M911" i="10"/>
  <c r="M933" i="10"/>
  <c r="M731" i="10"/>
  <c r="E753" i="10"/>
  <c r="D154" i="7"/>
  <c r="D388" i="10" s="1"/>
  <c r="D568" i="10" s="1"/>
  <c r="L410" i="10"/>
  <c r="G199" i="7"/>
  <c r="H448" i="10"/>
  <c r="P312" i="10"/>
  <c r="P492" i="10"/>
  <c r="P426" i="10"/>
  <c r="P448" i="10"/>
  <c r="P470" i="10"/>
  <c r="H492" i="10"/>
  <c r="H470" i="10"/>
  <c r="H426" i="10"/>
  <c r="L880" i="10"/>
  <c r="L700" i="10"/>
  <c r="L858" i="10"/>
  <c r="L744" i="10"/>
  <c r="D722" i="10"/>
  <c r="D924" i="10"/>
  <c r="L902" i="10"/>
  <c r="L924" i="10"/>
  <c r="D902" i="10"/>
  <c r="D858" i="10"/>
  <c r="L722" i="10"/>
  <c r="D744" i="10"/>
  <c r="R1061" i="10"/>
  <c r="R881" i="10"/>
  <c r="R971" i="10"/>
  <c r="R1151" i="10"/>
  <c r="R1241" i="10"/>
  <c r="J839" i="4"/>
  <c r="J954" i="4"/>
  <c r="J953" i="4" s="1"/>
  <c r="J3646" i="10" s="1"/>
  <c r="F439" i="10"/>
  <c r="F529" i="10"/>
  <c r="F619" i="10"/>
  <c r="J573" i="10"/>
  <c r="J663" i="10"/>
  <c r="N483" i="10"/>
  <c r="N325" i="10"/>
  <c r="N439" i="10"/>
  <c r="F505" i="10"/>
  <c r="N505" i="10"/>
  <c r="N461" i="10"/>
  <c r="N303" i="10"/>
  <c r="N911" i="10"/>
  <c r="N753" i="10"/>
  <c r="N933" i="10"/>
  <c r="F731" i="10"/>
  <c r="N709" i="10"/>
  <c r="N889" i="10"/>
  <c r="F933" i="10"/>
  <c r="N867" i="10"/>
  <c r="N731" i="10"/>
  <c r="F753" i="10"/>
  <c r="F39" i="7"/>
  <c r="F133" i="10" s="1"/>
  <c r="N133" i="10" s="1"/>
  <c r="P1562" i="10"/>
  <c r="H199" i="7"/>
  <c r="F299" i="7"/>
  <c r="F2424" i="10" s="1"/>
  <c r="R859" i="10"/>
  <c r="R1039" i="10"/>
  <c r="R949" i="10"/>
  <c r="R1129" i="10"/>
  <c r="R1219" i="10"/>
  <c r="F1047" i="10"/>
  <c r="F867" i="10"/>
  <c r="F1137" i="10"/>
  <c r="F957" i="10"/>
  <c r="F1227" i="10"/>
  <c r="J1083" i="10"/>
  <c r="J903" i="10"/>
  <c r="J993" i="10"/>
  <c r="J1173" i="10"/>
  <c r="J1263" i="10"/>
  <c r="C933" i="10"/>
  <c r="K867" i="10"/>
  <c r="K911" i="10"/>
  <c r="C731" i="10"/>
  <c r="C889" i="10"/>
  <c r="K889" i="10"/>
  <c r="K753" i="10"/>
  <c r="K933" i="10"/>
  <c r="K731" i="10"/>
  <c r="C753" i="10"/>
  <c r="G180" i="7"/>
  <c r="G179" i="7" s="1"/>
  <c r="O1655" i="10"/>
  <c r="O312" i="10"/>
  <c r="G448" i="10"/>
  <c r="G470" i="10"/>
  <c r="G426" i="10"/>
  <c r="O426" i="10"/>
  <c r="O448" i="10"/>
  <c r="O470" i="10"/>
  <c r="O492" i="10"/>
  <c r="G492" i="10"/>
  <c r="O290" i="10"/>
  <c r="E858" i="10"/>
  <c r="M924" i="10"/>
  <c r="M880" i="10"/>
  <c r="M744" i="10"/>
  <c r="E722" i="10"/>
  <c r="M700" i="10"/>
  <c r="E924" i="10"/>
  <c r="M858" i="10"/>
  <c r="E902" i="10"/>
  <c r="M902" i="10"/>
  <c r="M722" i="10"/>
  <c r="E744" i="10"/>
  <c r="E880" i="10"/>
  <c r="J1061" i="10"/>
  <c r="J881" i="10"/>
  <c r="J1151" i="10"/>
  <c r="J971" i="10"/>
  <c r="J1241" i="10"/>
  <c r="G529" i="10"/>
  <c r="G619" i="10"/>
  <c r="C461" i="10"/>
  <c r="C1069" i="10"/>
  <c r="C641" i="10"/>
  <c r="C1091" i="10"/>
  <c r="C911" i="10"/>
  <c r="C1181" i="10"/>
  <c r="C1271" i="10"/>
  <c r="G39" i="7"/>
  <c r="G133" i="10" s="1"/>
  <c r="O133" i="10" s="1"/>
  <c r="I180" i="7"/>
  <c r="I179" i="7" s="1"/>
  <c r="Q1655" i="10"/>
  <c r="I199" i="7"/>
  <c r="G299" i="7"/>
  <c r="G2424" i="10" s="1"/>
  <c r="F326" i="7"/>
  <c r="F2426" i="10" s="1"/>
  <c r="F325" i="10"/>
  <c r="O474" i="10"/>
  <c r="G452" i="10"/>
  <c r="G474" i="10"/>
  <c r="G430" i="10"/>
  <c r="O316" i="10"/>
  <c r="O452" i="10"/>
  <c r="O496" i="10"/>
  <c r="O430" i="10"/>
  <c r="G496" i="10"/>
  <c r="G316" i="10"/>
  <c r="M1562" i="10"/>
  <c r="R105" i="10"/>
  <c r="J105" i="10"/>
  <c r="E439" i="10"/>
  <c r="E529" i="10"/>
  <c r="E619" i="10"/>
  <c r="E39" i="7"/>
  <c r="E133" i="10" s="1"/>
  <c r="M133" i="10" s="1"/>
  <c r="N924" i="10"/>
  <c r="N744" i="10"/>
  <c r="F722" i="10"/>
  <c r="F902" i="10"/>
  <c r="F924" i="10"/>
  <c r="N880" i="10"/>
  <c r="N700" i="10"/>
  <c r="N902" i="10"/>
  <c r="F858" i="10"/>
  <c r="N858" i="10"/>
  <c r="N722" i="10"/>
  <c r="F744" i="10"/>
  <c r="R745" i="10"/>
  <c r="J723" i="10"/>
  <c r="R701" i="10"/>
  <c r="J925" i="10"/>
  <c r="R723" i="10"/>
  <c r="J745" i="10"/>
  <c r="H529" i="10"/>
  <c r="H619" i="10"/>
  <c r="D551" i="10"/>
  <c r="D461" i="10"/>
  <c r="D1069" i="10"/>
  <c r="D641" i="10"/>
  <c r="D1091" i="10"/>
  <c r="D911" i="10"/>
  <c r="D1001" i="10"/>
  <c r="D1181" i="10"/>
  <c r="D1271" i="10"/>
  <c r="R1562" i="10"/>
  <c r="R1608" i="10"/>
  <c r="F483" i="10"/>
  <c r="F573" i="10"/>
  <c r="F663" i="10"/>
  <c r="C920" i="10"/>
  <c r="K920" i="10"/>
  <c r="K854" i="10"/>
  <c r="C718" i="10"/>
  <c r="C854" i="10"/>
  <c r="K876" i="10"/>
  <c r="K898" i="10"/>
  <c r="K740" i="10"/>
  <c r="C898" i="10"/>
  <c r="K718" i="10"/>
  <c r="C740" i="10"/>
  <c r="J821" i="4"/>
  <c r="R696" i="10"/>
  <c r="I854" i="10"/>
  <c r="Q696" i="10"/>
  <c r="I920" i="10"/>
  <c r="Q876" i="10"/>
  <c r="I898" i="10"/>
  <c r="Q854" i="10"/>
  <c r="Q898" i="10"/>
  <c r="Q920" i="10"/>
  <c r="Q740" i="10"/>
  <c r="I718" i="10"/>
  <c r="Q718" i="10"/>
  <c r="I740" i="10"/>
  <c r="E470" i="10"/>
  <c r="M426" i="10"/>
  <c r="M312" i="10"/>
  <c r="M492" i="10"/>
  <c r="E448" i="10"/>
  <c r="E492" i="10"/>
  <c r="M448" i="10"/>
  <c r="M470" i="10"/>
  <c r="E426" i="10"/>
  <c r="M290" i="10"/>
  <c r="E312" i="10"/>
  <c r="O924" i="10"/>
  <c r="O700" i="10"/>
  <c r="O744" i="10"/>
  <c r="G858" i="10"/>
  <c r="O902" i="10"/>
  <c r="O858" i="10"/>
  <c r="G924" i="10"/>
  <c r="G902" i="10"/>
  <c r="G722" i="10"/>
  <c r="O880" i="10"/>
  <c r="O722" i="10"/>
  <c r="G744" i="10"/>
  <c r="I529" i="10"/>
  <c r="I619" i="10"/>
  <c r="E1069" i="10"/>
  <c r="E461" i="10"/>
  <c r="E551" i="10"/>
  <c r="E641" i="10"/>
  <c r="E911" i="10"/>
  <c r="E1091" i="10"/>
  <c r="E1181" i="10"/>
  <c r="E1001" i="10"/>
  <c r="E1271" i="10"/>
  <c r="I39" i="7"/>
  <c r="I133" i="10" s="1"/>
  <c r="Q133" i="10" s="1"/>
  <c r="D55" i="7"/>
  <c r="F154" i="7"/>
  <c r="F388" i="10" s="1"/>
  <c r="F1086" i="10" s="1"/>
  <c r="N410" i="10"/>
  <c r="C189" i="7"/>
  <c r="I299" i="7"/>
  <c r="I2424" i="10" s="1"/>
  <c r="H326" i="7"/>
  <c r="H2426" i="10" s="1"/>
  <c r="E180" i="7"/>
  <c r="E179" i="7" s="1"/>
  <c r="M1655" i="10"/>
  <c r="M1703" i="10" s="1"/>
  <c r="R1105" i="10"/>
  <c r="R925" i="10"/>
  <c r="R1015" i="10"/>
  <c r="R1195" i="10"/>
  <c r="R1285" i="10"/>
  <c r="H920" i="10"/>
  <c r="P876" i="10"/>
  <c r="P854" i="10"/>
  <c r="H898" i="10"/>
  <c r="P898" i="10"/>
  <c r="P696" i="10"/>
  <c r="H718" i="10"/>
  <c r="H854" i="10"/>
  <c r="P920" i="10"/>
  <c r="P740" i="10"/>
  <c r="P718" i="10"/>
  <c r="H740" i="10"/>
  <c r="H924" i="10"/>
  <c r="P858" i="10"/>
  <c r="H902" i="10"/>
  <c r="P700" i="10"/>
  <c r="P902" i="10"/>
  <c r="H722" i="10"/>
  <c r="P880" i="10"/>
  <c r="H858" i="10"/>
  <c r="P744" i="10"/>
  <c r="P924" i="10"/>
  <c r="P722" i="10"/>
  <c r="H744" i="10"/>
  <c r="R249" i="10"/>
  <c r="J271" i="10"/>
  <c r="J847" i="4"/>
  <c r="J529" i="10"/>
  <c r="J619" i="10"/>
  <c r="F551" i="10"/>
  <c r="F461" i="10"/>
  <c r="F1069" i="10"/>
  <c r="F641" i="10"/>
  <c r="F911" i="10"/>
  <c r="F1091" i="10"/>
  <c r="F1181" i="10"/>
  <c r="F1001" i="10"/>
  <c r="F1271" i="10"/>
  <c r="G1562" i="10"/>
  <c r="F524" i="10"/>
  <c r="E246" i="7"/>
  <c r="G573" i="10"/>
  <c r="G663" i="10"/>
  <c r="M439" i="10"/>
  <c r="M505" i="10"/>
  <c r="M325" i="10"/>
  <c r="E505" i="10"/>
  <c r="M461" i="10"/>
  <c r="M483" i="10"/>
  <c r="E325" i="10"/>
  <c r="N312" i="10"/>
  <c r="N470" i="10"/>
  <c r="F426" i="10"/>
  <c r="F470" i="10"/>
  <c r="N492" i="10"/>
  <c r="F492" i="10"/>
  <c r="F448" i="10"/>
  <c r="N426" i="10"/>
  <c r="N448" i="10"/>
  <c r="F312" i="10"/>
  <c r="N290" i="10"/>
  <c r="K430" i="10"/>
  <c r="K474" i="10"/>
  <c r="C452" i="10"/>
  <c r="C474" i="10"/>
  <c r="C430" i="10"/>
  <c r="K496" i="10"/>
  <c r="K452" i="10"/>
  <c r="K316" i="10"/>
  <c r="C496" i="10"/>
  <c r="C316" i="10"/>
  <c r="O854" i="10"/>
  <c r="G854" i="10"/>
  <c r="O876" i="10"/>
  <c r="O696" i="10"/>
  <c r="G898" i="10"/>
  <c r="O740" i="10"/>
  <c r="O898" i="10"/>
  <c r="G920" i="10"/>
  <c r="O920" i="10"/>
  <c r="G718" i="10"/>
  <c r="O718" i="10"/>
  <c r="G740" i="10"/>
  <c r="L316" i="10"/>
  <c r="L452" i="10"/>
  <c r="D452" i="10"/>
  <c r="L496" i="10"/>
  <c r="L430" i="10"/>
  <c r="L474" i="10"/>
  <c r="D496" i="10"/>
  <c r="D430" i="10"/>
  <c r="D474" i="10"/>
  <c r="D316" i="10"/>
  <c r="L294" i="10"/>
  <c r="C483" i="10"/>
  <c r="C663" i="10"/>
  <c r="G551" i="10"/>
  <c r="G1069" i="10"/>
  <c r="G641" i="10"/>
  <c r="C1047" i="10"/>
  <c r="C867" i="10"/>
  <c r="C1137" i="10"/>
  <c r="C1227" i="10"/>
  <c r="G1091" i="10"/>
  <c r="G1181" i="10"/>
  <c r="G1001" i="10"/>
  <c r="G1271" i="10"/>
  <c r="D180" i="7"/>
  <c r="D179" i="7" s="1"/>
  <c r="N480" i="10"/>
  <c r="N502" i="10"/>
  <c r="N300" i="10"/>
  <c r="N322" i="10"/>
  <c r="N458" i="10"/>
  <c r="F502" i="10"/>
  <c r="N436" i="10"/>
  <c r="F322" i="10"/>
  <c r="F480" i="10"/>
  <c r="F436" i="10"/>
  <c r="F458" i="10"/>
  <c r="K483" i="10"/>
  <c r="K325" i="10"/>
  <c r="K461" i="10"/>
  <c r="K505" i="10"/>
  <c r="K439" i="10"/>
  <c r="C505" i="10"/>
  <c r="C325" i="10"/>
  <c r="C924" i="10"/>
  <c r="K858" i="10"/>
  <c r="C902" i="10"/>
  <c r="C858" i="10"/>
  <c r="K902" i="10"/>
  <c r="K924" i="10"/>
  <c r="K880" i="10"/>
  <c r="K744" i="10"/>
  <c r="C722" i="10"/>
  <c r="C880" i="10"/>
  <c r="K722" i="10"/>
  <c r="C744" i="10"/>
  <c r="L448" i="10"/>
  <c r="D448" i="10"/>
  <c r="L312" i="10"/>
  <c r="L492" i="10"/>
  <c r="L426" i="10"/>
  <c r="L470" i="10"/>
  <c r="D492" i="10"/>
  <c r="D470" i="10"/>
  <c r="D426" i="10"/>
  <c r="R130" i="10"/>
  <c r="K470" i="10"/>
  <c r="K492" i="10"/>
  <c r="K312" i="10"/>
  <c r="C448" i="10"/>
  <c r="C470" i="10"/>
  <c r="C426" i="10"/>
  <c r="K426" i="10"/>
  <c r="K448" i="10"/>
  <c r="C492" i="10"/>
  <c r="C312" i="10"/>
  <c r="I858" i="10"/>
  <c r="Q924" i="10"/>
  <c r="Q700" i="10"/>
  <c r="Q880" i="10"/>
  <c r="I924" i="10"/>
  <c r="Q858" i="10"/>
  <c r="I902" i="10"/>
  <c r="I722" i="10"/>
  <c r="Q902" i="10"/>
  <c r="Q744" i="10"/>
  <c r="Q722" i="10"/>
  <c r="I744" i="10"/>
  <c r="F854" i="10"/>
  <c r="N920" i="10"/>
  <c r="N854" i="10"/>
  <c r="N876" i="10"/>
  <c r="N740" i="10"/>
  <c r="F718" i="10"/>
  <c r="N898" i="10"/>
  <c r="F920" i="10"/>
  <c r="F898" i="10"/>
  <c r="N718" i="10"/>
  <c r="F740" i="10"/>
  <c r="F876" i="10"/>
  <c r="M430" i="10"/>
  <c r="E474" i="10"/>
  <c r="M316" i="10"/>
  <c r="M452" i="10"/>
  <c r="M496" i="10"/>
  <c r="M474" i="10"/>
  <c r="E452" i="10"/>
  <c r="E430" i="10"/>
  <c r="E496" i="10"/>
  <c r="E316" i="10"/>
  <c r="M294" i="10"/>
  <c r="R700" i="10"/>
  <c r="R858" i="10"/>
  <c r="J924" i="10"/>
  <c r="R902" i="10"/>
  <c r="J858" i="10"/>
  <c r="J902" i="10"/>
  <c r="J722" i="10"/>
  <c r="J880" i="10"/>
  <c r="R880" i="10"/>
  <c r="R744" i="10"/>
  <c r="R924" i="10"/>
  <c r="R722" i="10"/>
  <c r="J744" i="10"/>
  <c r="J859" i="10"/>
  <c r="J1039" i="10"/>
  <c r="J1129" i="10"/>
  <c r="J949" i="10"/>
  <c r="J1219" i="10"/>
  <c r="D573" i="10"/>
  <c r="D483" i="10"/>
  <c r="D663" i="10"/>
  <c r="H551" i="10"/>
  <c r="H1069" i="10"/>
  <c r="H641" i="10"/>
  <c r="D1047" i="10"/>
  <c r="D867" i="10"/>
  <c r="D957" i="10"/>
  <c r="D1137" i="10"/>
  <c r="D1227" i="10"/>
  <c r="H1091" i="10"/>
  <c r="H1001" i="10"/>
  <c r="H1181" i="10"/>
  <c r="H1271" i="10"/>
  <c r="G55" i="7"/>
  <c r="I1562" i="10"/>
  <c r="O1108" i="10"/>
  <c r="F189" i="7"/>
  <c r="E256" i="7"/>
  <c r="H563" i="10"/>
  <c r="G1081" i="10"/>
  <c r="G563" i="10"/>
  <c r="G473" i="10"/>
  <c r="G653" i="10"/>
  <c r="H436" i="10"/>
  <c r="H526" i="10"/>
  <c r="H616" i="10"/>
  <c r="H1044" i="10"/>
  <c r="E728" i="10"/>
  <c r="M864" i="10"/>
  <c r="E930" i="10"/>
  <c r="M908" i="10"/>
  <c r="M930" i="10"/>
  <c r="M886" i="10"/>
  <c r="E908" i="10"/>
  <c r="M706" i="10"/>
  <c r="M750" i="10"/>
  <c r="M728" i="10"/>
  <c r="E750" i="10"/>
  <c r="L930" i="10"/>
  <c r="L750" i="10"/>
  <c r="D728" i="10"/>
  <c r="D930" i="10"/>
  <c r="L886" i="10"/>
  <c r="L706" i="10"/>
  <c r="D908" i="10"/>
  <c r="L908" i="10"/>
  <c r="L864" i="10"/>
  <c r="L728" i="10"/>
  <c r="D750" i="10"/>
  <c r="E480" i="10"/>
  <c r="P436" i="10"/>
  <c r="P458" i="10"/>
  <c r="P322" i="10"/>
  <c r="P300" i="10"/>
  <c r="P480" i="10"/>
  <c r="H502" i="10"/>
  <c r="P502" i="10"/>
  <c r="H322" i="10"/>
  <c r="C436" i="10"/>
  <c r="C616" i="10"/>
  <c r="Q436" i="10"/>
  <c r="Q322" i="10"/>
  <c r="Q300" i="10"/>
  <c r="Q502" i="10"/>
  <c r="Q480" i="10"/>
  <c r="I502" i="10"/>
  <c r="Q458" i="10"/>
  <c r="I322" i="10"/>
  <c r="D864" i="10"/>
  <c r="K322" i="10"/>
  <c r="K458" i="10"/>
  <c r="K480" i="10"/>
  <c r="C502" i="10"/>
  <c r="K436" i="10"/>
  <c r="K502" i="10"/>
  <c r="C322" i="10"/>
  <c r="G458" i="10"/>
  <c r="G436" i="10"/>
  <c r="R930" i="10"/>
  <c r="R908" i="10"/>
  <c r="J908" i="10"/>
  <c r="R886" i="10"/>
  <c r="R864" i="10"/>
  <c r="R750" i="10"/>
  <c r="J728" i="10"/>
  <c r="R706" i="10"/>
  <c r="J930" i="10"/>
  <c r="R728" i="10"/>
  <c r="J750" i="10"/>
  <c r="E526" i="10"/>
  <c r="E436" i="10"/>
  <c r="E616" i="10"/>
  <c r="J526" i="10"/>
  <c r="J436" i="10"/>
  <c r="J616" i="10"/>
  <c r="N908" i="10"/>
  <c r="N750" i="10"/>
  <c r="F728" i="10"/>
  <c r="N886" i="10"/>
  <c r="N706" i="10"/>
  <c r="F930" i="10"/>
  <c r="N930" i="10"/>
  <c r="F908" i="10"/>
  <c r="N864" i="10"/>
  <c r="N728" i="10"/>
  <c r="F750" i="10"/>
  <c r="M300" i="10"/>
  <c r="M322" i="10"/>
  <c r="M436" i="10"/>
  <c r="M480" i="10"/>
  <c r="E502" i="10"/>
  <c r="M502" i="10"/>
  <c r="M458" i="10"/>
  <c r="E322" i="10"/>
  <c r="R300" i="10"/>
  <c r="R502" i="10"/>
  <c r="R458" i="10"/>
  <c r="R480" i="10"/>
  <c r="R436" i="10"/>
  <c r="J502" i="10"/>
  <c r="R322" i="10"/>
  <c r="J322" i="10"/>
  <c r="Q908" i="10"/>
  <c r="Q930" i="10"/>
  <c r="Q706" i="10"/>
  <c r="Q886" i="10"/>
  <c r="Q750" i="10"/>
  <c r="I728" i="10"/>
  <c r="Q864" i="10"/>
  <c r="I930" i="10"/>
  <c r="I908" i="10"/>
  <c r="Q728" i="10"/>
  <c r="I750" i="10"/>
  <c r="F864" i="10"/>
  <c r="H480" i="10"/>
  <c r="O930" i="10"/>
  <c r="O864" i="10"/>
  <c r="G930" i="10"/>
  <c r="O908" i="10"/>
  <c r="O706" i="10"/>
  <c r="G908" i="10"/>
  <c r="O750" i="10"/>
  <c r="G728" i="10"/>
  <c r="O886" i="10"/>
  <c r="O728" i="10"/>
  <c r="G750" i="10"/>
  <c r="C458" i="10"/>
  <c r="I480" i="10"/>
  <c r="O300" i="10"/>
  <c r="O458" i="10"/>
  <c r="O502" i="10"/>
  <c r="O436" i="10"/>
  <c r="O322" i="10"/>
  <c r="O480" i="10"/>
  <c r="G502" i="10"/>
  <c r="G322" i="10"/>
  <c r="D436" i="10"/>
  <c r="D526" i="10"/>
  <c r="D616" i="10"/>
  <c r="P908" i="10"/>
  <c r="P706" i="10"/>
  <c r="P750" i="10"/>
  <c r="H728" i="10"/>
  <c r="H930" i="10"/>
  <c r="P886" i="10"/>
  <c r="P930" i="10"/>
  <c r="P864" i="10"/>
  <c r="H908" i="10"/>
  <c r="P728" i="10"/>
  <c r="H750" i="10"/>
  <c r="I864" i="10"/>
  <c r="L436" i="10"/>
  <c r="L480" i="10"/>
  <c r="L458" i="10"/>
  <c r="L322" i="10"/>
  <c r="L300" i="10"/>
  <c r="L502" i="10"/>
  <c r="D502" i="10"/>
  <c r="D322" i="10"/>
  <c r="R2014" i="10"/>
  <c r="M740" i="10"/>
  <c r="E740" i="10"/>
  <c r="M718" i="10"/>
  <c r="E718" i="10"/>
  <c r="M696" i="10"/>
  <c r="E920" i="10"/>
  <c r="N696" i="10"/>
  <c r="M920" i="10"/>
  <c r="M898" i="10"/>
  <c r="M854" i="10"/>
  <c r="E898" i="10"/>
  <c r="E854" i="10"/>
  <c r="M876" i="10"/>
  <c r="I505" i="10"/>
  <c r="Q325" i="10"/>
  <c r="I439" i="10"/>
  <c r="Q483" i="10"/>
  <c r="Q461" i="10"/>
  <c r="Q439" i="10"/>
  <c r="Q505" i="10"/>
  <c r="I483" i="10"/>
  <c r="I461" i="10"/>
  <c r="I1227" i="10"/>
  <c r="I1047" i="10"/>
  <c r="I1137" i="10"/>
  <c r="I957" i="10"/>
  <c r="I867" i="10"/>
  <c r="Q753" i="10"/>
  <c r="I753" i="10"/>
  <c r="Q731" i="10"/>
  <c r="I731" i="10"/>
  <c r="Q709" i="10"/>
  <c r="I933" i="10"/>
  <c r="Q867" i="10"/>
  <c r="Q889" i="10"/>
  <c r="Q933" i="10"/>
  <c r="Q911" i="10"/>
  <c r="I911" i="10"/>
  <c r="I1198" i="10"/>
  <c r="Q1448" i="10"/>
  <c r="Q1132" i="10"/>
  <c r="Q1630" i="10"/>
  <c r="I1448" i="10"/>
  <c r="I1608" i="10"/>
  <c r="Q1608" i="10"/>
  <c r="I1470" i="10"/>
  <c r="I1991" i="10"/>
  <c r="I1492" i="10"/>
  <c r="Q1470" i="10"/>
  <c r="I1630" i="10"/>
  <c r="Q252" i="10"/>
  <c r="Q680" i="10"/>
  <c r="Q636" i="10"/>
  <c r="I680" i="10"/>
  <c r="Q614" i="10"/>
  <c r="I636" i="10"/>
  <c r="Q229" i="10"/>
  <c r="Q1154" i="10"/>
  <c r="Q1176" i="10"/>
  <c r="Q1198" i="10"/>
  <c r="I1154" i="10"/>
  <c r="Q658" i="10"/>
  <c r="Q204" i="10"/>
  <c r="I524" i="10"/>
  <c r="I614" i="10"/>
  <c r="C1266" i="10"/>
  <c r="C1176" i="10"/>
  <c r="C1086" i="10"/>
  <c r="C996" i="10"/>
  <c r="G1266" i="10"/>
  <c r="G996" i="10"/>
  <c r="G1176" i="10"/>
  <c r="I1176" i="10"/>
  <c r="I1266" i="10"/>
  <c r="I1086" i="10"/>
  <c r="I996" i="10"/>
  <c r="Q2014" i="10"/>
  <c r="L696" i="10"/>
  <c r="D740" i="10"/>
  <c r="D718" i="10"/>
  <c r="L740" i="10"/>
  <c r="L718" i="10"/>
  <c r="D920" i="10"/>
  <c r="D898" i="10"/>
  <c r="L898" i="10"/>
  <c r="L854" i="10"/>
  <c r="L876" i="10"/>
  <c r="D854" i="10"/>
  <c r="L920" i="10"/>
  <c r="J505" i="10"/>
  <c r="R325" i="10"/>
  <c r="R483" i="10"/>
  <c r="J461" i="10"/>
  <c r="R461" i="10"/>
  <c r="J483" i="10"/>
  <c r="R505" i="10"/>
  <c r="R439" i="10"/>
  <c r="J439" i="10"/>
  <c r="J1227" i="10"/>
  <c r="J1047" i="10"/>
  <c r="J1137" i="10"/>
  <c r="J957" i="10"/>
  <c r="J867" i="10"/>
  <c r="R753" i="10"/>
  <c r="J753" i="10"/>
  <c r="R731" i="10"/>
  <c r="J731" i="10"/>
  <c r="R709" i="10"/>
  <c r="J933" i="10"/>
  <c r="R867" i="10"/>
  <c r="R933" i="10"/>
  <c r="R911" i="10"/>
  <c r="R889" i="10"/>
  <c r="J911" i="10"/>
  <c r="K1132" i="10"/>
  <c r="C1198" i="10"/>
  <c r="K1448" i="10"/>
  <c r="C1630" i="10"/>
  <c r="K1470" i="10"/>
  <c r="C1608" i="10"/>
  <c r="C1448" i="10"/>
  <c r="C1492" i="10"/>
  <c r="C1470" i="10"/>
  <c r="K1608" i="10"/>
  <c r="K1630" i="10"/>
  <c r="K252" i="10"/>
  <c r="C1154" i="10"/>
  <c r="K614" i="10"/>
  <c r="K1198" i="10"/>
  <c r="C680" i="10"/>
  <c r="K1154" i="10"/>
  <c r="K229" i="10"/>
  <c r="K658" i="10"/>
  <c r="K1176" i="10"/>
  <c r="C636" i="10"/>
  <c r="K680" i="10"/>
  <c r="K636" i="10"/>
  <c r="C658" i="10"/>
  <c r="K204" i="10"/>
  <c r="F1198" i="10"/>
  <c r="F614" i="10"/>
  <c r="N1132" i="10"/>
  <c r="N1448" i="10"/>
  <c r="F1991" i="10"/>
  <c r="N1630" i="10"/>
  <c r="N1470" i="10"/>
  <c r="F1630" i="10"/>
  <c r="F1492" i="10"/>
  <c r="F1470" i="10"/>
  <c r="F1448" i="10"/>
  <c r="F1608" i="10"/>
  <c r="N1608" i="10"/>
  <c r="N636" i="10"/>
  <c r="N252" i="10"/>
  <c r="F680" i="10"/>
  <c r="N229" i="10"/>
  <c r="N1198" i="10"/>
  <c r="N658" i="10"/>
  <c r="N1154" i="10"/>
  <c r="F1154" i="10"/>
  <c r="N1176" i="10"/>
  <c r="N614" i="10"/>
  <c r="F636" i="10"/>
  <c r="N204" i="10"/>
  <c r="J568" i="10"/>
  <c r="J658" i="10"/>
  <c r="C1222" i="10"/>
  <c r="C1132" i="10"/>
  <c r="C952" i="10"/>
  <c r="E1222" i="10"/>
  <c r="E1042" i="10"/>
  <c r="E952" i="10"/>
  <c r="G1132" i="10"/>
  <c r="G1222" i="10"/>
  <c r="G952" i="10"/>
  <c r="G1042" i="10"/>
  <c r="N2014" i="10"/>
  <c r="O325" i="10"/>
  <c r="O461" i="10"/>
  <c r="O483" i="10"/>
  <c r="G461" i="10"/>
  <c r="G439" i="10"/>
  <c r="O505" i="10"/>
  <c r="G483" i="10"/>
  <c r="O439" i="10"/>
  <c r="G1137" i="10"/>
  <c r="G1227" i="10"/>
  <c r="G1047" i="10"/>
  <c r="G957" i="10"/>
  <c r="G867" i="10"/>
  <c r="O709" i="10"/>
  <c r="O753" i="10"/>
  <c r="G753" i="10"/>
  <c r="O731" i="10"/>
  <c r="G731" i="10"/>
  <c r="G933" i="10"/>
  <c r="O867" i="10"/>
  <c r="O933" i="10"/>
  <c r="O911" i="10"/>
  <c r="G911" i="10"/>
  <c r="O889" i="10"/>
  <c r="G1198" i="10"/>
  <c r="O1448" i="10"/>
  <c r="O1132" i="10"/>
  <c r="G614" i="10"/>
  <c r="O1608" i="10"/>
  <c r="G1492" i="10"/>
  <c r="O1470" i="10"/>
  <c r="G1630" i="10"/>
  <c r="G1991" i="10"/>
  <c r="G1608" i="10"/>
  <c r="G1470" i="10"/>
  <c r="O1630" i="10"/>
  <c r="G1448" i="10"/>
  <c r="G680" i="10"/>
  <c r="O658" i="10"/>
  <c r="O1176" i="10"/>
  <c r="O614" i="10"/>
  <c r="G636" i="10"/>
  <c r="O680" i="10"/>
  <c r="O1198" i="10"/>
  <c r="O1154" i="10"/>
  <c r="O229" i="10"/>
  <c r="O252" i="10"/>
  <c r="G1154" i="10"/>
  <c r="O636" i="10"/>
  <c r="O204" i="10"/>
  <c r="H524" i="10"/>
  <c r="H614" i="10"/>
  <c r="J524" i="10"/>
  <c r="J614" i="10"/>
  <c r="D1266" i="10"/>
  <c r="D996" i="10"/>
  <c r="F1176" i="10"/>
  <c r="F1266" i="10"/>
  <c r="H1266" i="10"/>
  <c r="H1176" i="10"/>
  <c r="H996" i="10"/>
  <c r="J1176" i="10"/>
  <c r="J1266" i="10"/>
  <c r="J1086" i="10"/>
  <c r="J996" i="10"/>
  <c r="O2014" i="10"/>
  <c r="P325" i="10"/>
  <c r="P505" i="10"/>
  <c r="H461" i="10"/>
  <c r="P461" i="10"/>
  <c r="H439" i="10"/>
  <c r="P439" i="10"/>
  <c r="H483" i="10"/>
  <c r="P483" i="10"/>
  <c r="H1137" i="10"/>
  <c r="H1227" i="10"/>
  <c r="H1047" i="10"/>
  <c r="H957" i="10"/>
  <c r="H867" i="10"/>
  <c r="P709" i="10"/>
  <c r="P753" i="10"/>
  <c r="H753" i="10"/>
  <c r="P731" i="10"/>
  <c r="H731" i="10"/>
  <c r="H933" i="10"/>
  <c r="P867" i="10"/>
  <c r="P889" i="10"/>
  <c r="H911" i="10"/>
  <c r="P933" i="10"/>
  <c r="P911" i="10"/>
  <c r="P1448" i="10"/>
  <c r="H1198" i="10"/>
  <c r="P1132" i="10"/>
  <c r="P1630" i="10"/>
  <c r="H1492" i="10"/>
  <c r="P1470" i="10"/>
  <c r="H1630" i="10"/>
  <c r="P1608" i="10"/>
  <c r="H1448" i="10"/>
  <c r="H1470" i="10"/>
  <c r="H1608" i="10"/>
  <c r="H1991" i="10"/>
  <c r="P229" i="10"/>
  <c r="P1154" i="10"/>
  <c r="P636" i="10"/>
  <c r="P252" i="10"/>
  <c r="H1154" i="10"/>
  <c r="P1176" i="10"/>
  <c r="P658" i="10"/>
  <c r="H636" i="10"/>
  <c r="P614" i="10"/>
  <c r="H680" i="10"/>
  <c r="P1198" i="10"/>
  <c r="P204" i="10"/>
  <c r="I658" i="10"/>
  <c r="D1222" i="10"/>
  <c r="D1042" i="10"/>
  <c r="D952" i="10"/>
  <c r="F1222" i="10"/>
  <c r="F1042" i="10"/>
  <c r="F952" i="10"/>
  <c r="F1132" i="10"/>
  <c r="H1132" i="10"/>
  <c r="H1222" i="10"/>
  <c r="H952" i="10"/>
  <c r="H1042" i="10"/>
  <c r="J1222" i="10"/>
  <c r="J1042" i="10"/>
  <c r="J1132" i="10"/>
  <c r="P2014" i="10"/>
  <c r="G505" i="10"/>
  <c r="H325" i="10"/>
  <c r="H505" i="10"/>
  <c r="J299" i="7"/>
  <c r="J2424" i="10" s="1"/>
  <c r="I231" i="7"/>
  <c r="I704" i="10" s="1"/>
  <c r="I906" i="10" s="1"/>
  <c r="I772" i="10"/>
  <c r="G325" i="10"/>
  <c r="P303" i="10"/>
  <c r="O303" i="10"/>
  <c r="J325" i="10"/>
  <c r="R303" i="10"/>
  <c r="J889" i="10"/>
  <c r="G889" i="10"/>
  <c r="E231" i="7"/>
  <c r="E704" i="10" s="1"/>
  <c r="E816" i="10"/>
  <c r="G164" i="7"/>
  <c r="G298" i="10" s="1"/>
  <c r="G388" i="10"/>
  <c r="G1086" i="10" s="1"/>
  <c r="F312" i="7"/>
  <c r="F2425" i="10" s="1"/>
  <c r="E286" i="7"/>
  <c r="E2423" i="10" s="1"/>
  <c r="D299" i="7"/>
  <c r="D2424" i="10" s="1"/>
  <c r="G326" i="7"/>
  <c r="G2426" i="10" s="1"/>
  <c r="F888" i="10"/>
  <c r="P292" i="10"/>
  <c r="G312" i="10"/>
  <c r="L306" i="10"/>
  <c r="C328" i="10"/>
  <c r="P306" i="10"/>
  <c r="G328" i="10"/>
  <c r="H885" i="10"/>
  <c r="H891" i="10"/>
  <c r="I892" i="10"/>
  <c r="O291" i="10"/>
  <c r="Q292" i="10"/>
  <c r="O295" i="10"/>
  <c r="G326" i="10"/>
  <c r="I327" i="10"/>
  <c r="L290" i="10"/>
  <c r="L291" i="10"/>
  <c r="P291" i="10"/>
  <c r="Q294" i="10"/>
  <c r="C313" i="10"/>
  <c r="H314" i="10"/>
  <c r="H315" i="10"/>
  <c r="H316" i="10"/>
  <c r="D325" i="10"/>
  <c r="F327" i="10"/>
  <c r="D888" i="10"/>
  <c r="F882" i="10"/>
  <c r="F889" i="10"/>
  <c r="C1484" i="10"/>
  <c r="D1416" i="10"/>
  <c r="F1484" i="10"/>
  <c r="G1416" i="10"/>
  <c r="F1416" i="10"/>
  <c r="H889" i="10"/>
  <c r="I891" i="10"/>
  <c r="F892" i="10"/>
  <c r="E878" i="10"/>
  <c r="D885" i="10"/>
  <c r="H890" i="10"/>
  <c r="I164" i="7"/>
  <c r="I298" i="10" s="1"/>
  <c r="I434" i="10" s="1"/>
  <c r="J231" i="7"/>
  <c r="J704" i="10" s="1"/>
  <c r="G246" i="7"/>
  <c r="E266" i="7"/>
  <c r="H8" i="7"/>
  <c r="H164" i="7"/>
  <c r="H298" i="10" s="1"/>
  <c r="J246" i="7"/>
  <c r="E164" i="7"/>
  <c r="E298" i="10" s="1"/>
  <c r="J164" i="7"/>
  <c r="J298" i="10" s="1"/>
  <c r="C231" i="7"/>
  <c r="C704" i="10" s="1"/>
  <c r="C862" i="10" s="1"/>
  <c r="H246" i="7"/>
  <c r="D266" i="7"/>
  <c r="H266" i="7"/>
  <c r="I40" i="10"/>
  <c r="Q107" i="10" s="1"/>
  <c r="D231" i="7"/>
  <c r="D704" i="10" s="1"/>
  <c r="F231" i="7"/>
  <c r="F704" i="10" s="1"/>
  <c r="H231" i="7"/>
  <c r="H704" i="10" s="1"/>
  <c r="H906" i="10" s="1"/>
  <c r="G266" i="7"/>
  <c r="I256" i="7"/>
  <c r="G189" i="7"/>
  <c r="E199" i="7"/>
  <c r="F246" i="7"/>
  <c r="F256" i="7"/>
  <c r="F40" i="10"/>
  <c r="N107" i="10" s="1"/>
  <c r="D8" i="7"/>
  <c r="L16" i="10"/>
  <c r="G8" i="7"/>
  <c r="I8" i="7"/>
  <c r="C55" i="7"/>
  <c r="D164" i="7"/>
  <c r="D298" i="10" s="1"/>
  <c r="G256" i="7"/>
  <c r="G40" i="10"/>
  <c r="O107" i="10" s="1"/>
  <c r="E8" i="7"/>
  <c r="M16" i="10"/>
  <c r="D39" i="7"/>
  <c r="D133" i="10" s="1"/>
  <c r="L133" i="10" s="1"/>
  <c r="H55" i="7"/>
  <c r="I189" i="7"/>
  <c r="C199" i="7"/>
  <c r="I266" i="7"/>
  <c r="H40" i="10"/>
  <c r="P107" i="10" s="1"/>
  <c r="P295" i="10"/>
  <c r="Q295" i="10"/>
  <c r="I317" i="10"/>
  <c r="I888" i="10"/>
  <c r="D315" i="10"/>
  <c r="L293" i="10"/>
  <c r="F316" i="10"/>
  <c r="Q290" i="10"/>
  <c r="P290" i="10"/>
  <c r="H312" i="10"/>
  <c r="I326" i="10"/>
  <c r="Q304" i="10"/>
  <c r="F880" i="10"/>
  <c r="D890" i="10"/>
  <c r="Q303" i="10"/>
  <c r="G878" i="10"/>
  <c r="I325" i="10"/>
  <c r="C878" i="10"/>
  <c r="E890" i="10"/>
  <c r="G888" i="10"/>
  <c r="M295" i="10"/>
  <c r="F879" i="10"/>
  <c r="E889" i="10"/>
  <c r="I1416" i="10"/>
  <c r="H1416" i="10"/>
  <c r="E885" i="10"/>
  <c r="H881" i="10"/>
  <c r="H877" i="10"/>
  <c r="D891" i="10"/>
  <c r="D882" i="10"/>
  <c r="F886" i="10"/>
  <c r="E891" i="10"/>
  <c r="G879" i="10"/>
  <c r="G886" i="10"/>
  <c r="G891" i="10"/>
  <c r="I879" i="10"/>
  <c r="H886" i="10"/>
  <c r="H882" i="10"/>
  <c r="H888" i="10"/>
  <c r="C876" i="10"/>
  <c r="F890" i="10"/>
  <c r="D881" i="10"/>
  <c r="F164" i="7"/>
  <c r="F298" i="10" s="1"/>
  <c r="J823" i="4"/>
  <c r="C256" i="7"/>
  <c r="C240" i="7"/>
  <c r="C8" i="7"/>
  <c r="C266" i="7"/>
  <c r="C40" i="10"/>
  <c r="F199" i="7"/>
  <c r="J832" i="4"/>
  <c r="J831" i="4" s="1"/>
  <c r="J817" i="4"/>
  <c r="G231" i="7"/>
  <c r="G704" i="10" s="1"/>
  <c r="G862" i="10" s="1"/>
  <c r="E315" i="10"/>
  <c r="N293" i="10"/>
  <c r="M293" i="10"/>
  <c r="F877" i="10"/>
  <c r="E881" i="10"/>
  <c r="M303" i="10"/>
  <c r="G313" i="10"/>
  <c r="E327" i="10"/>
  <c r="D876" i="10"/>
  <c r="Q305" i="10"/>
  <c r="G882" i="10"/>
  <c r="H878" i="10"/>
  <c r="E876" i="10"/>
  <c r="I877" i="10"/>
  <c r="D880" i="10"/>
  <c r="I881" i="10"/>
  <c r="G892" i="10"/>
  <c r="G876" i="10"/>
  <c r="H876" i="10"/>
  <c r="G880" i="10"/>
  <c r="I876" i="10"/>
  <c r="H880" i="10"/>
  <c r="F891" i="10"/>
  <c r="D889" i="10"/>
  <c r="G890" i="10"/>
  <c r="I882" i="10"/>
  <c r="D877" i="10"/>
  <c r="F878" i="10"/>
  <c r="H879" i="10"/>
  <c r="C877" i="10"/>
  <c r="I878" i="10"/>
  <c r="F885" i="10"/>
  <c r="F881" i="10"/>
  <c r="G885" i="10"/>
  <c r="D892" i="10"/>
  <c r="G881" i="10"/>
  <c r="I889" i="10"/>
  <c r="E892" i="10"/>
  <c r="D524" i="10" l="1"/>
  <c r="M86" i="10"/>
  <c r="M181" i="10"/>
  <c r="L86" i="10"/>
  <c r="L181" i="10"/>
  <c r="D1991" i="10"/>
  <c r="K478" i="10"/>
  <c r="C478" i="10"/>
  <c r="K320" i="10"/>
  <c r="C614" i="10"/>
  <c r="H1086" i="10"/>
  <c r="F658" i="10"/>
  <c r="K434" i="10"/>
  <c r="C434" i="10"/>
  <c r="K500" i="10"/>
  <c r="K298" i="10"/>
  <c r="C500" i="10"/>
  <c r="K456" i="10"/>
  <c r="C456" i="10"/>
  <c r="E568" i="10"/>
  <c r="I568" i="10"/>
  <c r="F568" i="10"/>
  <c r="D1086" i="10"/>
  <c r="N1703" i="10"/>
  <c r="N1108" i="10"/>
  <c r="N590" i="10"/>
  <c r="Q1703" i="10"/>
  <c r="R1703" i="10"/>
  <c r="O1703" i="10"/>
  <c r="C906" i="10"/>
  <c r="P1703" i="10"/>
  <c r="Q590" i="10"/>
  <c r="P590" i="10"/>
  <c r="P1108" i="10"/>
  <c r="K726" i="10"/>
  <c r="O590" i="10"/>
  <c r="M590" i="10"/>
  <c r="L590" i="10"/>
  <c r="L1108" i="10"/>
  <c r="K862" i="10"/>
  <c r="C928" i="10"/>
  <c r="K928" i="10"/>
  <c r="K884" i="10"/>
  <c r="C884" i="10"/>
  <c r="K748" i="10"/>
  <c r="K906" i="10"/>
  <c r="C748" i="10"/>
  <c r="C726" i="10"/>
  <c r="N680" i="10"/>
  <c r="N298" i="10"/>
  <c r="N320" i="10"/>
  <c r="F320" i="10"/>
  <c r="F434" i="10"/>
  <c r="N478" i="10"/>
  <c r="N456" i="10"/>
  <c r="F456" i="10"/>
  <c r="N434" i="10"/>
  <c r="N500" i="10"/>
  <c r="E1198" i="10"/>
  <c r="E614" i="10"/>
  <c r="M1448" i="10"/>
  <c r="M1132" i="10"/>
  <c r="E1470" i="10"/>
  <c r="M1630" i="10"/>
  <c r="E1448" i="10"/>
  <c r="M1608" i="10"/>
  <c r="E1991" i="10"/>
  <c r="E1608" i="10"/>
  <c r="M1470" i="10"/>
  <c r="E1630" i="10"/>
  <c r="E1492" i="10"/>
  <c r="M229" i="10"/>
  <c r="M636" i="10"/>
  <c r="M252" i="10"/>
  <c r="E636" i="10"/>
  <c r="M614" i="10"/>
  <c r="M680" i="10"/>
  <c r="E680" i="10"/>
  <c r="M1154" i="10"/>
  <c r="M658" i="10"/>
  <c r="E1154" i="10"/>
  <c r="M1176" i="10"/>
  <c r="M1198" i="10"/>
  <c r="M204" i="10"/>
  <c r="N748" i="10"/>
  <c r="F748" i="10"/>
  <c r="N726" i="10"/>
  <c r="F726" i="10"/>
  <c r="N704" i="10"/>
  <c r="F928" i="10"/>
  <c r="N862" i="10"/>
  <c r="N928" i="10"/>
  <c r="F884" i="10"/>
  <c r="N906" i="10"/>
  <c r="N884" i="10"/>
  <c r="P320" i="10"/>
  <c r="H320" i="10"/>
  <c r="P298" i="10"/>
  <c r="P478" i="10"/>
  <c r="P434" i="10"/>
  <c r="P500" i="10"/>
  <c r="P456" i="10"/>
  <c r="H456" i="10"/>
  <c r="R748" i="10"/>
  <c r="J748" i="10"/>
  <c r="R726" i="10"/>
  <c r="J726" i="10"/>
  <c r="R704" i="10"/>
  <c r="J928" i="10"/>
  <c r="R862" i="10"/>
  <c r="J884" i="10"/>
  <c r="R884" i="10"/>
  <c r="R906" i="10"/>
  <c r="R928" i="10"/>
  <c r="E1176" i="10"/>
  <c r="E1266" i="10"/>
  <c r="E906" i="10"/>
  <c r="E996" i="10"/>
  <c r="E1086" i="10"/>
  <c r="J862" i="10"/>
  <c r="H862" i="10"/>
  <c r="J906" i="10"/>
  <c r="H568" i="10"/>
  <c r="M2014" i="10"/>
  <c r="O704" i="10"/>
  <c r="O748" i="10"/>
  <c r="G748" i="10"/>
  <c r="O726" i="10"/>
  <c r="G726" i="10"/>
  <c r="G928" i="10"/>
  <c r="O862" i="10"/>
  <c r="G884" i="10"/>
  <c r="O906" i="10"/>
  <c r="O928" i="10"/>
  <c r="O884" i="10"/>
  <c r="D500" i="10"/>
  <c r="L320" i="10"/>
  <c r="D320" i="10"/>
  <c r="L298" i="10"/>
  <c r="D434" i="10"/>
  <c r="D456" i="10"/>
  <c r="L478" i="10"/>
  <c r="L500" i="10"/>
  <c r="L434" i="10"/>
  <c r="L456" i="10"/>
  <c r="L1132" i="10"/>
  <c r="D614" i="10"/>
  <c r="D1198" i="10"/>
  <c r="L1448" i="10"/>
  <c r="L1470" i="10"/>
  <c r="D1470" i="10"/>
  <c r="D1630" i="10"/>
  <c r="D1492" i="10"/>
  <c r="D1448" i="10"/>
  <c r="L1630" i="10"/>
  <c r="D1608" i="10"/>
  <c r="L1608" i="10"/>
  <c r="L1176" i="10"/>
  <c r="L680" i="10"/>
  <c r="L229" i="10"/>
  <c r="L614" i="10"/>
  <c r="L636" i="10"/>
  <c r="L658" i="10"/>
  <c r="L1154" i="10"/>
  <c r="D636" i="10"/>
  <c r="L252" i="10"/>
  <c r="D1154" i="10"/>
  <c r="D680" i="10"/>
  <c r="L1198" i="10"/>
  <c r="L204" i="10"/>
  <c r="L748" i="10"/>
  <c r="L726" i="10"/>
  <c r="D748" i="10"/>
  <c r="D726" i="10"/>
  <c r="L704" i="10"/>
  <c r="L862" i="10"/>
  <c r="D928" i="10"/>
  <c r="D884" i="10"/>
  <c r="L884" i="10"/>
  <c r="L906" i="10"/>
  <c r="L928" i="10"/>
  <c r="R298" i="10"/>
  <c r="J320" i="10"/>
  <c r="R320" i="10"/>
  <c r="R478" i="10"/>
  <c r="J456" i="10"/>
  <c r="R434" i="10"/>
  <c r="R456" i="10"/>
  <c r="R500" i="10"/>
  <c r="I500" i="10"/>
  <c r="Q298" i="10"/>
  <c r="Q320" i="10"/>
  <c r="I320" i="10"/>
  <c r="Q434" i="10"/>
  <c r="Q500" i="10"/>
  <c r="I456" i="10"/>
  <c r="Q456" i="10"/>
  <c r="Q478" i="10"/>
  <c r="M748" i="10"/>
  <c r="E748" i="10"/>
  <c r="M726" i="10"/>
  <c r="E726" i="10"/>
  <c r="M704" i="10"/>
  <c r="M862" i="10"/>
  <c r="E928" i="10"/>
  <c r="E884" i="10"/>
  <c r="M928" i="10"/>
  <c r="M884" i="10"/>
  <c r="M906" i="10"/>
  <c r="D1132" i="10"/>
  <c r="D1176" i="10"/>
  <c r="E658" i="10"/>
  <c r="E1132" i="10"/>
  <c r="M298" i="10"/>
  <c r="M320" i="10"/>
  <c r="E320" i="10"/>
  <c r="E434" i="10"/>
  <c r="M456" i="10"/>
  <c r="E456" i="10"/>
  <c r="M500" i="10"/>
  <c r="M434" i="10"/>
  <c r="M478" i="10"/>
  <c r="G658" i="10"/>
  <c r="G478" i="10"/>
  <c r="G568" i="10"/>
  <c r="I1222" i="10"/>
  <c r="I1042" i="10"/>
  <c r="I1132" i="10"/>
  <c r="I862" i="10"/>
  <c r="I952" i="10"/>
  <c r="L2014" i="10"/>
  <c r="D862" i="10"/>
  <c r="F996" i="10"/>
  <c r="H434" i="10"/>
  <c r="E478" i="10"/>
  <c r="H478" i="10"/>
  <c r="G906" i="10"/>
  <c r="D478" i="10"/>
  <c r="P748" i="10"/>
  <c r="H748" i="10"/>
  <c r="P726" i="10"/>
  <c r="H726" i="10"/>
  <c r="P704" i="10"/>
  <c r="H928" i="10"/>
  <c r="P862" i="10"/>
  <c r="P884" i="10"/>
  <c r="P906" i="10"/>
  <c r="H884" i="10"/>
  <c r="P928" i="10"/>
  <c r="G500" i="10"/>
  <c r="O320" i="10"/>
  <c r="G320" i="10"/>
  <c r="O298" i="10"/>
  <c r="G434" i="10"/>
  <c r="O478" i="10"/>
  <c r="O434" i="10"/>
  <c r="G456" i="10"/>
  <c r="O456" i="10"/>
  <c r="O500" i="10"/>
  <c r="Q748" i="10"/>
  <c r="I748" i="10"/>
  <c r="Q726" i="10"/>
  <c r="I726" i="10"/>
  <c r="Q704" i="10"/>
  <c r="Q862" i="10"/>
  <c r="I928" i="10"/>
  <c r="I884" i="10"/>
  <c r="Q884" i="10"/>
  <c r="Q906" i="10"/>
  <c r="Q928" i="10"/>
  <c r="J952" i="10"/>
  <c r="F862" i="10"/>
  <c r="I478" i="10"/>
  <c r="F906" i="10"/>
  <c r="D906" i="10"/>
  <c r="J434" i="10"/>
  <c r="E862" i="10"/>
  <c r="J478" i="10"/>
  <c r="F478" i="10"/>
  <c r="D658" i="10"/>
  <c r="E500" i="10"/>
  <c r="F500" i="10"/>
  <c r="J500" i="10"/>
  <c r="H500" i="10"/>
  <c r="D40" i="10"/>
  <c r="E40" i="10"/>
  <c r="M107" i="10" s="1"/>
  <c r="J816" i="4"/>
  <c r="J815" i="4"/>
  <c r="J813" i="4" s="1"/>
  <c r="J3182" i="10" s="1"/>
  <c r="R3182"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Dayana Veronica Acosta Castro</author>
  </authors>
  <commentList>
    <comment ref="B51" authorId="0" shapeId="0" xr:uid="{6C3335FB-D885-4B8C-9FDD-84E617622FCF}">
      <text>
        <r>
          <rPr>
            <b/>
            <sz val="9"/>
            <color indexed="81"/>
            <rFont val="Tahoma"/>
            <family val="2"/>
          </rPr>
          <t>Dayana Veronica Acosta Castro:</t>
        </r>
        <r>
          <rPr>
            <sz val="9"/>
            <color indexed="81"/>
            <rFont val="Tahoma"/>
            <family val="2"/>
          </rPr>
          <t xml:space="preserve">
Información proporciona Especies Monetarias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Andra Shepherd</author>
  </authors>
  <commentList>
    <comment ref="I153" authorId="0" shapeId="0" xr:uid="{17B448B7-640E-4A61-AB64-6B540911505B}">
      <text>
        <r>
          <rPr>
            <b/>
            <sz val="9"/>
            <color indexed="81"/>
            <rFont val="Tahoma"/>
            <family val="2"/>
          </rPr>
          <t>Andra Shepherd:</t>
        </r>
        <r>
          <rPr>
            <sz val="9"/>
            <color indexed="81"/>
            <rFont val="Tahoma"/>
            <family val="2"/>
          </rPr>
          <t xml:space="preserve">
ACH</t>
        </r>
      </text>
    </comment>
  </commentList>
</comments>
</file>

<file path=xl/sharedStrings.xml><?xml version="1.0" encoding="utf-8"?>
<sst xmlns="http://schemas.openxmlformats.org/spreadsheetml/2006/main" count="26402" uniqueCount="2166">
  <si>
    <t xml:space="preserve">Source: Central de Registro y Liquidación (CRYL) y Caja de Valores SA (CVSA).							
							</t>
  </si>
  <si>
    <t>CB</t>
  </si>
  <si>
    <t>ARS; USD</t>
  </si>
  <si>
    <t>DVP 1</t>
  </si>
  <si>
    <t xml:space="preserve">Central de Registro y Liquidación </t>
  </si>
  <si>
    <t>B</t>
  </si>
  <si>
    <t>nav</t>
  </si>
  <si>
    <t>Caja de Valores S.A.</t>
  </si>
  <si>
    <t>Cash settlement agent</t>
  </si>
  <si>
    <t>Currencies</t>
  </si>
  <si>
    <t>DVP mechanism</t>
  </si>
  <si>
    <t>System</t>
  </si>
  <si>
    <t>T+0</t>
  </si>
  <si>
    <t>7:00:00 p.m.</t>
  </si>
  <si>
    <t>FT</t>
  </si>
  <si>
    <t>T+2</t>
  </si>
  <si>
    <t>Euroclear, Clearstream, Iberclear, B3 (ex BM&amp;F Bovespa), DTC (directa - FoP), CRyL</t>
  </si>
  <si>
    <t>8:00:00 p.m.</t>
  </si>
  <si>
    <t>FoP</t>
  </si>
  <si>
    <t>SE</t>
  </si>
  <si>
    <t>Delivery lag (T+n)</t>
  </si>
  <si>
    <t>Links to other CSDs</t>
  </si>
  <si>
    <t>Closing time for same day transactions</t>
  </si>
  <si>
    <t>Securities settlement system</t>
  </si>
  <si>
    <t>Ower/
manager</t>
  </si>
  <si>
    <t>Features of selected central securities depositories</t>
  </si>
  <si>
    <t>Table CSD1</t>
  </si>
  <si>
    <r>
      <t xml:space="preserve">Notes: 
</t>
    </r>
    <r>
      <rPr>
        <vertAlign val="superscript"/>
        <sz val="9"/>
        <color indexed="8"/>
        <rFont val="Helvetica"/>
        <family val="2"/>
      </rPr>
      <t>(1)</t>
    </r>
    <r>
      <rPr>
        <sz val="9"/>
        <color indexed="8"/>
        <rFont val="Helvetica"/>
        <family val="2"/>
      </rPr>
      <t xml:space="preserve"> By intraday margining it refers to daily differences. 
</t>
    </r>
    <r>
      <rPr>
        <vertAlign val="superscript"/>
        <sz val="9"/>
        <color indexed="8"/>
        <rFont val="Helvetica"/>
        <family val="2"/>
      </rPr>
      <t/>
    </r>
  </si>
  <si>
    <t>Source: ByMA, Argentina Clearing y Registro, MAV y MAE</t>
  </si>
  <si>
    <t>CSD  (CVSA), CB</t>
  </si>
  <si>
    <t>MAE</t>
  </si>
  <si>
    <t>CSD (CVSA)</t>
  </si>
  <si>
    <t>MAV</t>
  </si>
  <si>
    <t>ByMA</t>
  </si>
  <si>
    <t>CB, B</t>
  </si>
  <si>
    <t>ACyR</t>
  </si>
  <si>
    <t>Links to other CCPs</t>
  </si>
  <si>
    <t>Securities settlement agent</t>
  </si>
  <si>
    <t>Entity</t>
  </si>
  <si>
    <t>SEC, DFX, REP</t>
  </si>
  <si>
    <t>event:P</t>
  </si>
  <si>
    <t>INDEP</t>
  </si>
  <si>
    <t>INT</t>
  </si>
  <si>
    <t>SEC</t>
  </si>
  <si>
    <t>EQU, SEC, DFX</t>
  </si>
  <si>
    <t>SE (Bolsa de Comercio 31%, Foreign 17%, Retail 16%, Other 36%)</t>
  </si>
  <si>
    <t>SE (MaTBA-Rofex)</t>
  </si>
  <si>
    <t xml:space="preserve">Products/
markets 
cleared </t>
  </si>
  <si>
    <t xml:space="preserve">Intraday 
margining </t>
  </si>
  <si>
    <t>Relationship with 
CSD</t>
  </si>
  <si>
    <t xml:space="preserve">Relationship with exchange </t>
  </si>
  <si>
    <t>Features of selected central counterparties and clearing houses</t>
  </si>
  <si>
    <t>Table CCP1</t>
  </si>
  <si>
    <r>
      <t xml:space="preserve">Notes:
* The schedule for entering bids and finalizing placements depends on what is stipulated by each issuer in the issuance prospectus
</t>
    </r>
    <r>
      <rPr>
        <vertAlign val="superscript"/>
        <sz val="9"/>
        <color indexed="8"/>
        <rFont val="Helvetica"/>
        <family val="2"/>
      </rPr>
      <t xml:space="preserve">(1) </t>
    </r>
    <r>
      <rPr>
        <sz val="9"/>
        <color indexed="8"/>
        <rFont val="Helvetica"/>
        <family val="2"/>
      </rPr>
      <t xml:space="preserve">March-October. 
</t>
    </r>
    <r>
      <rPr>
        <vertAlign val="superscript"/>
        <sz val="9"/>
        <color indexed="8"/>
        <rFont val="Helvetica"/>
        <family val="2"/>
      </rPr>
      <t>(2)</t>
    </r>
    <r>
      <rPr>
        <sz val="9"/>
        <color indexed="8"/>
        <rFont val="Helvetica"/>
        <family val="2"/>
      </rPr>
      <t xml:space="preserve"> November-February.</t>
    </r>
  </si>
  <si>
    <t>Source: Central Bank of Argentina, MAE SA, ACYR SA, ByMA SA,  y MAV SA.</t>
  </si>
  <si>
    <t>10 a 17 hs</t>
  </si>
  <si>
    <t>ELT</t>
  </si>
  <si>
    <t>G</t>
  </si>
  <si>
    <t>System E CENTRAL DE REGISTRO Y LIQ (CRyL)</t>
  </si>
  <si>
    <t>11:00-17:00 HS</t>
  </si>
  <si>
    <t>SEC, B, G, E, O</t>
  </si>
  <si>
    <t>System D BOLSAS Y MERCADOS ARGENTINOS (ByMA)</t>
  </si>
  <si>
    <t>10:30-17:00 HS</t>
  </si>
  <si>
    <t>SEC, B, G,  C, E, O</t>
  </si>
  <si>
    <t>System C MERCADO ARGENTINO DE VALORES (MAV)</t>
  </si>
  <si>
    <t>9:30-18:00 HS</t>
  </si>
  <si>
    <t>SEC, B, G, E, DER, O</t>
  </si>
  <si>
    <t>System B MERCADO ABIERTO ELECTRONICO (MAE)</t>
  </si>
  <si>
    <t>10:00-17:00 HS</t>
  </si>
  <si>
    <t>SEC, B, G, DER</t>
  </si>
  <si>
    <t>System A MaTBA-ROFEX S.A.</t>
  </si>
  <si>
    <t>Relationship 
with CCP</t>
  </si>
  <si>
    <t>Operating times</t>
  </si>
  <si>
    <t>Trading</t>
  </si>
  <si>
    <t>Market/
products</t>
  </si>
  <si>
    <t>Features of selected exchanges and trading systems</t>
  </si>
  <si>
    <t>Table TRS1</t>
  </si>
  <si>
    <t xml:space="preserve">Notes: 
* The system is open to financial entities. On the other hand, for other organizations, the system is with express authorization.       
**Networks process customer transfers in real time and on a gross basis. At the Financial Entity level, the processing is carried out by the camera as a multilateral net
        </t>
  </si>
  <si>
    <t>Source: Central Bank of Argentina (MEP, ALADI Y SML), ACH (INTERBANKING Y COELSA) and the Automated Teller Networks (BANELCO and LINK).</t>
  </si>
  <si>
    <t>23:59</t>
  </si>
  <si>
    <t>nap</t>
  </si>
  <si>
    <t>Intraday and Real Time</t>
  </si>
  <si>
    <t>BANELCO</t>
  </si>
  <si>
    <t>LINK</t>
  </si>
  <si>
    <t>Intraday</t>
  </si>
  <si>
    <t>COELSA</t>
  </si>
  <si>
    <t>12:00</t>
  </si>
  <si>
    <t>09:00</t>
  </si>
  <si>
    <t>16:00</t>
  </si>
  <si>
    <t>SML</t>
  </si>
  <si>
    <t>16:30</t>
  </si>
  <si>
    <t>18:30</t>
  </si>
  <si>
    <t>ALADI</t>
  </si>
  <si>
    <t>INTERBANKING</t>
  </si>
  <si>
    <t>RTGS</t>
  </si>
  <si>
    <t>MEP</t>
  </si>
  <si>
    <t>closing</t>
  </si>
  <si>
    <t>opening</t>
  </si>
  <si>
    <t>Standard money market hours</t>
  </si>
  <si>
    <t>Cut-off third-
party orders</t>
  </si>
  <si>
    <t>Settlement 
finality</t>
  </si>
  <si>
    <t>Closing time
for same day 
transactions</t>
  </si>
  <si>
    <t>C</t>
  </si>
  <si>
    <t>R</t>
  </si>
  <si>
    <t>RTT, ACH</t>
  </si>
  <si>
    <t>MN</t>
  </si>
  <si>
    <t>RTT</t>
  </si>
  <si>
    <t>BN</t>
  </si>
  <si>
    <t>PA</t>
  </si>
  <si>
    <t>MN,BN</t>
  </si>
  <si>
    <t>Degree of 
centralisation</t>
  </si>
  <si>
    <t>Membership</t>
  </si>
  <si>
    <t>Processing</t>
  </si>
  <si>
    <t>Settlement</t>
  </si>
  <si>
    <t>Features of selected interbank funds transfer systems</t>
  </si>
  <si>
    <t>Table PS1</t>
  </si>
  <si>
    <t>Source: Caja de Valores SA y Central de Registro y Liquidación (CRYL)</t>
  </si>
  <si>
    <t>Other</t>
  </si>
  <si>
    <t>Equities</t>
  </si>
  <si>
    <t>bonds</t>
  </si>
  <si>
    <t>short-term paper</t>
  </si>
  <si>
    <t>Debt securities</t>
  </si>
  <si>
    <t>Free-of-payment transactions</t>
  </si>
  <si>
    <t>DVP transactions</t>
  </si>
  <si>
    <t>Total value of delivery instructions</t>
  </si>
  <si>
    <t>CRyL</t>
  </si>
  <si>
    <t>Caja de Valores SA</t>
  </si>
  <si>
    <t>(Millions, total for the year)</t>
  </si>
  <si>
    <t>Value of delivery instructions processed</t>
  </si>
  <si>
    <t>Table A26</t>
  </si>
  <si>
    <t>Total number of delivery instructions</t>
  </si>
  <si>
    <t xml:space="preserve">(Thousands, total for the year) </t>
  </si>
  <si>
    <t>Number of delivery instructions processed</t>
  </si>
  <si>
    <t>Table A25</t>
  </si>
  <si>
    <t>Notes:
* Includes negotiable obligations
** Includes certificates of participation and debt securities of financial trusts</t>
  </si>
  <si>
    <t>Other**</t>
  </si>
  <si>
    <t>short-term paper*</t>
  </si>
  <si>
    <t xml:space="preserve">Total value of securities held </t>
  </si>
  <si>
    <t>(Millions, at year end)</t>
  </si>
  <si>
    <t>Value of securities held on accounts at CSDs</t>
  </si>
  <si>
    <t>Table A24</t>
  </si>
  <si>
    <t xml:space="preserve">Total number of ISIN codes held </t>
  </si>
  <si>
    <t>(Thousands, at year end)</t>
  </si>
  <si>
    <t>Number of securities held on accounts at CSDs</t>
  </si>
  <si>
    <t>Table A23</t>
  </si>
  <si>
    <r>
      <t xml:space="preserve">Notes: 
</t>
    </r>
    <r>
      <rPr>
        <sz val="9"/>
        <rFont val="Helvetica"/>
        <family val="2"/>
      </rPr>
      <t>(1) The indicated number corresponds to the accounts opened by the participants in the DCV. It is important to note that a participant may have more than one account.
(2) Accounts corresponding to the BCRA
(3) Correspond to Term Markets, Clearing Houses and Futures and Options Markets
(4) Corresponds to Iberclear
(5) Corresponds to Stockbrokers, Financial Companies, Insurance Companies, Mutual Investment Funds, etc.</t>
    </r>
  </si>
  <si>
    <t>other</t>
  </si>
  <si>
    <t>banks</t>
  </si>
  <si>
    <t>central securities depositories</t>
  </si>
  <si>
    <t>central counterparties (CCPs)</t>
  </si>
  <si>
    <t>central bank</t>
  </si>
  <si>
    <t>Total number of foreign participants in CSDs</t>
  </si>
  <si>
    <t>Total number of domestic participants in CSDs</t>
  </si>
  <si>
    <r>
      <t xml:space="preserve">other </t>
    </r>
    <r>
      <rPr>
        <vertAlign val="superscript"/>
        <sz val="10"/>
        <rFont val="Helvetica"/>
        <family val="2"/>
      </rPr>
      <t>(5)</t>
    </r>
  </si>
  <si>
    <r>
      <t xml:space="preserve">central securities depositories </t>
    </r>
    <r>
      <rPr>
        <vertAlign val="superscript"/>
        <sz val="10"/>
        <rFont val="Helvetica"/>
        <family val="2"/>
      </rPr>
      <t>(4)</t>
    </r>
  </si>
  <si>
    <r>
      <t xml:space="preserve">central counterparties (CCPs) </t>
    </r>
    <r>
      <rPr>
        <vertAlign val="superscript"/>
        <sz val="10"/>
        <rFont val="Helvetica"/>
        <family val="2"/>
      </rPr>
      <t>(3)</t>
    </r>
  </si>
  <si>
    <r>
      <t xml:space="preserve">central bank </t>
    </r>
    <r>
      <rPr>
        <vertAlign val="superscript"/>
        <sz val="10"/>
        <rFont val="Helvetica"/>
        <family val="2"/>
      </rPr>
      <t>(2)</t>
    </r>
  </si>
  <si>
    <r>
      <t xml:space="preserve">Total number of direct participants in CSDs </t>
    </r>
    <r>
      <rPr>
        <vertAlign val="superscript"/>
        <sz val="10"/>
        <rFont val="Helvetica"/>
        <family val="2"/>
      </rPr>
      <t>(1)</t>
    </r>
  </si>
  <si>
    <t xml:space="preserve"> Caja de Valores SA</t>
  </si>
  <si>
    <t>(at year-end)</t>
  </si>
  <si>
    <t>Number of direct participants in CSDs</t>
  </si>
  <si>
    <t>Table A22</t>
  </si>
  <si>
    <t xml:space="preserve">Notes:
(1) Futures contracts with financial underlying
(2) Futures option contracts with financial underlying
(3) Futures contracts with agricultural underlying
(4) Futures option contracts with agricultural underlying
(5) Includes Negotiable Obligations and Fiduciary Debt Securities issued by Financial Trusts
(6) Includes Pass and Surety operations, Deferred Payment Checks and securities loans
</t>
  </si>
  <si>
    <t xml:space="preserve">Source: Mercado Argentino de Valores SA (MAV), Argentina Clearing y Registro SA (ACYR), Mercado Abierto Electrónico SA (MAE) y Bolsas y Mercados Argentinos SA (BYMA).       </t>
  </si>
  <si>
    <t>Other commodity derivatives</t>
  </si>
  <si>
    <t>Commodity options</t>
  </si>
  <si>
    <t>Commodity futures</t>
  </si>
  <si>
    <t>Other financial derivatives</t>
  </si>
  <si>
    <t>Financial options</t>
  </si>
  <si>
    <t>Financial futures</t>
  </si>
  <si>
    <t>Value of OTC derivatives contracts cleared</t>
  </si>
  <si>
    <t>Value of exchange-traded derivatives contracts cleared</t>
  </si>
  <si>
    <t>goverment bonds</t>
  </si>
  <si>
    <t>of which:  value of the outright transaction cleared</t>
  </si>
  <si>
    <t>Interest rate swaps</t>
  </si>
  <si>
    <t>Interest rate</t>
  </si>
  <si>
    <t>Foreign exchange (Dollar)</t>
  </si>
  <si>
    <t>Electronic Credit Invoices</t>
  </si>
  <si>
    <t>Promisory Notes</t>
  </si>
  <si>
    <t>Checks</t>
  </si>
  <si>
    <t>Sureties</t>
  </si>
  <si>
    <t>Financial Trust</t>
  </si>
  <si>
    <t>Negotiable Obligations</t>
  </si>
  <si>
    <t>Bonds</t>
  </si>
  <si>
    <t>Short-term securities</t>
  </si>
  <si>
    <t>Value of cleared securities transactions</t>
  </si>
  <si>
    <t>Total value of contracts and transactions cleared</t>
  </si>
  <si>
    <t>of which: value of the repo transactions cleared</t>
  </si>
  <si>
    <r>
      <t xml:space="preserve">Interest rate </t>
    </r>
    <r>
      <rPr>
        <vertAlign val="superscript"/>
        <sz val="10"/>
        <rFont val="Helvetica"/>
        <family val="2"/>
      </rPr>
      <t>(6)</t>
    </r>
  </si>
  <si>
    <r>
      <t xml:space="preserve">bonds </t>
    </r>
    <r>
      <rPr>
        <vertAlign val="superscript"/>
        <sz val="10"/>
        <rFont val="Helvetica"/>
        <family val="2"/>
      </rPr>
      <t>(5)</t>
    </r>
  </si>
  <si>
    <t>Value of securities transactions cleared</t>
  </si>
  <si>
    <t>neg</t>
  </si>
  <si>
    <r>
      <t xml:space="preserve">Commodity options </t>
    </r>
    <r>
      <rPr>
        <vertAlign val="superscript"/>
        <sz val="10"/>
        <rFont val="Helvetica"/>
        <family val="2"/>
      </rPr>
      <t>(4)</t>
    </r>
  </si>
  <si>
    <r>
      <t xml:space="preserve">Commodity futures </t>
    </r>
    <r>
      <rPr>
        <vertAlign val="superscript"/>
        <sz val="10"/>
        <rFont val="Helvetica"/>
        <family val="2"/>
      </rPr>
      <t>(3)</t>
    </r>
  </si>
  <si>
    <r>
      <t xml:space="preserve">Financial options </t>
    </r>
    <r>
      <rPr>
        <vertAlign val="superscript"/>
        <sz val="10"/>
        <rFont val="Helvetica"/>
        <family val="2"/>
      </rPr>
      <t>(2)</t>
    </r>
  </si>
  <si>
    <r>
      <t xml:space="preserve">Financial futures </t>
    </r>
    <r>
      <rPr>
        <vertAlign val="superscript"/>
        <sz val="10"/>
        <rFont val="Helvetica"/>
        <family val="2"/>
      </rPr>
      <t>(1)</t>
    </r>
  </si>
  <si>
    <t xml:space="preserve"> ARGENTINA CLEARING Y REGISTRO (ACyR)</t>
  </si>
  <si>
    <t>government bonds</t>
  </si>
  <si>
    <t>Value of contracts and transactions cleared</t>
  </si>
  <si>
    <t>Table A21</t>
  </si>
  <si>
    <r>
      <t xml:space="preserve">Notes:
</t>
    </r>
    <r>
      <rPr>
        <sz val="9"/>
        <rFont val="Helvetica"/>
        <family val="2"/>
      </rPr>
      <t>(1) Includes Negotiable Obligations and Trust Debt Securities issued by Financial Trusts
(2) Includes Pass and Surety operations, Deferred Payment Checks and securities loans</t>
    </r>
  </si>
  <si>
    <t>Source:  Bolsas y Mercados Argentinos (ByMA) S.A., Argentina Clearing y Registro S.A. (ACYR), Mercado Argentino de Valores S.A. (MAV), and Mercado Abierto Electrónico S.A. (MAE)</t>
  </si>
  <si>
    <t>Number of OTC derivatives contracts cleared</t>
  </si>
  <si>
    <t>Number of exchange-traded derivatives contracts cleared</t>
  </si>
  <si>
    <t>of which: number of the outright transaction cleared</t>
  </si>
  <si>
    <t>of which: number of the repo transactions cleared</t>
  </si>
  <si>
    <r>
      <t xml:space="preserve">Interest rate </t>
    </r>
    <r>
      <rPr>
        <vertAlign val="superscript"/>
        <sz val="10"/>
        <rFont val="Helvetica"/>
        <family val="2"/>
      </rPr>
      <t>(2)</t>
    </r>
  </si>
  <si>
    <r>
      <t xml:space="preserve">bonds </t>
    </r>
    <r>
      <rPr>
        <vertAlign val="superscript"/>
        <sz val="10"/>
        <rFont val="Helvetica"/>
        <family val="2"/>
      </rPr>
      <t>(1)</t>
    </r>
  </si>
  <si>
    <t>Number of securities transactions cleared</t>
  </si>
  <si>
    <t>Total number of contracts and transactions cleared</t>
  </si>
  <si>
    <t>(Thousands, summed through the year)</t>
  </si>
  <si>
    <t>Number of contracts and transactions cleared</t>
  </si>
  <si>
    <t>Table A20</t>
  </si>
  <si>
    <r>
      <t xml:space="preserve">Notes:
</t>
    </r>
    <r>
      <rPr>
        <sz val="9"/>
        <rFont val="Helvetica"/>
        <family val="2"/>
      </rPr>
      <t>(1) The number of clearing members in this market coincide with the total number of participants since the MaTBA brings together in its own structure the Market and the Clearing House
(2) The Clearing Members of Argentina Clearing (ALyCs ROFEX) are considered Clearing Members.</t>
    </r>
  </si>
  <si>
    <t xml:space="preserve">central counterparties (CCPs) </t>
  </si>
  <si>
    <t>Number of foreign clearing members</t>
  </si>
  <si>
    <t>Number of domestic clearing members</t>
  </si>
  <si>
    <t>Total number of clearing members</t>
  </si>
  <si>
    <t>Number of clearing members</t>
  </si>
  <si>
    <t>Table A19</t>
  </si>
  <si>
    <t>Source: Banco Central de la República Argentina (CRYL), Bolsas y Mercados Argentinos (ByMA) S.A., Argentina Clearing y Registro S.A. (ACYR), Mercado Argentino de Valores S.A. (MAV), and Mercado Abierto Electrónico S.A. (MAE)</t>
  </si>
  <si>
    <t>Total value of executed derivatives trades</t>
  </si>
  <si>
    <t>Total value of executed securities trades</t>
  </si>
  <si>
    <t>CRYL</t>
  </si>
  <si>
    <t>Corporate securities</t>
  </si>
  <si>
    <t>Government securities</t>
  </si>
  <si>
    <r>
      <t xml:space="preserve">bonds </t>
    </r>
    <r>
      <rPr>
        <vertAlign val="superscript"/>
        <sz val="10"/>
        <rFont val="Helvetica"/>
        <family val="2"/>
      </rPr>
      <t>(1) (2)</t>
    </r>
  </si>
  <si>
    <t>Value of executed trades</t>
  </si>
  <si>
    <t>Table A18</t>
  </si>
  <si>
    <t>Source: Banco Central de la República Argentina (CRYL),  Bolsas y Mercados Argentinos (ByMA) S.A., Argentina Clearing y Registro S.A. (ACYR), Mercado Argentino de Valores S.A. (MAV), and Mercado Abierto Electrónico S.A. (MAE)</t>
  </si>
  <si>
    <t>Total number of executed derivatives trades</t>
  </si>
  <si>
    <t>Total number of executed securities trades</t>
  </si>
  <si>
    <t xml:space="preserve"> -   </t>
  </si>
  <si>
    <t xml:space="preserve">-   </t>
  </si>
  <si>
    <t>MaTBA</t>
  </si>
  <si>
    <r>
      <t xml:space="preserve">bonds </t>
    </r>
    <r>
      <rPr>
        <i/>
        <vertAlign val="superscript"/>
        <sz val="10"/>
        <rFont val="Helvetica"/>
        <family val="2"/>
      </rPr>
      <t>(1)</t>
    </r>
  </si>
  <si>
    <t>(Thousands, total for the year)</t>
  </si>
  <si>
    <t>Number of executed trades</t>
  </si>
  <si>
    <t>Table A17</t>
  </si>
  <si>
    <t>Total market capitalisation</t>
  </si>
  <si>
    <t>MATBA-ROFEX</t>
  </si>
  <si>
    <t>BYMA SA</t>
  </si>
  <si>
    <t>(Millions, at year-end)</t>
  </si>
  <si>
    <t>Market capitalisation of listed companies</t>
  </si>
  <si>
    <t>Table A16</t>
  </si>
  <si>
    <r>
      <t xml:space="preserve">Notes:
</t>
    </r>
    <r>
      <rPr>
        <vertAlign val="superscript"/>
        <sz val="10"/>
        <rFont val="Helvetica"/>
        <family val="2"/>
      </rPr>
      <t>(1)</t>
    </r>
    <r>
      <rPr>
        <sz val="10"/>
        <rFont val="Helvetica"/>
        <family val="2"/>
      </rPr>
      <t xml:space="preserve"> The total number of listed securities equal to the number of executed contract transactions since there is not data on ISIN codes for each contract. 
</t>
    </r>
    <r>
      <rPr>
        <vertAlign val="superscript"/>
        <sz val="10"/>
        <rFont val="Helvetica"/>
        <family val="2"/>
      </rPr>
      <t>(2)</t>
    </r>
    <r>
      <rPr>
        <sz val="10"/>
        <rFont val="Helvetica"/>
        <family val="2"/>
      </rPr>
      <t xml:space="preserve"> Refers to commodity future and commodity options transactions. 
</t>
    </r>
    <r>
      <rPr>
        <vertAlign val="superscript"/>
        <sz val="10"/>
        <rFont val="Helvetica"/>
        <family val="2"/>
      </rPr>
      <t>(3)</t>
    </r>
    <r>
      <rPr>
        <sz val="10"/>
        <rFont val="Helvetica"/>
        <family val="2"/>
      </rPr>
      <t xml:space="preserve"> Number of trading transactions, since there is not data on derivaties contracts ISIN codes. 
</t>
    </r>
    <r>
      <rPr>
        <vertAlign val="superscript"/>
        <sz val="10"/>
        <rFont val="Helvetica"/>
        <family val="2"/>
      </rPr>
      <t>(4)</t>
    </r>
    <r>
      <rPr>
        <sz val="10"/>
        <rFont val="Helvetica"/>
        <family val="2"/>
      </rPr>
      <t xml:space="preserve"> Refers to the number of companies / issuers of each type of trading.
</t>
    </r>
    <r>
      <rPr>
        <vertAlign val="superscript"/>
        <sz val="10"/>
        <rFont val="Helvetica"/>
        <family val="2"/>
      </rPr>
      <t>(5)</t>
    </r>
    <r>
      <rPr>
        <sz val="10"/>
        <rFont val="Helvetica"/>
        <family val="2"/>
      </rPr>
      <t xml:space="preserve"> Includes National, Provincial, Municipal Public Titles as well as Negotiable Obligations
</t>
    </r>
    <r>
      <rPr>
        <vertAlign val="superscript"/>
        <sz val="10"/>
        <rFont val="Helvetica"/>
        <family val="2"/>
      </rPr>
      <t>(6)</t>
    </r>
    <r>
      <rPr>
        <sz val="10"/>
        <rFont val="Helvetica"/>
        <family val="2"/>
      </rPr>
      <t xml:space="preserve"> Includes Financial Trusts</t>
    </r>
  </si>
  <si>
    <t>Source:  Banco Central de la República Argentina (CRYL), Bolsas y Mercados Argentinos (ByMA) S.A., Argentina Clearing y Registro S.A. (ACYR), Mercado Argentino de Valores S.A. (MAV), and Mercado Abierto Electrónico S.A. (MAE)</t>
  </si>
  <si>
    <t>Total number of securities admitted to trading</t>
  </si>
  <si>
    <t>Sistema CRyL</t>
  </si>
  <si>
    <r>
      <t xml:space="preserve">Other </t>
    </r>
    <r>
      <rPr>
        <vertAlign val="superscript"/>
        <sz val="10"/>
        <rFont val="Helvetica"/>
        <family val="2"/>
      </rPr>
      <t>(6)</t>
    </r>
  </si>
  <si>
    <r>
      <t xml:space="preserve">Total number of securities admitted to trading </t>
    </r>
    <r>
      <rPr>
        <vertAlign val="superscript"/>
        <sz val="10"/>
        <rFont val="Helvetica"/>
        <family val="2"/>
      </rPr>
      <t>(4)</t>
    </r>
  </si>
  <si>
    <t>Sistema ByMA</t>
  </si>
  <si>
    <r>
      <t xml:space="preserve">Other </t>
    </r>
    <r>
      <rPr>
        <vertAlign val="superscript"/>
        <sz val="10"/>
        <rFont val="Helvetica"/>
        <family val="2"/>
      </rPr>
      <t>(2)</t>
    </r>
  </si>
  <si>
    <r>
      <t xml:space="preserve">Sistema MaTBA </t>
    </r>
    <r>
      <rPr>
        <b/>
        <vertAlign val="superscript"/>
        <sz val="10"/>
        <rFont val="Helvetica"/>
        <family val="2"/>
      </rPr>
      <t>(1)</t>
    </r>
  </si>
  <si>
    <t>Sistema MAV</t>
  </si>
  <si>
    <t>Sistema MAE</t>
  </si>
  <si>
    <t>(Thousands, at year-end)</t>
  </si>
  <si>
    <t>Number of listed securities</t>
  </si>
  <si>
    <t>Table A15</t>
  </si>
  <si>
    <r>
      <t xml:space="preserve">Notes:
</t>
    </r>
    <r>
      <rPr>
        <vertAlign val="superscript"/>
        <sz val="9"/>
        <rFont val="Helvetica"/>
        <family val="2"/>
      </rPr>
      <t>(1)</t>
    </r>
    <r>
      <rPr>
        <sz val="9"/>
        <rFont val="Helvetica"/>
        <family val="2"/>
      </rPr>
      <t xml:space="preserve"> Participants means Rofex ALyCs and those enabled by interconnection. </t>
    </r>
    <r>
      <rPr>
        <vertAlign val="superscript"/>
        <sz val="9"/>
        <rFont val="Helvetica"/>
        <family val="2"/>
      </rPr>
      <t/>
    </r>
  </si>
  <si>
    <t>Banks</t>
  </si>
  <si>
    <t xml:space="preserve">Central Counterparties (CCPs) </t>
  </si>
  <si>
    <t>Central Bank</t>
  </si>
  <si>
    <t>Total number of foreign participants</t>
  </si>
  <si>
    <t>Total number of domestic participants</t>
  </si>
  <si>
    <t>Total number of participants</t>
  </si>
  <si>
    <t>MERCADO ABIERTO ELECTRONICO S.A.</t>
  </si>
  <si>
    <t>BOLSAS Y MERCADOS ARGENTINOS (ByMA)</t>
  </si>
  <si>
    <t>MERCADO ARGENTINO DE VALORES S.A.</t>
  </si>
  <si>
    <t>(At year-end)</t>
  </si>
  <si>
    <t>Number of participants in exchanges and trading systems</t>
  </si>
  <si>
    <t>Table A14</t>
  </si>
  <si>
    <t>Source: SWIFT</t>
  </si>
  <si>
    <t>category II (MT202C)</t>
  </si>
  <si>
    <t>category II (MT202)</t>
  </si>
  <si>
    <t>category I (MT103+)</t>
  </si>
  <si>
    <t>category I (MT103)</t>
  </si>
  <si>
    <t>of which</t>
  </si>
  <si>
    <t>Domestic messages</t>
  </si>
  <si>
    <t xml:space="preserve">International messages received </t>
  </si>
  <si>
    <t>International messages sent</t>
  </si>
  <si>
    <t>SWIFT message flows to/from domestic users</t>
  </si>
  <si>
    <t>Table A13</t>
  </si>
  <si>
    <t>Number of domestic BICs connected to SWIFT</t>
  </si>
  <si>
    <t>Participation in SWIFT by domestic institutions</t>
  </si>
  <si>
    <t>Table A12</t>
  </si>
  <si>
    <t>Source:  Banco Central de la República Argentina (LBTR system), Electronic Compensation Chambers (INTERBANKING AND COELSA) and ATM Networks (BANELCO and LINK).</t>
  </si>
  <si>
    <t>Concentration in terms of volume (%)</t>
  </si>
  <si>
    <t>other payment instruments</t>
  </si>
  <si>
    <t>cheques</t>
  </si>
  <si>
    <t>e-money transactions</t>
  </si>
  <si>
    <t>ATM transactions</t>
  </si>
  <si>
    <t>card payments</t>
  </si>
  <si>
    <t>direct debits</t>
  </si>
  <si>
    <t>credit transfers</t>
  </si>
  <si>
    <t>Cross-border transactions (sent)</t>
  </si>
  <si>
    <t>Domestic transactions</t>
  </si>
  <si>
    <t>All transactions</t>
  </si>
  <si>
    <t>INSTRA PSP</t>
  </si>
  <si>
    <t>FISERV</t>
  </si>
  <si>
    <t>PRISMA MEDIOS DE PAGO</t>
  </si>
  <si>
    <t>Concentration in terms of value (%)</t>
  </si>
  <si>
    <t>Retail payment systems</t>
  </si>
  <si>
    <t>Cross-border transactions (received)</t>
  </si>
  <si>
    <t>Sistema de Monedas Locales</t>
  </si>
  <si>
    <t>Convenio ALADI</t>
  </si>
  <si>
    <t>Concentration in terms of value (%) EURO</t>
  </si>
  <si>
    <t>Concentration in terms of value (%) USD</t>
  </si>
  <si>
    <t>Concentration in terms of value (%) ARS</t>
  </si>
  <si>
    <t>Medio Electrónico de Pagos (MEP)</t>
  </si>
  <si>
    <t>Large-value payment systems</t>
  </si>
  <si>
    <t>(Millions, summed through the year)</t>
  </si>
  <si>
    <t>Payment processed by selected interbank funds transfer systems (value)</t>
  </si>
  <si>
    <t>Table A11</t>
  </si>
  <si>
    <t xml:space="preserve">Source:  Banco Central de la República Argentina (LBTR - ALADI-SML system), Electronic Compensation Chambers (INTERBANKING AND COELSA), ATM Networks (BANELCO AND LINK).
</t>
  </si>
  <si>
    <t>INTRA PSP</t>
  </si>
  <si>
    <t>Concentration in terms of volume (%) EURO</t>
  </si>
  <si>
    <t>Concentration in terms of volume (%) USD</t>
  </si>
  <si>
    <t>Concentration in terms of volume (%) ARS</t>
  </si>
  <si>
    <t>Payment processed by selected interbank funds transfer systems (volume)</t>
  </si>
  <si>
    <t>Table A10</t>
  </si>
  <si>
    <t>Source: Banco Central de la República Argentina (LBTR system), Electronic Compensation Chamber (INTERBANKING AND COELSA) and the Automated Teller Networks (BANELCO and LINK).</t>
  </si>
  <si>
    <t>Indirect participants</t>
  </si>
  <si>
    <t>Other financial institutions</t>
  </si>
  <si>
    <t>n.a</t>
  </si>
  <si>
    <t xml:space="preserve">Clearing and settlement organisations </t>
  </si>
  <si>
    <t>Postal institution</t>
  </si>
  <si>
    <t>General government</t>
  </si>
  <si>
    <t>Other direct participants</t>
  </si>
  <si>
    <t>Central bank</t>
  </si>
  <si>
    <t>Direct participants</t>
  </si>
  <si>
    <t>Number of participants</t>
  </si>
  <si>
    <t>Participation in selected interbank funds transfer systems</t>
  </si>
  <si>
    <t>Table A9</t>
  </si>
  <si>
    <t>Source: BCRA, ATM Networks (Link and Banelco), Services Nation, Prism Payment Methods, Mastercard, Cabal and Link.</t>
  </si>
  <si>
    <t>e-money storage devices payment transactions</t>
  </si>
  <si>
    <t>e-money card payment transactions</t>
  </si>
  <si>
    <t>e-money card loading-unloading transactions</t>
  </si>
  <si>
    <t>e-money payment transactions</t>
  </si>
  <si>
    <t>POS payment transactions</t>
  </si>
  <si>
    <t>ATM cash deposits</t>
  </si>
  <si>
    <t>ATM cash withdrawals</t>
  </si>
  <si>
    <t>Cash transactions</t>
  </si>
  <si>
    <t>B.III Transactions at terminals outside the country by cards issued in the country</t>
  </si>
  <si>
    <t xml:space="preserve">B.II Transactions at terminals in the country by cards issued outside the country </t>
  </si>
  <si>
    <t xml:space="preserve">B.I. Transactions at terminals in the country by cards issued in the country </t>
  </si>
  <si>
    <t>B. Transactions per type of terminal</t>
  </si>
  <si>
    <t>memo: Cross-border transactions received</t>
  </si>
  <si>
    <t>of which: cross-border transactions sent</t>
  </si>
  <si>
    <t>Value of transactions with payment instruments</t>
  </si>
  <si>
    <t>Other payment instruments</t>
  </si>
  <si>
    <t xml:space="preserve">In foreign currency </t>
  </si>
  <si>
    <t xml:space="preserve">In local currency </t>
  </si>
  <si>
    <t>Cheques</t>
  </si>
  <si>
    <t>payments by cards with a credit function</t>
  </si>
  <si>
    <t>payments by cards with a delayed debit function</t>
  </si>
  <si>
    <t>payments by cards with a debit function</t>
  </si>
  <si>
    <t>Card payments with cards issued in the country</t>
  </si>
  <si>
    <t>Direct debits</t>
  </si>
  <si>
    <t>non-paper based</t>
  </si>
  <si>
    <t>paper based</t>
  </si>
  <si>
    <t>Credit transfers</t>
  </si>
  <si>
    <t>A. Transactions per type of payment instrument</t>
  </si>
  <si>
    <t>Indicators of the use of payment instruments and terminals by non-banks (value of transactions)</t>
  </si>
  <si>
    <t>Table A8</t>
  </si>
  <si>
    <t>Total number of transactions with payment instruments</t>
  </si>
  <si>
    <t>Indicators of the use of payment instruments and terminals by non-banks (volume of transactions)</t>
  </si>
  <si>
    <t>Table A7</t>
  </si>
  <si>
    <t>Source: BCRA, ATM Networks (Link and Banelco), Services Nation, Prismas Means of Payment, Mastercard, Cabal, Link.</t>
  </si>
  <si>
    <t>Regionals</t>
  </si>
  <si>
    <t>Nationals</t>
  </si>
  <si>
    <t>Number of EFTPOS networks</t>
  </si>
  <si>
    <t>e-money card loading/unloading terminals</t>
  </si>
  <si>
    <t xml:space="preserve">e-money card payment terminals </t>
  </si>
  <si>
    <t>of which EFTPOS terminals</t>
  </si>
  <si>
    <t>POS terminals</t>
  </si>
  <si>
    <t xml:space="preserve">Number of ATMs networks </t>
  </si>
  <si>
    <t>ATMs with a credit transfer function</t>
  </si>
  <si>
    <t>ATMs with a cash withdrawal function</t>
  </si>
  <si>
    <t>of which:</t>
  </si>
  <si>
    <t>ATM</t>
  </si>
  <si>
    <t>B. Terminals located in the country</t>
  </si>
  <si>
    <t>Memo: Retailer cards</t>
  </si>
  <si>
    <t>of which: cards with a combined debit, cash and e-money function</t>
  </si>
  <si>
    <t xml:space="preserve">Total number of cards </t>
  </si>
  <si>
    <t>of which: cards with an e-money function which have been loaded at least once</t>
  </si>
  <si>
    <t>Cards with an e-money function</t>
  </si>
  <si>
    <t>Cards with a credit function</t>
  </si>
  <si>
    <t>Cards with a delayed debit function</t>
  </si>
  <si>
    <t>Cards with a debit function</t>
  </si>
  <si>
    <t>Cards with a cash function</t>
  </si>
  <si>
    <t>A. Cards issued in the country</t>
  </si>
  <si>
    <t xml:space="preserve">Payment card and other accepting devices </t>
  </si>
  <si>
    <t>Table A6</t>
  </si>
  <si>
    <t>Source: Fuente: Banco Central de la República Argentina,  Nación Servicios, Prisma Medios de Pago, Mastercard, Cabal.</t>
  </si>
  <si>
    <t xml:space="preserve">Outstanding value on e-money storages </t>
  </si>
  <si>
    <r>
      <t xml:space="preserve">Value of accounts ($ thousand millions) - with specific function </t>
    </r>
    <r>
      <rPr>
        <vertAlign val="superscript"/>
        <sz val="10"/>
        <rFont val="Helvetica"/>
        <family val="2"/>
      </rPr>
      <t>(2)</t>
    </r>
  </si>
  <si>
    <t xml:space="preserve">Value of accounts ($ thousand millions) </t>
  </si>
  <si>
    <t xml:space="preserve">Number of institutions - with specific function </t>
  </si>
  <si>
    <t>Number of institutions</t>
  </si>
  <si>
    <t>Electronic money institutions</t>
  </si>
  <si>
    <t>Value of accounts ($ thousand millions)</t>
  </si>
  <si>
    <t>Number of accounts</t>
  </si>
  <si>
    <t xml:space="preserve">Number of branches or offices </t>
  </si>
  <si>
    <t>Other institutions offering payment services to non-banks</t>
  </si>
  <si>
    <r>
      <t xml:space="preserve">Number of branches or offices </t>
    </r>
    <r>
      <rPr>
        <vertAlign val="superscript"/>
        <sz val="10"/>
        <rFont val="Helvetica"/>
        <family val="2"/>
      </rPr>
      <t>(1)</t>
    </r>
  </si>
  <si>
    <t>Number of accounts (no-banks)</t>
  </si>
  <si>
    <t>Number of accounts (banks)</t>
  </si>
  <si>
    <t>Number of branches or offices</t>
  </si>
  <si>
    <t xml:space="preserve">(At year-end) </t>
  </si>
  <si>
    <t xml:space="preserve">Institutions offering payment services to non-banks </t>
  </si>
  <si>
    <t>Table A5</t>
  </si>
  <si>
    <t>Source: Banco Central de la República Argentina</t>
  </si>
  <si>
    <t>Banknotes and coin in circulation outside banks</t>
  </si>
  <si>
    <t>Banknotes and coin in circulation held by banks</t>
  </si>
  <si>
    <t>ARS 0.01</t>
  </si>
  <si>
    <t>ARS 0.05</t>
  </si>
  <si>
    <t>ARS 0.1</t>
  </si>
  <si>
    <t>ARS 0.25</t>
  </si>
  <si>
    <t>ARS 0.5</t>
  </si>
  <si>
    <t>ARS 1</t>
  </si>
  <si>
    <t>ARS 2</t>
  </si>
  <si>
    <t>ARS 5</t>
  </si>
  <si>
    <t>ARS 10</t>
  </si>
  <si>
    <t>Total coin issued</t>
  </si>
  <si>
    <t>ARS 20</t>
  </si>
  <si>
    <t>ARS 50</t>
  </si>
  <si>
    <t>ARS 100</t>
  </si>
  <si>
    <t>ARS 200</t>
  </si>
  <si>
    <t>ARS 500</t>
  </si>
  <si>
    <t>ARS 1000</t>
  </si>
  <si>
    <t>Total banknotes issued</t>
  </si>
  <si>
    <t>Total banknotes and coin issued</t>
  </si>
  <si>
    <t xml:space="preserve">Banknotes and coin  </t>
  </si>
  <si>
    <t>Table A4</t>
  </si>
  <si>
    <t>Source: Banco Central de la República Argentina (1) En promedio mensual de saldos diarios.</t>
  </si>
  <si>
    <t>Credit extended by the central bank</t>
  </si>
  <si>
    <t>Transferable balances held at other banks</t>
  </si>
  <si>
    <t>Required reserves (1)</t>
  </si>
  <si>
    <t>Free reserves (1)</t>
  </si>
  <si>
    <t>Transferable balances held at the central bank</t>
  </si>
  <si>
    <t>Settlement media used by banks</t>
  </si>
  <si>
    <t>Table A3</t>
  </si>
  <si>
    <t>Outstanding value on e-money storages</t>
  </si>
  <si>
    <t>Network-based</t>
  </si>
  <si>
    <t>Software-based</t>
  </si>
  <si>
    <t xml:space="preserve">E-money storages - con specific function </t>
  </si>
  <si>
    <t>E-money storages</t>
  </si>
  <si>
    <t>Other:</t>
  </si>
  <si>
    <t>Narrow money supply (M1)</t>
  </si>
  <si>
    <t xml:space="preserve">in foreign currency </t>
  </si>
  <si>
    <t>in local currency</t>
  </si>
  <si>
    <t>Transferable deposits</t>
  </si>
  <si>
    <t xml:space="preserve">Settlement media used by non-banks </t>
  </si>
  <si>
    <t>Table A2</t>
  </si>
  <si>
    <t>Source: BCRA, INDEC, Estadísticas GCBA, Ministerio de economía y Finanzas Públicas.</t>
  </si>
  <si>
    <t>Average</t>
  </si>
  <si>
    <t xml:space="preserve">Year-end </t>
  </si>
  <si>
    <t xml:space="preserve">Exchange rate vs. USD </t>
  </si>
  <si>
    <t xml:space="preserve">Inflation (%) </t>
  </si>
  <si>
    <t xml:space="preserve">GDP per capita </t>
  </si>
  <si>
    <t>GDP (millions, nominal)</t>
  </si>
  <si>
    <t>Population (millions)</t>
  </si>
  <si>
    <t>Basic statistical data</t>
  </si>
  <si>
    <t>Table A1</t>
  </si>
  <si>
    <t>Population (thousands)</t>
  </si>
  <si>
    <t>Consumer price inflation (%)</t>
  </si>
  <si>
    <t>Exchange rate vs. USD</t>
  </si>
  <si>
    <t>Year-end</t>
  </si>
  <si>
    <t>Source: Banco Central de Chile</t>
  </si>
  <si>
    <t>Required reserves</t>
  </si>
  <si>
    <t>Free reserves</t>
  </si>
  <si>
    <t>of which: (from largest to smallest)</t>
  </si>
  <si>
    <t>Total coins issued</t>
  </si>
  <si>
    <t>Otros</t>
  </si>
  <si>
    <t>Banknotes and coins in circulation held by banks</t>
  </si>
  <si>
    <t>Banknotes and coins in circulation outside banks</t>
  </si>
  <si>
    <t xml:space="preserve">Banks </t>
  </si>
  <si>
    <t>e-money card terminals</t>
  </si>
  <si>
    <t>Source: Comisión para el Mercado Financiero</t>
  </si>
  <si>
    <t xml:space="preserve">e-money payment transactions </t>
  </si>
  <si>
    <r>
      <t>Cheques</t>
    </r>
    <r>
      <rPr>
        <vertAlign val="superscript"/>
        <sz val="10"/>
        <rFont val="Helvetica"/>
        <family val="2"/>
      </rPr>
      <t xml:space="preserve"> </t>
    </r>
  </si>
  <si>
    <r>
      <t xml:space="preserve">e-money payment transactions </t>
    </r>
    <r>
      <rPr>
        <vertAlign val="superscript"/>
        <sz val="10"/>
        <rFont val="Helvetica"/>
        <family val="2"/>
      </rPr>
      <t>(1) (2) (3)</t>
    </r>
  </si>
  <si>
    <r>
      <t xml:space="preserve">Cheques </t>
    </r>
    <r>
      <rPr>
        <vertAlign val="superscript"/>
        <sz val="10"/>
        <rFont val="Helvetica"/>
        <family val="2"/>
      </rPr>
      <t>(5)</t>
    </r>
  </si>
  <si>
    <t>Combanc System</t>
  </si>
  <si>
    <t>Retail payments systems</t>
  </si>
  <si>
    <t>System A</t>
  </si>
  <si>
    <t>Source: Electronic Card Administrators: ATC and LINKSER, Banco Central de Bolivia (BCB and Administrator of Clearing and Settlement Clearing House (ACCL)</t>
  </si>
  <si>
    <t>CCAV System</t>
  </si>
  <si>
    <t>ACH</t>
  </si>
  <si>
    <t>Source: Banco Central de Chile y Superintendencia de Bancos e Instituciones Financieras.</t>
  </si>
  <si>
    <t xml:space="preserve">Chilean Stock Exchange </t>
  </si>
  <si>
    <t xml:space="preserve">Others </t>
  </si>
  <si>
    <t xml:space="preserve">National Stock Exchange </t>
  </si>
  <si>
    <r>
      <t>Others</t>
    </r>
    <r>
      <rPr>
        <vertAlign val="superscript"/>
        <sz val="10"/>
        <rFont val="Helvetica"/>
        <family val="2"/>
      </rPr>
      <t xml:space="preserve"> </t>
    </r>
  </si>
  <si>
    <r>
      <t>Total number of foreign participants</t>
    </r>
    <r>
      <rPr>
        <vertAlign val="superscript"/>
        <sz val="10"/>
        <rFont val="Helvetica"/>
        <family val="2"/>
      </rPr>
      <t xml:space="preserve"> </t>
    </r>
  </si>
  <si>
    <t>Others</t>
  </si>
  <si>
    <t xml:space="preserve">short-term paper </t>
  </si>
  <si>
    <t xml:space="preserve">bonds </t>
  </si>
  <si>
    <t xml:space="preserve">Equities </t>
  </si>
  <si>
    <t xml:space="preserve">Other </t>
  </si>
  <si>
    <t>Source: Comisión para el Mercado Financiero,  Bolsa de Comercio de Santiago</t>
  </si>
  <si>
    <t>Source: Bolsa de Comercio de Santiago</t>
  </si>
  <si>
    <t>DCV</t>
  </si>
  <si>
    <r>
      <t xml:space="preserve">short-term paper </t>
    </r>
    <r>
      <rPr>
        <vertAlign val="superscript"/>
        <sz val="10"/>
        <rFont val="Helvetica"/>
        <family val="2"/>
      </rPr>
      <t>(1)</t>
    </r>
  </si>
  <si>
    <r>
      <t xml:space="preserve">bonds </t>
    </r>
    <r>
      <rPr>
        <vertAlign val="superscript"/>
        <sz val="10"/>
        <rFont val="Helvetica"/>
        <family val="2"/>
      </rPr>
      <t>(2)</t>
    </r>
  </si>
  <si>
    <r>
      <t xml:space="preserve">Other </t>
    </r>
    <r>
      <rPr>
        <vertAlign val="superscript"/>
        <sz val="10"/>
        <rFont val="Helvetica"/>
        <family val="2"/>
      </rPr>
      <t>(3)</t>
    </r>
  </si>
  <si>
    <t>Source: Memorias anuales DCV</t>
  </si>
  <si>
    <t>System A: CCLV</t>
  </si>
  <si>
    <r>
      <t>other</t>
    </r>
    <r>
      <rPr>
        <vertAlign val="superscript"/>
        <sz val="10"/>
        <rFont val="Helvetica"/>
        <family val="2"/>
      </rPr>
      <t xml:space="preserve"> (1)</t>
    </r>
  </si>
  <si>
    <t>System B: Comder</t>
  </si>
  <si>
    <t>Source: Memoria Anual CCLV, sitio web CCLV y sitio web Comder</t>
  </si>
  <si>
    <r>
      <t xml:space="preserve">goverment bonds </t>
    </r>
    <r>
      <rPr>
        <vertAlign val="superscript"/>
        <sz val="10"/>
        <rFont val="Helvetica"/>
        <family val="2"/>
      </rPr>
      <t>(1)</t>
    </r>
  </si>
  <si>
    <r>
      <t>goverment bonds</t>
    </r>
    <r>
      <rPr>
        <i/>
        <vertAlign val="superscript"/>
        <sz val="10"/>
        <rFont val="Helvetica"/>
        <family val="2"/>
      </rPr>
      <t xml:space="preserve"> (1)</t>
    </r>
  </si>
  <si>
    <r>
      <t xml:space="preserve">goverment bonds </t>
    </r>
    <r>
      <rPr>
        <i/>
        <vertAlign val="superscript"/>
        <sz val="10"/>
        <rFont val="Helvetica"/>
        <family val="2"/>
      </rPr>
      <t>(1)</t>
    </r>
  </si>
  <si>
    <t>Source: Memoria Anual CCLV, Contraparte Central S.A. and Comder</t>
  </si>
  <si>
    <t>Total number of direct participants in CSDs</t>
  </si>
  <si>
    <t xml:space="preserve">185
</t>
  </si>
  <si>
    <t xml:space="preserve">187
</t>
  </si>
  <si>
    <t>Source: Memorias anuales DCV.</t>
  </si>
  <si>
    <t>Notes:
(1) Includes BCB bills, promissory notes and certificates of deposit.
(2) Includes Stock Market Bank Bonds, Long-Term Bonds, Treasury Bonds, BCB Bonds and Municipal Bonds
(3) Includes Participation Fees in Investment Funds, Fixed Term Deposits, Coupons and Securitization Securities</t>
  </si>
  <si>
    <t>Bolsa de Comercio de Santiago (Chile)</t>
  </si>
  <si>
    <t>O</t>
  </si>
  <si>
    <t>SEC, B, C, G, E, DER</t>
  </si>
  <si>
    <t>09:00 a 16:00</t>
  </si>
  <si>
    <t>DEP</t>
  </si>
  <si>
    <t>Bolsa Electrónica de Chile (Chile)</t>
  </si>
  <si>
    <t>SEC, B, C, G, E</t>
  </si>
  <si>
    <t>09:30 a 16:00</t>
  </si>
  <si>
    <t>Source: Bolsa de Valores</t>
  </si>
  <si>
    <t xml:space="preserve">CCP or 
clearing house </t>
  </si>
  <si>
    <t>CCLV Contraparte Central</t>
  </si>
  <si>
    <t>CCP, CH</t>
  </si>
  <si>
    <t>P</t>
  </si>
  <si>
    <t>SEC, DER, REP</t>
  </si>
  <si>
    <t>ComDer</t>
  </si>
  <si>
    <t>CCP</t>
  </si>
  <si>
    <t>DER</t>
  </si>
  <si>
    <t xml:space="preserve">Currencies </t>
  </si>
  <si>
    <t>CLP, USD</t>
  </si>
  <si>
    <t>Source: CMF</t>
  </si>
  <si>
    <t>Type of securities held</t>
  </si>
  <si>
    <t>DOM, INT; 
B, G, E, O</t>
  </si>
  <si>
    <t>B, SE, O</t>
  </si>
  <si>
    <t>17:00</t>
  </si>
  <si>
    <t>(T+1), (T+2), (T+3), (T+5)</t>
  </si>
  <si>
    <t>Intraday finality</t>
  </si>
  <si>
    <t>YES</t>
  </si>
  <si>
    <t>DVP 1, DVP 3</t>
  </si>
  <si>
    <t>Source: DCV</t>
  </si>
  <si>
    <t>GDP per capita</t>
  </si>
  <si>
    <t>Inflation (%)</t>
  </si>
  <si>
    <t>Source: Dane, Superintendencia Financiera de Colombia and Banco de la República</t>
  </si>
  <si>
    <t>Source: Superintendencia Financiera de Colombia and Banco de la República</t>
  </si>
  <si>
    <t xml:space="preserve">Required reserves </t>
  </si>
  <si>
    <t xml:space="preserve">Free reserves </t>
  </si>
  <si>
    <t>COL 100,000</t>
  </si>
  <si>
    <t>COL 50,000</t>
  </si>
  <si>
    <t>COL 20,000</t>
  </si>
  <si>
    <t>COL 10,000</t>
  </si>
  <si>
    <t>COL 5,000</t>
  </si>
  <si>
    <t>COL 2,000</t>
  </si>
  <si>
    <t>COL 1,000</t>
  </si>
  <si>
    <t>COL 500</t>
  </si>
  <si>
    <t>COL 200</t>
  </si>
  <si>
    <t>COL 100</t>
  </si>
  <si>
    <t>COL 50</t>
  </si>
  <si>
    <r>
      <t xml:space="preserve">Number of accounts </t>
    </r>
    <r>
      <rPr>
        <vertAlign val="superscript"/>
        <sz val="10"/>
        <rFont val="Helvetica"/>
        <family val="2"/>
      </rPr>
      <t>(1)</t>
    </r>
  </si>
  <si>
    <t>Source: Superfinanciera and Banco de la República</t>
  </si>
  <si>
    <t>Source:  Superintendencia Financiera de Colombia.</t>
  </si>
  <si>
    <t>Source: Banco de la República.  Superintendencia Financiera de Colombia.  ACH Colombia. Bancos comerciales</t>
  </si>
  <si>
    <t>Source: Banco de la República.  Superintendencia Financiera de Colombia.  ACH Colombia.</t>
  </si>
  <si>
    <t>CUD</t>
  </si>
  <si>
    <t>CEDEC</t>
  </si>
  <si>
    <t>CENIT</t>
  </si>
  <si>
    <t>ACH - Colombia</t>
  </si>
  <si>
    <t>Source: Banco de la República and ACH-Colombia</t>
  </si>
  <si>
    <t>ACH-COLOMBIA</t>
  </si>
  <si>
    <t>Source: Banco de la Reública and ACH-Colombia</t>
  </si>
  <si>
    <t>ACH-Colombia</t>
  </si>
  <si>
    <t xml:space="preserve">SEN </t>
  </si>
  <si>
    <t xml:space="preserve">MEC </t>
  </si>
  <si>
    <t xml:space="preserve">BOLSA DE VALORES DE COLOMBIA </t>
  </si>
  <si>
    <t>Source: Banco de la República, SEN and Bolsa de Valores de Colombia</t>
  </si>
  <si>
    <t>SEN</t>
  </si>
  <si>
    <t>MEC</t>
  </si>
  <si>
    <t>BOLSA DE VALORES DE COLOMBIA</t>
  </si>
  <si>
    <t>Source: Sistema de negociación SEN: Banco de la República-Departamento de Fiduciaria y Valores-Datos tomados del Sistema Auxiliar (AFV) y Bolsa de Valores de Colombia</t>
  </si>
  <si>
    <t>Source: https://www.bvc.com.co/pps/tibco/portalbvc/Home/Mercados/informesbursatiles?action=dummy</t>
  </si>
  <si>
    <t>Source: SEN trading system: Banco de la República- Department of Fiduciary and Securities and Bolsa de Valores de Colombia.</t>
  </si>
  <si>
    <t>Source: Sistema de negociación SEN: Banco de la República- Departamento de Fiduciaria y Valores (http://www.banrep.gov.co/es/sen-negociaciones-consolidadas)</t>
  </si>
  <si>
    <t>CÁMARA DE RIESGO CENTRAL DE CONTRAPARTE DE COLOMBIA S.A. (CCP)</t>
  </si>
  <si>
    <t>CÁMARA DE COMPENSACIÓN DE DIVISAS DE COLOMBIA (CH)</t>
  </si>
  <si>
    <t>Source: Cámara de Riesgo Central de Contraparte S.A. and Cámara de Compensación de Divisas de Colombia</t>
  </si>
  <si>
    <t>CÁMARA DE RIESGO CENTRAL DE CONTRAPARTE DE COLOMBIA S.A.</t>
  </si>
  <si>
    <t>CÁMARA DE COMPENSACIÓN DE DIVISAS DE COLOMBIA</t>
  </si>
  <si>
    <t>Other (Forex spot)</t>
  </si>
  <si>
    <t>Other (FX NDF, FX spot, futuros tasa de cambio)</t>
  </si>
  <si>
    <t>Source: Cámara de Riesgo Central de Contraparte S.A. y Cámara de Compensación de Divisas de Colombia</t>
  </si>
  <si>
    <t xml:space="preserve">DCV </t>
  </si>
  <si>
    <t>central securities depositories (DCV)</t>
  </si>
  <si>
    <t xml:space="preserve">DECEVAL </t>
  </si>
  <si>
    <t>Source: Banco de la República and DECEVAL S.A.</t>
  </si>
  <si>
    <t>DECEVAL</t>
  </si>
  <si>
    <t>Type</t>
  </si>
  <si>
    <t xml:space="preserve">CUD </t>
  </si>
  <si>
    <t>L</t>
  </si>
  <si>
    <t>D</t>
  </si>
  <si>
    <t xml:space="preserve">CENIT </t>
  </si>
  <si>
    <t xml:space="preserve">ACH-Colombia </t>
  </si>
  <si>
    <t>Pricing</t>
  </si>
  <si>
    <t>F</t>
  </si>
  <si>
    <t>Real time</t>
  </si>
  <si>
    <t>8:00 - 15:45</t>
  </si>
  <si>
    <t>G, B, O</t>
  </si>
  <si>
    <t>8:00 - 17:00</t>
  </si>
  <si>
    <t>Sistema de Negociación y Registro -BVC</t>
  </si>
  <si>
    <t>E, DER</t>
  </si>
  <si>
    <t>8:00 - 16:00</t>
  </si>
  <si>
    <t>Source: SEN: Banco de la República, MEC: https://www.bvc.com.co y reglamento interno, BVC:  https://www.bvc.com.co and reglamento interno.</t>
  </si>
  <si>
    <t>CRCC</t>
  </si>
  <si>
    <t>SEC,DER, REP</t>
  </si>
  <si>
    <t>CCDC</t>
  </si>
  <si>
    <t>CH</t>
  </si>
  <si>
    <t>REP</t>
  </si>
  <si>
    <t>COP</t>
  </si>
  <si>
    <t>DCV, DECEVAL</t>
  </si>
  <si>
    <t>COP, USD</t>
  </si>
  <si>
    <t>CB,B</t>
  </si>
  <si>
    <t>Source:  CRCC: http://www.camaraderiesgo.com, CCDC: https://www.camaradivisas.com</t>
  </si>
  <si>
    <t>* Spot and next day currency exchange operations (COP / USD)</t>
  </si>
  <si>
    <t>Direct/
DECEVAL</t>
  </si>
  <si>
    <t xml:space="preserve">T+0 </t>
  </si>
  <si>
    <t>DOM;
B, E</t>
  </si>
  <si>
    <t xml:space="preserve">Direct/
DCV </t>
  </si>
  <si>
    <t>Source: Banco de la República and DECEVAL</t>
  </si>
  <si>
    <t>Source: Banco Central de la República Dominicana.</t>
  </si>
  <si>
    <t>Banknotes and coins</t>
  </si>
  <si>
    <t>DOP 2000</t>
  </si>
  <si>
    <t>DOP 1000</t>
  </si>
  <si>
    <t>DOP 500</t>
  </si>
  <si>
    <t>DOP 200</t>
  </si>
  <si>
    <t>DOP 100</t>
  </si>
  <si>
    <t>DOP 50</t>
  </si>
  <si>
    <t>DOP 25</t>
  </si>
  <si>
    <t>DOP 20</t>
  </si>
  <si>
    <t>DOP 10</t>
  </si>
  <si>
    <t>DOP 5</t>
  </si>
  <si>
    <t>DOP 1</t>
  </si>
  <si>
    <t>DOP 30</t>
  </si>
  <si>
    <t>DOP 0.50</t>
  </si>
  <si>
    <t xml:space="preserve">DOP 0.25 </t>
  </si>
  <si>
    <t>DOP 0.10</t>
  </si>
  <si>
    <t>DOP 0.05</t>
  </si>
  <si>
    <t>DOP 0.01</t>
  </si>
  <si>
    <r>
      <t xml:space="preserve">Banknotes and coin in circulation held by banks </t>
    </r>
    <r>
      <rPr>
        <vertAlign val="superscript"/>
        <sz val="10"/>
        <rFont val="Helvetica"/>
        <family val="2"/>
      </rPr>
      <t>(1)</t>
    </r>
  </si>
  <si>
    <t>Source: Banco Central de la República Dominicana</t>
  </si>
  <si>
    <r>
      <t xml:space="preserve">Notes: 
</t>
    </r>
    <r>
      <rPr>
        <sz val="9"/>
        <rFont val="Helvetica"/>
        <family val="2"/>
      </rPr>
      <t>1) As of December 1999, the bills of RD $ 2,000.00 are included.
2) As of April 1998, it includes RD $ 5.00 coins to replace bills.
3) As of January 1995, it includes RD $ 1.00 coins issued to substitute bills.
4) Includes BCRD cash currencies</t>
    </r>
  </si>
  <si>
    <t>DOP</t>
  </si>
  <si>
    <t>USD</t>
  </si>
  <si>
    <t>Value of accounts ($ thousand millions) **</t>
  </si>
  <si>
    <r>
      <t xml:space="preserve">DOP </t>
    </r>
    <r>
      <rPr>
        <vertAlign val="superscript"/>
        <sz val="10"/>
        <rFont val="Helvetica"/>
        <family val="2"/>
      </rPr>
      <t>(1)</t>
    </r>
  </si>
  <si>
    <r>
      <t xml:space="preserve">Banks </t>
    </r>
    <r>
      <rPr>
        <b/>
        <vertAlign val="superscript"/>
        <sz val="10"/>
        <rFont val="Helvetica"/>
        <family val="2"/>
      </rPr>
      <t>(2)</t>
    </r>
  </si>
  <si>
    <t xml:space="preserve">Source: Banco Central de la República Dominicana and Superintendencia de Bancos de la República Dominicana </t>
  </si>
  <si>
    <r>
      <t xml:space="preserve">Notes:
** Figures revised. 
</t>
    </r>
    <r>
      <rPr>
        <vertAlign val="superscript"/>
        <sz val="9"/>
        <rFont val="Helvetica"/>
        <family val="2"/>
      </rPr>
      <t>(1)</t>
    </r>
    <r>
      <rPr>
        <sz val="9"/>
        <rFont val="Helvetica"/>
        <family val="2"/>
      </rPr>
      <t xml:space="preserve"> Figures expressed in USD.
</t>
    </r>
    <r>
      <rPr>
        <vertAlign val="superscript"/>
        <sz val="9"/>
        <rFont val="Helvetica"/>
        <family val="2"/>
      </rPr>
      <t>(2)</t>
    </r>
    <r>
      <rPr>
        <sz val="9"/>
        <rFont val="Helvetica"/>
        <family val="2"/>
      </rPr>
      <t xml:space="preserve"> Multiple banking, Savings and Loan Unions, Savings and Credit Banks and Credit Corporations.</t>
    </r>
  </si>
  <si>
    <t>Cards with an e-money function*(prepaid)</t>
  </si>
  <si>
    <t>*Memo: Cashless Welfare Card</t>
  </si>
  <si>
    <t>with an e-money function (prepaid cards)</t>
  </si>
  <si>
    <t>e-money card payment transactions (prepaid cards)</t>
  </si>
  <si>
    <r>
      <t>In local currency</t>
    </r>
    <r>
      <rPr>
        <i/>
        <vertAlign val="superscript"/>
        <sz val="10"/>
        <rFont val="Helvetica"/>
        <family val="2"/>
      </rPr>
      <t xml:space="preserve"> (1)</t>
    </r>
  </si>
  <si>
    <r>
      <t xml:space="preserve">In foreign currency </t>
    </r>
    <r>
      <rPr>
        <i/>
        <vertAlign val="superscript"/>
        <sz val="10"/>
        <rFont val="Helvetica"/>
        <family val="2"/>
      </rPr>
      <t>(1)</t>
    </r>
  </si>
  <si>
    <t>RTGS-DR</t>
  </si>
  <si>
    <r>
      <t xml:space="preserve">Other </t>
    </r>
    <r>
      <rPr>
        <i/>
        <vertAlign val="superscript"/>
        <sz val="10"/>
        <rFont val="Helvetica"/>
        <family val="2"/>
      </rPr>
      <t>(1)</t>
    </r>
  </si>
  <si>
    <t>Cheque Clearinghouse-DR</t>
  </si>
  <si>
    <t>Direct debits and credits</t>
  </si>
  <si>
    <t xml:space="preserve">ATH (Card) </t>
  </si>
  <si>
    <r>
      <t xml:space="preserve">Indirect participants </t>
    </r>
    <r>
      <rPr>
        <vertAlign val="superscript"/>
        <sz val="10"/>
        <rFont val="Helvetica"/>
        <family val="2"/>
      </rPr>
      <t>(2)</t>
    </r>
  </si>
  <si>
    <t>Mobile payments</t>
  </si>
  <si>
    <t>Collection payments</t>
  </si>
  <si>
    <t xml:space="preserve">VISA </t>
  </si>
  <si>
    <t xml:space="preserve">Mastercard </t>
  </si>
  <si>
    <t>Bank agents</t>
  </si>
  <si>
    <t>Note: The variation reflected in the indirect participation is justified by the change in criteria related to the requirements for indirect participation in payment systems. The updated Payment Systems Regulation, in force since January 2021, modifies the definition of "Indirect Participant" including under this concept the Payment System Administrators, Merchant Acquirers or Acquirers, ATM Network Administrators, as well as non-bank financial system entities such as insurance and reinsurance companies, pension fund managers, investment fund managers, trust companies and securitization companies. In this regard, legal entities dedicated to providing education, electricity, telecommunications, water supply, garbage collection, mail or package delivery, insurance, and remittance services, as well as collection of rates, taxes or other public services are not included under the scope of this definition and therefore their participation on any authorized payment system is not considered as an indirect participation.</t>
  </si>
  <si>
    <t>RTGS-RD</t>
  </si>
  <si>
    <t>Cheque Clearinghouse -DR</t>
  </si>
  <si>
    <r>
      <t>ATH (Card)</t>
    </r>
    <r>
      <rPr>
        <b/>
        <vertAlign val="superscript"/>
        <sz val="10"/>
        <rFont val="Helvetica"/>
        <family val="2"/>
      </rPr>
      <t>(1)</t>
    </r>
  </si>
  <si>
    <t>mobile payments</t>
  </si>
  <si>
    <r>
      <t xml:space="preserve">Notes:
</t>
    </r>
    <r>
      <rPr>
        <sz val="9"/>
        <rFont val="Helvetica"/>
        <family val="2"/>
      </rPr>
      <t>The "ATM" and "POS" Systems, presented in previous years, based on the modification of their recognition by this Central Bank, were replaced by the ATH-System and the rectified data according to what is stipulated in the Yellow Book Statistics Methodology.</t>
    </r>
  </si>
  <si>
    <r>
      <t xml:space="preserve">Notes:
</t>
    </r>
    <r>
      <rPr>
        <vertAlign val="superscript"/>
        <sz val="9"/>
        <rFont val="Helvetica"/>
        <family val="2"/>
      </rPr>
      <t xml:space="preserve">(1) </t>
    </r>
    <r>
      <rPr>
        <sz val="9"/>
        <rFont val="Helvetica"/>
        <family val="2"/>
      </rPr>
      <t xml:space="preserve">The "ATMs" and "POS" Systems, presented in previous years, based on the modification of their recognition by this Central Bank, were replaced by the ATH-System and the rectified data according to what is stipulated in the Methodology for the Yellow Book Statistics. </t>
    </r>
  </si>
  <si>
    <t>CEVALDOM</t>
  </si>
  <si>
    <t>Source: CEVALDOM Centralized Deposit of Securities</t>
  </si>
  <si>
    <t>Others: Participation fees in investment funds and trust securities</t>
  </si>
  <si>
    <r>
      <t xml:space="preserve">Other </t>
    </r>
    <r>
      <rPr>
        <vertAlign val="superscript"/>
        <sz val="10"/>
        <rFont val="Helvetica"/>
        <family val="2"/>
      </rPr>
      <t>(1)</t>
    </r>
  </si>
  <si>
    <t xml:space="preserve">Source: CEVALDOM Depósito Centralizado de Valores S.A.
</t>
  </si>
  <si>
    <r>
      <t xml:space="preserve">Notes:
</t>
    </r>
    <r>
      <rPr>
        <sz val="9"/>
        <rFont val="Helvetica"/>
        <family val="2"/>
      </rPr>
      <t>Others: Participation fees in investment funds and trust securities</t>
    </r>
  </si>
  <si>
    <t>Sistema de Liquidación de Valores</t>
  </si>
  <si>
    <t>Source: CEVALDOM  Depósito Centralizado de Valores S.A.</t>
  </si>
  <si>
    <t>Entity A (CCP or clearing house)</t>
  </si>
  <si>
    <t>Entity A</t>
  </si>
  <si>
    <t>CSD A</t>
  </si>
  <si>
    <t xml:space="preserve">CEVALDOM  </t>
  </si>
  <si>
    <t>L, R</t>
  </si>
  <si>
    <t>Direct debits and credits*</t>
  </si>
  <si>
    <t>ATH ATMs*</t>
  </si>
  <si>
    <t>ATH POS*</t>
  </si>
  <si>
    <t>Mobile Payments*</t>
  </si>
  <si>
    <t>FX trading</t>
  </si>
  <si>
    <t>Collection payments*</t>
  </si>
  <si>
    <t>Cards, VISA*</t>
  </si>
  <si>
    <t>Cards, Mastercard*</t>
  </si>
  <si>
    <t>Bank Agents*</t>
  </si>
  <si>
    <t>INTRADAY</t>
  </si>
  <si>
    <t>17:00 (DAY BEFORE)</t>
  </si>
  <si>
    <t xml:space="preserve">10:00 (DAY BEFORE) </t>
  </si>
  <si>
    <t>23:00 (DAY BEFORE)</t>
  </si>
  <si>
    <t>F, V</t>
  </si>
  <si>
    <t>10:45
15:45</t>
  </si>
  <si>
    <t>08:00
13:00</t>
  </si>
  <si>
    <t>13:01 (DAY BEFORE)
08:01</t>
  </si>
  <si>
    <t>Bank Agents</t>
  </si>
  <si>
    <t xml:space="preserve">Notes:
* These systems are available 24 hours to end users, regardless of their settlement is deferred until the next business banking hours. </t>
  </si>
  <si>
    <t>DOM, INT; 
B,G,O</t>
  </si>
  <si>
    <t>B,SE,O</t>
  </si>
  <si>
    <t>YES (FOP,DVP)*</t>
  </si>
  <si>
    <t>T+3</t>
  </si>
  <si>
    <t>DOP, USD</t>
  </si>
  <si>
    <t>Source: CEVALDOM Depósito Centralizado de Valores, S.A.</t>
  </si>
  <si>
    <t>Notes:
* Cevaldom has direct link with Clearstream.</t>
  </si>
  <si>
    <t>Yellow Book Statistics
Country Tables</t>
  </si>
  <si>
    <t>Table name</t>
  </si>
  <si>
    <t>Identification number</t>
  </si>
  <si>
    <t>Country Tables A (Quantitive)</t>
  </si>
  <si>
    <t>GENERAL INFORMATION AND INSTRUMENTS</t>
  </si>
  <si>
    <t>RETAIL PAYMENT INSTRUMENTS</t>
  </si>
  <si>
    <t>LARGE VALUE PAYMENTS SYSTEMS</t>
  </si>
  <si>
    <t>SECURITIES AND DERIVATIVES TRADING, CLEARING AND SETTLEMENT</t>
  </si>
  <si>
    <t>EXCHANGES AND TRADING SYSTEMS</t>
  </si>
  <si>
    <t>CENTRAL COUNTERPARTIES (CCPs) OR CLEARING HOUSES</t>
  </si>
  <si>
    <t>CENTRAL SECURITIES DEPOSITORIES</t>
  </si>
  <si>
    <t>Country Tables A (Qualitative)</t>
  </si>
  <si>
    <t>SELECTED INTERBANK FUNDS TRANSFER SYSTEMS</t>
  </si>
  <si>
    <t>Payments processed by selected interbank funds transfer systems: number of transactions</t>
  </si>
  <si>
    <t>Table PS2</t>
  </si>
  <si>
    <t>Payments processed by selected interbank funds transfer systems: value of transactions</t>
  </si>
  <si>
    <t>Table PS3</t>
  </si>
  <si>
    <t>Table PS4</t>
  </si>
  <si>
    <t>SELECTED EXCHANGES AND TRADING SYSTEMS</t>
  </si>
  <si>
    <t>Trades executed on selected exchanges and trading systems: number of transactions</t>
  </si>
  <si>
    <t>Table TRS2</t>
  </si>
  <si>
    <t>Trades executed on selected exchanges and trading systems: value of transactions</t>
  </si>
  <si>
    <t>Table TRS3</t>
  </si>
  <si>
    <t>Participation in selected exchanges and trading systems</t>
  </si>
  <si>
    <t>Table TRS4</t>
  </si>
  <si>
    <t>Securities listed in selected exchanges and trading systems</t>
  </si>
  <si>
    <t>Table TRS5</t>
  </si>
  <si>
    <t>SELECTED CENTRAL COUNTERPARTIES AND CLEARING HOUSES</t>
  </si>
  <si>
    <t>Transactions cleared by selected central counterparties and clearing houses: number of transactions</t>
  </si>
  <si>
    <t>Table CCP2</t>
  </si>
  <si>
    <t xml:space="preserve">Transactions cleared by selected central counterparties and clearing houses: value of transactions </t>
  </si>
  <si>
    <t>Table CCP3</t>
  </si>
  <si>
    <t>Table CCP4</t>
  </si>
  <si>
    <t xml:space="preserve">SELECTED CENTRAL SECURITIES DEPOSITORIES </t>
  </si>
  <si>
    <t>Country Tables B</t>
  </si>
  <si>
    <t>FINANCIAL ENTITIES OVERVIEW</t>
  </si>
  <si>
    <t>Number of financial entities</t>
  </si>
  <si>
    <t>Table B1</t>
  </si>
  <si>
    <t>Number of branches</t>
  </si>
  <si>
    <t>Table B2</t>
  </si>
  <si>
    <t>Number of employees</t>
  </si>
  <si>
    <t>Table B3</t>
  </si>
  <si>
    <t>FINANCIAL POSITION OF FINANCIAL ENTITIES</t>
  </si>
  <si>
    <t>Financial System: Assets</t>
  </si>
  <si>
    <t>Table B4</t>
  </si>
  <si>
    <t>Financial System: Deposits</t>
  </si>
  <si>
    <t>Table B5</t>
  </si>
  <si>
    <t>Financial System: Loans</t>
  </si>
  <si>
    <t>Table B6</t>
  </si>
  <si>
    <t>Financial System: Equity</t>
  </si>
  <si>
    <t>Table B7</t>
  </si>
  <si>
    <t>* Data relating to SWIFT messaging flows is published with permission of S.W.I. F.T. SCRL. SWIFT © 2018. All rights reserved. 
Because financial institutions have multiple means of exchanging information about their financial transactions, SWIFT messages flows do not represent complete market or industry statistics. 
SWIFT disclaims all liability for any decisions based, in full or in part, on SWIFT statistics, and for their consequences.</t>
  </si>
  <si>
    <r>
      <t>Population (</t>
    </r>
    <r>
      <rPr>
        <i/>
        <sz val="10"/>
        <rFont val="Helvetica"/>
        <family val="2"/>
      </rPr>
      <t>millions</t>
    </r>
    <r>
      <rPr>
        <sz val="10"/>
        <rFont val="Helvetica"/>
        <family val="2"/>
      </rPr>
      <t>)</t>
    </r>
    <r>
      <rPr>
        <vertAlign val="superscript"/>
        <sz val="10"/>
        <rFont val="Helvetica"/>
        <family val="2"/>
      </rPr>
      <t xml:space="preserve"> (1)</t>
    </r>
  </si>
  <si>
    <r>
      <t>GDP nominal (</t>
    </r>
    <r>
      <rPr>
        <i/>
        <sz val="10"/>
        <rFont val="Helvetica"/>
        <family val="2"/>
      </rPr>
      <t>millions</t>
    </r>
    <r>
      <rPr>
        <sz val="10"/>
        <rFont val="Helvetica"/>
        <family val="2"/>
      </rPr>
      <t xml:space="preserve">, </t>
    </r>
    <r>
      <rPr>
        <b/>
        <sz val="10"/>
        <rFont val="Helvetica"/>
        <family val="2"/>
      </rPr>
      <t>national currency</t>
    </r>
    <r>
      <rPr>
        <sz val="10"/>
        <rFont val="Helvetica"/>
        <family val="2"/>
      </rPr>
      <t xml:space="preserve">) </t>
    </r>
    <r>
      <rPr>
        <vertAlign val="superscript"/>
        <sz val="10"/>
        <rFont val="Helvetica"/>
        <family val="2"/>
      </rPr>
      <t>(2)</t>
    </r>
  </si>
  <si>
    <r>
      <t>Consumer Price Index (</t>
    </r>
    <r>
      <rPr>
        <i/>
        <sz val="10"/>
        <rFont val="Helvetica"/>
        <family val="2"/>
      </rPr>
      <t>%</t>
    </r>
    <r>
      <rPr>
        <sz val="10"/>
        <rFont val="Helvetica"/>
        <family val="2"/>
      </rPr>
      <t xml:space="preserve">) (Annual cummulative rate) </t>
    </r>
    <r>
      <rPr>
        <vertAlign val="superscript"/>
        <sz val="10"/>
        <rFont val="Helvetica"/>
        <family val="2"/>
      </rPr>
      <t>(3)</t>
    </r>
  </si>
  <si>
    <t xml:space="preserve">average </t>
  </si>
  <si>
    <t>Source:</t>
  </si>
  <si>
    <r>
      <t xml:space="preserve">(1) Instituto Nacional de Estadística y Censos  (INEC) 
(2) Banco Central del Ecuador (BCE) (p) provisional information 2016 to 2021
(3) Instituto Nacional de Estadística y Censos (INEC) inflation rate
</t>
    </r>
    <r>
      <rPr>
        <vertAlign val="superscript"/>
        <sz val="9"/>
        <rFont val="Helvetica"/>
        <family val="2"/>
      </rPr>
      <t/>
    </r>
  </si>
  <si>
    <r>
      <t xml:space="preserve">Banknotes and coin in circulation outside banks </t>
    </r>
    <r>
      <rPr>
        <vertAlign val="superscript"/>
        <sz val="10"/>
        <rFont val="Helvetica"/>
        <family val="2"/>
      </rPr>
      <t>(1)</t>
    </r>
  </si>
  <si>
    <r>
      <t xml:space="preserve">Transferable deposits </t>
    </r>
    <r>
      <rPr>
        <vertAlign val="superscript"/>
        <sz val="10"/>
        <rFont val="Helvetica"/>
        <family val="2"/>
      </rPr>
      <t>(2)</t>
    </r>
  </si>
  <si>
    <r>
      <t xml:space="preserve">Narrow money supply (M1) </t>
    </r>
    <r>
      <rPr>
        <vertAlign val="superscript"/>
        <sz val="10"/>
        <rFont val="Helvetica"/>
        <family val="2"/>
      </rPr>
      <t>(3)</t>
    </r>
  </si>
  <si>
    <r>
      <t xml:space="preserve">E-money storages </t>
    </r>
    <r>
      <rPr>
        <vertAlign val="superscript"/>
        <sz val="10"/>
        <rFont val="Helvetica"/>
        <family val="2"/>
      </rPr>
      <t>(4)</t>
    </r>
  </si>
  <si>
    <t>Source:  Banco Central del Ecuador</t>
  </si>
  <si>
    <t xml:space="preserve">(1) Refers to bills and coins that are in the power of economic agents to carry out their economic transactions, less the fractional currency issued by the BCE.
(2) It refers to demand deposits received by the banks, payable by cheques or other payment instruments or registration mechanisms.
(3) The money supply is defined as the amount of money immediately available for agents to carry out transactions; The narrow money supply is the sum of money in circulation and demand deposits held in banking institutions, Banco Central de Ecuador.
(4) It refers to the e-money storage device through celphones.
</t>
  </si>
  <si>
    <r>
      <t xml:space="preserve">Transferable balances held at the central bank </t>
    </r>
    <r>
      <rPr>
        <vertAlign val="superscript"/>
        <sz val="10"/>
        <rFont val="Helvetica"/>
        <family val="2"/>
      </rPr>
      <t>(1)</t>
    </r>
  </si>
  <si>
    <r>
      <t xml:space="preserve">Transferable balances held at other banks </t>
    </r>
    <r>
      <rPr>
        <vertAlign val="superscript"/>
        <sz val="10"/>
        <rFont val="Helvetica"/>
        <family val="2"/>
      </rPr>
      <t>(2)</t>
    </r>
  </si>
  <si>
    <t>Source:Banco Central de Ecuador and Superintendencia de Bancos</t>
  </si>
  <si>
    <t>(1) Banco Central del Ecuador. Period: Average last week of December. 
(2) Superintendencia de Bancos (SB). It registers the balance of the current account and other demand deposits in the local currency in banks and other financial entities national.Period: Amount last day of December.</t>
  </si>
  <si>
    <r>
      <t xml:space="preserve">Total banknotes and coin issued </t>
    </r>
    <r>
      <rPr>
        <vertAlign val="superscript"/>
        <sz val="10"/>
        <rFont val="Helvetica"/>
        <family val="2"/>
      </rPr>
      <t>(1)</t>
    </r>
  </si>
  <si>
    <t>USD 100</t>
  </si>
  <si>
    <t>USD 50</t>
  </si>
  <si>
    <t>USD 20</t>
  </si>
  <si>
    <t>USD 10</t>
  </si>
  <si>
    <t>USD 5</t>
  </si>
  <si>
    <t>USD 2</t>
  </si>
  <si>
    <t>USD 1</t>
  </si>
  <si>
    <t>USD 0.5</t>
  </si>
  <si>
    <t>USD 0.25</t>
  </si>
  <si>
    <t>USD 0.1</t>
  </si>
  <si>
    <t>USD 0.05</t>
  </si>
  <si>
    <t>USD 0.01</t>
  </si>
  <si>
    <t>Source:Banco Central de Ecuador</t>
  </si>
  <si>
    <r>
      <t xml:space="preserve">(1)  From 2000 to 2011 they only issued coins, since 2012 no more were issued. Coins and Banknotes are imported from Federal Reserve USA
</t>
    </r>
    <r>
      <rPr>
        <vertAlign val="superscript"/>
        <sz val="9"/>
        <rFont val="Helvetica"/>
        <family val="2"/>
      </rPr>
      <t/>
    </r>
  </si>
  <si>
    <r>
      <t xml:space="preserve">Number of accounts (no-banks) </t>
    </r>
    <r>
      <rPr>
        <vertAlign val="superscript"/>
        <sz val="10"/>
        <color theme="1"/>
        <rFont val="Helvetica"/>
        <family val="2"/>
      </rPr>
      <t>(1)</t>
    </r>
  </si>
  <si>
    <r>
      <t>Number of institutions</t>
    </r>
    <r>
      <rPr>
        <vertAlign val="superscript"/>
        <sz val="10"/>
        <rFont val="Helvetica"/>
        <family val="2"/>
      </rPr>
      <t>(2)</t>
    </r>
  </si>
  <si>
    <t>Other institutions offering payment services to non-banks **</t>
  </si>
  <si>
    <r>
      <t xml:space="preserve">Number of institutions </t>
    </r>
    <r>
      <rPr>
        <vertAlign val="superscript"/>
        <sz val="10"/>
        <rFont val="Helvetica"/>
        <family val="2"/>
      </rPr>
      <t>(3)</t>
    </r>
  </si>
  <si>
    <r>
      <t xml:space="preserve">Value of accounts ($ thousand millions) </t>
    </r>
    <r>
      <rPr>
        <vertAlign val="superscript"/>
        <sz val="10"/>
        <color theme="1"/>
        <rFont val="Helvetica"/>
        <family val="2"/>
      </rPr>
      <t>(4)</t>
    </r>
  </si>
  <si>
    <t>Source:Banco Central de Ecuador , Superintendencia de Bancos, and Superintendencia de Economía Popular y Solidaria</t>
  </si>
  <si>
    <r>
      <t xml:space="preserve">(1) This includes Cooperativas, Mutualistas , Public Banks and Government entities
(2) This includes Private Banks and Branches of foreign banks (City Bank)
(3) 2020 and 2021 are considered  the Credit Cooperatives (Active) and Sistemas Auxiliares de Pago (SAP)  without considering other categories that are in the registry such as: Central Bank, Corporation, Supporting Entity, Mutualists and Intengration Organizations. 
(4) E-money not available since 2018 in Ecuador
</t>
    </r>
    <r>
      <rPr>
        <vertAlign val="superscript"/>
        <sz val="9"/>
        <rFont val="Helvetica"/>
        <family val="2"/>
      </rPr>
      <t/>
    </r>
  </si>
  <si>
    <r>
      <t xml:space="preserve">A. Cards issued in the country </t>
    </r>
    <r>
      <rPr>
        <b/>
        <vertAlign val="superscript"/>
        <sz val="10"/>
        <color theme="1"/>
        <rFont val="Helvetica"/>
        <family val="2"/>
      </rPr>
      <t>(1)</t>
    </r>
  </si>
  <si>
    <r>
      <t xml:space="preserve">Cards with a debit function </t>
    </r>
    <r>
      <rPr>
        <vertAlign val="superscript"/>
        <sz val="10"/>
        <color theme="1"/>
        <rFont val="Helvetica"/>
        <family val="2"/>
      </rPr>
      <t xml:space="preserve">(1) </t>
    </r>
    <r>
      <rPr>
        <sz val="10"/>
        <color theme="1"/>
        <rFont val="Helvetica"/>
        <family val="2"/>
      </rPr>
      <t>(unit)</t>
    </r>
  </si>
  <si>
    <r>
      <t xml:space="preserve">Cards with a delayed debit function </t>
    </r>
    <r>
      <rPr>
        <vertAlign val="superscript"/>
        <sz val="10"/>
        <color theme="1"/>
        <rFont val="Helvetica"/>
        <family val="2"/>
      </rPr>
      <t>(2)</t>
    </r>
  </si>
  <si>
    <r>
      <t xml:space="preserve">Cards with a credit function </t>
    </r>
    <r>
      <rPr>
        <vertAlign val="superscript"/>
        <sz val="10"/>
        <color theme="1"/>
        <rFont val="Helvetica"/>
        <family val="2"/>
      </rPr>
      <t>(1)</t>
    </r>
  </si>
  <si>
    <t xml:space="preserve">ATM </t>
  </si>
  <si>
    <r>
      <t xml:space="preserve">POS terminals </t>
    </r>
    <r>
      <rPr>
        <vertAlign val="superscript"/>
        <sz val="10"/>
        <rFont val="Helvetica"/>
        <family val="2"/>
      </rPr>
      <t>(3)</t>
    </r>
  </si>
  <si>
    <t xml:space="preserve">Source:Superintendencia de Bancos </t>
  </si>
  <si>
    <t xml:space="preserve">(1) Since 2021, the Superintendency of Banks made changes to the debit card and credit card methodology, for which the data is temporary and is not comparable with previous years.
(2) This service is not provided in the country
(3)  POS and Caja for years 2015 -2018, Botón de Pagos, POS, Cajas  for years  2019 - 2021
</t>
  </si>
  <si>
    <r>
      <t>Credit transfers</t>
    </r>
    <r>
      <rPr>
        <vertAlign val="superscript"/>
        <sz val="10"/>
        <rFont val="Helvetica"/>
        <family val="2"/>
      </rPr>
      <t>(1)</t>
    </r>
  </si>
  <si>
    <t xml:space="preserve">paper based </t>
  </si>
  <si>
    <t xml:space="preserve">non-paper based </t>
  </si>
  <si>
    <r>
      <t>Direct debits</t>
    </r>
    <r>
      <rPr>
        <vertAlign val="superscript"/>
        <sz val="10"/>
        <rFont val="Helvetica"/>
        <family val="2"/>
      </rPr>
      <t>(2)</t>
    </r>
  </si>
  <si>
    <r>
      <t xml:space="preserve">Card payments with cards issued in the country </t>
    </r>
    <r>
      <rPr>
        <vertAlign val="superscript"/>
        <sz val="10"/>
        <color theme="1"/>
        <rFont val="Helvetica"/>
        <family val="2"/>
      </rPr>
      <t xml:space="preserve">(3) </t>
    </r>
  </si>
  <si>
    <r>
      <t xml:space="preserve">Cheques </t>
    </r>
    <r>
      <rPr>
        <vertAlign val="superscript"/>
        <sz val="10"/>
        <color theme="1"/>
        <rFont val="Helvetica"/>
        <family val="2"/>
      </rPr>
      <t xml:space="preserve">(4) </t>
    </r>
  </si>
  <si>
    <t xml:space="preserve">Other payment instruments </t>
  </si>
  <si>
    <r>
      <t xml:space="preserve">POS payment transactions </t>
    </r>
    <r>
      <rPr>
        <vertAlign val="superscript"/>
        <sz val="10"/>
        <color theme="1"/>
        <rFont val="Helvetica"/>
        <family val="2"/>
      </rPr>
      <t>(5)</t>
    </r>
  </si>
  <si>
    <r>
      <t xml:space="preserve">POS payment transactions </t>
    </r>
    <r>
      <rPr>
        <i/>
        <vertAlign val="superscript"/>
        <sz val="10"/>
        <rFont val="Helvetica"/>
        <family val="2"/>
      </rPr>
      <t>(5)</t>
    </r>
  </si>
  <si>
    <t>Source: Central Bank of Ecuador
(1) The information refers  to Interbank Payment Systems (SPI)
(2) The information refers to Sistemas de Cobros Interbancarios (SCI) 
(3) Since 2021, the Superintendency of Banks made changes to the debit card and credit card methodology, for which the data is temporary and is not comparable with previous years
(4) The information refers to Cámara de Compensación de Cheques (CCC)
(5) POS and Caja for years 2015 -2018, Botón de Pagos, POS, Cajas  for years  2019 - 2021</t>
  </si>
  <si>
    <r>
      <t>Direct debits</t>
    </r>
    <r>
      <rPr>
        <vertAlign val="superscript"/>
        <sz val="10"/>
        <rFont val="Helvetica"/>
        <family val="2"/>
      </rPr>
      <t>(2)</t>
    </r>
  </si>
  <si>
    <r>
      <t xml:space="preserve">POS payment transactions </t>
    </r>
    <r>
      <rPr>
        <vertAlign val="superscript"/>
        <sz val="10"/>
        <color theme="1"/>
        <rFont val="Helvetica"/>
        <family val="2"/>
      </rPr>
      <t>(5)</t>
    </r>
  </si>
  <si>
    <r>
      <t xml:space="preserve">POS payment transactions </t>
    </r>
    <r>
      <rPr>
        <vertAlign val="superscript"/>
        <sz val="10"/>
        <rFont val="Helvetica"/>
        <family val="2"/>
      </rPr>
      <t>(5)</t>
    </r>
  </si>
  <si>
    <t>Source: Banco Central del Ecuador and Superintendencia de Bancos</t>
  </si>
  <si>
    <r>
      <t xml:space="preserve">Large-value payment systems </t>
    </r>
    <r>
      <rPr>
        <b/>
        <vertAlign val="superscript"/>
        <sz val="10"/>
        <rFont val="Helvetica"/>
        <family val="2"/>
      </rPr>
      <t>(1)</t>
    </r>
  </si>
  <si>
    <t>Sistema de Pagos Interbancarios SPI - BCE</t>
  </si>
  <si>
    <t>Sistema de Cobros Interbancarios SCI - BCE</t>
  </si>
  <si>
    <t>Sistema de Compensación de Cámaras Especializadas  CCE-BCE</t>
  </si>
  <si>
    <t>Sistema Electrónico de Intercambio de Cheques CCC-BCE</t>
  </si>
  <si>
    <r>
      <t xml:space="preserve">Other financial institutions </t>
    </r>
    <r>
      <rPr>
        <vertAlign val="superscript"/>
        <sz val="10"/>
        <rFont val="Helvetica"/>
        <family val="2"/>
      </rPr>
      <t xml:space="preserve"> (2)</t>
    </r>
    <r>
      <rPr>
        <sz val="10"/>
        <rFont val="Helvetica"/>
        <family val="2"/>
      </rPr>
      <t xml:space="preserve"> </t>
    </r>
  </si>
  <si>
    <r>
      <t xml:space="preserve">Retail-value payment systems </t>
    </r>
    <r>
      <rPr>
        <b/>
        <vertAlign val="superscript"/>
        <sz val="10"/>
        <rFont val="Helvetica"/>
        <family val="2"/>
      </rPr>
      <t xml:space="preserve"> (1)</t>
    </r>
  </si>
  <si>
    <t xml:space="preserve">Source: Banco Central del Ecuador
(1) The BCE doesn´t  have payment systems that differentiate between high and low value transactions.
(2) Includes participants who are only recipients of funds)
</t>
  </si>
  <si>
    <r>
      <t xml:space="preserve">Large-value payment systems  </t>
    </r>
    <r>
      <rPr>
        <b/>
        <vertAlign val="superscript"/>
        <sz val="10"/>
        <rFont val="Helvetica"/>
        <family val="2"/>
      </rPr>
      <t>(1)</t>
    </r>
    <r>
      <rPr>
        <b/>
        <sz val="10"/>
        <rFont val="Helvetica"/>
        <family val="2"/>
      </rPr>
      <t xml:space="preserve">  </t>
    </r>
  </si>
  <si>
    <t xml:space="preserve">Sistema de Pagos Interbancarios SPI - BCE  </t>
  </si>
  <si>
    <t xml:space="preserve">Sistema de Cobros Interbancarios SCI - BCE  </t>
  </si>
  <si>
    <t>Sistema de Pagos en Línea SPL - BCE</t>
  </si>
  <si>
    <r>
      <t>Reatil payment systems</t>
    </r>
    <r>
      <rPr>
        <b/>
        <vertAlign val="superscript"/>
        <sz val="10"/>
        <rFont val="Helvetica"/>
        <family val="2"/>
      </rPr>
      <t xml:space="preserve"> (1)</t>
    </r>
  </si>
  <si>
    <t>Source: Banco Central del Ecuador</t>
  </si>
  <si>
    <t>(1) Volume and Values with operations settled.  The BCE doesn´t  have payment systems that differentiate between high and low value transactions.</t>
  </si>
  <si>
    <r>
      <t xml:space="preserve">Large-value payment systems </t>
    </r>
    <r>
      <rPr>
        <b/>
        <vertAlign val="superscript"/>
        <sz val="10"/>
        <rFont val="Helvetica"/>
        <family val="2"/>
      </rPr>
      <t>(1)</t>
    </r>
    <r>
      <rPr>
        <b/>
        <sz val="10"/>
        <rFont val="Helvetica"/>
        <family val="2"/>
      </rPr>
      <t xml:space="preserve"> </t>
    </r>
  </si>
  <si>
    <r>
      <t xml:space="preserve">Reatil payment systems </t>
    </r>
    <r>
      <rPr>
        <b/>
        <vertAlign val="superscript"/>
        <sz val="10"/>
        <color theme="1"/>
        <rFont val="Helvetica"/>
        <family val="2"/>
      </rPr>
      <t>(1)</t>
    </r>
  </si>
  <si>
    <t>Source:Banco Central del Ecuador</t>
  </si>
  <si>
    <t xml:space="preserve">Bolsa de Valores </t>
  </si>
  <si>
    <t>Other (Securities houses)</t>
  </si>
  <si>
    <t>Source: Bolsa de Valores Quito (BVQ), Bolsa de Valores Guayaquil (BVG)</t>
  </si>
  <si>
    <t>Bolsa de Valores de</t>
  </si>
  <si>
    <r>
      <t xml:space="preserve">Total number of securities admitted to trading </t>
    </r>
    <r>
      <rPr>
        <vertAlign val="superscript"/>
        <sz val="10"/>
        <rFont val="Helvetica"/>
        <family val="2"/>
      </rPr>
      <t>(1)</t>
    </r>
  </si>
  <si>
    <t>Source: Superintendencia de Compañías - Catastro de Emisores de Valores</t>
  </si>
  <si>
    <t>Nota: Información correspondiente al número de empresas emisoras con inscripción vigente en el catastro del Mercado de Valores Ecuatoriano</t>
  </si>
  <si>
    <t>Bolsa de Valores Quito (BVQ)</t>
  </si>
  <si>
    <t>Bolsa de Valores Guayaquil (BVG)</t>
  </si>
  <si>
    <t>Source: Superintendencia de Compañías, Valores y Seguros</t>
  </si>
  <si>
    <t>Source: DCV-BCE</t>
  </si>
  <si>
    <t>Source: Depósito Centralizado de Valores (DCV)-BCE</t>
  </si>
  <si>
    <t>Sistema SPI</t>
  </si>
  <si>
    <t xml:space="preserve"> L+R</t>
  </si>
  <si>
    <t>Sistema SCI</t>
  </si>
  <si>
    <t>Sistema CCC</t>
  </si>
  <si>
    <t>Sistema A (ALADI)</t>
  </si>
  <si>
    <t>M</t>
  </si>
  <si>
    <t>Sistema B (SUCRE)</t>
  </si>
  <si>
    <t>A</t>
  </si>
  <si>
    <t>CORTE 1: 11:00
CORTE 2: 15:00</t>
  </si>
  <si>
    <t>CORTE 1: 09:00
CORTE 2: 13:00
CORTE 3: 16:30</t>
  </si>
  <si>
    <t>CORTE 1: 11:00
CORTE 2: 15:00
CORTE 3: 08:00 T+1</t>
  </si>
  <si>
    <t>NAP</t>
  </si>
  <si>
    <t>NAV</t>
  </si>
  <si>
    <t>HORA LOCAL</t>
  </si>
  <si>
    <t>BOLSA DE VALORES DE QUITO</t>
  </si>
  <si>
    <t>SEC, B, C, G, E, O</t>
  </si>
  <si>
    <t>FLT, ELT</t>
  </si>
  <si>
    <t>09:30 - 16:00</t>
  </si>
  <si>
    <t>BOLSA DE VALORES DE GUAYAQUIL</t>
  </si>
  <si>
    <t>DCV-BCE (Público)</t>
  </si>
  <si>
    <t>BC</t>
  </si>
  <si>
    <t>ROUTINE</t>
  </si>
  <si>
    <t>VA</t>
  </si>
  <si>
    <t>DECEVALE (Privado)</t>
  </si>
  <si>
    <t>DCV-BCE</t>
  </si>
  <si>
    <t>DCV-BCE (PUBLICO)</t>
  </si>
  <si>
    <t>B, C, VG,AC,O</t>
  </si>
  <si>
    <t>T</t>
  </si>
  <si>
    <t>DECEVALE (PRIVADO)</t>
  </si>
  <si>
    <t>si</t>
  </si>
  <si>
    <t>DVP1 - DVP3</t>
  </si>
  <si>
    <r>
      <t xml:space="preserve">Population </t>
    </r>
    <r>
      <rPr>
        <vertAlign val="superscript"/>
        <sz val="10"/>
        <rFont val="Helvetica"/>
        <family val="2"/>
      </rPr>
      <t>(1)</t>
    </r>
    <r>
      <rPr>
        <sz val="10"/>
        <rFont val="Helvetica"/>
        <family val="2"/>
      </rPr>
      <t xml:space="preserve"> (thousands) </t>
    </r>
  </si>
  <si>
    <r>
      <t xml:space="preserve">Consumer price inflation </t>
    </r>
    <r>
      <rPr>
        <vertAlign val="superscript"/>
        <sz val="10"/>
        <rFont val="Helvetica"/>
        <family val="2"/>
      </rPr>
      <t>(2)</t>
    </r>
    <r>
      <rPr>
        <sz val="10"/>
        <rFont val="Helvetica"/>
        <family val="2"/>
      </rPr>
      <t xml:space="preserve"> (%)</t>
    </r>
  </si>
  <si>
    <r>
      <t xml:space="preserve">Exchange rate vs. USD </t>
    </r>
    <r>
      <rPr>
        <vertAlign val="superscript"/>
        <sz val="10"/>
        <rFont val="Helvetica"/>
        <family val="2"/>
      </rPr>
      <t>(3)</t>
    </r>
  </si>
  <si>
    <r>
      <t xml:space="preserve">Source: 
</t>
    </r>
    <r>
      <rPr>
        <vertAlign val="superscript"/>
        <sz val="9"/>
        <rFont val="Helvetica"/>
        <family val="2"/>
      </rPr>
      <t xml:space="preserve">1 </t>
    </r>
    <r>
      <rPr>
        <sz val="9"/>
        <rFont val="Helvetica"/>
        <family val="2"/>
      </rPr>
      <t xml:space="preserve">IBGE (Instituto Brasileiro de Geografia e Estatística)   
</t>
    </r>
    <r>
      <rPr>
        <vertAlign val="superscript"/>
        <sz val="9"/>
        <rFont val="Helvetica"/>
        <family val="2"/>
      </rPr>
      <t>2</t>
    </r>
    <r>
      <rPr>
        <sz val="9"/>
        <rFont val="Helvetica"/>
        <family val="2"/>
      </rPr>
      <t xml:space="preserve"> IBGE - IPCA (12-month Broad National Consumer Price Index), at year end  
</t>
    </r>
    <r>
      <rPr>
        <vertAlign val="superscript"/>
        <sz val="9"/>
        <rFont val="Helvetica"/>
        <family val="2"/>
      </rPr>
      <t>3</t>
    </r>
    <r>
      <rPr>
        <sz val="9"/>
        <rFont val="Helvetica"/>
        <family val="2"/>
      </rPr>
      <t xml:space="preserve"> Banco Central do Brasil
</t>
    </r>
  </si>
  <si>
    <t>Source: Banco Central do Brasil</t>
  </si>
  <si>
    <t>BRL 200</t>
  </si>
  <si>
    <t>BRL 100</t>
  </si>
  <si>
    <t>BRL 50</t>
  </si>
  <si>
    <t>BRL 20</t>
  </si>
  <si>
    <t>BRL 10</t>
  </si>
  <si>
    <t>BRL 5</t>
  </si>
  <si>
    <t>BRL 2</t>
  </si>
  <si>
    <t>BRL 1</t>
  </si>
  <si>
    <t xml:space="preserve">of which: </t>
  </si>
  <si>
    <t>BRL 0.50</t>
  </si>
  <si>
    <t>BRL 0.25</t>
  </si>
  <si>
    <t>BRL 0.10</t>
  </si>
  <si>
    <t>BRL 0.05</t>
  </si>
  <si>
    <t>BRL 0.01</t>
  </si>
  <si>
    <t>Commemorative coin</t>
  </si>
  <si>
    <r>
      <t xml:space="preserve">Banks </t>
    </r>
    <r>
      <rPr>
        <b/>
        <vertAlign val="superscript"/>
        <sz val="10"/>
        <rFont val="Helvetica"/>
        <family val="2"/>
      </rPr>
      <t>(1)</t>
    </r>
  </si>
  <si>
    <r>
      <t xml:space="preserve">Number of branches or offices </t>
    </r>
    <r>
      <rPr>
        <vertAlign val="superscript"/>
        <sz val="10"/>
        <rFont val="Helvetica"/>
        <family val="2"/>
      </rPr>
      <t>(2)</t>
    </r>
  </si>
  <si>
    <r>
      <t xml:space="preserve">Number of accounts </t>
    </r>
    <r>
      <rPr>
        <vertAlign val="superscript"/>
        <sz val="10"/>
        <rFont val="Helvetica"/>
        <family val="2"/>
      </rPr>
      <t>(3)</t>
    </r>
  </si>
  <si>
    <r>
      <t>Value of accounts ($ thousand millions)</t>
    </r>
    <r>
      <rPr>
        <vertAlign val="superscript"/>
        <sz val="10"/>
        <rFont val="Helvetica"/>
        <family val="2"/>
      </rPr>
      <t xml:space="preserve"> (4)</t>
    </r>
  </si>
  <si>
    <r>
      <t>Number of institutions</t>
    </r>
    <r>
      <rPr>
        <vertAlign val="superscript"/>
        <sz val="10"/>
        <rFont val="Helvetica"/>
        <family val="2"/>
      </rPr>
      <t xml:space="preserve"> (5)</t>
    </r>
  </si>
  <si>
    <r>
      <t>Number of branches or offices</t>
    </r>
    <r>
      <rPr>
        <vertAlign val="superscript"/>
        <sz val="10"/>
        <rFont val="Helvetica"/>
        <family val="2"/>
      </rPr>
      <t xml:space="preserve"> (5)</t>
    </r>
  </si>
  <si>
    <t>Notes:
(1) Banks taking sight deposits (commercial banks and universal banks having loan portfolio) only. Data have been revised. 
(2) Includes both traditional and special branches. The latter are mainly restricted access branches (branches located in the premises of a private or public entity and providing services to this entity and its employees only). Temporary branches and specialised branches in  
microfinance and in gold trade were not included before 2013.     
(3) Data have no longer been collected by BCB since 2014.     
(4) Estimated value.     
(5) Includes credit unions and bank correspondents (non-financial entities acting as banks' agents, such as lottery houses, drugstores,  
supermarkets, post offices etc). For bank correspondents, estimated data.</t>
  </si>
  <si>
    <r>
      <t xml:space="preserve">Cards with a credit function </t>
    </r>
    <r>
      <rPr>
        <vertAlign val="superscript"/>
        <sz val="10"/>
        <rFont val="Helvetica"/>
        <family val="2"/>
      </rPr>
      <t>(1)</t>
    </r>
  </si>
  <si>
    <r>
      <t xml:space="preserve">Memo: Retailer cards </t>
    </r>
    <r>
      <rPr>
        <vertAlign val="superscript"/>
        <sz val="10"/>
        <rFont val="Helvetica"/>
        <family val="2"/>
      </rPr>
      <t>(2)</t>
    </r>
  </si>
  <si>
    <r>
      <t>Nationals</t>
    </r>
    <r>
      <rPr>
        <i/>
        <vertAlign val="superscript"/>
        <sz val="10"/>
        <rFont val="Helvetica"/>
        <family val="2"/>
      </rPr>
      <t xml:space="preserve"> (3)</t>
    </r>
  </si>
  <si>
    <t>Source: Brazilian Payment Card Industry Association - ABECS - and Banco Central do Brasil, based on reports provided by financial institutions and payment institutions that offer payment services to their customers and ATM network operators</t>
  </si>
  <si>
    <r>
      <t xml:space="preserve">Notes:
</t>
    </r>
    <r>
      <rPr>
        <sz val="9"/>
        <rFont val="Helvetica"/>
        <family val="2"/>
      </rPr>
      <t xml:space="preserve">(1) Includes delayed debit cards issued by American Express.     
(2) Each terminal is counted separately, unless the terminals are based on a PC-technology solution used in multiple checkouts. In the latter case, it is counted one terminal for each merchant location, regardless of the number of checkouts.  
(3) National networks are those that have connected devices located in at least 2/3 of the Federation Units (18). Otherwise are Regional.
</t>
    </r>
  </si>
  <si>
    <r>
      <t xml:space="preserve">payments by cards with a credit function </t>
    </r>
    <r>
      <rPr>
        <i/>
        <vertAlign val="superscript"/>
        <sz val="10"/>
        <rFont val="Helvetica"/>
        <family val="2"/>
      </rPr>
      <t>(1)</t>
    </r>
  </si>
  <si>
    <r>
      <t xml:space="preserve">of which: cross-border transactions sent </t>
    </r>
    <r>
      <rPr>
        <i/>
        <vertAlign val="superscript"/>
        <sz val="10"/>
        <rFont val="Helvetica"/>
        <family val="2"/>
      </rPr>
      <t>(2)</t>
    </r>
  </si>
  <si>
    <r>
      <t xml:space="preserve">Cash transactions </t>
    </r>
    <r>
      <rPr>
        <vertAlign val="superscript"/>
        <sz val="10"/>
        <rFont val="Helvetica"/>
        <family val="2"/>
      </rPr>
      <t>(3)</t>
    </r>
  </si>
  <si>
    <r>
      <t xml:space="preserve">POS payment transactions </t>
    </r>
    <r>
      <rPr>
        <vertAlign val="superscript"/>
        <sz val="10"/>
        <rFont val="Helvetica"/>
        <family val="2"/>
      </rPr>
      <t>(4)</t>
    </r>
  </si>
  <si>
    <t>Source: Banco Central do Brasil, based on reports provided by financial institutions and payment institutions offering payment services and ATM network operators.</t>
  </si>
  <si>
    <t xml:space="preserve">Notes:
(1) Includes payments made with delayed debit cards issued by American Express. 
(2) Includes both card payments outside the country and remittances. 
(3) Also includes ATM credit transfers. 
(4) Payments through cards issued outside the country are not included.  
</t>
  </si>
  <si>
    <t xml:space="preserve">(1) Includes payments made with delayed debit cards issued by American Express. 
(2) Includes both card payments outside the country and remittances. 
(3) Also includes ATM credit transfers. 
(4) Payments through cards issued outside the country are not included.  
</t>
  </si>
  <si>
    <t>STR</t>
  </si>
  <si>
    <r>
      <t xml:space="preserve">SITRAF </t>
    </r>
    <r>
      <rPr>
        <b/>
        <vertAlign val="superscript"/>
        <sz val="10"/>
        <rFont val="Helvetica"/>
        <family val="2"/>
      </rPr>
      <t>(1)</t>
    </r>
  </si>
  <si>
    <t>BmfBovespa-FX</t>
  </si>
  <si>
    <t>COMPE</t>
  </si>
  <si>
    <t>SILOC</t>
  </si>
  <si>
    <t>SPI2</t>
  </si>
  <si>
    <r>
      <t xml:space="preserve">BmfBovespa-Equities </t>
    </r>
    <r>
      <rPr>
        <b/>
        <vertAlign val="superscript"/>
        <sz val="10"/>
        <rFont val="Helvetica"/>
        <family val="2"/>
      </rPr>
      <t>(1) (2) (3) (4)</t>
    </r>
  </si>
  <si>
    <r>
      <t xml:space="preserve">BmfBovespa-Clearinghouse </t>
    </r>
    <r>
      <rPr>
        <b/>
        <vertAlign val="superscript"/>
        <sz val="10"/>
        <rFont val="Helvetica"/>
        <family val="2"/>
      </rPr>
      <t>(1) (2)</t>
    </r>
    <r>
      <rPr>
        <b/>
        <sz val="10"/>
        <rFont val="Helvetica"/>
        <family val="2"/>
      </rPr>
      <t xml:space="preserve"> </t>
    </r>
  </si>
  <si>
    <t>Source: B3</t>
  </si>
  <si>
    <t>Notes: 
(1) Figures prior to 2010 cannot be broken down according to participant nature (banks, other)      
(2) Figures until August, 25th 2017.       
(3) In August, 28th 2017, BmfBovespa-Derivatives incorporated the products settled by BmfBovespa-Equities and are now referred as BmfBovespa-Clearinghouse.      
(4) BmfBovespa-Equities are now acting only as a CSD and are now referred as BmfBovespa Central Securities Depository</t>
  </si>
  <si>
    <r>
      <t>BmfBovespa-Equities</t>
    </r>
    <r>
      <rPr>
        <b/>
        <vertAlign val="superscript"/>
        <sz val="10"/>
        <rFont val="Helvetica"/>
        <family val="2"/>
      </rPr>
      <t xml:space="preserve"> (1) (2)</t>
    </r>
  </si>
  <si>
    <r>
      <t xml:space="preserve">BmfBovespa-Clearinghouse </t>
    </r>
    <r>
      <rPr>
        <b/>
        <vertAlign val="superscript"/>
        <sz val="10"/>
        <rFont val="Helvetica"/>
        <family val="2"/>
      </rPr>
      <t>(1)</t>
    </r>
  </si>
  <si>
    <t xml:space="preserve">Notes:
(1) In August, 28th 2017, BmfBovespa-Derivatives incorporated the products settled by BmfBovespa-Equities and are now referred as BM&amp;FBOVESPA Clearinghouse.
(2) BmfBovespa-Equities are now acting only as a CSD and are now referred as BmfBovespa Central Securities Depository
</t>
  </si>
  <si>
    <r>
      <t xml:space="preserve">BmfBovespa-Equities </t>
    </r>
    <r>
      <rPr>
        <b/>
        <vertAlign val="superscript"/>
        <sz val="10"/>
        <rFont val="Helvetica"/>
        <family val="2"/>
      </rPr>
      <t>(1) (2)</t>
    </r>
  </si>
  <si>
    <r>
      <t xml:space="preserve">Notes:
(1) In August, 28th 2017, BmfBovespa-Derivatives incorporated the products settled by BmfBovespa-Equities and are now referred as BM&amp;FBOVESPA Clearinghouse.
(2) BmfBovespa-Equities are now acting only as a CSD and are now referred as BmfBovespa Central Securities Depository.
</t>
    </r>
    <r>
      <rPr>
        <vertAlign val="superscript"/>
        <sz val="9"/>
        <rFont val="Helvetica"/>
        <family val="2"/>
      </rPr>
      <t xml:space="preserve">
</t>
    </r>
  </si>
  <si>
    <r>
      <t xml:space="preserve">Notes:
</t>
    </r>
    <r>
      <rPr>
        <vertAlign val="superscript"/>
        <sz val="9"/>
        <rFont val="Helvetica"/>
        <family val="2"/>
      </rPr>
      <t>(1)</t>
    </r>
    <r>
      <rPr>
        <sz val="9"/>
        <rFont val="Helvetica"/>
        <family val="2"/>
      </rPr>
      <t xml:space="preserve"> In August, 28th 2017, Bmf Bovespa-Derivatives incorporated the products settled by BmfBovespa-Equities and are now referred as BM&amp;FBOVESPA Clearinghouse. 
</t>
    </r>
    <r>
      <rPr>
        <vertAlign val="superscript"/>
        <sz val="9"/>
        <rFont val="Helvetica"/>
        <family val="2"/>
      </rPr>
      <t>(2)</t>
    </r>
    <r>
      <rPr>
        <sz val="9"/>
        <rFont val="Helvetica"/>
        <family val="2"/>
      </rPr>
      <t xml:space="preserve"> BmfBovespa-Equities are now acting only as a CSD and are now referred as BmfBovespa Central Securities Depository.</t>
    </r>
  </si>
  <si>
    <r>
      <t xml:space="preserve">Notes:
</t>
    </r>
    <r>
      <rPr>
        <vertAlign val="superscript"/>
        <sz val="9"/>
        <rFont val="Helvetica"/>
        <family val="2"/>
      </rPr>
      <t>(1)</t>
    </r>
    <r>
      <rPr>
        <sz val="9"/>
        <rFont val="Helvetica"/>
        <family val="2"/>
      </rPr>
      <t xml:space="preserve"> In August, 28th 2017, BmfBovespa-Derivatives incorporated the products settled by BmfBovespa-Equities and are now referred as BM&amp;FBOVESPA Clearinghouse. 
</t>
    </r>
    <r>
      <rPr>
        <vertAlign val="superscript"/>
        <sz val="9"/>
        <rFont val="Helvetica"/>
        <family val="2"/>
      </rPr>
      <t>(2)</t>
    </r>
    <r>
      <rPr>
        <sz val="9"/>
        <rFont val="Helvetica"/>
        <family val="2"/>
      </rPr>
      <t xml:space="preserve"> BmfBovespa-Equities are now acting only as a CSD and are now referred as BmfBovespa Central Securities Depository.</t>
    </r>
  </si>
  <si>
    <r>
      <t xml:space="preserve">BmfBovespa-Equities </t>
    </r>
    <r>
      <rPr>
        <b/>
        <vertAlign val="superscript"/>
        <sz val="10"/>
        <rFont val="Helvetica"/>
        <family val="2"/>
      </rPr>
      <t>(1) (2) (3)</t>
    </r>
  </si>
  <si>
    <r>
      <t xml:space="preserve">BmfBovespa-Clearinghouse </t>
    </r>
    <r>
      <rPr>
        <b/>
        <vertAlign val="superscript"/>
        <sz val="10"/>
        <rFont val="Helvetica"/>
        <family val="2"/>
      </rPr>
      <t>(1) (2)</t>
    </r>
  </si>
  <si>
    <t>BmfBovespa-Securities (1)</t>
  </si>
  <si>
    <t>CETIP</t>
  </si>
  <si>
    <r>
      <t xml:space="preserve">Notes:
</t>
    </r>
    <r>
      <rPr>
        <sz val="9"/>
        <rFont val="Helvetica"/>
        <family val="2"/>
      </rPr>
      <t>(1) Figures prior to 2010 cannot be broken down according to participant nature (banks, other) 
(2) In August, 28th 2017, BmfBovespa-Derivatives incorporated the products settled by BmfBovespa-Equities and are now referred as BM&amp;FBOVESPA Clearinghouse. 
(3) BmfBovespa-Equities are now acting only as a CSD and are now referred as BmfBovespa Central Securities Depository.</t>
    </r>
  </si>
  <si>
    <r>
      <t xml:space="preserve">BmfBovespa-Equities </t>
    </r>
    <r>
      <rPr>
        <b/>
        <vertAlign val="superscript"/>
        <sz val="10"/>
        <rFont val="Helvetica"/>
        <family val="2"/>
      </rPr>
      <t>(1) (3)</t>
    </r>
  </si>
  <si>
    <r>
      <t>BmfBovespa-Clearinghouse</t>
    </r>
    <r>
      <rPr>
        <b/>
        <vertAlign val="superscript"/>
        <sz val="10"/>
        <rFont val="Helvetica"/>
        <family val="2"/>
      </rPr>
      <t xml:space="preserve"> (1)</t>
    </r>
  </si>
  <si>
    <r>
      <t xml:space="preserve">Total number of contracts and transactions cleared </t>
    </r>
    <r>
      <rPr>
        <vertAlign val="superscript"/>
        <sz val="10"/>
        <rFont val="Helvetica"/>
        <family val="2"/>
      </rPr>
      <t>(2)</t>
    </r>
  </si>
  <si>
    <t>BmfBovespa-Securities</t>
  </si>
  <si>
    <r>
      <t xml:space="preserve">Total number of contracts and transactions cleared </t>
    </r>
    <r>
      <rPr>
        <vertAlign val="superscript"/>
        <sz val="10"/>
        <rFont val="Helvetica"/>
        <family val="2"/>
      </rPr>
      <t>(3)</t>
    </r>
  </si>
  <si>
    <r>
      <t xml:space="preserve">Notes:
</t>
    </r>
    <r>
      <rPr>
        <vertAlign val="superscript"/>
        <sz val="9"/>
        <rFont val="Helvetica"/>
        <family val="2"/>
      </rPr>
      <t>(1)</t>
    </r>
    <r>
      <rPr>
        <sz val="9"/>
        <rFont val="Helvetica"/>
        <family val="2"/>
      </rPr>
      <t xml:space="preserve">  In August, 28th 2017, BmfBovespa-Derivatives incorporated the products settled by BmfBovespa-Equities and are now referred as BM&amp;FBOVESPA CLEARING HOUSE.
</t>
    </r>
    <r>
      <rPr>
        <vertAlign val="superscript"/>
        <sz val="9"/>
        <rFont val="Helvetica"/>
        <family val="2"/>
      </rPr>
      <t>(2)</t>
    </r>
    <r>
      <rPr>
        <sz val="9"/>
        <rFont val="Helvetica"/>
        <family val="2"/>
      </rPr>
      <t xml:space="preserve"> Exchange-traded transactions in the vast majority.
</t>
    </r>
    <r>
      <rPr>
        <vertAlign val="superscript"/>
        <sz val="9"/>
        <rFont val="Helvetica"/>
        <family val="2"/>
      </rPr>
      <t>(3)</t>
    </r>
    <r>
      <rPr>
        <sz val="9"/>
        <rFont val="Helvetica"/>
        <family val="2"/>
      </rPr>
      <t xml:space="preserve"> BmfBovespa-Equities are now acting only as a CSD and are now referred as BmfBovespa Central Securities Depository.</t>
    </r>
  </si>
  <si>
    <r>
      <t xml:space="preserve">Total value of contracts and transactions cleared </t>
    </r>
    <r>
      <rPr>
        <vertAlign val="superscript"/>
        <sz val="10"/>
        <rFont val="Helvetica"/>
        <family val="2"/>
      </rPr>
      <t>(2)</t>
    </r>
  </si>
  <si>
    <r>
      <t xml:space="preserve">Total value of contracts and transactions cleared </t>
    </r>
    <r>
      <rPr>
        <vertAlign val="superscript"/>
        <sz val="10"/>
        <rFont val="Helvetica"/>
        <family val="2"/>
      </rPr>
      <t>(3)</t>
    </r>
  </si>
  <si>
    <r>
      <t xml:space="preserve">BmfBovespa-Equities </t>
    </r>
    <r>
      <rPr>
        <b/>
        <vertAlign val="superscript"/>
        <sz val="10"/>
        <rFont val="Helvetica"/>
        <family val="2"/>
      </rPr>
      <t>(1) (4)</t>
    </r>
  </si>
  <si>
    <t>BmfBovespa-Central Securities Depository</t>
  </si>
  <si>
    <t>SELIC</t>
  </si>
  <si>
    <r>
      <t xml:space="preserve">Total number of direct participants in CSDs </t>
    </r>
    <r>
      <rPr>
        <vertAlign val="superscript"/>
        <sz val="10"/>
        <rFont val="Helvetica"/>
        <family val="2"/>
      </rPr>
      <t>(2)</t>
    </r>
  </si>
  <si>
    <t>Source: B3 and Banco Central do Brasil</t>
  </si>
  <si>
    <r>
      <t xml:space="preserve">Notes:
</t>
    </r>
    <r>
      <rPr>
        <vertAlign val="superscript"/>
        <sz val="9"/>
        <rFont val="Helvetica"/>
        <family val="2"/>
      </rPr>
      <t>(1)</t>
    </r>
    <r>
      <rPr>
        <sz val="9"/>
        <rFont val="Helvetica"/>
        <family val="2"/>
      </rPr>
      <t xml:space="preserve"> In August, 28th 2017, BmfBovespa-Derivatives incorporated the products settled by BmfBovespa-Equities and are now referred as BM&amp;FBOVESPA Clearinghouse. 
</t>
    </r>
    <r>
      <rPr>
        <vertAlign val="superscript"/>
        <sz val="9"/>
        <rFont val="Helvetica"/>
        <family val="2"/>
      </rPr>
      <t>(2)</t>
    </r>
    <r>
      <rPr>
        <sz val="9"/>
        <rFont val="Helvetica"/>
        <family val="2"/>
      </rPr>
      <t xml:space="preserve"> Due to a change in the account holding structure, the number of direct participants decreased sharply from 2010.
</t>
    </r>
    <r>
      <rPr>
        <vertAlign val="superscript"/>
        <sz val="9"/>
        <rFont val="Helvetica"/>
        <family val="2"/>
      </rPr>
      <t>(2)</t>
    </r>
    <r>
      <rPr>
        <sz val="9"/>
        <rFont val="Helvetica"/>
        <family val="2"/>
      </rPr>
      <t xml:space="preserve"> Brazil has a single CCP (BM&amp;F BOVESPA), but each system it operates is considered a Selic participant.
</t>
    </r>
    <r>
      <rPr>
        <vertAlign val="superscript"/>
        <sz val="9"/>
        <rFont val="Helvetica"/>
        <family val="2"/>
      </rPr>
      <t>(3)</t>
    </r>
    <r>
      <rPr>
        <sz val="9"/>
        <rFont val="Helvetica"/>
        <family val="2"/>
      </rPr>
      <t xml:space="preserve"> BmfBovespa-Equities are now acting only as a CSD and are now referred as BmfBovespa Central Securities Depository.</t>
    </r>
  </si>
  <si>
    <r>
      <t xml:space="preserve">Total number of ISIN codes held </t>
    </r>
    <r>
      <rPr>
        <vertAlign val="superscript"/>
        <sz val="10"/>
        <rFont val="Helvetica"/>
        <family val="2"/>
      </rPr>
      <t>(2)</t>
    </r>
  </si>
  <si>
    <r>
      <t xml:space="preserve">Notes: </t>
    </r>
    <r>
      <rPr>
        <vertAlign val="superscript"/>
        <sz val="9"/>
        <rFont val="Helvetica"/>
        <family val="2"/>
      </rPr>
      <t xml:space="preserve">
(1)</t>
    </r>
    <r>
      <rPr>
        <sz val="9"/>
        <rFont val="Helvetica"/>
        <family val="2"/>
      </rPr>
      <t xml:space="preserve"> In August, 28th 2017, BmfBovespa-Equities and BmfBovespa-Derivatives merged its operations and are now referred as BM&amp;F BOVESPA Clearinghouse.
</t>
    </r>
    <r>
      <rPr>
        <vertAlign val="superscript"/>
        <sz val="9"/>
        <rFont val="Helvetica"/>
        <family val="2"/>
      </rPr>
      <t>(2)</t>
    </r>
    <r>
      <rPr>
        <sz val="9"/>
        <rFont val="Helvetica"/>
        <family val="2"/>
      </rPr>
      <t xml:space="preserve"> Government Securities exclusively.</t>
    </r>
    <r>
      <rPr>
        <vertAlign val="superscript"/>
        <sz val="9"/>
        <rFont val="Helvetica"/>
        <family val="2"/>
      </rPr>
      <t xml:space="preserve">
(3)</t>
    </r>
    <r>
      <rPr>
        <sz val="9"/>
        <rFont val="Helvetica"/>
        <family val="2"/>
      </rPr>
      <t xml:space="preserve"> BmfBovespa-Equities are now acting only as a CSD and are now referred as BmfBovespa Central Securities Depository</t>
    </r>
  </si>
  <si>
    <r>
      <t xml:space="preserve">Total value of securities held </t>
    </r>
    <r>
      <rPr>
        <vertAlign val="superscript"/>
        <sz val="10"/>
        <rFont val="Helvetica"/>
        <family val="2"/>
      </rPr>
      <t>(2)</t>
    </r>
  </si>
  <si>
    <r>
      <t>Notes:</t>
    </r>
    <r>
      <rPr>
        <vertAlign val="superscript"/>
        <sz val="9"/>
        <rFont val="Helvetica"/>
        <family val="2"/>
      </rPr>
      <t xml:space="preserve">
(1)</t>
    </r>
    <r>
      <rPr>
        <sz val="9"/>
        <rFont val="Helvetica"/>
        <family val="2"/>
      </rPr>
      <t xml:space="preserve"> In August, 28th 2017, BmfBovespa-Derivatives incorporated the products settled by BmfBovespa-Equities and are now referred as BM&amp;FBOVESPA Clearinghouse.</t>
    </r>
    <r>
      <rPr>
        <vertAlign val="superscript"/>
        <sz val="9"/>
        <rFont val="Helvetica"/>
        <family val="2"/>
      </rPr>
      <t xml:space="preserve">
(2)</t>
    </r>
    <r>
      <rPr>
        <sz val="9"/>
        <rFont val="Helvetica"/>
        <family val="2"/>
      </rPr>
      <t xml:space="preserve"> BmfBovespa-Equities are now acting only as a CSD and are now referred as BmfBovespa Central Securities Depository.</t>
    </r>
  </si>
  <si>
    <t>Source:B3 and Banco Central do Brasil</t>
  </si>
  <si>
    <t>Notes:
(1) In August, 28th 2017, BmfBovespa-Equities and BmfBovespa-Derivatives merged its operations and are now referred as BM&amp;F BOVESPA Clearinghouse.
(2) BmfBovespa-Equities are now acting only as a CSD and are now referred as BmfBovespa Central Securities Depository</t>
  </si>
  <si>
    <r>
      <t>O</t>
    </r>
    <r>
      <rPr>
        <vertAlign val="superscript"/>
        <sz val="9.5"/>
        <rFont val="Helvetica"/>
        <family val="2"/>
      </rPr>
      <t>(1)</t>
    </r>
  </si>
  <si>
    <r>
      <t>SPI</t>
    </r>
    <r>
      <rPr>
        <vertAlign val="superscript"/>
        <sz val="10"/>
        <rFont val="Helvetica"/>
        <family val="2"/>
      </rPr>
      <t>9</t>
    </r>
  </si>
  <si>
    <t>SITRAF</t>
  </si>
  <si>
    <t>MN, BN, G</t>
  </si>
  <si>
    <r>
      <t>PA</t>
    </r>
    <r>
      <rPr>
        <vertAlign val="superscript"/>
        <sz val="9.5"/>
        <rFont val="Helvetica"/>
        <family val="2"/>
      </rPr>
      <t>(2)</t>
    </r>
  </si>
  <si>
    <r>
      <t>Other</t>
    </r>
    <r>
      <rPr>
        <vertAlign val="superscript"/>
        <sz val="9.5"/>
        <rFont val="Helvetica"/>
        <family val="2"/>
      </rPr>
      <t>(3)</t>
    </r>
  </si>
  <si>
    <r>
      <t>O</t>
    </r>
    <r>
      <rPr>
        <vertAlign val="superscript"/>
        <sz val="9.5"/>
        <rFont val="Helvetica"/>
        <family val="2"/>
      </rPr>
      <t>(4)</t>
    </r>
  </si>
  <si>
    <t>17:30</t>
  </si>
  <si>
    <t>06:30</t>
  </si>
  <si>
    <t>24:00</t>
  </si>
  <si>
    <t>24/7/365</t>
  </si>
  <si>
    <t>Intraday6</t>
  </si>
  <si>
    <t>10:00</t>
  </si>
  <si>
    <t xml:space="preserve"> T+2: 14:057</t>
  </si>
  <si>
    <t>T+1: 08:20; 16:10</t>
  </si>
  <si>
    <t>21:59</t>
  </si>
  <si>
    <t>T+1: 09:00, 17:158</t>
  </si>
  <si>
    <t>Source: Banco Central do Brasil (STR and COMPE), Câmara Interbancária de Pagamentos - CIP (SITRAF and SILOC),  B3.</t>
  </si>
  <si>
    <t xml:space="preserve">Notes:
(1) Any financial institution holding a reserve account or a settlement account at the Central Bank of Brazil.
(2) The system is operated by CIP, a not-for-profit association owned by banks.
(3) The system is operated by B3, which is a for-profit company.
(4) Any bank authorised by the Central Bank of Brazil to carry out FX transactions and holding a account at the Central Bank of Brazil
(5) Payments become final at the moment settlement is completed by the system, which occurs throughout the day.
(6) T and T+1 are also possible, but the relevant volume and value are very low.
(7) The time of settlement finality depends on the value of the cleared documents
</t>
  </si>
  <si>
    <t>BmfBovespa-Clearinghouse</t>
  </si>
  <si>
    <t>SEC, E, O, DER</t>
  </si>
  <si>
    <r>
      <t>9:00-18:00</t>
    </r>
    <r>
      <rPr>
        <vertAlign val="superscript"/>
        <sz val="9.5"/>
        <rFont val="Helvetica"/>
        <family val="2"/>
      </rPr>
      <t>(3)</t>
    </r>
  </si>
  <si>
    <r>
      <t>int</t>
    </r>
    <r>
      <rPr>
        <vertAlign val="superscript"/>
        <sz val="9.5"/>
        <rFont val="Helvetica"/>
        <family val="2"/>
      </rPr>
      <t>(2)</t>
    </r>
  </si>
  <si>
    <t xml:space="preserve">Source: </t>
  </si>
  <si>
    <r>
      <t xml:space="preserve">Notes:
</t>
    </r>
    <r>
      <rPr>
        <vertAlign val="superscript"/>
        <sz val="9"/>
        <color indexed="8"/>
        <rFont val="Helvetica"/>
        <family val="2"/>
      </rPr>
      <t xml:space="preserve">(1) </t>
    </r>
    <r>
      <rPr>
        <sz val="9"/>
        <color indexed="8"/>
        <rFont val="Helvetica"/>
        <family val="2"/>
      </rPr>
      <t xml:space="preserve">Regular operating time, which is changed to 10:00-18:00 during the daylight saving time.    
</t>
    </r>
    <r>
      <rPr>
        <vertAlign val="superscript"/>
        <sz val="9"/>
        <color indexed="8"/>
        <rFont val="Helvetica"/>
        <family val="2"/>
      </rPr>
      <t>(2)</t>
    </r>
    <r>
      <rPr>
        <sz val="9"/>
        <color indexed="8"/>
        <rFont val="Helvetica"/>
        <family val="2"/>
      </rPr>
      <t xml:space="preserve"> BmfBovespa.
</t>
    </r>
    <r>
      <rPr>
        <vertAlign val="superscript"/>
        <sz val="9"/>
        <color indexed="8"/>
        <rFont val="Helvetica"/>
        <family val="2"/>
      </rPr>
      <t>(3)</t>
    </r>
    <r>
      <rPr>
        <sz val="9"/>
        <color indexed="8"/>
        <rFont val="Helvetica"/>
        <family val="2"/>
      </rPr>
      <t xml:space="preserve"> General operating time. There are specific operating times for specific markets and products.</t>
    </r>
    <r>
      <rPr>
        <vertAlign val="superscript"/>
        <sz val="9"/>
        <color indexed="8"/>
        <rFont val="Helvetica"/>
        <family val="2"/>
      </rPr>
      <t xml:space="preserve">
(4)</t>
    </r>
    <r>
      <rPr>
        <sz val="9"/>
        <color indexed="8"/>
        <rFont val="Helvetica"/>
        <family val="2"/>
      </rPr>
      <t xml:space="preserve"> In August, 28th 2017, BmfBovespa-Derivatives incorporated the products settled by BmfBovespa-Equities and are now referred as BM&amp;FBOVESPA Clearinghouse.</t>
    </r>
    <r>
      <rPr>
        <vertAlign val="superscript"/>
        <sz val="9"/>
        <color indexed="8"/>
        <rFont val="Helvetica"/>
        <family val="2"/>
      </rPr>
      <t xml:space="preserve">
(5)</t>
    </r>
    <r>
      <rPr>
        <sz val="9"/>
        <color indexed="8"/>
        <rFont val="Helvetica"/>
        <family val="2"/>
      </rPr>
      <t xml:space="preserve"> BmfBovespa-Equities are now acting only as a CSD and are now referred as BmfBovespa Central Securities Depository.</t>
    </r>
  </si>
  <si>
    <t>BMFBovespa-FX</t>
  </si>
  <si>
    <r>
      <t xml:space="preserve">int </t>
    </r>
    <r>
      <rPr>
        <vertAlign val="superscript"/>
        <sz val="9.5"/>
        <color indexed="8"/>
        <rFont val="Helvetica"/>
        <family val="2"/>
      </rPr>
      <t>(1)</t>
    </r>
  </si>
  <si>
    <t>event: P</t>
  </si>
  <si>
    <t>BmfBovespa-Clearing House</t>
  </si>
  <si>
    <r>
      <t>int</t>
    </r>
    <r>
      <rPr>
        <vertAlign val="superscript"/>
        <sz val="9"/>
        <rFont val="Arial"/>
        <family val="2"/>
      </rPr>
      <t>1</t>
    </r>
  </si>
  <si>
    <t>routine</t>
  </si>
  <si>
    <t>SEC, DER</t>
  </si>
  <si>
    <r>
      <t xml:space="preserve">int </t>
    </r>
    <r>
      <rPr>
        <vertAlign val="superscript"/>
        <sz val="9.5"/>
        <color indexed="8"/>
        <rFont val="Helvetica"/>
        <family val="2"/>
      </rPr>
      <t>(3)</t>
    </r>
  </si>
  <si>
    <t xml:space="preserve">SEC, DER  </t>
  </si>
  <si>
    <t>BRL, USD</t>
  </si>
  <si>
    <t>BRL</t>
  </si>
  <si>
    <r>
      <t>CSD</t>
    </r>
    <r>
      <rPr>
        <vertAlign val="superscript"/>
        <sz val="9.5"/>
        <color indexed="8"/>
        <rFont val="Helvetica"/>
        <family val="2"/>
      </rPr>
      <t xml:space="preserve"> (2)</t>
    </r>
  </si>
  <si>
    <r>
      <t xml:space="preserve">Notes:
</t>
    </r>
    <r>
      <rPr>
        <vertAlign val="superscript"/>
        <sz val="9"/>
        <color indexed="8"/>
        <rFont val="Helvetica"/>
        <family val="2"/>
      </rPr>
      <t>(1)</t>
    </r>
    <r>
      <rPr>
        <sz val="9"/>
        <color indexed="8"/>
        <rFont val="Helvetica"/>
        <family val="2"/>
      </rPr>
      <t xml:space="preserve"> BM&amp;F BOVESPA.
</t>
    </r>
    <r>
      <rPr>
        <vertAlign val="superscript"/>
        <sz val="9"/>
        <color indexed="8"/>
        <rFont val="Helvetica"/>
        <family val="2"/>
      </rPr>
      <t>(2)</t>
    </r>
    <r>
      <rPr>
        <sz val="9"/>
        <color indexed="8"/>
        <rFont val="Helvetica"/>
        <family val="2"/>
      </rPr>
      <t xml:space="preserve"> SELIC.
</t>
    </r>
    <r>
      <rPr>
        <vertAlign val="superscript"/>
        <sz val="9"/>
        <color indexed="8"/>
        <rFont val="Helvetica"/>
        <family val="2"/>
      </rPr>
      <t>(3)</t>
    </r>
    <r>
      <rPr>
        <sz val="9"/>
        <color indexed="8"/>
        <rFont val="Helvetica"/>
        <family val="2"/>
      </rPr>
      <t xml:space="preserve"> CETIP.
</t>
    </r>
    <r>
      <rPr>
        <vertAlign val="superscript"/>
        <sz val="9"/>
        <color indexed="8"/>
        <rFont val="Helvetica"/>
        <family val="2"/>
      </rPr>
      <t>(4)</t>
    </r>
    <r>
      <rPr>
        <sz val="9"/>
        <color indexed="8"/>
        <rFont val="Helvetica"/>
        <family val="2"/>
      </rPr>
      <t xml:space="preserve"> BmfBovespa-Equities are now acting only as a CSD and are now referred as BmfBovespa Central Securities Depository.</t>
    </r>
  </si>
  <si>
    <t>DOM; 
G</t>
  </si>
  <si>
    <t>no link</t>
  </si>
  <si>
    <r>
      <t>T, T+n</t>
    </r>
    <r>
      <rPr>
        <vertAlign val="superscript"/>
        <sz val="10"/>
        <rFont val="Arial"/>
        <family val="2"/>
      </rPr>
      <t>2</t>
    </r>
  </si>
  <si>
    <t>BMFBovespa Central Securities Depository</t>
  </si>
  <si>
    <t>DOM; 
E, B, O</t>
  </si>
  <si>
    <r>
      <t>T, T+1, T+3, T+n</t>
    </r>
    <r>
      <rPr>
        <vertAlign val="superscript"/>
        <sz val="10"/>
        <rFont val="Arial"/>
        <family val="2"/>
      </rPr>
      <t>2</t>
    </r>
  </si>
  <si>
    <t>DOM; 
B,C,G</t>
  </si>
  <si>
    <t>yes</t>
  </si>
  <si>
    <t>DVP1</t>
  </si>
  <si>
    <t>BM&amp;FBovespa Central Securities Depository</t>
  </si>
  <si>
    <t>DVP3</t>
  </si>
  <si>
    <t>DVP2</t>
  </si>
  <si>
    <t>Source: Banco Central do Brasil and B3</t>
  </si>
  <si>
    <r>
      <t xml:space="preserve">Notes:
</t>
    </r>
    <r>
      <rPr>
        <vertAlign val="superscript"/>
        <sz val="9"/>
        <color indexed="8"/>
        <rFont val="Helvetica"/>
        <family val="2"/>
      </rPr>
      <t>(1)</t>
    </r>
    <r>
      <rPr>
        <sz val="9"/>
        <color indexed="8"/>
        <rFont val="Helvetica"/>
        <family val="2"/>
      </rPr>
      <t xml:space="preserve">  Some special transactions have intraday finality.
</t>
    </r>
    <r>
      <rPr>
        <vertAlign val="superscript"/>
        <sz val="9"/>
        <color indexed="8"/>
        <rFont val="Helvetica"/>
        <family val="2"/>
      </rPr>
      <t>(2)</t>
    </r>
    <r>
      <rPr>
        <sz val="9"/>
        <color indexed="8"/>
        <rFont val="Helvetica"/>
        <family val="2"/>
      </rPr>
      <t xml:space="preserve"> Payments relating to derivatives on stocks.
</t>
    </r>
    <r>
      <rPr>
        <vertAlign val="superscript"/>
        <sz val="9"/>
        <color indexed="8"/>
        <rFont val="Helvetica"/>
        <family val="2"/>
      </rPr>
      <t>(3)</t>
    </r>
    <r>
      <rPr>
        <sz val="9"/>
        <color indexed="8"/>
        <rFont val="Helvetica"/>
        <family val="2"/>
      </rPr>
      <t xml:space="preserve"> BmfBovespa-Equities are now acting only as a CSD and are now referred as BmfBovespa Central Securities Depository.</t>
    </r>
  </si>
  <si>
    <t>Table 1</t>
  </si>
  <si>
    <t>(end of year)</t>
  </si>
  <si>
    <r>
      <t xml:space="preserve">GDP </t>
    </r>
    <r>
      <rPr>
        <i/>
        <sz val="9"/>
        <color indexed="8"/>
        <rFont val="Helvetica"/>
        <family val="2"/>
      </rPr>
      <t>(USD millions)</t>
    </r>
  </si>
  <si>
    <r>
      <t xml:space="preserve">Population </t>
    </r>
    <r>
      <rPr>
        <i/>
        <sz val="9"/>
        <color indexed="8"/>
        <rFont val="Helvetica"/>
        <family val="2"/>
      </rPr>
      <t>(millions)</t>
    </r>
  </si>
  <si>
    <t>Argentina</t>
  </si>
  <si>
    <t>Bahamas</t>
  </si>
  <si>
    <t>Bolivia</t>
  </si>
  <si>
    <t>Brazil</t>
  </si>
  <si>
    <t>Chile</t>
  </si>
  <si>
    <t>Colombia</t>
  </si>
  <si>
    <t>Costa Rica</t>
  </si>
  <si>
    <t>Curacao</t>
  </si>
  <si>
    <t>Sint Maarten</t>
  </si>
  <si>
    <t>Ecuador</t>
  </si>
  <si>
    <t>El Salvador</t>
  </si>
  <si>
    <t>Guatemala</t>
  </si>
  <si>
    <t>Honduras</t>
  </si>
  <si>
    <t>Jamaica</t>
  </si>
  <si>
    <t>Dominican Republic</t>
  </si>
  <si>
    <t>Paraguay</t>
  </si>
  <si>
    <t>Peru</t>
  </si>
  <si>
    <t>Trinidad and Tobago</t>
  </si>
  <si>
    <t>Table 1 (cont)</t>
  </si>
  <si>
    <r>
      <t xml:space="preserve">GDP per capita </t>
    </r>
    <r>
      <rPr>
        <i/>
        <sz val="9"/>
        <color indexed="8"/>
        <rFont val="Helvetica"/>
        <family val="2"/>
      </rPr>
      <t>(USD)</t>
    </r>
  </si>
  <si>
    <r>
      <t>CPI inflation</t>
    </r>
    <r>
      <rPr>
        <sz val="9"/>
        <color indexed="8"/>
        <rFont val="Helvetica"/>
        <family val="2"/>
      </rPr>
      <t xml:space="preserve"> </t>
    </r>
    <r>
      <rPr>
        <i/>
        <sz val="9"/>
        <color indexed="8"/>
        <rFont val="Helvetica"/>
        <family val="2"/>
      </rPr>
      <t>(%)</t>
    </r>
  </si>
  <si>
    <r>
      <t xml:space="preserve">Exchange rate vis-a-vis USD </t>
    </r>
    <r>
      <rPr>
        <i/>
        <sz val="9"/>
        <color indexed="8"/>
        <rFont val="Helvetica"/>
        <family val="2"/>
      </rPr>
      <t>(end of year)</t>
    </r>
  </si>
  <si>
    <r>
      <t xml:space="preserve">Exchange rate vis-à-vis USD </t>
    </r>
    <r>
      <rPr>
        <i/>
        <sz val="9"/>
        <color indexed="8"/>
        <rFont val="Helvetica"/>
        <family val="2"/>
      </rPr>
      <t>(average)</t>
    </r>
  </si>
  <si>
    <t>Curacao and Sint Maarten</t>
  </si>
  <si>
    <t>Table 2</t>
  </si>
  <si>
    <t>Banknotes and coin in circulation</t>
  </si>
  <si>
    <r>
      <t xml:space="preserve">Total value </t>
    </r>
    <r>
      <rPr>
        <i/>
        <sz val="9"/>
        <color indexed="8"/>
        <rFont val="Helvetica"/>
        <family val="2"/>
      </rPr>
      <t>(USD millions)</t>
    </r>
  </si>
  <si>
    <r>
      <t xml:space="preserve">Value per inhabitant </t>
    </r>
    <r>
      <rPr>
        <i/>
        <sz val="9"/>
        <color indexed="8"/>
        <rFont val="Helvetica"/>
        <family val="2"/>
      </rPr>
      <t>(USD)</t>
    </r>
  </si>
  <si>
    <t>Table 2 (cont)</t>
  </si>
  <si>
    <t>Value as percentage of GDP</t>
  </si>
  <si>
    <t>Value as percentage of narrow money</t>
  </si>
  <si>
    <t>Table 3</t>
  </si>
  <si>
    <t>Transferable deposits held by banks</t>
  </si>
  <si>
    <t>Table 3 (cont)</t>
  </si>
  <si>
    <t xml:space="preserve">Transferable balances held at other banks </t>
  </si>
  <si>
    <r>
      <t>Total value</t>
    </r>
    <r>
      <rPr>
        <i/>
        <sz val="9"/>
        <color indexed="8"/>
        <rFont val="Helvetica"/>
        <family val="2"/>
      </rPr>
      <t xml:space="preserve"> (USD millions)</t>
    </r>
  </si>
  <si>
    <t>Table 4</t>
  </si>
  <si>
    <t>Institutions offering payment services to non-banks</t>
  </si>
  <si>
    <t>Total number</t>
  </si>
  <si>
    <t>Number per million inhabitants</t>
  </si>
  <si>
    <t>Tabla 4 (cont)</t>
  </si>
  <si>
    <t>Table 5</t>
  </si>
  <si>
    <t>Transferable deposits held by non-banks</t>
  </si>
  <si>
    <t>Number of deposit accounts</t>
  </si>
  <si>
    <r>
      <t>Total number of accounts</t>
    </r>
    <r>
      <rPr>
        <i/>
        <sz val="9"/>
        <rFont val="Helvetica"/>
        <family val="2"/>
      </rPr>
      <t xml:space="preserve"> (millions)</t>
    </r>
  </si>
  <si>
    <t>Number of accounts per inhabitant</t>
  </si>
  <si>
    <t>Table 5 (cont)</t>
  </si>
  <si>
    <t>Value of deposit accounts</t>
  </si>
  <si>
    <r>
      <t xml:space="preserve">Total value </t>
    </r>
    <r>
      <rPr>
        <i/>
        <sz val="9"/>
        <color indexed="8"/>
        <rFont val="Helvetica"/>
        <family val="2"/>
      </rPr>
      <t>(USD thousand millions)</t>
    </r>
  </si>
  <si>
    <t>Value of deposit accounts as a percentage of GDP</t>
  </si>
  <si>
    <t>Table 6</t>
  </si>
  <si>
    <t>Payment transactions by non-banks: total number of transactions</t>
  </si>
  <si>
    <t>(summed through the year)</t>
  </si>
  <si>
    <r>
      <t xml:space="preserve">Total number of transactions </t>
    </r>
    <r>
      <rPr>
        <i/>
        <sz val="9"/>
        <rFont val="Helvetica"/>
        <family val="2"/>
      </rPr>
      <t>(millions)</t>
    </r>
  </si>
  <si>
    <r>
      <t xml:space="preserve">Increase in the number of transactions </t>
    </r>
    <r>
      <rPr>
        <i/>
        <sz val="9"/>
        <color indexed="8"/>
        <rFont val="Helvetica"/>
        <family val="2"/>
      </rPr>
      <t>(%)</t>
    </r>
  </si>
  <si>
    <t>Table 6 (cont)</t>
  </si>
  <si>
    <t>Number per inhabitant</t>
  </si>
  <si>
    <t>Number per deposit account held by non-banks</t>
  </si>
  <si>
    <t>Table 7</t>
  </si>
  <si>
    <t>Use of payment instruments by non-banks: number of transactions per payment instrument</t>
  </si>
  <si>
    <t>(total for the year)</t>
  </si>
  <si>
    <r>
      <t xml:space="preserve">Credit transfers </t>
    </r>
    <r>
      <rPr>
        <i/>
        <sz val="9"/>
        <rFont val="Helvetica"/>
        <family val="2"/>
      </rPr>
      <t>(thousands)</t>
    </r>
  </si>
  <si>
    <r>
      <t xml:space="preserve">Direct debits </t>
    </r>
    <r>
      <rPr>
        <i/>
        <sz val="9"/>
        <rFont val="Helvetica"/>
        <family val="2"/>
      </rPr>
      <t>(thousands)</t>
    </r>
  </si>
  <si>
    <t>Table 7 (cont)</t>
  </si>
  <si>
    <r>
      <t xml:space="preserve">Cheques </t>
    </r>
    <r>
      <rPr>
        <i/>
        <sz val="9"/>
        <rFont val="Helvetica"/>
        <family val="2"/>
      </rPr>
      <t>(thousands)</t>
    </r>
  </si>
  <si>
    <r>
      <t xml:space="preserve">e-money payment transactions </t>
    </r>
    <r>
      <rPr>
        <i/>
        <sz val="9"/>
        <rFont val="Helvetica"/>
        <family val="2"/>
      </rPr>
      <t>(thousands)</t>
    </r>
  </si>
  <si>
    <r>
      <t xml:space="preserve">Card payments </t>
    </r>
    <r>
      <rPr>
        <i/>
        <sz val="9"/>
        <rFont val="Helvetica"/>
        <family val="2"/>
      </rPr>
      <t>(thousands)</t>
    </r>
  </si>
  <si>
    <r>
      <t xml:space="preserve">of which: by cards with a debit function </t>
    </r>
    <r>
      <rPr>
        <i/>
        <sz val="9"/>
        <rFont val="Helvetica"/>
        <family val="2"/>
      </rPr>
      <t>(thousands)</t>
    </r>
  </si>
  <si>
    <r>
      <t xml:space="preserve">by cards with a delayed debit function </t>
    </r>
    <r>
      <rPr>
        <i/>
        <sz val="9"/>
        <rFont val="Helvetica"/>
        <family val="2"/>
      </rPr>
      <t>(thousands)</t>
    </r>
  </si>
  <si>
    <r>
      <t xml:space="preserve">by cards with a credit function </t>
    </r>
    <r>
      <rPr>
        <i/>
        <sz val="9"/>
        <rFont val="Helvetica"/>
        <family val="2"/>
      </rPr>
      <t>(thousands)</t>
    </r>
  </si>
  <si>
    <t>Table 7a</t>
  </si>
  <si>
    <t>Use of payment instruments by non-banks: relative importance of payment instruments, in number of transactions</t>
  </si>
  <si>
    <t>(% of total number of transactions)</t>
  </si>
  <si>
    <t>Table 7a (cont)</t>
  </si>
  <si>
    <t>Card payments</t>
  </si>
  <si>
    <t>of which; by cards with a debit function</t>
  </si>
  <si>
    <t>of which; by cards with a delayed debit function</t>
  </si>
  <si>
    <t>of which; by cards with a credit function</t>
  </si>
  <si>
    <t>Table 7b</t>
  </si>
  <si>
    <t>Use of payment instruments by non-banks: increase in the number of transactions</t>
  </si>
  <si>
    <t>(% change on previous year)</t>
  </si>
  <si>
    <t>Table 7b (cont)</t>
  </si>
  <si>
    <t>Table 7c</t>
  </si>
  <si>
    <t>Use of payment instruments by non-banks: number of transactions per inhabitant</t>
  </si>
  <si>
    <t>Table 7c (cont)</t>
  </si>
  <si>
    <t>Table 8</t>
  </si>
  <si>
    <t>Payment transactions by non-banks: total value of transactions</t>
  </si>
  <si>
    <t>AVERAGE DOLLAR USED</t>
  </si>
  <si>
    <r>
      <t xml:space="preserve">Total value of transactions </t>
    </r>
    <r>
      <rPr>
        <i/>
        <sz val="9"/>
        <color indexed="8"/>
        <rFont val="Helvetica"/>
        <family val="2"/>
      </rPr>
      <t>(USD thousand millions)</t>
    </r>
  </si>
  <si>
    <r>
      <t xml:space="preserve">Increase in value of transactions </t>
    </r>
    <r>
      <rPr>
        <i/>
        <sz val="9"/>
        <color indexed="8"/>
        <rFont val="Helvetica"/>
        <family val="2"/>
      </rPr>
      <t>(in %)</t>
    </r>
  </si>
  <si>
    <t>Table 8 (cont)</t>
  </si>
  <si>
    <r>
      <t xml:space="preserve">Average value per transaction </t>
    </r>
    <r>
      <rPr>
        <i/>
        <sz val="9"/>
        <color indexed="8"/>
        <rFont val="Helvetica"/>
        <family val="2"/>
      </rPr>
      <t>(USD)</t>
    </r>
  </si>
  <si>
    <r>
      <t>Average value per inhabitant</t>
    </r>
    <r>
      <rPr>
        <i/>
        <sz val="9"/>
        <color indexed="8"/>
        <rFont val="Helvetica"/>
        <family val="2"/>
      </rPr>
      <t xml:space="preserve"> (USD thousands)</t>
    </r>
  </si>
  <si>
    <t>Value as a ratio to GDP</t>
  </si>
  <si>
    <t>Value as a ratio to deposits held by non-banks</t>
  </si>
  <si>
    <t>Table 9</t>
  </si>
  <si>
    <t>Use of payment instruments by non-banks: value of transactions per payment instrument</t>
  </si>
  <si>
    <t>(USD thousands millions, total for the year)</t>
  </si>
  <si>
    <t>Table 9 (cont)</t>
  </si>
  <si>
    <t>Table 9a</t>
  </si>
  <si>
    <t>Use of payment instruments by non-banks: relative importance of payment instruments, in value of transactions</t>
  </si>
  <si>
    <t>(% of total value of transactions)</t>
  </si>
  <si>
    <t>Table 9a (cont)</t>
  </si>
  <si>
    <t>Table 9b</t>
  </si>
  <si>
    <t>Use of payment instruments by non-banks: increase in the real value of transactions</t>
  </si>
  <si>
    <t>(% change on previous year, ajusted by CPI inflation)</t>
  </si>
  <si>
    <t>Table 9b (cont)</t>
  </si>
  <si>
    <t>Table 9c</t>
  </si>
  <si>
    <t>Use of payment instruments by non-banks: average value per transaction</t>
  </si>
  <si>
    <t>(USD, total for the year)</t>
  </si>
  <si>
    <t>Table 9c (cont)</t>
  </si>
  <si>
    <t>Table 9d</t>
  </si>
  <si>
    <t>Use of payment instruments by non-banks: value of transaction per inhabitant</t>
  </si>
  <si>
    <t xml:space="preserve">(USD, total for the year) </t>
  </si>
  <si>
    <t>Table 9d (cont)</t>
  </si>
  <si>
    <t>Table 9e</t>
  </si>
  <si>
    <t>Use of payment instruments by non-banks: value of transaction as a ratio to GDP</t>
  </si>
  <si>
    <t>(in %, total for the year)</t>
  </si>
  <si>
    <t>Table 9e (cont)</t>
  </si>
  <si>
    <t>Table 10</t>
  </si>
  <si>
    <t>Cards issued in the country: number of cards</t>
  </si>
  <si>
    <t xml:space="preserve">(millions, end of year) </t>
  </si>
  <si>
    <t>Table 10 (cont)</t>
  </si>
  <si>
    <t>Table 10a</t>
  </si>
  <si>
    <t>Cards issued in the country: increase in the number of cards</t>
  </si>
  <si>
    <t xml:space="preserve">(% change on previous year) </t>
  </si>
  <si>
    <t>Table 10a (cont)</t>
  </si>
  <si>
    <t>Table 10b</t>
  </si>
  <si>
    <t>Cards issued in the country: number of cards per inhabitant</t>
  </si>
  <si>
    <t xml:space="preserve">(end of year) </t>
  </si>
  <si>
    <t>Table 10b (cont)</t>
  </si>
  <si>
    <t>Table 11</t>
  </si>
  <si>
    <t>Terminals located in the country: number of terminals</t>
  </si>
  <si>
    <t>(thousands, end of year)</t>
  </si>
  <si>
    <t>ATMs</t>
  </si>
  <si>
    <t>Table 11 (cont)</t>
  </si>
  <si>
    <t>e-money card payment terminals</t>
  </si>
  <si>
    <t>Table 11a</t>
  </si>
  <si>
    <t>Terminals located in the country: increase in the number of terminals</t>
  </si>
  <si>
    <t>Table 11a (cont)</t>
  </si>
  <si>
    <t>Table 11b</t>
  </si>
  <si>
    <t>Terminals located in the country: number of terminals per million inhabitants</t>
  </si>
  <si>
    <t>Table 11b (cont)</t>
  </si>
  <si>
    <t>Table 12</t>
  </si>
  <si>
    <t>Transactions at terminals: number of cash withdrawals and loading transactions</t>
  </si>
  <si>
    <t>(millions, total for the year)</t>
  </si>
  <si>
    <t>Cash withdrawals at ATMs located in the country</t>
  </si>
  <si>
    <t>with cards issued outside the country</t>
  </si>
  <si>
    <t>with cards issued in the country</t>
  </si>
  <si>
    <t xml:space="preserve"> nap </t>
  </si>
  <si>
    <t>Table 12 (cont)</t>
  </si>
  <si>
    <t>Cash withdrawals at ATMs located outside the country</t>
  </si>
  <si>
    <t>e-money loading/unloading transactions at terminals in the country</t>
  </si>
  <si>
    <t>with cards in the country</t>
  </si>
  <si>
    <t>Table 12a</t>
  </si>
  <si>
    <t>Transactions at terminals: increase in the number of cash withdrawals and loading transactions</t>
  </si>
  <si>
    <t>Table 12a (cont)</t>
  </si>
  <si>
    <t>Table 13</t>
  </si>
  <si>
    <t>Transactions at terminals: value of cash withdrawals and loading transactions</t>
  </si>
  <si>
    <t>(USD millions, total for the year)</t>
  </si>
  <si>
    <t>Table 13 (cont)</t>
  </si>
  <si>
    <t>Table 13a</t>
  </si>
  <si>
    <t>Transactions at terminals: increase in the real value of cash withdrawals and loading transactions</t>
  </si>
  <si>
    <t>(% change on previous year, adjusted by CPI inflation)</t>
  </si>
  <si>
    <t>Table 13a (cont)</t>
  </si>
  <si>
    <t>Table 14</t>
  </si>
  <si>
    <t>Transactions at terminals: number of payment transactions</t>
  </si>
  <si>
    <t>POS transactions at terminals located in the country</t>
  </si>
  <si>
    <t>Table 14 (cont)</t>
  </si>
  <si>
    <t>POS transactions at terminals located outside the country</t>
  </si>
  <si>
    <t>e-money payment transactions at terminals in the country</t>
  </si>
  <si>
    <t>Table 14a</t>
  </si>
  <si>
    <t>Transactions at terminals: increase in the number of payment transactions</t>
  </si>
  <si>
    <t>Table 14a (cont)</t>
  </si>
  <si>
    <t>Table 15</t>
  </si>
  <si>
    <t>Transactions at terminals: value of payment transactions</t>
  </si>
  <si>
    <t>Table 15 (cont)</t>
  </si>
  <si>
    <t>Table 15a</t>
  </si>
  <si>
    <t>Transactions at terminals: increase in the real value of payment transactions</t>
  </si>
  <si>
    <t>Table 15a (cont)</t>
  </si>
  <si>
    <t xml:space="preserve">Features of selected interbank funds transfer systems </t>
  </si>
  <si>
    <t>(end of year, except as noted)</t>
  </si>
  <si>
    <t>Owner/
manager</t>
  </si>
  <si>
    <t>S</t>
  </si>
  <si>
    <t>V</t>
  </si>
  <si>
    <t>Módulo de Liquidación Híbrida (MLH) del Sistema de Liquidación Integrada de Pagos (LIP)</t>
  </si>
  <si>
    <t>19:00</t>
  </si>
  <si>
    <t>REAL TIME</t>
  </si>
  <si>
    <t>Módulo de Liquidación Diferida (MLD) del Sistema de Liquidación Integrada de Pagos (LIP)</t>
  </si>
  <si>
    <t>N</t>
  </si>
  <si>
    <t>Cámara de Compensación y Liquidación de Transferencias Electrónicas -ACH</t>
  </si>
  <si>
    <t>Cámara de Compensación y Liquidación de Transferencias Electrónicas UNILINK</t>
  </si>
  <si>
    <t>CCVA COMBANC</t>
  </si>
  <si>
    <t>*</t>
  </si>
  <si>
    <t>CCD</t>
  </si>
  <si>
    <t>CLC</t>
  </si>
  <si>
    <t>00:00</t>
  </si>
  <si>
    <t>DTR</t>
  </si>
  <si>
    <t>08:00</t>
  </si>
  <si>
    <t>ILI</t>
  </si>
  <si>
    <t>14:00</t>
  </si>
  <si>
    <t>CDD</t>
  </si>
  <si>
    <t>TFI</t>
  </si>
  <si>
    <t>COV</t>
  </si>
  <si>
    <t>18:00</t>
  </si>
  <si>
    <t>Curacao and Saint Maarten</t>
  </si>
  <si>
    <t>L+R</t>
  </si>
  <si>
    <t>Cards, VISA</t>
  </si>
  <si>
    <t>Cards, Mastercard</t>
  </si>
  <si>
    <t>CCB</t>
  </si>
  <si>
    <t>no</t>
  </si>
  <si>
    <t>CCA</t>
  </si>
  <si>
    <t>NM</t>
  </si>
  <si>
    <t>JamClear-RTGS</t>
  </si>
  <si>
    <t xml:space="preserve">Automated Clearing House </t>
  </si>
  <si>
    <t>13:00</t>
  </si>
  <si>
    <t>Multilink</t>
  </si>
  <si>
    <t>SIPAP</t>
  </si>
  <si>
    <t>ACH, RTT</t>
  </si>
  <si>
    <t>CCE</t>
  </si>
  <si>
    <t>Safe-tt</t>
  </si>
  <si>
    <t>LINX (Debit Card)</t>
  </si>
  <si>
    <r>
      <t xml:space="preserve">Number of transactions </t>
    </r>
    <r>
      <rPr>
        <i/>
        <sz val="9"/>
        <color indexed="8"/>
        <rFont val="Helvetica"/>
        <family val="2"/>
      </rPr>
      <t>(millions)</t>
    </r>
  </si>
  <si>
    <r>
      <t xml:space="preserve">Increase in the number of transactions 
</t>
    </r>
    <r>
      <rPr>
        <i/>
        <sz val="9"/>
        <color indexed="8"/>
        <rFont val="Helvetica"/>
        <family val="2"/>
      </rPr>
      <t>(% change on previous year)</t>
    </r>
  </si>
  <si>
    <t>LIP</t>
  </si>
  <si>
    <t>CCC</t>
  </si>
  <si>
    <t>SINPE</t>
  </si>
  <si>
    <t>Retail payments transactions</t>
  </si>
  <si>
    <t>Wholesale settlement systems</t>
  </si>
  <si>
    <t>NACS2-RTGS</t>
  </si>
  <si>
    <t>NACS2-ACH</t>
  </si>
  <si>
    <t>ATH</t>
  </si>
  <si>
    <t>ECC</t>
  </si>
  <si>
    <t>ECCH</t>
  </si>
  <si>
    <t>ACH-PRONTO</t>
  </si>
  <si>
    <t xml:space="preserve">(total for the year) </t>
  </si>
  <si>
    <r>
      <t xml:space="preserve">Value of transactions </t>
    </r>
    <r>
      <rPr>
        <i/>
        <sz val="9"/>
        <color indexed="8"/>
        <rFont val="Helvetica"/>
        <family val="2"/>
      </rPr>
      <t>(USD millions )</t>
    </r>
  </si>
  <si>
    <r>
      <t xml:space="preserve">Average value per transaction </t>
    </r>
    <r>
      <rPr>
        <i/>
        <sz val="9"/>
        <color indexed="8"/>
        <rFont val="Helvetica"/>
        <family val="2"/>
      </rPr>
      <t>(USD thousands)</t>
    </r>
  </si>
  <si>
    <t>PRISMA MEDIO DE PAGO</t>
  </si>
  <si>
    <t>Markets</t>
  </si>
  <si>
    <t xml:space="preserve">LINX (Debit Card) </t>
  </si>
  <si>
    <r>
      <t>ACH</t>
    </r>
    <r>
      <rPr>
        <vertAlign val="superscript"/>
        <sz val="10"/>
        <rFont val="Helvetica"/>
        <family val="2"/>
      </rPr>
      <t xml:space="preserve"> (E)</t>
    </r>
  </si>
  <si>
    <r>
      <t xml:space="preserve">Cheques </t>
    </r>
    <r>
      <rPr>
        <vertAlign val="superscript"/>
        <sz val="10"/>
        <rFont val="Helvetica"/>
        <family val="2"/>
      </rPr>
      <t>(E)</t>
    </r>
  </si>
  <si>
    <t>of which: direct participants</t>
  </si>
  <si>
    <t>Table PS4 (cont)</t>
  </si>
  <si>
    <t>Concentration ration in terms of volume</t>
  </si>
  <si>
    <t>Concentration ration in terms of value</t>
  </si>
  <si>
    <t>ARS</t>
  </si>
  <si>
    <t>EURO</t>
  </si>
  <si>
    <t>GTQ</t>
  </si>
  <si>
    <t>SEC, B, G, E</t>
  </si>
  <si>
    <t>BmfBovespa-Equities</t>
  </si>
  <si>
    <t>MONEX</t>
  </si>
  <si>
    <t>08:00 - 18:00</t>
  </si>
  <si>
    <t>LIM</t>
  </si>
  <si>
    <t>MEN</t>
  </si>
  <si>
    <t>System A Name</t>
  </si>
  <si>
    <t>B, E,O</t>
  </si>
  <si>
    <t>09:30-16:00</t>
  </si>
  <si>
    <t>SINEDI</t>
  </si>
  <si>
    <t>09:00 - 18:30</t>
  </si>
  <si>
    <t>MEBD</t>
  </si>
  <si>
    <t>09:00 - 17:00</t>
  </si>
  <si>
    <t>SEL</t>
  </si>
  <si>
    <t>SEC,B</t>
  </si>
  <si>
    <t>DV-BCH</t>
  </si>
  <si>
    <t>Avvento</t>
  </si>
  <si>
    <t>B, E</t>
  </si>
  <si>
    <t>DEPO BCP</t>
  </si>
  <si>
    <t>MILLENNIUM SOR</t>
  </si>
  <si>
    <t>TTSE</t>
  </si>
  <si>
    <t>GSS</t>
  </si>
  <si>
    <t>08:30 - 15:15</t>
  </si>
  <si>
    <r>
      <t xml:space="preserve">Increase in the number of transactions </t>
    </r>
    <r>
      <rPr>
        <i/>
        <sz val="9"/>
        <color indexed="8"/>
        <rFont val="Helvetica"/>
        <family val="2"/>
      </rPr>
      <t>(% change on previous year)</t>
    </r>
  </si>
  <si>
    <t>EDV</t>
  </si>
  <si>
    <t xml:space="preserve">BmfBovespa-Equities  </t>
  </si>
  <si>
    <t xml:space="preserve">BmfBovespa-Clearinghouse </t>
  </si>
  <si>
    <t xml:space="preserve">DCV-Chile </t>
  </si>
  <si>
    <t xml:space="preserve">Colombia </t>
  </si>
  <si>
    <t>BNV</t>
  </si>
  <si>
    <t>JCSD</t>
  </si>
  <si>
    <t>BVPASA</t>
  </si>
  <si>
    <r>
      <t xml:space="preserve">Value of transactions </t>
    </r>
    <r>
      <rPr>
        <i/>
        <sz val="9"/>
        <color indexed="8"/>
        <rFont val="Helvetica"/>
        <family val="2"/>
      </rPr>
      <t>(USD thounsand millions)</t>
    </r>
  </si>
  <si>
    <r>
      <t xml:space="preserve">Value of transactions as a percentage of GDP </t>
    </r>
    <r>
      <rPr>
        <i/>
        <sz val="9"/>
        <color indexed="8"/>
        <rFont val="Helvetica"/>
        <family val="2"/>
      </rPr>
      <t>(in %)</t>
    </r>
  </si>
  <si>
    <t xml:space="preserve">DCV-Chile  </t>
  </si>
  <si>
    <t xml:space="preserve">Sistema de Liquidación de Valores </t>
  </si>
  <si>
    <t xml:space="preserve">MEBD </t>
  </si>
  <si>
    <t>BBV</t>
  </si>
  <si>
    <t xml:space="preserve">All Chilean Stock Exchanges  </t>
  </si>
  <si>
    <t>Bolsa de Valores de Colombia S.A.</t>
  </si>
  <si>
    <t>Cuaracao</t>
  </si>
  <si>
    <t>MILLENIUM SOR</t>
  </si>
  <si>
    <t>Number of securities listed</t>
  </si>
  <si>
    <t>Bolsa de Valores de Colombia</t>
  </si>
  <si>
    <t>SCVN</t>
  </si>
  <si>
    <t>Table TRS5 (cont)</t>
  </si>
  <si>
    <r>
      <t xml:space="preserve">Market capitalisation </t>
    </r>
    <r>
      <rPr>
        <i/>
        <sz val="9"/>
        <color indexed="8"/>
        <rFont val="Helvetica"/>
        <family val="2"/>
      </rPr>
      <t>(USD millions)</t>
    </r>
  </si>
  <si>
    <t>System MERCADO ARGENTINO DE VALORES (MAV)</t>
  </si>
  <si>
    <t xml:space="preserve">System MaTBA-ROFEX </t>
  </si>
  <si>
    <t>System BOLSAS Y MERCADOS ARGENTINOS (ByMA)</t>
  </si>
  <si>
    <t>System MERCADO ABIERTO ELECTRONICO (MAE)</t>
  </si>
  <si>
    <t>BVLima</t>
  </si>
  <si>
    <t>ARS, USD</t>
  </si>
  <si>
    <t>System ARGENTINA CLEARING Y REGISTRO (ACYR)</t>
  </si>
  <si>
    <t>indep</t>
  </si>
  <si>
    <t>Entidad de Depósito de Valores (EDV)</t>
  </si>
  <si>
    <t>BOB, USD</t>
  </si>
  <si>
    <t>-</t>
  </si>
  <si>
    <t>.</t>
  </si>
  <si>
    <t>Bolsa Nacional de Valores (BNV)</t>
  </si>
  <si>
    <t>Jamaica Central Securities Depository</t>
  </si>
  <si>
    <t>JMD</t>
  </si>
  <si>
    <t xml:space="preserve">BmfBovespa-Clearinghouse   </t>
  </si>
  <si>
    <t xml:space="preserve">CETIP </t>
  </si>
  <si>
    <t xml:space="preserve">CCLV  </t>
  </si>
  <si>
    <t xml:space="preserve">ComDer </t>
  </si>
  <si>
    <t>BCCR - Traspaso Valores</t>
  </si>
  <si>
    <t>CSD</t>
  </si>
  <si>
    <t>BVPSA</t>
  </si>
  <si>
    <t>Transactions cleared by selected central counterparties and clearing houses: value of transactions</t>
  </si>
  <si>
    <r>
      <t xml:space="preserve">Value of transactions </t>
    </r>
    <r>
      <rPr>
        <i/>
        <sz val="9"/>
        <color indexed="8"/>
        <rFont val="Helvetica"/>
        <family val="2"/>
      </rPr>
      <t>(USD thousand millions)</t>
    </r>
  </si>
  <si>
    <t xml:space="preserve">CCLV </t>
  </si>
  <si>
    <t>Participation in selected central counterparties and clearing houses</t>
  </si>
  <si>
    <t>CETF-ACH</t>
  </si>
  <si>
    <t>CCLV</t>
  </si>
  <si>
    <t>CCBCP</t>
  </si>
  <si>
    <t>BANCARD</t>
  </si>
  <si>
    <t>BEPSA</t>
  </si>
  <si>
    <t>CABAL</t>
  </si>
  <si>
    <t>DOM, INT, B, C, AC, O</t>
  </si>
  <si>
    <t>BV</t>
  </si>
  <si>
    <t>DOM, B, VG, O.</t>
  </si>
  <si>
    <t>Y</t>
  </si>
  <si>
    <t>NO</t>
  </si>
  <si>
    <t>T+1</t>
  </si>
  <si>
    <t>INTERCLEAR</t>
  </si>
  <si>
    <t>DOM, INT</t>
  </si>
  <si>
    <t>SE, O</t>
  </si>
  <si>
    <t>Patrón Clear</t>
  </si>
  <si>
    <t>CRC, USD</t>
  </si>
  <si>
    <t>DOM</t>
  </si>
  <si>
    <t>DV-BCH and BCH-TR</t>
  </si>
  <si>
    <t>T+n</t>
  </si>
  <si>
    <t>JamClear-CSD</t>
  </si>
  <si>
    <t>DOM;
B, C, G</t>
  </si>
  <si>
    <t>REALTIME</t>
  </si>
  <si>
    <t>JMD, USD</t>
  </si>
  <si>
    <t>DEPEND</t>
  </si>
  <si>
    <t>DCV -BCP</t>
  </si>
  <si>
    <t>PYG</t>
  </si>
  <si>
    <t>CAVALI</t>
  </si>
  <si>
    <t>TTD, USD</t>
  </si>
  <si>
    <t>1 - indirect - DVP</t>
  </si>
  <si>
    <t>Table CSD2</t>
  </si>
  <si>
    <t>Transactions processed by selected central securities depositories: number of transactions</t>
  </si>
  <si>
    <t>Table CDS3</t>
  </si>
  <si>
    <t>Transactions processed by selected central securities depositories: value of transactions</t>
  </si>
  <si>
    <r>
      <t>Value of transactions</t>
    </r>
    <r>
      <rPr>
        <i/>
        <sz val="9"/>
        <color indexed="8"/>
        <rFont val="Helvetica"/>
        <family val="2"/>
      </rPr>
      <t xml:space="preserve"> (USD thousand millions)</t>
    </r>
  </si>
  <si>
    <t>DCV-BCP</t>
  </si>
  <si>
    <t>Table CSD4</t>
  </si>
  <si>
    <t>Participation in selected central securities depositories</t>
  </si>
  <si>
    <t xml:space="preserve">DCV-BCP </t>
  </si>
  <si>
    <t>Table CSD5</t>
  </si>
  <si>
    <t>Securities held on account at selected central securities depositories</t>
  </si>
  <si>
    <r>
      <t xml:space="preserve">Number of securities held </t>
    </r>
    <r>
      <rPr>
        <i/>
        <sz val="9"/>
        <color indexed="8"/>
        <rFont val="Helvetica"/>
        <family val="2"/>
      </rPr>
      <t>(thousands)</t>
    </r>
  </si>
  <si>
    <t>Table CSD5 (cont)</t>
  </si>
  <si>
    <t xml:space="preserve">Market capitalisation (USD millions) </t>
  </si>
  <si>
    <t>Source: Banco de Guatemala</t>
  </si>
  <si>
    <t xml:space="preserve">Notes:
Preliminary figures for GDP (millions, nominal) and GDP per capita (2019-2021)
</t>
  </si>
  <si>
    <t>GTQ  200</t>
  </si>
  <si>
    <t>GTQ  100</t>
  </si>
  <si>
    <t>GTQ  50</t>
  </si>
  <si>
    <t>GTQ  20</t>
  </si>
  <si>
    <t>GTQ  10</t>
  </si>
  <si>
    <t>GTQ  5</t>
  </si>
  <si>
    <t>GTQ  2</t>
  </si>
  <si>
    <t>GTQ  1</t>
  </si>
  <si>
    <t>GTQ  .5</t>
  </si>
  <si>
    <t>GTQ 1.00</t>
  </si>
  <si>
    <t>GTQ 0.50</t>
  </si>
  <si>
    <t>GTQ 0.25</t>
  </si>
  <si>
    <t>GTQ 0.10</t>
  </si>
  <si>
    <t>GTQ 0.05</t>
  </si>
  <si>
    <t>GTQ 0.02</t>
  </si>
  <si>
    <t>GTQ 0.01</t>
  </si>
  <si>
    <t>GTQ 0.005</t>
  </si>
  <si>
    <t>Source: Banco de Guatemala / Superintendencia de Bancos</t>
  </si>
  <si>
    <r>
      <t xml:space="preserve">Cards with a debit function </t>
    </r>
    <r>
      <rPr>
        <vertAlign val="superscript"/>
        <sz val="10"/>
        <rFont val="Helvetica"/>
        <family val="2"/>
      </rPr>
      <t>(1)</t>
    </r>
  </si>
  <si>
    <t xml:space="preserve">ATMs with a cash withdrawal function </t>
  </si>
  <si>
    <t>Source: Transacciones y Transferencias S. A.; Superintendencia de Bancos</t>
  </si>
  <si>
    <r>
      <t xml:space="preserve">Notes: 
</t>
    </r>
    <r>
      <rPr>
        <vertAlign val="superscript"/>
        <sz val="9"/>
        <rFont val="Helvetica"/>
        <family val="2"/>
      </rPr>
      <t xml:space="preserve">(1) </t>
    </r>
    <r>
      <rPr>
        <sz val="9"/>
        <rFont val="Helvetica"/>
        <family val="2"/>
      </rPr>
      <t xml:space="preserve">Only active cards are included.
</t>
    </r>
  </si>
  <si>
    <r>
      <t xml:space="preserve">non-paper based </t>
    </r>
    <r>
      <rPr>
        <i/>
        <vertAlign val="superscript"/>
        <sz val="10"/>
        <rFont val="Helvetica"/>
        <family val="2"/>
      </rPr>
      <t>(1)</t>
    </r>
  </si>
  <si>
    <r>
      <t xml:space="preserve">payments by cards with a debit function </t>
    </r>
    <r>
      <rPr>
        <i/>
        <vertAlign val="superscript"/>
        <sz val="10"/>
        <rFont val="Helvetica"/>
        <family val="2"/>
      </rPr>
      <t>(1)</t>
    </r>
  </si>
  <si>
    <r>
      <t>payments by cards with a credit function</t>
    </r>
    <r>
      <rPr>
        <i/>
        <vertAlign val="superscript"/>
        <sz val="10"/>
        <rFont val="Helvetica"/>
        <family val="2"/>
      </rPr>
      <t xml:space="preserve"> (1)</t>
    </r>
  </si>
  <si>
    <r>
      <t xml:space="preserve">ATM cash withdrawals </t>
    </r>
    <r>
      <rPr>
        <i/>
        <vertAlign val="superscript"/>
        <sz val="10"/>
        <rFont val="Helvetica"/>
        <family val="2"/>
      </rPr>
      <t>(2)</t>
    </r>
  </si>
  <si>
    <r>
      <t xml:space="preserve">ATM cash deposits </t>
    </r>
    <r>
      <rPr>
        <i/>
        <vertAlign val="superscript"/>
        <sz val="10"/>
        <rFont val="Helvetica"/>
        <family val="2"/>
      </rPr>
      <t>(1)</t>
    </r>
  </si>
  <si>
    <r>
      <t xml:space="preserve">ATM cash withdrawals </t>
    </r>
    <r>
      <rPr>
        <i/>
        <vertAlign val="superscript"/>
        <sz val="10"/>
        <rFont val="Helvetica"/>
        <family val="2"/>
      </rPr>
      <t>(3)</t>
    </r>
  </si>
  <si>
    <t>Source: Transacciones y Transferencias, S.A. and Banco de Guatemala</t>
  </si>
  <si>
    <r>
      <t xml:space="preserve">Notes:
</t>
    </r>
    <r>
      <rPr>
        <vertAlign val="superscript"/>
        <sz val="9"/>
        <rFont val="Helvetica"/>
        <family val="2"/>
      </rPr>
      <t xml:space="preserve">(1) </t>
    </r>
    <r>
      <rPr>
        <sz val="9"/>
        <rFont val="Helvetica"/>
        <family val="2"/>
      </rPr>
      <t xml:space="preserve"> Approved operations in network 5B.
</t>
    </r>
    <r>
      <rPr>
        <vertAlign val="superscript"/>
        <sz val="9"/>
        <rFont val="Helvetica"/>
        <family val="2"/>
      </rPr>
      <t xml:space="preserve">(2) </t>
    </r>
    <r>
      <rPr>
        <sz val="9"/>
        <rFont val="Helvetica"/>
        <family val="2"/>
      </rPr>
      <t xml:space="preserve">Transactions carried out by Red 5B and foreign networks.
</t>
    </r>
    <r>
      <rPr>
        <vertAlign val="superscript"/>
        <sz val="9"/>
        <rFont val="Helvetica"/>
        <family val="2"/>
      </rPr>
      <t>(3)</t>
    </r>
    <r>
      <rPr>
        <sz val="9"/>
        <rFont val="Helvetica"/>
        <family val="2"/>
      </rPr>
      <t xml:space="preserve"> Transactions carried out by Red 5B and foreign networks (Visa International point of sales and the institution are not included).</t>
    </r>
  </si>
  <si>
    <r>
      <t xml:space="preserve">Card payments with cards issued in the country </t>
    </r>
    <r>
      <rPr>
        <vertAlign val="superscript"/>
        <sz val="10"/>
        <rFont val="Helvetica"/>
        <family val="2"/>
      </rPr>
      <t>(1)</t>
    </r>
  </si>
  <si>
    <r>
      <t>In foreign currency</t>
    </r>
    <r>
      <rPr>
        <i/>
        <vertAlign val="superscript"/>
        <sz val="10"/>
        <rFont val="Helvetica"/>
        <family val="2"/>
      </rPr>
      <t xml:space="preserve"> (2)</t>
    </r>
  </si>
  <si>
    <r>
      <t xml:space="preserve">ATM cash withdrawals </t>
    </r>
    <r>
      <rPr>
        <i/>
        <vertAlign val="superscript"/>
        <sz val="10"/>
        <rFont val="Helvetica"/>
        <family val="2"/>
      </rPr>
      <t>(4)</t>
    </r>
  </si>
  <si>
    <t>Source: Transacciones y Transferencias S. A. and Banco de Guatemala</t>
  </si>
  <si>
    <t>Notes:
(1) Approved operations in network 5B.
(2) Figures expressed in US dollars.
(3) Operations carried out on the 5B network and foreign networks.
(4) Operations carried out on the 5B network and foreign networks (the terminal and the Visa International institution are not included).</t>
  </si>
  <si>
    <t>RTGS-Guatemala</t>
  </si>
  <si>
    <r>
      <t xml:space="preserve">Clearing and settlement organisations </t>
    </r>
    <r>
      <rPr>
        <i/>
        <vertAlign val="superscript"/>
        <sz val="10"/>
        <rFont val="Helvetica"/>
        <family val="2"/>
      </rPr>
      <t>(1)</t>
    </r>
  </si>
  <si>
    <t>Quetzales transactions</t>
  </si>
  <si>
    <t>USD transactions</t>
  </si>
  <si>
    <t>neg.</t>
  </si>
  <si>
    <r>
      <t xml:space="preserve">Quetzales transactions </t>
    </r>
    <r>
      <rPr>
        <b/>
        <vertAlign val="superscript"/>
        <sz val="10"/>
        <rFont val="Helvetica"/>
        <family val="2"/>
      </rPr>
      <t>(1)</t>
    </r>
  </si>
  <si>
    <t xml:space="preserve">USD transactions </t>
  </si>
  <si>
    <r>
      <t xml:space="preserve">Cross-border transactions (sent) </t>
    </r>
    <r>
      <rPr>
        <vertAlign val="superscript"/>
        <sz val="10"/>
        <rFont val="Helvetica"/>
        <family val="2"/>
      </rPr>
      <t>(1)</t>
    </r>
  </si>
  <si>
    <r>
      <t xml:space="preserve">Cross-border transactions (received) </t>
    </r>
    <r>
      <rPr>
        <vertAlign val="superscript"/>
        <sz val="10"/>
        <rFont val="Helvetica"/>
        <family val="2"/>
      </rPr>
      <t>(1)</t>
    </r>
  </si>
  <si>
    <r>
      <t xml:space="preserve">Notes:
</t>
    </r>
    <r>
      <rPr>
        <vertAlign val="superscript"/>
        <sz val="9"/>
        <rFont val="Helvetica"/>
        <family val="2"/>
      </rPr>
      <t>(1)</t>
    </r>
    <r>
      <rPr>
        <sz val="9"/>
        <rFont val="Helvetica"/>
        <family val="2"/>
      </rPr>
      <t xml:space="preserve"> Figures expressed in USD.</t>
    </r>
  </si>
  <si>
    <t>Source: Banco de Guatemala / Central de Valores Nacional, S.A.</t>
  </si>
  <si>
    <t>Source: Bolsa de Valores Nacional, S.A.</t>
  </si>
  <si>
    <t xml:space="preserve">SCVN </t>
  </si>
  <si>
    <t>Source: Bolsa de Valores Nacional</t>
  </si>
  <si>
    <t>Source: Banco de Guatemala / Bolsa de Valores Nacional</t>
  </si>
  <si>
    <t>Source: Bolsa de Valores Nacional S.A.</t>
  </si>
  <si>
    <t xml:space="preserve">Source: Bolsa de Valores Nacional </t>
  </si>
  <si>
    <t xml:space="preserve">O </t>
  </si>
  <si>
    <t>T + 0</t>
  </si>
  <si>
    <t>C, E</t>
  </si>
  <si>
    <r>
      <t>T+n</t>
    </r>
    <r>
      <rPr>
        <vertAlign val="superscript"/>
        <sz val="9.5"/>
        <rFont val="Helvetica"/>
        <family val="2"/>
      </rPr>
      <t>(1)</t>
    </r>
  </si>
  <si>
    <t>DVP1, DVP2, DVP3</t>
  </si>
  <si>
    <t>GTQ, USD</t>
  </si>
  <si>
    <r>
      <t xml:space="preserve">Notes:
</t>
    </r>
    <r>
      <rPr>
        <vertAlign val="superscript"/>
        <sz val="9"/>
        <color indexed="8"/>
        <rFont val="Helvetica"/>
        <family val="2"/>
      </rPr>
      <t>(1)</t>
    </r>
    <r>
      <rPr>
        <sz val="9"/>
        <color indexed="8"/>
        <rFont val="Helvetica"/>
        <family val="2"/>
      </rPr>
      <t xml:space="preserve">  Some transactions may take different settlement dates.
</t>
    </r>
  </si>
  <si>
    <t>GDP (millions US$, nominal)</t>
  </si>
  <si>
    <r>
      <t xml:space="preserve">Exchange rate vs. USD </t>
    </r>
    <r>
      <rPr>
        <vertAlign val="superscript"/>
        <sz val="10"/>
        <rFont val="Helvetica"/>
        <family val="2"/>
      </rPr>
      <t>(1)</t>
    </r>
  </si>
  <si>
    <t>Source: INEI, BCRP.</t>
  </si>
  <si>
    <r>
      <t xml:space="preserve">E-money storages </t>
    </r>
    <r>
      <rPr>
        <vertAlign val="superscript"/>
        <sz val="10"/>
        <rFont val="Helvetica"/>
        <family val="2"/>
      </rPr>
      <t>(1)</t>
    </r>
  </si>
  <si>
    <t>Source: BCRP</t>
  </si>
  <si>
    <r>
      <t xml:space="preserve">Notes: 
</t>
    </r>
    <r>
      <rPr>
        <vertAlign val="superscript"/>
        <sz val="9"/>
        <rFont val="Helvetica"/>
        <family val="2"/>
      </rPr>
      <t>(1)</t>
    </r>
    <r>
      <rPr>
        <sz val="9"/>
        <rFont val="Helvetica"/>
        <family val="2"/>
      </rPr>
      <t xml:space="preserve">  BIM (Billetera Móvil).</t>
    </r>
  </si>
  <si>
    <t>In local currency</t>
  </si>
  <si>
    <t>In foreign currency</t>
  </si>
  <si>
    <r>
      <t xml:space="preserve">In local currency (Required Reserves) </t>
    </r>
    <r>
      <rPr>
        <i/>
        <vertAlign val="superscript"/>
        <sz val="10"/>
        <rFont val="Helvetica"/>
        <family val="2"/>
      </rPr>
      <t>(2)</t>
    </r>
  </si>
  <si>
    <r>
      <t xml:space="preserve">In foreign currency </t>
    </r>
    <r>
      <rPr>
        <i/>
        <vertAlign val="superscript"/>
        <sz val="10"/>
        <rFont val="Helvetica"/>
        <family val="2"/>
      </rPr>
      <t>(2)</t>
    </r>
  </si>
  <si>
    <r>
      <t xml:space="preserve">In local currency </t>
    </r>
    <r>
      <rPr>
        <i/>
        <vertAlign val="superscript"/>
        <sz val="10"/>
        <rFont val="Helvetica"/>
        <family val="2"/>
      </rPr>
      <t>(3)</t>
    </r>
  </si>
  <si>
    <r>
      <t xml:space="preserve">In foreign currency </t>
    </r>
    <r>
      <rPr>
        <i/>
        <vertAlign val="superscript"/>
        <sz val="10"/>
        <rFont val="Helvetica"/>
        <family val="2"/>
      </rPr>
      <t>(3)</t>
    </r>
  </si>
  <si>
    <t>(1) Current account of banks held at the Central Bank. December daily average.</t>
  </si>
  <si>
    <t>(2) It includes banks. Required reserves. December daily average.</t>
  </si>
  <si>
    <t>(3) It includes banks. Surplus between effective and required reserves. December daily average.</t>
  </si>
  <si>
    <t>PEN 200</t>
  </si>
  <si>
    <t>PEN 100</t>
  </si>
  <si>
    <t>PEN 50</t>
  </si>
  <si>
    <t>PEN 20</t>
  </si>
  <si>
    <t>PEN 10</t>
  </si>
  <si>
    <t>PEN 5</t>
  </si>
  <si>
    <t>PEN 2</t>
  </si>
  <si>
    <t>PEN 1</t>
  </si>
  <si>
    <t>PEN 0.5</t>
  </si>
  <si>
    <t>PEN 0.2</t>
  </si>
  <si>
    <t>PEN 0.1</t>
  </si>
  <si>
    <t>PEN 0.05</t>
  </si>
  <si>
    <t>Value of accounts ($ billons)</t>
  </si>
  <si>
    <r>
      <t xml:space="preserve">non-paper based </t>
    </r>
    <r>
      <rPr>
        <i/>
        <vertAlign val="superscript"/>
        <sz val="10"/>
        <rFont val="Helvetica"/>
        <family val="2"/>
      </rPr>
      <t>(1)</t>
    </r>
  </si>
  <si>
    <t>(1) Includes intrabank funds transfers and interbank funds transfers (clients of RTGS's participants, transfers via CCE and transfers via digital wallets).</t>
  </si>
  <si>
    <r>
      <t>non-paper based</t>
    </r>
    <r>
      <rPr>
        <i/>
        <vertAlign val="superscript"/>
        <sz val="10"/>
        <rFont val="Helvetica"/>
        <family val="2"/>
      </rPr>
      <t xml:space="preserve"> (1)</t>
    </r>
  </si>
  <si>
    <t>RTGS - Peru</t>
  </si>
  <si>
    <r>
      <t>Banks</t>
    </r>
    <r>
      <rPr>
        <vertAlign val="superscript"/>
        <sz val="10"/>
        <rFont val="Helvetica"/>
        <family val="2"/>
      </rPr>
      <t xml:space="preserve"> (1)</t>
    </r>
  </si>
  <si>
    <t>Cámara de Compensación Electrónica (CCE)</t>
  </si>
  <si>
    <r>
      <t xml:space="preserve">Notes:
CCE: Automated Clearing House
</t>
    </r>
    <r>
      <rPr>
        <vertAlign val="superscript"/>
        <sz val="9"/>
        <rFont val="Helvetica"/>
        <family val="2"/>
      </rPr>
      <t>(1)</t>
    </r>
    <r>
      <rPr>
        <sz val="9"/>
        <rFont val="Helvetica"/>
        <family val="2"/>
      </rPr>
      <t xml:space="preserve"> Banco de la Nación and Agrobanco are included.</t>
    </r>
  </si>
  <si>
    <t>Stockbrokers companies</t>
  </si>
  <si>
    <t>Source: SMV</t>
  </si>
  <si>
    <t>Bolsa de Valores de Lima</t>
  </si>
  <si>
    <t>Sistema de liquidación multibancaria de valores</t>
  </si>
  <si>
    <t>Primary Placement</t>
  </si>
  <si>
    <t>Equites</t>
  </si>
  <si>
    <t>Short-term instruments</t>
  </si>
  <si>
    <t>Long-term instruments</t>
  </si>
  <si>
    <t>Primary Placement LTP</t>
  </si>
  <si>
    <t>Primary Datatec</t>
  </si>
  <si>
    <t>Secondary Datatec</t>
  </si>
  <si>
    <t>Participation fees</t>
  </si>
  <si>
    <t xml:space="preserve">Secondary GFI </t>
  </si>
  <si>
    <t>Money market</t>
  </si>
  <si>
    <t>Continuous trading</t>
  </si>
  <si>
    <t>Spot trading session</t>
  </si>
  <si>
    <t>ETF</t>
  </si>
  <si>
    <t>Representativo de derecho</t>
  </si>
  <si>
    <t>Source:SMV</t>
  </si>
  <si>
    <t>Source:  BCRP</t>
  </si>
  <si>
    <t>NA</t>
  </si>
  <si>
    <t>N/A</t>
  </si>
  <si>
    <t>08:20 - 15:10*
09:00 - 16:10**</t>
  </si>
  <si>
    <t xml:space="preserve">Source: Bolsa de Valores de Lima </t>
  </si>
  <si>
    <t>Notes: 
* Second Sunday in March till first Sunday in November
** First Sunday in November till second Sunday in March</t>
  </si>
  <si>
    <t>PERÚ</t>
  </si>
  <si>
    <t>DOM e INT,B,C,G,E,O</t>
  </si>
  <si>
    <t>WARI(Core Bussines System)</t>
  </si>
  <si>
    <t>Sí</t>
  </si>
  <si>
    <t>PEN, US$</t>
  </si>
  <si>
    <r>
      <t xml:space="preserve">Population (millions) </t>
    </r>
    <r>
      <rPr>
        <vertAlign val="superscript"/>
        <sz val="10"/>
        <rFont val="Helvetica"/>
        <family val="2"/>
      </rPr>
      <t>(1)</t>
    </r>
  </si>
  <si>
    <r>
      <t xml:space="preserve">Exchange rate vs. USD </t>
    </r>
    <r>
      <rPr>
        <vertAlign val="superscript"/>
        <sz val="10"/>
        <rFont val="Helvetica"/>
        <family val="2"/>
      </rPr>
      <t>(2)</t>
    </r>
  </si>
  <si>
    <t>Fuente: Statistics, Banco Central de Reserva de El Salvador</t>
  </si>
  <si>
    <r>
      <t xml:space="preserve">Notes:
</t>
    </r>
    <r>
      <rPr>
        <vertAlign val="superscript"/>
        <sz val="9"/>
        <rFont val="Helvetica"/>
        <family val="2"/>
      </rPr>
      <t/>
    </r>
  </si>
  <si>
    <t>Fuente: Banco Central de Reserva de El Salvador</t>
  </si>
  <si>
    <t>331.0</t>
  </si>
  <si>
    <t>366.3</t>
  </si>
  <si>
    <t>358.3</t>
  </si>
  <si>
    <t>391.8</t>
  </si>
  <si>
    <t>430.6</t>
  </si>
  <si>
    <t>455.4</t>
  </si>
  <si>
    <t>482.4</t>
  </si>
  <si>
    <t>493.8</t>
  </si>
  <si>
    <t>646.9</t>
  </si>
  <si>
    <t>639.5</t>
  </si>
  <si>
    <t>676.7</t>
  </si>
  <si>
    <t>677.0</t>
  </si>
  <si>
    <t>661.5</t>
  </si>
  <si>
    <t>665.5</t>
  </si>
  <si>
    <t>635.9</t>
  </si>
  <si>
    <t>636.6</t>
  </si>
  <si>
    <r>
      <t xml:space="preserve">Number of accounts (no-banks) </t>
    </r>
    <r>
      <rPr>
        <vertAlign val="superscript"/>
        <sz val="10"/>
        <rFont val="Helvetica"/>
        <family val="2"/>
      </rPr>
      <t>(1)</t>
    </r>
  </si>
  <si>
    <r>
      <t xml:space="preserve">Value of accounts ($ thousand millions) </t>
    </r>
    <r>
      <rPr>
        <vertAlign val="superscript"/>
        <sz val="10"/>
        <rFont val="Helvetica"/>
        <family val="2"/>
      </rPr>
      <t>(4)</t>
    </r>
  </si>
  <si>
    <r>
      <t xml:space="preserve">ATM </t>
    </r>
    <r>
      <rPr>
        <vertAlign val="superscript"/>
        <sz val="10"/>
        <rFont val="Helvetica"/>
        <family val="2"/>
      </rPr>
      <t>(2)</t>
    </r>
  </si>
  <si>
    <r>
      <t xml:space="preserve">Notes:
(1) Debit cards are cards with a cash function.
(2 and 3) Data from electronic devices operated by banking entities
</t>
    </r>
    <r>
      <rPr>
        <vertAlign val="superscript"/>
        <sz val="9"/>
        <rFont val="Helvetica"/>
        <family val="2"/>
      </rPr>
      <t/>
    </r>
  </si>
  <si>
    <r>
      <t xml:space="preserve">paper based </t>
    </r>
    <r>
      <rPr>
        <i/>
        <vertAlign val="superscript"/>
        <sz val="10"/>
        <rFont val="Helvetica"/>
        <family val="2"/>
      </rPr>
      <t>(1)</t>
    </r>
  </si>
  <si>
    <r>
      <t xml:space="preserve">non-paper based </t>
    </r>
    <r>
      <rPr>
        <i/>
        <vertAlign val="superscript"/>
        <sz val="10"/>
        <rFont val="Helvetica"/>
        <family val="2"/>
      </rPr>
      <t>(2)</t>
    </r>
  </si>
  <si>
    <r>
      <t xml:space="preserve">e-money payment transactions </t>
    </r>
    <r>
      <rPr>
        <vertAlign val="superscript"/>
        <sz val="10"/>
        <rFont val="Helvetica"/>
        <family val="2"/>
      </rPr>
      <t>(2)</t>
    </r>
  </si>
  <si>
    <r>
      <t xml:space="preserve">Other payment instruments </t>
    </r>
    <r>
      <rPr>
        <vertAlign val="superscript"/>
        <sz val="10"/>
        <rFont val="Helvetica"/>
        <family val="2"/>
      </rPr>
      <t>(3)</t>
    </r>
  </si>
  <si>
    <t> </t>
  </si>
  <si>
    <r>
      <t xml:space="preserve">Notes:
(1) Orders through bank window
(2) Electronic Banking, Kiokos and Direct Credits
(3) Automated Clearing House (ACH), LBTR and other means
</t>
    </r>
    <r>
      <rPr>
        <vertAlign val="superscript"/>
        <sz val="9"/>
        <rFont val="Helvetica"/>
        <family val="2"/>
      </rPr>
      <t/>
    </r>
  </si>
  <si>
    <r>
      <t xml:space="preserve">Notes:
(1) Orders through bank window
(2) Electronic Banking, Kiokos and Direct Credits
(3) Automated Clearing House (ACH), LBTR and other means
</t>
    </r>
    <r>
      <rPr>
        <vertAlign val="superscript"/>
        <sz val="9"/>
        <rFont val="Helvetica"/>
        <family val="2"/>
      </rPr>
      <t/>
    </r>
  </si>
  <si>
    <t>Camara de Compensasion Electronica de Cheques</t>
  </si>
  <si>
    <t>Camara de Compensasion Electronica</t>
  </si>
  <si>
    <t>credit transactions (Transfer365)</t>
  </si>
  <si>
    <t>Bolsa de Valores de El Salvador (BVES)</t>
  </si>
  <si>
    <t>Source: Banco Central de El Salvador</t>
  </si>
  <si>
    <t>Source: Bolsa de Valores de El Salvador</t>
  </si>
  <si>
    <t>This information corresponds to the debt values accepted in each year and not to the accumulated total of that year</t>
  </si>
  <si>
    <t>Source: Banco Central de Reserva de El Salvador</t>
  </si>
  <si>
    <t>DPV</t>
  </si>
  <si>
    <t>GDP (USD millions, nominal)</t>
  </si>
  <si>
    <r>
      <t xml:space="preserve">GDP per capita </t>
    </r>
    <r>
      <rPr>
        <vertAlign val="superscript"/>
        <sz val="10"/>
        <rFont val="Helvetica"/>
        <family val="2"/>
      </rPr>
      <t>(1)</t>
    </r>
  </si>
  <si>
    <t>Source: Bank of Jamaica</t>
  </si>
  <si>
    <t>JMD 5000</t>
  </si>
  <si>
    <t>JMD 1000</t>
  </si>
  <si>
    <t>JMD 500</t>
  </si>
  <si>
    <t>JMD 100</t>
  </si>
  <si>
    <t>JMD 50</t>
  </si>
  <si>
    <t>JMD 20</t>
  </si>
  <si>
    <t>JMD 10</t>
  </si>
  <si>
    <t>JMD 5</t>
  </si>
  <si>
    <t>JMD 1</t>
  </si>
  <si>
    <t>JMD .25</t>
  </si>
  <si>
    <r>
      <t xml:space="preserve">Value of accounts ($ thousand millions) </t>
    </r>
    <r>
      <rPr>
        <vertAlign val="superscript"/>
        <sz val="10"/>
        <rFont val="Helvetica"/>
        <family val="2"/>
      </rPr>
      <t>(2)</t>
    </r>
  </si>
  <si>
    <t>Notes:
(1) Previous data (2013-2017) included savings account.
(2) Previous data (2015-2017) included savings account.</t>
  </si>
  <si>
    <t>2014</t>
  </si>
  <si>
    <t>payments by cardas with a credit function</t>
  </si>
  <si>
    <t>Automated Clearing House</t>
  </si>
  <si>
    <t>MultiLink</t>
  </si>
  <si>
    <t>System B</t>
  </si>
  <si>
    <t>Securities settlement system B</t>
  </si>
  <si>
    <t>JamClear - CSD</t>
  </si>
  <si>
    <t xml:space="preserve">JamClear-CSD </t>
  </si>
  <si>
    <t>15:30</t>
  </si>
  <si>
    <t>JSE</t>
  </si>
  <si>
    <t>Equity and Bonds</t>
  </si>
  <si>
    <t>9am - 1pm</t>
  </si>
  <si>
    <t>Parent company</t>
  </si>
  <si>
    <t>Migrated to the Nasdaq ME Platform on December 2, 2019</t>
  </si>
  <si>
    <t>Bank Of Jamaica</t>
  </si>
  <si>
    <t>Government of Jamaica</t>
  </si>
  <si>
    <t>Industry Regulator</t>
  </si>
  <si>
    <t>Stockbrokers</t>
  </si>
  <si>
    <t>TRADE DATE+2</t>
  </si>
  <si>
    <t>DVP Model 1</t>
  </si>
  <si>
    <t xml:space="preserve">GDP (millions, nominal) </t>
  </si>
  <si>
    <t>Source: Instituto Nacional de Estadística y Censos y Banco Central de Costa Rica</t>
  </si>
  <si>
    <t>Source:  Banco Central de Costa Rica e Instituto Nacional de Estadística y Censos.</t>
  </si>
  <si>
    <t xml:space="preserve">Transferable balances held at the central bank </t>
  </si>
  <si>
    <t>In local currency  (Required reserves)</t>
  </si>
  <si>
    <t>Source:  Banco Central de Costa Rica.</t>
  </si>
  <si>
    <t>CRC 50,000</t>
  </si>
  <si>
    <t>CRC 20,000</t>
  </si>
  <si>
    <t>CRC 10,000</t>
  </si>
  <si>
    <t>CRC 5,000</t>
  </si>
  <si>
    <t>CRC 2,000</t>
  </si>
  <si>
    <t>CRC 1,000</t>
  </si>
  <si>
    <t>CRC 500</t>
  </si>
  <si>
    <t>CRC 100</t>
  </si>
  <si>
    <t>CRC 50</t>
  </si>
  <si>
    <t>CRC 25</t>
  </si>
  <si>
    <t>CRC 10</t>
  </si>
  <si>
    <t>CRC 5</t>
  </si>
  <si>
    <t>Source: Banco Central de Costa Rica</t>
  </si>
  <si>
    <t>Source: Superintendencia de entidades financieras (Sugef).</t>
  </si>
  <si>
    <t xml:space="preserve">Source:  Banco Central de Costa Rica (BCCR). </t>
  </si>
  <si>
    <t xml:space="preserve">Direct debits </t>
  </si>
  <si>
    <t>Interbank cheques</t>
  </si>
  <si>
    <t>Intrabank cheques</t>
  </si>
  <si>
    <t>ATM cash deposits, payments and others</t>
  </si>
  <si>
    <t>mav</t>
  </si>
  <si>
    <t>Source: Banco Central de Costa Rica and Financial Entities</t>
  </si>
  <si>
    <t>Source:  Banco Central de Costa Rica and financial entities</t>
  </si>
  <si>
    <t>Special Banks</t>
  </si>
  <si>
    <t>State Banks</t>
  </si>
  <si>
    <t>Private Banks</t>
  </si>
  <si>
    <t>Cambios</t>
  </si>
  <si>
    <t>External clearing companies</t>
  </si>
  <si>
    <t>Cooperatives</t>
  </si>
  <si>
    <t>Financial companies</t>
  </si>
  <si>
    <t>Government</t>
  </si>
  <si>
    <t>Mutuals</t>
  </si>
  <si>
    <t>Pension Funds</t>
  </si>
  <si>
    <t>Stock exchange brokers</t>
  </si>
  <si>
    <t>Remittances</t>
  </si>
  <si>
    <t>Source: BCCR-Payment Systems Division</t>
  </si>
  <si>
    <t>Large-value payments transactions</t>
  </si>
  <si>
    <t>Interbank funds transactions (TFI)</t>
  </si>
  <si>
    <t>Pagos Inmediatos (PIN)</t>
  </si>
  <si>
    <t>Compensación Crédito Directo (CCD)</t>
  </si>
  <si>
    <t>Débito en Tiempo Real (DTR)</t>
  </si>
  <si>
    <t>Compensación Débitos Directos (CDD)</t>
  </si>
  <si>
    <t>Compensación y Liquidación Cheques (CLC)</t>
  </si>
  <si>
    <t>Compensación de Otros Valores (COV)</t>
  </si>
  <si>
    <t xml:space="preserve">Liquidación de Servicios Externos (LSE) </t>
  </si>
  <si>
    <t>Información y Liquidación de Impuestos (ILI)</t>
  </si>
  <si>
    <t>SINPE Móvil</t>
  </si>
  <si>
    <t>Cross-border transactions (sent and received)</t>
  </si>
  <si>
    <t>Instant Payments and direct debits</t>
  </si>
  <si>
    <t xml:space="preserve">Money market </t>
  </si>
  <si>
    <t>Securities market</t>
  </si>
  <si>
    <t xml:space="preserve">Cash market </t>
  </si>
  <si>
    <t xml:space="preserve">FX market </t>
  </si>
  <si>
    <t xml:space="preserve">Interbank market </t>
  </si>
  <si>
    <r>
      <t>Direct placement</t>
    </r>
    <r>
      <rPr>
        <vertAlign val="superscript"/>
        <sz val="10"/>
        <color theme="1"/>
        <rFont val="Helvetica"/>
        <family val="2"/>
      </rPr>
      <t xml:space="preserve"> </t>
    </r>
  </si>
  <si>
    <t xml:space="preserve">Source: Banco Central de Costa Rica </t>
  </si>
  <si>
    <t/>
  </si>
  <si>
    <t xml:space="preserve">Pagos Inmediatos (PIN) </t>
  </si>
  <si>
    <r>
      <t xml:space="preserve">Liquidación de Servicios Externos (LSE) </t>
    </r>
    <r>
      <rPr>
        <vertAlign val="superscript"/>
        <sz val="10"/>
        <color theme="1"/>
        <rFont val="Helvetica"/>
        <family val="2"/>
      </rPr>
      <t>(2)</t>
    </r>
  </si>
  <si>
    <t>Bolsa Nacional de Valores</t>
  </si>
  <si>
    <t>Issuers</t>
  </si>
  <si>
    <t>Investment funds</t>
  </si>
  <si>
    <t xml:space="preserve">Issuers </t>
  </si>
  <si>
    <t>Banco Central de Costa Rica</t>
  </si>
  <si>
    <t>Central Securities Depositories</t>
  </si>
  <si>
    <t>Source:  Bolsa Nacional de Valores</t>
  </si>
  <si>
    <t>Source: Superintedencia General de Valores, annual authorizations.</t>
  </si>
  <si>
    <t>Source:  Departamento de Supervisión de Mercados, SUGEVAL</t>
  </si>
  <si>
    <t>Primary market</t>
  </si>
  <si>
    <t>Debt</t>
  </si>
  <si>
    <t>Short term transactions</t>
  </si>
  <si>
    <t>Repos</t>
  </si>
  <si>
    <t>Liquidity market</t>
  </si>
  <si>
    <t>Calls</t>
  </si>
  <si>
    <t>Internationals</t>
  </si>
  <si>
    <t>Source: Bolsa Nacional de Valores</t>
  </si>
  <si>
    <t>Source: Bolsa Nacional de Valores.</t>
  </si>
  <si>
    <t>Bolsa Nacional de Valores (CH)</t>
  </si>
  <si>
    <t>Source: Bolsa Nacional de Valores y Banco Central de Costa Rica</t>
  </si>
  <si>
    <r>
      <t>Banco Central de Costa Rica</t>
    </r>
    <r>
      <rPr>
        <b/>
        <vertAlign val="superscript"/>
        <sz val="10"/>
        <color theme="1"/>
        <rFont val="Helvetica"/>
        <family val="2"/>
      </rPr>
      <t>(1)</t>
    </r>
  </si>
  <si>
    <t>Public Debt securities</t>
  </si>
  <si>
    <r>
      <t xml:space="preserve">Notes:
</t>
    </r>
    <r>
      <rPr>
        <vertAlign val="superscript"/>
        <sz val="9"/>
        <color theme="1"/>
        <rFont val="Helvetica"/>
        <family val="2"/>
      </rPr>
      <t>(1)</t>
    </r>
    <r>
      <rPr>
        <sz val="9"/>
        <color theme="1"/>
        <rFont val="Helvetica"/>
        <family val="2"/>
      </rPr>
      <t xml:space="preserve"> Bilateral compensations are carry out</t>
    </r>
  </si>
  <si>
    <t>Banco Central de Costa Rica (1)</t>
  </si>
  <si>
    <t>Source: InterClear and Banco Central de Costa Rica</t>
  </si>
  <si>
    <r>
      <t xml:space="preserve">Notes
</t>
    </r>
    <r>
      <rPr>
        <vertAlign val="superscript"/>
        <sz val="9"/>
        <color theme="1"/>
        <rFont val="Helvetica"/>
        <family val="2"/>
      </rPr>
      <t>(1)</t>
    </r>
    <r>
      <rPr>
        <sz val="9"/>
        <color theme="1"/>
        <rFont val="Helvetica"/>
        <family val="2"/>
      </rPr>
      <t xml:space="preserve"> Bilateral compensation is carried out.</t>
    </r>
  </si>
  <si>
    <t>Banco Central de Costa Rica-Book Entry System</t>
  </si>
  <si>
    <t>Source: Bolsa Nacional de Valores / BCCR</t>
  </si>
  <si>
    <t>Source: Bolsa Nacional de Valores and Banco Central de Costa Rica</t>
  </si>
  <si>
    <t xml:space="preserve">Total value of ISIN codes held </t>
  </si>
  <si>
    <t>PIN</t>
  </si>
  <si>
    <r>
      <t>LSE</t>
    </r>
    <r>
      <rPr>
        <vertAlign val="superscript"/>
        <sz val="10"/>
        <color theme="1"/>
        <rFont val="Helvetica"/>
        <family val="2"/>
      </rPr>
      <t>(1)</t>
    </r>
  </si>
  <si>
    <t>SINPE MOVIL</t>
  </si>
  <si>
    <t>F and V</t>
  </si>
  <si>
    <t>21:35</t>
  </si>
  <si>
    <t>12:30</t>
  </si>
  <si>
    <r>
      <t xml:space="preserve">11:00 </t>
    </r>
    <r>
      <rPr>
        <vertAlign val="superscript"/>
        <sz val="9.5"/>
        <color theme="1"/>
        <rFont val="Helvetica"/>
        <family val="2"/>
      </rPr>
      <t>(1)</t>
    </r>
  </si>
  <si>
    <r>
      <t xml:space="preserve">PIN </t>
    </r>
    <r>
      <rPr>
        <vertAlign val="superscript"/>
        <sz val="10"/>
        <color theme="1"/>
        <rFont val="Helvetica"/>
        <family val="2"/>
      </rPr>
      <t>(2)</t>
    </r>
  </si>
  <si>
    <r>
      <t xml:space="preserve">DTR </t>
    </r>
    <r>
      <rPr>
        <vertAlign val="superscript"/>
        <sz val="10"/>
        <color theme="1"/>
        <rFont val="Helvetica"/>
        <family val="2"/>
      </rPr>
      <t>(2)</t>
    </r>
  </si>
  <si>
    <t>LSE</t>
  </si>
  <si>
    <t>10:30</t>
  </si>
  <si>
    <t>9:30</t>
  </si>
  <si>
    <t>14:30</t>
  </si>
  <si>
    <r>
      <t xml:space="preserve">SINPE MOVIL </t>
    </r>
    <r>
      <rPr>
        <vertAlign val="superscript"/>
        <sz val="10"/>
        <color theme="1"/>
        <rFont val="Helvetica"/>
        <family val="2"/>
      </rPr>
      <t>(2)</t>
    </r>
  </si>
  <si>
    <t>Source: Payment Systems Division / Central Bank of Costa Rica</t>
  </si>
  <si>
    <t>Notes:
(1) The services that operate through the National Electronic Payment System (SINPE), mentioned in tables A10-A11, are detailed.
(2) The Fund Transfer to Third Parties (TFT) and Real Time Debit (DTR) services operate 27/7 365 days.</t>
  </si>
  <si>
    <t>12:00 - 13:00</t>
  </si>
  <si>
    <r>
      <t xml:space="preserve">MIL </t>
    </r>
    <r>
      <rPr>
        <vertAlign val="superscript"/>
        <sz val="10"/>
        <color theme="1"/>
        <rFont val="Helvetica"/>
        <family val="2"/>
      </rPr>
      <t>(1)</t>
    </r>
  </si>
  <si>
    <t>08:00 - 15:00</t>
  </si>
  <si>
    <t>00:00 - 23:59</t>
  </si>
  <si>
    <t>Source: Payment Systems Division / Banco Central de Costa Rica</t>
  </si>
  <si>
    <t>Notes: 
(1) Loan of guaranteed value, where the guarantee is pre-deposited in a trust in favor of the Banco Central de Costa Rica.</t>
  </si>
  <si>
    <r>
      <t xml:space="preserve">INTERCLEAR </t>
    </r>
    <r>
      <rPr>
        <vertAlign val="superscript"/>
        <sz val="10"/>
        <color theme="1"/>
        <rFont val="Helvetica"/>
        <family val="2"/>
      </rPr>
      <t>(1)</t>
    </r>
  </si>
  <si>
    <t>BCCR - Book Entry System</t>
  </si>
  <si>
    <t xml:space="preserve">INTERCLEAR </t>
  </si>
  <si>
    <t>Source: InterClear</t>
  </si>
  <si>
    <t>Source: National Statistics Institute and Financial Stability Department, Central Bank of Honduras</t>
  </si>
  <si>
    <t>Source: Financial Stability Department, Central Bank of Honduras</t>
  </si>
  <si>
    <t>In local currency (expressed in USD)</t>
  </si>
  <si>
    <t>L500.00</t>
  </si>
  <si>
    <t>L200.00</t>
  </si>
  <si>
    <t>L100.00</t>
  </si>
  <si>
    <t>L50.00</t>
  </si>
  <si>
    <t>L20.00</t>
  </si>
  <si>
    <t>L10.00</t>
  </si>
  <si>
    <t>L5.00</t>
  </si>
  <si>
    <t>L2.00</t>
  </si>
  <si>
    <t>L1.00</t>
  </si>
  <si>
    <t>L0.5</t>
  </si>
  <si>
    <t>L0.2</t>
  </si>
  <si>
    <t>L0.1</t>
  </si>
  <si>
    <t>L0.05</t>
  </si>
  <si>
    <t>L0.02</t>
  </si>
  <si>
    <t>L0.01</t>
  </si>
  <si>
    <t>Source: Treasury Department and Financial Stability Department, Central Bank of Honduras</t>
  </si>
  <si>
    <t>Source: National Commission of Banks and Insurance and Payment System Department, Central Bank of Honduras</t>
  </si>
  <si>
    <t xml:space="preserve">Source: National Commission of Banks and Insurance </t>
  </si>
  <si>
    <t>non-paper based local</t>
  </si>
  <si>
    <t>non-paper based foreign</t>
  </si>
  <si>
    <t>Source: Central American Monetary Council and Payment System Department, Central Bank of Honduras</t>
  </si>
  <si>
    <t>System A: Sistema Banco Central de Honduras en Tiempo Real (BCH-TR)</t>
  </si>
  <si>
    <t>System A: Cámara de Compensación Electrónica de Cheques (CCECh)</t>
  </si>
  <si>
    <t>System B: Cámara de Compensación de Transacciones Electrónicas de Pago (ACH-Pronto)</t>
  </si>
  <si>
    <t>Source: Payment System Department, Central Bank of Honduras</t>
  </si>
  <si>
    <t>Sistema A: Sistema Banco Central de Honduras en Tiempo Real (BCH-TR)</t>
  </si>
  <si>
    <t>Domestic transactions (HNL)</t>
  </si>
  <si>
    <t>Domestic transactions (USD)</t>
  </si>
  <si>
    <t>Sistema A: Cámara de Compensación Electrónica de Cheques (CCECh)</t>
  </si>
  <si>
    <t>Sistema B: Cámara de Compensación de Transacciones Elctrónicas de Pago (ACH-Pronto)</t>
  </si>
  <si>
    <t>credit transfers (HNL)</t>
  </si>
  <si>
    <t>credit transfers (USD)</t>
  </si>
  <si>
    <t>All transactions (expressed in USD)</t>
  </si>
  <si>
    <t>Domestic transactions (expressed in USD)</t>
  </si>
  <si>
    <t>Cross-border transactions (sent - USD)</t>
  </si>
  <si>
    <t>Cross-border transactions (received - USD)</t>
  </si>
  <si>
    <t>cheques (expressed in USD)</t>
  </si>
  <si>
    <t>credit transfers (expressed in USD)</t>
  </si>
  <si>
    <t>System A: Depositaria de Valores del Banco
Central de Honduras (DV-BCH)</t>
  </si>
  <si>
    <t>Source:Monetary Operation Department, Central Bank of Honduras</t>
  </si>
  <si>
    <t>Security settlement system A: Depositaria de Valores del Banco Central de Honduras (DV-BCH)</t>
  </si>
  <si>
    <t>Security settlement system A: Depositaria de Valores del Banco
Central de Honduras (DV-BCH)</t>
  </si>
  <si>
    <t>Total number of executed securities trades (expressed in USD)</t>
  </si>
  <si>
    <t>Debt securities (expressed in USD)</t>
  </si>
  <si>
    <t>short-term paper (expressed in USD)</t>
  </si>
  <si>
    <t>bonds (expressed in USD)</t>
  </si>
  <si>
    <t>bonds (HNL, expressed in USD)</t>
  </si>
  <si>
    <t>bonds (USD)</t>
  </si>
  <si>
    <t>Total number of ISIN codes held (expressed in USD)</t>
  </si>
  <si>
    <t>Debt securities (USD)</t>
  </si>
  <si>
    <t>short-term paper (USD)</t>
  </si>
  <si>
    <t>DVP transactions (expressed in USD)</t>
  </si>
  <si>
    <t>RGTS</t>
  </si>
  <si>
    <t>System B: Cámara de Compensación Electrónica de Cheques (CCECh)</t>
  </si>
  <si>
    <t>System C: Cámara de Compensación de Transacciones Elctrónicas de Pago (ACH-Pronto)</t>
  </si>
  <si>
    <t>19:00 Hours</t>
  </si>
  <si>
    <t>17:00 Hours</t>
  </si>
  <si>
    <t>8:30 Hours</t>
  </si>
  <si>
    <t>F/V</t>
  </si>
  <si>
    <t>18:00 Hours</t>
  </si>
  <si>
    <t>9:00 Hours</t>
  </si>
  <si>
    <t>17:30 Hours</t>
  </si>
  <si>
    <t>22:00 Hours</t>
  </si>
  <si>
    <t>5:00 Hours</t>
  </si>
  <si>
    <t>Source: Central Bank of Honduras</t>
  </si>
  <si>
    <t>System A: Depositaria de Valores del Banco Central de Honduras (DV-BCH)</t>
  </si>
  <si>
    <t>Yes</t>
  </si>
  <si>
    <t>HNL, USD</t>
  </si>
  <si>
    <t>GDP (millions, nominal)*</t>
  </si>
  <si>
    <t>Source: Central Bank of Trinidad and Tobago</t>
  </si>
  <si>
    <t>*Data converted from TTD to USD using average exchange rate</t>
  </si>
  <si>
    <t>(Millions, at year-end)*</t>
  </si>
  <si>
    <t>*Data converted from TTD to USD using year-end exchange rate</t>
  </si>
  <si>
    <t>TTD 100</t>
  </si>
  <si>
    <t>TTD 100 Polymer</t>
  </si>
  <si>
    <t>TTD 50</t>
  </si>
  <si>
    <t>TTD 50 Polymer</t>
  </si>
  <si>
    <t>TTD 20</t>
  </si>
  <si>
    <t>TTD 20 Polymer</t>
  </si>
  <si>
    <t>TTD 10</t>
  </si>
  <si>
    <t>TTD 10 Polymer</t>
  </si>
  <si>
    <t>TTD 5</t>
  </si>
  <si>
    <t>TTD 5 Polymer</t>
  </si>
  <si>
    <t>TTD 1</t>
  </si>
  <si>
    <t>TTD 1 Polymer</t>
  </si>
  <si>
    <t>TTD 0.5</t>
  </si>
  <si>
    <t>TTD 0.25</t>
  </si>
  <si>
    <t>TTD 0.1</t>
  </si>
  <si>
    <t>TTD 0.05</t>
  </si>
  <si>
    <t>TTD 0.01</t>
  </si>
  <si>
    <t>Source: Central Bank of Trinidad and Tobago and Commercial Banks.</t>
  </si>
  <si>
    <t>Value of accounts ($ thousand millions)*</t>
  </si>
  <si>
    <r>
      <t xml:space="preserve">Payment card and other accepting devices </t>
    </r>
    <r>
      <rPr>
        <b/>
        <vertAlign val="superscript"/>
        <sz val="11"/>
        <rFont val="Helvetica"/>
        <family val="2"/>
      </rPr>
      <t>(1)</t>
    </r>
  </si>
  <si>
    <t>Sources: Infolink Services Limited; Commercial Banks</t>
  </si>
  <si>
    <t>(1) Data does not include transactions from the Unit Trust Corporations and credit unions.</t>
  </si>
  <si>
    <r>
      <t>Credit transfers</t>
    </r>
    <r>
      <rPr>
        <vertAlign val="superscript"/>
        <sz val="10"/>
        <rFont val="Helvetica"/>
        <family val="2"/>
      </rPr>
      <t>*</t>
    </r>
  </si>
  <si>
    <r>
      <t xml:space="preserve">e-money payment transactions </t>
    </r>
    <r>
      <rPr>
        <vertAlign val="superscript"/>
        <sz val="10"/>
        <rFont val="Helvetica"/>
        <family val="2"/>
      </rPr>
      <t>(1)</t>
    </r>
  </si>
  <si>
    <r>
      <t xml:space="preserve">B.II Transactions at terminals in the country by cards issued outside the country </t>
    </r>
    <r>
      <rPr>
        <vertAlign val="superscript"/>
        <sz val="10"/>
        <rFont val="Helvetica"/>
        <family val="2"/>
      </rPr>
      <t>(2)</t>
    </r>
  </si>
  <si>
    <t>Source: Commercial Banks; Infolink Services Limited; Trinidad and Tobago Interbank Payments System.</t>
  </si>
  <si>
    <t xml:space="preserve">Notes:
*Data includes ATM, telephone,internet, ACH and RTGS (customer ) credit transfers.  
(1) Data is subsumed in the data reported by the institutions.  
(2) Data is subsumed in the data reported by the institutions. 
</t>
  </si>
  <si>
    <t>(Millions, summed through the year)*</t>
  </si>
  <si>
    <r>
      <t>Credit transfers</t>
    </r>
    <r>
      <rPr>
        <vertAlign val="superscript"/>
        <sz val="10"/>
        <rFont val="Helvetica"/>
        <family val="2"/>
      </rPr>
      <t>**</t>
    </r>
  </si>
  <si>
    <r>
      <t xml:space="preserve">B.II Transactions at terminals in the country by cards issued outside the country </t>
    </r>
    <r>
      <rPr>
        <b/>
        <vertAlign val="superscript"/>
        <sz val="10"/>
        <rFont val="Helvetica"/>
        <family val="2"/>
      </rPr>
      <t>(2)</t>
    </r>
  </si>
  <si>
    <t>Source: Commercial Banks; Infolink Services Limited; Trinidad and Tobago Interbank Payments System</t>
  </si>
  <si>
    <t>*Figures converted using average exchange rate</t>
  </si>
  <si>
    <t xml:space="preserve">Notes: 
**Data includes ATM, telephone, internet, ACH and RTGS (customer) credit transfers.
(1) Data is subsumed in the data reported by the institutions.    </t>
  </si>
  <si>
    <t>LINX Debit Cards</t>
  </si>
  <si>
    <t>ACH - Trinidad and Tobago</t>
  </si>
  <si>
    <t>Source: Central Bank of Trinidad and Tobago; Infolink Services Limited; Trinidad and Tobago Interbank Payments System</t>
  </si>
  <si>
    <t>System A - RTGS</t>
  </si>
  <si>
    <r>
      <t xml:space="preserve">direct debits </t>
    </r>
    <r>
      <rPr>
        <vertAlign val="superscript"/>
        <sz val="10"/>
        <rFont val="H"/>
      </rPr>
      <t>(E)</t>
    </r>
  </si>
  <si>
    <t>Source: Central Bank of Trinidad and Tobago; Infolink Services Limited; Trinidad and Tobago Interbank Payments System.</t>
  </si>
  <si>
    <t>Source: Trinidad &amp; Tobago Stock Exchange; Central Bank of Trinidad and Tobago</t>
  </si>
  <si>
    <t>Source: Trinidad and Tobago Stock Exchange</t>
  </si>
  <si>
    <t>Source:  Trinidad and Tobago Stock Exchange; Central Bank of Trinidad and Tobago</t>
  </si>
  <si>
    <t>(Millions, total for the year)*</t>
  </si>
  <si>
    <t>Source:  Trinidad and Tobago Stock Exchange; Central Bank of Trinidad and Tobago.</t>
  </si>
  <si>
    <t>Source:Trinidad and Tobago Stock Exchange and the Trinidad and Tobago Central Depository</t>
  </si>
  <si>
    <t>Government Securities System</t>
  </si>
  <si>
    <t>Source:Trinidad and Tobago Stock Exchange; Central Bank of Trinidad and Tobago</t>
  </si>
  <si>
    <t>Source: Trinidad and Tobago Central Depository; Central Bank of Trinidad and Tobago.</t>
  </si>
  <si>
    <t>(Millions, at year end)*</t>
  </si>
  <si>
    <t xml:space="preserve"> Trinidad and Tobago Central Depository</t>
  </si>
  <si>
    <t>Source: Trinidad and Tobago Central Depository; Central Bank of Trinidad and Tobago</t>
  </si>
  <si>
    <t>*Data converted from TTD to USD using  year-end exchange rate</t>
  </si>
  <si>
    <r>
      <t xml:space="preserve">DVP transactions </t>
    </r>
    <r>
      <rPr>
        <vertAlign val="superscript"/>
        <sz val="10"/>
        <rFont val="Helvetica"/>
        <family val="2"/>
      </rPr>
      <t>1</t>
    </r>
  </si>
  <si>
    <r>
      <rPr>
        <vertAlign val="superscript"/>
        <sz val="9"/>
        <rFont val="Helvetica"/>
        <family val="2"/>
      </rPr>
      <t>1</t>
    </r>
    <r>
      <rPr>
        <sz val="9"/>
        <rFont val="Helvetica"/>
        <family val="2"/>
      </rPr>
      <t xml:space="preserve"> Data currently under review by the Cental Bank of Trinidad and Tobago</t>
    </r>
  </si>
  <si>
    <r>
      <t xml:space="preserve">Safe-tt </t>
    </r>
    <r>
      <rPr>
        <vertAlign val="superscript"/>
        <sz val="10"/>
        <rFont val="Helvetica"/>
        <family val="2"/>
      </rPr>
      <t>(1)</t>
    </r>
  </si>
  <si>
    <r>
      <t xml:space="preserve">03:15 </t>
    </r>
    <r>
      <rPr>
        <vertAlign val="superscript"/>
        <sz val="9.5"/>
        <rFont val="Helvetica"/>
        <family val="2"/>
      </rPr>
      <t>(1)</t>
    </r>
  </si>
  <si>
    <t>Source: Central Bank of Trinidad and Tobago, Infolink Services Limited and Trinidad and Tobago Payments Systems Limited.</t>
  </si>
  <si>
    <t>Notes: 
LINX (Debit Card), ACH and Cheque systems are settled on the RTGS. 
(1) For Bank to Bank transactions.</t>
  </si>
  <si>
    <t>G,E,O</t>
  </si>
  <si>
    <t>Pre-Open: 8:00am - 9:30am
Open: 9:30am - 12:00pm
Close: 12:00pm - 8:00am</t>
  </si>
  <si>
    <r>
      <t xml:space="preserve">GSS </t>
    </r>
    <r>
      <rPr>
        <vertAlign val="superscript"/>
        <sz val="10"/>
        <color rgb="FF000000"/>
        <rFont val="Helvetica"/>
        <family val="2"/>
      </rPr>
      <t>(1)</t>
    </r>
  </si>
  <si>
    <r>
      <t xml:space="preserve">ELT </t>
    </r>
    <r>
      <rPr>
        <vertAlign val="superscript"/>
        <sz val="9.5"/>
        <rFont val="Helvetica"/>
        <family val="2"/>
      </rPr>
      <t>(1)</t>
    </r>
  </si>
  <si>
    <t>Source:  Trinidad and Tobago  Stock Exchange; Central Bank of Trinidad and Tobago</t>
  </si>
  <si>
    <t>Notes:
(1) The Government Securities System is CSD for Government Securities.</t>
  </si>
  <si>
    <t>E, B, O</t>
  </si>
  <si>
    <t>TTD</t>
  </si>
  <si>
    <t>Source:  Trinidad and Tobago  Stock Exchange; Central Bank of Trinidad and Tobago.</t>
  </si>
  <si>
    <t>Source: Central Bank of The Bahamas</t>
  </si>
  <si>
    <t>B$ 100</t>
  </si>
  <si>
    <t>B$ 50</t>
  </si>
  <si>
    <t>B$ 20</t>
  </si>
  <si>
    <t>B$ 10</t>
  </si>
  <si>
    <t>B$ 5</t>
  </si>
  <si>
    <t>B$ 3</t>
  </si>
  <si>
    <t>B$ 1</t>
  </si>
  <si>
    <t>B$ 0.5</t>
  </si>
  <si>
    <t>B$ 0.25</t>
  </si>
  <si>
    <t>B$ 0.15</t>
  </si>
  <si>
    <t>B$ 0.10</t>
  </si>
  <si>
    <t>B$ 0.05</t>
  </si>
  <si>
    <t>B$ 0.01</t>
  </si>
  <si>
    <t>Source: Bahamas Automated Clearing House (BACH)</t>
  </si>
  <si>
    <t>Bahamas International Securities Exchange (BISX)</t>
  </si>
  <si>
    <t>Source: Bahamas International Securities Exchange (BISX) Q4 Summary</t>
  </si>
  <si>
    <t>Source: Bahamas International Securities Exchange (BISX)</t>
  </si>
  <si>
    <t>Bahamas Automated Clearing House</t>
  </si>
  <si>
    <t>Entity A Name</t>
  </si>
  <si>
    <r>
      <t xml:space="preserve">government bonds </t>
    </r>
    <r>
      <rPr>
        <vertAlign val="superscript"/>
        <sz val="10"/>
        <rFont val="Helvetica"/>
        <family val="2"/>
      </rPr>
      <t>(1)</t>
    </r>
  </si>
  <si>
    <r>
      <t xml:space="preserve">government bonds </t>
    </r>
    <r>
      <rPr>
        <i/>
        <vertAlign val="superscript"/>
        <sz val="10"/>
        <rFont val="Helvetica"/>
        <family val="2"/>
      </rPr>
      <t>(1)</t>
    </r>
  </si>
  <si>
    <t>Bahamas Government Security Depository</t>
  </si>
  <si>
    <t>1000 - 1500</t>
  </si>
  <si>
    <t>No CCP</t>
  </si>
  <si>
    <t>Bs, USD</t>
  </si>
  <si>
    <t xml:space="preserve">Bahamas Government Securities Depository </t>
  </si>
  <si>
    <t>Government Bonds</t>
  </si>
  <si>
    <t>Ministry of Finance/Central Bank of the Bahamas</t>
  </si>
  <si>
    <t>ACH/RTGS</t>
  </si>
  <si>
    <t>4:00 p.m EST</t>
  </si>
  <si>
    <t>Yes, BISX</t>
  </si>
  <si>
    <t>3:00 p.m. EST</t>
  </si>
  <si>
    <t>BSD</t>
  </si>
  <si>
    <t>Bahamas Automated Clearing House (BACH)</t>
  </si>
  <si>
    <t>Source: Banco Central de Bolivia</t>
  </si>
  <si>
    <t>Bs 200</t>
  </si>
  <si>
    <t>Bs 100</t>
  </si>
  <si>
    <t>Bs 50</t>
  </si>
  <si>
    <t>Bs 20</t>
  </si>
  <si>
    <t>Bs 10</t>
  </si>
  <si>
    <t>Bs 5</t>
  </si>
  <si>
    <t>Bs 2</t>
  </si>
  <si>
    <t>Bs 1</t>
  </si>
  <si>
    <t>Bs 0.50</t>
  </si>
  <si>
    <t>Bs 0.20</t>
  </si>
  <si>
    <t>Bs 0.10</t>
  </si>
  <si>
    <t>Source: Banco Central de Bolivia (BCB) and Autoridad de Supervisión del Sistema Financiero (ASFI)</t>
  </si>
  <si>
    <t>Source: Electronic Card Administrators: ATC and LINKSER</t>
  </si>
  <si>
    <t>Source: Electronic Card Administrators: ATC, LINKSER, E-FECTIVO, Mobile Wallet Providers: Banco Nacional de Bolivia, Banco de Crédito and ENTEL Financiera</t>
  </si>
  <si>
    <t>Sistema de Liquidación Integrada de Pagos (LIP)</t>
  </si>
  <si>
    <t>Cámara de Compensación de Transferencias Electrónicas (ACH)</t>
  </si>
  <si>
    <t>Cámara de Compensación de Transferencias Electrónicas UNILINK</t>
  </si>
  <si>
    <t>Cámara de Compensación de Cheques (CCC)</t>
  </si>
  <si>
    <t>Cards</t>
  </si>
  <si>
    <t>Electronic card management company "ATC"</t>
  </si>
  <si>
    <t>Electronic card management company "Linkser"</t>
  </si>
  <si>
    <t>Source: Central Bank of Bolivia (BCB), Electronic Card Administrators (ATC and LINKSER) and Clearing and Settlement Houses Administrator (ACCL), UNILINK.</t>
  </si>
  <si>
    <t>Integrated Payment Settlement System (LIP)</t>
  </si>
  <si>
    <t>Source: Electronic Card Administrators: ATC and LINKSER, Central Bank of Bolivia (BCB) and Administrator of Clearing and Settlement Clearing House (ACCL)</t>
  </si>
  <si>
    <t>Bolsa Boliviana de Valores (BBV)</t>
  </si>
  <si>
    <r>
      <t>Total number of participants</t>
    </r>
    <r>
      <rPr>
        <sz val="8"/>
        <rFont val="Helvetica"/>
        <family val="2"/>
      </rPr>
      <t>(4)</t>
    </r>
  </si>
  <si>
    <r>
      <t xml:space="preserve">central counterparties (CCPs) </t>
    </r>
    <r>
      <rPr>
        <vertAlign val="superscript"/>
        <sz val="10"/>
        <rFont val="Helvetica"/>
        <family val="2"/>
      </rPr>
      <t>(1)</t>
    </r>
  </si>
  <si>
    <r>
      <t xml:space="preserve">other </t>
    </r>
    <r>
      <rPr>
        <vertAlign val="superscript"/>
        <sz val="10"/>
        <rFont val="Helvetica"/>
        <family val="2"/>
      </rPr>
      <t>(2)</t>
    </r>
  </si>
  <si>
    <r>
      <t xml:space="preserve">Total number of domestic participants </t>
    </r>
    <r>
      <rPr>
        <sz val="8"/>
        <rFont val="Helvetica"/>
        <family val="2"/>
      </rPr>
      <t>(4)</t>
    </r>
  </si>
  <si>
    <r>
      <t xml:space="preserve">Total number of foreign participants </t>
    </r>
    <r>
      <rPr>
        <vertAlign val="superscript"/>
        <sz val="10"/>
        <rFont val="Helvetica"/>
        <family val="2"/>
      </rPr>
      <t>(3)</t>
    </r>
  </si>
  <si>
    <t>Source: Bolivian Stock Exchange (BBV).</t>
  </si>
  <si>
    <t>(1)In Bolivia there are no Central Counterpart Entities</t>
  </si>
  <si>
    <t>(2) Brokerage houses</t>
  </si>
  <si>
    <t>(3) There are no foreign participants.</t>
  </si>
  <si>
    <t>(4) Banks and CCPs do not participate in the framework of the Securities Law, the participants are stockbrokers, banks and other financial entities are issuers.</t>
  </si>
  <si>
    <r>
      <t xml:space="preserve">(1) The information on BCB </t>
    </r>
    <r>
      <rPr>
        <sz val="10"/>
        <rFont val="Helvetica"/>
        <family val="2"/>
      </rPr>
      <t>Number of participants in exchanges and trading systems for the 2015-2020period was reprocessed.</t>
    </r>
  </si>
  <si>
    <t>Notes: 
Period: end of the year.
Figures: original units, without decimals.
Figures are provided separately for each trading system, with categories of various participants as sub-items. 
When countries are unable to provide a breakdown, only the total number of participants is reported.
If using an abbreviation please include the system full name in a footnote.
If necessary, provide in a footnote, how participants are classified.</t>
  </si>
  <si>
    <t>Bolivian Stock Exchange (BBV)</t>
  </si>
  <si>
    <t>Source: Bolsa Boliviana de Valores (BBV)</t>
  </si>
  <si>
    <t>Source: Bolsa Boliviana de valores (BBV)</t>
  </si>
  <si>
    <t>Source: Entidad de Depósito de Valores (EDV)</t>
  </si>
  <si>
    <t>Cámara de Transferencias Electrónicas de Fondos-ACH (Cámara de Compensación)</t>
  </si>
  <si>
    <t>Cámara de Compensación y Liquidación de Transferencias Electrónicas - UNILINK (Cámara de Compensación)</t>
  </si>
  <si>
    <t>Cámara de Compensación de Cheques-CCC (Cámara de Compensación)</t>
  </si>
  <si>
    <t>Source: Administradora de Cámaras de Compensación y Liquidación (ACCL)</t>
  </si>
  <si>
    <t>(1) E-Fective and Cooperativa Jesús Nazareno</t>
  </si>
  <si>
    <t xml:space="preserve">Notes: 
Period: end of the year.
Figures: original units, without decimals.
The name of the entity is followed, in brackets, by a mention of its function (either CCP or clearing house).
If using an abbreviation please include the entity full name in a footnote.
If necessary, provide in a footnote, how participants are classified.
When a single entity performs the functions of both clearing house or CCP and central securities depository, Tables A19 to A21 are completed, when relevant, with data on its clearing house or CCP activities.  
When deemed necessary, a footnote provides additional information. </t>
  </si>
  <si>
    <t>(1) Includes Treasury Bonds and Municipal Bonds</t>
  </si>
  <si>
    <t>Ower/manager</t>
  </si>
  <si>
    <t>Degree of centralisation</t>
  </si>
  <si>
    <t>Settlement finality</t>
  </si>
  <si>
    <t>Cut-off third-party orders</t>
  </si>
  <si>
    <t>23:45:00 p. m.</t>
  </si>
  <si>
    <t>23:55:00 p. m.</t>
  </si>
  <si>
    <t>Source: Central Bank of Bolivia (BCB)</t>
  </si>
  <si>
    <t>S, B, C, G, E, O</t>
  </si>
  <si>
    <t>7:45 - 12:22</t>
  </si>
  <si>
    <t>SIMBOLOGY BY COLUMN:
OWER/MANAGER: CB = central bank B= commercial bank, SE = stock exchange, O = other
MARKETS/PRODUCTS: SEC = securities, B = bonds, C = certificates of deposit , G = government securities, E = equity, O = other, DER = derivatives
TRADING: FLT = Trading  Floor trading, ELT = electronic trading
OPERATING TIMES:  00:00 (24 hours), expressed in local time
RELATIONSHIP WITH CCP: INT = internal, PAR = parental, INDEP = independent</t>
  </si>
  <si>
    <t>Cámara de Compensación y Liquidación de Transferencias Electrónicas (ACH)</t>
  </si>
  <si>
    <t>Camara de Compensación y Liquidación de Cheques (CCC)</t>
  </si>
  <si>
    <t xml:space="preserve"> CSD EDV</t>
  </si>
  <si>
    <t>SIMBOLOGY BY COLUMN:
CCP OR CLEARING HOUSE: Central counterparty = CCP, clearing house = CH.
OWNER/MANAGER: Central bank = CB, commercial banks = B, stock exchange = SE,  another CCP = CCP, or clearing house = CH, other = O.
RELATIONSHIP WITH EXCHANGE: Internal = int, parental = par, independent = indep.
RELATIONSHIP WITH CSD: Internal = int, parental = par, independent = indep.
INTRADAY MARGINING: Routine, or (when event-driven) price-driven = P size-driven = S.
PRODUCTS/MARKETS CLEARED: Securities = SEC, Derivatives = DER, Repos = REP.
CURRENCIES: ISO code of the cleared currencies.
SECURITIES SETTLEMENT AGENT: Central securities depositories = CSD (the name of the CSD is provided), central bank = CB, commercial banks = B, or other = O,
CASH SETTLEMENT AGENT: central bank = CB, commercial banks = B or other = O.
LINKS TO OTHER CCPs: Number of links (the type of the link is also provided, cross participation = cross and common systems = common.</t>
  </si>
  <si>
    <t>DOM (B, C, G, O)</t>
  </si>
  <si>
    <t xml:space="preserve">SIMBOLOGY BY COLUMN:
TYPE OF SECURITIES HELD: Domestic securities = DOM and/or international securities = INT, Bonds = B, certificates of deposit = C, government securities = G, equity = E, or other = O.
OWNER/MANAGER: Central bank = CB, commercial banks = B, stock exchange = SE,  another CCP = CCP, or clearing house = CH, other = O.
SECURITIES SETTLEMENT SYSTEM: Name of the system(s).
CLOSING TIME FOR SAME DAY TRANSACTIONS: 00:00 (24 hours), expressed in local time.
LINKS TO OTHER CSDs: Number of links (the type of the link is also provided: cross-participation = direct, through local agents = indirect; and the type of settlement FoP or DVP).
DELIVERY LAG: T+n
INTRADAY FINALITY: If the system offers intraday finality = yes, otherwise = no.
CASH SETTLEMENT AGENT: central bank = CB, commercial banks = B, stock exchange = SE,  or other= the name of the cash settlement agent is provided.
</t>
  </si>
  <si>
    <t>Total number in the financial system</t>
  </si>
  <si>
    <t>Multiple Banks</t>
  </si>
  <si>
    <t>SME Banks</t>
  </si>
  <si>
    <t>Public Banks</t>
  </si>
  <si>
    <t>Financial Institutions</t>
  </si>
  <si>
    <t>Cooperatives of saving and credit</t>
  </si>
  <si>
    <t>Mutual Funds</t>
  </si>
  <si>
    <t>Development Finance Institutions</t>
  </si>
  <si>
    <t>Private Financial Funds</t>
  </si>
  <si>
    <t>Non-financial institutions</t>
  </si>
  <si>
    <t>Mobile Payment Service Companies</t>
  </si>
  <si>
    <t>Source: Autoridad de Supervisión del Sistema Financiero (ASFI)</t>
  </si>
  <si>
    <t>Notes:
In application of Law No. 393 on Financial Services, on July 21, 2014 the transformation process of Private Financial Funds into Multiple Banks and PYME Banks was completed.</t>
  </si>
  <si>
    <t>In 2016, the Development Financial Institutions concluded their adaptation process to Law 393 and were incorporated into the supervision of the ASFI.</t>
  </si>
  <si>
    <t>Notes :
Period: at the end of the year.
Figures: original units, without decimals.
If it is the case, break down into local currency and foreign currency.
Please specify the type of institutions that non-bank financial entities comprise.</t>
  </si>
  <si>
    <t>Notes:
Period: at the end of the year.
Figures: original units, without decimals.
If it is the case, break down into local currency and foreign currency.
Please specify the type of institutions that non-bank financial entities comprise.</t>
  </si>
  <si>
    <t>PYME Banks</t>
  </si>
  <si>
    <t>Public Bank</t>
  </si>
  <si>
    <t>Productive Development Bank</t>
  </si>
  <si>
    <t>Financial institutions</t>
  </si>
  <si>
    <t>Housing Finance Entities</t>
  </si>
  <si>
    <t>Non Financial Institutions</t>
  </si>
  <si>
    <t>Mobile Payment Services Companies</t>
  </si>
  <si>
    <t>Source: Financial System Supervision Authority (ASFI), 2019 BCB Institutional Report, 2014 -2019 BDP Institutional Reports.</t>
  </si>
  <si>
    <t>Notes:
In application of Law No. 393 on Financial Services, on July 21, 2014, the transformation process of Private Financial Funds into Multiple Banks and PYME Banks was completed.</t>
  </si>
  <si>
    <t>In 2016, the Development Financial Institutions concluded their adaptation process to Law 393 and were incorporated into the ASFI's supervision.</t>
  </si>
  <si>
    <t>Notes: 
Period: at the end of the year.
Figures: original units, without decimals.
If it is the case, break down into local currency and foreign currency.
Please specify the type of institutions that non-bank financial entities comprise.</t>
  </si>
  <si>
    <t>(thousand millions, at year-end)</t>
  </si>
  <si>
    <t>Notes:
Pursuant to Law No. 393 on Financial Services, on July 21, 2014, the process of transforming Private Financial Funds into Multiple Banks and SME Banks has been completed.</t>
  </si>
  <si>
    <t>PYME banks</t>
  </si>
  <si>
    <r>
      <t xml:space="preserve">Central bank </t>
    </r>
    <r>
      <rPr>
        <vertAlign val="superscript"/>
        <sz val="10"/>
        <rFont val="Arial"/>
        <family val="2"/>
      </rPr>
      <t>(1)</t>
    </r>
  </si>
  <si>
    <t>Source: Banco Central del Paraguay</t>
  </si>
  <si>
    <t>Notes: 
Economic Studies Statistical Annex (Table 8)</t>
  </si>
  <si>
    <t>Notes: 
Economic Studies Statistical Annex (tables 21, 24)</t>
  </si>
  <si>
    <t>Notes:
Balances in ML/ME maintained in the BCP by Bank Entities</t>
  </si>
  <si>
    <t>PYG 100,000</t>
  </si>
  <si>
    <t>PYG 50,000</t>
  </si>
  <si>
    <t>PYG 20,000</t>
  </si>
  <si>
    <t>PYG 10,000</t>
  </si>
  <si>
    <t>PYG 5,000</t>
  </si>
  <si>
    <t>PYG 2,000</t>
  </si>
  <si>
    <t>PYG 1000</t>
  </si>
  <si>
    <t>PYG 500</t>
  </si>
  <si>
    <t>PYG 100</t>
  </si>
  <si>
    <t>PYG 50</t>
  </si>
  <si>
    <t>Source: Treasury, Banco Central del Paraguay</t>
  </si>
  <si>
    <t>Source: SIPAP, SIB y FGD</t>
  </si>
  <si>
    <t xml:space="preserve">Source: Cámara Paraguaya de Medios de Pago </t>
  </si>
  <si>
    <t>Notes: 
The values of ATM, POS and Cards Issued in the country were updated based on the closing of the years 2016 and 2017</t>
  </si>
  <si>
    <t>Source: Camara Paraguaya de Medios de Pagos</t>
  </si>
  <si>
    <t>Direct participants (banks)</t>
  </si>
  <si>
    <t>Other direct participants (financial entities)</t>
  </si>
  <si>
    <t>Other (payments operators)</t>
  </si>
  <si>
    <t>System B - ACH</t>
  </si>
  <si>
    <t>System C - Cámara Compensadora de Cheques - BCP</t>
  </si>
  <si>
    <t>System E - OMP - Bancard</t>
  </si>
  <si>
    <t>System F: OMP - Bepsa</t>
  </si>
  <si>
    <t>System G: OMP - CABAL</t>
  </si>
  <si>
    <t>System I: OMP - PROCARD</t>
  </si>
  <si>
    <t>System J: Cámara Compensadora de EMPEs</t>
  </si>
  <si>
    <t>Sub Gerencia General de Operaciones Financieras</t>
  </si>
  <si>
    <t>Ok</t>
  </si>
  <si>
    <t>Operadores de Medios de Pagos - Circular SGGOF N° 001/2020</t>
  </si>
  <si>
    <t>RTGS-Paraguay</t>
  </si>
  <si>
    <t>System A RTGS</t>
  </si>
  <si>
    <t>System B ACH</t>
  </si>
  <si>
    <t>System C - Bancard</t>
  </si>
  <si>
    <t>System D - Bepsa</t>
  </si>
  <si>
    <t>System E - Cabal</t>
  </si>
  <si>
    <t>System F - Panal</t>
  </si>
  <si>
    <t>System G - Procard</t>
  </si>
  <si>
    <t>System H - Cámara Compensadora de EMPE</t>
  </si>
  <si>
    <t>System D - BEPSA</t>
  </si>
  <si>
    <t>System E - CABAL</t>
  </si>
  <si>
    <t>System F - PANAL</t>
  </si>
  <si>
    <t>System G - PROCARD</t>
  </si>
  <si>
    <t>System A - DCV - DEPO BCP</t>
  </si>
  <si>
    <t>System B - DCV - BVPASA</t>
  </si>
  <si>
    <t>Source: Bolsa de Valores y Productos de Asunción (BVPASA) y Depositaria de Valores del Banco Central del Paraguay.</t>
  </si>
  <si>
    <t>Notes:
DEPO BCP started operations on November 25, 2014.</t>
  </si>
  <si>
    <t>Source: Bolsa de Valores y Productos de Asunción (BVPASA)</t>
  </si>
  <si>
    <t>Securities settlement system A - DCV - DEPO BCP</t>
  </si>
  <si>
    <t>Securities settlement system A - DCV - BVPASA</t>
  </si>
  <si>
    <t>Source: Depositaria de Valores del BCP (DEPO) y Bolsa de Valores y Productos de Asunción (BVPASA)</t>
  </si>
  <si>
    <t>Cámara Compensación BCP</t>
  </si>
  <si>
    <t xml:space="preserve">CABAL </t>
  </si>
  <si>
    <t>Source: Card processors</t>
  </si>
  <si>
    <t>Notes: 
Banco Central del Paraguay compensator until 03/31/2017 and from 04/03/2017 BANCARD</t>
  </si>
  <si>
    <t xml:space="preserve">Source: Bolsa de Valores y Productos de Asunción (BVPASA) </t>
  </si>
  <si>
    <t>Source: Bolsa de Valores y Productos de Asunción (BVPASA) y Depositaria de Valores del Banco Central del Paraguay</t>
  </si>
  <si>
    <t>DCV -  BCP</t>
  </si>
  <si>
    <t>DCV BVPASA (USD)</t>
  </si>
  <si>
    <t xml:space="preserve">Notes:
DEPO BCP started operations on November 25, 2014.
</t>
  </si>
  <si>
    <t>DCV BCP</t>
  </si>
  <si>
    <t>L,R</t>
  </si>
  <si>
    <t>LBTR/NM/LL</t>
  </si>
  <si>
    <t>Source: SIPAP Banco Central del Paraguay</t>
  </si>
  <si>
    <t>B/VG/O</t>
  </si>
  <si>
    <t>NEP</t>
  </si>
  <si>
    <t>Source: Depositaria de Valores (BCP)</t>
  </si>
  <si>
    <t>CAMARA COMPENSADORA DE CHEQUES</t>
  </si>
  <si>
    <t>VA/REP</t>
  </si>
  <si>
    <t>Source: Cámara Compensadora de Cheques (BCP)</t>
  </si>
  <si>
    <t xml:space="preserve">BCP </t>
  </si>
  <si>
    <t>VG</t>
  </si>
  <si>
    <t>DEPOX</t>
  </si>
  <si>
    <t>B ; VG</t>
  </si>
  <si>
    <t>CUENTA CLEARING CONTINENTAL</t>
  </si>
  <si>
    <t>Si</t>
  </si>
  <si>
    <t>DVF</t>
  </si>
  <si>
    <t>PYG ; USD</t>
  </si>
  <si>
    <t>Source: Depositaria de Valores (BCP); BVPASA</t>
  </si>
  <si>
    <t xml:space="preserve">Total financial system </t>
  </si>
  <si>
    <t>Financial Entities</t>
  </si>
  <si>
    <t>Source: Superintendencia de Bancos</t>
  </si>
  <si>
    <t>(Thousand millions, at year-end)</t>
  </si>
  <si>
    <t>0</t>
  </si>
  <si>
    <t xml:space="preserve">
SIMBOLOGY BY COLUMN:
TYPE: L= Large value payments system, R= retail payments system, L+R= Large value and retail payments system.
SETTLEMENT: Real-time gross settlement = RTGS, Net = N, multilateral netting = MN, bilateral netting =BN, Gross = G, Batch settlement = BA.
OWNER/MANAGER: Central bank = CB, commercial banks = B or a payment association = PA.
PROCESSING: Manual = M, Automated clearing house = ACH, Real-time transmissions = RTT.
MEMBRESHIP: Open = O, restricted = R.
DEGREE OF CENTRALISATION: Centralised = C, Decentralised = D. 
PRICING: full cost = F, variable cost = V, symbolic cost = S, no cost = 0.
CLOSING TIME FOR SAME DAY TRANSACTIONS: 00:00 (24 hours), no same-day transactions = 0.
SETTLEMENT FINALITY: RTGS Systems = REAL TIME, PREFUNDED NET SYSTEMS = INTRADAY
CUT-OFF THIRD-PARTY ORDERS: 00:00 (24 hours), expressed in local time.
STANDAR MONEY MARKET HOURS: 00:00 (24 hours), expressed in local time. </t>
  </si>
  <si>
    <t>Source: CBS and Central Bank of Curaçao and Sint Maarten</t>
  </si>
  <si>
    <t>Basic statistical data Sint Maarten</t>
  </si>
  <si>
    <t>Source: Central Bank of Curaçao and Sint Maarten</t>
  </si>
  <si>
    <t>ANG 250</t>
  </si>
  <si>
    <t>ANG 100</t>
  </si>
  <si>
    <t>ANG 50</t>
  </si>
  <si>
    <t>ANG 25</t>
  </si>
  <si>
    <t>ANG 10</t>
  </si>
  <si>
    <t>ANG 5</t>
  </si>
  <si>
    <t>ANG 5.0</t>
  </si>
  <si>
    <t>ANG 2.5</t>
  </si>
  <si>
    <t>ANG 1.0</t>
  </si>
  <si>
    <t>ANG 0.5</t>
  </si>
  <si>
    <t>ANG 0.25</t>
  </si>
  <si>
    <t>ANG 0.1</t>
  </si>
  <si>
    <t>ANG 0.05</t>
  </si>
  <si>
    <t>ANG 0.025</t>
  </si>
  <si>
    <t>ANG 0.01</t>
  </si>
  <si>
    <t>Other coinnotes issued</t>
  </si>
  <si>
    <t>Source: Commercial banks</t>
  </si>
  <si>
    <t xml:space="preserve">In foreign currency: </t>
  </si>
  <si>
    <t>EUR</t>
  </si>
  <si>
    <t>In foreign currency:</t>
  </si>
  <si>
    <t>Dutch Caribbean Securities Exchange</t>
  </si>
  <si>
    <t>Central Counterparties (CCPs)</t>
  </si>
  <si>
    <t>Source: Dutch Caribbean Securities Exchange DCSX</t>
  </si>
  <si>
    <t>Source: Dutch Caribbean Securities Exchange</t>
  </si>
  <si>
    <t>Sustem A</t>
  </si>
  <si>
    <t>UNILINK</t>
  </si>
  <si>
    <t>VISA</t>
  </si>
  <si>
    <t>Mastercard</t>
  </si>
  <si>
    <t>SYSTEM A RTGS</t>
  </si>
  <si>
    <t>Bancard</t>
  </si>
  <si>
    <t>Bepsa</t>
  </si>
  <si>
    <t>Cabal</t>
  </si>
  <si>
    <t>Panal</t>
  </si>
  <si>
    <t>Procard</t>
  </si>
  <si>
    <t>Cámara Compensadora de EMPE</t>
  </si>
  <si>
    <t>RTGS (Safe-tt)</t>
  </si>
  <si>
    <t>RTGS (SIPAP)</t>
  </si>
  <si>
    <t>ATC</t>
  </si>
  <si>
    <t>LINKSER</t>
  </si>
  <si>
    <t>Cámara compensadora de EMPE</t>
  </si>
  <si>
    <t>x</t>
  </si>
  <si>
    <t xml:space="preserve">System D - Cámara Compensadora de Cheques - Bancard </t>
  </si>
  <si>
    <t>OMP Bancard + Cheques Bancard</t>
  </si>
  <si>
    <t>Cámara Compensadora de Cheques - BCP</t>
  </si>
  <si>
    <t>A17</t>
  </si>
  <si>
    <t>System A Dutch Caribbean Securities Exchange</t>
  </si>
  <si>
    <t>System A Bolsa de Valores de El Salvador (BVES)</t>
  </si>
  <si>
    <t>A18</t>
  </si>
  <si>
    <t>A10</t>
  </si>
  <si>
    <t>A11</t>
  </si>
  <si>
    <t>A9</t>
  </si>
  <si>
    <r>
      <t>Basic statistical data Cura</t>
    </r>
    <r>
      <rPr>
        <b/>
        <sz val="11"/>
        <rFont val="Helvetica"/>
        <family val="2"/>
      </rPr>
      <t>ç</t>
    </r>
    <r>
      <rPr>
        <b/>
        <sz val="11"/>
        <rFont val="Helvetica"/>
        <family val="2"/>
      </rPr>
      <t>ao</t>
    </r>
  </si>
  <si>
    <t>NACS2/3 RTGS</t>
  </si>
  <si>
    <t>NACS2/3 ACH</t>
  </si>
  <si>
    <t>NACS2/3 Curacao</t>
  </si>
  <si>
    <t>NACS2/3 Saint Maarten</t>
  </si>
  <si>
    <t>Domestic Bank</t>
  </si>
  <si>
    <t>Foreign (Capital) Banks</t>
  </si>
  <si>
    <t>Branches of Foreign Banks</t>
  </si>
  <si>
    <t>Non-Banks Financial Entities:</t>
  </si>
  <si>
    <t>Money Transmission Companies</t>
  </si>
  <si>
    <t>Savings Banks</t>
  </si>
  <si>
    <t>A14</t>
  </si>
  <si>
    <t>A15</t>
  </si>
  <si>
    <t>A16</t>
  </si>
  <si>
    <t>A20</t>
  </si>
  <si>
    <t>A21</t>
  </si>
  <si>
    <t>A19</t>
  </si>
  <si>
    <t>UNILINK (Cámara de Compensación)</t>
  </si>
  <si>
    <t>A25</t>
  </si>
  <si>
    <t>A26</t>
  </si>
  <si>
    <t>A22</t>
  </si>
  <si>
    <t>A23</t>
  </si>
  <si>
    <t>A24</t>
  </si>
  <si>
    <t>PS1/PS2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</si>
</sst>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8" formatCode="&quot;$&quot;#,##0.00;[Red]\-&quot;$&quot;#,##0.00"/>
    <numFmt numFmtId="44" formatCode="_-&quot;$&quot;* #,##0.00_-;\-&quot;$&quot;* #,##0.00_-;_-&quot;$&quot;* &quot;-&quot;??_-;_-@_-"/>
    <numFmt numFmtId="43" formatCode="_-* #,##0.00_-;\-* #,##0.00_-;_-* &quot;-&quot;??_-;_-@_-"/>
    <numFmt numFmtId="164" formatCode="[$-F400]h:mm:ss\ AM/PM"/>
    <numFmt numFmtId="165" formatCode="#,##0.000"/>
    <numFmt numFmtId="166" formatCode="0.000"/>
    <numFmt numFmtId="167" formatCode="_-* #,##0.00\ _€_-;\-* #,##0.00\ _€_-;_-* &quot;-&quot;??\ _€_-;_-@_-"/>
    <numFmt numFmtId="168" formatCode="_ * #,##0.00_ ;_ * \-#,##0.00_ ;_ * &quot;-&quot;??_ ;_ @_ "/>
    <numFmt numFmtId="169" formatCode="#,##0.0"/>
    <numFmt numFmtId="170" formatCode="&quot; &quot;&quot;$&quot;* #,##0.00&quot; &quot;;&quot; &quot;&quot;$&quot;* \(#,##0.00\);&quot; &quot;&quot;$&quot;* &quot;-&quot;??&quot; &quot;"/>
    <numFmt numFmtId="171" formatCode="_(* #,##0.00_);_(* \(#,##0.00\);_(* &quot;-&quot;??_);_(@_)"/>
    <numFmt numFmtId="172" formatCode="_-* #,##0.000_-;\-* #,##0.000_-;_-* &quot;-&quot;??_-;_-@_-"/>
    <numFmt numFmtId="173" formatCode="_ * #,##0_ ;_ * \-#,##0_ ;_ * &quot;-&quot;_ ;_ @_ "/>
    <numFmt numFmtId="174" formatCode="_ * #,##0.000_ ;_ * \-#,##0.000_ ;_ * &quot;-&quot;_ ;_ @_ "/>
    <numFmt numFmtId="175" formatCode="0.000%"/>
    <numFmt numFmtId="176" formatCode="_(&quot;$&quot;* #,##0.00_);_(&quot;$&quot;* \(#,##0.00\);_(&quot;$&quot;* &quot;-&quot;??_);_(@_)"/>
    <numFmt numFmtId="177" formatCode="_-* #,##0.0_-;\-* #,##0.0_-;_-* &quot;-&quot;??_-;_-@_-"/>
    <numFmt numFmtId="178" formatCode="h:mm;@"/>
    <numFmt numFmtId="179" formatCode="_ * #,##0_ ;_ * \-#,##0_ ;_ * &quot;-&quot;??_ ;_ @_ "/>
    <numFmt numFmtId="180" formatCode="0.0"/>
    <numFmt numFmtId="181" formatCode="_-* #,##0_-;\-* #,##0_-;_-* &quot;-&quot;??_-;_-@_-"/>
    <numFmt numFmtId="182" formatCode="_(* #,##0_);_(* \(#,##0\);_(* &quot;-&quot;??_);_(@_)"/>
    <numFmt numFmtId="184" formatCode="[$-409]h:mm\ AM/PM;@"/>
    <numFmt numFmtId="185" formatCode="0.0%"/>
    <numFmt numFmtId="186" formatCode="#,##0;\(#,##0\)"/>
    <numFmt numFmtId="187" formatCode="#,##0.000_ ;\-#,##0.000\ "/>
    <numFmt numFmtId="188" formatCode="_([$₡-140A]* #,##0_);_([$₡-140A]* \(#,##0\);_([$₡-140A]* &quot;-&quot;??_);_(@_)"/>
    <numFmt numFmtId="189" formatCode="#,##0.00_ ;\-#,##0.00\ "/>
    <numFmt numFmtId="190" formatCode="_-[$€-2]* #,##0.00_-;\-[$€-2]* #,##0.00_-;_-[$€-2]* &quot;-&quot;??_-"/>
    <numFmt numFmtId="191" formatCode="_(* #,##0.000_);_(* \(#,##0.000\);_(* &quot;-&quot;??_);_(@_)"/>
    <numFmt numFmtId="192" formatCode="&quot;$&quot;#,##0_);[Red]\(&quot;$&quot;#,##0\)"/>
    <numFmt numFmtId="193" formatCode="&quot;$&quot;#,##0.00_);[Red]\(&quot;$&quot;#,##0.00\)"/>
    <numFmt numFmtId="194" formatCode="_(* #,##0.0_);_(* \(#,##0.0\);_(* &quot;-&quot;??_);_(@_)"/>
    <numFmt numFmtId="195" formatCode="_(* #,##0.0000_);_(* \(#,##0.0000\);_(* &quot;-&quot;??_);_(@_)"/>
    <numFmt numFmtId="196" formatCode="0.000000"/>
    <numFmt numFmtId="197" formatCode="h:mm:ss;@"/>
    <numFmt numFmtId="198" formatCode="_(&quot;$&quot;* #,##0_);_(&quot;$&quot;* \(#,##0.00\);_(&quot;$&quot;* &quot;-&quot;??_);_(@_)"/>
    <numFmt numFmtId="199" formatCode="#,##0.00;\(#,##0.00\)"/>
    <numFmt numFmtId="200" formatCode="&quot;$&quot;\ #,##0.0"/>
    <numFmt numFmtId="201" formatCode="[$-80A]h:mm:ss\ AM/PM;@"/>
  </numFmts>
  <fonts count="123">
    <font>
      <sz val="11"/>
      <color theme="1"/>
      <name val="Calibri"/>
      <family val="2"/>
      <scheme val="minor"/>
    </font>
    <font>
      <sz val="11"/>
      <color theme="1"/>
      <name val="Calibri"/>
      <family val="2"/>
      <scheme val="minor"/>
    </font>
    <font>
      <sz val="11"/>
      <color rgb="FFFF0000"/>
      <name val="Calibri"/>
      <family val="2"/>
      <scheme val="minor"/>
    </font>
    <font>
      <sz val="11"/>
      <color indexed="8"/>
      <name val="Helvetica"/>
      <family val="2"/>
    </font>
    <font>
      <sz val="9"/>
      <name val="Helvetica"/>
      <family val="2"/>
    </font>
    <font>
      <sz val="9.5"/>
      <color indexed="8"/>
      <name val="Helvetica"/>
      <family val="2"/>
    </font>
    <font>
      <sz val="10"/>
      <name val="Arial"/>
      <family val="2"/>
    </font>
    <font>
      <sz val="10"/>
      <color indexed="8"/>
      <name val="Helvetica"/>
      <family val="2"/>
    </font>
    <font>
      <sz val="9"/>
      <color indexed="8"/>
      <name val="Helvetica"/>
      <family val="2"/>
    </font>
    <font>
      <b/>
      <sz val="11"/>
      <name val="Helvetica"/>
      <family val="2"/>
    </font>
    <font>
      <b/>
      <sz val="10"/>
      <name val="Helvetica"/>
      <family val="2"/>
    </font>
    <font>
      <vertAlign val="superscript"/>
      <sz val="9"/>
      <color indexed="8"/>
      <name val="Helvetica"/>
      <family val="2"/>
    </font>
    <font>
      <sz val="10"/>
      <color rgb="FF000000"/>
      <name val="Arial"/>
      <family val="2"/>
    </font>
    <font>
      <sz val="10"/>
      <name val="Helvetica"/>
      <family val="2"/>
    </font>
    <font>
      <sz val="9.5"/>
      <color theme="1"/>
      <name val="Helvetica"/>
      <family val="2"/>
    </font>
    <font>
      <sz val="10"/>
      <color theme="1"/>
      <name val="Helvetica"/>
      <family val="2"/>
    </font>
    <font>
      <b/>
      <sz val="10"/>
      <color theme="1"/>
      <name val="Helvetica"/>
      <family val="2"/>
    </font>
    <font>
      <i/>
      <sz val="10"/>
      <name val="Helvetica"/>
      <family val="2"/>
    </font>
    <font>
      <vertAlign val="superscript"/>
      <sz val="10"/>
      <name val="Helvetica"/>
      <family val="2"/>
    </font>
    <font>
      <sz val="9.5"/>
      <name val="Helvetica"/>
      <family val="2"/>
    </font>
    <font>
      <sz val="10"/>
      <color rgb="FF000000"/>
      <name val="Helvetica"/>
      <family val="2"/>
    </font>
    <font>
      <b/>
      <sz val="10"/>
      <color rgb="FF000000"/>
      <name val="Helvetica"/>
      <family val="2"/>
    </font>
    <font>
      <i/>
      <vertAlign val="superscript"/>
      <sz val="10"/>
      <name val="Helvetica"/>
      <family val="2"/>
    </font>
    <font>
      <sz val="9.5500000000000007"/>
      <color indexed="8"/>
      <name val="Helvetica"/>
      <family val="2"/>
    </font>
    <font>
      <b/>
      <vertAlign val="superscript"/>
      <sz val="10"/>
      <name val="Helvetica"/>
      <family val="2"/>
    </font>
    <font>
      <vertAlign val="superscript"/>
      <sz val="9"/>
      <name val="Helvetica"/>
      <family val="2"/>
    </font>
    <font>
      <i/>
      <sz val="10"/>
      <color theme="1"/>
      <name val="Helvetica"/>
      <family val="2"/>
    </font>
    <font>
      <sz val="11"/>
      <color indexed="8"/>
      <name val="Calibri"/>
      <family val="2"/>
    </font>
    <font>
      <i/>
      <sz val="10"/>
      <name val="Arial"/>
      <family val="2"/>
    </font>
    <font>
      <sz val="9.5"/>
      <color rgb="FF000000"/>
      <name val="Helvetica"/>
      <family val="2"/>
    </font>
    <font>
      <sz val="9.5"/>
      <color rgb="FFFF0000"/>
      <name val="Helvetica"/>
      <family val="2"/>
    </font>
    <font>
      <b/>
      <i/>
      <sz val="10"/>
      <name val="Helvetica"/>
      <family val="2"/>
    </font>
    <font>
      <i/>
      <sz val="10"/>
      <color indexed="8"/>
      <name val="Helvetica"/>
      <family val="2"/>
    </font>
    <font>
      <b/>
      <sz val="10"/>
      <color indexed="8"/>
      <name val="Helvetica"/>
      <family val="2"/>
    </font>
    <font>
      <b/>
      <sz val="9.5"/>
      <name val="Helvetica"/>
      <family val="2"/>
    </font>
    <font>
      <sz val="9.5"/>
      <color indexed="8"/>
      <name val="Helvetica"/>
      <family val="2"/>
    </font>
    <font>
      <sz val="11"/>
      <color rgb="FF000000"/>
      <name val="Helvetica"/>
      <family val="2"/>
    </font>
    <font>
      <sz val="9"/>
      <color rgb="FF000000"/>
      <name val="Helvetica"/>
      <family val="2"/>
    </font>
    <font>
      <b/>
      <sz val="14"/>
      <color indexed="8"/>
      <name val="Helvetica"/>
      <family val="2"/>
    </font>
    <font>
      <b/>
      <sz val="11"/>
      <color indexed="8"/>
      <name val="Helvetica"/>
      <family val="2"/>
    </font>
    <font>
      <b/>
      <sz val="10"/>
      <color theme="0"/>
      <name val="Helvetica"/>
      <family val="2"/>
    </font>
    <font>
      <sz val="8"/>
      <name val="Helvetica"/>
      <family val="2"/>
    </font>
    <font>
      <sz val="9.5"/>
      <color rgb="FF000000"/>
      <name val="Helvetica"/>
      <family val="2"/>
    </font>
    <font>
      <sz val="10"/>
      <name val="Helvetica"/>
      <family val="2"/>
    </font>
    <font>
      <b/>
      <sz val="10"/>
      <name val="Helvetica"/>
      <family val="2"/>
    </font>
    <font>
      <vertAlign val="superscript"/>
      <sz val="10"/>
      <color theme="1"/>
      <name val="Helvetica"/>
      <family val="2"/>
    </font>
    <font>
      <sz val="8"/>
      <name val="Arial"/>
      <family val="2"/>
    </font>
    <font>
      <sz val="10"/>
      <color theme="1"/>
      <name val="Helvetica"/>
      <family val="2"/>
    </font>
    <font>
      <b/>
      <vertAlign val="superscript"/>
      <sz val="10"/>
      <color theme="1"/>
      <name val="Helvetica"/>
      <family val="2"/>
    </font>
    <font>
      <i/>
      <sz val="10"/>
      <color theme="1"/>
      <name val="Helvetica"/>
      <family val="2"/>
    </font>
    <font>
      <b/>
      <i/>
      <sz val="10"/>
      <name val="Helvetica"/>
      <family val="2"/>
    </font>
    <font>
      <b/>
      <i/>
      <sz val="10"/>
      <color theme="1"/>
      <name val="Helvetica"/>
      <family val="2"/>
    </font>
    <font>
      <sz val="10"/>
      <color rgb="FFFF0000"/>
      <name val="Helvetica"/>
      <family val="2"/>
    </font>
    <font>
      <b/>
      <sz val="10"/>
      <color theme="1"/>
      <name val="Helvetica"/>
      <family val="2"/>
    </font>
    <font>
      <sz val="10"/>
      <color rgb="FFFF0000"/>
      <name val="Helvetica"/>
      <family val="2"/>
    </font>
    <font>
      <sz val="10"/>
      <name val="Heltevica"/>
    </font>
    <font>
      <b/>
      <sz val="9"/>
      <color indexed="81"/>
      <name val="Tahoma"/>
      <family val="2"/>
    </font>
    <font>
      <sz val="9"/>
      <color indexed="81"/>
      <name val="Tahoma"/>
      <family val="2"/>
    </font>
    <font>
      <vertAlign val="superscript"/>
      <sz val="9.5"/>
      <name val="Helvetica"/>
      <family val="2"/>
    </font>
    <font>
      <vertAlign val="superscript"/>
      <sz val="9.5"/>
      <color indexed="8"/>
      <name val="Helvetica"/>
      <family val="2"/>
    </font>
    <font>
      <sz val="9"/>
      <name val="Arial"/>
      <family val="2"/>
    </font>
    <font>
      <vertAlign val="superscript"/>
      <sz val="9"/>
      <name val="Arial"/>
      <family val="2"/>
    </font>
    <font>
      <vertAlign val="superscript"/>
      <sz val="10"/>
      <name val="Arial"/>
      <family val="2"/>
    </font>
    <font>
      <sz val="9"/>
      <color theme="1"/>
      <name val="Helvetica"/>
      <family val="2"/>
    </font>
    <font>
      <b/>
      <sz val="9"/>
      <color theme="1"/>
      <name val="Helvetica"/>
      <family val="2"/>
    </font>
    <font>
      <i/>
      <sz val="9"/>
      <color indexed="8"/>
      <name val="Helvetica"/>
      <family val="2"/>
    </font>
    <font>
      <b/>
      <sz val="9"/>
      <name val="Helvetica"/>
      <family val="2"/>
    </font>
    <font>
      <i/>
      <sz val="9"/>
      <name val="Helvetica"/>
      <family val="2"/>
    </font>
    <font>
      <b/>
      <i/>
      <sz val="9"/>
      <name val="Helvetica"/>
      <family val="2"/>
    </font>
    <font>
      <b/>
      <i/>
      <sz val="9"/>
      <color theme="1"/>
      <name val="Helvetica"/>
      <family val="2"/>
    </font>
    <font>
      <sz val="11"/>
      <color theme="1"/>
      <name val="Helvetica"/>
      <family val="2"/>
    </font>
    <font>
      <sz val="10"/>
      <color theme="1"/>
      <name val="Arial"/>
      <family val="2"/>
    </font>
    <font>
      <sz val="9"/>
      <color theme="1"/>
      <name val="Calibri"/>
      <family val="2"/>
      <scheme val="minor"/>
    </font>
    <font>
      <b/>
      <sz val="11"/>
      <color theme="1"/>
      <name val="Calibri"/>
      <family val="2"/>
      <scheme val="minor"/>
    </font>
    <font>
      <sz val="11"/>
      <color rgb="FFC00000"/>
      <name val="Calibri"/>
      <family val="2"/>
      <scheme val="minor"/>
    </font>
    <font>
      <sz val="9.5"/>
      <name val="Arial"/>
      <family val="2"/>
    </font>
    <font>
      <b/>
      <sz val="12"/>
      <name val="Helvetica"/>
      <family val="2"/>
    </font>
    <font>
      <b/>
      <sz val="10"/>
      <color rgb="FF000000"/>
      <name val="Helvetica"/>
      <family val="2"/>
    </font>
    <font>
      <sz val="9.5"/>
      <name val="Heltevica"/>
    </font>
    <font>
      <sz val="9.5"/>
      <color rgb="FF000000"/>
      <name val="Arial"/>
      <family val="2"/>
    </font>
    <font>
      <b/>
      <sz val="11"/>
      <color theme="1"/>
      <name val="Helvetica"/>
      <family val="2"/>
    </font>
    <font>
      <b/>
      <sz val="9.5"/>
      <color theme="1"/>
      <name val="Helvetica"/>
      <family val="2"/>
    </font>
    <font>
      <sz val="9.5"/>
      <color theme="1"/>
      <name val="Helvetica"/>
      <family val="2"/>
    </font>
    <font>
      <sz val="9.5"/>
      <color theme="1"/>
      <name val="Heltevica"/>
    </font>
    <font>
      <sz val="9.5"/>
      <color theme="1"/>
      <name val="Arial"/>
      <family val="2"/>
    </font>
    <font>
      <b/>
      <sz val="9.5"/>
      <color theme="1"/>
      <name val="Helvetica"/>
      <family val="2"/>
    </font>
    <font>
      <b/>
      <sz val="11"/>
      <color theme="1"/>
      <name val="Helvetica"/>
      <family val="2"/>
    </font>
    <font>
      <sz val="11"/>
      <color theme="1"/>
      <name val="Helvetica"/>
      <family val="2"/>
    </font>
    <font>
      <vertAlign val="superscript"/>
      <sz val="9"/>
      <color theme="1"/>
      <name val="Helvetica"/>
      <family val="2"/>
    </font>
    <font>
      <vertAlign val="superscript"/>
      <sz val="9.5"/>
      <color theme="1"/>
      <name val="Helvetica"/>
      <family val="2"/>
    </font>
    <font>
      <u/>
      <sz val="9.5"/>
      <color rgb="FF000000"/>
      <name val="Helvetica"/>
      <family val="2"/>
    </font>
    <font>
      <sz val="10"/>
      <color theme="1"/>
      <name val="Calibri"/>
      <family val="2"/>
      <scheme val="minor"/>
    </font>
    <font>
      <sz val="9.5"/>
      <color theme="8"/>
      <name val="Helvetica"/>
      <family val="2"/>
    </font>
    <font>
      <i/>
      <sz val="9"/>
      <name val="Helvetica"/>
      <family val="2"/>
    </font>
    <font>
      <sz val="9.5500000000000007"/>
      <name val="Helvetica"/>
      <family val="2"/>
    </font>
    <font>
      <sz val="11"/>
      <name val="Calibri"/>
      <family val="2"/>
      <scheme val="minor"/>
    </font>
    <font>
      <b/>
      <vertAlign val="superscript"/>
      <sz val="11"/>
      <name val="Helvetica"/>
      <family val="2"/>
    </font>
    <font>
      <sz val="10"/>
      <name val="H"/>
    </font>
    <font>
      <vertAlign val="superscript"/>
      <sz val="10"/>
      <name val="H"/>
    </font>
    <font>
      <b/>
      <sz val="10"/>
      <name val="H"/>
    </font>
    <font>
      <sz val="9.5"/>
      <name val="Helvetica"/>
      <family val="2"/>
    </font>
    <font>
      <sz val="9"/>
      <name val="Helvetica"/>
      <family val="2"/>
    </font>
    <font>
      <sz val="9.5"/>
      <color rgb="FF0070C0"/>
      <name val="Helvetica"/>
      <family val="2"/>
    </font>
    <font>
      <sz val="9.5"/>
      <color rgb="FF000000"/>
      <name val="Tahoma"/>
      <family val="2"/>
    </font>
    <font>
      <vertAlign val="superscript"/>
      <sz val="10"/>
      <color rgb="FF000000"/>
      <name val="Helvetica"/>
      <family val="2"/>
    </font>
    <font>
      <i/>
      <sz val="8"/>
      <name val="Helvetica"/>
      <family val="2"/>
    </font>
    <font>
      <sz val="11"/>
      <color rgb="FF9C0006"/>
      <name val="Calibri"/>
      <family val="2"/>
      <scheme val="minor"/>
    </font>
    <font>
      <i/>
      <sz val="9"/>
      <color rgb="FFFF0000"/>
      <name val="Helvetica"/>
      <family val="2"/>
    </font>
    <font>
      <i/>
      <sz val="10"/>
      <color rgb="FFFF0000"/>
      <name val="Helvetica"/>
      <family val="2"/>
    </font>
    <font>
      <i/>
      <sz val="10"/>
      <color indexed="12"/>
      <name val="Helvetica"/>
      <family val="2"/>
    </font>
    <font>
      <b/>
      <sz val="10"/>
      <name val="Arial"/>
      <family val="2"/>
    </font>
    <font>
      <sz val="10"/>
      <color indexed="12"/>
      <name val="Helvetica"/>
      <family val="2"/>
    </font>
    <font>
      <sz val="11"/>
      <name val="Arial Narrow"/>
      <family val="2"/>
    </font>
    <font>
      <i/>
      <sz val="10"/>
      <color indexed="12"/>
      <name val="Heltevica"/>
    </font>
    <font>
      <i/>
      <sz val="11"/>
      <color indexed="8"/>
      <name val="Helvetica"/>
      <family val="2"/>
    </font>
    <font>
      <i/>
      <sz val="10"/>
      <name val="Heltevica"/>
    </font>
    <font>
      <i/>
      <sz val="9"/>
      <color rgb="FFFF0000"/>
      <name val="Heltevica"/>
    </font>
    <font>
      <sz val="8"/>
      <name val="Calibri"/>
      <family val="2"/>
      <scheme val="minor"/>
    </font>
    <font>
      <sz val="9.5"/>
      <color rgb="FF000000"/>
      <name val="Heltevica"/>
    </font>
    <font>
      <b/>
      <sz val="10"/>
      <color rgb="FFFF0000"/>
      <name val="Helvetica"/>
      <family val="2"/>
    </font>
    <font>
      <b/>
      <sz val="10"/>
      <color rgb="FFC00000"/>
      <name val="Heltevica"/>
    </font>
    <font>
      <b/>
      <u/>
      <sz val="8"/>
      <color rgb="FFC00000"/>
      <name val="Heltevica"/>
    </font>
    <font>
      <sz val="9"/>
      <color rgb="FFFF0000"/>
      <name val="Helvetica"/>
      <family val="2"/>
    </font>
  </fonts>
  <fills count="22">
    <fill>
      <patternFill patternType="none"/>
    </fill>
    <fill>
      <patternFill patternType="gray125"/>
    </fill>
    <fill>
      <patternFill patternType="solid">
        <fgColor indexed="22"/>
        <bgColor indexed="64"/>
      </patternFill>
    </fill>
    <fill>
      <patternFill patternType="solid">
        <fgColor rgb="FFFFFFFF"/>
        <bgColor indexed="64"/>
      </patternFill>
    </fill>
    <fill>
      <patternFill patternType="solid">
        <fgColor rgb="FFC0C0C0"/>
        <bgColor rgb="FF000000"/>
      </patternFill>
    </fill>
    <fill>
      <patternFill patternType="solid">
        <fgColor rgb="FF00B0F0"/>
        <bgColor indexed="64"/>
      </patternFill>
    </fill>
    <fill>
      <patternFill patternType="solid">
        <fgColor indexed="9"/>
        <bgColor indexed="64"/>
      </patternFill>
    </fill>
    <fill>
      <patternFill patternType="solid">
        <fgColor theme="6" tint="-0.499984740745262"/>
        <bgColor indexed="64"/>
      </patternFill>
    </fill>
    <fill>
      <patternFill patternType="solid">
        <fgColor indexed="55"/>
        <bgColor indexed="64"/>
      </patternFill>
    </fill>
    <fill>
      <patternFill patternType="solid">
        <fgColor theme="0"/>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bgColor rgb="FF000000"/>
      </patternFill>
    </fill>
    <fill>
      <patternFill patternType="solid">
        <fgColor theme="0" tint="-0.249977111117893"/>
        <bgColor indexed="64"/>
      </patternFill>
    </fill>
    <fill>
      <patternFill patternType="solid">
        <fgColor theme="0" tint="-0.34998626667073579"/>
        <bgColor indexed="64"/>
      </patternFill>
    </fill>
    <fill>
      <patternFill patternType="solid">
        <fgColor rgb="FFFFFF00"/>
        <bgColor indexed="64"/>
      </patternFill>
    </fill>
    <fill>
      <patternFill patternType="solid">
        <fgColor rgb="FFFFC000"/>
        <bgColor indexed="64"/>
      </patternFill>
    </fill>
    <fill>
      <patternFill patternType="solid">
        <fgColor rgb="FF00FFFF"/>
        <bgColor indexed="64"/>
      </patternFill>
    </fill>
    <fill>
      <patternFill patternType="solid">
        <fgColor rgb="FFFFC7CE"/>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FF"/>
        <bgColor rgb="FF000000"/>
      </patternFill>
    </fill>
  </fills>
  <borders count="35">
    <border>
      <left/>
      <right/>
      <top/>
      <bottom/>
      <diagonal/>
    </border>
    <border>
      <left style="medium">
        <color auto="1"/>
      </left>
      <right style="thin">
        <color auto="1"/>
      </right>
      <top/>
      <bottom/>
      <diagonal/>
    </border>
    <border>
      <left/>
      <right/>
      <top/>
      <bottom style="thin">
        <color auto="1"/>
      </bottom>
      <diagonal/>
    </border>
    <border>
      <left/>
      <right/>
      <top style="thin">
        <color auto="1"/>
      </top>
      <bottom/>
      <diagonal/>
    </border>
    <border>
      <left/>
      <right/>
      <top/>
      <bottom style="double">
        <color auto="1"/>
      </bottom>
      <diagonal/>
    </border>
    <border>
      <left/>
      <right style="thin">
        <color auto="1"/>
      </right>
      <top/>
      <bottom style="double">
        <color auto="1"/>
      </bottom>
      <diagonal/>
    </border>
    <border>
      <left/>
      <right style="thin">
        <color auto="1"/>
      </right>
      <top/>
      <bottom/>
      <diagonal/>
    </border>
    <border>
      <left/>
      <right style="thin">
        <color auto="1"/>
      </right>
      <top style="thin">
        <color auto="1"/>
      </top>
      <bottom/>
      <diagonal/>
    </border>
    <border>
      <left/>
      <right style="medium">
        <color auto="1"/>
      </right>
      <top/>
      <bottom/>
      <diagonal/>
    </border>
    <border>
      <left style="thin">
        <color auto="1"/>
      </left>
      <right style="thin">
        <color auto="1"/>
      </right>
      <top/>
      <bottom/>
      <diagonal/>
    </border>
    <border>
      <left/>
      <right/>
      <top style="thin">
        <color auto="1"/>
      </top>
      <bottom style="thin">
        <color auto="1"/>
      </bottom>
      <diagonal/>
    </border>
    <border>
      <left style="thin">
        <color auto="1"/>
      </left>
      <right/>
      <top/>
      <bottom style="double">
        <color auto="1"/>
      </bottom>
      <diagonal/>
    </border>
    <border>
      <left/>
      <right/>
      <top style="double">
        <color auto="1"/>
      </top>
      <bottom/>
      <diagonal/>
    </border>
    <border>
      <left/>
      <right/>
      <top style="thin">
        <color auto="1"/>
      </top>
      <bottom style="double">
        <color auto="1"/>
      </bottom>
      <diagonal/>
    </border>
    <border>
      <left/>
      <right/>
      <top style="double">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indexed="64"/>
      </left>
      <right/>
      <top/>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double">
        <color indexed="64"/>
      </top>
      <bottom style="thin">
        <color indexed="64"/>
      </bottom>
      <diagonal/>
    </border>
    <border>
      <left/>
      <right style="thin">
        <color indexed="64"/>
      </right>
      <top style="medium">
        <color indexed="64"/>
      </top>
      <bottom/>
      <diagonal/>
    </border>
    <border>
      <left/>
      <right/>
      <top style="medium">
        <color indexed="64"/>
      </top>
      <bottom/>
      <diagonal/>
    </border>
    <border>
      <left style="thin">
        <color indexed="10"/>
      </left>
      <right style="thin">
        <color indexed="8"/>
      </right>
      <top/>
      <bottom/>
      <diagonal/>
    </border>
    <border>
      <left style="thin">
        <color indexed="64"/>
      </left>
      <right/>
      <top/>
      <bottom/>
      <diagonal/>
    </border>
  </borders>
  <cellStyleXfs count="42">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6" fillId="0" borderId="0"/>
    <xf numFmtId="0" fontId="6" fillId="0" borderId="0"/>
    <xf numFmtId="9" fontId="27" fillId="0" borderId="0" applyFont="0" applyFill="0" applyBorder="0" applyAlignment="0" applyProtection="0"/>
    <xf numFmtId="0" fontId="6" fillId="0" borderId="0"/>
    <xf numFmtId="167" fontId="6" fillId="0" borderId="0" applyFont="0" applyFill="0" applyBorder="0" applyAlignment="0" applyProtection="0"/>
    <xf numFmtId="168" fontId="27" fillId="0" borderId="0" applyFont="0" applyFill="0" applyBorder="0" applyAlignment="0" applyProtection="0"/>
    <xf numFmtId="0" fontId="6" fillId="0" borderId="0"/>
    <xf numFmtId="171" fontId="6" fillId="0" borderId="0" applyFont="0" applyFill="0" applyBorder="0" applyAlignment="0" applyProtection="0"/>
    <xf numFmtId="173" fontId="6" fillId="0" borderId="0" applyFont="0" applyFill="0" applyBorder="0" applyAlignment="0" applyProtection="0"/>
    <xf numFmtId="176"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168" fontId="6" fillId="0" borderId="0" applyFont="0" applyFill="0" applyBorder="0" applyAlignment="0" applyProtection="0"/>
    <xf numFmtId="171" fontId="6" fillId="0" borderId="0" applyFont="0" applyFill="0" applyBorder="0" applyAlignment="0" applyProtection="0"/>
    <xf numFmtId="0" fontId="6" fillId="0" borderId="0"/>
    <xf numFmtId="0" fontId="1" fillId="0" borderId="0"/>
    <xf numFmtId="0" fontId="12" fillId="0" borderId="0"/>
    <xf numFmtId="176"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0" borderId="0"/>
    <xf numFmtId="190"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71" fontId="6" fillId="0" borderId="0" applyFont="0" applyFill="0" applyBorder="0" applyAlignment="0" applyProtection="0"/>
    <xf numFmtId="171" fontId="1" fillId="0" borderId="0" applyFont="0" applyFill="0" applyBorder="0" applyAlignment="0" applyProtection="0"/>
    <xf numFmtId="0" fontId="106" fillId="18" borderId="0" applyNumberFormat="0" applyBorder="0" applyAlignment="0" applyProtection="0"/>
    <xf numFmtId="171" fontId="6" fillId="0" borderId="0" applyFont="0" applyFill="0" applyBorder="0" applyAlignment="0" applyProtection="0"/>
    <xf numFmtId="0" fontId="6" fillId="0" borderId="0"/>
    <xf numFmtId="0" fontId="6" fillId="0" borderId="0"/>
    <xf numFmtId="0" fontId="6" fillId="0" borderId="0"/>
    <xf numFmtId="168" fontId="6" fillId="0" borderId="0" applyFont="0" applyFill="0" applyBorder="0" applyAlignment="0" applyProtection="0"/>
  </cellStyleXfs>
  <cellXfs count="2264">
    <xf numFmtId="0" fontId="0" fillId="0" borderId="0" xfId="0"/>
    <xf numFmtId="0" fontId="3" fillId="0" borderId="0" xfId="0" applyFont="1"/>
    <xf numFmtId="0" fontId="4" fillId="0" borderId="0" xfId="0" applyFont="1" applyAlignment="1">
      <alignment horizontal="left" vertical="top"/>
    </xf>
    <xf numFmtId="0" fontId="5" fillId="0" borderId="0" xfId="0" applyFont="1" applyAlignment="1">
      <alignment horizontal="right"/>
    </xf>
    <xf numFmtId="0" fontId="5" fillId="0" borderId="0" xfId="0" applyFont="1" applyAlignment="1">
      <alignment horizontal="center" vertical="center"/>
    </xf>
    <xf numFmtId="3" fontId="6" fillId="0" borderId="0" xfId="3" applyNumberFormat="1" applyFont="1" applyAlignment="1">
      <alignment horizontal="center" vertical="center"/>
    </xf>
    <xf numFmtId="0" fontId="6" fillId="0" borderId="1" xfId="3" applyFont="1" applyBorder="1" applyAlignment="1">
      <alignment horizontal="left" vertical="center" indent="2"/>
    </xf>
    <xf numFmtId="0" fontId="7" fillId="0" borderId="0" xfId="0" applyFont="1" applyAlignment="1">
      <alignment horizontal="center" vertical="center"/>
    </xf>
    <xf numFmtId="0" fontId="7" fillId="0" borderId="0" xfId="0" applyFont="1" applyAlignment="1">
      <alignment horizontal="center" vertical="center" wrapText="1"/>
    </xf>
    <xf numFmtId="0" fontId="8" fillId="0" borderId="0" xfId="0" applyFont="1"/>
    <xf numFmtId="3" fontId="6" fillId="0" borderId="0" xfId="3" applyNumberFormat="1" applyFont="1" applyAlignment="1">
      <alignment horizontal="center" vertical="center" wrapText="1"/>
    </xf>
    <xf numFmtId="164" fontId="6" fillId="0" borderId="0" xfId="3" applyNumberFormat="1" applyFont="1" applyAlignment="1">
      <alignment horizontal="center" vertical="center"/>
    </xf>
    <xf numFmtId="0" fontId="9" fillId="0" borderId="0" xfId="4" applyFont="1" applyAlignment="1">
      <alignment horizontal="left"/>
    </xf>
    <xf numFmtId="0" fontId="10" fillId="2" borderId="0" xfId="4" applyFont="1" applyFill="1" applyAlignment="1">
      <alignment horizontal="left"/>
    </xf>
    <xf numFmtId="0" fontId="9" fillId="2" borderId="0" xfId="4" applyFont="1" applyFill="1" applyAlignment="1">
      <alignment horizontal="left"/>
    </xf>
    <xf numFmtId="0" fontId="8" fillId="0" borderId="0" xfId="0" applyFont="1" applyAlignment="1">
      <alignment horizontal="left" wrapText="1"/>
    </xf>
    <xf numFmtId="0" fontId="5" fillId="0" borderId="0" xfId="0" applyFont="1" applyAlignment="1">
      <alignment horizontal="center"/>
    </xf>
    <xf numFmtId="0" fontId="5" fillId="0" borderId="4" xfId="0" applyFont="1" applyBorder="1" applyAlignment="1">
      <alignment horizontal="center"/>
    </xf>
    <xf numFmtId="0" fontId="7" fillId="0" borderId="5" xfId="0" applyFont="1" applyBorder="1" applyAlignment="1">
      <alignment horizontal="left" vertical="center" indent="2"/>
    </xf>
    <xf numFmtId="0" fontId="5" fillId="0" borderId="0" xfId="0" applyFont="1" applyAlignment="1">
      <alignment horizontal="center" vertical="center" wrapText="1"/>
    </xf>
    <xf numFmtId="0" fontId="7" fillId="0" borderId="6" xfId="0" applyFont="1" applyBorder="1" applyAlignment="1">
      <alignment horizontal="left" vertical="center" indent="2"/>
    </xf>
    <xf numFmtId="0" fontId="7" fillId="0" borderId="6" xfId="0" applyFont="1" applyBorder="1" applyAlignment="1">
      <alignment horizontal="left" indent="2"/>
    </xf>
    <xf numFmtId="0" fontId="5" fillId="0" borderId="3" xfId="0" applyFont="1" applyBorder="1" applyAlignment="1">
      <alignment horizontal="center"/>
    </xf>
    <xf numFmtId="0" fontId="7" fillId="0" borderId="7" xfId="0" applyFont="1" applyBorder="1" applyAlignment="1">
      <alignment horizontal="left" indent="2"/>
    </xf>
    <xf numFmtId="0" fontId="3" fillId="0" borderId="0" xfId="0" applyFont="1" applyAlignment="1">
      <alignment horizontal="left" indent="2"/>
    </xf>
    <xf numFmtId="0" fontId="7" fillId="0" borderId="5" xfId="0" applyFont="1" applyBorder="1" applyAlignment="1">
      <alignment horizontal="left" indent="2"/>
    </xf>
    <xf numFmtId="0" fontId="5" fillId="0" borderId="0" xfId="0" applyFont="1" applyAlignment="1">
      <alignment horizontal="center" wrapText="1"/>
    </xf>
    <xf numFmtId="3" fontId="12" fillId="0" borderId="8" xfId="0" applyNumberFormat="1" applyFont="1" applyBorder="1" applyAlignment="1">
      <alignment horizontal="center" vertical="center"/>
    </xf>
    <xf numFmtId="3" fontId="12" fillId="0" borderId="9" xfId="0" applyNumberFormat="1" applyFont="1" applyBorder="1" applyAlignment="1">
      <alignment horizontal="center" vertical="center"/>
    </xf>
    <xf numFmtId="0" fontId="12" fillId="0" borderId="0" xfId="0" applyFont="1" applyAlignment="1">
      <alignment horizontal="left" vertical="center" wrapText="1" indent="2"/>
    </xf>
    <xf numFmtId="0" fontId="0" fillId="0" borderId="9" xfId="0" applyBorder="1" applyAlignment="1">
      <alignment horizontal="center" vertical="center"/>
    </xf>
    <xf numFmtId="0" fontId="12" fillId="0" borderId="1" xfId="0" applyFont="1" applyBorder="1" applyAlignment="1">
      <alignment horizontal="left" vertical="center" wrapText="1" indent="2"/>
    </xf>
    <xf numFmtId="0" fontId="13" fillId="2" borderId="10" xfId="4" applyFont="1" applyFill="1" applyBorder="1" applyAlignment="1">
      <alignment horizontal="center" vertical="center" wrapText="1"/>
    </xf>
    <xf numFmtId="0" fontId="13" fillId="2" borderId="10" xfId="4" applyFont="1" applyFill="1" applyBorder="1" applyAlignment="1">
      <alignment horizontal="center" vertical="center"/>
    </xf>
    <xf numFmtId="20" fontId="14" fillId="0" borderId="0" xfId="0" applyNumberFormat="1" applyFont="1" applyAlignment="1" applyProtection="1">
      <alignment horizontal="center" vertical="center"/>
      <protection locked="0"/>
    </xf>
    <xf numFmtId="20" fontId="14" fillId="0" borderId="6" xfId="0" applyNumberFormat="1" applyFont="1" applyBorder="1" applyAlignment="1" applyProtection="1">
      <alignment horizontal="center" vertical="center"/>
      <protection locked="0"/>
    </xf>
    <xf numFmtId="20" fontId="14" fillId="0" borderId="5" xfId="0" applyNumberFormat="1" applyFont="1" applyBorder="1" applyAlignment="1" applyProtection="1">
      <alignment horizontal="center" vertical="center"/>
      <protection locked="0"/>
    </xf>
    <xf numFmtId="20" fontId="14" fillId="0" borderId="4" xfId="0" applyNumberFormat="1"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20" fontId="14" fillId="0" borderId="11" xfId="0" applyNumberFormat="1"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20" fontId="14" fillId="0" borderId="0" xfId="0" applyNumberFormat="1" applyFont="1" applyAlignment="1" applyProtection="1">
      <alignment horizontal="center" vertical="center" wrapText="1"/>
      <protection locked="0"/>
    </xf>
    <xf numFmtId="20" fontId="14" fillId="0" borderId="6" xfId="0" applyNumberFormat="1" applyFont="1" applyBorder="1" applyAlignment="1" applyProtection="1">
      <alignment horizontal="center" vertical="center" wrapText="1"/>
      <protection locked="0"/>
    </xf>
    <xf numFmtId="0" fontId="3" fillId="0" borderId="6" xfId="0" applyFont="1" applyBorder="1" applyAlignment="1">
      <alignment horizontal="left" indent="2"/>
    </xf>
    <xf numFmtId="0" fontId="13" fillId="0" borderId="0" xfId="4" applyFont="1" applyAlignment="1">
      <alignment horizontal="center" vertical="center" wrapText="1"/>
    </xf>
    <xf numFmtId="0" fontId="13" fillId="2" borderId="2" xfId="4" applyFont="1" applyFill="1" applyBorder="1" applyAlignment="1">
      <alignment horizontal="center" vertical="center" wrapText="1"/>
    </xf>
    <xf numFmtId="0" fontId="7" fillId="0" borderId="0" xfId="0" applyFont="1" applyAlignment="1">
      <alignment vertical="center"/>
    </xf>
    <xf numFmtId="0" fontId="4" fillId="0" borderId="0" xfId="4" applyFont="1" applyAlignment="1">
      <alignment horizontal="left" vertical="top" wrapText="1"/>
    </xf>
    <xf numFmtId="0" fontId="7" fillId="0" borderId="0" xfId="0" applyFont="1" applyAlignment="1">
      <alignment vertical="center" wrapText="1"/>
    </xf>
    <xf numFmtId="0" fontId="15" fillId="0" borderId="4" xfId="0" applyFont="1" applyBorder="1" applyAlignment="1">
      <alignment horizontal="right"/>
    </xf>
    <xf numFmtId="0" fontId="13" fillId="0" borderId="4" xfId="0" applyFont="1" applyBorder="1" applyAlignment="1" applyProtection="1">
      <alignment horizontal="left" vertical="center" wrapText="1" indent="2"/>
      <protection locked="0"/>
    </xf>
    <xf numFmtId="0" fontId="15" fillId="0" borderId="0" xfId="0" applyFont="1" applyAlignment="1">
      <alignment horizontal="right"/>
    </xf>
    <xf numFmtId="0" fontId="13" fillId="0" borderId="0" xfId="0" applyFont="1" applyAlignment="1" applyProtection="1">
      <alignment horizontal="left" vertical="center" wrapText="1" indent="2"/>
      <protection locked="0"/>
    </xf>
    <xf numFmtId="0" fontId="13" fillId="0" borderId="0" xfId="0" applyFont="1" applyAlignment="1" applyProtection="1">
      <alignment horizontal="left" vertical="center" wrapText="1" indent="3"/>
      <protection locked="0"/>
    </xf>
    <xf numFmtId="0" fontId="13" fillId="0" borderId="0" xfId="0" applyFont="1" applyAlignment="1" applyProtection="1">
      <alignment horizontal="left" vertical="center" wrapText="1"/>
      <protection locked="0"/>
    </xf>
    <xf numFmtId="4" fontId="5" fillId="0" borderId="0" xfId="0" applyNumberFormat="1" applyFont="1" applyAlignment="1">
      <alignment horizontal="right"/>
    </xf>
    <xf numFmtId="4" fontId="15" fillId="0" borderId="0" xfId="0" applyNumberFormat="1" applyFont="1"/>
    <xf numFmtId="0" fontId="15" fillId="0" borderId="0" xfId="0" applyFont="1"/>
    <xf numFmtId="0" fontId="16" fillId="0" borderId="0" xfId="0" applyFont="1"/>
    <xf numFmtId="0" fontId="10" fillId="0" borderId="0" xfId="0" applyFont="1" applyAlignment="1" applyProtection="1">
      <alignment horizontal="left" vertical="center" wrapText="1"/>
      <protection locked="0"/>
    </xf>
    <xf numFmtId="0" fontId="10" fillId="2" borderId="2" xfId="4" applyFont="1" applyFill="1" applyBorder="1" applyAlignment="1">
      <alignment horizontal="center" wrapText="1"/>
    </xf>
    <xf numFmtId="0" fontId="13" fillId="0" borderId="2" xfId="4" applyFont="1" applyBorder="1"/>
    <xf numFmtId="0" fontId="17" fillId="0" borderId="0" xfId="4" applyFont="1"/>
    <xf numFmtId="0" fontId="9" fillId="2" borderId="0" xfId="4" applyFont="1" applyFill="1"/>
    <xf numFmtId="0" fontId="13" fillId="0" borderId="0" xfId="4" applyFont="1"/>
    <xf numFmtId="0" fontId="13" fillId="0" borderId="0" xfId="0" applyFont="1"/>
    <xf numFmtId="165" fontId="5" fillId="0" borderId="0" xfId="0" applyNumberFormat="1" applyFont="1" applyAlignment="1">
      <alignment horizontal="right"/>
    </xf>
    <xf numFmtId="3" fontId="5" fillId="0" borderId="0" xfId="0" applyNumberFormat="1" applyFont="1" applyAlignment="1">
      <alignment horizontal="right"/>
    </xf>
    <xf numFmtId="0" fontId="13" fillId="0" borderId="0" xfId="4" applyFont="1" applyAlignment="1">
      <alignment horizontal="left" wrapText="1"/>
    </xf>
    <xf numFmtId="0" fontId="4" fillId="0" borderId="0" xfId="4" applyFont="1" applyAlignment="1">
      <alignment horizontal="left" wrapText="1"/>
    </xf>
    <xf numFmtId="0" fontId="15" fillId="0" borderId="4" xfId="0" applyFont="1" applyBorder="1"/>
    <xf numFmtId="2" fontId="13" fillId="0" borderId="0" xfId="0" applyNumberFormat="1" applyFont="1" applyAlignment="1" applyProtection="1">
      <alignment horizontal="left" vertical="center" wrapText="1"/>
      <protection locked="0"/>
    </xf>
    <xf numFmtId="4" fontId="15" fillId="0" borderId="0" xfId="0" applyNumberFormat="1" applyFont="1" applyAlignment="1">
      <alignment horizontal="right"/>
    </xf>
    <xf numFmtId="4" fontId="15" fillId="0" borderId="4" xfId="0" applyNumberFormat="1" applyFont="1" applyBorder="1"/>
    <xf numFmtId="166" fontId="5" fillId="0" borderId="0" xfId="0" applyNumberFormat="1" applyFont="1" applyAlignment="1">
      <alignment horizontal="right"/>
    </xf>
    <xf numFmtId="1" fontId="5" fillId="0" borderId="0" xfId="0" applyNumberFormat="1" applyFont="1" applyAlignment="1">
      <alignment horizontal="right"/>
    </xf>
    <xf numFmtId="0" fontId="10" fillId="0" borderId="0" xfId="4" applyFont="1"/>
    <xf numFmtId="0" fontId="17" fillId="0" borderId="0" xfId="4" applyFont="1" applyAlignment="1">
      <alignment horizontal="left"/>
    </xf>
    <xf numFmtId="2" fontId="5" fillId="0" borderId="4" xfId="0" applyNumberFormat="1" applyFont="1" applyBorder="1" applyAlignment="1">
      <alignment horizontal="right"/>
    </xf>
    <xf numFmtId="2" fontId="5" fillId="0" borderId="0" xfId="0" applyNumberFormat="1" applyFont="1" applyAlignment="1">
      <alignment horizontal="right"/>
    </xf>
    <xf numFmtId="0" fontId="13" fillId="0" borderId="0" xfId="0" applyFont="1" applyAlignment="1">
      <alignment vertical="center"/>
    </xf>
    <xf numFmtId="0" fontId="17" fillId="0" borderId="0" xfId="0" applyFont="1" applyAlignment="1" applyProtection="1">
      <alignment horizontal="left" vertical="center" wrapText="1" indent="2"/>
      <protection locked="0"/>
    </xf>
    <xf numFmtId="0" fontId="17" fillId="0" borderId="0" xfId="0" applyFont="1" applyAlignment="1" applyProtection="1">
      <alignment horizontal="left" vertical="center" wrapText="1" indent="3"/>
      <protection locked="0"/>
    </xf>
    <xf numFmtId="0" fontId="17" fillId="0" borderId="0" xfId="0" applyFont="1" applyAlignment="1" applyProtection="1">
      <alignment horizontal="left" vertical="center" wrapText="1"/>
      <protection locked="0"/>
    </xf>
    <xf numFmtId="0" fontId="13" fillId="0" borderId="0" xfId="5" applyFont="1" applyAlignment="1" applyProtection="1">
      <alignment horizontal="left" vertical="center" wrapText="1" indent="2"/>
      <protection locked="0"/>
    </xf>
    <xf numFmtId="0" fontId="13" fillId="0" borderId="0" xfId="5" applyFont="1" applyAlignment="1" applyProtection="1">
      <alignment horizontal="left" vertical="center" wrapText="1" indent="3"/>
      <protection locked="0"/>
    </xf>
    <xf numFmtId="2" fontId="13" fillId="0" borderId="0" xfId="5" applyNumberFormat="1" applyFont="1" applyAlignment="1" applyProtection="1">
      <alignment horizontal="left" vertical="center" wrapText="1"/>
      <protection locked="0"/>
    </xf>
    <xf numFmtId="2" fontId="3" fillId="0" borderId="0" xfId="0" applyNumberFormat="1" applyFont="1"/>
    <xf numFmtId="4" fontId="3" fillId="0" borderId="0" xfId="0" applyNumberFormat="1" applyFont="1" applyAlignment="1">
      <alignment horizontal="right"/>
    </xf>
    <xf numFmtId="4" fontId="3" fillId="0" borderId="0" xfId="0" applyNumberFormat="1" applyFont="1"/>
    <xf numFmtId="2" fontId="13" fillId="0" borderId="0" xfId="0" applyNumberFormat="1" applyFont="1" applyAlignment="1" applyProtection="1">
      <alignment horizontal="left" vertical="center"/>
      <protection locked="0"/>
    </xf>
    <xf numFmtId="4" fontId="6" fillId="0" borderId="0" xfId="0" applyNumberFormat="1" applyFont="1"/>
    <xf numFmtId="1" fontId="10" fillId="2" borderId="2" xfId="4" applyNumberFormat="1" applyFont="1" applyFill="1" applyBorder="1" applyAlignment="1">
      <alignment horizontal="center" wrapText="1"/>
    </xf>
    <xf numFmtId="2" fontId="9" fillId="2" borderId="0" xfId="4" applyNumberFormat="1" applyFont="1" applyFill="1" applyAlignment="1">
      <alignment horizontal="left"/>
    </xf>
    <xf numFmtId="165" fontId="6" fillId="0" borderId="0" xfId="0" applyNumberFormat="1" applyFont="1" applyAlignment="1">
      <alignment horizontal="right"/>
    </xf>
    <xf numFmtId="4" fontId="0" fillId="0" borderId="0" xfId="0" applyNumberFormat="1"/>
    <xf numFmtId="165" fontId="6" fillId="0" borderId="3" xfId="0" applyNumberFormat="1" applyFont="1" applyBorder="1" applyAlignment="1">
      <alignment horizontal="right"/>
    </xf>
    <xf numFmtId="2" fontId="3" fillId="0" borderId="0" xfId="0" applyNumberFormat="1" applyFont="1" applyAlignment="1">
      <alignment horizontal="right"/>
    </xf>
    <xf numFmtId="4" fontId="5" fillId="0" borderId="0" xfId="0" applyNumberFormat="1" applyFont="1"/>
    <xf numFmtId="2" fontId="10" fillId="0" borderId="0" xfId="4" applyNumberFormat="1" applyFont="1" applyAlignment="1">
      <alignment horizontal="center" wrapText="1"/>
    </xf>
    <xf numFmtId="0" fontId="5" fillId="0" borderId="4" xfId="0" applyFont="1" applyBorder="1" applyAlignment="1">
      <alignment horizontal="right"/>
    </xf>
    <xf numFmtId="4" fontId="5" fillId="0" borderId="4" xfId="0" applyNumberFormat="1" applyFont="1" applyBorder="1" applyAlignment="1">
      <alignment horizontal="right"/>
    </xf>
    <xf numFmtId="4" fontId="19" fillId="0" borderId="0" xfId="4" applyNumberFormat="1" applyFont="1" applyAlignment="1">
      <alignment horizontal="right" wrapText="1"/>
    </xf>
    <xf numFmtId="4" fontId="20" fillId="0" borderId="0" xfId="0" applyNumberFormat="1" applyFont="1"/>
    <xf numFmtId="4" fontId="20" fillId="0" borderId="0" xfId="0" applyNumberFormat="1" applyFont="1" applyAlignment="1">
      <alignment horizontal="right"/>
    </xf>
    <xf numFmtId="4" fontId="10" fillId="0" borderId="0" xfId="4" applyNumberFormat="1" applyFont="1" applyAlignment="1">
      <alignment horizontal="center" wrapText="1"/>
    </xf>
    <xf numFmtId="0" fontId="21" fillId="0" borderId="0" xfId="0" applyFont="1" applyAlignment="1" applyProtection="1">
      <alignment horizontal="left" vertical="center" wrapText="1"/>
      <protection locked="0"/>
    </xf>
    <xf numFmtId="0" fontId="10" fillId="0" borderId="0" xfId="4" applyFont="1" applyAlignment="1">
      <alignment horizontal="center" wrapText="1"/>
    </xf>
    <xf numFmtId="0" fontId="4" fillId="0" borderId="0" xfId="4" applyFont="1" applyAlignment="1">
      <alignment horizontal="left"/>
    </xf>
    <xf numFmtId="165" fontId="5" fillId="0" borderId="4" xfId="0" applyNumberFormat="1" applyFont="1" applyBorder="1" applyAlignment="1">
      <alignment horizontal="right"/>
    </xf>
    <xf numFmtId="4" fontId="23" fillId="0" borderId="0" xfId="0" applyNumberFormat="1" applyFont="1"/>
    <xf numFmtId="4" fontId="23" fillId="0" borderId="0" xfId="0" applyNumberFormat="1" applyFont="1" applyAlignment="1">
      <alignment horizontal="right"/>
    </xf>
    <xf numFmtId="4" fontId="23" fillId="0" borderId="0" xfId="0" applyNumberFormat="1" applyFont="1" applyAlignment="1">
      <alignment horizontal="right" vertical="center"/>
    </xf>
    <xf numFmtId="0" fontId="13" fillId="0" borderId="0" xfId="4" applyFont="1" applyAlignment="1">
      <alignment horizontal="right" wrapText="1"/>
    </xf>
    <xf numFmtId="0" fontId="10" fillId="0" borderId="0" xfId="0" applyFont="1" applyAlignment="1">
      <alignment horizontal="left" vertical="center"/>
    </xf>
    <xf numFmtId="0" fontId="10" fillId="0" borderId="2" xfId="4" applyFont="1" applyBorder="1" applyAlignment="1">
      <alignment horizontal="center" wrapText="1"/>
    </xf>
    <xf numFmtId="2" fontId="23" fillId="0" borderId="0" xfId="0" applyNumberFormat="1" applyFont="1"/>
    <xf numFmtId="3" fontId="5" fillId="0" borderId="4" xfId="0" applyNumberFormat="1" applyFont="1" applyBorder="1" applyAlignment="1">
      <alignment horizontal="right"/>
    </xf>
    <xf numFmtId="0" fontId="23" fillId="0" borderId="0" xfId="0" applyFont="1"/>
    <xf numFmtId="2" fontId="23" fillId="0" borderId="0" xfId="0" applyNumberFormat="1" applyFont="1" applyAlignment="1">
      <alignment horizontal="right"/>
    </xf>
    <xf numFmtId="0" fontId="23" fillId="0" borderId="0" xfId="0" applyFont="1" applyAlignment="1">
      <alignment horizontal="right"/>
    </xf>
    <xf numFmtId="0" fontId="5" fillId="0" borderId="0" xfId="0" applyFont="1"/>
    <xf numFmtId="0" fontId="26" fillId="0" borderId="4" xfId="0" applyFont="1" applyBorder="1" applyAlignment="1">
      <alignment horizontal="left" vertical="center" indent="2"/>
    </xf>
    <xf numFmtId="0" fontId="26" fillId="0" borderId="0" xfId="0" applyFont="1" applyAlignment="1">
      <alignment horizontal="left" vertical="center" indent="2"/>
    </xf>
    <xf numFmtId="0" fontId="26" fillId="0" borderId="0" xfId="0" applyFont="1" applyAlignment="1">
      <alignment horizontal="left" vertical="center" indent="1"/>
    </xf>
    <xf numFmtId="0" fontId="15" fillId="0" borderId="0" xfId="0" applyFont="1" applyAlignment="1">
      <alignment vertical="center"/>
    </xf>
    <xf numFmtId="0" fontId="15" fillId="0" borderId="3" xfId="0" applyFont="1" applyBorder="1" applyAlignment="1">
      <alignment vertical="center"/>
    </xf>
    <xf numFmtId="0" fontId="5" fillId="0" borderId="13" xfId="0" applyFont="1" applyBorder="1" applyAlignment="1">
      <alignment horizontal="right"/>
    </xf>
    <xf numFmtId="0" fontId="15" fillId="0" borderId="13" xfId="0" applyFont="1" applyBorder="1" applyAlignment="1">
      <alignment vertical="center"/>
    </xf>
    <xf numFmtId="165" fontId="19" fillId="0" borderId="0" xfId="4" applyNumberFormat="1" applyFont="1" applyAlignment="1">
      <alignment horizontal="right" wrapText="1"/>
    </xf>
    <xf numFmtId="0" fontId="13" fillId="0" borderId="4" xfId="0" applyFont="1" applyBorder="1"/>
    <xf numFmtId="2" fontId="13" fillId="0" borderId="0" xfId="0" applyNumberFormat="1" applyFont="1" applyAlignment="1" applyProtection="1">
      <alignment horizontal="left" vertical="center" wrapText="1" indent="2"/>
      <protection locked="0"/>
    </xf>
    <xf numFmtId="0" fontId="13" fillId="0" borderId="0" xfId="0" applyFont="1" applyAlignment="1" applyProtection="1">
      <alignment horizontal="left" vertical="center" wrapText="1" indent="1"/>
      <protection locked="0"/>
    </xf>
    <xf numFmtId="2" fontId="13" fillId="0" borderId="0" xfId="0" applyNumberFormat="1" applyFont="1" applyAlignment="1" applyProtection="1">
      <alignment horizontal="left" vertical="center" wrapText="1" indent="1"/>
      <protection locked="0"/>
    </xf>
    <xf numFmtId="0" fontId="13" fillId="0" borderId="0" xfId="4" applyFont="1" applyAlignment="1">
      <alignment horizontal="center" wrapText="1"/>
    </xf>
    <xf numFmtId="0" fontId="19" fillId="0" borderId="0" xfId="6" applyNumberFormat="1" applyFont="1" applyFill="1" applyBorder="1" applyAlignment="1">
      <alignment horizontal="right" wrapText="1"/>
    </xf>
    <xf numFmtId="0" fontId="17" fillId="0" borderId="0" xfId="0" applyFont="1" applyAlignment="1">
      <alignment horizontal="left" indent="3"/>
    </xf>
    <xf numFmtId="10" fontId="19" fillId="0" borderId="0" xfId="2" applyNumberFormat="1" applyFont="1" applyFill="1" applyBorder="1" applyAlignment="1">
      <alignment horizontal="right" wrapText="1"/>
    </xf>
    <xf numFmtId="0" fontId="19" fillId="0" borderId="0" xfId="4" applyFont="1" applyAlignment="1">
      <alignment horizontal="right" wrapText="1"/>
    </xf>
    <xf numFmtId="2" fontId="19" fillId="0" borderId="0" xfId="4" applyNumberFormat="1" applyFont="1" applyAlignment="1">
      <alignment horizontal="right" wrapText="1"/>
    </xf>
    <xf numFmtId="166" fontId="19" fillId="0" borderId="0" xfId="4" applyNumberFormat="1" applyFont="1" applyAlignment="1">
      <alignment horizontal="right" wrapText="1"/>
    </xf>
    <xf numFmtId="2" fontId="13" fillId="0" borderId="4" xfId="0" applyNumberFormat="1" applyFont="1" applyBorder="1" applyAlignment="1" applyProtection="1">
      <alignment horizontal="left" vertical="center" wrapText="1" indent="1"/>
      <protection locked="0"/>
    </xf>
    <xf numFmtId="3" fontId="19" fillId="0" borderId="0" xfId="5" quotePrefix="1" applyNumberFormat="1" applyFont="1" applyAlignment="1">
      <alignment horizontal="right" vertical="center"/>
    </xf>
    <xf numFmtId="0" fontId="19" fillId="0" borderId="0" xfId="5" applyFont="1" applyAlignment="1">
      <alignment horizontal="right" vertical="center"/>
    </xf>
    <xf numFmtId="0" fontId="19" fillId="0" borderId="0" xfId="5" quotePrefix="1" applyFont="1" applyAlignment="1">
      <alignment horizontal="right" vertical="center"/>
    </xf>
    <xf numFmtId="3" fontId="19" fillId="0" borderId="0" xfId="5" applyNumberFormat="1" applyFont="1" applyAlignment="1">
      <alignment horizontal="right" vertical="center"/>
    </xf>
    <xf numFmtId="0" fontId="17" fillId="0" borderId="4" xfId="0" applyFont="1" applyBorder="1" applyAlignment="1" applyProtection="1">
      <alignment horizontal="left" vertical="center" wrapText="1" indent="1"/>
      <protection locked="0"/>
    </xf>
    <xf numFmtId="0" fontId="17" fillId="0" borderId="0" xfId="0" applyFont="1" applyAlignment="1" applyProtection="1">
      <alignment horizontal="left" vertical="center" wrapText="1" indent="1"/>
      <protection locked="0"/>
    </xf>
    <xf numFmtId="0" fontId="10" fillId="0" borderId="0" xfId="0" applyFont="1" applyAlignment="1">
      <alignment horizontal="left" vertical="center" wrapText="1"/>
    </xf>
    <xf numFmtId="0" fontId="13" fillId="0" borderId="0" xfId="0" applyFont="1" applyAlignment="1" applyProtection="1">
      <alignment horizontal="left" vertical="center"/>
      <protection locked="0"/>
    </xf>
    <xf numFmtId="0" fontId="17" fillId="0" borderId="0" xfId="0" applyFont="1" applyAlignment="1">
      <alignment horizontal="left" vertical="center" indent="2"/>
    </xf>
    <xf numFmtId="2" fontId="17" fillId="0" borderId="0" xfId="0" applyNumberFormat="1" applyFont="1" applyAlignment="1" applyProtection="1">
      <alignment horizontal="left" vertical="center" wrapText="1" indent="2"/>
      <protection locked="0"/>
    </xf>
    <xf numFmtId="0" fontId="13" fillId="0" borderId="0" xfId="0" applyFont="1" applyAlignment="1" applyProtection="1">
      <alignment vertical="center" wrapText="1"/>
      <protection locked="0"/>
    </xf>
    <xf numFmtId="0" fontId="2" fillId="3" borderId="0" xfId="0" applyFont="1" applyFill="1"/>
    <xf numFmtId="0" fontId="10" fillId="0" borderId="3" xfId="0" applyFont="1" applyBorder="1" applyAlignment="1">
      <alignment horizontal="left" vertical="center"/>
    </xf>
    <xf numFmtId="0" fontId="17" fillId="0" borderId="2" xfId="0" applyFont="1" applyBorder="1" applyAlignment="1" applyProtection="1">
      <alignment horizontal="left" vertical="center" wrapText="1" indent="1"/>
      <protection locked="0"/>
    </xf>
    <xf numFmtId="0" fontId="28" fillId="0" borderId="0" xfId="0" applyFont="1" applyAlignment="1" applyProtection="1">
      <alignment horizontal="left" vertical="center" wrapText="1" indent="1"/>
      <protection locked="0"/>
    </xf>
    <xf numFmtId="0" fontId="6" fillId="0" borderId="0" xfId="0" applyFont="1" applyAlignment="1" applyProtection="1">
      <alignment horizontal="left" vertical="center" wrapText="1"/>
      <protection locked="0"/>
    </xf>
    <xf numFmtId="3" fontId="29" fillId="0" borderId="0" xfId="0" applyNumberFormat="1" applyFont="1" applyAlignment="1">
      <alignment horizontal="right"/>
    </xf>
    <xf numFmtId="3" fontId="30" fillId="0" borderId="0" xfId="0" applyNumberFormat="1" applyFont="1" applyAlignment="1">
      <alignment horizontal="right"/>
    </xf>
    <xf numFmtId="0" fontId="13" fillId="0" borderId="2" xfId="4" applyFont="1" applyBorder="1" applyAlignment="1">
      <alignment horizontal="right" vertical="center"/>
    </xf>
    <xf numFmtId="3" fontId="13" fillId="0" borderId="2" xfId="4" applyNumberFormat="1" applyFont="1" applyBorder="1" applyAlignment="1">
      <alignment horizontal="right" vertical="center"/>
    </xf>
    <xf numFmtId="0" fontId="17" fillId="0" borderId="2" xfId="0" applyFont="1" applyBorder="1" applyAlignment="1" applyProtection="1">
      <alignment horizontal="left" indent="1"/>
      <protection locked="0"/>
    </xf>
    <xf numFmtId="0" fontId="13" fillId="0" borderId="0" xfId="4" applyFont="1" applyAlignment="1">
      <alignment horizontal="right" vertical="center"/>
    </xf>
    <xf numFmtId="3" fontId="13" fillId="0" borderId="0" xfId="4" applyNumberFormat="1" applyFont="1" applyAlignment="1">
      <alignment horizontal="right" vertical="center"/>
    </xf>
    <xf numFmtId="0" fontId="13" fillId="0" borderId="0" xfId="0" applyFont="1" applyProtection="1">
      <protection locked="0"/>
    </xf>
    <xf numFmtId="0" fontId="17" fillId="0" borderId="0" xfId="7" applyFont="1" applyAlignment="1">
      <alignment horizontal="right"/>
    </xf>
    <xf numFmtId="3" fontId="17" fillId="0" borderId="0" xfId="7" applyNumberFormat="1" applyFont="1" applyAlignment="1">
      <alignment horizontal="right" vertical="center"/>
    </xf>
    <xf numFmtId="0" fontId="17" fillId="0" borderId="0" xfId="0" applyFont="1" applyAlignment="1" applyProtection="1">
      <alignment horizontal="left" vertical="center" indent="1"/>
      <protection locked="0"/>
    </xf>
    <xf numFmtId="0" fontId="13" fillId="0" borderId="0" xfId="7" applyFont="1" applyAlignment="1">
      <alignment horizontal="right"/>
    </xf>
    <xf numFmtId="3" fontId="13" fillId="0" borderId="0" xfId="7" applyNumberFormat="1" applyFont="1" applyAlignment="1">
      <alignment horizontal="right" vertical="center"/>
    </xf>
    <xf numFmtId="0" fontId="13" fillId="0" borderId="0" xfId="7" applyFont="1" applyAlignment="1">
      <alignment horizontal="left" vertical="center"/>
    </xf>
    <xf numFmtId="0" fontId="17" fillId="0" borderId="0" xfId="0" applyFont="1" applyAlignment="1" applyProtection="1">
      <alignment horizontal="left" vertical="center"/>
      <protection locked="0"/>
    </xf>
    <xf numFmtId="0" fontId="31" fillId="0" borderId="0" xfId="7" applyFont="1" applyAlignment="1">
      <alignment horizontal="center" wrapText="1"/>
    </xf>
    <xf numFmtId="0" fontId="10" fillId="0" borderId="0" xfId="7" quotePrefix="1" applyFont="1" applyAlignment="1">
      <alignment horizontal="center" vertical="center"/>
    </xf>
    <xf numFmtId="0" fontId="10" fillId="0" borderId="0" xfId="0" applyFont="1" applyAlignment="1">
      <alignment horizontal="left" vertical="center" indent="2"/>
    </xf>
    <xf numFmtId="0" fontId="13" fillId="0" borderId="0" xfId="7" applyFont="1"/>
    <xf numFmtId="0" fontId="31" fillId="0" borderId="3" xfId="7" applyFont="1" applyBorder="1" applyAlignment="1">
      <alignment horizontal="center" wrapText="1"/>
    </xf>
    <xf numFmtId="0" fontId="10" fillId="0" borderId="3" xfId="7" quotePrefix="1" applyFont="1" applyBorder="1" applyAlignment="1">
      <alignment horizontal="center" vertical="center"/>
    </xf>
    <xf numFmtId="0" fontId="10" fillId="0" borderId="0" xfId="0" applyFont="1" applyAlignment="1" applyProtection="1">
      <alignment horizontal="left" vertical="center" indent="2"/>
      <protection locked="0"/>
    </xf>
    <xf numFmtId="0" fontId="10" fillId="0" borderId="10" xfId="7" applyFont="1" applyBorder="1" applyAlignment="1">
      <alignment horizontal="center" vertical="center"/>
    </xf>
    <xf numFmtId="0" fontId="4" fillId="0" borderId="12" xfId="4" applyFont="1" applyBorder="1" applyAlignment="1">
      <alignment horizontal="left"/>
    </xf>
    <xf numFmtId="165" fontId="19" fillId="0" borderId="4" xfId="4" applyNumberFormat="1" applyFont="1" applyBorder="1" applyAlignment="1">
      <alignment horizontal="right" wrapText="1"/>
    </xf>
    <xf numFmtId="0" fontId="13" fillId="0" borderId="4" xfId="0" applyFont="1" applyBorder="1" applyAlignment="1">
      <alignment wrapText="1"/>
    </xf>
    <xf numFmtId="3" fontId="13" fillId="0" borderId="0" xfId="8" applyNumberFormat="1" applyFont="1" applyFill="1" applyBorder="1" applyAlignment="1">
      <alignment horizontal="right" vertical="center" wrapText="1"/>
    </xf>
    <xf numFmtId="0" fontId="13" fillId="0" borderId="0" xfId="0" applyFont="1" applyAlignment="1">
      <alignment horizontal="left" wrapText="1"/>
    </xf>
    <xf numFmtId="0" fontId="13" fillId="0" borderId="0" xfId="0" applyFont="1" applyAlignment="1">
      <alignment horizontal="left"/>
    </xf>
    <xf numFmtId="0" fontId="13" fillId="0" borderId="4" xfId="0" applyFont="1" applyBorder="1" applyAlignment="1">
      <alignment horizontal="left" vertical="center"/>
    </xf>
    <xf numFmtId="0" fontId="13" fillId="0" borderId="0" xfId="0" applyFont="1" applyAlignment="1">
      <alignment horizontal="left" vertical="center"/>
    </xf>
    <xf numFmtId="0" fontId="17" fillId="0" borderId="0" xfId="4" applyFont="1" applyAlignment="1">
      <alignment horizontal="left" indent="2"/>
    </xf>
    <xf numFmtId="0" fontId="17" fillId="0" borderId="0" xfId="4" applyFont="1" applyAlignment="1">
      <alignment horizontal="left" indent="1"/>
    </xf>
    <xf numFmtId="0" fontId="14" fillId="0" borderId="0" xfId="0" applyFont="1"/>
    <xf numFmtId="4" fontId="5" fillId="0" borderId="2" xfId="0" applyNumberFormat="1" applyFont="1" applyBorder="1" applyAlignment="1">
      <alignment horizontal="right"/>
    </xf>
    <xf numFmtId="0" fontId="13" fillId="0" borderId="2" xfId="4" applyFont="1" applyBorder="1" applyAlignment="1">
      <alignment horizontal="left"/>
    </xf>
    <xf numFmtId="0" fontId="17" fillId="0" borderId="0" xfId="0" applyFont="1" applyAlignment="1">
      <alignment horizontal="left" vertical="center"/>
    </xf>
    <xf numFmtId="0" fontId="13" fillId="0" borderId="0" xfId="0" applyFont="1" applyAlignment="1">
      <alignment horizontal="left" vertical="center" indent="1"/>
    </xf>
    <xf numFmtId="0" fontId="17" fillId="0" borderId="4" xfId="4" applyFont="1" applyBorder="1" applyAlignment="1">
      <alignment horizontal="left" indent="1"/>
    </xf>
    <xf numFmtId="0" fontId="13" fillId="0" borderId="0" xfId="0" applyFont="1" applyAlignment="1">
      <alignment horizontal="left" vertical="center" wrapText="1"/>
    </xf>
    <xf numFmtId="0" fontId="17" fillId="0" borderId="0" xfId="0" applyFont="1" applyAlignment="1">
      <alignment horizontal="left" vertical="center" indent="1"/>
    </xf>
    <xf numFmtId="4" fontId="19" fillId="0" borderId="0" xfId="0" applyNumberFormat="1" applyFont="1"/>
    <xf numFmtId="4" fontId="19" fillId="0" borderId="0" xfId="0" applyNumberFormat="1" applyFont="1" applyAlignment="1">
      <alignment horizontal="right"/>
    </xf>
    <xf numFmtId="4" fontId="7" fillId="0" borderId="0" xfId="9" applyNumberFormat="1" applyFont="1" applyFill="1" applyBorder="1" applyAlignment="1">
      <alignment horizontal="right"/>
    </xf>
    <xf numFmtId="169" fontId="5" fillId="0" borderId="0" xfId="0" applyNumberFormat="1" applyFont="1"/>
    <xf numFmtId="165" fontId="5" fillId="0" borderId="0" xfId="0" applyNumberFormat="1" applyFont="1"/>
    <xf numFmtId="0" fontId="13" fillId="0" borderId="0" xfId="0" applyFont="1" applyAlignment="1">
      <alignment horizontal="left" vertical="center" wrapText="1" indent="1"/>
    </xf>
    <xf numFmtId="0" fontId="17" fillId="0" borderId="0" xfId="0" applyFont="1" applyAlignment="1">
      <alignment horizontal="left" vertical="center" wrapText="1" indent="2"/>
    </xf>
    <xf numFmtId="170" fontId="32" fillId="0" borderId="0" xfId="10" applyNumberFormat="1" applyFont="1" applyAlignment="1">
      <alignment horizontal="left" vertical="center" wrapText="1"/>
    </xf>
    <xf numFmtId="0" fontId="32" fillId="0" borderId="0" xfId="10" applyFont="1" applyAlignment="1">
      <alignment horizontal="left" vertical="center" wrapText="1"/>
    </xf>
    <xf numFmtId="0" fontId="13" fillId="0" borderId="4" xfId="0" applyFont="1" applyBorder="1" applyAlignment="1">
      <alignment horizontal="left" vertical="center" wrapText="1"/>
    </xf>
    <xf numFmtId="0" fontId="17" fillId="0" borderId="4" xfId="0" applyFont="1" applyBorder="1" applyAlignment="1" applyProtection="1">
      <alignment horizontal="left" indent="1"/>
      <protection locked="0"/>
    </xf>
    <xf numFmtId="4" fontId="19" fillId="0" borderId="0" xfId="4" applyNumberFormat="1" applyFont="1" applyAlignment="1">
      <alignment horizontal="right"/>
    </xf>
    <xf numFmtId="0" fontId="33" fillId="0" borderId="0" xfId="0" applyFont="1" applyAlignment="1">
      <alignment horizontal="left" vertical="center" wrapText="1"/>
    </xf>
    <xf numFmtId="2" fontId="10" fillId="0" borderId="0" xfId="0" applyNumberFormat="1" applyFont="1" applyAlignment="1" applyProtection="1">
      <alignment horizontal="left" vertical="center" wrapText="1"/>
      <protection locked="0"/>
    </xf>
    <xf numFmtId="3" fontId="19" fillId="0" borderId="0" xfId="4" applyNumberFormat="1" applyFont="1" applyAlignment="1">
      <alignment horizontal="center" wrapText="1"/>
    </xf>
    <xf numFmtId="3" fontId="19" fillId="0" borderId="0" xfId="4" applyNumberFormat="1" applyFont="1" applyAlignment="1">
      <alignment horizontal="right" wrapText="1"/>
    </xf>
    <xf numFmtId="0" fontId="19" fillId="0" borderId="0" xfId="4" applyFont="1" applyAlignment="1">
      <alignment horizontal="center" wrapText="1"/>
    </xf>
    <xf numFmtId="4" fontId="5" fillId="0" borderId="0" xfId="0" applyNumberFormat="1" applyFont="1" applyAlignment="1">
      <alignment horizontal="right" vertical="center"/>
    </xf>
    <xf numFmtId="0" fontId="34" fillId="0" borderId="0" xfId="4" applyFont="1" applyAlignment="1">
      <alignment horizontal="center" wrapText="1"/>
    </xf>
    <xf numFmtId="4" fontId="19" fillId="0" borderId="0" xfId="10" applyNumberFormat="1" applyFont="1"/>
    <xf numFmtId="4" fontId="19" fillId="0" borderId="0" xfId="10" applyNumberFormat="1" applyFont="1" applyAlignment="1">
      <alignment horizontal="right"/>
    </xf>
    <xf numFmtId="165" fontId="19" fillId="0" borderId="0" xfId="4" applyNumberFormat="1" applyFont="1" applyAlignment="1">
      <alignment horizontal="right" vertical="center" wrapText="1"/>
    </xf>
    <xf numFmtId="165" fontId="19" fillId="0" borderId="0" xfId="4" applyNumberFormat="1" applyFont="1" applyAlignment="1">
      <alignment horizontal="center" wrapText="1"/>
    </xf>
    <xf numFmtId="4" fontId="19" fillId="0" borderId="0" xfId="4" applyNumberFormat="1" applyFont="1" applyAlignment="1">
      <alignment horizontal="right" vertical="center" wrapText="1"/>
    </xf>
    <xf numFmtId="3" fontId="19" fillId="0" borderId="0" xfId="4" applyNumberFormat="1" applyFont="1" applyAlignment="1">
      <alignment horizontal="right" vertical="center" wrapText="1"/>
    </xf>
    <xf numFmtId="172" fontId="13" fillId="0" borderId="0" xfId="11" quotePrefix="1" applyNumberFormat="1" applyFont="1" applyFill="1" applyBorder="1" applyAlignment="1">
      <alignment horizontal="left" vertical="center"/>
    </xf>
    <xf numFmtId="174" fontId="13" fillId="0" borderId="0" xfId="12" applyNumberFormat="1" applyFont="1" applyFill="1" applyAlignment="1">
      <alignment horizontal="left"/>
    </xf>
    <xf numFmtId="0" fontId="19" fillId="0" borderId="0" xfId="4" applyFont="1" applyAlignment="1">
      <alignment horizontal="right"/>
    </xf>
    <xf numFmtId="4" fontId="19" fillId="0" borderId="0" xfId="0" quotePrefix="1" applyNumberFormat="1" applyFont="1" applyAlignment="1">
      <alignment horizontal="right" vertical="center"/>
    </xf>
    <xf numFmtId="4" fontId="19" fillId="0" borderId="0" xfId="11" quotePrefix="1" applyNumberFormat="1" applyFont="1" applyFill="1" applyBorder="1" applyAlignment="1">
      <alignment horizontal="right" vertical="center"/>
    </xf>
    <xf numFmtId="165" fontId="19" fillId="0" borderId="0" xfId="0" quotePrefix="1" applyNumberFormat="1" applyFont="1" applyAlignment="1">
      <alignment horizontal="right" vertical="center"/>
    </xf>
    <xf numFmtId="4" fontId="19" fillId="0" borderId="0" xfId="0" quotePrefix="1" applyNumberFormat="1" applyFont="1" applyAlignment="1">
      <alignment vertical="center"/>
    </xf>
    <xf numFmtId="0" fontId="0" fillId="0" borderId="0" xfId="0" applyAlignment="1">
      <alignment horizontal="right"/>
    </xf>
    <xf numFmtId="0" fontId="13" fillId="0" borderId="0" xfId="0" quotePrefix="1" applyFont="1" applyAlignment="1">
      <alignment horizontal="right" vertical="center"/>
    </xf>
    <xf numFmtId="0" fontId="13" fillId="0" borderId="0" xfId="0" quotePrefix="1" applyFont="1" applyAlignment="1">
      <alignment horizontal="right" vertical="center" wrapText="1"/>
    </xf>
    <xf numFmtId="0" fontId="13" fillId="0" borderId="0" xfId="0" applyFont="1" applyAlignment="1" applyProtection="1">
      <alignment horizontal="right" vertical="center" wrapText="1"/>
      <protection locked="0"/>
    </xf>
    <xf numFmtId="0" fontId="19" fillId="0" borderId="0" xfId="0" quotePrefix="1" applyFont="1" applyAlignment="1">
      <alignment horizontal="right" vertical="center"/>
    </xf>
    <xf numFmtId="0" fontId="34" fillId="2" borderId="0" xfId="4" applyFont="1" applyFill="1" applyAlignment="1">
      <alignment horizontal="left"/>
    </xf>
    <xf numFmtId="0" fontId="19" fillId="2" borderId="10" xfId="4" applyFont="1" applyFill="1" applyBorder="1" applyAlignment="1">
      <alignment horizontal="center" vertical="center" wrapText="1"/>
    </xf>
    <xf numFmtId="0" fontId="13" fillId="0" borderId="7" xfId="0" applyFont="1" applyBorder="1" applyAlignment="1">
      <alignment horizontal="left" vertical="center" indent="2"/>
    </xf>
    <xf numFmtId="3" fontId="19" fillId="0" borderId="0" xfId="0" applyNumberFormat="1" applyFont="1" applyAlignment="1">
      <alignment horizontal="center" vertical="center"/>
    </xf>
    <xf numFmtId="3" fontId="19" fillId="0" borderId="0" xfId="0" applyNumberFormat="1" applyFont="1" applyAlignment="1">
      <alignment horizontal="center" vertical="center" wrapText="1"/>
    </xf>
    <xf numFmtId="0" fontId="34" fillId="0" borderId="0" xfId="4" applyFont="1" applyAlignment="1">
      <alignment horizontal="right" wrapText="1"/>
    </xf>
    <xf numFmtId="0" fontId="13" fillId="0" borderId="6" xfId="0" applyFont="1" applyBorder="1" applyAlignment="1">
      <alignment horizontal="left" vertical="center" indent="2"/>
    </xf>
    <xf numFmtId="0" fontId="8" fillId="0" borderId="12" xfId="0" applyFont="1" applyBorder="1" applyAlignment="1">
      <alignment horizontal="left"/>
    </xf>
    <xf numFmtId="0" fontId="13" fillId="0" borderId="5" xfId="0" applyFont="1" applyBorder="1" applyAlignment="1">
      <alignment horizontal="left" vertical="center" indent="2"/>
    </xf>
    <xf numFmtId="3" fontId="19" fillId="0" borderId="4" xfId="0" applyNumberFormat="1" applyFont="1" applyBorder="1" applyAlignment="1">
      <alignment horizontal="center" vertical="center"/>
    </xf>
    <xf numFmtId="0" fontId="8" fillId="0" borderId="0" xfId="0" applyFont="1" applyAlignment="1">
      <alignment horizontal="left" vertical="top"/>
    </xf>
    <xf numFmtId="0" fontId="5" fillId="0" borderId="0" xfId="0" applyFont="1" applyAlignment="1">
      <alignment vertical="center" wrapText="1"/>
    </xf>
    <xf numFmtId="0" fontId="5" fillId="0" borderId="0" xfId="0" applyFont="1" applyAlignment="1">
      <alignment vertical="center"/>
    </xf>
    <xf numFmtId="169" fontId="19" fillId="0" borderId="0" xfId="0" applyNumberFormat="1" applyFont="1" applyAlignment="1">
      <alignment horizontal="center" vertical="center"/>
    </xf>
    <xf numFmtId="3" fontId="13" fillId="0" borderId="0" xfId="0" applyNumberFormat="1" applyFont="1" applyAlignment="1">
      <alignment horizontal="center" vertical="center"/>
    </xf>
    <xf numFmtId="3" fontId="19" fillId="0" borderId="4" xfId="0" applyNumberFormat="1" applyFont="1" applyBorder="1" applyAlignment="1">
      <alignment horizontal="center" vertical="center" wrapText="1"/>
    </xf>
    <xf numFmtId="169" fontId="19" fillId="0" borderId="4" xfId="0" applyNumberFormat="1" applyFont="1" applyBorder="1" applyAlignment="1">
      <alignment horizontal="center" vertical="center"/>
    </xf>
    <xf numFmtId="0" fontId="8" fillId="0" borderId="0" xfId="0" applyFont="1" applyAlignment="1">
      <alignment horizontal="left"/>
    </xf>
    <xf numFmtId="0" fontId="7" fillId="0" borderId="15" xfId="0" applyFont="1" applyBorder="1" applyAlignment="1">
      <alignment horizontal="left" vertical="center" indent="2"/>
    </xf>
    <xf numFmtId="3" fontId="19" fillId="0" borderId="13" xfId="0" applyNumberFormat="1" applyFont="1" applyBorder="1" applyAlignment="1">
      <alignment horizontal="center" vertical="center" wrapText="1"/>
    </xf>
    <xf numFmtId="49" fontId="19" fillId="0" borderId="13" xfId="0" quotePrefix="1" applyNumberFormat="1" applyFont="1" applyBorder="1" applyAlignment="1">
      <alignment horizontal="center" vertical="center" wrapText="1"/>
    </xf>
    <xf numFmtId="169" fontId="19" fillId="0" borderId="13" xfId="0" applyNumberFormat="1" applyFont="1" applyBorder="1" applyAlignment="1">
      <alignment horizontal="center" vertical="center" wrapText="1"/>
    </xf>
    <xf numFmtId="3" fontId="13" fillId="0" borderId="0" xfId="0" applyNumberFormat="1" applyFont="1" applyAlignment="1">
      <alignment horizontal="center" vertical="center" wrapText="1"/>
    </xf>
    <xf numFmtId="165" fontId="19" fillId="0" borderId="0" xfId="0" applyNumberFormat="1" applyFont="1"/>
    <xf numFmtId="165" fontId="19" fillId="0" borderId="0" xfId="0" applyNumberFormat="1" applyFont="1" applyAlignment="1">
      <alignment horizontal="right"/>
    </xf>
    <xf numFmtId="165" fontId="19" fillId="0" borderId="0" xfId="2" applyNumberFormat="1" applyFont="1" applyBorder="1" applyAlignment="1">
      <alignment horizontal="right"/>
    </xf>
    <xf numFmtId="165" fontId="19" fillId="0" borderId="0" xfId="2" applyNumberFormat="1" applyFont="1" applyBorder="1"/>
    <xf numFmtId="165" fontId="5" fillId="0" borderId="0" xfId="0" applyNumberFormat="1" applyFont="1" applyAlignment="1">
      <alignment horizontal="right" indent="1"/>
    </xf>
    <xf numFmtId="165" fontId="13" fillId="0" borderId="0" xfId="0" applyNumberFormat="1" applyFont="1" applyAlignment="1">
      <alignment horizontal="right" vertical="center" indent="1"/>
    </xf>
    <xf numFmtId="0" fontId="7" fillId="0" borderId="0" xfId="0" applyFont="1" applyAlignment="1">
      <alignment horizontal="left" indent="1"/>
    </xf>
    <xf numFmtId="172" fontId="5" fillId="0" borderId="0" xfId="1" applyNumberFormat="1" applyFont="1" applyAlignment="1">
      <alignment horizontal="right"/>
    </xf>
    <xf numFmtId="165" fontId="3" fillId="0" borderId="0" xfId="0" applyNumberFormat="1" applyFont="1"/>
    <xf numFmtId="165" fontId="19" fillId="0" borderId="0" xfId="10" applyNumberFormat="1" applyFont="1" applyAlignment="1">
      <alignment horizontal="right" vertical="center"/>
    </xf>
    <xf numFmtId="166" fontId="19" fillId="0" borderId="0" xfId="5" applyNumberFormat="1" applyFont="1" applyAlignment="1">
      <alignment horizontal="right" vertical="center"/>
    </xf>
    <xf numFmtId="166" fontId="19" fillId="0" borderId="0" xfId="5" quotePrefix="1" applyNumberFormat="1" applyFont="1" applyAlignment="1">
      <alignment horizontal="right" vertical="center"/>
    </xf>
    <xf numFmtId="175" fontId="5" fillId="0" borderId="0" xfId="2" applyNumberFormat="1" applyFont="1"/>
    <xf numFmtId="175" fontId="19" fillId="0" borderId="0" xfId="2" applyNumberFormat="1" applyFont="1" applyAlignment="1">
      <alignment horizontal="right" wrapText="1"/>
    </xf>
    <xf numFmtId="175" fontId="19" fillId="0" borderId="0" xfId="2" applyNumberFormat="1" applyFont="1" applyFill="1" applyBorder="1" applyAlignment="1">
      <alignment horizontal="right" wrapText="1"/>
    </xf>
    <xf numFmtId="0" fontId="13" fillId="0" borderId="0" xfId="4" applyFont="1" applyAlignment="1">
      <alignment wrapText="1"/>
    </xf>
    <xf numFmtId="166" fontId="5" fillId="0" borderId="0" xfId="0" applyNumberFormat="1" applyFont="1"/>
    <xf numFmtId="166" fontId="23" fillId="0" borderId="0" xfId="0" applyNumberFormat="1" applyFont="1" applyAlignment="1">
      <alignment horizontal="right"/>
    </xf>
    <xf numFmtId="166" fontId="3" fillId="0" borderId="0" xfId="0" applyNumberFormat="1" applyFont="1" applyAlignment="1">
      <alignment horizontal="right"/>
    </xf>
    <xf numFmtId="2" fontId="13" fillId="0" borderId="4" xfId="0" applyNumberFormat="1" applyFont="1" applyBorder="1" applyAlignment="1" applyProtection="1">
      <alignment horizontal="left" vertical="center" wrapText="1"/>
      <protection locked="0"/>
    </xf>
    <xf numFmtId="0" fontId="13" fillId="0" borderId="0" xfId="4" applyFont="1" applyAlignment="1">
      <alignment horizontal="left" wrapText="1" readingOrder="1"/>
    </xf>
    <xf numFmtId="2" fontId="13" fillId="0" borderId="4" xfId="0" applyNumberFormat="1" applyFont="1" applyBorder="1" applyAlignment="1" applyProtection="1">
      <alignment horizontal="left" vertical="center" wrapText="1" indent="2"/>
      <protection locked="0"/>
    </xf>
    <xf numFmtId="166" fontId="3" fillId="0" borderId="0" xfId="0" applyNumberFormat="1" applyFont="1"/>
    <xf numFmtId="172" fontId="5" fillId="0" borderId="0" xfId="1" applyNumberFormat="1" applyFont="1"/>
    <xf numFmtId="172" fontId="34" fillId="0" borderId="0" xfId="1" applyNumberFormat="1" applyFont="1" applyAlignment="1">
      <alignment horizontal="center" wrapText="1"/>
    </xf>
    <xf numFmtId="172" fontId="5" fillId="0" borderId="4" xfId="1" applyNumberFormat="1" applyFont="1" applyBorder="1" applyAlignment="1">
      <alignment horizontal="right"/>
    </xf>
    <xf numFmtId="172" fontId="35" fillId="0" borderId="0" xfId="1" applyNumberFormat="1" applyFont="1" applyFill="1" applyAlignment="1">
      <alignment horizontal="right"/>
    </xf>
    <xf numFmtId="172" fontId="5" fillId="0" borderId="0" xfId="1" applyNumberFormat="1" applyFont="1" applyFill="1" applyAlignment="1">
      <alignment horizontal="right"/>
    </xf>
    <xf numFmtId="166" fontId="5" fillId="0" borderId="4" xfId="0" applyNumberFormat="1" applyFont="1" applyBorder="1" applyAlignment="1">
      <alignment horizontal="right"/>
    </xf>
    <xf numFmtId="0" fontId="7" fillId="0" borderId="0" xfId="0" applyFont="1" applyAlignment="1">
      <alignment horizontal="left" indent="2"/>
    </xf>
    <xf numFmtId="0" fontId="5" fillId="0" borderId="0" xfId="0" quotePrefix="1" applyFont="1" applyAlignment="1">
      <alignment horizontal="center"/>
    </xf>
    <xf numFmtId="20" fontId="5" fillId="0" borderId="0" xfId="0" applyNumberFormat="1" applyFont="1" applyAlignment="1">
      <alignment horizontal="center" vertical="center" wrapText="1"/>
    </xf>
    <xf numFmtId="20" fontId="5" fillId="0" borderId="0" xfId="0" applyNumberFormat="1" applyFont="1" applyAlignment="1">
      <alignment horizontal="center" vertical="center"/>
    </xf>
    <xf numFmtId="3" fontId="19" fillId="0" borderId="0" xfId="5" applyNumberFormat="1" applyFont="1" applyAlignment="1">
      <alignment horizontal="center" vertical="center" wrapText="1"/>
    </xf>
    <xf numFmtId="3" fontId="19" fillId="0" borderId="11" xfId="5" applyNumberFormat="1" applyFont="1" applyBorder="1" applyAlignment="1">
      <alignment horizontal="center" vertical="center" wrapText="1"/>
    </xf>
    <xf numFmtId="3" fontId="19" fillId="0" borderId="4" xfId="5" applyNumberFormat="1" applyFont="1" applyBorder="1" applyAlignment="1">
      <alignment horizontal="center" vertical="center" wrapText="1"/>
    </xf>
    <xf numFmtId="0" fontId="5" fillId="0" borderId="4" xfId="0" applyFont="1" applyBorder="1" applyAlignment="1">
      <alignment horizontal="center" vertical="center"/>
    </xf>
    <xf numFmtId="0" fontId="5" fillId="0" borderId="3" xfId="0" applyFont="1" applyBorder="1" applyAlignment="1">
      <alignment horizontal="center" vertical="center" wrapText="1"/>
    </xf>
    <xf numFmtId="0" fontId="5" fillId="0" borderId="3" xfId="0" applyFont="1" applyBorder="1" applyAlignment="1">
      <alignment horizontal="center" vertical="center"/>
    </xf>
    <xf numFmtId="20" fontId="5" fillId="0" borderId="3" xfId="0" applyNumberFormat="1" applyFont="1" applyBorder="1" applyAlignment="1">
      <alignment horizontal="center" vertical="center"/>
    </xf>
    <xf numFmtId="0" fontId="5" fillId="0" borderId="4" xfId="0" applyFont="1" applyBorder="1" applyAlignment="1">
      <alignment horizontal="center" vertical="center" wrapText="1"/>
    </xf>
    <xf numFmtId="20" fontId="5" fillId="0" borderId="4" xfId="0" applyNumberFormat="1" applyFont="1" applyBorder="1" applyAlignment="1">
      <alignment horizontal="center" vertical="center"/>
    </xf>
    <xf numFmtId="0" fontId="5" fillId="0" borderId="11" xfId="0" applyFont="1" applyBorder="1" applyAlignment="1">
      <alignment horizontal="center" vertical="center"/>
    </xf>
    <xf numFmtId="0" fontId="36" fillId="0" borderId="0" xfId="0" applyFont="1"/>
    <xf numFmtId="0" fontId="34" fillId="4" borderId="2" xfId="4" applyFont="1" applyFill="1" applyBorder="1" applyAlignment="1">
      <alignment horizontal="center" wrapText="1"/>
    </xf>
    <xf numFmtId="4" fontId="29" fillId="0" borderId="0" xfId="0" applyNumberFormat="1" applyFont="1"/>
    <xf numFmtId="165" fontId="29" fillId="0" borderId="0" xfId="0" applyNumberFormat="1" applyFont="1"/>
    <xf numFmtId="4" fontId="29" fillId="0" borderId="0" xfId="0" applyNumberFormat="1" applyFont="1" applyAlignment="1">
      <alignment horizontal="right"/>
    </xf>
    <xf numFmtId="165" fontId="29" fillId="0" borderId="0" xfId="0" applyNumberFormat="1" applyFont="1" applyAlignment="1">
      <alignment horizontal="right"/>
    </xf>
    <xf numFmtId="4" fontId="19" fillId="0" borderId="0" xfId="4" applyNumberFormat="1" applyFont="1" applyAlignment="1">
      <alignment wrapText="1"/>
    </xf>
    <xf numFmtId="4" fontId="29" fillId="0" borderId="2" xfId="0" applyNumberFormat="1" applyFont="1" applyBorder="1" applyAlignment="1">
      <alignment horizontal="right"/>
    </xf>
    <xf numFmtId="49" fontId="17" fillId="0" borderId="0" xfId="0" applyNumberFormat="1" applyFont="1" applyAlignment="1">
      <alignment horizontal="left" vertical="center" wrapText="1" indent="2"/>
    </xf>
    <xf numFmtId="49" fontId="17" fillId="0" borderId="0" xfId="13" applyNumberFormat="1" applyFont="1" applyFill="1" applyBorder="1" applyAlignment="1">
      <alignment horizontal="left" vertical="center" wrapText="1" indent="2"/>
    </xf>
    <xf numFmtId="4" fontId="29" fillId="0" borderId="4" xfId="0" applyNumberFormat="1" applyFont="1" applyBorder="1" applyAlignment="1">
      <alignment horizontal="right"/>
    </xf>
    <xf numFmtId="0" fontId="17" fillId="0" borderId="0" xfId="0" applyFont="1" applyAlignment="1">
      <alignment horizontal="left" indent="2"/>
    </xf>
    <xf numFmtId="0" fontId="13" fillId="0" borderId="0" xfId="0" applyFont="1" applyAlignment="1">
      <alignment horizontal="left" indent="2"/>
    </xf>
    <xf numFmtId="3" fontId="29" fillId="5" borderId="0" xfId="0" applyNumberFormat="1" applyFont="1" applyFill="1" applyAlignment="1">
      <alignment horizontal="right"/>
    </xf>
    <xf numFmtId="165" fontId="29" fillId="5" borderId="0" xfId="0" applyNumberFormat="1" applyFont="1" applyFill="1" applyAlignment="1">
      <alignment horizontal="right"/>
    </xf>
    <xf numFmtId="4" fontId="13" fillId="0" borderId="0" xfId="11" applyNumberFormat="1" applyFont="1" applyFill="1" applyBorder="1" applyAlignment="1">
      <alignment horizontal="right" vertical="center"/>
    </xf>
    <xf numFmtId="4" fontId="30" fillId="0" borderId="0" xfId="0" applyNumberFormat="1" applyFont="1" applyAlignment="1">
      <alignment horizontal="right"/>
    </xf>
    <xf numFmtId="43" fontId="30" fillId="0" borderId="0" xfId="1" applyFont="1" applyFill="1" applyAlignment="1">
      <alignment horizontal="right"/>
    </xf>
    <xf numFmtId="177" fontId="30" fillId="0" borderId="0" xfId="1" applyNumberFormat="1" applyFont="1" applyFill="1" applyAlignment="1">
      <alignment horizontal="right"/>
    </xf>
    <xf numFmtId="0" fontId="29" fillId="0" borderId="0" xfId="0" applyFont="1" applyAlignment="1">
      <alignment horizontal="right"/>
    </xf>
    <xf numFmtId="1" fontId="19" fillId="0" borderId="0" xfId="11" applyNumberFormat="1" applyFont="1" applyFill="1" applyBorder="1" applyAlignment="1">
      <alignment horizontal="right" vertical="center"/>
    </xf>
    <xf numFmtId="1" fontId="29" fillId="0" borderId="0" xfId="0" applyNumberFormat="1" applyFont="1" applyAlignment="1">
      <alignment horizontal="right"/>
    </xf>
    <xf numFmtId="1" fontId="19" fillId="0" borderId="0" xfId="0" applyNumberFormat="1" applyFont="1" applyAlignment="1">
      <alignment horizontal="right"/>
    </xf>
    <xf numFmtId="165" fontId="19" fillId="5" borderId="0" xfId="4" applyNumberFormat="1" applyFont="1" applyFill="1" applyAlignment="1">
      <alignment horizontal="right" wrapText="1"/>
    </xf>
    <xf numFmtId="165" fontId="36" fillId="0" borderId="0" xfId="0" applyNumberFormat="1" applyFont="1"/>
    <xf numFmtId="165" fontId="19" fillId="0" borderId="0" xfId="11" applyNumberFormat="1" applyFont="1" applyFill="1" applyBorder="1" applyAlignment="1">
      <alignment horizontal="right" vertical="center"/>
    </xf>
    <xf numFmtId="172" fontId="19" fillId="5" borderId="0" xfId="1" applyNumberFormat="1" applyFont="1" applyFill="1" applyAlignment="1">
      <alignment horizontal="right" wrapText="1"/>
    </xf>
    <xf numFmtId="172" fontId="19" fillId="0" borderId="0" xfId="1" applyNumberFormat="1" applyFont="1" applyFill="1" applyAlignment="1">
      <alignment horizontal="right" wrapText="1"/>
    </xf>
    <xf numFmtId="172" fontId="36" fillId="0" borderId="0" xfId="1" applyNumberFormat="1" applyFont="1" applyFill="1"/>
    <xf numFmtId="172" fontId="29" fillId="0" borderId="0" xfId="1" applyNumberFormat="1" applyFont="1" applyFill="1" applyAlignment="1">
      <alignment horizontal="right"/>
    </xf>
    <xf numFmtId="172" fontId="19" fillId="0" borderId="0" xfId="1" applyNumberFormat="1" applyFont="1" applyFill="1" applyBorder="1" applyAlignment="1">
      <alignment horizontal="right" vertical="center"/>
    </xf>
    <xf numFmtId="172" fontId="29" fillId="5" borderId="0" xfId="1" applyNumberFormat="1" applyFont="1" applyFill="1" applyAlignment="1">
      <alignment horizontal="right"/>
    </xf>
    <xf numFmtId="172" fontId="19" fillId="5" borderId="0" xfId="1" applyNumberFormat="1" applyFont="1" applyFill="1" applyBorder="1" applyAlignment="1">
      <alignment horizontal="right" vertical="center"/>
    </xf>
    <xf numFmtId="0" fontId="29" fillId="5" borderId="0" xfId="0" applyFont="1" applyFill="1" applyAlignment="1">
      <alignment horizontal="right"/>
    </xf>
    <xf numFmtId="0" fontId="10" fillId="0" borderId="0" xfId="0" quotePrefix="1" applyFont="1" applyAlignment="1">
      <alignment horizontal="right" vertical="center"/>
    </xf>
    <xf numFmtId="0" fontId="13" fillId="0" borderId="0" xfId="0" applyFont="1" applyAlignment="1" applyProtection="1">
      <alignment horizontal="right" vertical="center" wrapText="1" indent="2"/>
      <protection locked="0"/>
    </xf>
    <xf numFmtId="4" fontId="29" fillId="5" borderId="0" xfId="0" applyNumberFormat="1" applyFont="1" applyFill="1" applyAlignment="1">
      <alignment horizontal="right"/>
    </xf>
    <xf numFmtId="0" fontId="36" fillId="0" borderId="0" xfId="0" applyFont="1" applyAlignment="1">
      <alignment horizontal="right"/>
    </xf>
    <xf numFmtId="0" fontId="20" fillId="4" borderId="3" xfId="0" applyFont="1" applyFill="1" applyBorder="1" applyAlignment="1">
      <alignment horizontal="center" vertical="center"/>
    </xf>
    <xf numFmtId="0" fontId="20" fillId="4" borderId="2" xfId="0" applyFont="1" applyFill="1" applyBorder="1" applyAlignment="1">
      <alignment horizontal="center" vertical="center"/>
    </xf>
    <xf numFmtId="0" fontId="20" fillId="0" borderId="0" xfId="0" applyFont="1" applyAlignment="1">
      <alignment horizontal="center" vertical="center"/>
    </xf>
    <xf numFmtId="0" fontId="20" fillId="0" borderId="7" xfId="0" applyFont="1" applyBorder="1" applyAlignment="1">
      <alignment horizontal="left" vertical="center" indent="2"/>
    </xf>
    <xf numFmtId="0" fontId="20" fillId="0" borderId="6" xfId="0" applyFont="1" applyBorder="1" applyAlignment="1">
      <alignment horizontal="left" vertical="center" indent="2"/>
    </xf>
    <xf numFmtId="0" fontId="29" fillId="0" borderId="0" xfId="0" applyFont="1" applyAlignment="1">
      <alignment horizontal="center" vertical="center"/>
    </xf>
    <xf numFmtId="0" fontId="29" fillId="0" borderId="0" xfId="0" applyFont="1" applyAlignment="1">
      <alignment horizontal="center"/>
    </xf>
    <xf numFmtId="0" fontId="20" fillId="0" borderId="0" xfId="0" applyFont="1" applyAlignment="1">
      <alignment horizontal="left" vertical="center" indent="2"/>
    </xf>
    <xf numFmtId="0" fontId="29" fillId="0" borderId="16" xfId="0" applyFont="1" applyBorder="1" applyAlignment="1">
      <alignment horizontal="center"/>
    </xf>
    <xf numFmtId="0" fontId="20" fillId="0" borderId="5" xfId="0" applyFont="1" applyBorder="1" applyAlignment="1">
      <alignment horizontal="left" vertical="center" indent="2"/>
    </xf>
    <xf numFmtId="0" fontId="29" fillId="0" borderId="4" xfId="0" applyFont="1" applyBorder="1" applyAlignment="1">
      <alignment horizontal="center"/>
    </xf>
    <xf numFmtId="0" fontId="20" fillId="0" borderId="0" xfId="0" applyFont="1" applyAlignment="1">
      <alignment vertical="center"/>
    </xf>
    <xf numFmtId="0" fontId="13" fillId="4" borderId="2" xfId="4" applyFont="1" applyFill="1" applyBorder="1" applyAlignment="1">
      <alignment horizontal="center" vertical="center" wrapText="1"/>
    </xf>
    <xf numFmtId="20" fontId="19" fillId="0" borderId="0" xfId="0" applyNumberFormat="1" applyFont="1" applyAlignment="1">
      <alignment horizontal="center" vertical="center" wrapText="1"/>
    </xf>
    <xf numFmtId="20" fontId="19" fillId="0" borderId="0" xfId="0" applyNumberFormat="1" applyFont="1" applyAlignment="1" applyProtection="1">
      <alignment horizontal="center" vertical="center" wrapText="1"/>
      <protection locked="0"/>
    </xf>
    <xf numFmtId="178" fontId="19" fillId="0" borderId="0" xfId="0" applyNumberFormat="1" applyFont="1" applyAlignment="1">
      <alignment horizontal="center" vertical="center" wrapText="1"/>
    </xf>
    <xf numFmtId="0" fontId="29" fillId="0" borderId="16" xfId="0" applyFont="1" applyBorder="1" applyAlignment="1">
      <alignment horizontal="center" vertical="center"/>
    </xf>
    <xf numFmtId="20" fontId="19" fillId="0" borderId="4" xfId="0" applyNumberFormat="1" applyFont="1" applyBorder="1" applyAlignment="1">
      <alignment horizontal="center" vertical="center" wrapText="1"/>
    </xf>
    <xf numFmtId="0" fontId="13" fillId="4" borderId="10" xfId="4" applyFont="1" applyFill="1" applyBorder="1" applyAlignment="1">
      <alignment horizontal="center" vertical="center"/>
    </xf>
    <xf numFmtId="0" fontId="13" fillId="4" borderId="10" xfId="4" applyFont="1" applyFill="1" applyBorder="1" applyAlignment="1">
      <alignment horizontal="center" vertical="center" wrapText="1"/>
    </xf>
    <xf numFmtId="0" fontId="20" fillId="0" borderId="15" xfId="0" applyFont="1" applyBorder="1" applyAlignment="1">
      <alignment horizontal="left" vertical="center" indent="3"/>
    </xf>
    <xf numFmtId="3" fontId="19" fillId="0" borderId="17" xfId="0" applyNumberFormat="1" applyFont="1" applyBorder="1" applyAlignment="1">
      <alignment horizontal="center" vertical="center"/>
    </xf>
    <xf numFmtId="3" fontId="19" fillId="0" borderId="13" xfId="0" applyNumberFormat="1" applyFont="1" applyBorder="1" applyAlignment="1">
      <alignment horizontal="center" vertical="center"/>
    </xf>
    <xf numFmtId="0" fontId="10" fillId="0" borderId="0" xfId="4" applyFont="1" applyAlignment="1">
      <alignment horizontal="right" wrapText="1"/>
    </xf>
    <xf numFmtId="0" fontId="37" fillId="0" borderId="0" xfId="0" applyFont="1" applyAlignment="1">
      <alignment horizontal="left"/>
    </xf>
    <xf numFmtId="3" fontId="19" fillId="0" borderId="18" xfId="0" applyNumberFormat="1" applyFont="1" applyBorder="1" applyAlignment="1">
      <alignment horizontal="center" vertical="center"/>
    </xf>
    <xf numFmtId="3" fontId="10" fillId="0" borderId="0" xfId="0" applyNumberFormat="1" applyFont="1" applyAlignment="1">
      <alignment horizontal="center" vertical="center"/>
    </xf>
    <xf numFmtId="0" fontId="37" fillId="0" borderId="0" xfId="0" applyFont="1" applyAlignment="1">
      <alignment horizontal="left" vertical="top"/>
    </xf>
    <xf numFmtId="3" fontId="19" fillId="0" borderId="18" xfId="0" applyNumberFormat="1" applyFont="1" applyBorder="1" applyAlignment="1">
      <alignment horizontal="center" vertical="center" wrapText="1"/>
    </xf>
    <xf numFmtId="3" fontId="19" fillId="0" borderId="13" xfId="0" quotePrefix="1" applyNumberFormat="1" applyFont="1" applyBorder="1" applyAlignment="1">
      <alignment horizontal="center" vertical="center" wrapText="1"/>
    </xf>
    <xf numFmtId="0" fontId="37" fillId="0" borderId="12" xfId="0" applyFont="1" applyBorder="1" applyAlignment="1">
      <alignment horizontal="left"/>
    </xf>
    <xf numFmtId="169" fontId="19" fillId="0" borderId="0" xfId="0" applyNumberFormat="1" applyFont="1" applyAlignment="1">
      <alignment horizontal="center" vertical="center" wrapText="1"/>
    </xf>
    <xf numFmtId="0" fontId="7" fillId="6" borderId="0" xfId="0" applyFont="1" applyFill="1"/>
    <xf numFmtId="0" fontId="3" fillId="6" borderId="0" xfId="0" applyFont="1" applyFill="1"/>
    <xf numFmtId="0" fontId="0" fillId="6" borderId="0" xfId="0" applyFill="1"/>
    <xf numFmtId="0" fontId="39" fillId="0" borderId="19" xfId="0" applyFont="1" applyBorder="1" applyAlignment="1">
      <alignment horizontal="center" vertical="center"/>
    </xf>
    <xf numFmtId="0" fontId="39" fillId="0" borderId="19" xfId="0" applyFont="1" applyBorder="1" applyAlignment="1">
      <alignment horizontal="center" vertical="center" wrapText="1"/>
    </xf>
    <xf numFmtId="0" fontId="3" fillId="0" borderId="19" xfId="0" applyFont="1" applyBorder="1" applyAlignment="1">
      <alignment horizontal="left" vertical="center" wrapText="1"/>
    </xf>
    <xf numFmtId="0" fontId="3" fillId="0" borderId="19" xfId="0" applyFont="1" applyBorder="1" applyAlignment="1">
      <alignment horizontal="center" wrapText="1"/>
    </xf>
    <xf numFmtId="0" fontId="3" fillId="0" borderId="19" xfId="0" applyFont="1" applyBorder="1" applyAlignment="1">
      <alignment horizontal="left" wrapText="1"/>
    </xf>
    <xf numFmtId="0" fontId="3" fillId="0" borderId="19" xfId="0" applyFont="1" applyBorder="1" applyAlignment="1">
      <alignment horizontal="left" vertical="center"/>
    </xf>
    <xf numFmtId="0" fontId="3" fillId="0" borderId="19" xfId="0" applyFont="1" applyBorder="1" applyAlignment="1">
      <alignment horizontal="center"/>
    </xf>
    <xf numFmtId="0" fontId="3" fillId="0" borderId="19" xfId="0" applyFont="1" applyBorder="1" applyAlignment="1">
      <alignment horizontal="left"/>
    </xf>
    <xf numFmtId="0" fontId="0" fillId="9" borderId="0" xfId="0" applyFill="1"/>
    <xf numFmtId="0" fontId="8" fillId="0" borderId="0" xfId="0" applyFont="1" applyAlignment="1">
      <alignment horizontal="left" vertical="top" wrapText="1"/>
    </xf>
    <xf numFmtId="3" fontId="5" fillId="0" borderId="0" xfId="0" applyNumberFormat="1" applyFont="1" applyAlignment="1">
      <alignment horizontal="right" vertical="center"/>
    </xf>
    <xf numFmtId="3" fontId="5" fillId="0" borderId="0" xfId="0" applyNumberFormat="1" applyFont="1"/>
    <xf numFmtId="0" fontId="5" fillId="0" borderId="0" xfId="0" applyFont="1" applyAlignment="1">
      <alignment horizontal="right" vertical="center"/>
    </xf>
    <xf numFmtId="0" fontId="13" fillId="0" borderId="0" xfId="0" applyFont="1" applyAlignment="1">
      <alignment horizontal="right" vertical="center"/>
    </xf>
    <xf numFmtId="0" fontId="13" fillId="0" borderId="4" xfId="4" applyFont="1" applyBorder="1" applyAlignment="1">
      <alignment horizontal="left"/>
    </xf>
    <xf numFmtId="169" fontId="5" fillId="0" borderId="4" xfId="0" applyNumberFormat="1" applyFont="1" applyBorder="1" applyAlignment="1">
      <alignment horizontal="right"/>
    </xf>
    <xf numFmtId="0" fontId="13" fillId="0" borderId="22" xfId="14" applyFont="1" applyBorder="1" applyAlignment="1">
      <alignment horizontal="left" vertical="center" wrapText="1" indent="1"/>
    </xf>
    <xf numFmtId="4" fontId="42" fillId="0" borderId="0" xfId="14" applyNumberFormat="1" applyFont="1" applyAlignment="1">
      <alignment horizontal="right"/>
    </xf>
    <xf numFmtId="0" fontId="17" fillId="0" borderId="22" xfId="14" applyFont="1" applyBorder="1" applyAlignment="1">
      <alignment horizontal="left" vertical="center" wrapText="1" indent="2"/>
    </xf>
    <xf numFmtId="4" fontId="29" fillId="0" borderId="0" xfId="14" applyNumberFormat="1" applyFont="1" applyAlignment="1">
      <alignment horizontal="right"/>
    </xf>
    <xf numFmtId="4" fontId="29" fillId="0" borderId="8" xfId="14" applyNumberFormat="1" applyFont="1" applyBorder="1" applyAlignment="1">
      <alignment horizontal="right"/>
    </xf>
    <xf numFmtId="0" fontId="17" fillId="0" borderId="22" xfId="14" applyFont="1" applyBorder="1" applyAlignment="1">
      <alignment horizontal="left" indent="1"/>
    </xf>
    <xf numFmtId="0" fontId="17" fillId="0" borderId="22" xfId="14" applyFont="1" applyBorder="1" applyAlignment="1">
      <alignment horizontal="left" indent="2"/>
    </xf>
    <xf numFmtId="0" fontId="17" fillId="0" borderId="0" xfId="14" applyFont="1" applyAlignment="1">
      <alignment horizontal="left" indent="2"/>
    </xf>
    <xf numFmtId="0" fontId="17" fillId="0" borderId="0" xfId="15" applyNumberFormat="1" applyFont="1" applyFill="1" applyBorder="1" applyAlignment="1">
      <alignment horizontal="left" vertical="center" wrapText="1" indent="2"/>
    </xf>
    <xf numFmtId="0" fontId="17" fillId="0" borderId="4" xfId="15" applyNumberFormat="1" applyFont="1" applyFill="1" applyBorder="1" applyAlignment="1">
      <alignment horizontal="left" vertical="center" wrapText="1" indent="2"/>
    </xf>
    <xf numFmtId="0" fontId="43" fillId="0" borderId="0" xfId="15" applyNumberFormat="1" applyFont="1" applyFill="1" applyBorder="1" applyAlignment="1">
      <alignment horizontal="left" vertical="center" wrapText="1"/>
    </xf>
    <xf numFmtId="0" fontId="44" fillId="0" borderId="0" xfId="4" applyFont="1"/>
    <xf numFmtId="0" fontId="15" fillId="0" borderId="0" xfId="4" applyFont="1"/>
    <xf numFmtId="0" fontId="44" fillId="0" borderId="0" xfId="0" applyFont="1"/>
    <xf numFmtId="179" fontId="46" fillId="0" borderId="0" xfId="1" applyNumberFormat="1" applyFont="1" applyFill="1" applyBorder="1" applyAlignment="1">
      <alignment horizontal="center"/>
    </xf>
    <xf numFmtId="169" fontId="5" fillId="0" borderId="0" xfId="0" applyNumberFormat="1" applyFont="1" applyAlignment="1">
      <alignment horizontal="right"/>
    </xf>
    <xf numFmtId="0" fontId="44" fillId="0" borderId="0" xfId="0" applyFont="1" applyAlignment="1">
      <alignment horizontal="left"/>
    </xf>
    <xf numFmtId="0" fontId="5" fillId="0" borderId="0" xfId="0" applyFont="1" applyAlignment="1">
      <alignment horizontal="left"/>
    </xf>
    <xf numFmtId="3" fontId="5" fillId="0" borderId="0" xfId="0" applyNumberFormat="1" applyFont="1" applyAlignment="1">
      <alignment horizontal="left"/>
    </xf>
    <xf numFmtId="0" fontId="15" fillId="0" borderId="0" xfId="0" applyFont="1" applyAlignment="1">
      <alignment horizontal="left"/>
    </xf>
    <xf numFmtId="0" fontId="2" fillId="10" borderId="0" xfId="0" applyFont="1" applyFill="1"/>
    <xf numFmtId="0" fontId="41" fillId="0" borderId="0" xfId="0" applyFont="1" applyAlignment="1">
      <alignment horizontal="left"/>
    </xf>
    <xf numFmtId="0" fontId="34" fillId="4" borderId="0" xfId="4" applyFont="1" applyFill="1" applyAlignment="1">
      <alignment horizontal="center" wrapText="1"/>
    </xf>
    <xf numFmtId="0" fontId="47" fillId="0" borderId="0" xfId="0" applyFont="1" applyAlignment="1" applyProtection="1">
      <alignment horizontal="left" vertical="center"/>
      <protection locked="0"/>
    </xf>
    <xf numFmtId="0" fontId="49" fillId="0" borderId="0" xfId="0" applyFont="1" applyAlignment="1" applyProtection="1">
      <alignment horizontal="left" vertical="center" wrapText="1" indent="1"/>
      <protection locked="0"/>
    </xf>
    <xf numFmtId="0" fontId="44" fillId="0" borderId="0" xfId="0" applyFont="1" applyAlignment="1" applyProtection="1">
      <alignment horizontal="left" vertical="center"/>
      <protection locked="0"/>
    </xf>
    <xf numFmtId="0" fontId="43" fillId="0" borderId="0" xfId="0" applyFont="1" applyAlignment="1">
      <alignment horizontal="left" vertical="center" indent="2"/>
    </xf>
    <xf numFmtId="0" fontId="13" fillId="0" borderId="4" xfId="0" applyFont="1" applyBorder="1" applyAlignment="1" applyProtection="1">
      <alignment horizontal="left" vertical="center"/>
      <protection locked="0"/>
    </xf>
    <xf numFmtId="0" fontId="44" fillId="0" borderId="2" xfId="4" applyFont="1" applyBorder="1"/>
    <xf numFmtId="0" fontId="43" fillId="0" borderId="0" xfId="0" applyFont="1" applyAlignment="1">
      <alignment horizontal="left" vertical="center"/>
    </xf>
    <xf numFmtId="2" fontId="17" fillId="0" borderId="0" xfId="0" applyNumberFormat="1" applyFont="1" applyAlignment="1" applyProtection="1">
      <alignment vertical="center" wrapText="1"/>
      <protection locked="0"/>
    </xf>
    <xf numFmtId="0" fontId="15" fillId="0" borderId="0" xfId="0" applyFont="1" applyAlignment="1" applyProtection="1">
      <alignment vertical="center" wrapText="1"/>
      <protection locked="0"/>
    </xf>
    <xf numFmtId="1" fontId="17" fillId="0" borderId="0" xfId="0" applyNumberFormat="1" applyFont="1" applyAlignment="1" applyProtection="1">
      <alignment horizontal="left" vertical="center" wrapText="1" indent="2"/>
      <protection locked="0"/>
    </xf>
    <xf numFmtId="2" fontId="47" fillId="0" borderId="0" xfId="0" applyNumberFormat="1" applyFont="1" applyAlignment="1" applyProtection="1">
      <alignment horizontal="left" vertical="center" wrapText="1"/>
      <protection locked="0"/>
    </xf>
    <xf numFmtId="0" fontId="0" fillId="10" borderId="0" xfId="0" applyFill="1"/>
    <xf numFmtId="0" fontId="17" fillId="0" borderId="0" xfId="0" applyFont="1" applyAlignment="1">
      <alignment vertical="center"/>
    </xf>
    <xf numFmtId="0" fontId="17" fillId="0" borderId="0" xfId="0" applyFont="1" applyAlignment="1" applyProtection="1">
      <alignment vertical="center" wrapText="1"/>
      <protection locked="0"/>
    </xf>
    <xf numFmtId="0" fontId="47" fillId="0" borderId="0" xfId="0" applyFont="1" applyAlignment="1">
      <alignment horizontal="left" vertical="center"/>
    </xf>
    <xf numFmtId="165" fontId="19" fillId="0" borderId="0" xfId="4" applyNumberFormat="1" applyFont="1" applyAlignment="1">
      <alignment horizontal="right"/>
    </xf>
    <xf numFmtId="0" fontId="50" fillId="0" borderId="0" xfId="0" applyFont="1" applyAlignment="1" applyProtection="1">
      <alignment horizontal="left" vertical="center" wrapText="1" indent="1"/>
      <protection locked="0"/>
    </xf>
    <xf numFmtId="3" fontId="19" fillId="0" borderId="0" xfId="4" applyNumberFormat="1" applyFont="1" applyAlignment="1">
      <alignment horizontal="right"/>
    </xf>
    <xf numFmtId="0" fontId="0" fillId="11" borderId="0" xfId="0" applyFill="1"/>
    <xf numFmtId="0" fontId="51" fillId="0" borderId="0" xfId="0" applyFont="1" applyAlignment="1" applyProtection="1">
      <alignment horizontal="left" vertical="center" wrapText="1" indent="1"/>
      <protection locked="0"/>
    </xf>
    <xf numFmtId="3" fontId="14" fillId="0" borderId="0" xfId="4" applyNumberFormat="1" applyFont="1" applyAlignment="1">
      <alignment horizontal="right"/>
    </xf>
    <xf numFmtId="3" fontId="14" fillId="0" borderId="0" xfId="0" applyNumberFormat="1" applyFont="1" applyAlignment="1">
      <alignment horizontal="right"/>
    </xf>
    <xf numFmtId="0" fontId="47" fillId="0" borderId="0" xfId="0" applyFont="1" applyAlignment="1">
      <alignment horizontal="left" vertical="center" wrapText="1"/>
    </xf>
    <xf numFmtId="0" fontId="43" fillId="0" borderId="0" xfId="0" applyFont="1" applyAlignment="1">
      <alignment horizontal="left" vertical="center" wrapText="1"/>
    </xf>
    <xf numFmtId="4" fontId="17" fillId="0" borderId="0" xfId="4" applyNumberFormat="1" applyFont="1"/>
    <xf numFmtId="4" fontId="36" fillId="0" borderId="0" xfId="0" applyNumberFormat="1" applyFont="1"/>
    <xf numFmtId="4" fontId="13" fillId="0" borderId="0" xfId="4" applyNumberFormat="1" applyFont="1"/>
    <xf numFmtId="4" fontId="13" fillId="0" borderId="2" xfId="4" applyNumberFormat="1" applyFont="1" applyBorder="1"/>
    <xf numFmtId="2" fontId="43" fillId="0" borderId="0" xfId="0" applyNumberFormat="1" applyFont="1" applyAlignment="1" applyProtection="1">
      <alignment vertical="center" wrapText="1"/>
      <protection locked="0"/>
    </xf>
    <xf numFmtId="0" fontId="44" fillId="0" borderId="0" xfId="0" applyFont="1" applyAlignment="1" applyProtection="1">
      <alignment horizontal="left" vertical="center" wrapText="1"/>
      <protection locked="0"/>
    </xf>
    <xf numFmtId="0" fontId="15" fillId="0" borderId="0" xfId="0" applyFont="1" applyAlignment="1" applyProtection="1">
      <alignment horizontal="left" vertical="center" wrapText="1"/>
      <protection locked="0"/>
    </xf>
    <xf numFmtId="165" fontId="14" fillId="0" borderId="0" xfId="0" applyNumberFormat="1" applyFont="1" applyAlignment="1">
      <alignment horizontal="right"/>
    </xf>
    <xf numFmtId="0" fontId="43" fillId="0" borderId="0" xfId="0" applyFont="1" applyAlignment="1" applyProtection="1">
      <alignment horizontal="left" vertical="center" wrapText="1"/>
      <protection locked="0"/>
    </xf>
    <xf numFmtId="0" fontId="43" fillId="0" borderId="0" xfId="0" applyFont="1" applyAlignment="1" applyProtection="1">
      <alignment vertical="center" wrapText="1"/>
      <protection locked="0"/>
    </xf>
    <xf numFmtId="169" fontId="19" fillId="0" borderId="0" xfId="4" applyNumberFormat="1" applyFont="1" applyAlignment="1">
      <alignment horizontal="right"/>
    </xf>
    <xf numFmtId="0" fontId="29" fillId="0" borderId="0" xfId="0" applyFont="1"/>
    <xf numFmtId="0" fontId="16" fillId="0" borderId="0" xfId="0" applyFont="1" applyAlignment="1" applyProtection="1">
      <alignment horizontal="left" vertical="center" wrapText="1"/>
      <protection locked="0"/>
    </xf>
    <xf numFmtId="1" fontId="13" fillId="0" borderId="0" xfId="0" quotePrefix="1" applyNumberFormat="1" applyFont="1" applyAlignment="1">
      <alignment horizontal="right" vertical="center"/>
    </xf>
    <xf numFmtId="2" fontId="13" fillId="0" borderId="0" xfId="0" applyNumberFormat="1" applyFont="1" applyAlignment="1" applyProtection="1">
      <alignment vertical="center" wrapText="1"/>
      <protection locked="0"/>
    </xf>
    <xf numFmtId="0" fontId="19" fillId="0" borderId="0" xfId="4" applyFont="1" applyAlignment="1">
      <alignment horizontal="right" vertical="center" wrapText="1"/>
    </xf>
    <xf numFmtId="179" fontId="0" fillId="0" borderId="0" xfId="0" applyNumberFormat="1"/>
    <xf numFmtId="179" fontId="0" fillId="0" borderId="0" xfId="0" applyNumberFormat="1" applyAlignment="1">
      <alignment horizontal="right"/>
    </xf>
    <xf numFmtId="4" fontId="19" fillId="0" borderId="4" xfId="4" applyNumberFormat="1" applyFont="1" applyBorder="1" applyAlignment="1">
      <alignment horizontal="right" vertical="center" wrapText="1"/>
    </xf>
    <xf numFmtId="0" fontId="0" fillId="0" borderId="0" xfId="0" applyAlignment="1">
      <alignment vertical="top"/>
    </xf>
    <xf numFmtId="0" fontId="0" fillId="0" borderId="0" xfId="0" applyAlignment="1">
      <alignment horizontal="right" vertical="center"/>
    </xf>
    <xf numFmtId="0" fontId="10" fillId="0" borderId="0" xfId="0" quotePrefix="1" applyFont="1" applyAlignment="1">
      <alignment horizontal="center" vertical="center"/>
    </xf>
    <xf numFmtId="166" fontId="0" fillId="0" borderId="0" xfId="0" applyNumberFormat="1" applyAlignment="1">
      <alignment horizontal="right" vertical="center"/>
    </xf>
    <xf numFmtId="166" fontId="0" fillId="0" borderId="0" xfId="0" applyNumberFormat="1"/>
    <xf numFmtId="166" fontId="13" fillId="0" borderId="0" xfId="0" quotePrefix="1" applyNumberFormat="1" applyFont="1" applyAlignment="1">
      <alignment horizontal="right" vertical="center"/>
    </xf>
    <xf numFmtId="166" fontId="10" fillId="0" borderId="0" xfId="0" quotePrefix="1" applyNumberFormat="1" applyFont="1" applyAlignment="1">
      <alignment horizontal="center" vertical="center"/>
    </xf>
    <xf numFmtId="166" fontId="13" fillId="0" borderId="0" xfId="0" quotePrefix="1" applyNumberFormat="1" applyFont="1" applyAlignment="1">
      <alignment horizontal="center" vertical="center"/>
    </xf>
    <xf numFmtId="180" fontId="5" fillId="0" borderId="0" xfId="0" applyNumberFormat="1" applyFont="1"/>
    <xf numFmtId="2" fontId="44" fillId="0" borderId="0" xfId="0" applyNumberFormat="1" applyFont="1" applyAlignment="1" applyProtection="1">
      <alignment vertical="center" wrapText="1"/>
      <protection locked="0"/>
    </xf>
    <xf numFmtId="2" fontId="5" fillId="0" borderId="0" xfId="0" applyNumberFormat="1" applyFont="1" applyAlignment="1">
      <alignment horizontal="right" vertical="center"/>
    </xf>
    <xf numFmtId="2" fontId="19" fillId="0" borderId="0" xfId="4" applyNumberFormat="1" applyFont="1" applyAlignment="1">
      <alignment horizontal="right" vertical="center" wrapText="1"/>
    </xf>
    <xf numFmtId="1" fontId="13" fillId="0" borderId="0" xfId="11" quotePrefix="1" applyNumberFormat="1" applyFont="1" applyFill="1" applyBorder="1" applyAlignment="1">
      <alignment horizontal="right" vertical="center"/>
    </xf>
    <xf numFmtId="0" fontId="52" fillId="0" borderId="4" xfId="0" applyFont="1" applyBorder="1"/>
    <xf numFmtId="0" fontId="34" fillId="12" borderId="2" xfId="4" applyFont="1" applyFill="1" applyBorder="1" applyAlignment="1">
      <alignment horizontal="center" wrapText="1"/>
    </xf>
    <xf numFmtId="165" fontId="10" fillId="0" borderId="0" xfId="0" quotePrefix="1" applyNumberFormat="1" applyFont="1" applyAlignment="1">
      <alignment horizontal="right" vertical="center"/>
    </xf>
    <xf numFmtId="3" fontId="15" fillId="0" borderId="0" xfId="0" quotePrefix="1" applyNumberFormat="1" applyFont="1" applyAlignment="1">
      <alignment horizontal="right" vertical="center"/>
    </xf>
    <xf numFmtId="165" fontId="15" fillId="0" borderId="0" xfId="0" quotePrefix="1" applyNumberFormat="1" applyFont="1" applyAlignment="1">
      <alignment horizontal="right" vertical="center"/>
    </xf>
    <xf numFmtId="165" fontId="16" fillId="0" borderId="0" xfId="0" quotePrefix="1" applyNumberFormat="1" applyFont="1" applyAlignment="1">
      <alignment horizontal="center" vertical="center"/>
    </xf>
    <xf numFmtId="165" fontId="15" fillId="0" borderId="0" xfId="0" quotePrefix="1" applyNumberFormat="1" applyFont="1" applyAlignment="1">
      <alignment horizontal="center" vertical="center"/>
    </xf>
    <xf numFmtId="0" fontId="44" fillId="0" borderId="0" xfId="0" applyFont="1" applyAlignment="1" applyProtection="1">
      <alignment vertical="center" wrapText="1"/>
      <protection locked="0"/>
    </xf>
    <xf numFmtId="0" fontId="53" fillId="0" borderId="0" xfId="4" applyFont="1"/>
    <xf numFmtId="0" fontId="54" fillId="0" borderId="4" xfId="0" applyFont="1" applyBorder="1"/>
    <xf numFmtId="0" fontId="10" fillId="0" borderId="0" xfId="14" applyFont="1"/>
    <xf numFmtId="0" fontId="19" fillId="0" borderId="0" xfId="14" applyFont="1"/>
    <xf numFmtId="0" fontId="13" fillId="0" borderId="4" xfId="0" applyFont="1" applyBorder="1" applyAlignment="1" applyProtection="1">
      <alignment horizontal="right" vertical="center" wrapText="1"/>
      <protection locked="0"/>
    </xf>
    <xf numFmtId="0" fontId="19" fillId="0" borderId="0" xfId="14" applyFont="1" applyAlignment="1">
      <alignment horizontal="right"/>
    </xf>
    <xf numFmtId="0" fontId="19" fillId="0" borderId="0" xfId="14" applyFont="1" applyAlignment="1">
      <alignment horizontal="center"/>
    </xf>
    <xf numFmtId="0" fontId="13" fillId="0" borderId="0" xfId="10" applyFont="1" applyAlignment="1" applyProtection="1">
      <alignment horizontal="right" wrapText="1"/>
      <protection locked="0"/>
    </xf>
    <xf numFmtId="0" fontId="13" fillId="0" borderId="0" xfId="10" applyFont="1" applyAlignment="1" applyProtection="1">
      <alignment horizontal="center" vertical="center" wrapText="1"/>
      <protection locked="0"/>
    </xf>
    <xf numFmtId="0" fontId="13" fillId="0" borderId="0" xfId="10" applyFont="1" applyAlignment="1" applyProtection="1">
      <alignment horizontal="right" vertical="center" wrapText="1" indent="2"/>
      <protection locked="0"/>
    </xf>
    <xf numFmtId="0" fontId="10" fillId="0" borderId="22" xfId="14" applyFont="1" applyBorder="1" applyAlignment="1" applyProtection="1">
      <alignment horizontal="left" vertical="center" wrapText="1"/>
      <protection locked="0"/>
    </xf>
    <xf numFmtId="3" fontId="13" fillId="0" borderId="0" xfId="0" quotePrefix="1" applyNumberFormat="1" applyFont="1" applyAlignment="1">
      <alignment horizontal="right" vertical="center"/>
    </xf>
    <xf numFmtId="3" fontId="13" fillId="0" borderId="0" xfId="0" quotePrefix="1" applyNumberFormat="1" applyFont="1" applyAlignment="1">
      <alignment horizontal="center" vertical="center"/>
    </xf>
    <xf numFmtId="3" fontId="19" fillId="0" borderId="0" xfId="0" quotePrefix="1" applyNumberFormat="1" applyFont="1" applyAlignment="1">
      <alignment horizontal="right" vertical="center"/>
    </xf>
    <xf numFmtId="0" fontId="10" fillId="0" borderId="0" xfId="10" quotePrefix="1" applyFont="1" applyAlignment="1">
      <alignment horizontal="center" vertical="center"/>
    </xf>
    <xf numFmtId="165" fontId="19" fillId="0" borderId="4" xfId="0" quotePrefix="1" applyNumberFormat="1" applyFont="1" applyBorder="1" applyAlignment="1">
      <alignment horizontal="right" vertical="center"/>
    </xf>
    <xf numFmtId="1" fontId="19" fillId="0" borderId="0" xfId="0" quotePrefix="1" applyNumberFormat="1" applyFont="1" applyAlignment="1">
      <alignment horizontal="right" vertical="center"/>
    </xf>
    <xf numFmtId="166" fontId="13" fillId="0" borderId="0" xfId="10" quotePrefix="1" applyNumberFormat="1" applyFont="1" applyAlignment="1">
      <alignment horizontal="center" vertical="center"/>
    </xf>
    <xf numFmtId="166" fontId="13" fillId="0" borderId="0" xfId="16" quotePrefix="1" applyNumberFormat="1" applyFont="1" applyAlignment="1">
      <alignment horizontal="center" vertical="center"/>
    </xf>
    <xf numFmtId="166" fontId="13" fillId="0" borderId="0" xfId="16" applyNumberFormat="1" applyFont="1" applyAlignment="1">
      <alignment horizontal="center"/>
    </xf>
    <xf numFmtId="0" fontId="29" fillId="0" borderId="4" xfId="0" applyFont="1" applyBorder="1" applyAlignment="1">
      <alignment horizontal="right"/>
    </xf>
    <xf numFmtId="0" fontId="6" fillId="0" borderId="0" xfId="14"/>
    <xf numFmtId="37" fontId="55" fillId="0" borderId="0" xfId="14" applyNumberFormat="1" applyFont="1"/>
    <xf numFmtId="37" fontId="55" fillId="0" borderId="0" xfId="17" applyNumberFormat="1" applyFont="1" applyFill="1" applyBorder="1" applyAlignment="1">
      <alignment wrapText="1"/>
    </xf>
    <xf numFmtId="37" fontId="55" fillId="0" borderId="0" xfId="17" applyNumberFormat="1" applyFont="1" applyFill="1" applyBorder="1" applyAlignment="1">
      <alignment horizontal="right" wrapText="1"/>
    </xf>
    <xf numFmtId="0" fontId="13" fillId="0" borderId="0" xfId="0" applyFont="1" applyAlignment="1">
      <alignment horizontal="left" vertical="center" indent="2"/>
    </xf>
    <xf numFmtId="0" fontId="20" fillId="4" borderId="0" xfId="0" applyFont="1" applyFill="1" applyAlignment="1">
      <alignment horizontal="center" vertical="center"/>
    </xf>
    <xf numFmtId="0" fontId="13" fillId="4" borderId="0" xfId="4" applyFont="1" applyFill="1" applyAlignment="1">
      <alignment horizontal="center" vertical="center" wrapText="1"/>
    </xf>
    <xf numFmtId="3" fontId="15" fillId="0" borderId="0" xfId="0" applyNumberFormat="1" applyFont="1" applyAlignment="1">
      <alignment horizontal="center" vertical="center" wrapText="1"/>
    </xf>
    <xf numFmtId="178" fontId="13" fillId="0" borderId="0" xfId="0" applyNumberFormat="1" applyFont="1" applyAlignment="1">
      <alignment horizontal="center" vertical="center" wrapText="1"/>
    </xf>
    <xf numFmtId="164" fontId="13" fillId="0" borderId="0" xfId="0" applyNumberFormat="1" applyFont="1" applyAlignment="1">
      <alignment horizontal="center" vertical="center" wrapText="1"/>
    </xf>
    <xf numFmtId="164" fontId="13" fillId="0" borderId="0" xfId="0" applyNumberFormat="1" applyFont="1" applyAlignment="1">
      <alignment horizontal="center" vertical="center"/>
    </xf>
    <xf numFmtId="3" fontId="13" fillId="0" borderId="9" xfId="0" applyNumberFormat="1" applyFont="1" applyBorder="1" applyAlignment="1">
      <alignment horizontal="center" vertical="center"/>
    </xf>
    <xf numFmtId="0" fontId="36" fillId="0" borderId="0" xfId="0" applyFont="1" applyAlignment="1">
      <alignment horizontal="left" vertical="top"/>
    </xf>
    <xf numFmtId="0" fontId="13" fillId="0" borderId="6" xfId="10" applyFont="1" applyBorder="1" applyAlignment="1">
      <alignment horizontal="left" vertical="center" indent="2"/>
    </xf>
    <xf numFmtId="3" fontId="13" fillId="0" borderId="0" xfId="10" applyNumberFormat="1" applyFont="1" applyAlignment="1">
      <alignment horizontal="center" vertical="center"/>
    </xf>
    <xf numFmtId="3" fontId="13" fillId="0" borderId="0" xfId="10" applyNumberFormat="1" applyFont="1" applyAlignment="1">
      <alignment horizontal="center" vertical="center" wrapText="1"/>
    </xf>
    <xf numFmtId="169" fontId="13" fillId="0" borderId="0" xfId="10" applyNumberFormat="1" applyFont="1" applyAlignment="1">
      <alignment horizontal="center" vertical="center"/>
    </xf>
    <xf numFmtId="49" fontId="13" fillId="0" borderId="0" xfId="10" applyNumberFormat="1" applyFont="1" applyAlignment="1">
      <alignment horizontal="center" vertical="center"/>
    </xf>
    <xf numFmtId="169" fontId="10" fillId="0" borderId="0" xfId="0" applyNumberFormat="1" applyFont="1" applyAlignment="1">
      <alignment horizontal="center" vertical="center"/>
    </xf>
    <xf numFmtId="4" fontId="5" fillId="0" borderId="4" xfId="0" applyNumberFormat="1" applyFont="1" applyBorder="1"/>
    <xf numFmtId="0" fontId="13" fillId="0" borderId="0" xfId="4" applyFont="1" applyAlignment="1">
      <alignment horizontal="left"/>
    </xf>
    <xf numFmtId="0" fontId="17" fillId="0" borderId="0" xfId="0" applyFont="1" applyAlignment="1">
      <alignment horizontal="left" vertical="center" wrapText="1" indent="1"/>
    </xf>
    <xf numFmtId="0" fontId="17" fillId="0" borderId="0" xfId="10" applyFont="1" applyAlignment="1">
      <alignment horizontal="left" indent="2"/>
    </xf>
    <xf numFmtId="0" fontId="17" fillId="0" borderId="0" xfId="10" applyFont="1" applyAlignment="1">
      <alignment horizontal="left" indent="1"/>
    </xf>
    <xf numFmtId="0" fontId="13" fillId="0" borderId="23" xfId="0" applyFont="1" applyBorder="1" applyAlignment="1">
      <alignment wrapText="1"/>
    </xf>
    <xf numFmtId="181" fontId="5" fillId="0" borderId="0" xfId="1" applyNumberFormat="1" applyFont="1" applyAlignment="1">
      <alignment horizontal="right"/>
    </xf>
    <xf numFmtId="181" fontId="5" fillId="0" borderId="0" xfId="1" applyNumberFormat="1" applyFont="1" applyFill="1" applyAlignment="1">
      <alignment horizontal="right"/>
    </xf>
    <xf numFmtId="3" fontId="3" fillId="0" borderId="0" xfId="0" applyNumberFormat="1" applyFont="1"/>
    <xf numFmtId="0" fontId="17" fillId="0" borderId="23" xfId="0" applyFont="1" applyBorder="1" applyAlignment="1" applyProtection="1">
      <alignment horizontal="left" indent="1"/>
      <protection locked="0"/>
    </xf>
    <xf numFmtId="0" fontId="3" fillId="0" borderId="0" xfId="0" applyFont="1" applyAlignment="1">
      <alignment horizontal="right"/>
    </xf>
    <xf numFmtId="165" fontId="13" fillId="0" borderId="0" xfId="4" applyNumberFormat="1" applyFont="1" applyAlignment="1">
      <alignment horizontal="right" wrapText="1"/>
    </xf>
    <xf numFmtId="4" fontId="19" fillId="0" borderId="0" xfId="6" applyNumberFormat="1" applyFont="1" applyFill="1" applyBorder="1" applyAlignment="1">
      <alignment horizontal="right" wrapText="1"/>
    </xf>
    <xf numFmtId="180" fontId="3" fillId="0" borderId="0" xfId="0" applyNumberFormat="1" applyFont="1"/>
    <xf numFmtId="0" fontId="10" fillId="0" borderId="0" xfId="0" applyFont="1"/>
    <xf numFmtId="0" fontId="13" fillId="0" borderId="23" xfId="0" applyFont="1" applyBorder="1"/>
    <xf numFmtId="180" fontId="19" fillId="0" borderId="0" xfId="0" quotePrefix="1" applyNumberFormat="1" applyFont="1" applyAlignment="1">
      <alignment horizontal="right" vertical="center"/>
    </xf>
    <xf numFmtId="2" fontId="19" fillId="0" borderId="0" xfId="0" quotePrefix="1" applyNumberFormat="1" applyFont="1" applyAlignment="1">
      <alignment horizontal="right" vertical="center"/>
    </xf>
    <xf numFmtId="169" fontId="19" fillId="0" borderId="0" xfId="4" applyNumberFormat="1" applyFont="1" applyAlignment="1">
      <alignment horizontal="right" wrapText="1"/>
    </xf>
    <xf numFmtId="169" fontId="19" fillId="0" borderId="0" xfId="0" quotePrefix="1" applyNumberFormat="1" applyFont="1" applyAlignment="1">
      <alignment horizontal="right" vertical="center"/>
    </xf>
    <xf numFmtId="3" fontId="13" fillId="0" borderId="0" xfId="4" applyNumberFormat="1" applyFont="1" applyAlignment="1">
      <alignment horizontal="right" wrapText="1"/>
    </xf>
    <xf numFmtId="180" fontId="19" fillId="0" borderId="0" xfId="0" applyNumberFormat="1" applyFont="1" applyAlignment="1">
      <alignment horizontal="right"/>
    </xf>
    <xf numFmtId="180" fontId="19" fillId="0" borderId="23" xfId="0" applyNumberFormat="1" applyFont="1" applyBorder="1" applyAlignment="1">
      <alignment horizontal="right"/>
    </xf>
    <xf numFmtId="2" fontId="19" fillId="0" borderId="0" xfId="0" applyNumberFormat="1" applyFont="1" applyAlignment="1">
      <alignment horizontal="right" vertical="center" wrapText="1"/>
    </xf>
    <xf numFmtId="4" fontId="34" fillId="0" borderId="0" xfId="0" quotePrefix="1" applyNumberFormat="1" applyFont="1" applyAlignment="1">
      <alignment horizontal="right" vertical="center"/>
    </xf>
    <xf numFmtId="4" fontId="19" fillId="0" borderId="23" xfId="0" applyNumberFormat="1" applyFont="1" applyBorder="1" applyAlignment="1">
      <alignment horizontal="right"/>
    </xf>
    <xf numFmtId="2" fontId="13" fillId="0" borderId="23" xfId="0" applyNumberFormat="1" applyFont="1" applyBorder="1" applyAlignment="1" applyProtection="1">
      <alignment horizontal="left" vertical="center" wrapText="1" indent="2"/>
      <protection locked="0"/>
    </xf>
    <xf numFmtId="4" fontId="13" fillId="0" borderId="0" xfId="0" applyNumberFormat="1" applyFont="1" applyAlignment="1" applyProtection="1">
      <alignment horizontal="left" vertical="center" wrapText="1"/>
      <protection locked="0"/>
    </xf>
    <xf numFmtId="4" fontId="13" fillId="0" borderId="0" xfId="0" applyNumberFormat="1" applyFont="1" applyAlignment="1" applyProtection="1">
      <alignment horizontal="left" vertical="center" wrapText="1" indent="2"/>
      <protection locked="0"/>
    </xf>
    <xf numFmtId="4" fontId="13" fillId="0" borderId="0" xfId="0" applyNumberFormat="1" applyFont="1" applyAlignment="1" applyProtection="1">
      <alignment horizontal="left" vertical="center" wrapText="1" indent="3"/>
      <protection locked="0"/>
    </xf>
    <xf numFmtId="4" fontId="19" fillId="0" borderId="0" xfId="10" quotePrefix="1" applyNumberFormat="1" applyFont="1" applyAlignment="1">
      <alignment horizontal="right" vertical="center"/>
    </xf>
    <xf numFmtId="4" fontId="10" fillId="0" borderId="0" xfId="0" applyNumberFormat="1" applyFont="1" applyAlignment="1" applyProtection="1">
      <alignment horizontal="left" vertical="center" wrapText="1"/>
      <protection locked="0"/>
    </xf>
    <xf numFmtId="4" fontId="13" fillId="0" borderId="23" xfId="0" applyNumberFormat="1" applyFont="1" applyBorder="1" applyAlignment="1">
      <alignment horizontal="left" indent="2"/>
    </xf>
    <xf numFmtId="4" fontId="9" fillId="0" borderId="0" xfId="4" applyNumberFormat="1" applyFont="1" applyAlignment="1">
      <alignment horizontal="left"/>
    </xf>
    <xf numFmtId="166" fontId="13" fillId="0" borderId="0" xfId="10" applyNumberFormat="1" applyFont="1" applyAlignment="1">
      <alignment horizontal="right"/>
    </xf>
    <xf numFmtId="4" fontId="13" fillId="0" borderId="4" xfId="0" applyNumberFormat="1" applyFont="1" applyBorder="1" applyAlignment="1" applyProtection="1">
      <alignment horizontal="left" vertical="center" wrapText="1" indent="2"/>
      <protection locked="0"/>
    </xf>
    <xf numFmtId="4" fontId="13" fillId="0" borderId="0" xfId="10" quotePrefix="1" applyNumberFormat="1" applyFont="1" applyAlignment="1">
      <alignment horizontal="right" vertical="center"/>
    </xf>
    <xf numFmtId="4" fontId="13" fillId="0" borderId="0" xfId="10" applyNumberFormat="1" applyFont="1" applyAlignment="1">
      <alignment horizontal="right"/>
    </xf>
    <xf numFmtId="165" fontId="13" fillId="0" borderId="0" xfId="10" quotePrefix="1" applyNumberFormat="1" applyFont="1" applyAlignment="1">
      <alignment horizontal="right" vertical="center"/>
    </xf>
    <xf numFmtId="3" fontId="13" fillId="0" borderId="0" xfId="10" applyNumberFormat="1" applyFont="1" applyAlignment="1">
      <alignment horizontal="right"/>
    </xf>
    <xf numFmtId="165" fontId="13" fillId="0" borderId="0" xfId="10" applyNumberFormat="1" applyFont="1" applyAlignment="1">
      <alignment horizontal="right"/>
    </xf>
    <xf numFmtId="3" fontId="13" fillId="0" borderId="0" xfId="10" quotePrefix="1" applyNumberFormat="1" applyFont="1" applyAlignment="1">
      <alignment horizontal="right" vertical="center"/>
    </xf>
    <xf numFmtId="166" fontId="10" fillId="9" borderId="0" xfId="10" quotePrefix="1" applyNumberFormat="1" applyFont="1" applyFill="1" applyAlignment="1">
      <alignment horizontal="right" vertical="center"/>
    </xf>
    <xf numFmtId="166" fontId="13" fillId="9" borderId="0" xfId="10" applyNumberFormat="1" applyFont="1" applyFill="1" applyAlignment="1">
      <alignment horizontal="right"/>
    </xf>
    <xf numFmtId="166" fontId="13" fillId="9" borderId="23" xfId="10" applyNumberFormat="1" applyFont="1" applyFill="1" applyBorder="1" applyAlignment="1">
      <alignment horizontal="right"/>
    </xf>
    <xf numFmtId="0" fontId="13" fillId="0" borderId="23" xfId="0" applyFont="1" applyBorder="1" applyAlignment="1">
      <alignment horizontal="left" indent="2"/>
    </xf>
    <xf numFmtId="49" fontId="19" fillId="0" borderId="0" xfId="10" applyNumberFormat="1" applyFont="1" applyAlignment="1">
      <alignment horizontal="center"/>
    </xf>
    <xf numFmtId="49" fontId="19" fillId="0" borderId="0" xfId="18" applyNumberFormat="1" applyFont="1" applyFill="1" applyBorder="1" applyAlignment="1">
      <alignment horizontal="center"/>
    </xf>
    <xf numFmtId="0" fontId="13" fillId="0" borderId="24" xfId="0" applyFont="1" applyBorder="1" applyAlignment="1">
      <alignment horizontal="left" vertical="center" indent="2"/>
    </xf>
    <xf numFmtId="3" fontId="19" fillId="0" borderId="23" xfId="0" applyNumberFormat="1" applyFont="1" applyBorder="1" applyAlignment="1">
      <alignment horizontal="center" vertical="center"/>
    </xf>
    <xf numFmtId="49" fontId="19" fillId="0" borderId="4" xfId="18" applyNumberFormat="1" applyFont="1" applyFill="1" applyBorder="1" applyAlignment="1">
      <alignment horizontal="center"/>
    </xf>
    <xf numFmtId="0" fontId="5" fillId="0" borderId="6" xfId="0" applyFont="1" applyBorder="1" applyAlignment="1">
      <alignment horizontal="left" vertical="center" indent="2"/>
    </xf>
    <xf numFmtId="3" fontId="4" fillId="0" borderId="0" xfId="10" applyNumberFormat="1" applyFont="1" applyAlignment="1">
      <alignment horizontal="center" vertical="center"/>
    </xf>
    <xf numFmtId="49" fontId="60" fillId="0" borderId="0" xfId="19" applyNumberFormat="1" applyFont="1" applyFill="1" applyBorder="1" applyAlignment="1">
      <alignment horizontal="center" wrapText="1"/>
    </xf>
    <xf numFmtId="49" fontId="6" fillId="0" borderId="0" xfId="19" applyNumberFormat="1" applyFont="1" applyFill="1" applyBorder="1" applyAlignment="1">
      <alignment horizontal="center" wrapText="1"/>
    </xf>
    <xf numFmtId="0" fontId="5" fillId="0" borderId="5" xfId="0" applyFont="1" applyBorder="1" applyAlignment="1">
      <alignment horizontal="left" vertical="center" indent="2"/>
    </xf>
    <xf numFmtId="178" fontId="19" fillId="0" borderId="0" xfId="0" applyNumberFormat="1" applyFont="1" applyAlignment="1">
      <alignment horizontal="center" vertical="center"/>
    </xf>
    <xf numFmtId="49" fontId="19" fillId="0" borderId="0" xfId="19" applyNumberFormat="1" applyFont="1" applyFill="1" applyBorder="1" applyAlignment="1">
      <alignment horizontal="center" vertical="top" wrapText="1"/>
    </xf>
    <xf numFmtId="178" fontId="19" fillId="0" borderId="4" xfId="0" applyNumberFormat="1" applyFont="1" applyBorder="1" applyAlignment="1">
      <alignment horizontal="center" vertical="center"/>
    </xf>
    <xf numFmtId="49" fontId="19" fillId="0" borderId="4" xfId="0" applyNumberFormat="1" applyFont="1" applyBorder="1" applyAlignment="1">
      <alignment horizontal="center" vertical="center" wrapText="1"/>
    </xf>
    <xf numFmtId="0" fontId="4" fillId="0" borderId="12" xfId="4" applyFont="1" applyBorder="1"/>
    <xf numFmtId="0" fontId="20" fillId="0" borderId="0" xfId="0" applyFont="1" applyAlignment="1">
      <alignment horizontal="center" vertical="center" wrapText="1"/>
    </xf>
    <xf numFmtId="0" fontId="10" fillId="0" borderId="0" xfId="4" applyFont="1" applyAlignment="1" applyProtection="1">
      <alignment vertical="center"/>
      <protection locked="0"/>
    </xf>
    <xf numFmtId="0" fontId="17" fillId="0" borderId="0" xfId="4" applyFont="1" applyAlignment="1" applyProtection="1">
      <alignment horizontal="left" vertical="center"/>
      <protection locked="0"/>
    </xf>
    <xf numFmtId="0" fontId="63" fillId="0" borderId="0" xfId="0" applyFont="1"/>
    <xf numFmtId="0" fontId="10" fillId="0" borderId="0" xfId="4" applyFont="1" applyProtection="1">
      <protection locked="0"/>
    </xf>
    <xf numFmtId="0" fontId="13" fillId="0" borderId="2" xfId="4" applyFont="1" applyBorder="1" applyProtection="1">
      <protection locked="0"/>
    </xf>
    <xf numFmtId="0" fontId="66" fillId="0" borderId="16" xfId="4" quotePrefix="1" applyFont="1" applyBorder="1" applyAlignment="1">
      <alignment horizontal="center" vertical="center"/>
    </xf>
    <xf numFmtId="0" fontId="66" fillId="0" borderId="0" xfId="4" quotePrefix="1" applyFont="1" applyAlignment="1">
      <alignment horizontal="center" vertical="center"/>
    </xf>
    <xf numFmtId="0" fontId="66" fillId="0" borderId="25" xfId="4" quotePrefix="1" applyFont="1" applyBorder="1" applyAlignment="1">
      <alignment horizontal="center" vertical="center"/>
    </xf>
    <xf numFmtId="0" fontId="66" fillId="0" borderId="3" xfId="4" quotePrefix="1" applyFont="1" applyBorder="1" applyAlignment="1">
      <alignment horizontal="center" vertical="center"/>
    </xf>
    <xf numFmtId="0" fontId="13" fillId="0" borderId="25" xfId="4" applyFont="1" applyBorder="1" applyProtection="1">
      <protection locked="0"/>
    </xf>
    <xf numFmtId="169" fontId="63" fillId="0" borderId="25" xfId="0" applyNumberFormat="1" applyFont="1" applyBorder="1"/>
    <xf numFmtId="169" fontId="63" fillId="0" borderId="3" xfId="0" applyNumberFormat="1" applyFont="1" applyBorder="1"/>
    <xf numFmtId="169" fontId="63" fillId="0" borderId="7" xfId="0" applyNumberFormat="1" applyFont="1" applyBorder="1"/>
    <xf numFmtId="4" fontId="63" fillId="0" borderId="3" xfId="0" applyNumberFormat="1" applyFont="1" applyBorder="1"/>
    <xf numFmtId="4" fontId="63" fillId="0" borderId="7" xfId="0" applyNumberFormat="1" applyFont="1" applyBorder="1"/>
    <xf numFmtId="0" fontId="13" fillId="0" borderId="16" xfId="4" applyFont="1" applyBorder="1" applyProtection="1">
      <protection locked="0"/>
    </xf>
    <xf numFmtId="169" fontId="63" fillId="0" borderId="16" xfId="0" applyNumberFormat="1" applyFont="1" applyBorder="1"/>
    <xf numFmtId="169" fontId="63" fillId="0" borderId="0" xfId="0" applyNumberFormat="1" applyFont="1"/>
    <xf numFmtId="169" fontId="63" fillId="0" borderId="6" xfId="0" applyNumberFormat="1" applyFont="1" applyBorder="1"/>
    <xf numFmtId="4" fontId="63" fillId="0" borderId="0" xfId="0" applyNumberFormat="1" applyFont="1"/>
    <xf numFmtId="4" fontId="63" fillId="0" borderId="6" xfId="0" applyNumberFormat="1" applyFont="1" applyBorder="1"/>
    <xf numFmtId="0" fontId="15" fillId="0" borderId="16" xfId="0" applyFont="1" applyBorder="1"/>
    <xf numFmtId="180" fontId="63" fillId="0" borderId="0" xfId="0" applyNumberFormat="1" applyFont="1"/>
    <xf numFmtId="169" fontId="63" fillId="0" borderId="6" xfId="0" applyNumberFormat="1" applyFont="1" applyBorder="1" applyAlignment="1">
      <alignment horizontal="right"/>
    </xf>
    <xf numFmtId="0" fontId="13" fillId="0" borderId="26" xfId="4" applyFont="1" applyBorder="1" applyProtection="1">
      <protection locked="0"/>
    </xf>
    <xf numFmtId="169" fontId="63" fillId="0" borderId="26" xfId="0" applyNumberFormat="1" applyFont="1" applyBorder="1"/>
    <xf numFmtId="169" fontId="63" fillId="0" borderId="2" xfId="0" applyNumberFormat="1" applyFont="1" applyBorder="1"/>
    <xf numFmtId="169" fontId="63" fillId="0" borderId="27" xfId="0" applyNumberFormat="1" applyFont="1" applyBorder="1"/>
    <xf numFmtId="169" fontId="63" fillId="0" borderId="16" xfId="0" applyNumberFormat="1" applyFont="1" applyBorder="1" applyAlignment="1">
      <alignment horizontal="right"/>
    </xf>
    <xf numFmtId="169" fontId="63" fillId="0" borderId="0" xfId="0" applyNumberFormat="1" applyFont="1" applyAlignment="1">
      <alignment horizontal="right"/>
    </xf>
    <xf numFmtId="169" fontId="63" fillId="0" borderId="26" xfId="0" applyNumberFormat="1" applyFont="1" applyBorder="1" applyAlignment="1">
      <alignment horizontal="right"/>
    </xf>
    <xf numFmtId="0" fontId="66" fillId="0" borderId="0" xfId="4" applyFont="1" applyAlignment="1" applyProtection="1">
      <alignment horizontal="left" vertical="center"/>
      <protection locked="0"/>
    </xf>
    <xf numFmtId="0" fontId="10" fillId="0" borderId="0" xfId="4" applyFont="1" applyAlignment="1" applyProtection="1">
      <alignment horizontal="left" vertical="center"/>
      <protection locked="0"/>
    </xf>
    <xf numFmtId="0" fontId="66" fillId="0" borderId="0" xfId="4" applyFont="1" applyAlignment="1" applyProtection="1">
      <alignment horizontal="center" vertical="center"/>
      <protection locked="0"/>
    </xf>
    <xf numFmtId="169" fontId="63" fillId="0" borderId="25" xfId="0" applyNumberFormat="1" applyFont="1" applyBorder="1" applyAlignment="1">
      <alignment horizontal="right"/>
    </xf>
    <xf numFmtId="169" fontId="63" fillId="0" borderId="3" xfId="0" applyNumberFormat="1" applyFont="1" applyBorder="1" applyAlignment="1">
      <alignment horizontal="right"/>
    </xf>
    <xf numFmtId="169" fontId="63" fillId="0" borderId="7" xfId="0" applyNumberFormat="1" applyFont="1" applyBorder="1" applyAlignment="1">
      <alignment horizontal="right"/>
    </xf>
    <xf numFmtId="169" fontId="63" fillId="0" borderId="2" xfId="0" applyNumberFormat="1" applyFont="1" applyBorder="1" applyAlignment="1">
      <alignment horizontal="right"/>
    </xf>
    <xf numFmtId="169" fontId="63" fillId="0" borderId="27" xfId="0" applyNumberFormat="1" applyFont="1" applyBorder="1" applyAlignment="1">
      <alignment horizontal="right"/>
    </xf>
    <xf numFmtId="0" fontId="13" fillId="0" borderId="0" xfId="4" applyFont="1" applyProtection="1">
      <protection locked="0"/>
    </xf>
    <xf numFmtId="9" fontId="66" fillId="0" borderId="0" xfId="2" applyFont="1" applyFill="1" applyBorder="1" applyAlignment="1" applyProtection="1">
      <alignment horizontal="center" wrapText="1"/>
      <protection locked="0"/>
    </xf>
    <xf numFmtId="0" fontId="66" fillId="0" borderId="0" xfId="4" applyFont="1" applyAlignment="1" applyProtection="1">
      <alignment horizontal="center" wrapText="1"/>
      <protection locked="0"/>
    </xf>
    <xf numFmtId="0" fontId="63" fillId="0" borderId="0" xfId="0" applyFont="1" applyAlignment="1" applyProtection="1">
      <alignment horizontal="center"/>
      <protection locked="0"/>
    </xf>
    <xf numFmtId="169" fontId="63" fillId="0" borderId="25" xfId="0" applyNumberFormat="1" applyFont="1" applyBorder="1" applyAlignment="1">
      <alignment horizontal="right" vertical="center"/>
    </xf>
    <xf numFmtId="169" fontId="63" fillId="0" borderId="3" xfId="0" applyNumberFormat="1" applyFont="1" applyBorder="1" applyAlignment="1">
      <alignment horizontal="right" vertical="center"/>
    </xf>
    <xf numFmtId="169" fontId="63" fillId="0" borderId="7" xfId="0" applyNumberFormat="1" applyFont="1" applyBorder="1" applyAlignment="1">
      <alignment horizontal="right" vertical="center"/>
    </xf>
    <xf numFmtId="169" fontId="63" fillId="0" borderId="16" xfId="0" applyNumberFormat="1" applyFont="1" applyBorder="1" applyAlignment="1">
      <alignment horizontal="right" vertical="center"/>
    </xf>
    <xf numFmtId="169" fontId="63" fillId="0" borderId="0" xfId="0" applyNumberFormat="1" applyFont="1" applyAlignment="1">
      <alignment horizontal="right" vertical="center"/>
    </xf>
    <xf numFmtId="169" fontId="63" fillId="0" borderId="6" xfId="0" applyNumberFormat="1" applyFont="1" applyBorder="1" applyAlignment="1">
      <alignment horizontal="right" vertical="center"/>
    </xf>
    <xf numFmtId="169" fontId="63" fillId="0" borderId="26" xfId="0" applyNumberFormat="1" applyFont="1" applyBorder="1" applyAlignment="1">
      <alignment horizontal="right" vertical="center"/>
    </xf>
    <xf numFmtId="169" fontId="63" fillId="0" borderId="2" xfId="0" applyNumberFormat="1" applyFont="1" applyBorder="1" applyAlignment="1">
      <alignment horizontal="right" vertical="center"/>
    </xf>
    <xf numFmtId="169" fontId="63" fillId="0" borderId="27" xfId="0" applyNumberFormat="1" applyFont="1" applyBorder="1" applyAlignment="1">
      <alignment horizontal="right" vertical="center"/>
    </xf>
    <xf numFmtId="3" fontId="63" fillId="0" borderId="0" xfId="0" applyNumberFormat="1" applyFont="1" applyAlignment="1">
      <alignment horizontal="right"/>
    </xf>
    <xf numFmtId="0" fontId="67" fillId="0" borderId="0" xfId="4" applyFont="1" applyAlignment="1" applyProtection="1">
      <alignment horizontal="left" vertical="center"/>
      <protection locked="0"/>
    </xf>
    <xf numFmtId="0" fontId="13" fillId="0" borderId="0" xfId="4" applyFont="1" applyAlignment="1" applyProtection="1">
      <alignment wrapText="1"/>
      <protection locked="0"/>
    </xf>
    <xf numFmtId="0" fontId="66" fillId="0" borderId="26" xfId="4" quotePrefix="1" applyFont="1" applyBorder="1" applyAlignment="1">
      <alignment horizontal="center" vertical="center"/>
    </xf>
    <xf numFmtId="0" fontId="66" fillId="0" borderId="2" xfId="4" quotePrefix="1" applyFont="1" applyBorder="1" applyAlignment="1">
      <alignment horizontal="center" vertical="center"/>
    </xf>
    <xf numFmtId="165" fontId="66" fillId="0" borderId="0" xfId="4" applyNumberFormat="1" applyFont="1" applyAlignment="1" applyProtection="1">
      <alignment horizontal="center" vertical="center"/>
      <protection locked="0"/>
    </xf>
    <xf numFmtId="0" fontId="66" fillId="0" borderId="20" xfId="4" quotePrefix="1" applyFont="1" applyBorder="1" applyAlignment="1">
      <alignment horizontal="center" vertical="center"/>
    </xf>
    <xf numFmtId="0" fontId="66" fillId="0" borderId="10" xfId="4" quotePrefix="1" applyFont="1" applyBorder="1" applyAlignment="1">
      <alignment horizontal="center" vertical="center"/>
    </xf>
    <xf numFmtId="0" fontId="66" fillId="0" borderId="21" xfId="4" quotePrefix="1" applyFont="1" applyBorder="1" applyAlignment="1">
      <alignment horizontal="center" vertical="center"/>
    </xf>
    <xf numFmtId="0" fontId="40" fillId="0" borderId="0" xfId="4" applyFont="1" applyProtection="1">
      <protection locked="0"/>
    </xf>
    <xf numFmtId="0" fontId="66" fillId="9" borderId="0" xfId="4" applyFont="1" applyFill="1" applyAlignment="1" applyProtection="1">
      <alignment horizontal="center" vertical="center"/>
      <protection locked="0"/>
    </xf>
    <xf numFmtId="3" fontId="17" fillId="0" borderId="0" xfId="0" applyNumberFormat="1" applyFont="1" applyAlignment="1" applyProtection="1">
      <alignment horizontal="right" vertical="center"/>
      <protection locked="0"/>
    </xf>
    <xf numFmtId="0" fontId="63" fillId="0" borderId="0" xfId="0" applyFont="1" applyProtection="1">
      <protection locked="0"/>
    </xf>
    <xf numFmtId="182" fontId="13" fillId="0" borderId="0" xfId="11" applyNumberFormat="1" applyFont="1" applyFill="1" applyBorder="1" applyAlignment="1">
      <alignment horizontal="right" vertical="center"/>
    </xf>
    <xf numFmtId="167" fontId="0" fillId="0" borderId="0" xfId="0" applyNumberFormat="1"/>
    <xf numFmtId="0" fontId="15" fillId="0" borderId="25" xfId="0" applyFont="1" applyBorder="1"/>
    <xf numFmtId="0" fontId="4" fillId="0" borderId="0" xfId="4" applyFont="1" applyAlignment="1" applyProtection="1">
      <alignment horizontal="left" vertical="top" wrapText="1"/>
      <protection locked="0"/>
    </xf>
    <xf numFmtId="0" fontId="10" fillId="0" borderId="9" xfId="4" applyFont="1" applyBorder="1" applyAlignment="1" applyProtection="1">
      <alignment horizontal="left"/>
      <protection locked="0"/>
    </xf>
    <xf numFmtId="0" fontId="63" fillId="0" borderId="0" xfId="0" applyFont="1" applyAlignment="1" applyProtection="1">
      <alignment horizontal="center" vertical="center"/>
      <protection locked="0"/>
    </xf>
    <xf numFmtId="0" fontId="15" fillId="0" borderId="9" xfId="0" applyFont="1" applyBorder="1" applyAlignment="1" applyProtection="1">
      <alignment horizontal="left" indent="2"/>
      <protection locked="0"/>
    </xf>
    <xf numFmtId="0" fontId="15" fillId="0" borderId="9" xfId="0" applyFont="1" applyBorder="1" applyAlignment="1" applyProtection="1">
      <alignment horizontal="left" vertical="center" indent="2"/>
      <protection locked="0"/>
    </xf>
    <xf numFmtId="0" fontId="15" fillId="0" borderId="9" xfId="0" applyFont="1" applyBorder="1" applyAlignment="1" applyProtection="1">
      <alignment horizontal="left" wrapText="1" indent="2"/>
      <protection locked="0"/>
    </xf>
    <xf numFmtId="0" fontId="66" fillId="0" borderId="9" xfId="4" applyFont="1" applyBorder="1" applyAlignment="1" applyProtection="1">
      <alignment horizontal="left"/>
      <protection locked="0"/>
    </xf>
    <xf numFmtId="178" fontId="4" fillId="0" borderId="0" xfId="0" applyNumberFormat="1" applyFont="1" applyAlignment="1">
      <alignment horizontal="center" vertical="center" wrapText="1"/>
    </xf>
    <xf numFmtId="0" fontId="15" fillId="0" borderId="6" xfId="0" applyFont="1" applyBorder="1"/>
    <xf numFmtId="3" fontId="4" fillId="0" borderId="0" xfId="0" applyNumberFormat="1" applyFont="1" applyAlignment="1" applyProtection="1">
      <alignment horizontal="center" vertical="center" wrapText="1"/>
      <protection locked="0"/>
    </xf>
    <xf numFmtId="3" fontId="4" fillId="0" borderId="0" xfId="0" applyNumberFormat="1" applyFont="1" applyAlignment="1" applyProtection="1">
      <alignment horizontal="center" vertical="center"/>
      <protection locked="0"/>
    </xf>
    <xf numFmtId="0" fontId="13" fillId="0" borderId="9" xfId="0" applyFont="1" applyBorder="1" applyAlignment="1" applyProtection="1">
      <alignment horizontal="left" vertical="center" indent="2"/>
      <protection locked="0"/>
    </xf>
    <xf numFmtId="178" fontId="4" fillId="0" borderId="0" xfId="10" applyNumberFormat="1" applyFont="1" applyAlignment="1" applyProtection="1">
      <alignment horizontal="center" vertical="center"/>
      <protection locked="0"/>
    </xf>
    <xf numFmtId="0" fontId="63" fillId="0" borderId="6" xfId="0" applyFont="1" applyBorder="1" applyAlignment="1" applyProtection="1">
      <alignment horizontal="center"/>
      <protection locked="0"/>
    </xf>
    <xf numFmtId="0" fontId="13" fillId="0" borderId="9" xfId="4" applyFont="1" applyBorder="1" applyAlignment="1" applyProtection="1">
      <alignment horizontal="left" indent="2"/>
      <protection locked="0"/>
    </xf>
    <xf numFmtId="0" fontId="13" fillId="0" borderId="16" xfId="4" applyFont="1" applyBorder="1" applyAlignment="1" applyProtection="1">
      <alignment horizontal="left" indent="2"/>
      <protection locked="0"/>
    </xf>
    <xf numFmtId="184" fontId="4" fillId="0" borderId="0" xfId="0" applyNumberFormat="1" applyFont="1" applyAlignment="1">
      <alignment horizontal="center" vertical="center" wrapText="1"/>
    </xf>
    <xf numFmtId="3" fontId="4" fillId="0" borderId="0" xfId="0" applyNumberFormat="1" applyFont="1" applyAlignment="1">
      <alignment horizontal="center" vertical="center" wrapText="1"/>
    </xf>
    <xf numFmtId="178" fontId="4" fillId="0" borderId="0" xfId="0" applyNumberFormat="1" applyFont="1" applyAlignment="1" applyProtection="1">
      <alignment horizontal="center" vertical="center" wrapText="1"/>
      <protection locked="0"/>
    </xf>
    <xf numFmtId="20" fontId="4" fillId="0" borderId="0" xfId="0" applyNumberFormat="1" applyFont="1" applyAlignment="1" applyProtection="1">
      <alignment horizontal="center" vertical="center"/>
      <protection locked="0"/>
    </xf>
    <xf numFmtId="0" fontId="70" fillId="9" borderId="0" xfId="0" applyFont="1" applyFill="1" applyProtection="1">
      <protection locked="0"/>
    </xf>
    <xf numFmtId="3" fontId="4" fillId="0" borderId="16" xfId="0" applyNumberFormat="1" applyFont="1" applyBorder="1" applyAlignment="1" applyProtection="1">
      <alignment horizontal="center" vertical="center"/>
      <protection locked="0"/>
    </xf>
    <xf numFmtId="0" fontId="4" fillId="0" borderId="0" xfId="0" applyFont="1" applyAlignment="1" applyProtection="1">
      <alignment horizontal="center" vertical="center"/>
      <protection locked="0"/>
    </xf>
    <xf numFmtId="0" fontId="13" fillId="0" borderId="29" xfId="0" applyFont="1" applyBorder="1" applyAlignment="1" applyProtection="1">
      <alignment horizontal="left" vertical="center" indent="2"/>
      <protection locked="0"/>
    </xf>
    <xf numFmtId="0" fontId="17" fillId="0" borderId="0" xfId="4" applyFont="1" applyAlignment="1" applyProtection="1">
      <alignment horizontal="left" indent="1"/>
      <protection locked="0"/>
    </xf>
    <xf numFmtId="0" fontId="10" fillId="0" borderId="28" xfId="4" applyFont="1" applyBorder="1" applyAlignment="1" applyProtection="1">
      <alignment horizontal="left"/>
      <protection locked="0"/>
    </xf>
    <xf numFmtId="0" fontId="63" fillId="0" borderId="16" xfId="0" applyFont="1" applyBorder="1" applyAlignment="1" applyProtection="1">
      <alignment horizontal="center"/>
      <protection locked="0"/>
    </xf>
    <xf numFmtId="165" fontId="63" fillId="0" borderId="25" xfId="0" applyNumberFormat="1" applyFont="1" applyBorder="1" applyAlignment="1" applyProtection="1">
      <alignment horizontal="right"/>
      <protection locked="0"/>
    </xf>
    <xf numFmtId="165" fontId="63" fillId="0" borderId="3" xfId="0" applyNumberFormat="1" applyFont="1" applyBorder="1" applyAlignment="1" applyProtection="1">
      <alignment horizontal="right"/>
      <protection locked="0"/>
    </xf>
    <xf numFmtId="165" fontId="63" fillId="0" borderId="7" xfId="0" applyNumberFormat="1" applyFont="1" applyBorder="1" applyAlignment="1" applyProtection="1">
      <alignment horizontal="right"/>
      <protection locked="0"/>
    </xf>
    <xf numFmtId="4" fontId="15" fillId="0" borderId="9" xfId="0" applyNumberFormat="1" applyFont="1" applyBorder="1" applyAlignment="1" applyProtection="1">
      <alignment horizontal="left" indent="2"/>
      <protection locked="0"/>
    </xf>
    <xf numFmtId="4" fontId="63" fillId="0" borderId="0" xfId="0" applyNumberFormat="1" applyFont="1" applyAlignment="1">
      <alignment horizontal="right"/>
    </xf>
    <xf numFmtId="4" fontId="63" fillId="0" borderId="6" xfId="0" applyNumberFormat="1" applyFont="1" applyBorder="1" applyAlignment="1">
      <alignment horizontal="right"/>
    </xf>
    <xf numFmtId="4" fontId="15" fillId="0" borderId="9" xfId="0" applyNumberFormat="1" applyFont="1" applyBorder="1" applyAlignment="1" applyProtection="1">
      <alignment horizontal="left" vertical="center" indent="2"/>
      <protection locked="0"/>
    </xf>
    <xf numFmtId="4" fontId="15" fillId="0" borderId="9" xfId="0" applyNumberFormat="1" applyFont="1" applyBorder="1" applyAlignment="1" applyProtection="1">
      <alignment horizontal="left" wrapText="1" indent="2"/>
      <protection locked="0"/>
    </xf>
    <xf numFmtId="4" fontId="10" fillId="0" borderId="9" xfId="4" applyNumberFormat="1" applyFont="1" applyBorder="1" applyProtection="1">
      <protection locked="0"/>
    </xf>
    <xf numFmtId="4" fontId="13" fillId="0" borderId="9" xfId="0" applyNumberFormat="1" applyFont="1" applyBorder="1" applyAlignment="1" applyProtection="1">
      <alignment horizontal="left" vertical="center" indent="2"/>
      <protection locked="0"/>
    </xf>
    <xf numFmtId="4" fontId="10" fillId="0" borderId="9" xfId="4" applyNumberFormat="1" applyFont="1" applyBorder="1" applyAlignment="1" applyProtection="1">
      <alignment horizontal="left"/>
      <protection locked="0"/>
    </xf>
    <xf numFmtId="4" fontId="13" fillId="0" borderId="9" xfId="4" applyNumberFormat="1" applyFont="1" applyBorder="1" applyAlignment="1" applyProtection="1">
      <alignment horizontal="left" indent="2"/>
      <protection locked="0"/>
    </xf>
    <xf numFmtId="4" fontId="15" fillId="0" borderId="9" xfId="0" applyNumberFormat="1" applyFont="1" applyBorder="1" applyAlignment="1" applyProtection="1">
      <alignment horizontal="left" vertical="center" wrapText="1" indent="2"/>
      <protection locked="0"/>
    </xf>
    <xf numFmtId="4" fontId="13" fillId="0" borderId="9" xfId="4" applyNumberFormat="1" applyFont="1" applyBorder="1" applyAlignment="1" applyProtection="1">
      <alignment horizontal="left" vertical="center" indent="2"/>
      <protection locked="0"/>
    </xf>
    <xf numFmtId="4" fontId="16" fillId="0" borderId="9" xfId="0" applyNumberFormat="1" applyFont="1" applyBorder="1" applyAlignment="1" applyProtection="1">
      <alignment horizontal="left"/>
      <protection locked="0"/>
    </xf>
    <xf numFmtId="4" fontId="13" fillId="0" borderId="29" xfId="0" applyNumberFormat="1" applyFont="1" applyBorder="1" applyAlignment="1" applyProtection="1">
      <alignment horizontal="left" vertical="center" indent="2"/>
      <protection locked="0"/>
    </xf>
    <xf numFmtId="4" fontId="63" fillId="0" borderId="26" xfId="0" applyNumberFormat="1" applyFont="1" applyBorder="1" applyAlignment="1">
      <alignment horizontal="right"/>
    </xf>
    <xf numFmtId="4" fontId="63" fillId="0" borderId="2" xfId="0" applyNumberFormat="1" applyFont="1" applyBorder="1" applyAlignment="1">
      <alignment horizontal="right"/>
    </xf>
    <xf numFmtId="4" fontId="63" fillId="0" borderId="27" xfId="0" applyNumberFormat="1" applyFont="1" applyBorder="1" applyAlignment="1">
      <alignment horizontal="right"/>
    </xf>
    <xf numFmtId="2" fontId="13" fillId="0" borderId="0" xfId="11" quotePrefix="1" applyNumberFormat="1" applyFont="1" applyFill="1" applyBorder="1" applyAlignment="1">
      <alignment horizontal="right" vertical="center"/>
    </xf>
    <xf numFmtId="4" fontId="10" fillId="0" borderId="9" xfId="0" applyNumberFormat="1" applyFont="1" applyBorder="1" applyAlignment="1" applyProtection="1">
      <alignment vertical="center"/>
      <protection locked="0"/>
    </xf>
    <xf numFmtId="0" fontId="10" fillId="0" borderId="25" xfId="4" applyFont="1" applyBorder="1" applyAlignment="1" applyProtection="1">
      <alignment horizontal="left"/>
      <protection locked="0"/>
    </xf>
    <xf numFmtId="1" fontId="63" fillId="0" borderId="25" xfId="0" applyNumberFormat="1" applyFont="1" applyBorder="1" applyAlignment="1" applyProtection="1">
      <alignment horizontal="right"/>
      <protection locked="0"/>
    </xf>
    <xf numFmtId="1" fontId="63" fillId="0" borderId="3" xfId="0" applyNumberFormat="1" applyFont="1" applyBorder="1" applyAlignment="1" applyProtection="1">
      <alignment horizontal="right"/>
      <protection locked="0"/>
    </xf>
    <xf numFmtId="1" fontId="63" fillId="0" borderId="7" xfId="0" applyNumberFormat="1" applyFont="1" applyBorder="1" applyAlignment="1" applyProtection="1">
      <alignment horizontal="right"/>
      <protection locked="0"/>
    </xf>
    <xf numFmtId="0" fontId="15" fillId="0" borderId="16" xfId="0" applyFont="1" applyBorder="1" applyAlignment="1" applyProtection="1">
      <alignment horizontal="left" indent="2"/>
      <protection locked="0"/>
    </xf>
    <xf numFmtId="1" fontId="63" fillId="0" borderId="0" xfId="0" applyNumberFormat="1" applyFont="1" applyAlignment="1">
      <alignment horizontal="right"/>
    </xf>
    <xf numFmtId="0" fontId="63" fillId="0" borderId="0" xfId="0" applyFont="1" applyAlignment="1" applyProtection="1">
      <alignment horizontal="right"/>
      <protection locked="0"/>
    </xf>
    <xf numFmtId="0" fontId="63" fillId="0" borderId="6" xfId="0" applyFont="1" applyBorder="1" applyAlignment="1" applyProtection="1">
      <alignment horizontal="right"/>
      <protection locked="0"/>
    </xf>
    <xf numFmtId="0" fontId="15" fillId="0" borderId="16" xfId="0" applyFont="1" applyBorder="1" applyAlignment="1" applyProtection="1">
      <alignment horizontal="left" vertical="center" indent="2"/>
      <protection locked="0"/>
    </xf>
    <xf numFmtId="1" fontId="63" fillId="0" borderId="0" xfId="0" applyNumberFormat="1" applyFont="1" applyAlignment="1">
      <alignment horizontal="right" vertical="center"/>
    </xf>
    <xf numFmtId="0" fontId="15" fillId="0" borderId="16" xfId="0" applyFont="1" applyBorder="1" applyAlignment="1" applyProtection="1">
      <alignment horizontal="left" wrapText="1" indent="2"/>
      <protection locked="0"/>
    </xf>
    <xf numFmtId="1" fontId="63" fillId="0" borderId="6" xfId="0" applyNumberFormat="1" applyFont="1" applyBorder="1" applyAlignment="1">
      <alignment horizontal="right"/>
    </xf>
    <xf numFmtId="0" fontId="10" fillId="0" borderId="16" xfId="4" applyFont="1" applyBorder="1" applyProtection="1">
      <protection locked="0"/>
    </xf>
    <xf numFmtId="0" fontId="10" fillId="0" borderId="16" xfId="4" applyFont="1" applyBorder="1" applyAlignment="1" applyProtection="1">
      <alignment horizontal="left"/>
      <protection locked="0"/>
    </xf>
    <xf numFmtId="0" fontId="13" fillId="0" borderId="16" xfId="0" applyFont="1" applyBorder="1" applyAlignment="1" applyProtection="1">
      <alignment horizontal="left" vertical="center" indent="2"/>
      <protection locked="0"/>
    </xf>
    <xf numFmtId="0" fontId="4" fillId="0" borderId="0" xfId="10" quotePrefix="1" applyFont="1" applyAlignment="1">
      <alignment horizontal="right" vertical="center"/>
    </xf>
    <xf numFmtId="0" fontId="4" fillId="0" borderId="0" xfId="0" quotePrefix="1" applyFont="1" applyAlignment="1">
      <alignment horizontal="right" vertical="center"/>
    </xf>
    <xf numFmtId="1" fontId="63" fillId="0" borderId="0" xfId="0" applyNumberFormat="1" applyFont="1" applyAlignment="1" applyProtection="1">
      <alignment horizontal="right"/>
      <protection locked="0"/>
    </xf>
    <xf numFmtId="1" fontId="63" fillId="0" borderId="6" xfId="0" applyNumberFormat="1" applyFont="1" applyBorder="1" applyAlignment="1" applyProtection="1">
      <alignment horizontal="right"/>
      <protection locked="0"/>
    </xf>
    <xf numFmtId="1" fontId="8" fillId="0" borderId="0" xfId="0" applyNumberFormat="1" applyFont="1" applyAlignment="1">
      <alignment horizontal="right" vertical="center"/>
    </xf>
    <xf numFmtId="0" fontId="15" fillId="0" borderId="16" xfId="0" applyFont="1" applyBorder="1" applyAlignment="1" applyProtection="1">
      <alignment horizontal="left" vertical="center" wrapText="1" indent="2"/>
      <protection locked="0"/>
    </xf>
    <xf numFmtId="3" fontId="4" fillId="0" borderId="0" xfId="0" applyNumberFormat="1" applyFont="1" applyAlignment="1">
      <alignment horizontal="right" vertical="center"/>
    </xf>
    <xf numFmtId="0" fontId="63" fillId="0" borderId="0" xfId="0" applyFont="1" applyAlignment="1" applyProtection="1">
      <alignment horizontal="right" vertical="center"/>
      <protection locked="0"/>
    </xf>
    <xf numFmtId="0" fontId="63" fillId="0" borderId="6" xfId="0" applyFont="1" applyBorder="1" applyAlignment="1" applyProtection="1">
      <alignment horizontal="right" vertical="center"/>
      <protection locked="0"/>
    </xf>
    <xf numFmtId="3" fontId="63" fillId="0" borderId="16" xfId="0" applyNumberFormat="1" applyFont="1" applyBorder="1" applyAlignment="1">
      <alignment horizontal="right" vertical="center"/>
    </xf>
    <xf numFmtId="3" fontId="63" fillId="0" borderId="0" xfId="0" applyNumberFormat="1" applyFont="1" applyAlignment="1">
      <alignment horizontal="right" vertical="center"/>
    </xf>
    <xf numFmtId="1" fontId="4" fillId="0" borderId="0" xfId="0" applyNumberFormat="1" applyFont="1" applyAlignment="1">
      <alignment horizontal="right" vertical="center"/>
    </xf>
    <xf numFmtId="1" fontId="4" fillId="0" borderId="6" xfId="0" applyNumberFormat="1" applyFont="1" applyBorder="1" applyAlignment="1">
      <alignment horizontal="right" vertical="center"/>
    </xf>
    <xf numFmtId="0" fontId="63" fillId="0" borderId="0" xfId="0" applyFont="1" applyAlignment="1">
      <alignment horizontal="right"/>
    </xf>
    <xf numFmtId="0" fontId="63" fillId="0" borderId="6" xfId="0" applyFont="1" applyBorder="1" applyAlignment="1">
      <alignment horizontal="right"/>
    </xf>
    <xf numFmtId="0" fontId="13" fillId="0" borderId="26" xfId="0" applyFont="1" applyBorder="1" applyAlignment="1" applyProtection="1">
      <alignment horizontal="left" vertical="center" indent="2"/>
      <protection locked="0"/>
    </xf>
    <xf numFmtId="0" fontId="10" fillId="0" borderId="25" xfId="4" applyFont="1" applyBorder="1" applyAlignment="1" applyProtection="1">
      <alignment horizontal="left" wrapText="1"/>
      <protection locked="0"/>
    </xf>
    <xf numFmtId="9" fontId="63" fillId="0" borderId="25" xfId="2" applyFont="1" applyFill="1" applyBorder="1" applyAlignment="1" applyProtection="1">
      <alignment horizontal="right"/>
      <protection locked="0"/>
    </xf>
    <xf numFmtId="9" fontId="63" fillId="0" borderId="3" xfId="2" applyFont="1" applyFill="1" applyBorder="1" applyAlignment="1" applyProtection="1">
      <alignment horizontal="right"/>
      <protection locked="0"/>
    </xf>
    <xf numFmtId="9" fontId="63" fillId="0" borderId="0" xfId="2" applyFont="1" applyFill="1" applyBorder="1" applyAlignment="1" applyProtection="1">
      <alignment horizontal="right"/>
      <protection locked="0"/>
    </xf>
    <xf numFmtId="185" fontId="63" fillId="0" borderId="0" xfId="2" applyNumberFormat="1" applyFont="1" applyFill="1" applyBorder="1" applyAlignment="1" applyProtection="1">
      <alignment horizontal="right" vertical="center"/>
    </xf>
    <xf numFmtId="185" fontId="63" fillId="0" borderId="0" xfId="2" applyNumberFormat="1" applyFont="1" applyFill="1" applyBorder="1" applyAlignment="1" applyProtection="1">
      <alignment horizontal="right" vertical="center"/>
      <protection locked="0"/>
    </xf>
    <xf numFmtId="185" fontId="63" fillId="0" borderId="0" xfId="2" applyNumberFormat="1" applyFont="1" applyFill="1" applyBorder="1" applyAlignment="1">
      <alignment horizontal="right" vertical="center" wrapText="1"/>
    </xf>
    <xf numFmtId="185" fontId="63" fillId="0" borderId="0" xfId="2" quotePrefix="1" applyNumberFormat="1" applyFont="1" applyFill="1" applyBorder="1" applyAlignment="1">
      <alignment horizontal="right" vertical="center"/>
    </xf>
    <xf numFmtId="185" fontId="63" fillId="0" borderId="0" xfId="2" applyNumberFormat="1" applyFont="1" applyFill="1" applyBorder="1" applyAlignment="1">
      <alignment horizontal="right" vertical="center"/>
    </xf>
    <xf numFmtId="185" fontId="63" fillId="0" borderId="6" xfId="2" applyNumberFormat="1" applyFont="1" applyFill="1" applyBorder="1" applyAlignment="1">
      <alignment horizontal="right" vertical="center"/>
    </xf>
    <xf numFmtId="185" fontId="63" fillId="0" borderId="0" xfId="2" applyNumberFormat="1" applyFont="1" applyFill="1" applyBorder="1" applyAlignment="1" applyProtection="1">
      <alignment horizontal="right" vertical="center" wrapText="1"/>
    </xf>
    <xf numFmtId="0" fontId="10" fillId="0" borderId="28" xfId="4" applyFont="1" applyBorder="1" applyAlignment="1" applyProtection="1">
      <alignment horizontal="center" vertical="center"/>
      <protection locked="0"/>
    </xf>
    <xf numFmtId="0" fontId="4" fillId="0" borderId="3" xfId="4" applyFont="1" applyBorder="1" applyAlignment="1" applyProtection="1">
      <alignment horizontal="center" vertical="center" wrapText="1"/>
      <protection locked="0"/>
    </xf>
    <xf numFmtId="0" fontId="4" fillId="0" borderId="7" xfId="4" applyFont="1" applyBorder="1" applyAlignment="1" applyProtection="1">
      <alignment horizontal="center" vertical="center" wrapText="1"/>
      <protection locked="0"/>
    </xf>
    <xf numFmtId="0" fontId="10" fillId="0" borderId="28" xfId="4" applyFont="1" applyBorder="1" applyProtection="1">
      <protection locked="0"/>
    </xf>
    <xf numFmtId="0" fontId="63" fillId="0" borderId="25" xfId="0" applyFont="1" applyBorder="1" applyAlignment="1" applyProtection="1">
      <alignment horizontal="center"/>
      <protection locked="0"/>
    </xf>
    <xf numFmtId="0" fontId="63" fillId="0" borderId="3" xfId="0" applyFont="1" applyBorder="1" applyAlignment="1" applyProtection="1">
      <alignment horizontal="center"/>
      <protection locked="0"/>
    </xf>
    <xf numFmtId="0" fontId="63" fillId="0" borderId="7" xfId="0" applyFont="1" applyBorder="1" applyAlignment="1" applyProtection="1">
      <alignment horizontal="center"/>
      <protection locked="0"/>
    </xf>
    <xf numFmtId="3" fontId="4" fillId="0" borderId="0" xfId="5" applyNumberFormat="1" applyFont="1" applyAlignment="1" applyProtection="1">
      <alignment horizontal="center" vertical="center" wrapText="1"/>
      <protection locked="0"/>
    </xf>
    <xf numFmtId="0" fontId="10" fillId="0" borderId="9" xfId="4" applyFont="1" applyBorder="1" applyProtection="1">
      <protection locked="0"/>
    </xf>
    <xf numFmtId="0" fontId="13" fillId="0" borderId="9" xfId="0" applyFont="1" applyBorder="1" applyAlignment="1" applyProtection="1">
      <alignment horizontal="left" vertical="center" wrapText="1" indent="2"/>
      <protection locked="0"/>
    </xf>
    <xf numFmtId="0" fontId="63" fillId="0" borderId="6" xfId="0" applyFont="1" applyBorder="1" applyAlignment="1" applyProtection="1">
      <alignment horizontal="center" vertical="center" wrapText="1"/>
      <protection locked="0"/>
    </xf>
    <xf numFmtId="0" fontId="63" fillId="0" borderId="0" xfId="0" applyFont="1" applyAlignment="1" applyProtection="1">
      <alignment wrapText="1"/>
      <protection locked="0"/>
    </xf>
    <xf numFmtId="0" fontId="70" fillId="0" borderId="0" xfId="0" applyFont="1" applyProtection="1">
      <protection locked="0"/>
    </xf>
    <xf numFmtId="0" fontId="15" fillId="0" borderId="0" xfId="0" applyFont="1" applyProtection="1">
      <protection locked="0"/>
    </xf>
    <xf numFmtId="0" fontId="10" fillId="0" borderId="25" xfId="4" applyFont="1" applyBorder="1" applyProtection="1">
      <protection locked="0"/>
    </xf>
    <xf numFmtId="4" fontId="63" fillId="0" borderId="0" xfId="0" applyNumberFormat="1" applyFont="1" applyAlignment="1" applyProtection="1">
      <alignment horizontal="right"/>
      <protection locked="0"/>
    </xf>
    <xf numFmtId="0" fontId="63" fillId="0" borderId="25" xfId="0" applyFont="1" applyBorder="1" applyProtection="1">
      <protection locked="0"/>
    </xf>
    <xf numFmtId="4" fontId="63" fillId="0" borderId="3" xfId="0" applyNumberFormat="1" applyFont="1" applyBorder="1" applyAlignment="1" applyProtection="1">
      <alignment horizontal="right"/>
      <protection locked="0"/>
    </xf>
    <xf numFmtId="4" fontId="63" fillId="0" borderId="7" xfId="0" applyNumberFormat="1" applyFont="1" applyBorder="1" applyAlignment="1" applyProtection="1">
      <alignment horizontal="right"/>
      <protection locked="0"/>
    </xf>
    <xf numFmtId="0" fontId="13" fillId="0" borderId="16" xfId="4" applyFont="1" applyBorder="1" applyAlignment="1" applyProtection="1">
      <alignment wrapText="1"/>
      <protection locked="0"/>
    </xf>
    <xf numFmtId="0" fontId="13" fillId="0" borderId="26" xfId="0" applyFont="1" applyBorder="1" applyAlignment="1" applyProtection="1">
      <alignment vertical="center"/>
      <protection locked="0"/>
    </xf>
    <xf numFmtId="0" fontId="17" fillId="0" borderId="0" xfId="4" applyFont="1" applyAlignment="1" applyProtection="1">
      <alignment vertical="center"/>
      <protection locked="0"/>
    </xf>
    <xf numFmtId="0" fontId="66" fillId="0" borderId="0" xfId="4" applyFont="1" applyAlignment="1" applyProtection="1">
      <alignment vertical="center"/>
      <protection locked="0"/>
    </xf>
    <xf numFmtId="4" fontId="63" fillId="0" borderId="25" xfId="0" applyNumberFormat="1" applyFont="1" applyBorder="1" applyAlignment="1" applyProtection="1">
      <alignment horizontal="right"/>
      <protection locked="0"/>
    </xf>
    <xf numFmtId="3" fontId="63" fillId="0" borderId="25" xfId="0" applyNumberFormat="1" applyFont="1" applyBorder="1" applyAlignment="1" applyProtection="1">
      <alignment horizontal="right"/>
      <protection locked="0"/>
    </xf>
    <xf numFmtId="3" fontId="63" fillId="0" borderId="3" xfId="0" applyNumberFormat="1" applyFont="1" applyBorder="1" applyAlignment="1" applyProtection="1">
      <alignment horizontal="right"/>
      <protection locked="0"/>
    </xf>
    <xf numFmtId="3" fontId="63" fillId="0" borderId="7" xfId="0" applyNumberFormat="1" applyFont="1" applyBorder="1" applyAlignment="1" applyProtection="1">
      <alignment horizontal="right"/>
      <protection locked="0"/>
    </xf>
    <xf numFmtId="3" fontId="63" fillId="0" borderId="6" xfId="0" applyNumberFormat="1" applyFont="1" applyBorder="1" applyAlignment="1">
      <alignment horizontal="right"/>
    </xf>
    <xf numFmtId="0" fontId="13" fillId="0" borderId="16" xfId="0" applyFont="1" applyBorder="1" applyAlignment="1" applyProtection="1">
      <alignment horizontal="left" vertical="center" wrapText="1" indent="2"/>
      <protection locked="0"/>
    </xf>
    <xf numFmtId="0" fontId="13" fillId="0" borderId="16" xfId="4" applyFont="1" applyBorder="1" applyAlignment="1" applyProtection="1">
      <alignment horizontal="left" wrapText="1" indent="2"/>
      <protection locked="0"/>
    </xf>
    <xf numFmtId="165" fontId="63" fillId="0" borderId="0" xfId="0" applyNumberFormat="1" applyFont="1" applyAlignment="1" applyProtection="1">
      <alignment horizontal="right"/>
      <protection locked="0"/>
    </xf>
    <xf numFmtId="165" fontId="4" fillId="0" borderId="0" xfId="5" applyNumberFormat="1" applyFont="1" applyAlignment="1" applyProtection="1">
      <alignment horizontal="right" vertical="center" wrapText="1"/>
      <protection locked="0"/>
    </xf>
    <xf numFmtId="165" fontId="63" fillId="0" borderId="0" xfId="0" applyNumberFormat="1" applyFont="1" applyAlignment="1" applyProtection="1">
      <alignment horizontal="right" vertical="center"/>
      <protection locked="0"/>
    </xf>
    <xf numFmtId="3" fontId="63" fillId="0" borderId="26" xfId="0" applyNumberFormat="1" applyFont="1" applyBorder="1" applyAlignment="1">
      <alignment horizontal="right"/>
    </xf>
    <xf numFmtId="3" fontId="63" fillId="0" borderId="2" xfId="0" applyNumberFormat="1" applyFont="1" applyBorder="1" applyAlignment="1">
      <alignment horizontal="right"/>
    </xf>
    <xf numFmtId="3" fontId="63" fillId="0" borderId="27" xfId="0" applyNumberFormat="1" applyFont="1" applyBorder="1" applyAlignment="1">
      <alignment horizontal="right"/>
    </xf>
    <xf numFmtId="4" fontId="63" fillId="0" borderId="0" xfId="0" applyNumberFormat="1" applyFont="1" applyAlignment="1">
      <alignment horizontal="right" vertical="center"/>
    </xf>
    <xf numFmtId="4" fontId="63" fillId="0" borderId="6" xfId="0" applyNumberFormat="1" applyFont="1" applyBorder="1" applyAlignment="1">
      <alignment horizontal="right" vertical="center"/>
    </xf>
    <xf numFmtId="0" fontId="63" fillId="0" borderId="0" xfId="0" applyFont="1" applyAlignment="1" applyProtection="1">
      <alignment vertical="center"/>
      <protection locked="0"/>
    </xf>
    <xf numFmtId="4" fontId="4" fillId="0" borderId="0" xfId="0" applyNumberFormat="1" applyFont="1" applyAlignment="1">
      <alignment horizontal="right" vertical="center"/>
    </xf>
    <xf numFmtId="4" fontId="63" fillId="0" borderId="6" xfId="0" applyNumberFormat="1" applyFont="1" applyBorder="1" applyAlignment="1" applyProtection="1">
      <alignment horizontal="right"/>
      <protection locked="0"/>
    </xf>
    <xf numFmtId="4" fontId="63" fillId="0" borderId="0" xfId="0" applyNumberFormat="1" applyFont="1" applyAlignment="1" applyProtection="1">
      <alignment horizontal="right" vertical="center"/>
      <protection locked="0"/>
    </xf>
    <xf numFmtId="4" fontId="63" fillId="0" borderId="6" xfId="0" applyNumberFormat="1" applyFont="1" applyBorder="1" applyAlignment="1" applyProtection="1">
      <alignment horizontal="right" vertical="center"/>
      <protection locked="0"/>
    </xf>
    <xf numFmtId="4" fontId="4" fillId="0" borderId="0" xfId="0" applyNumberFormat="1" applyFont="1" applyAlignment="1">
      <alignment horizontal="right" vertical="center" wrapText="1"/>
    </xf>
    <xf numFmtId="4" fontId="4" fillId="0" borderId="6" xfId="0" applyNumberFormat="1" applyFont="1" applyBorder="1" applyAlignment="1">
      <alignment horizontal="right" vertical="center" wrapText="1"/>
    </xf>
    <xf numFmtId="4" fontId="4" fillId="0" borderId="0" xfId="4" applyNumberFormat="1" applyFont="1" applyAlignment="1">
      <alignment horizontal="right" wrapText="1"/>
    </xf>
    <xf numFmtId="4" fontId="4" fillId="0" borderId="6" xfId="4" applyNumberFormat="1" applyFont="1" applyBorder="1" applyAlignment="1">
      <alignment horizontal="right" wrapText="1"/>
    </xf>
    <xf numFmtId="4" fontId="66" fillId="0" borderId="0" xfId="4" applyNumberFormat="1" applyFont="1" applyAlignment="1">
      <alignment horizontal="right" vertical="center"/>
    </xf>
    <xf numFmtId="4" fontId="63" fillId="0" borderId="0" xfId="0" applyNumberFormat="1" applyFont="1" applyAlignment="1">
      <alignment horizontal="right" vertical="center" wrapText="1"/>
    </xf>
    <xf numFmtId="20" fontId="63" fillId="0" borderId="0" xfId="0" applyNumberFormat="1" applyFont="1" applyAlignment="1" applyProtection="1">
      <alignment vertical="center"/>
      <protection locked="0"/>
    </xf>
    <xf numFmtId="4" fontId="63" fillId="0" borderId="6" xfId="0" applyNumberFormat="1" applyFont="1" applyBorder="1" applyAlignment="1">
      <alignment horizontal="right" vertical="center" wrapText="1"/>
    </xf>
    <xf numFmtId="0" fontId="13" fillId="0" borderId="0" xfId="0" applyFont="1" applyAlignment="1" applyProtection="1">
      <alignment horizontal="left" vertical="center" indent="2"/>
      <protection locked="0"/>
    </xf>
    <xf numFmtId="165" fontId="4" fillId="0" borderId="0" xfId="0" applyNumberFormat="1" applyFont="1" applyAlignment="1" applyProtection="1">
      <alignment horizontal="right" vertical="center"/>
      <protection locked="0"/>
    </xf>
    <xf numFmtId="4" fontId="4" fillId="0" borderId="6" xfId="0" applyNumberFormat="1" applyFont="1" applyBorder="1" applyAlignment="1">
      <alignment horizontal="right" vertical="center"/>
    </xf>
    <xf numFmtId="3" fontId="13" fillId="0" borderId="16" xfId="5" applyNumberFormat="1" applyFont="1" applyBorder="1" applyAlignment="1" applyProtection="1">
      <alignment horizontal="left" vertical="center" wrapText="1" indent="2"/>
      <protection locked="0"/>
    </xf>
    <xf numFmtId="0" fontId="15" fillId="0" borderId="7" xfId="0" applyFont="1" applyBorder="1"/>
    <xf numFmtId="0" fontId="63" fillId="0" borderId="0" xfId="0" applyFont="1" applyAlignment="1" applyProtection="1">
      <alignment horizontal="center" wrapText="1"/>
      <protection locked="0"/>
    </xf>
    <xf numFmtId="0" fontId="63" fillId="0" borderId="0" xfId="0" applyFont="1" applyAlignment="1" applyProtection="1">
      <alignment horizontal="center" vertical="center" wrapText="1"/>
      <protection locked="0"/>
    </xf>
    <xf numFmtId="0" fontId="63" fillId="0" borderId="6" xfId="0" applyFont="1" applyBorder="1" applyAlignment="1" applyProtection="1">
      <alignment horizontal="center" wrapText="1"/>
      <protection locked="0"/>
    </xf>
    <xf numFmtId="0" fontId="64" fillId="0" borderId="6" xfId="0" applyFont="1" applyBorder="1" applyAlignment="1" applyProtection="1">
      <alignment horizontal="center"/>
      <protection locked="0"/>
    </xf>
    <xf numFmtId="0" fontId="14" fillId="0" borderId="16" xfId="0" applyFont="1" applyBorder="1" applyAlignment="1" applyProtection="1">
      <alignment horizontal="center"/>
      <protection locked="0"/>
    </xf>
    <xf numFmtId="0" fontId="14" fillId="0" borderId="0" xfId="0" applyFont="1" applyAlignment="1" applyProtection="1">
      <alignment horizontal="center"/>
      <protection locked="0"/>
    </xf>
    <xf numFmtId="0" fontId="14" fillId="0" borderId="0" xfId="0" applyFont="1" applyAlignment="1" applyProtection="1">
      <alignment horizontal="center" wrapText="1"/>
      <protection locked="0"/>
    </xf>
    <xf numFmtId="0" fontId="14" fillId="0" borderId="6" xfId="0" applyFont="1" applyBorder="1" applyAlignment="1" applyProtection="1">
      <alignment horizontal="center"/>
      <protection locked="0"/>
    </xf>
    <xf numFmtId="3" fontId="19" fillId="0" borderId="16" xfId="0" applyNumberFormat="1" applyFont="1" applyBorder="1" applyAlignment="1" applyProtection="1">
      <alignment horizontal="center" vertical="center"/>
      <protection locked="0"/>
    </xf>
    <xf numFmtId="3" fontId="19" fillId="0" borderId="0" xfId="0" applyNumberFormat="1" applyFont="1" applyAlignment="1" applyProtection="1">
      <alignment horizontal="center" vertical="center"/>
      <protection locked="0"/>
    </xf>
    <xf numFmtId="169" fontId="19" fillId="0" borderId="6" xfId="0" applyNumberFormat="1" applyFont="1" applyBorder="1" applyAlignment="1" applyProtection="1">
      <alignment horizontal="center" vertical="center"/>
      <protection locked="0"/>
    </xf>
    <xf numFmtId="0" fontId="16" fillId="0" borderId="6" xfId="0" applyFont="1" applyBorder="1" applyAlignment="1" applyProtection="1">
      <alignment horizontal="center"/>
      <protection locked="0"/>
    </xf>
    <xf numFmtId="3" fontId="19" fillId="0" borderId="16" xfId="10" applyNumberFormat="1" applyFont="1" applyBorder="1" applyAlignment="1" applyProtection="1">
      <alignment horizontal="center" vertical="center"/>
      <protection locked="0"/>
    </xf>
    <xf numFmtId="3" fontId="19" fillId="0" borderId="0" xfId="10" applyNumberFormat="1" applyFont="1" applyAlignment="1" applyProtection="1">
      <alignment horizontal="center" vertical="center"/>
      <protection locked="0"/>
    </xf>
    <xf numFmtId="3" fontId="19" fillId="0" borderId="6" xfId="10" applyNumberFormat="1" applyFont="1" applyBorder="1" applyAlignment="1" applyProtection="1">
      <alignment horizontal="center" vertical="center"/>
      <protection locked="0"/>
    </xf>
    <xf numFmtId="0" fontId="66" fillId="0" borderId="16" xfId="4" applyFont="1" applyBorder="1" applyAlignment="1" applyProtection="1">
      <alignment horizontal="center"/>
      <protection locked="0"/>
    </xf>
    <xf numFmtId="0" fontId="66" fillId="0" borderId="0" xfId="4" applyFont="1" applyAlignment="1" applyProtection="1">
      <alignment horizontal="center"/>
      <protection locked="0"/>
    </xf>
    <xf numFmtId="0" fontId="66" fillId="0" borderId="6" xfId="4" applyFont="1" applyBorder="1" applyAlignment="1" applyProtection="1">
      <alignment horizontal="center"/>
      <protection locked="0"/>
    </xf>
    <xf numFmtId="0" fontId="0" fillId="0" borderId="0" xfId="0" applyProtection="1">
      <protection locked="0"/>
    </xf>
    <xf numFmtId="0" fontId="72" fillId="0" borderId="0" xfId="0" applyFont="1" applyProtection="1">
      <protection locked="0"/>
    </xf>
    <xf numFmtId="4" fontId="19" fillId="0" borderId="0" xfId="0" applyNumberFormat="1" applyFont="1" applyAlignment="1">
      <alignment horizontal="right" vertical="center" wrapText="1"/>
    </xf>
    <xf numFmtId="3" fontId="19" fillId="0" borderId="0" xfId="0" applyNumberFormat="1" applyFont="1" applyAlignment="1">
      <alignment horizontal="right" vertical="center" wrapText="1"/>
    </xf>
    <xf numFmtId="4" fontId="4" fillId="0" borderId="0" xfId="0" applyNumberFormat="1" applyFont="1" applyAlignment="1">
      <alignment horizontal="right"/>
    </xf>
    <xf numFmtId="4" fontId="4" fillId="0" borderId="6" xfId="0" applyNumberFormat="1" applyFont="1" applyBorder="1" applyAlignment="1">
      <alignment horizontal="right"/>
    </xf>
    <xf numFmtId="4" fontId="13" fillId="0" borderId="0" xfId="11" quotePrefix="1" applyNumberFormat="1" applyFont="1" applyFill="1" applyBorder="1" applyAlignment="1">
      <alignment horizontal="right" vertical="center"/>
    </xf>
    <xf numFmtId="4" fontId="13" fillId="0" borderId="0" xfId="0" applyNumberFormat="1" applyFont="1" applyAlignment="1">
      <alignment horizontal="right"/>
    </xf>
    <xf numFmtId="4" fontId="63" fillId="0" borderId="26" xfId="0" applyNumberFormat="1" applyFont="1" applyBorder="1" applyAlignment="1">
      <alignment horizontal="right" vertical="center"/>
    </xf>
    <xf numFmtId="4" fontId="63" fillId="0" borderId="2" xfId="0" applyNumberFormat="1" applyFont="1" applyBorder="1" applyAlignment="1">
      <alignment horizontal="right" vertical="center"/>
    </xf>
    <xf numFmtId="4" fontId="63" fillId="0" borderId="27" xfId="0" applyNumberFormat="1" applyFont="1" applyBorder="1" applyAlignment="1">
      <alignment horizontal="right" vertical="center"/>
    </xf>
    <xf numFmtId="165" fontId="4" fillId="0" borderId="0" xfId="0" applyNumberFormat="1" applyFont="1" applyAlignment="1">
      <alignment horizontal="right" vertical="center"/>
    </xf>
    <xf numFmtId="165" fontId="4" fillId="0" borderId="6" xfId="0" applyNumberFormat="1" applyFont="1" applyBorder="1" applyAlignment="1">
      <alignment horizontal="right" vertical="center"/>
    </xf>
    <xf numFmtId="1" fontId="63" fillId="0" borderId="0" xfId="0" applyNumberFormat="1" applyFont="1" applyAlignment="1" applyProtection="1">
      <alignment horizontal="right" vertical="center"/>
      <protection locked="0"/>
    </xf>
    <xf numFmtId="49" fontId="4" fillId="0" borderId="0" xfId="19" applyNumberFormat="1" applyFont="1" applyFill="1" applyBorder="1" applyAlignment="1" applyProtection="1">
      <alignment horizontal="center" vertical="top" wrapText="1"/>
      <protection locked="0"/>
    </xf>
    <xf numFmtId="49" fontId="4" fillId="0" borderId="0" xfId="0" applyNumberFormat="1" applyFont="1" applyAlignment="1" applyProtection="1">
      <alignment horizontal="center" vertical="center" wrapText="1"/>
      <protection locked="0"/>
    </xf>
    <xf numFmtId="169" fontId="4" fillId="0" borderId="6" xfId="0" applyNumberFormat="1" applyFont="1" applyBorder="1" applyAlignment="1" applyProtection="1">
      <alignment horizontal="center" vertical="center" wrapText="1"/>
      <protection locked="0"/>
    </xf>
    <xf numFmtId="2" fontId="63" fillId="0" borderId="0" xfId="0" applyNumberFormat="1" applyFont="1" applyAlignment="1" applyProtection="1">
      <alignment horizontal="right"/>
      <protection locked="0"/>
    </xf>
    <xf numFmtId="2" fontId="63" fillId="0" borderId="3" xfId="0" applyNumberFormat="1" applyFont="1" applyBorder="1" applyAlignment="1" applyProtection="1">
      <alignment horizontal="right"/>
      <protection locked="0"/>
    </xf>
    <xf numFmtId="2" fontId="63" fillId="0" borderId="0" xfId="0" applyNumberFormat="1" applyFont="1" applyAlignment="1">
      <alignment horizontal="right"/>
    </xf>
    <xf numFmtId="2" fontId="63" fillId="0" borderId="6" xfId="0" applyNumberFormat="1" applyFont="1" applyBorder="1" applyAlignment="1">
      <alignment horizontal="right"/>
    </xf>
    <xf numFmtId="2" fontId="63" fillId="0" borderId="2" xfId="0" applyNumberFormat="1" applyFont="1" applyBorder="1" applyAlignment="1">
      <alignment horizontal="right"/>
    </xf>
    <xf numFmtId="2" fontId="63" fillId="0" borderId="27" xfId="0" applyNumberFormat="1" applyFont="1" applyBorder="1" applyAlignment="1">
      <alignment horizontal="right"/>
    </xf>
    <xf numFmtId="4" fontId="63" fillId="0" borderId="0" xfId="0" applyNumberFormat="1" applyFont="1" applyProtection="1">
      <protection locked="0"/>
    </xf>
    <xf numFmtId="4" fontId="63" fillId="0" borderId="6" xfId="0" applyNumberFormat="1" applyFont="1" applyBorder="1" applyProtection="1">
      <protection locked="0"/>
    </xf>
    <xf numFmtId="3" fontId="4" fillId="0" borderId="0" xfId="4" applyNumberFormat="1" applyFont="1" applyAlignment="1">
      <alignment horizontal="right"/>
    </xf>
    <xf numFmtId="4" fontId="4" fillId="0" borderId="0" xfId="4" applyNumberFormat="1" applyFont="1" applyAlignment="1">
      <alignment horizontal="right"/>
    </xf>
    <xf numFmtId="0" fontId="13" fillId="0" borderId="0" xfId="4" applyFont="1" applyAlignment="1" applyProtection="1">
      <alignment horizontal="left" vertical="top" wrapText="1"/>
      <protection locked="0"/>
    </xf>
    <xf numFmtId="0" fontId="64" fillId="0" borderId="10" xfId="0" applyFont="1" applyBorder="1" applyAlignment="1" applyProtection="1">
      <alignment horizontal="center"/>
      <protection locked="0"/>
    </xf>
    <xf numFmtId="0" fontId="64" fillId="0" borderId="3" xfId="0" applyFont="1" applyBorder="1" applyAlignment="1" applyProtection="1">
      <alignment horizontal="center"/>
      <protection locked="0"/>
    </xf>
    <xf numFmtId="0" fontId="66" fillId="0" borderId="10" xfId="0" applyFont="1" applyBorder="1" applyAlignment="1" applyProtection="1">
      <alignment horizontal="center"/>
      <protection locked="0"/>
    </xf>
    <xf numFmtId="0" fontId="64" fillId="0" borderId="0" xfId="0" applyFont="1" applyAlignment="1" applyProtection="1">
      <alignment horizontal="center"/>
      <protection locked="0"/>
    </xf>
    <xf numFmtId="0" fontId="68" fillId="0" borderId="10" xfId="0" applyFont="1" applyBorder="1" applyAlignment="1" applyProtection="1">
      <alignment horizontal="center"/>
      <protection locked="0"/>
    </xf>
    <xf numFmtId="0" fontId="69" fillId="0" borderId="10" xfId="0" applyFont="1" applyBorder="1" applyAlignment="1" applyProtection="1">
      <alignment horizontal="center"/>
      <protection locked="0"/>
    </xf>
    <xf numFmtId="180" fontId="63" fillId="0" borderId="6" xfId="0" applyNumberFormat="1" applyFont="1" applyBorder="1"/>
    <xf numFmtId="2" fontId="63" fillId="0" borderId="3" xfId="0" applyNumberFormat="1" applyFont="1" applyBorder="1"/>
    <xf numFmtId="0" fontId="66" fillId="0" borderId="7" xfId="4" quotePrefix="1" applyFont="1" applyBorder="1" applyAlignment="1">
      <alignment horizontal="center" vertical="center"/>
    </xf>
    <xf numFmtId="0" fontId="74" fillId="0" borderId="0" xfId="0" applyFont="1"/>
    <xf numFmtId="0" fontId="34" fillId="0" borderId="2" xfId="4" applyFont="1" applyBorder="1" applyAlignment="1">
      <alignment horizontal="center" wrapText="1"/>
    </xf>
    <xf numFmtId="165" fontId="0" fillId="0" borderId="0" xfId="0" applyNumberFormat="1"/>
    <xf numFmtId="166" fontId="19" fillId="0" borderId="0" xfId="0" applyNumberFormat="1" applyFont="1" applyAlignment="1">
      <alignment horizontal="right"/>
    </xf>
    <xf numFmtId="166" fontId="29" fillId="0" borderId="0" xfId="0" applyNumberFormat="1" applyFont="1" applyAlignment="1">
      <alignment horizontal="right"/>
    </xf>
    <xf numFmtId="165" fontId="29" fillId="0" borderId="2" xfId="0" applyNumberFormat="1" applyFont="1" applyBorder="1" applyAlignment="1">
      <alignment horizontal="right"/>
    </xf>
    <xf numFmtId="0" fontId="73" fillId="0" borderId="0" xfId="0" applyFont="1"/>
    <xf numFmtId="3" fontId="29" fillId="0" borderId="4" xfId="0" applyNumberFormat="1" applyFont="1" applyBorder="1" applyAlignment="1">
      <alignment horizontal="right"/>
    </xf>
    <xf numFmtId="165" fontId="29" fillId="0" borderId="4" xfId="0" applyNumberFormat="1" applyFont="1" applyBorder="1" applyAlignment="1">
      <alignment horizontal="right"/>
    </xf>
    <xf numFmtId="165" fontId="13" fillId="0" borderId="0" xfId="0" quotePrefix="1" applyNumberFormat="1" applyFont="1" applyAlignment="1">
      <alignment horizontal="right" vertical="center"/>
    </xf>
    <xf numFmtId="165" fontId="13" fillId="0" borderId="0" xfId="0" applyNumberFormat="1" applyFont="1" applyAlignment="1">
      <alignment horizontal="right"/>
    </xf>
    <xf numFmtId="2" fontId="13" fillId="0" borderId="0" xfId="0" quotePrefix="1" applyNumberFormat="1" applyFont="1" applyAlignment="1">
      <alignment horizontal="right" vertical="center"/>
    </xf>
    <xf numFmtId="10" fontId="13" fillId="0" borderId="0" xfId="2" quotePrefix="1" applyNumberFormat="1" applyFont="1" applyFill="1" applyBorder="1" applyAlignment="1">
      <alignment horizontal="right" vertical="center"/>
    </xf>
    <xf numFmtId="10" fontId="13" fillId="0" borderId="0" xfId="2" applyNumberFormat="1" applyFont="1" applyFill="1" applyBorder="1" applyAlignment="1">
      <alignment horizontal="right"/>
    </xf>
    <xf numFmtId="10" fontId="13" fillId="0" borderId="0" xfId="2" applyNumberFormat="1" applyFont="1" applyFill="1" applyBorder="1" applyAlignment="1"/>
    <xf numFmtId="10" fontId="13" fillId="0" borderId="0" xfId="2" applyNumberFormat="1" applyFont="1" applyFill="1" applyBorder="1"/>
    <xf numFmtId="0" fontId="19" fillId="0" borderId="0" xfId="0" applyFont="1" applyAlignment="1">
      <alignment horizontal="right" vertical="center" wrapText="1"/>
    </xf>
    <xf numFmtId="0" fontId="13" fillId="0" borderId="0" xfId="0" applyFont="1" applyAlignment="1">
      <alignment horizontal="right" vertical="center" wrapText="1"/>
    </xf>
    <xf numFmtId="2" fontId="29" fillId="0" borderId="0" xfId="0" applyNumberFormat="1" applyFont="1" applyAlignment="1">
      <alignment horizontal="right"/>
    </xf>
    <xf numFmtId="0" fontId="2" fillId="0" borderId="0" xfId="0" applyFont="1"/>
    <xf numFmtId="2" fontId="36" fillId="0" borderId="0" xfId="0" applyNumberFormat="1" applyFont="1" applyAlignment="1">
      <alignment horizontal="right"/>
    </xf>
    <xf numFmtId="166" fontId="36" fillId="0" borderId="0" xfId="0" applyNumberFormat="1" applyFont="1" applyAlignment="1">
      <alignment horizontal="right"/>
    </xf>
    <xf numFmtId="166" fontId="19" fillId="0" borderId="0" xfId="4" applyNumberFormat="1" applyFont="1" applyAlignment="1">
      <alignment horizontal="right"/>
    </xf>
    <xf numFmtId="165" fontId="19" fillId="0" borderId="0" xfId="10" quotePrefix="1" applyNumberFormat="1" applyFont="1" applyAlignment="1">
      <alignment horizontal="right" vertical="center"/>
    </xf>
    <xf numFmtId="4" fontId="34" fillId="0" borderId="0" xfId="10" quotePrefix="1" applyNumberFormat="1" applyFont="1" applyAlignment="1">
      <alignment horizontal="right" vertical="center"/>
    </xf>
    <xf numFmtId="165" fontId="34" fillId="0" borderId="0" xfId="10" quotePrefix="1" applyNumberFormat="1" applyFont="1" applyAlignment="1">
      <alignment horizontal="right" vertical="center"/>
    </xf>
    <xf numFmtId="165" fontId="19" fillId="0" borderId="0" xfId="10" applyNumberFormat="1" applyFont="1" applyAlignment="1">
      <alignment horizontal="right"/>
    </xf>
    <xf numFmtId="165" fontId="75" fillId="0" borderId="0" xfId="10" applyNumberFormat="1" applyFont="1" applyAlignment="1">
      <alignment horizontal="right"/>
    </xf>
    <xf numFmtId="165" fontId="13" fillId="0" borderId="0" xfId="11" quotePrefix="1" applyNumberFormat="1" applyFont="1" applyFill="1" applyBorder="1" applyAlignment="1">
      <alignment horizontal="right"/>
    </xf>
    <xf numFmtId="4" fontId="13" fillId="0" borderId="0" xfId="0" quotePrefix="1" applyNumberFormat="1" applyFont="1" applyAlignment="1">
      <alignment horizontal="right"/>
    </xf>
    <xf numFmtId="165" fontId="13" fillId="0" borderId="0" xfId="0" quotePrefix="1" applyNumberFormat="1" applyFont="1" applyAlignment="1">
      <alignment horizontal="right"/>
    </xf>
    <xf numFmtId="4" fontId="10" fillId="0" borderId="0" xfId="0" quotePrefix="1" applyNumberFormat="1" applyFont="1" applyAlignment="1">
      <alignment horizontal="center" vertical="center"/>
    </xf>
    <xf numFmtId="165" fontId="10" fillId="0" borderId="0" xfId="0" quotePrefix="1" applyNumberFormat="1" applyFont="1" applyAlignment="1">
      <alignment horizontal="center" vertical="center"/>
    </xf>
    <xf numFmtId="165" fontId="13" fillId="0" borderId="0" xfId="0" applyNumberFormat="1" applyFont="1"/>
    <xf numFmtId="0" fontId="19" fillId="0" borderId="0" xfId="20" applyFont="1" applyAlignment="1">
      <alignment horizontal="right" vertical="center" wrapText="1"/>
    </xf>
    <xf numFmtId="0" fontId="19" fillId="0" borderId="0" xfId="20" applyFont="1" applyAlignment="1" applyProtection="1">
      <alignment horizontal="right" vertical="center" wrapText="1"/>
      <protection locked="0"/>
    </xf>
    <xf numFmtId="0" fontId="19" fillId="0" borderId="0" xfId="10" quotePrefix="1" applyFont="1" applyAlignment="1">
      <alignment horizontal="right" vertical="center"/>
    </xf>
    <xf numFmtId="0" fontId="13" fillId="0" borderId="0" xfId="10" quotePrefix="1" applyFont="1" applyAlignment="1">
      <alignment horizontal="right" vertical="center"/>
    </xf>
    <xf numFmtId="0" fontId="6" fillId="0" borderId="0" xfId="10" applyAlignment="1">
      <alignment horizontal="right"/>
    </xf>
    <xf numFmtId="165" fontId="19" fillId="0" borderId="0" xfId="0" applyNumberFormat="1" applyFont="1" applyAlignment="1">
      <alignment horizontal="right" vertical="center"/>
    </xf>
    <xf numFmtId="0" fontId="10" fillId="0" borderId="0" xfId="10" quotePrefix="1" applyFont="1" applyAlignment="1">
      <alignment horizontal="right" vertical="center"/>
    </xf>
    <xf numFmtId="0" fontId="19" fillId="0" borderId="0" xfId="10" applyFont="1" applyAlignment="1">
      <alignment horizontal="right" vertical="center" wrapText="1"/>
    </xf>
    <xf numFmtId="0" fontId="19" fillId="0" borderId="0" xfId="10" applyFont="1" applyAlignment="1" applyProtection="1">
      <alignment horizontal="right" vertical="center" wrapText="1"/>
      <protection locked="0"/>
    </xf>
    <xf numFmtId="0" fontId="10" fillId="0" borderId="0" xfId="4" applyFont="1" applyAlignment="1">
      <alignment horizontal="left"/>
    </xf>
    <xf numFmtId="0" fontId="36" fillId="0" borderId="7" xfId="0" applyFont="1" applyBorder="1" applyAlignment="1">
      <alignment horizontal="left" indent="2"/>
    </xf>
    <xf numFmtId="0" fontId="36" fillId="0" borderId="6" xfId="0" applyFont="1" applyBorder="1" applyAlignment="1">
      <alignment horizontal="left" indent="2"/>
    </xf>
    <xf numFmtId="0" fontId="36" fillId="0" borderId="5" xfId="0" applyFont="1" applyBorder="1" applyAlignment="1">
      <alignment horizontal="left" indent="2"/>
    </xf>
    <xf numFmtId="0" fontId="13" fillId="0" borderId="2" xfId="4" applyFont="1" applyBorder="1" applyAlignment="1">
      <alignment horizontal="center" vertical="center" wrapText="1"/>
    </xf>
    <xf numFmtId="20" fontId="29" fillId="0" borderId="0" xfId="0" applyNumberFormat="1" applyFont="1" applyAlignment="1">
      <alignment horizontal="center"/>
    </xf>
    <xf numFmtId="20" fontId="29" fillId="0" borderId="0" xfId="0" applyNumberFormat="1" applyFont="1" applyAlignment="1">
      <alignment horizontal="left"/>
    </xf>
    <xf numFmtId="20" fontId="29" fillId="0" borderId="4" xfId="0" applyNumberFormat="1" applyFont="1" applyBorder="1" applyAlignment="1">
      <alignment horizontal="center"/>
    </xf>
    <xf numFmtId="0" fontId="13" fillId="0" borderId="10" xfId="4" applyFont="1" applyBorder="1" applyAlignment="1">
      <alignment horizontal="center" vertical="center"/>
    </xf>
    <xf numFmtId="0" fontId="13" fillId="0" borderId="10" xfId="4" applyFont="1" applyBorder="1" applyAlignment="1">
      <alignment horizontal="center" vertical="center" wrapText="1"/>
    </xf>
    <xf numFmtId="0" fontId="20" fillId="0" borderId="3" xfId="0" applyFont="1" applyBorder="1" applyAlignment="1">
      <alignment horizontal="center" vertical="center" wrapText="1"/>
    </xf>
    <xf numFmtId="0" fontId="20" fillId="0" borderId="2" xfId="0" applyFont="1" applyBorder="1" applyAlignment="1">
      <alignment horizontal="center" vertical="center"/>
    </xf>
    <xf numFmtId="3" fontId="19" fillId="0" borderId="13" xfId="10" applyNumberFormat="1" applyFont="1" applyBorder="1" applyAlignment="1">
      <alignment horizontal="center" vertical="center"/>
    </xf>
    <xf numFmtId="3" fontId="19" fillId="0" borderId="13" xfId="10" applyNumberFormat="1" applyFont="1" applyBorder="1" applyAlignment="1">
      <alignment horizontal="right" vertical="center"/>
    </xf>
    <xf numFmtId="3" fontId="19" fillId="0" borderId="0" xfId="10" applyNumberFormat="1" applyFont="1" applyAlignment="1">
      <alignment horizontal="right" vertical="center"/>
    </xf>
    <xf numFmtId="0" fontId="20" fillId="0" borderId="3" xfId="0" applyFont="1" applyBorder="1" applyAlignment="1">
      <alignment horizontal="center" vertical="center"/>
    </xf>
    <xf numFmtId="0" fontId="7" fillId="0" borderId="3" xfId="21" applyFont="1" applyBorder="1" applyAlignment="1">
      <alignment horizontal="center" vertical="center"/>
    </xf>
    <xf numFmtId="0" fontId="7" fillId="0" borderId="3" xfId="21" applyFont="1" applyBorder="1" applyAlignment="1">
      <alignment horizontal="center" vertical="center" wrapText="1"/>
    </xf>
    <xf numFmtId="0" fontId="7" fillId="0" borderId="2" xfId="21" applyFont="1" applyBorder="1" applyAlignment="1">
      <alignment horizontal="center" vertical="center"/>
    </xf>
    <xf numFmtId="0" fontId="13" fillId="0" borderId="6" xfId="21" applyFont="1" applyBorder="1" applyAlignment="1">
      <alignment horizontal="left" vertical="center"/>
    </xf>
    <xf numFmtId="3" fontId="19" fillId="0" borderId="0" xfId="21" applyNumberFormat="1" applyFont="1" applyAlignment="1">
      <alignment horizontal="center" vertical="center" wrapText="1"/>
    </xf>
    <xf numFmtId="3" fontId="19" fillId="0" borderId="0" xfId="21" applyNumberFormat="1" applyFont="1" applyAlignment="1">
      <alignment horizontal="center" vertical="center"/>
    </xf>
    <xf numFmtId="178" fontId="19" fillId="0" borderId="0" xfId="21" applyNumberFormat="1" applyFont="1" applyAlignment="1">
      <alignment horizontal="center" vertical="center"/>
    </xf>
    <xf numFmtId="49" fontId="19" fillId="0" borderId="0" xfId="19" applyNumberFormat="1" applyFont="1" applyFill="1" applyBorder="1" applyAlignment="1">
      <alignment horizontal="center" vertical="center" wrapText="1"/>
    </xf>
    <xf numFmtId="0" fontId="13" fillId="0" borderId="5" xfId="21" applyFont="1" applyBorder="1" applyAlignment="1">
      <alignment horizontal="left" vertical="center"/>
    </xf>
    <xf numFmtId="3" fontId="19" fillId="0" borderId="4" xfId="21" applyNumberFormat="1" applyFont="1" applyBorder="1" applyAlignment="1">
      <alignment horizontal="center" vertical="center" wrapText="1"/>
    </xf>
    <xf numFmtId="3" fontId="19" fillId="0" borderId="4" xfId="21" applyNumberFormat="1" applyFont="1" applyBorder="1" applyAlignment="1">
      <alignment horizontal="center" vertical="center"/>
    </xf>
    <xf numFmtId="178" fontId="19" fillId="0" borderId="4" xfId="21" applyNumberFormat="1" applyFont="1" applyBorder="1" applyAlignment="1">
      <alignment horizontal="center" vertical="center"/>
    </xf>
    <xf numFmtId="49" fontId="19" fillId="0" borderId="4" xfId="19" applyNumberFormat="1" applyFont="1" applyFill="1" applyBorder="1" applyAlignment="1">
      <alignment horizontal="center" vertical="center" wrapText="1"/>
    </xf>
    <xf numFmtId="0" fontId="8" fillId="0" borderId="0" xfId="21" applyFont="1" applyAlignment="1">
      <alignment horizontal="left" vertical="top" wrapText="1"/>
    </xf>
    <xf numFmtId="0" fontId="1" fillId="0" borderId="0" xfId="21"/>
    <xf numFmtId="0" fontId="7" fillId="0" borderId="0" xfId="21" applyFont="1" applyAlignment="1">
      <alignment horizontal="center" vertical="center" wrapText="1"/>
    </xf>
    <xf numFmtId="0" fontId="7" fillId="0" borderId="0" xfId="21" applyFont="1" applyAlignment="1">
      <alignment horizontal="center" vertical="center"/>
    </xf>
    <xf numFmtId="0" fontId="13" fillId="0" borderId="6" xfId="21" applyFont="1" applyBorder="1" applyAlignment="1">
      <alignment horizontal="left" vertical="center" indent="2"/>
    </xf>
    <xf numFmtId="169" fontId="19" fillId="0" borderId="0" xfId="21" applyNumberFormat="1" applyFont="1" applyAlignment="1">
      <alignment horizontal="center" vertical="center"/>
    </xf>
    <xf numFmtId="0" fontId="13" fillId="0" borderId="5" xfId="21" applyFont="1" applyBorder="1" applyAlignment="1">
      <alignment horizontal="left" vertical="center" indent="2"/>
    </xf>
    <xf numFmtId="49" fontId="19" fillId="0" borderId="4" xfId="21" applyNumberFormat="1" applyFont="1" applyBorder="1" applyAlignment="1">
      <alignment horizontal="center" vertical="center" wrapText="1"/>
    </xf>
    <xf numFmtId="169" fontId="19" fillId="0" borderId="4" xfId="21" applyNumberFormat="1" applyFont="1" applyBorder="1" applyAlignment="1">
      <alignment horizontal="center" vertical="center"/>
    </xf>
    <xf numFmtId="0" fontId="8" fillId="0" borderId="0" xfId="21" applyFont="1" applyAlignment="1">
      <alignment horizontal="left"/>
    </xf>
    <xf numFmtId="0" fontId="3" fillId="0" borderId="0" xfId="21" applyFont="1"/>
    <xf numFmtId="0" fontId="8" fillId="0" borderId="0" xfId="21" applyFont="1" applyAlignment="1">
      <alignment horizontal="left" wrapText="1"/>
    </xf>
    <xf numFmtId="165" fontId="5" fillId="0" borderId="4" xfId="0" applyNumberFormat="1" applyFont="1" applyBorder="1"/>
    <xf numFmtId="0" fontId="76" fillId="0" borderId="0" xfId="4" applyFont="1" applyAlignment="1">
      <alignment horizontal="left"/>
    </xf>
    <xf numFmtId="0" fontId="34" fillId="2" borderId="2" xfId="4" applyFont="1" applyFill="1" applyBorder="1" applyAlignment="1">
      <alignment horizontal="center" wrapText="1"/>
    </xf>
    <xf numFmtId="0" fontId="4" fillId="0" borderId="0" xfId="4" applyFont="1"/>
    <xf numFmtId="3" fontId="5" fillId="0" borderId="0" xfId="0" applyNumberFormat="1" applyFont="1" applyAlignment="1">
      <alignment horizontal="center"/>
    </xf>
    <xf numFmtId="165" fontId="19" fillId="0" borderId="0" xfId="11" applyNumberFormat="1" applyFont="1" applyFill="1" applyBorder="1" applyAlignment="1">
      <alignment horizontal="center" vertical="center"/>
    </xf>
    <xf numFmtId="165" fontId="19" fillId="0" borderId="0" xfId="11" applyNumberFormat="1" applyFont="1" applyFill="1" applyBorder="1" applyAlignment="1">
      <alignment horizontal="right"/>
    </xf>
    <xf numFmtId="165" fontId="19" fillId="0" borderId="4" xfId="11" applyNumberFormat="1" applyFont="1" applyFill="1" applyBorder="1" applyAlignment="1">
      <alignment horizontal="right" vertical="center"/>
    </xf>
    <xf numFmtId="165" fontId="5" fillId="0" borderId="0" xfId="0" applyNumberFormat="1" applyFont="1" applyAlignment="1">
      <alignment horizontal="right" vertical="center"/>
    </xf>
    <xf numFmtId="0" fontId="5" fillId="0" borderId="4" xfId="0" applyFont="1" applyBorder="1"/>
    <xf numFmtId="166" fontId="19" fillId="0" borderId="0" xfId="0" quotePrefix="1" applyNumberFormat="1" applyFont="1" applyAlignment="1">
      <alignment horizontal="right" vertical="center"/>
    </xf>
    <xf numFmtId="166" fontId="19" fillId="0" borderId="0" xfId="11" applyNumberFormat="1" applyFont="1" applyFill="1" applyBorder="1" applyAlignment="1">
      <alignment horizontal="right" vertical="center"/>
    </xf>
    <xf numFmtId="0" fontId="19" fillId="0" borderId="0" xfId="11" applyNumberFormat="1" applyFont="1" applyFill="1" applyBorder="1" applyAlignment="1">
      <alignment horizontal="right" vertical="center"/>
    </xf>
    <xf numFmtId="0" fontId="19" fillId="0" borderId="4" xfId="11" applyNumberFormat="1" applyFont="1" applyFill="1" applyBorder="1" applyAlignment="1">
      <alignment horizontal="right" vertical="center"/>
    </xf>
    <xf numFmtId="0" fontId="5" fillId="0" borderId="13" xfId="0" applyFont="1" applyBorder="1"/>
    <xf numFmtId="186" fontId="29" fillId="0" borderId="0" xfId="22" applyNumberFormat="1" applyFont="1" applyAlignment="1">
      <alignment horizontal="right"/>
    </xf>
    <xf numFmtId="0" fontId="19" fillId="0" borderId="4" xfId="4" applyFont="1" applyBorder="1" applyAlignment="1">
      <alignment horizontal="right"/>
    </xf>
    <xf numFmtId="165" fontId="19" fillId="0" borderId="4" xfId="4" applyNumberFormat="1" applyFont="1" applyBorder="1"/>
    <xf numFmtId="0" fontId="19" fillId="0" borderId="0" xfId="0" applyFont="1"/>
    <xf numFmtId="0" fontId="19" fillId="0" borderId="0" xfId="0" applyFont="1" applyAlignment="1">
      <alignment horizontal="right"/>
    </xf>
    <xf numFmtId="165" fontId="19" fillId="0" borderId="0" xfId="11" quotePrefix="1" applyNumberFormat="1" applyFont="1" applyFill="1" applyBorder="1" applyAlignment="1">
      <alignment horizontal="right" vertical="center"/>
    </xf>
    <xf numFmtId="165" fontId="19" fillId="0" borderId="0" xfId="11" applyNumberFormat="1" applyFont="1" applyAlignment="1">
      <alignment horizontal="right"/>
    </xf>
    <xf numFmtId="165" fontId="19" fillId="0" borderId="4" xfId="11" applyNumberFormat="1" applyFont="1" applyBorder="1" applyAlignment="1">
      <alignment horizontal="right"/>
    </xf>
    <xf numFmtId="165" fontId="19" fillId="0" borderId="4" xfId="11" quotePrefix="1" applyNumberFormat="1" applyFont="1" applyFill="1" applyBorder="1" applyAlignment="1">
      <alignment horizontal="right" vertical="center"/>
    </xf>
    <xf numFmtId="165" fontId="19" fillId="0" borderId="0" xfId="11" applyNumberFormat="1" applyFont="1" applyFill="1" applyBorder="1" applyAlignment="1"/>
    <xf numFmtId="187" fontId="19" fillId="0" borderId="0" xfId="11" quotePrefix="1" applyNumberFormat="1" applyFont="1" applyFill="1" applyBorder="1" applyAlignment="1">
      <alignment horizontal="right" vertical="center"/>
    </xf>
    <xf numFmtId="165" fontId="19" fillId="0" borderId="0" xfId="11" applyNumberFormat="1" applyFont="1" applyFill="1"/>
    <xf numFmtId="165" fontId="19" fillId="0" borderId="4" xfId="11" applyNumberFormat="1" applyFont="1" applyFill="1" applyBorder="1"/>
    <xf numFmtId="3" fontId="19" fillId="0" borderId="11" xfId="0" applyNumberFormat="1" applyFont="1" applyBorder="1" applyAlignment="1">
      <alignment horizontal="center" vertical="center"/>
    </xf>
    <xf numFmtId="0" fontId="5" fillId="0" borderId="25" xfId="0" applyFont="1" applyBorder="1" applyAlignment="1">
      <alignment horizontal="center"/>
    </xf>
    <xf numFmtId="20" fontId="5" fillId="0" borderId="3" xfId="0" applyNumberFormat="1" applyFont="1" applyBorder="1" applyAlignment="1">
      <alignment horizontal="center"/>
    </xf>
    <xf numFmtId="0" fontId="5" fillId="0" borderId="11" xfId="0" applyFont="1" applyBorder="1" applyAlignment="1">
      <alignment horizontal="center"/>
    </xf>
    <xf numFmtId="20" fontId="5" fillId="0" borderId="4" xfId="0" applyNumberFormat="1" applyFont="1" applyBorder="1" applyAlignment="1">
      <alignment horizontal="center"/>
    </xf>
    <xf numFmtId="3" fontId="19" fillId="0" borderId="18" xfId="5" applyNumberFormat="1" applyFont="1" applyBorder="1" applyAlignment="1">
      <alignment horizontal="center" vertical="center" wrapText="1"/>
    </xf>
    <xf numFmtId="3" fontId="19" fillId="0" borderId="13" xfId="5" applyNumberFormat="1" applyFont="1" applyBorder="1" applyAlignment="1">
      <alignment horizontal="center" vertical="center" wrapText="1"/>
    </xf>
    <xf numFmtId="0" fontId="8" fillId="0" borderId="0" xfId="0" applyFont="1" applyAlignment="1">
      <alignment wrapText="1"/>
    </xf>
    <xf numFmtId="0" fontId="13" fillId="0" borderId="15" xfId="0" applyFont="1" applyBorder="1" applyAlignment="1">
      <alignment horizontal="left" vertical="center" indent="2"/>
    </xf>
    <xf numFmtId="0" fontId="5" fillId="0" borderId="18" xfId="0" applyFont="1" applyBorder="1" applyAlignment="1">
      <alignment horizontal="center" vertical="center" wrapText="1"/>
    </xf>
    <xf numFmtId="0" fontId="5" fillId="0" borderId="13" xfId="0" applyFont="1" applyBorder="1" applyAlignment="1">
      <alignment horizontal="center" vertical="center"/>
    </xf>
    <xf numFmtId="0" fontId="5" fillId="0" borderId="13" xfId="0" applyFont="1" applyBorder="1" applyAlignment="1">
      <alignment horizontal="center" vertical="center" wrapText="1"/>
    </xf>
    <xf numFmtId="0" fontId="5" fillId="0" borderId="18" xfId="0" applyFont="1" applyBorder="1" applyAlignment="1">
      <alignment horizontal="center" vertical="center"/>
    </xf>
    <xf numFmtId="3" fontId="0" fillId="9" borderId="0" xfId="0" applyNumberFormat="1" applyFill="1"/>
    <xf numFmtId="167" fontId="0" fillId="9" borderId="0" xfId="0" applyNumberFormat="1" applyFill="1"/>
    <xf numFmtId="171" fontId="0" fillId="9" borderId="0" xfId="0" applyNumberFormat="1" applyFill="1"/>
    <xf numFmtId="4" fontId="19" fillId="9" borderId="0" xfId="4" applyNumberFormat="1" applyFont="1" applyFill="1" applyAlignment="1">
      <alignment horizontal="right" wrapText="1"/>
    </xf>
    <xf numFmtId="2" fontId="19" fillId="9" borderId="0" xfId="4" applyNumberFormat="1" applyFont="1" applyFill="1" applyAlignment="1">
      <alignment horizontal="right" wrapText="1"/>
    </xf>
    <xf numFmtId="4" fontId="14" fillId="0" borderId="0" xfId="0" applyNumberFormat="1" applyFont="1" applyAlignment="1">
      <alignment horizontal="right"/>
    </xf>
    <xf numFmtId="4" fontId="78" fillId="0" borderId="0" xfId="17" applyNumberFormat="1" applyFont="1" applyFill="1" applyBorder="1" applyAlignment="1" applyProtection="1">
      <alignment horizontal="right" vertical="center" wrapText="1"/>
    </xf>
    <xf numFmtId="4" fontId="78" fillId="0" borderId="0" xfId="4" applyNumberFormat="1" applyFont="1" applyAlignment="1">
      <alignment horizontal="right"/>
    </xf>
    <xf numFmtId="3" fontId="78" fillId="0" borderId="0" xfId="11" applyNumberFormat="1" applyFont="1" applyFill="1" applyBorder="1" applyAlignment="1">
      <alignment horizontal="right" vertical="center" wrapText="1"/>
    </xf>
    <xf numFmtId="3" fontId="78" fillId="0" borderId="23" xfId="11" applyNumberFormat="1" applyFont="1" applyFill="1" applyBorder="1" applyAlignment="1">
      <alignment horizontal="right" vertical="center" wrapText="1"/>
    </xf>
    <xf numFmtId="4" fontId="19" fillId="0" borderId="0" xfId="17" applyNumberFormat="1" applyFont="1" applyFill="1" applyBorder="1" applyAlignment="1" applyProtection="1">
      <alignment horizontal="right" vertical="center"/>
    </xf>
    <xf numFmtId="4" fontId="75" fillId="0" borderId="0" xfId="4" applyNumberFormat="1" applyFont="1" applyAlignment="1">
      <alignment horizontal="right"/>
    </xf>
    <xf numFmtId="4" fontId="19" fillId="0" borderId="0" xfId="11" applyNumberFormat="1" applyFont="1" applyFill="1" applyBorder="1" applyAlignment="1">
      <alignment horizontal="right" vertical="center"/>
    </xf>
    <xf numFmtId="3" fontId="19" fillId="0" borderId="0" xfId="11" applyNumberFormat="1" applyFont="1" applyFill="1" applyBorder="1" applyAlignment="1">
      <alignment horizontal="right" vertical="center"/>
    </xf>
    <xf numFmtId="0" fontId="17" fillId="0" borderId="0" xfId="4" applyFont="1" applyAlignment="1">
      <alignment horizontal="left" vertical="center" wrapText="1" indent="2"/>
    </xf>
    <xf numFmtId="49" fontId="17" fillId="0" borderId="0" xfId="23" applyNumberFormat="1" applyFont="1" applyFill="1" applyBorder="1" applyAlignment="1">
      <alignment horizontal="left" vertical="center" indent="3"/>
    </xf>
    <xf numFmtId="4" fontId="19" fillId="0" borderId="0" xfId="11" applyNumberFormat="1" applyFont="1" applyFill="1" applyBorder="1" applyAlignment="1">
      <alignment horizontal="center" vertical="center"/>
    </xf>
    <xf numFmtId="4" fontId="19" fillId="0" borderId="23" xfId="4" applyNumberFormat="1" applyFont="1" applyBorder="1" applyAlignment="1">
      <alignment horizontal="right" vertical="center" wrapText="1"/>
    </xf>
    <xf numFmtId="3" fontId="19" fillId="0" borderId="0" xfId="11" applyNumberFormat="1" applyFont="1" applyFill="1" applyBorder="1" applyAlignment="1" applyProtection="1">
      <alignment horizontal="right"/>
      <protection locked="0"/>
    </xf>
    <xf numFmtId="3" fontId="19" fillId="0" borderId="0" xfId="11" applyNumberFormat="1" applyFont="1" applyFill="1" applyBorder="1" applyAlignment="1" applyProtection="1">
      <alignment horizontal="right"/>
    </xf>
    <xf numFmtId="165" fontId="19" fillId="0" borderId="0" xfId="11" applyNumberFormat="1" applyFont="1" applyFill="1" applyBorder="1" applyAlignment="1">
      <alignment horizontal="right" vertical="center" wrapText="1"/>
    </xf>
    <xf numFmtId="165" fontId="19" fillId="0" borderId="23" xfId="11" applyNumberFormat="1" applyFont="1" applyFill="1" applyBorder="1" applyAlignment="1">
      <alignment horizontal="right" vertical="center" wrapText="1"/>
    </xf>
    <xf numFmtId="3" fontId="19" fillId="0" borderId="0" xfId="0" applyNumberFormat="1" applyFont="1" applyAlignment="1">
      <alignment horizontal="right" vertical="center"/>
    </xf>
    <xf numFmtId="3" fontId="19" fillId="0" borderId="0" xfId="0" applyNumberFormat="1" applyFont="1" applyAlignment="1" applyProtection="1">
      <alignment horizontal="right" vertical="center"/>
      <protection locked="0"/>
    </xf>
    <xf numFmtId="181" fontId="0" fillId="0" borderId="0" xfId="1" applyNumberFormat="1" applyFont="1"/>
    <xf numFmtId="4" fontId="19" fillId="0" borderId="0" xfId="0" applyNumberFormat="1" applyFont="1" applyAlignment="1">
      <alignment horizontal="right" vertical="center"/>
    </xf>
    <xf numFmtId="1" fontId="29" fillId="0" borderId="0" xfId="0" applyNumberFormat="1" applyFont="1"/>
    <xf numFmtId="1" fontId="29" fillId="0" borderId="0" xfId="11" applyNumberFormat="1" applyFont="1" applyFill="1" applyBorder="1" applyAlignment="1">
      <alignment horizontal="right" vertical="center"/>
    </xf>
    <xf numFmtId="1" fontId="29" fillId="0" borderId="0" xfId="0" quotePrefix="1" applyNumberFormat="1" applyFont="1" applyAlignment="1">
      <alignment horizontal="right" vertical="center"/>
    </xf>
    <xf numFmtId="1" fontId="19" fillId="0" borderId="0" xfId="0" applyNumberFormat="1" applyFont="1" applyAlignment="1">
      <alignment horizontal="right" vertical="center" wrapText="1"/>
    </xf>
    <xf numFmtId="2" fontId="0" fillId="0" borderId="0" xfId="0" applyNumberFormat="1"/>
    <xf numFmtId="185" fontId="19" fillId="0" borderId="0" xfId="2" applyNumberFormat="1" applyFont="1" applyFill="1" applyBorder="1" applyAlignment="1" applyProtection="1">
      <alignment horizontal="right" wrapText="1"/>
    </xf>
    <xf numFmtId="2" fontId="19" fillId="0" borderId="0" xfId="0" applyNumberFormat="1" applyFont="1" applyAlignment="1">
      <alignment horizontal="right"/>
    </xf>
    <xf numFmtId="185" fontId="19" fillId="0" borderId="0" xfId="2" applyNumberFormat="1" applyFont="1" applyFill="1" applyBorder="1" applyAlignment="1">
      <alignment horizontal="right" wrapText="1"/>
    </xf>
    <xf numFmtId="165" fontId="79" fillId="0" borderId="0" xfId="0" applyNumberFormat="1" applyFont="1" applyAlignment="1">
      <alignment horizontal="right" vertical="top"/>
    </xf>
    <xf numFmtId="165" fontId="19" fillId="0" borderId="0" xfId="0" applyNumberFormat="1" applyFont="1" applyAlignment="1">
      <alignment horizontal="right" vertical="center" wrapText="1"/>
    </xf>
    <xf numFmtId="4" fontId="19" fillId="0" borderId="0" xfId="11" applyNumberFormat="1" applyFont="1" applyFill="1" applyBorder="1" applyAlignment="1" applyProtection="1">
      <alignment horizontal="right" vertical="center" wrapText="1"/>
    </xf>
    <xf numFmtId="0" fontId="29" fillId="0" borderId="4" xfId="0" applyFont="1" applyBorder="1"/>
    <xf numFmtId="2" fontId="29" fillId="0" borderId="0" xfId="0" applyNumberFormat="1" applyFont="1"/>
    <xf numFmtId="0" fontId="19" fillId="0" borderId="0" xfId="0" applyFont="1" applyAlignment="1" applyProtection="1">
      <alignment horizontal="right" vertical="center" wrapText="1" indent="2"/>
      <protection locked="0"/>
    </xf>
    <xf numFmtId="0" fontId="19" fillId="0" borderId="0" xfId="0" applyFont="1" applyAlignment="1">
      <alignment horizontal="right" vertical="center" wrapText="1" indent="2"/>
    </xf>
    <xf numFmtId="0" fontId="10" fillId="0" borderId="0" xfId="14" applyFont="1" applyAlignment="1" applyProtection="1">
      <alignment horizontal="left" vertical="center" wrapText="1"/>
      <protection locked="0"/>
    </xf>
    <xf numFmtId="165" fontId="19" fillId="0" borderId="0" xfId="0" applyNumberFormat="1" applyFont="1" applyAlignment="1" applyProtection="1">
      <alignment horizontal="right" vertical="center" wrapText="1"/>
      <protection locked="0"/>
    </xf>
    <xf numFmtId="165" fontId="13" fillId="0" borderId="0" xfId="11" quotePrefix="1" applyNumberFormat="1" applyFont="1" applyFill="1" applyBorder="1" applyAlignment="1">
      <alignment horizontal="right" vertical="center"/>
    </xf>
    <xf numFmtId="0" fontId="17" fillId="0" borderId="0" xfId="4" applyFont="1" applyAlignment="1">
      <alignment horizontal="left" wrapText="1" indent="1"/>
    </xf>
    <xf numFmtId="4" fontId="19" fillId="0" borderId="0" xfId="4" quotePrefix="1" applyNumberFormat="1" applyFont="1" applyAlignment="1">
      <alignment horizontal="right" vertical="center"/>
    </xf>
    <xf numFmtId="4" fontId="19" fillId="0" borderId="0" xfId="0" applyNumberFormat="1" applyFont="1" applyAlignment="1" applyProtection="1">
      <alignment horizontal="right" vertical="center" wrapText="1"/>
      <protection locked="0"/>
    </xf>
    <xf numFmtId="4" fontId="79" fillId="0" borderId="0" xfId="0" applyNumberFormat="1" applyFont="1" applyAlignment="1">
      <alignment horizontal="right" vertical="top"/>
    </xf>
    <xf numFmtId="4" fontId="19" fillId="0" borderId="0" xfId="11" quotePrefix="1" applyNumberFormat="1" applyFont="1" applyFill="1" applyBorder="1" applyAlignment="1" applyProtection="1">
      <alignment horizontal="right" vertical="center"/>
    </xf>
    <xf numFmtId="4" fontId="13" fillId="0" borderId="0" xfId="0" quotePrefix="1" applyNumberFormat="1" applyFont="1" applyAlignment="1">
      <alignment horizontal="right" vertical="center"/>
    </xf>
    <xf numFmtId="3" fontId="29" fillId="0" borderId="0" xfId="0" applyNumberFormat="1" applyFont="1" applyAlignment="1">
      <alignment horizontal="right" vertical="top"/>
    </xf>
    <xf numFmtId="4" fontId="29" fillId="0" borderId="0" xfId="0" applyNumberFormat="1" applyFont="1" applyAlignment="1">
      <alignment horizontal="right" vertical="top"/>
    </xf>
    <xf numFmtId="0" fontId="36" fillId="0" borderId="0" xfId="0" applyFont="1" applyAlignment="1">
      <alignment horizontal="left" indent="1"/>
    </xf>
    <xf numFmtId="3" fontId="19" fillId="0" borderId="0" xfId="4" applyNumberFormat="1" applyFont="1" applyAlignment="1" applyProtection="1">
      <alignment horizontal="center" vertical="center"/>
      <protection locked="0"/>
    </xf>
    <xf numFmtId="49" fontId="19" fillId="0" borderId="0" xfId="4" applyNumberFormat="1" applyFont="1" applyAlignment="1" applyProtection="1">
      <alignment horizontal="center" vertical="center" wrapText="1"/>
      <protection locked="0"/>
    </xf>
    <xf numFmtId="20" fontId="19" fillId="0" borderId="0" xfId="4" applyNumberFormat="1" applyFont="1" applyAlignment="1" applyProtection="1">
      <alignment horizontal="center" vertical="center"/>
      <protection locked="0"/>
    </xf>
    <xf numFmtId="0" fontId="36" fillId="0" borderId="4" xfId="0" applyFont="1" applyBorder="1" applyAlignment="1">
      <alignment horizontal="left" indent="1"/>
    </xf>
    <xf numFmtId="3" fontId="19" fillId="0" borderId="4" xfId="4" applyNumberFormat="1" applyFont="1" applyBorder="1" applyAlignment="1" applyProtection="1">
      <alignment horizontal="center" vertical="center"/>
      <protection locked="0"/>
    </xf>
    <xf numFmtId="49" fontId="19" fillId="0" borderId="4" xfId="4" applyNumberFormat="1" applyFont="1" applyBorder="1" applyAlignment="1" applyProtection="1">
      <alignment horizontal="center" vertical="center" wrapText="1"/>
      <protection locked="0"/>
    </xf>
    <xf numFmtId="20" fontId="19" fillId="0" borderId="4" xfId="4" applyNumberFormat="1" applyFont="1" applyBorder="1" applyAlignment="1" applyProtection="1">
      <alignment horizontal="center" vertical="center"/>
      <protection locked="0"/>
    </xf>
    <xf numFmtId="0" fontId="29" fillId="0" borderId="0" xfId="0" applyFont="1" applyAlignment="1">
      <alignment vertical="center"/>
    </xf>
    <xf numFmtId="0" fontId="19" fillId="4" borderId="2" xfId="4" applyFont="1" applyFill="1" applyBorder="1" applyAlignment="1">
      <alignment horizontal="center" vertical="center" wrapText="1"/>
    </xf>
    <xf numFmtId="0" fontId="19" fillId="0" borderId="0" xfId="4" applyFont="1" applyAlignment="1">
      <alignment horizontal="center" vertical="center" wrapText="1"/>
    </xf>
    <xf numFmtId="0" fontId="13" fillId="4" borderId="3" xfId="4" applyFont="1" applyFill="1" applyBorder="1" applyAlignment="1">
      <alignment horizontal="center" vertical="center"/>
    </xf>
    <xf numFmtId="0" fontId="19" fillId="4" borderId="3" xfId="4" applyFont="1" applyFill="1" applyBorder="1" applyAlignment="1">
      <alignment horizontal="center" vertical="center" wrapText="1"/>
    </xf>
    <xf numFmtId="0" fontId="13" fillId="0" borderId="4" xfId="0" applyFont="1" applyBorder="1" applyAlignment="1">
      <alignment horizontal="left" vertical="center" indent="2"/>
    </xf>
    <xf numFmtId="0" fontId="29" fillId="0" borderId="18" xfId="0" applyFont="1" applyBorder="1" applyAlignment="1">
      <alignment horizontal="center"/>
    </xf>
    <xf numFmtId="0" fontId="29" fillId="0" borderId="13" xfId="0" applyFont="1" applyBorder="1" applyAlignment="1">
      <alignment horizontal="center"/>
    </xf>
    <xf numFmtId="3" fontId="19" fillId="0" borderId="0" xfId="4" applyNumberFormat="1" applyFont="1" applyAlignment="1" applyProtection="1">
      <alignment horizontal="center" vertical="center" wrapText="1"/>
      <protection locked="0"/>
    </xf>
    <xf numFmtId="3" fontId="19" fillId="0" borderId="11" xfId="4" applyNumberFormat="1" applyFont="1" applyBorder="1" applyAlignment="1" applyProtection="1">
      <alignment horizontal="center" vertical="center"/>
      <protection locked="0"/>
    </xf>
    <xf numFmtId="3" fontId="19" fillId="0" borderId="4" xfId="4" applyNumberFormat="1" applyFont="1" applyBorder="1" applyAlignment="1" applyProtection="1">
      <alignment horizontal="center" vertical="center" wrapText="1"/>
      <protection locked="0"/>
    </xf>
    <xf numFmtId="178" fontId="19" fillId="0" borderId="0" xfId="4" applyNumberFormat="1" applyFont="1" applyAlignment="1" applyProtection="1">
      <alignment horizontal="center" vertical="center" wrapText="1"/>
      <protection locked="0"/>
    </xf>
    <xf numFmtId="169" fontId="19" fillId="0" borderId="0" xfId="4" applyNumberFormat="1" applyFont="1" applyAlignment="1" applyProtection="1">
      <alignment horizontal="center" vertical="center"/>
      <protection locked="0"/>
    </xf>
    <xf numFmtId="178" fontId="19" fillId="0" borderId="4" xfId="4" applyNumberFormat="1" applyFont="1" applyBorder="1" applyAlignment="1" applyProtection="1">
      <alignment horizontal="center" vertical="center" wrapText="1"/>
      <protection locked="0"/>
    </xf>
    <xf numFmtId="169" fontId="19" fillId="0" borderId="4" xfId="4" applyNumberFormat="1" applyFont="1" applyBorder="1" applyAlignment="1" applyProtection="1">
      <alignment horizontal="center" vertical="center"/>
      <protection locked="0"/>
    </xf>
    <xf numFmtId="0" fontId="80" fillId="0" borderId="0" xfId="4" applyFont="1" applyAlignment="1">
      <alignment horizontal="left"/>
    </xf>
    <xf numFmtId="0" fontId="16" fillId="0" borderId="0" xfId="4" applyFont="1"/>
    <xf numFmtId="0" fontId="15" fillId="0" borderId="2" xfId="4" applyFont="1" applyBorder="1"/>
    <xf numFmtId="0" fontId="81" fillId="2" borderId="2" xfId="4" applyFont="1" applyFill="1" applyBorder="1" applyAlignment="1">
      <alignment horizontal="center" wrapText="1"/>
    </xf>
    <xf numFmtId="0" fontId="47" fillId="0" borderId="0" xfId="4" applyFont="1"/>
    <xf numFmtId="165" fontId="82" fillId="0" borderId="0" xfId="24" applyNumberFormat="1" applyFont="1" applyFill="1" applyBorder="1" applyAlignment="1">
      <alignment vertical="center" wrapText="1"/>
    </xf>
    <xf numFmtId="165" fontId="82" fillId="0" borderId="0" xfId="10" applyNumberFormat="1" applyFont="1"/>
    <xf numFmtId="165" fontId="82" fillId="0" borderId="0" xfId="0" applyNumberFormat="1" applyFont="1"/>
    <xf numFmtId="169" fontId="71" fillId="0" borderId="0" xfId="0" applyNumberFormat="1" applyFont="1"/>
    <xf numFmtId="169" fontId="82" fillId="0" borderId="0" xfId="10" applyNumberFormat="1" applyFont="1"/>
    <xf numFmtId="0" fontId="49" fillId="0" borderId="0" xfId="4" applyFont="1" applyAlignment="1">
      <alignment horizontal="left" indent="1"/>
    </xf>
    <xf numFmtId="4" fontId="82" fillId="0" borderId="0" xfId="0" applyNumberFormat="1" applyFont="1"/>
    <xf numFmtId="0" fontId="49" fillId="0" borderId="4" xfId="4" applyFont="1" applyBorder="1" applyAlignment="1">
      <alignment horizontal="left" indent="1"/>
    </xf>
    <xf numFmtId="2" fontId="82" fillId="0" borderId="0" xfId="0" applyNumberFormat="1" applyFont="1"/>
    <xf numFmtId="0" fontId="26" fillId="0" borderId="0" xfId="4" applyFont="1"/>
    <xf numFmtId="0" fontId="15" fillId="0" borderId="0" xfId="0" applyFont="1" applyAlignment="1">
      <alignment horizontal="left" vertical="center"/>
    </xf>
    <xf numFmtId="0" fontId="15" fillId="0" borderId="0" xfId="0" applyFont="1" applyAlignment="1">
      <alignment horizontal="left" vertical="center" wrapText="1"/>
    </xf>
    <xf numFmtId="0" fontId="26" fillId="0" borderId="0" xfId="0" applyFont="1" applyAlignment="1">
      <alignment horizontal="left" vertical="center"/>
    </xf>
    <xf numFmtId="0" fontId="15" fillId="0" borderId="0" xfId="0" applyFont="1" applyAlignment="1">
      <alignment horizontal="left" vertical="center" indent="1"/>
    </xf>
    <xf numFmtId="0" fontId="26" fillId="0" borderId="4" xfId="4" applyFont="1" applyBorder="1" applyAlignment="1">
      <alignment horizontal="left" indent="1"/>
    </xf>
    <xf numFmtId="0" fontId="63" fillId="0" borderId="0" xfId="4" applyFont="1" applyAlignment="1">
      <alignment horizontal="left"/>
    </xf>
    <xf numFmtId="0" fontId="26" fillId="0" borderId="0" xfId="4" applyFont="1" applyAlignment="1">
      <alignment horizontal="left"/>
    </xf>
    <xf numFmtId="43" fontId="71" fillId="0" borderId="0" xfId="1" applyFont="1"/>
    <xf numFmtId="43" fontId="71" fillId="0" borderId="0" xfId="1" applyFont="1" applyFill="1"/>
    <xf numFmtId="43" fontId="14" fillId="0" borderId="0" xfId="1" applyFont="1" applyAlignment="1">
      <alignment horizontal="right"/>
    </xf>
    <xf numFmtId="0" fontId="15" fillId="0" borderId="2" xfId="4" applyFont="1" applyBorder="1" applyAlignment="1">
      <alignment horizontal="left"/>
    </xf>
    <xf numFmtId="4" fontId="82" fillId="0" borderId="0" xfId="0" applyNumberFormat="1" applyFont="1" applyAlignment="1">
      <alignment horizontal="right"/>
    </xf>
    <xf numFmtId="0" fontId="26" fillId="0" borderId="0" xfId="4" applyFont="1" applyAlignment="1">
      <alignment horizontal="left" indent="1"/>
    </xf>
    <xf numFmtId="188" fontId="26" fillId="0" borderId="0" xfId="23" applyNumberFormat="1" applyFont="1" applyFill="1" applyBorder="1" applyAlignment="1">
      <alignment horizontal="left" vertical="center" wrapText="1" indent="2"/>
    </xf>
    <xf numFmtId="189" fontId="82" fillId="0" borderId="0" xfId="0" applyNumberFormat="1" applyFont="1"/>
    <xf numFmtId="0" fontId="15" fillId="0" borderId="4" xfId="0" applyFont="1" applyBorder="1" applyAlignment="1">
      <alignment horizontal="left" vertical="center" wrapText="1"/>
    </xf>
    <xf numFmtId="4" fontId="82" fillId="0" borderId="4" xfId="0" applyNumberFormat="1" applyFont="1" applyBorder="1" applyAlignment="1">
      <alignment horizontal="right"/>
    </xf>
    <xf numFmtId="0" fontId="16" fillId="0" borderId="0" xfId="0" applyFont="1" applyAlignment="1">
      <alignment horizontal="left" vertical="center"/>
    </xf>
    <xf numFmtId="3" fontId="14" fillId="0" borderId="0" xfId="0" applyNumberFormat="1" applyFont="1"/>
    <xf numFmtId="3" fontId="14" fillId="0" borderId="0" xfId="10" applyNumberFormat="1" applyFont="1" applyAlignment="1">
      <alignment horizontal="right"/>
    </xf>
    <xf numFmtId="1" fontId="14" fillId="0" borderId="0" xfId="10" applyNumberFormat="1" applyFont="1" applyAlignment="1">
      <alignment horizontal="right"/>
    </xf>
    <xf numFmtId="169" fontId="14" fillId="0" borderId="0" xfId="25" applyNumberFormat="1" applyFont="1" applyFill="1" applyBorder="1" applyAlignment="1">
      <alignment horizontal="right" vertical="center" wrapText="1"/>
    </xf>
    <xf numFmtId="0" fontId="16" fillId="0" borderId="0" xfId="0" applyFont="1" applyAlignment="1">
      <alignment horizontal="left" vertical="center" wrapText="1"/>
    </xf>
    <xf numFmtId="3" fontId="14" fillId="0" borderId="0" xfId="25" applyNumberFormat="1" applyFont="1" applyFill="1" applyBorder="1" applyAlignment="1">
      <alignment horizontal="right" vertical="center" wrapText="1"/>
    </xf>
    <xf numFmtId="0" fontId="14" fillId="0" borderId="0" xfId="10" applyFont="1" applyAlignment="1">
      <alignment horizontal="right"/>
    </xf>
    <xf numFmtId="0" fontId="15" fillId="0" borderId="4" xfId="0" applyFont="1" applyBorder="1" applyAlignment="1">
      <alignment wrapText="1"/>
    </xf>
    <xf numFmtId="0" fontId="16" fillId="0" borderId="0" xfId="0" applyFont="1" applyAlignment="1" applyProtection="1">
      <alignment horizontal="left" vertical="center" indent="2"/>
      <protection locked="0"/>
    </xf>
    <xf numFmtId="0" fontId="15" fillId="0" borderId="0" xfId="0" applyFont="1" applyAlignment="1" applyProtection="1">
      <alignment horizontal="left" vertical="center"/>
      <protection locked="0"/>
    </xf>
    <xf numFmtId="0" fontId="26" fillId="0" borderId="0" xfId="0" applyFont="1" applyAlignment="1" applyProtection="1">
      <alignment horizontal="left" vertical="center" wrapText="1" indent="1"/>
      <protection locked="0"/>
    </xf>
    <xf numFmtId="0" fontId="16" fillId="0" borderId="0" xfId="0" applyFont="1" applyAlignment="1">
      <alignment horizontal="left" vertical="center" indent="2"/>
    </xf>
    <xf numFmtId="0" fontId="26" fillId="0" borderId="0" xfId="0" applyFont="1" applyAlignment="1" applyProtection="1">
      <alignment horizontal="left" vertical="center"/>
      <protection locked="0"/>
    </xf>
    <xf numFmtId="0" fontId="26" fillId="0" borderId="0" xfId="0" applyFont="1" applyAlignment="1" applyProtection="1">
      <alignment horizontal="left" vertical="center" indent="1"/>
      <protection locked="0"/>
    </xf>
    <xf numFmtId="0" fontId="26" fillId="0" borderId="4" xfId="0" applyFont="1" applyBorder="1" applyAlignment="1" applyProtection="1">
      <alignment horizontal="left" indent="1"/>
      <protection locked="0"/>
    </xf>
    <xf numFmtId="4" fontId="14" fillId="0" borderId="0" xfId="26" applyNumberFormat="1" applyFont="1" applyFill="1" applyBorder="1" applyAlignment="1">
      <alignment horizontal="right" vertical="center"/>
    </xf>
    <xf numFmtId="2" fontId="26" fillId="0" borderId="0" xfId="0" applyNumberFormat="1" applyFont="1" applyAlignment="1" applyProtection="1">
      <alignment horizontal="left" vertical="center" wrapText="1" indent="2"/>
      <protection locked="0"/>
    </xf>
    <xf numFmtId="2" fontId="15" fillId="0" borderId="0" xfId="0" applyNumberFormat="1" applyFont="1" applyAlignment="1" applyProtection="1">
      <alignment horizontal="left" vertical="center" wrapText="1"/>
      <protection locked="0"/>
    </xf>
    <xf numFmtId="2" fontId="15" fillId="0" borderId="0" xfId="0" applyNumberFormat="1" applyFont="1" applyAlignment="1" applyProtection="1">
      <alignment horizontal="left" vertical="center" wrapText="1" indent="1"/>
      <protection locked="0"/>
    </xf>
    <xf numFmtId="4" fontId="14" fillId="0" borderId="0" xfId="26" applyNumberFormat="1" applyFont="1" applyFill="1" applyBorder="1" applyAlignment="1">
      <alignment horizontal="right" vertical="center" wrapText="1"/>
    </xf>
    <xf numFmtId="4" fontId="14" fillId="0" borderId="0" xfId="27" applyNumberFormat="1" applyFont="1" applyFill="1" applyBorder="1" applyAlignment="1">
      <alignment horizontal="right" vertical="center"/>
    </xf>
    <xf numFmtId="0" fontId="26" fillId="0" borderId="4" xfId="0" applyFont="1" applyBorder="1" applyAlignment="1" applyProtection="1">
      <alignment horizontal="left" vertical="center" wrapText="1" indent="1"/>
      <protection locked="0"/>
    </xf>
    <xf numFmtId="4" fontId="14" fillId="0" borderId="0" xfId="10" quotePrefix="1" applyNumberFormat="1" applyFont="1" applyAlignment="1">
      <alignment horizontal="right"/>
    </xf>
    <xf numFmtId="4" fontId="14" fillId="0" borderId="0" xfId="28" applyNumberFormat="1" applyFont="1" applyFill="1" applyBorder="1" applyAlignment="1">
      <alignment horizontal="right"/>
    </xf>
    <xf numFmtId="4" fontId="14" fillId="0" borderId="0" xfId="28" applyNumberFormat="1" applyFont="1" applyFill="1" applyBorder="1" applyAlignment="1">
      <alignment horizontal="right" vertical="center"/>
    </xf>
    <xf numFmtId="4" fontId="83" fillId="0" borderId="0" xfId="28" applyNumberFormat="1" applyFont="1" applyFill="1" applyBorder="1" applyAlignment="1">
      <alignment horizontal="right" vertical="center" wrapText="1"/>
    </xf>
    <xf numFmtId="4" fontId="14" fillId="0" borderId="0" xfId="28" applyNumberFormat="1" applyFont="1" applyFill="1" applyBorder="1" applyAlignment="1">
      <alignment horizontal="right" vertical="center" wrapText="1"/>
    </xf>
    <xf numFmtId="165" fontId="84" fillId="0" borderId="0" xfId="10" applyNumberFormat="1" applyFont="1" applyAlignment="1">
      <alignment horizontal="right"/>
    </xf>
    <xf numFmtId="165" fontId="83" fillId="0" borderId="0" xfId="28" applyNumberFormat="1" applyFont="1" applyFill="1" applyBorder="1" applyAlignment="1">
      <alignment horizontal="right" vertical="center" wrapText="1"/>
    </xf>
    <xf numFmtId="165" fontId="14" fillId="0" borderId="0" xfId="28" applyNumberFormat="1" applyFont="1" applyFill="1" applyBorder="1" applyAlignment="1">
      <alignment horizontal="right" vertical="center"/>
    </xf>
    <xf numFmtId="165" fontId="81" fillId="0" borderId="0" xfId="10" quotePrefix="1" applyNumberFormat="1" applyFont="1" applyAlignment="1">
      <alignment horizontal="right" vertical="center"/>
    </xf>
    <xf numFmtId="0" fontId="15" fillId="0" borderId="0" xfId="0" quotePrefix="1" applyFont="1" applyAlignment="1">
      <alignment horizontal="right" vertical="center"/>
    </xf>
    <xf numFmtId="0" fontId="15" fillId="0" borderId="0" xfId="10" applyFont="1" applyAlignment="1" applyProtection="1">
      <alignment horizontal="left" vertical="center" wrapText="1" indent="2"/>
      <protection locked="0"/>
    </xf>
    <xf numFmtId="0" fontId="26" fillId="0" borderId="0" xfId="10" applyFont="1" applyAlignment="1">
      <alignment horizontal="left" indent="3"/>
    </xf>
    <xf numFmtId="0" fontId="15" fillId="0" borderId="0" xfId="0" applyFont="1" applyAlignment="1" applyProtection="1">
      <alignment horizontal="right" vertical="center" wrapText="1"/>
      <protection locked="0"/>
    </xf>
    <xf numFmtId="0" fontId="71" fillId="0" borderId="0" xfId="0" applyFont="1" applyAlignment="1">
      <alignment horizontal="right" vertical="center"/>
    </xf>
    <xf numFmtId="0" fontId="71" fillId="0" borderId="0" xfId="0" applyFont="1" applyAlignment="1">
      <alignment horizontal="right" vertical="center" wrapText="1"/>
    </xf>
    <xf numFmtId="0" fontId="26" fillId="0" borderId="2" xfId="10" applyFont="1" applyBorder="1" applyAlignment="1">
      <alignment horizontal="left" indent="3"/>
    </xf>
    <xf numFmtId="166" fontId="14" fillId="0" borderId="0" xfId="0" applyNumberFormat="1" applyFont="1"/>
    <xf numFmtId="2" fontId="14" fillId="0" borderId="0" xfId="0" applyNumberFormat="1" applyFont="1" applyAlignment="1">
      <alignment horizontal="right"/>
    </xf>
    <xf numFmtId="166" fontId="14" fillId="0" borderId="0" xfId="0" applyNumberFormat="1" applyFont="1" applyAlignment="1">
      <alignment horizontal="right"/>
    </xf>
    <xf numFmtId="0" fontId="15" fillId="0" borderId="0" xfId="0" applyFont="1" applyAlignment="1" applyProtection="1">
      <alignment horizontal="left" vertical="center" wrapText="1" indent="1"/>
      <protection locked="0"/>
    </xf>
    <xf numFmtId="10" fontId="14" fillId="0" borderId="0" xfId="2" applyNumberFormat="1" applyFont="1" applyFill="1" applyAlignment="1">
      <alignment horizontal="right"/>
    </xf>
    <xf numFmtId="0" fontId="26" fillId="0" borderId="0" xfId="0" applyFont="1" applyAlignment="1">
      <alignment horizontal="left" indent="3"/>
    </xf>
    <xf numFmtId="2" fontId="15" fillId="0" borderId="0" xfId="10" applyNumberFormat="1" applyFont="1" applyAlignment="1" applyProtection="1">
      <alignment horizontal="left" vertical="center" wrapText="1" indent="2"/>
      <protection locked="0"/>
    </xf>
    <xf numFmtId="2" fontId="15" fillId="0" borderId="0" xfId="0" applyNumberFormat="1" applyFont="1" applyAlignment="1" applyProtection="1">
      <alignment horizontal="left" vertical="center" wrapText="1" indent="2"/>
      <protection locked="0"/>
    </xf>
    <xf numFmtId="185" fontId="14" fillId="0" borderId="0" xfId="2" applyNumberFormat="1" applyFont="1" applyFill="1" applyAlignment="1">
      <alignment horizontal="right"/>
    </xf>
    <xf numFmtId="165" fontId="14" fillId="0" borderId="0" xfId="4" applyNumberFormat="1" applyFont="1" applyAlignment="1">
      <alignment horizontal="center" wrapText="1"/>
    </xf>
    <xf numFmtId="4" fontId="14" fillId="0" borderId="0" xfId="4" applyNumberFormat="1" applyFont="1" applyAlignment="1">
      <alignment horizontal="right" wrapText="1"/>
    </xf>
    <xf numFmtId="10" fontId="14" fillId="0" borderId="0" xfId="2" applyNumberFormat="1" applyFont="1" applyFill="1" applyBorder="1" applyAlignment="1">
      <alignment horizontal="right" wrapText="1"/>
    </xf>
    <xf numFmtId="0" fontId="70" fillId="0" borderId="0" xfId="0" applyFont="1"/>
    <xf numFmtId="4" fontId="14" fillId="0" borderId="0" xfId="29" applyNumberFormat="1" applyFont="1" applyFill="1" applyBorder="1" applyAlignment="1" applyProtection="1">
      <alignment horizontal="right" vertical="center" wrapText="1"/>
    </xf>
    <xf numFmtId="10" fontId="14" fillId="0" borderId="0" xfId="2" applyNumberFormat="1" applyFont="1" applyFill="1" applyBorder="1" applyAlignment="1" applyProtection="1">
      <alignment horizontal="right" vertical="center" wrapText="1"/>
    </xf>
    <xf numFmtId="4" fontId="14" fillId="0" borderId="0" xfId="2" applyNumberFormat="1" applyFont="1" applyAlignment="1">
      <alignment horizontal="right"/>
    </xf>
    <xf numFmtId="4" fontId="14" fillId="0" borderId="0" xfId="10" applyNumberFormat="1" applyFont="1" applyAlignment="1">
      <alignment horizontal="right"/>
    </xf>
    <xf numFmtId="4" fontId="84" fillId="0" borderId="0" xfId="10" applyNumberFormat="1" applyFont="1" applyAlignment="1">
      <alignment horizontal="right"/>
    </xf>
    <xf numFmtId="10" fontId="14" fillId="0" borderId="0" xfId="2" applyNumberFormat="1" applyFont="1" applyFill="1" applyBorder="1" applyAlignment="1"/>
    <xf numFmtId="3" fontId="14" fillId="0" borderId="0" xfId="10" quotePrefix="1" applyNumberFormat="1" applyFont="1" applyAlignment="1">
      <alignment horizontal="right" vertical="center"/>
    </xf>
    <xf numFmtId="0" fontId="15" fillId="0" borderId="0" xfId="0" applyFont="1" applyAlignment="1" applyProtection="1">
      <alignment horizontal="left" vertical="center" wrapText="1" indent="2"/>
      <protection locked="0"/>
    </xf>
    <xf numFmtId="0" fontId="14" fillId="0" borderId="0" xfId="10" applyFont="1" applyAlignment="1">
      <alignment horizontal="right" vertical="center" wrapText="1"/>
    </xf>
    <xf numFmtId="0" fontId="15" fillId="0" borderId="0" xfId="10" applyFont="1" applyAlignment="1" applyProtection="1">
      <alignment horizontal="left" vertical="center" wrapText="1" indent="3"/>
      <protection locked="0"/>
    </xf>
    <xf numFmtId="0" fontId="14" fillId="0" borderId="0" xfId="30" applyFont="1" applyAlignment="1">
      <alignment horizontal="right"/>
    </xf>
    <xf numFmtId="0" fontId="14" fillId="0" borderId="0" xfId="10" applyFont="1" applyAlignment="1" applyProtection="1">
      <alignment horizontal="right" vertical="center" wrapText="1"/>
      <protection locked="0"/>
    </xf>
    <xf numFmtId="181" fontId="14" fillId="0" borderId="0" xfId="1" applyNumberFormat="1" applyFont="1" applyAlignment="1">
      <alignment horizontal="right"/>
    </xf>
    <xf numFmtId="181" fontId="14" fillId="0" borderId="0" xfId="1" applyNumberFormat="1" applyFont="1" applyFill="1" applyBorder="1" applyAlignment="1" applyProtection="1">
      <alignment horizontal="right" vertical="center" wrapText="1"/>
    </xf>
    <xf numFmtId="181" fontId="14" fillId="0" borderId="0" xfId="1" applyNumberFormat="1" applyFont="1" applyFill="1" applyAlignment="1">
      <alignment horizontal="right"/>
    </xf>
    <xf numFmtId="0" fontId="82" fillId="0" borderId="0" xfId="0" applyFont="1"/>
    <xf numFmtId="2" fontId="82" fillId="0" borderId="0" xfId="0" applyNumberFormat="1" applyFont="1" applyAlignment="1" applyProtection="1">
      <alignment horizontal="left" vertical="center" wrapText="1"/>
      <protection locked="0"/>
    </xf>
    <xf numFmtId="172" fontId="82" fillId="0" borderId="0" xfId="1" applyNumberFormat="1" applyFont="1" applyAlignment="1">
      <alignment horizontal="right"/>
    </xf>
    <xf numFmtId="0" fontId="82" fillId="0" borderId="0" xfId="0" applyFont="1" applyAlignment="1" applyProtection="1">
      <alignment horizontal="left" vertical="center" wrapText="1" indent="2"/>
      <protection locked="0"/>
    </xf>
    <xf numFmtId="0" fontId="82" fillId="0" borderId="0" xfId="0" applyFont="1" applyAlignment="1" applyProtection="1">
      <alignment horizontal="left" vertical="center" wrapText="1" indent="3"/>
      <protection locked="0"/>
    </xf>
    <xf numFmtId="172" fontId="82" fillId="0" borderId="0" xfId="1" applyNumberFormat="1" applyFont="1"/>
    <xf numFmtId="0" fontId="53" fillId="0" borderId="0" xfId="0" applyFont="1" applyAlignment="1" applyProtection="1">
      <alignment horizontal="left" vertical="center" wrapText="1"/>
      <protection locked="0"/>
    </xf>
    <xf numFmtId="43" fontId="82" fillId="0" borderId="0" xfId="1" applyFont="1" applyAlignment="1">
      <alignment horizontal="right"/>
    </xf>
    <xf numFmtId="0" fontId="47" fillId="0" borderId="0" xfId="0" applyFont="1" applyAlignment="1" applyProtection="1">
      <alignment horizontal="left" vertical="center" wrapText="1" indent="2"/>
      <protection locked="0"/>
    </xf>
    <xf numFmtId="0" fontId="47" fillId="0" borderId="0" xfId="0" applyFont="1" applyAlignment="1" applyProtection="1">
      <alignment horizontal="left" vertical="center" wrapText="1" indent="3"/>
      <protection locked="0"/>
    </xf>
    <xf numFmtId="43" fontId="82" fillId="0" borderId="0" xfId="1" applyFont="1"/>
    <xf numFmtId="0" fontId="16" fillId="0" borderId="0" xfId="10" applyFont="1" applyAlignment="1" applyProtection="1">
      <alignment horizontal="left" vertical="center" wrapText="1"/>
      <protection locked="0"/>
    </xf>
    <xf numFmtId="171" fontId="14" fillId="0" borderId="0" xfId="31" applyNumberFormat="1" applyFont="1" applyFill="1" applyBorder="1" applyAlignment="1">
      <alignment horizontal="right"/>
    </xf>
    <xf numFmtId="4" fontId="14" fillId="0" borderId="0" xfId="31" applyNumberFormat="1" applyFont="1" applyFill="1" applyBorder="1" applyAlignment="1">
      <alignment horizontal="right"/>
    </xf>
    <xf numFmtId="181" fontId="16" fillId="0" borderId="0" xfId="1" applyNumberFormat="1" applyFont="1" applyAlignment="1" applyProtection="1">
      <alignment horizontal="left" vertical="center" wrapText="1"/>
      <protection locked="0"/>
    </xf>
    <xf numFmtId="181" fontId="14" fillId="0" borderId="0" xfId="1" applyNumberFormat="1" applyFont="1"/>
    <xf numFmtId="181" fontId="15" fillId="0" borderId="0" xfId="1" applyNumberFormat="1" applyFont="1" applyAlignment="1" applyProtection="1">
      <alignment horizontal="left" vertical="center" wrapText="1"/>
      <protection locked="0"/>
    </xf>
    <xf numFmtId="181" fontId="82" fillId="0" borderId="0" xfId="1" applyNumberFormat="1" applyFont="1" applyAlignment="1">
      <alignment wrapText="1"/>
    </xf>
    <xf numFmtId="181" fontId="15" fillId="0" borderId="0" xfId="1" applyNumberFormat="1" applyFont="1" applyAlignment="1" applyProtection="1">
      <alignment horizontal="left" vertical="center" wrapText="1" indent="1"/>
      <protection locked="0"/>
    </xf>
    <xf numFmtId="181" fontId="82" fillId="0" borderId="0" xfId="1" quotePrefix="1" applyNumberFormat="1" applyFont="1" applyAlignment="1">
      <alignment horizontal="right" vertical="center"/>
    </xf>
    <xf numFmtId="181" fontId="82" fillId="0" borderId="0" xfId="1" applyNumberFormat="1" applyFont="1" applyAlignment="1">
      <alignment horizontal="right"/>
    </xf>
    <xf numFmtId="43" fontId="14" fillId="0" borderId="0" xfId="1" applyFont="1" applyFill="1" applyBorder="1" applyAlignment="1" applyProtection="1">
      <alignment horizontal="right" vertical="center" wrapText="1"/>
      <protection locked="0"/>
    </xf>
    <xf numFmtId="166" fontId="14" fillId="0" borderId="0" xfId="32" applyNumberFormat="1" applyFont="1" applyFill="1" applyBorder="1" applyAlignment="1" applyProtection="1">
      <alignment horizontal="right" vertical="center" wrapText="1"/>
      <protection locked="0"/>
    </xf>
    <xf numFmtId="0" fontId="53" fillId="0" borderId="0" xfId="0" applyFont="1" applyAlignment="1" applyProtection="1">
      <alignment vertical="center" wrapText="1"/>
      <protection locked="0"/>
    </xf>
    <xf numFmtId="166" fontId="82" fillId="0" borderId="0" xfId="32" applyNumberFormat="1" applyFont="1" applyFill="1" applyBorder="1" applyAlignment="1" applyProtection="1">
      <alignment horizontal="right" vertical="center" wrapText="1"/>
      <protection locked="0"/>
    </xf>
    <xf numFmtId="2" fontId="47" fillId="0" borderId="0" xfId="10" applyNumberFormat="1" applyFont="1" applyAlignment="1" applyProtection="1">
      <alignment horizontal="left" vertical="center" wrapText="1" indent="1"/>
      <protection locked="0"/>
    </xf>
    <xf numFmtId="43" fontId="82" fillId="0" borderId="0" xfId="1" applyFont="1" applyFill="1" applyBorder="1" applyAlignment="1" applyProtection="1">
      <alignment horizontal="right" vertical="center" wrapText="1"/>
      <protection locked="0"/>
    </xf>
    <xf numFmtId="43" fontId="47" fillId="0" borderId="0" xfId="1" quotePrefix="1" applyFont="1" applyAlignment="1">
      <alignment horizontal="right" vertical="center"/>
    </xf>
    <xf numFmtId="43" fontId="86" fillId="0" borderId="0" xfId="1" applyFont="1" applyFill="1" applyAlignment="1">
      <alignment horizontal="left"/>
    </xf>
    <xf numFmtId="43" fontId="49" fillId="0" borderId="0" xfId="1" applyFont="1" applyFill="1"/>
    <xf numFmtId="43" fontId="47" fillId="0" borderId="2" xfId="1" applyFont="1" applyFill="1" applyBorder="1" applyAlignment="1"/>
    <xf numFmtId="43" fontId="85" fillId="2" borderId="2" xfId="1" applyFont="1" applyFill="1" applyBorder="1" applyAlignment="1">
      <alignment horizontal="center" wrapText="1"/>
    </xf>
    <xf numFmtId="43" fontId="53" fillId="0" borderId="0" xfId="1" applyFont="1" applyAlignment="1" applyProtection="1">
      <alignment horizontal="left" vertical="center" wrapText="1"/>
      <protection locked="0"/>
    </xf>
    <xf numFmtId="43" fontId="47" fillId="0" borderId="0" xfId="1" applyFont="1" applyAlignment="1" applyProtection="1">
      <alignment horizontal="left" vertical="center" wrapText="1"/>
      <protection locked="0"/>
    </xf>
    <xf numFmtId="43" fontId="82" fillId="0" borderId="0" xfId="1" quotePrefix="1" applyFont="1" applyFill="1" applyBorder="1" applyAlignment="1">
      <alignment horizontal="right" vertical="center"/>
    </xf>
    <xf numFmtId="43" fontId="47" fillId="0" borderId="0" xfId="1" applyFont="1" applyAlignment="1" applyProtection="1">
      <alignment horizontal="left" vertical="center" wrapText="1" indent="1"/>
      <protection locked="0"/>
    </xf>
    <xf numFmtId="43" fontId="47" fillId="0" borderId="0" xfId="1" applyFont="1" applyFill="1" applyBorder="1" applyAlignment="1" applyProtection="1">
      <alignment horizontal="left" vertical="center" wrapText="1" indent="2"/>
      <protection locked="0"/>
    </xf>
    <xf numFmtId="43" fontId="85" fillId="0" borderId="0" xfId="1" quotePrefix="1" applyFont="1" applyFill="1" applyBorder="1" applyAlignment="1">
      <alignment horizontal="right" vertical="center"/>
    </xf>
    <xf numFmtId="43" fontId="47" fillId="0" borderId="0" xfId="1" applyFont="1" applyFill="1" applyBorder="1" applyAlignment="1" applyProtection="1">
      <alignment horizontal="left" vertical="center" wrapText="1"/>
      <protection locked="0"/>
    </xf>
    <xf numFmtId="181" fontId="53" fillId="0" borderId="0" xfId="1" applyNumberFormat="1" applyFont="1" applyFill="1" applyBorder="1" applyAlignment="1" applyProtection="1">
      <alignment horizontal="left" vertical="center" wrapText="1"/>
      <protection locked="0"/>
    </xf>
    <xf numFmtId="181" fontId="82" fillId="0" borderId="0" xfId="1" applyNumberFormat="1" applyFont="1"/>
    <xf numFmtId="181" fontId="47" fillId="0" borderId="0" xfId="1" applyNumberFormat="1" applyFont="1" applyFill="1" applyBorder="1" applyAlignment="1" applyProtection="1">
      <alignment horizontal="left" vertical="center" wrapText="1"/>
      <protection locked="0"/>
    </xf>
    <xf numFmtId="181" fontId="47" fillId="0" borderId="0" xfId="1" applyNumberFormat="1" applyFont="1" applyFill="1" applyBorder="1" applyAlignment="1" applyProtection="1">
      <alignment horizontal="left" vertical="center" wrapText="1" indent="2"/>
      <protection locked="0"/>
    </xf>
    <xf numFmtId="181" fontId="47" fillId="0" borderId="0" xfId="1" applyNumberFormat="1" applyFont="1" applyAlignment="1" applyProtection="1">
      <alignment horizontal="left" vertical="center" wrapText="1"/>
      <protection locked="0"/>
    </xf>
    <xf numFmtId="181" fontId="47" fillId="0" borderId="0" xfId="1" applyNumberFormat="1" applyFont="1" applyAlignment="1" applyProtection="1">
      <alignment horizontal="left" vertical="center" wrapText="1" indent="2"/>
      <protection locked="0"/>
    </xf>
    <xf numFmtId="181" fontId="87" fillId="0" borderId="0" xfId="1" applyNumberFormat="1" applyFont="1"/>
    <xf numFmtId="0" fontId="15" fillId="0" borderId="4" xfId="0" applyFont="1" applyBorder="1" applyAlignment="1" applyProtection="1">
      <alignment horizontal="left" vertical="center" wrapText="1" indent="2"/>
      <protection locked="0"/>
    </xf>
    <xf numFmtId="0" fontId="14" fillId="0" borderId="0" xfId="0" applyFont="1" applyAlignment="1">
      <alignment horizontal="right"/>
    </xf>
    <xf numFmtId="0" fontId="14" fillId="0" borderId="4" xfId="0" applyFont="1" applyBorder="1"/>
    <xf numFmtId="0" fontId="15" fillId="0" borderId="0" xfId="0" applyFont="1" applyAlignment="1" applyProtection="1">
      <alignment horizontal="left" vertical="center" wrapText="1" indent="3"/>
      <protection locked="0"/>
    </xf>
    <xf numFmtId="0" fontId="26" fillId="0" borderId="0" xfId="0" applyFont="1" applyAlignment="1" applyProtection="1">
      <alignment horizontal="left" vertical="center" wrapText="1"/>
      <protection locked="0"/>
    </xf>
    <xf numFmtId="0" fontId="26" fillId="0" borderId="0" xfId="0" applyFont="1" applyAlignment="1" applyProtection="1">
      <alignment horizontal="left" vertical="center" wrapText="1" indent="2"/>
      <protection locked="0"/>
    </xf>
    <xf numFmtId="0" fontId="26" fillId="0" borderId="0" xfId="0" applyFont="1" applyAlignment="1" applyProtection="1">
      <alignment horizontal="left" vertical="center" wrapText="1" indent="3"/>
      <protection locked="0"/>
    </xf>
    <xf numFmtId="0" fontId="82" fillId="0" borderId="0" xfId="0" applyFont="1" applyAlignment="1">
      <alignment horizontal="right"/>
    </xf>
    <xf numFmtId="0" fontId="49" fillId="0" borderId="0" xfId="0" applyFont="1" applyAlignment="1" applyProtection="1">
      <alignment horizontal="left" vertical="center" wrapText="1" indent="2"/>
      <protection locked="0"/>
    </xf>
    <xf numFmtId="0" fontId="49" fillId="0" borderId="0" xfId="0" applyFont="1" applyAlignment="1" applyProtection="1">
      <alignment horizontal="left" vertical="center" wrapText="1"/>
      <protection locked="0"/>
    </xf>
    <xf numFmtId="166" fontId="82" fillId="0" borderId="0" xfId="0" applyNumberFormat="1" applyFont="1" applyAlignment="1">
      <alignment horizontal="right"/>
    </xf>
    <xf numFmtId="0" fontId="85" fillId="0" borderId="0" xfId="0" applyFont="1"/>
    <xf numFmtId="0" fontId="47" fillId="0" borderId="0" xfId="0" applyFont="1" applyAlignment="1">
      <alignment vertical="center"/>
    </xf>
    <xf numFmtId="43" fontId="14" fillId="0" borderId="0" xfId="1" applyFont="1" applyFill="1" applyAlignment="1">
      <alignment horizontal="right"/>
    </xf>
    <xf numFmtId="43" fontId="14" fillId="0" borderId="0" xfId="1" applyFont="1"/>
    <xf numFmtId="43" fontId="14" fillId="0" borderId="0" xfId="1" applyFont="1" applyFill="1"/>
    <xf numFmtId="43" fontId="70" fillId="0" borderId="0" xfId="1" applyFont="1"/>
    <xf numFmtId="0" fontId="85" fillId="0" borderId="0" xfId="0" applyFont="1" applyAlignment="1">
      <alignment horizontal="right"/>
    </xf>
    <xf numFmtId="0" fontId="47" fillId="0" borderId="4" xfId="0" applyFont="1" applyBorder="1" applyAlignment="1" applyProtection="1">
      <alignment horizontal="left" vertical="center" wrapText="1" indent="2"/>
      <protection locked="0"/>
    </xf>
    <xf numFmtId="43" fontId="70" fillId="0" borderId="0" xfId="1" applyFont="1" applyFill="1"/>
    <xf numFmtId="43" fontId="15" fillId="0" borderId="0" xfId="1" applyFont="1" applyFill="1" applyBorder="1" applyAlignment="1" applyProtection="1">
      <alignment horizontal="left" vertical="center" wrapText="1" indent="2"/>
      <protection locked="0"/>
    </xf>
    <xf numFmtId="0" fontId="15" fillId="0" borderId="7" xfId="0" applyFont="1" applyBorder="1" applyAlignment="1">
      <alignment horizontal="left" wrapText="1" indent="1"/>
    </xf>
    <xf numFmtId="0" fontId="14" fillId="0" borderId="0" xfId="0" applyFont="1" applyAlignment="1">
      <alignment horizontal="center"/>
    </xf>
    <xf numFmtId="0" fontId="15" fillId="0" borderId="6" xfId="0" applyFont="1" applyBorder="1" applyAlignment="1">
      <alignment horizontal="left" wrapText="1" indent="1"/>
    </xf>
    <xf numFmtId="0" fontId="15" fillId="0" borderId="5" xfId="0" applyFont="1" applyBorder="1" applyAlignment="1">
      <alignment horizontal="left" wrapText="1" indent="1"/>
    </xf>
    <xf numFmtId="0" fontId="14" fillId="0" borderId="4" xfId="0" applyFont="1" applyBorder="1" applyAlignment="1">
      <alignment horizontal="center"/>
    </xf>
    <xf numFmtId="0" fontId="14" fillId="0" borderId="0" xfId="0" applyFont="1" applyAlignment="1">
      <alignment vertical="center"/>
    </xf>
    <xf numFmtId="0" fontId="14" fillId="2" borderId="2" xfId="0" applyFont="1" applyFill="1" applyBorder="1" applyAlignment="1">
      <alignment horizontal="center" vertical="center"/>
    </xf>
    <xf numFmtId="0" fontId="14" fillId="0" borderId="0" xfId="0" applyFont="1" applyAlignment="1">
      <alignment horizontal="center" vertical="center"/>
    </xf>
    <xf numFmtId="49" fontId="14" fillId="0" borderId="0" xfId="0" applyNumberFormat="1" applyFont="1" applyAlignment="1">
      <alignment horizontal="center" vertical="center" wrapText="1"/>
    </xf>
    <xf numFmtId="49" fontId="14" fillId="0" borderId="0" xfId="0" applyNumberFormat="1" applyFont="1" applyAlignment="1">
      <alignment horizontal="center"/>
    </xf>
    <xf numFmtId="20" fontId="14" fillId="0" borderId="0" xfId="0" applyNumberFormat="1" applyFont="1" applyAlignment="1">
      <alignment horizontal="center"/>
    </xf>
    <xf numFmtId="49" fontId="82" fillId="0" borderId="0" xfId="0" applyNumberFormat="1" applyFont="1" applyAlignment="1">
      <alignment horizontal="center" vertical="center" wrapText="1"/>
    </xf>
    <xf numFmtId="49" fontId="14" fillId="0" borderId="4" xfId="0" applyNumberFormat="1" applyFont="1" applyBorder="1" applyAlignment="1">
      <alignment horizontal="center" vertical="center" wrapText="1"/>
    </xf>
    <xf numFmtId="0" fontId="15" fillId="2" borderId="10" xfId="4" applyFont="1" applyFill="1" applyBorder="1" applyAlignment="1">
      <alignment horizontal="center" vertical="center"/>
    </xf>
    <xf numFmtId="0" fontId="14" fillId="2" borderId="10" xfId="4" applyFont="1" applyFill="1" applyBorder="1" applyAlignment="1">
      <alignment horizontal="center" vertical="center" wrapText="1"/>
    </xf>
    <xf numFmtId="0" fontId="15" fillId="0" borderId="6" xfId="0" applyFont="1" applyBorder="1" applyAlignment="1">
      <alignment horizontal="left" indent="1"/>
    </xf>
    <xf numFmtId="0" fontId="14" fillId="0" borderId="11" xfId="0" applyFont="1" applyBorder="1" applyAlignment="1">
      <alignment horizontal="center"/>
    </xf>
    <xf numFmtId="0" fontId="81" fillId="0" borderId="0" xfId="4" applyFont="1" applyAlignment="1">
      <alignment horizontal="right" wrapText="1"/>
    </xf>
    <xf numFmtId="0" fontId="63" fillId="0" borderId="12" xfId="0" applyFont="1" applyBorder="1" applyAlignment="1">
      <alignment horizontal="left"/>
    </xf>
    <xf numFmtId="0" fontId="15" fillId="0" borderId="15" xfId="0" applyFont="1" applyBorder="1" applyAlignment="1">
      <alignment horizontal="left" indent="1"/>
    </xf>
    <xf numFmtId="0" fontId="14" fillId="0" borderId="13" xfId="0" applyFont="1" applyBorder="1" applyAlignment="1">
      <alignment horizontal="center"/>
    </xf>
    <xf numFmtId="0" fontId="14" fillId="0" borderId="13" xfId="0" applyFont="1" applyBorder="1" applyAlignment="1">
      <alignment horizontal="right"/>
    </xf>
    <xf numFmtId="0" fontId="14" fillId="0" borderId="30" xfId="0" applyFont="1" applyBorder="1"/>
    <xf numFmtId="0" fontId="81" fillId="0" borderId="0" xfId="0" applyFont="1" applyAlignment="1">
      <alignment horizontal="right"/>
    </xf>
    <xf numFmtId="0" fontId="63" fillId="0" borderId="0" xfId="0" applyFont="1" applyAlignment="1">
      <alignment horizontal="left" vertical="top"/>
    </xf>
    <xf numFmtId="0" fontId="15" fillId="0" borderId="7" xfId="0" applyFont="1" applyBorder="1" applyAlignment="1">
      <alignment horizontal="left" indent="2"/>
    </xf>
    <xf numFmtId="0" fontId="14" fillId="0" borderId="3" xfId="0" applyFont="1" applyBorder="1" applyAlignment="1">
      <alignment horizontal="center"/>
    </xf>
    <xf numFmtId="49" fontId="14" fillId="0" borderId="3" xfId="0" applyNumberFormat="1" applyFont="1" applyBorder="1" applyAlignment="1">
      <alignment horizontal="center"/>
    </xf>
    <xf numFmtId="0" fontId="15" fillId="0" borderId="5" xfId="0" applyFont="1" applyBorder="1" applyAlignment="1">
      <alignment horizontal="left" indent="2"/>
    </xf>
    <xf numFmtId="49" fontId="14" fillId="0" borderId="4" xfId="0" applyNumberFormat="1" applyFont="1" applyBorder="1" applyAlignment="1">
      <alignment horizontal="center"/>
    </xf>
    <xf numFmtId="0" fontId="70" fillId="0" borderId="0" xfId="0" applyFont="1" applyAlignment="1">
      <alignment horizontal="left" indent="2"/>
    </xf>
    <xf numFmtId="0" fontId="14" fillId="0" borderId="2" xfId="0" applyFont="1" applyBorder="1"/>
    <xf numFmtId="0" fontId="63" fillId="0" borderId="0" xfId="0" applyFont="1" applyAlignment="1">
      <alignment horizontal="left"/>
    </xf>
    <xf numFmtId="4" fontId="29" fillId="15" borderId="0" xfId="0" applyNumberFormat="1" applyFont="1" applyFill="1" applyAlignment="1">
      <alignment horizontal="right"/>
    </xf>
    <xf numFmtId="4" fontId="78" fillId="15" borderId="0" xfId="17" applyNumberFormat="1" applyFont="1" applyFill="1" applyBorder="1" applyAlignment="1" applyProtection="1">
      <alignment horizontal="right" vertical="center" wrapText="1"/>
    </xf>
    <xf numFmtId="4" fontId="19" fillId="15" borderId="0" xfId="11" applyNumberFormat="1" applyFont="1" applyFill="1" applyBorder="1" applyAlignment="1">
      <alignment horizontal="right" vertical="center"/>
    </xf>
    <xf numFmtId="4" fontId="90" fillId="0" borderId="0" xfId="0" applyNumberFormat="1" applyFont="1"/>
    <xf numFmtId="0" fontId="54" fillId="0" borderId="0" xfId="4" applyFont="1"/>
    <xf numFmtId="4" fontId="29" fillId="15" borderId="0" xfId="0" applyNumberFormat="1" applyFont="1" applyFill="1"/>
    <xf numFmtId="4" fontId="14" fillId="15" borderId="0" xfId="11" applyNumberFormat="1" applyFont="1" applyFill="1" applyBorder="1" applyAlignment="1">
      <alignment horizontal="right" vertical="center"/>
    </xf>
    <xf numFmtId="4" fontId="19" fillId="15" borderId="23" xfId="4" applyNumberFormat="1" applyFont="1" applyFill="1" applyBorder="1" applyAlignment="1">
      <alignment horizontal="right" vertical="center" wrapText="1"/>
    </xf>
    <xf numFmtId="3" fontId="19" fillId="15" borderId="0" xfId="4" applyNumberFormat="1" applyFont="1" applyFill="1" applyAlignment="1">
      <alignment horizontal="right"/>
    </xf>
    <xf numFmtId="3" fontId="19" fillId="15" borderId="0" xfId="11" applyNumberFormat="1" applyFont="1" applyFill="1" applyBorder="1" applyAlignment="1" applyProtection="1">
      <alignment horizontal="right"/>
    </xf>
    <xf numFmtId="0" fontId="13" fillId="0" borderId="0" xfId="0" applyFont="1" applyAlignment="1">
      <alignment wrapText="1"/>
    </xf>
    <xf numFmtId="4" fontId="29" fillId="16" borderId="0" xfId="0" applyNumberFormat="1" applyFont="1" applyFill="1" applyAlignment="1">
      <alignment horizontal="right"/>
    </xf>
    <xf numFmtId="4" fontId="19" fillId="16" borderId="0" xfId="0" applyNumberFormat="1" applyFont="1" applyFill="1" applyAlignment="1">
      <alignment horizontal="right"/>
    </xf>
    <xf numFmtId="0" fontId="29" fillId="0" borderId="0" xfId="0" applyFont="1" applyAlignment="1">
      <alignment horizontal="right" vertical="center"/>
    </xf>
    <xf numFmtId="2" fontId="13" fillId="16" borderId="0" xfId="0" quotePrefix="1" applyNumberFormat="1" applyFont="1" applyFill="1" applyAlignment="1">
      <alignment horizontal="right" vertical="center"/>
    </xf>
    <xf numFmtId="2" fontId="13" fillId="15" borderId="0" xfId="4" applyNumberFormat="1" applyFont="1" applyFill="1" applyAlignment="1">
      <alignment horizontal="right" wrapText="1"/>
    </xf>
    <xf numFmtId="2" fontId="13" fillId="0" borderId="0" xfId="4" applyNumberFormat="1" applyFont="1" applyAlignment="1">
      <alignment horizontal="right" wrapText="1"/>
    </xf>
    <xf numFmtId="2" fontId="13" fillId="0" borderId="0" xfId="0" applyNumberFormat="1" applyFont="1" applyAlignment="1">
      <alignment horizontal="right" vertical="center" wrapText="1"/>
    </xf>
    <xf numFmtId="165" fontId="10" fillId="0" borderId="0" xfId="0" applyNumberFormat="1" applyFont="1" applyAlignment="1">
      <alignment horizontal="right"/>
    </xf>
    <xf numFmtId="166" fontId="13" fillId="0" borderId="0" xfId="0" applyNumberFormat="1" applyFont="1" applyAlignment="1">
      <alignment horizontal="right"/>
    </xf>
    <xf numFmtId="2" fontId="54" fillId="0" borderId="0" xfId="0" applyNumberFormat="1" applyFont="1" applyAlignment="1" applyProtection="1">
      <alignment horizontal="left" vertical="center" wrapText="1" indent="2"/>
      <protection locked="0"/>
    </xf>
    <xf numFmtId="4" fontId="13" fillId="0" borderId="0" xfId="4" applyNumberFormat="1" applyFont="1" applyAlignment="1">
      <alignment horizontal="right" wrapText="1"/>
    </xf>
    <xf numFmtId="4" fontId="54" fillId="0" borderId="0" xfId="4" applyNumberFormat="1" applyFont="1" applyAlignment="1">
      <alignment horizontal="right" wrapText="1"/>
    </xf>
    <xf numFmtId="4" fontId="15" fillId="0" borderId="0" xfId="4" applyNumberFormat="1" applyFont="1" applyAlignment="1">
      <alignment horizontal="right" wrapText="1"/>
    </xf>
    <xf numFmtId="165" fontId="12" fillId="0" borderId="0" xfId="0" applyNumberFormat="1" applyFont="1" applyAlignment="1">
      <alignment horizontal="right" vertical="top"/>
    </xf>
    <xf numFmtId="4" fontId="13" fillId="0" borderId="0" xfId="11" applyNumberFormat="1" applyFont="1" applyFill="1" applyBorder="1" applyAlignment="1" applyProtection="1">
      <alignment horizontal="right" vertical="center" wrapText="1"/>
    </xf>
    <xf numFmtId="0" fontId="20" fillId="0" borderId="0" xfId="0" applyFont="1"/>
    <xf numFmtId="0" fontId="20" fillId="0" borderId="0" xfId="0" applyFont="1" applyAlignment="1">
      <alignment horizontal="right"/>
    </xf>
    <xf numFmtId="0" fontId="91" fillId="0" borderId="0" xfId="0" applyFont="1"/>
    <xf numFmtId="0" fontId="10" fillId="4" borderId="2" xfId="4" applyFont="1" applyFill="1" applyBorder="1" applyAlignment="1">
      <alignment horizontal="center" wrapText="1"/>
    </xf>
    <xf numFmtId="166" fontId="20" fillId="0" borderId="0" xfId="0" applyNumberFormat="1" applyFont="1"/>
    <xf numFmtId="166" fontId="20" fillId="15" borderId="0" xfId="0" applyNumberFormat="1" applyFont="1" applyFill="1"/>
    <xf numFmtId="166" fontId="20" fillId="0" borderId="0" xfId="0" applyNumberFormat="1" applyFont="1" applyAlignment="1">
      <alignment horizontal="right"/>
    </xf>
    <xf numFmtId="166" fontId="20" fillId="15" borderId="0" xfId="0" applyNumberFormat="1" applyFont="1" applyFill="1" applyAlignment="1">
      <alignment horizontal="right"/>
    </xf>
    <xf numFmtId="166" fontId="13" fillId="15" borderId="0" xfId="0" applyNumberFormat="1" applyFont="1" applyFill="1" applyAlignment="1">
      <alignment horizontal="right"/>
    </xf>
    <xf numFmtId="2" fontId="20" fillId="0" borderId="0" xfId="0" applyNumberFormat="1" applyFont="1" applyAlignment="1">
      <alignment horizontal="right"/>
    </xf>
    <xf numFmtId="0" fontId="20" fillId="0" borderId="4" xfId="0" applyFont="1" applyBorder="1"/>
    <xf numFmtId="166" fontId="13" fillId="0" borderId="0" xfId="0" applyNumberFormat="1" applyFont="1"/>
    <xf numFmtId="165" fontId="20" fillId="0" borderId="0" xfId="0" applyNumberFormat="1" applyFont="1" applyAlignment="1">
      <alignment horizontal="right"/>
    </xf>
    <xf numFmtId="0" fontId="13" fillId="0" borderId="0" xfId="0" applyFont="1" applyAlignment="1">
      <alignment horizontal="right"/>
    </xf>
    <xf numFmtId="2" fontId="13" fillId="0" borderId="0" xfId="0" applyNumberFormat="1" applyFont="1" applyAlignment="1">
      <alignment horizontal="right"/>
    </xf>
    <xf numFmtId="4" fontId="13" fillId="0" borderId="0" xfId="0" applyNumberFormat="1" applyFont="1" applyAlignment="1">
      <alignment horizontal="right" vertical="center" wrapText="1"/>
    </xf>
    <xf numFmtId="165" fontId="13" fillId="0" borderId="0" xfId="0" applyNumberFormat="1" applyFont="1" applyAlignment="1" applyProtection="1">
      <alignment horizontal="right" vertical="center" wrapText="1"/>
      <protection locked="0"/>
    </xf>
    <xf numFmtId="1" fontId="13" fillId="0" borderId="0" xfId="0" applyNumberFormat="1" applyFont="1" applyAlignment="1">
      <alignment horizontal="right" vertical="center" wrapText="1"/>
    </xf>
    <xf numFmtId="0" fontId="13" fillId="0" borderId="0" xfId="4" applyFont="1" applyAlignment="1">
      <alignment horizontal="right" vertical="center" wrapText="1"/>
    </xf>
    <xf numFmtId="0" fontId="13" fillId="15" borderId="0" xfId="4" applyFont="1" applyFill="1" applyAlignment="1">
      <alignment horizontal="right" vertical="center" wrapText="1"/>
    </xf>
    <xf numFmtId="165" fontId="13" fillId="0" borderId="0" xfId="0" applyNumberFormat="1" applyFont="1" applyAlignment="1">
      <alignment horizontal="right" vertical="center" wrapText="1"/>
    </xf>
    <xf numFmtId="165" fontId="13" fillId="15" borderId="0" xfId="4" quotePrefix="1" applyNumberFormat="1" applyFont="1" applyFill="1" applyAlignment="1">
      <alignment horizontal="right" vertical="center"/>
    </xf>
    <xf numFmtId="165" fontId="13" fillId="0" borderId="0" xfId="4" quotePrefix="1" applyNumberFormat="1" applyFont="1" applyAlignment="1">
      <alignment horizontal="right" vertical="center"/>
    </xf>
    <xf numFmtId="4" fontId="13" fillId="0" borderId="0" xfId="11" quotePrefix="1" applyNumberFormat="1" applyFont="1" applyFill="1" applyBorder="1" applyAlignment="1" applyProtection="1">
      <alignment horizontal="right" vertical="center"/>
    </xf>
    <xf numFmtId="4" fontId="15" fillId="15" borderId="0" xfId="11" quotePrefix="1" applyNumberFormat="1" applyFont="1" applyFill="1" applyBorder="1" applyAlignment="1" applyProtection="1">
      <alignment horizontal="right" vertical="center"/>
    </xf>
    <xf numFmtId="165" fontId="20" fillId="0" borderId="0" xfId="0" applyNumberFormat="1" applyFont="1"/>
    <xf numFmtId="4" fontId="13" fillId="17" borderId="0" xfId="0" quotePrefix="1" applyNumberFormat="1" applyFont="1" applyFill="1" applyAlignment="1">
      <alignment horizontal="right" vertical="center"/>
    </xf>
    <xf numFmtId="4" fontId="13" fillId="17" borderId="0" xfId="0" applyNumberFormat="1" applyFont="1" applyFill="1" applyAlignment="1">
      <alignment horizontal="right" vertical="center" wrapText="1"/>
    </xf>
    <xf numFmtId="4" fontId="20" fillId="0" borderId="0" xfId="0" applyNumberFormat="1" applyFont="1" applyAlignment="1">
      <alignment horizontal="right" vertical="top"/>
    </xf>
    <xf numFmtId="0" fontId="20" fillId="0" borderId="0" xfId="0" applyFont="1" applyAlignment="1">
      <alignment horizontal="left" wrapText="1" indent="1"/>
    </xf>
    <xf numFmtId="3" fontId="13" fillId="0" borderId="0" xfId="4" applyNumberFormat="1" applyFont="1" applyAlignment="1" applyProtection="1">
      <alignment horizontal="center" vertical="center"/>
      <protection locked="0"/>
    </xf>
    <xf numFmtId="49" fontId="13" fillId="0" borderId="0" xfId="4" applyNumberFormat="1" applyFont="1" applyAlignment="1" applyProtection="1">
      <alignment horizontal="center" vertical="center" wrapText="1"/>
      <protection locked="0"/>
    </xf>
    <xf numFmtId="20" fontId="13" fillId="0" borderId="0" xfId="4" applyNumberFormat="1" applyFont="1" applyAlignment="1" applyProtection="1">
      <alignment horizontal="center" vertical="center"/>
      <protection locked="0"/>
    </xf>
    <xf numFmtId="0" fontId="20" fillId="0" borderId="4" xfId="0" applyFont="1" applyBorder="1" applyAlignment="1">
      <alignment horizontal="left" wrapText="1" indent="1"/>
    </xf>
    <xf numFmtId="3" fontId="13" fillId="0" borderId="4" xfId="4" applyNumberFormat="1" applyFont="1" applyBorder="1" applyAlignment="1" applyProtection="1">
      <alignment horizontal="center" vertical="center"/>
      <protection locked="0"/>
    </xf>
    <xf numFmtId="49" fontId="13" fillId="0" borderId="4" xfId="4" applyNumberFormat="1" applyFont="1" applyBorder="1" applyAlignment="1" applyProtection="1">
      <alignment horizontal="center" vertical="center" wrapText="1"/>
      <protection locked="0"/>
    </xf>
    <xf numFmtId="20" fontId="13" fillId="0" borderId="4" xfId="4" applyNumberFormat="1" applyFont="1" applyBorder="1" applyAlignment="1" applyProtection="1">
      <alignment horizontal="center" vertical="center"/>
      <protection locked="0"/>
    </xf>
    <xf numFmtId="0" fontId="13" fillId="4" borderId="3" xfId="4" applyFont="1" applyFill="1" applyBorder="1" applyAlignment="1">
      <alignment horizontal="center" vertical="center" wrapText="1"/>
    </xf>
    <xf numFmtId="0" fontId="20" fillId="0" borderId="18" xfId="0" applyFont="1" applyBorder="1" applyAlignment="1">
      <alignment horizontal="center"/>
    </xf>
    <xf numFmtId="0" fontId="20" fillId="0" borderId="13" xfId="0" applyFont="1" applyBorder="1" applyAlignment="1">
      <alignment horizontal="center"/>
    </xf>
    <xf numFmtId="0" fontId="20" fillId="0" borderId="0" xfId="0" applyFont="1" applyAlignment="1">
      <alignment horizontal="center"/>
    </xf>
    <xf numFmtId="0" fontId="20" fillId="0" borderId="0" xfId="0" applyFont="1" applyAlignment="1">
      <alignment horizontal="left" vertical="top"/>
    </xf>
    <xf numFmtId="3" fontId="13" fillId="0" borderId="18" xfId="0" applyNumberFormat="1" applyFont="1" applyBorder="1" applyAlignment="1">
      <alignment horizontal="center" vertical="center"/>
    </xf>
    <xf numFmtId="3" fontId="13" fillId="0" borderId="13" xfId="0" applyNumberFormat="1" applyFont="1" applyBorder="1" applyAlignment="1">
      <alignment horizontal="center" vertical="center"/>
    </xf>
    <xf numFmtId="0" fontId="20" fillId="0" borderId="15" xfId="0" applyFont="1" applyBorder="1" applyAlignment="1">
      <alignment horizontal="left" wrapText="1"/>
    </xf>
    <xf numFmtId="3" fontId="13" fillId="0" borderId="13" xfId="4" applyNumberFormat="1" applyFont="1" applyBorder="1" applyAlignment="1" applyProtection="1">
      <alignment horizontal="center" vertical="center" wrapText="1"/>
      <protection locked="0"/>
    </xf>
    <xf numFmtId="3" fontId="13" fillId="0" borderId="13" xfId="0" applyNumberFormat="1" applyFont="1" applyBorder="1" applyAlignment="1">
      <alignment horizontal="right" vertical="center" wrapText="1"/>
    </xf>
    <xf numFmtId="169" fontId="13" fillId="0" borderId="0" xfId="0" applyNumberFormat="1" applyFont="1" applyAlignment="1">
      <alignment horizontal="center" vertical="center"/>
    </xf>
    <xf numFmtId="0" fontId="20" fillId="0" borderId="7" xfId="0" applyFont="1" applyBorder="1" applyAlignment="1">
      <alignment horizontal="left" wrapText="1" indent="1"/>
    </xf>
    <xf numFmtId="178" fontId="13" fillId="0" borderId="0" xfId="4" applyNumberFormat="1" applyFont="1" applyAlignment="1" applyProtection="1">
      <alignment horizontal="center" vertical="center" wrapText="1"/>
      <protection locked="0"/>
    </xf>
    <xf numFmtId="3" fontId="13" fillId="0" borderId="13" xfId="4" applyNumberFormat="1" applyFont="1" applyBorder="1" applyAlignment="1" applyProtection="1">
      <alignment horizontal="center" vertical="center"/>
      <protection locked="0"/>
    </xf>
    <xf numFmtId="169" fontId="13" fillId="0" borderId="13" xfId="4" applyNumberFormat="1" applyFont="1" applyBorder="1" applyAlignment="1" applyProtection="1">
      <alignment horizontal="center" vertical="center"/>
      <protection locked="0"/>
    </xf>
    <xf numFmtId="0" fontId="20" fillId="4" borderId="3" xfId="0" applyFont="1" applyFill="1" applyBorder="1" applyAlignment="1">
      <alignment horizontal="center" vertical="center" wrapText="1"/>
    </xf>
    <xf numFmtId="0" fontId="10" fillId="4" borderId="0" xfId="4" applyFont="1" applyFill="1" applyAlignment="1">
      <alignment horizontal="left"/>
    </xf>
    <xf numFmtId="0" fontId="9" fillId="4" borderId="0" xfId="4" applyFont="1" applyFill="1" applyAlignment="1">
      <alignment horizontal="left"/>
    </xf>
    <xf numFmtId="0" fontId="37" fillId="0" borderId="0" xfId="0" applyFont="1" applyAlignment="1">
      <alignment horizontal="left" wrapText="1"/>
    </xf>
    <xf numFmtId="191" fontId="19" fillId="0" borderId="0" xfId="11" applyNumberFormat="1" applyFont="1" applyBorder="1"/>
    <xf numFmtId="43" fontId="92" fillId="0" borderId="0" xfId="33" applyFont="1" applyFill="1" applyBorder="1"/>
    <xf numFmtId="4" fontId="92" fillId="0" borderId="0" xfId="0" applyNumberFormat="1" applyFont="1"/>
    <xf numFmtId="169" fontId="13" fillId="0" borderId="0" xfId="11" applyNumberFormat="1" applyFont="1" applyFill="1" applyBorder="1" applyAlignment="1">
      <alignment horizontal="right" vertical="center" wrapText="1"/>
    </xf>
    <xf numFmtId="0" fontId="93" fillId="0" borderId="0" xfId="4" applyFont="1" applyAlignment="1">
      <alignment horizontal="left" wrapText="1"/>
    </xf>
    <xf numFmtId="4" fontId="94" fillId="0" borderId="0" xfId="0" applyNumberFormat="1" applyFont="1" applyAlignment="1">
      <alignment horizontal="right"/>
    </xf>
    <xf numFmtId="0" fontId="95" fillId="0" borderId="0" xfId="0" applyFont="1"/>
    <xf numFmtId="0" fontId="17" fillId="0" borderId="0" xfId="23" applyNumberFormat="1" applyFont="1" applyFill="1" applyBorder="1" applyAlignment="1">
      <alignment horizontal="left" vertical="center" wrapText="1" indent="2"/>
    </xf>
    <xf numFmtId="0" fontId="95" fillId="0" borderId="0" xfId="0" applyFont="1" applyAlignment="1">
      <alignment horizontal="right" vertical="center"/>
    </xf>
    <xf numFmtId="192" fontId="17" fillId="0" borderId="0" xfId="23" applyNumberFormat="1" applyFont="1" applyFill="1" applyBorder="1" applyAlignment="1">
      <alignment horizontal="left" vertical="center" wrapText="1" indent="2"/>
    </xf>
    <xf numFmtId="193" fontId="17" fillId="0" borderId="0" xfId="23" applyNumberFormat="1" applyFont="1" applyFill="1" applyBorder="1" applyAlignment="1">
      <alignment horizontal="left" vertical="center" wrapText="1" indent="2"/>
    </xf>
    <xf numFmtId="3" fontId="19" fillId="0" borderId="0" xfId="0" applyNumberFormat="1" applyFont="1" applyAlignment="1">
      <alignment horizontal="right"/>
    </xf>
    <xf numFmtId="0" fontId="10" fillId="0" borderId="0" xfId="0" applyFont="1" applyAlignment="1">
      <alignment horizontal="left" vertical="center" wrapText="1" indent="2"/>
    </xf>
    <xf numFmtId="2" fontId="97" fillId="0" borderId="0" xfId="0" applyNumberFormat="1" applyFont="1" applyAlignment="1" applyProtection="1">
      <alignment horizontal="left" vertical="center" wrapText="1" indent="2"/>
      <protection locked="0"/>
    </xf>
    <xf numFmtId="0" fontId="99" fillId="0" borderId="0" xfId="0" applyFont="1" applyAlignment="1" applyProtection="1">
      <alignment horizontal="left" vertical="center" wrapText="1"/>
      <protection locked="0"/>
    </xf>
    <xf numFmtId="4" fontId="92" fillId="0" borderId="0" xfId="0" applyNumberFormat="1" applyFont="1" applyAlignment="1">
      <alignment horizontal="right"/>
    </xf>
    <xf numFmtId="0" fontId="29" fillId="0" borderId="0" xfId="0" applyFont="1" applyAlignment="1">
      <alignment horizontal="left"/>
    </xf>
    <xf numFmtId="0" fontId="19" fillId="0" borderId="4" xfId="0" applyFont="1" applyBorder="1" applyAlignment="1">
      <alignment horizontal="right"/>
    </xf>
    <xf numFmtId="2" fontId="100" fillId="0" borderId="0" xfId="0" applyNumberFormat="1" applyFont="1" applyAlignment="1">
      <alignment horizontal="right"/>
    </xf>
    <xf numFmtId="0" fontId="101" fillId="0" borderId="0" xfId="4" applyFont="1" applyAlignment="1">
      <alignment horizontal="left" vertical="top" wrapText="1"/>
    </xf>
    <xf numFmtId="2" fontId="19" fillId="0" borderId="0" xfId="0" quotePrefix="1" applyNumberFormat="1" applyFont="1" applyAlignment="1">
      <alignment horizontal="right"/>
    </xf>
    <xf numFmtId="0" fontId="19" fillId="0" borderId="0" xfId="0" quotePrefix="1" applyFont="1" applyAlignment="1">
      <alignment horizontal="right"/>
    </xf>
    <xf numFmtId="3" fontId="19" fillId="0" borderId="0" xfId="0" applyNumberFormat="1" applyFont="1" applyAlignment="1">
      <alignment horizontal="left" vertical="center"/>
    </xf>
    <xf numFmtId="3" fontId="102" fillId="0" borderId="4" xfId="0" applyNumberFormat="1" applyFont="1" applyBorder="1" applyAlignment="1">
      <alignment horizontal="center" vertical="center"/>
    </xf>
    <xf numFmtId="0" fontId="20" fillId="4" borderId="3" xfId="0" applyFont="1" applyFill="1" applyBorder="1" applyAlignment="1">
      <alignment vertical="center"/>
    </xf>
    <xf numFmtId="20" fontId="19" fillId="0" borderId="0" xfId="0" applyNumberFormat="1" applyFont="1" applyAlignment="1">
      <alignment horizontal="center" vertical="center"/>
    </xf>
    <xf numFmtId="3" fontId="19" fillId="0" borderId="0" xfId="0" quotePrefix="1" applyNumberFormat="1" applyFont="1" applyAlignment="1">
      <alignment horizontal="center" vertical="center"/>
    </xf>
    <xf numFmtId="3" fontId="19" fillId="0" borderId="4" xfId="0" quotePrefix="1" applyNumberFormat="1" applyFont="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103" fillId="0" borderId="0" xfId="0" applyFont="1" applyAlignment="1">
      <alignment horizontal="center" vertical="center" wrapText="1"/>
    </xf>
    <xf numFmtId="0" fontId="0" fillId="0" borderId="0" xfId="0" applyAlignment="1">
      <alignment vertical="center" wrapText="1"/>
    </xf>
    <xf numFmtId="0" fontId="20" fillId="0" borderId="4" xfId="0" applyFont="1" applyBorder="1" applyAlignment="1">
      <alignment horizontal="left" vertical="center" indent="2"/>
    </xf>
    <xf numFmtId="0" fontId="29" fillId="0" borderId="7" xfId="0" applyFont="1" applyBorder="1" applyAlignment="1">
      <alignment horizontal="center" vertical="center"/>
    </xf>
    <xf numFmtId="0" fontId="29" fillId="0" borderId="18" xfId="0" applyFont="1" applyBorder="1" applyAlignment="1">
      <alignment horizontal="center" vertical="center"/>
    </xf>
    <xf numFmtId="0" fontId="29" fillId="0" borderId="13" xfId="0" applyFont="1" applyBorder="1" applyAlignment="1">
      <alignment horizontal="center" vertical="center"/>
    </xf>
    <xf numFmtId="0" fontId="21" fillId="0" borderId="0" xfId="0" applyFont="1" applyAlignment="1">
      <alignment horizontal="center" vertical="center"/>
    </xf>
    <xf numFmtId="0" fontId="29" fillId="0" borderId="11" xfId="0" applyFont="1" applyBorder="1" applyAlignment="1">
      <alignment horizontal="center"/>
    </xf>
    <xf numFmtId="0" fontId="29" fillId="0" borderId="4" xfId="0" applyFont="1" applyBorder="1" applyAlignment="1">
      <alignment horizontal="center" wrapText="1"/>
    </xf>
    <xf numFmtId="0" fontId="20" fillId="0" borderId="7" xfId="0" applyFont="1" applyBorder="1" applyAlignment="1">
      <alignment horizontal="left" indent="2"/>
    </xf>
    <xf numFmtId="0" fontId="20" fillId="0" borderId="6" xfId="0" applyFont="1" applyBorder="1" applyAlignment="1">
      <alignment horizontal="left" indent="2"/>
    </xf>
    <xf numFmtId="43" fontId="13" fillId="0" borderId="0" xfId="1" applyFont="1"/>
    <xf numFmtId="43" fontId="13" fillId="0" borderId="0" xfId="1" applyFont="1" applyBorder="1"/>
    <xf numFmtId="0" fontId="13" fillId="0" borderId="0" xfId="3" applyFont="1"/>
    <xf numFmtId="171" fontId="13" fillId="0" borderId="0" xfId="34" applyFont="1" applyBorder="1"/>
    <xf numFmtId="43" fontId="13" fillId="0" borderId="0" xfId="1" applyFont="1" applyFill="1" applyBorder="1"/>
    <xf numFmtId="194" fontId="13" fillId="0" borderId="0" xfId="1" applyNumberFormat="1" applyFont="1" applyBorder="1"/>
    <xf numFmtId="2" fontId="17" fillId="0" borderId="0" xfId="0" applyNumberFormat="1" applyFont="1"/>
    <xf numFmtId="2" fontId="17" fillId="0" borderId="23" xfId="0" applyNumberFormat="1" applyFont="1" applyBorder="1"/>
    <xf numFmtId="165" fontId="13" fillId="0" borderId="0" xfId="1" applyNumberFormat="1" applyFont="1" applyFill="1" applyBorder="1" applyAlignment="1">
      <alignment horizontal="right" vertical="center"/>
    </xf>
    <xf numFmtId="169" fontId="13" fillId="0" borderId="0" xfId="34" applyNumberFormat="1" applyFont="1" applyFill="1" applyBorder="1" applyAlignment="1">
      <alignment horizontal="right" vertical="center"/>
    </xf>
    <xf numFmtId="169" fontId="13" fillId="0" borderId="0" xfId="3" applyNumberFormat="1" applyFont="1"/>
    <xf numFmtId="3" fontId="13" fillId="0" borderId="0" xfId="1" applyNumberFormat="1" applyFont="1" applyFill="1" applyBorder="1" applyAlignment="1">
      <alignment horizontal="right" vertical="center"/>
    </xf>
    <xf numFmtId="37" fontId="17" fillId="0" borderId="0" xfId="15" applyNumberFormat="1" applyFont="1" applyFill="1" applyBorder="1" applyAlignment="1">
      <alignment horizontal="left" vertical="center" wrapText="1" indent="2"/>
    </xf>
    <xf numFmtId="166" fontId="13" fillId="0" borderId="0" xfId="1" applyNumberFormat="1" applyFont="1" applyFill="1" applyBorder="1" applyAlignment="1">
      <alignment horizontal="right" vertical="center"/>
    </xf>
    <xf numFmtId="44" fontId="17" fillId="0" borderId="0" xfId="15" applyFont="1" applyFill="1" applyBorder="1" applyAlignment="1">
      <alignment horizontal="left" vertical="center" wrapText="1" indent="2"/>
    </xf>
    <xf numFmtId="0" fontId="1" fillId="0" borderId="0" xfId="3"/>
    <xf numFmtId="0" fontId="55" fillId="0" borderId="0" xfId="0" applyFont="1"/>
    <xf numFmtId="3" fontId="13" fillId="0" borderId="0" xfId="0" applyNumberFormat="1" applyFont="1"/>
    <xf numFmtId="171" fontId="13" fillId="0" borderId="0" xfId="1" applyNumberFormat="1" applyFont="1" applyFill="1" applyBorder="1" applyAlignment="1">
      <alignment horizontal="right" vertical="center"/>
    </xf>
    <xf numFmtId="171" fontId="5" fillId="0" borderId="0" xfId="0" applyNumberFormat="1" applyFont="1" applyAlignment="1">
      <alignment horizontal="right"/>
    </xf>
    <xf numFmtId="191" fontId="13" fillId="0" borderId="0" xfId="1" quotePrefix="1" applyNumberFormat="1" applyFont="1" applyFill="1" applyBorder="1" applyAlignment="1">
      <alignment horizontal="right" vertical="center"/>
    </xf>
    <xf numFmtId="171" fontId="13" fillId="0" borderId="0" xfId="1" quotePrefix="1" applyNumberFormat="1" applyFont="1" applyFill="1" applyBorder="1" applyAlignment="1">
      <alignment horizontal="right" vertical="center"/>
    </xf>
    <xf numFmtId="0" fontId="13" fillId="0" borderId="0" xfId="0" quotePrefix="1" applyFont="1" applyAlignment="1">
      <alignment horizontal="center" vertical="center"/>
    </xf>
    <xf numFmtId="171" fontId="13" fillId="0" borderId="0" xfId="1" applyNumberFormat="1" applyFont="1" applyFill="1" applyBorder="1" applyAlignment="1">
      <alignment horizontal="right"/>
    </xf>
    <xf numFmtId="171" fontId="13" fillId="0" borderId="0" xfId="1" applyNumberFormat="1" applyFont="1" applyAlignment="1">
      <alignment horizontal="right"/>
    </xf>
    <xf numFmtId="171" fontId="19" fillId="0" borderId="0" xfId="4" applyNumberFormat="1" applyFont="1" applyAlignment="1">
      <alignment horizontal="right" wrapText="1"/>
    </xf>
    <xf numFmtId="0" fontId="105" fillId="0" borderId="0" xfId="4" applyFont="1"/>
    <xf numFmtId="191" fontId="13" fillId="0" borderId="0" xfId="35" quotePrefix="1" applyNumberFormat="1" applyFont="1" applyFill="1" applyBorder="1" applyAlignment="1">
      <alignment horizontal="center" vertical="center"/>
    </xf>
    <xf numFmtId="0" fontId="13" fillId="0" borderId="0" xfId="4" applyFont="1" applyAlignment="1">
      <alignment horizontal="right"/>
    </xf>
    <xf numFmtId="0" fontId="19" fillId="2" borderId="2" xfId="4" applyFont="1" applyFill="1" applyBorder="1" applyAlignment="1">
      <alignment horizontal="center" vertical="center" wrapText="1"/>
    </xf>
    <xf numFmtId="20" fontId="5" fillId="0" borderId="13" xfId="0" applyNumberFormat="1" applyFont="1" applyBorder="1" applyAlignment="1">
      <alignment horizontal="center" vertical="center" wrapText="1"/>
    </xf>
    <xf numFmtId="20" fontId="5" fillId="0" borderId="13" xfId="0" applyNumberFormat="1" applyFont="1" applyBorder="1" applyAlignment="1">
      <alignment horizontal="center" vertical="center"/>
    </xf>
    <xf numFmtId="20" fontId="5" fillId="0" borderId="13" xfId="0" applyNumberFormat="1" applyFont="1" applyBorder="1" applyAlignment="1">
      <alignment horizontal="center"/>
    </xf>
    <xf numFmtId="20" fontId="5" fillId="0" borderId="0" xfId="0" applyNumberFormat="1" applyFont="1" applyAlignment="1">
      <alignment horizontal="center"/>
    </xf>
    <xf numFmtId="3" fontId="19" fillId="0" borderId="3" xfId="0" applyNumberFormat="1" applyFont="1" applyBorder="1" applyAlignment="1">
      <alignment horizontal="center" vertical="center" wrapText="1"/>
    </xf>
    <xf numFmtId="0" fontId="33" fillId="0" borderId="0" xfId="0" applyFont="1"/>
    <xf numFmtId="0" fontId="0" fillId="0" borderId="4" xfId="0" applyBorder="1"/>
    <xf numFmtId="191" fontId="13" fillId="0" borderId="0" xfId="11" applyNumberFormat="1" applyFont="1" applyBorder="1" applyAlignment="1">
      <alignment horizontal="center"/>
    </xf>
    <xf numFmtId="2" fontId="13" fillId="0" borderId="0" xfId="11" applyNumberFormat="1" applyFont="1" applyBorder="1" applyAlignment="1">
      <alignment horizontal="center"/>
    </xf>
    <xf numFmtId="191" fontId="13" fillId="0" borderId="0" xfId="10" applyNumberFormat="1" applyFont="1" applyAlignment="1">
      <alignment horizontal="center"/>
    </xf>
    <xf numFmtId="191" fontId="13" fillId="0" borderId="0" xfId="0" applyNumberFormat="1" applyFont="1" applyAlignment="1">
      <alignment horizontal="right"/>
    </xf>
    <xf numFmtId="43" fontId="0" fillId="0" borderId="0" xfId="0" applyNumberFormat="1"/>
    <xf numFmtId="2" fontId="0" fillId="0" borderId="4" xfId="0" applyNumberFormat="1" applyBorder="1"/>
    <xf numFmtId="191" fontId="13" fillId="0" borderId="0" xfId="37" applyNumberFormat="1" applyFont="1" applyFill="1" applyBorder="1"/>
    <xf numFmtId="191" fontId="13" fillId="0" borderId="0" xfId="37" applyNumberFormat="1" applyFont="1" applyFill="1"/>
    <xf numFmtId="182" fontId="13" fillId="0" borderId="0" xfId="37" applyNumberFormat="1" applyFont="1" applyFill="1" applyBorder="1"/>
    <xf numFmtId="0" fontId="13" fillId="0" borderId="0" xfId="38" applyFont="1"/>
    <xf numFmtId="182" fontId="13" fillId="0" borderId="0" xfId="37" applyNumberFormat="1" applyFont="1" applyFill="1"/>
    <xf numFmtId="182" fontId="0" fillId="0" borderId="0" xfId="0" applyNumberFormat="1"/>
    <xf numFmtId="195" fontId="13" fillId="0" borderId="0" xfId="37" applyNumberFormat="1" applyFont="1" applyFill="1" applyBorder="1"/>
    <xf numFmtId="166" fontId="13" fillId="0" borderId="0" xfId="38" applyNumberFormat="1" applyFont="1"/>
    <xf numFmtId="0" fontId="106" fillId="18" borderId="0" xfId="36"/>
    <xf numFmtId="165" fontId="13" fillId="0" borderId="0" xfId="39" quotePrefix="1" applyNumberFormat="1" applyFont="1" applyAlignment="1">
      <alignment horizontal="center" vertical="center"/>
    </xf>
    <xf numFmtId="165" fontId="13" fillId="0" borderId="0" xfId="37" quotePrefix="1" applyNumberFormat="1" applyFont="1" applyFill="1" applyBorder="1" applyAlignment="1">
      <alignment horizontal="right" vertical="center"/>
    </xf>
    <xf numFmtId="165" fontId="13" fillId="0" borderId="0" xfId="37" quotePrefix="1" applyNumberFormat="1" applyFont="1" applyFill="1" applyBorder="1" applyAlignment="1">
      <alignment horizontal="center" vertical="center"/>
    </xf>
    <xf numFmtId="165" fontId="13" fillId="0" borderId="0" xfId="37" applyNumberFormat="1" applyFont="1" applyFill="1" applyAlignment="1">
      <alignment horizontal="right"/>
    </xf>
    <xf numFmtId="165" fontId="13" fillId="0" borderId="0" xfId="39" applyNumberFormat="1" applyFont="1" applyAlignment="1">
      <alignment horizontal="center"/>
    </xf>
    <xf numFmtId="165" fontId="13" fillId="0" borderId="0" xfId="37" applyNumberFormat="1" applyFont="1" applyFill="1"/>
    <xf numFmtId="4" fontId="0" fillId="0" borderId="0" xfId="0" quotePrefix="1" applyNumberFormat="1"/>
    <xf numFmtId="0" fontId="13" fillId="0" borderId="0" xfId="39" quotePrefix="1" applyFont="1" applyAlignment="1">
      <alignment horizontal="right" vertical="center"/>
    </xf>
    <xf numFmtId="0" fontId="13" fillId="0" borderId="4" xfId="39" quotePrefix="1" applyFont="1" applyBorder="1" applyAlignment="1">
      <alignment horizontal="right" vertical="center"/>
    </xf>
    <xf numFmtId="3" fontId="13" fillId="0" borderId="0" xfId="39" quotePrefix="1" applyNumberFormat="1" applyFont="1" applyAlignment="1">
      <alignment horizontal="right" vertical="center"/>
    </xf>
    <xf numFmtId="10" fontId="13" fillId="0" borderId="0" xfId="39" quotePrefix="1" applyNumberFormat="1" applyFont="1" applyAlignment="1">
      <alignment horizontal="right" vertical="center"/>
    </xf>
    <xf numFmtId="196" fontId="6" fillId="0" borderId="0" xfId="0" applyNumberFormat="1" applyFont="1" applyAlignment="1">
      <alignment horizontal="right"/>
    </xf>
    <xf numFmtId="196" fontId="13" fillId="0" borderId="0" xfId="39" applyNumberFormat="1" applyFont="1" applyAlignment="1">
      <alignment horizontal="right"/>
    </xf>
    <xf numFmtId="165" fontId="13" fillId="0" borderId="0" xfId="39" applyNumberFormat="1" applyFont="1" applyAlignment="1">
      <alignment horizontal="right"/>
    </xf>
    <xf numFmtId="166" fontId="13" fillId="0" borderId="0" xfId="39" quotePrefix="1" applyNumberFormat="1" applyFont="1" applyAlignment="1">
      <alignment horizontal="right" vertical="center"/>
    </xf>
    <xf numFmtId="191" fontId="13" fillId="0" borderId="0" xfId="37" applyNumberFormat="1" applyFont="1" applyFill="1" applyAlignment="1">
      <alignment horizontal="right"/>
    </xf>
    <xf numFmtId="165" fontId="13" fillId="0" borderId="0" xfId="39" quotePrefix="1" applyNumberFormat="1" applyFont="1" applyAlignment="1">
      <alignment horizontal="right" vertical="center"/>
    </xf>
    <xf numFmtId="191" fontId="13" fillId="0" borderId="0" xfId="37" quotePrefix="1" applyNumberFormat="1" applyFont="1" applyFill="1" applyBorder="1" applyAlignment="1">
      <alignment horizontal="right" vertical="center"/>
    </xf>
    <xf numFmtId="191" fontId="13" fillId="0" borderId="0" xfId="0" quotePrefix="1" applyNumberFormat="1" applyFont="1" applyAlignment="1">
      <alignment horizontal="right" vertical="center"/>
    </xf>
    <xf numFmtId="0" fontId="107" fillId="0" borderId="0" xfId="0" applyFont="1"/>
    <xf numFmtId="0" fontId="108" fillId="0" borderId="0" xfId="39" applyFont="1"/>
    <xf numFmtId="0" fontId="108" fillId="0" borderId="0" xfId="39" applyFont="1" applyAlignment="1">
      <alignment wrapText="1"/>
    </xf>
    <xf numFmtId="4" fontId="0" fillId="0" borderId="4" xfId="0" applyNumberFormat="1" applyBorder="1"/>
    <xf numFmtId="165" fontId="13" fillId="0" borderId="0" xfId="0" applyNumberFormat="1" applyFont="1" applyAlignment="1">
      <alignment horizontal="center"/>
    </xf>
    <xf numFmtId="0" fontId="110" fillId="0" borderId="0" xfId="0" applyFont="1" applyAlignment="1">
      <alignment horizontal="right"/>
    </xf>
    <xf numFmtId="0" fontId="10" fillId="0" borderId="0" xfId="0" applyFont="1" applyAlignment="1" applyProtection="1">
      <alignment horizontal="right" vertical="center" wrapText="1"/>
      <protection locked="0"/>
    </xf>
    <xf numFmtId="0" fontId="6" fillId="0" borderId="0" xfId="0" applyFont="1" applyAlignment="1">
      <alignment horizontal="right"/>
    </xf>
    <xf numFmtId="0" fontId="109" fillId="0" borderId="0" xfId="0" applyFont="1" applyAlignment="1">
      <alignment horizontal="left" vertical="center" wrapText="1"/>
    </xf>
    <xf numFmtId="0" fontId="13" fillId="0" borderId="0" xfId="0" applyFont="1" applyAlignment="1">
      <alignment horizontal="center"/>
    </xf>
    <xf numFmtId="0" fontId="13" fillId="0" borderId="4" xfId="0" applyFont="1" applyBorder="1" applyAlignment="1">
      <alignment horizontal="center"/>
    </xf>
    <xf numFmtId="165" fontId="13" fillId="0" borderId="0" xfId="37" applyNumberFormat="1" applyFont="1"/>
    <xf numFmtId="4" fontId="19" fillId="0" borderId="4" xfId="0" quotePrefix="1" applyNumberFormat="1" applyFont="1" applyBorder="1" applyAlignment="1">
      <alignment vertical="center"/>
    </xf>
    <xf numFmtId="0" fontId="0" fillId="0" borderId="14" xfId="0" applyBorder="1"/>
    <xf numFmtId="0" fontId="19" fillId="0" borderId="4" xfId="0" quotePrefix="1" applyFont="1" applyBorder="1" applyAlignment="1">
      <alignment horizontal="right" vertical="center"/>
    </xf>
    <xf numFmtId="0" fontId="10" fillId="2" borderId="0" xfId="4" applyFont="1" applyFill="1" applyAlignment="1">
      <alignment horizontal="center" wrapText="1"/>
    </xf>
    <xf numFmtId="0" fontId="10" fillId="0" borderId="27" xfId="10" applyFont="1" applyBorder="1" applyAlignment="1">
      <alignment vertical="center" wrapText="1"/>
    </xf>
    <xf numFmtId="0" fontId="10" fillId="0" borderId="6" xfId="10" applyFont="1" applyBorder="1" applyAlignment="1">
      <alignment horizontal="left" vertical="center" indent="1"/>
    </xf>
    <xf numFmtId="0" fontId="13" fillId="0" borderId="0" xfId="10" applyFont="1"/>
    <xf numFmtId="0" fontId="13" fillId="0" borderId="6" xfId="10" applyFont="1" applyBorder="1" applyAlignment="1">
      <alignment horizontal="left" vertical="center" wrapText="1" indent="2"/>
    </xf>
    <xf numFmtId="164" fontId="13" fillId="0" borderId="0" xfId="10" applyNumberFormat="1" applyFont="1" applyAlignment="1">
      <alignment horizontal="center" vertical="center"/>
    </xf>
    <xf numFmtId="164" fontId="13" fillId="0" borderId="0" xfId="10" applyNumberFormat="1" applyFont="1" applyAlignment="1">
      <alignment horizontal="right" vertical="center"/>
    </xf>
    <xf numFmtId="178" fontId="13" fillId="0" borderId="0" xfId="10" applyNumberFormat="1" applyFont="1" applyAlignment="1">
      <alignment horizontal="center" vertical="center" wrapText="1"/>
    </xf>
    <xf numFmtId="164" fontId="13" fillId="9" borderId="0" xfId="10" applyNumberFormat="1" applyFont="1" applyFill="1" applyAlignment="1">
      <alignment horizontal="center" vertical="center"/>
    </xf>
    <xf numFmtId="164" fontId="13" fillId="9" borderId="0" xfId="10" applyNumberFormat="1" applyFont="1" applyFill="1" applyAlignment="1">
      <alignment horizontal="right" vertical="center"/>
    </xf>
    <xf numFmtId="0" fontId="13" fillId="0" borderId="5" xfId="10" applyFont="1" applyBorder="1" applyAlignment="1">
      <alignment horizontal="left" vertical="center" wrapText="1" indent="2"/>
    </xf>
    <xf numFmtId="3" fontId="13" fillId="0" borderId="4" xfId="10" applyNumberFormat="1" applyFont="1" applyBorder="1" applyAlignment="1">
      <alignment horizontal="center" vertical="center"/>
    </xf>
    <xf numFmtId="164" fontId="13" fillId="0" borderId="4" xfId="10" applyNumberFormat="1" applyFont="1" applyBorder="1" applyAlignment="1">
      <alignment horizontal="center" vertical="center"/>
    </xf>
    <xf numFmtId="178" fontId="13" fillId="0" borderId="4" xfId="10" applyNumberFormat="1" applyFont="1" applyBorder="1" applyAlignment="1">
      <alignment horizontal="center" vertical="center" wrapText="1"/>
    </xf>
    <xf numFmtId="164" fontId="13" fillId="9" borderId="4" xfId="10" applyNumberFormat="1" applyFont="1" applyFill="1" applyBorder="1" applyAlignment="1">
      <alignment horizontal="center" vertical="center"/>
    </xf>
    <xf numFmtId="164" fontId="13" fillId="9" borderId="4" xfId="10" applyNumberFormat="1" applyFont="1" applyFill="1" applyBorder="1" applyAlignment="1">
      <alignment horizontal="right" vertical="center"/>
    </xf>
    <xf numFmtId="0" fontId="52" fillId="0" borderId="0" xfId="10" applyFont="1" applyAlignment="1">
      <alignment horizontal="left" vertical="center" indent="1"/>
    </xf>
    <xf numFmtId="0" fontId="10" fillId="0" borderId="0" xfId="10" applyFont="1" applyAlignment="1">
      <alignment horizontal="center"/>
    </xf>
    <xf numFmtId="0" fontId="13" fillId="0" borderId="0" xfId="10" applyFont="1" applyAlignment="1">
      <alignment wrapText="1"/>
    </xf>
    <xf numFmtId="0" fontId="111" fillId="0" borderId="0" xfId="10" applyFont="1" applyAlignment="1">
      <alignment wrapText="1"/>
    </xf>
    <xf numFmtId="0" fontId="13" fillId="0" borderId="15" xfId="10" applyFont="1" applyBorder="1" applyAlignment="1">
      <alignment horizontal="left" vertical="center" wrapText="1" indent="2"/>
    </xf>
    <xf numFmtId="3" fontId="13" fillId="0" borderId="17" xfId="10" applyNumberFormat="1" applyFont="1" applyBorder="1" applyAlignment="1">
      <alignment horizontal="center" vertical="center"/>
    </xf>
    <xf numFmtId="3" fontId="13" fillId="0" borderId="13" xfId="10" applyNumberFormat="1" applyFont="1" applyBorder="1" applyAlignment="1">
      <alignment horizontal="center" vertical="center"/>
    </xf>
    <xf numFmtId="0" fontId="13" fillId="0" borderId="3" xfId="38" applyFont="1" applyBorder="1" applyAlignment="1">
      <alignment horizontal="left" vertical="center" indent="2"/>
    </xf>
    <xf numFmtId="3" fontId="19" fillId="0" borderId="3" xfId="38" applyNumberFormat="1" applyFont="1" applyBorder="1" applyAlignment="1">
      <alignment horizontal="center" vertical="center"/>
    </xf>
    <xf numFmtId="3" fontId="19" fillId="0" borderId="3" xfId="38" applyNumberFormat="1" applyFont="1" applyBorder="1" applyAlignment="1">
      <alignment horizontal="center" vertical="center" wrapText="1"/>
    </xf>
    <xf numFmtId="3" fontId="19" fillId="0" borderId="0" xfId="38" applyNumberFormat="1" applyFont="1" applyAlignment="1">
      <alignment horizontal="center" vertical="center" wrapText="1"/>
    </xf>
    <xf numFmtId="0" fontId="13" fillId="0" borderId="0" xfId="38" applyFont="1" applyAlignment="1">
      <alignment horizontal="left" vertical="center" indent="2"/>
    </xf>
    <xf numFmtId="3" fontId="19" fillId="0" borderId="0" xfId="38" applyNumberFormat="1" applyFont="1" applyAlignment="1">
      <alignment horizontal="center" vertical="center"/>
    </xf>
    <xf numFmtId="0" fontId="8" fillId="0" borderId="0" xfId="38" applyFont="1" applyAlignment="1">
      <alignment horizontal="left" vertical="top"/>
    </xf>
    <xf numFmtId="0" fontId="5" fillId="0" borderId="0" xfId="38" applyFont="1"/>
    <xf numFmtId="0" fontId="5" fillId="0" borderId="0" xfId="38" applyFont="1" applyAlignment="1">
      <alignment vertical="center" wrapText="1"/>
    </xf>
    <xf numFmtId="0" fontId="5" fillId="0" borderId="0" xfId="38" applyFont="1" applyAlignment="1">
      <alignment vertical="center"/>
    </xf>
    <xf numFmtId="3" fontId="13" fillId="0" borderId="0" xfId="38" applyNumberFormat="1" applyFont="1" applyAlignment="1">
      <alignment horizontal="center" vertical="center"/>
    </xf>
    <xf numFmtId="0" fontId="13" fillId="0" borderId="4" xfId="38" applyFont="1" applyBorder="1" applyAlignment="1">
      <alignment horizontal="left" vertical="center" indent="2"/>
    </xf>
    <xf numFmtId="3" fontId="19" fillId="0" borderId="4" xfId="38" applyNumberFormat="1" applyFont="1" applyBorder="1" applyAlignment="1">
      <alignment horizontal="center" vertical="center" wrapText="1"/>
    </xf>
    <xf numFmtId="0" fontId="8" fillId="0" borderId="0" xfId="38" applyFont="1" applyAlignment="1">
      <alignment horizontal="left"/>
    </xf>
    <xf numFmtId="197" fontId="13" fillId="0" borderId="0" xfId="10" applyNumberFormat="1" applyFont="1" applyAlignment="1">
      <alignment horizontal="center" vertical="center"/>
    </xf>
    <xf numFmtId="0" fontId="32" fillId="0" borderId="0" xfId="0" applyFont="1"/>
    <xf numFmtId="3" fontId="112" fillId="0" borderId="0" xfId="40" applyNumberFormat="1" applyFont="1"/>
    <xf numFmtId="0" fontId="6" fillId="0" borderId="0" xfId="40"/>
    <xf numFmtId="0" fontId="6" fillId="0" borderId="0" xfId="10"/>
    <xf numFmtId="3" fontId="6" fillId="0" borderId="0" xfId="40" applyNumberFormat="1"/>
    <xf numFmtId="3" fontId="112" fillId="0" borderId="0" xfId="40" applyNumberFormat="1" applyFont="1" applyAlignment="1">
      <alignment horizontal="center"/>
    </xf>
    <xf numFmtId="0" fontId="6" fillId="0" borderId="0" xfId="40" applyAlignment="1">
      <alignment horizontal="center"/>
    </xf>
    <xf numFmtId="3" fontId="55" fillId="0" borderId="0" xfId="40" applyNumberFormat="1" applyFont="1"/>
    <xf numFmtId="0" fontId="6" fillId="0" borderId="0" xfId="10" applyAlignment="1">
      <alignment horizontal="center"/>
    </xf>
    <xf numFmtId="3" fontId="112" fillId="0" borderId="23" xfId="40" applyNumberFormat="1" applyFont="1" applyBorder="1"/>
    <xf numFmtId="0" fontId="6" fillId="0" borderId="23" xfId="40" applyBorder="1"/>
    <xf numFmtId="0" fontId="6" fillId="0" borderId="23" xfId="10" applyBorder="1"/>
    <xf numFmtId="0" fontId="6" fillId="0" borderId="4" xfId="10" applyBorder="1"/>
    <xf numFmtId="3" fontId="6" fillId="0" borderId="3" xfId="40" applyNumberFormat="1" applyBorder="1" applyAlignment="1">
      <alignment horizontal="right"/>
    </xf>
    <xf numFmtId="182" fontId="6" fillId="0" borderId="0" xfId="37" applyNumberFormat="1" applyFill="1"/>
    <xf numFmtId="3" fontId="55" fillId="0" borderId="0" xfId="40" applyNumberFormat="1" applyFont="1" applyAlignment="1">
      <alignment horizontal="center"/>
    </xf>
    <xf numFmtId="3" fontId="14" fillId="0" borderId="0" xfId="40" applyNumberFormat="1" applyFont="1"/>
    <xf numFmtId="3" fontId="14" fillId="0" borderId="0" xfId="40" applyNumberFormat="1" applyFont="1" applyAlignment="1">
      <alignment horizontal="center"/>
    </xf>
    <xf numFmtId="3" fontId="14" fillId="0" borderId="23" xfId="40" applyNumberFormat="1" applyFont="1" applyBorder="1"/>
    <xf numFmtId="182" fontId="6" fillId="0" borderId="4" xfId="37" applyNumberFormat="1" applyFill="1" applyBorder="1"/>
    <xf numFmtId="0" fontId="114" fillId="0" borderId="0" xfId="0" applyFont="1"/>
    <xf numFmtId="0" fontId="6" fillId="0" borderId="0" xfId="40" applyAlignment="1">
      <alignment horizontal="left" vertical="center"/>
    </xf>
    <xf numFmtId="3" fontId="55" fillId="0" borderId="0" xfId="10" quotePrefix="1" applyNumberFormat="1" applyFont="1" applyAlignment="1">
      <alignment horizontal="right" vertical="center"/>
    </xf>
    <xf numFmtId="3" fontId="6" fillId="0" borderId="0" xfId="10" applyNumberFormat="1" applyAlignment="1">
      <alignment horizontal="right"/>
    </xf>
    <xf numFmtId="0" fontId="55" fillId="0" borderId="0" xfId="40" applyFont="1" applyAlignment="1">
      <alignment horizontal="left" vertical="center"/>
    </xf>
    <xf numFmtId="0" fontId="115" fillId="0" borderId="0" xfId="40" applyFont="1" applyAlignment="1">
      <alignment horizontal="left" vertical="center" indent="1"/>
    </xf>
    <xf numFmtId="3" fontId="55" fillId="0" borderId="0" xfId="10" applyNumberFormat="1" applyFont="1" applyAlignment="1">
      <alignment horizontal="right"/>
    </xf>
    <xf numFmtId="182" fontId="6" fillId="0" borderId="0" xfId="37" applyNumberFormat="1" applyFill="1" applyAlignment="1">
      <alignment horizontal="right"/>
    </xf>
    <xf numFmtId="0" fontId="115" fillId="0" borderId="0" xfId="10" applyFont="1" applyAlignment="1">
      <alignment horizontal="left" vertical="center" indent="1"/>
    </xf>
    <xf numFmtId="3" fontId="55" fillId="0" borderId="0" xfId="37" applyNumberFormat="1" applyFont="1" applyFill="1" applyBorder="1" applyAlignment="1">
      <alignment horizontal="right"/>
    </xf>
    <xf numFmtId="182" fontId="6" fillId="0" borderId="0" xfId="37" applyNumberFormat="1" applyFont="1" applyFill="1" applyAlignment="1">
      <alignment horizontal="right"/>
    </xf>
    <xf numFmtId="182" fontId="6" fillId="0" borderId="0" xfId="37" applyNumberFormat="1" applyFill="1" applyBorder="1" applyAlignment="1">
      <alignment horizontal="right"/>
    </xf>
    <xf numFmtId="0" fontId="115" fillId="0" borderId="4" xfId="40" applyFont="1" applyBorder="1" applyAlignment="1">
      <alignment horizontal="left" vertical="center" indent="1"/>
    </xf>
    <xf numFmtId="3" fontId="55" fillId="0" borderId="4" xfId="10" applyNumberFormat="1" applyFont="1" applyBorder="1" applyAlignment="1">
      <alignment horizontal="right"/>
    </xf>
    <xf numFmtId="0" fontId="7" fillId="0" borderId="0" xfId="0" applyFont="1"/>
    <xf numFmtId="0" fontId="115" fillId="0" borderId="23" xfId="40" applyFont="1" applyBorder="1" applyAlignment="1">
      <alignment horizontal="left" vertical="center" indent="1"/>
    </xf>
    <xf numFmtId="0" fontId="55" fillId="0" borderId="0" xfId="40" applyFont="1"/>
    <xf numFmtId="0" fontId="3" fillId="0" borderId="0" xfId="0" applyFont="1" applyAlignment="1">
      <alignment wrapText="1"/>
    </xf>
    <xf numFmtId="4" fontId="4" fillId="0" borderId="12" xfId="4" applyNumberFormat="1" applyFont="1" applyBorder="1" applyAlignment="1">
      <alignment horizontal="left"/>
    </xf>
    <xf numFmtId="4" fontId="4" fillId="0" borderId="0" xfId="4" applyNumberFormat="1" applyFont="1" applyAlignment="1">
      <alignment horizontal="left" wrapText="1"/>
    </xf>
    <xf numFmtId="4" fontId="9" fillId="4" borderId="0" xfId="4" applyNumberFormat="1" applyFont="1" applyFill="1" applyAlignment="1">
      <alignment horizontal="left"/>
    </xf>
    <xf numFmtId="0" fontId="34" fillId="4" borderId="2" xfId="4" applyFont="1" applyFill="1" applyBorder="1" applyAlignment="1">
      <alignment horizontal="right" wrapText="1"/>
    </xf>
    <xf numFmtId="4" fontId="118" fillId="0" borderId="0" xfId="0" applyNumberFormat="1" applyFont="1" applyAlignment="1">
      <alignment horizontal="right" vertical="center" wrapText="1"/>
    </xf>
    <xf numFmtId="2" fontId="13" fillId="0" borderId="0" xfId="0" applyNumberFormat="1" applyFont="1"/>
    <xf numFmtId="169" fontId="118" fillId="0" borderId="0" xfId="0" applyNumberFormat="1" applyFont="1" applyAlignment="1">
      <alignment horizontal="right" vertical="center" wrapText="1"/>
    </xf>
    <xf numFmtId="4" fontId="13" fillId="0" borderId="0" xfId="0" applyNumberFormat="1" applyFont="1"/>
    <xf numFmtId="3" fontId="13" fillId="0" borderId="23" xfId="11" applyNumberFormat="1" applyFont="1" applyFill="1" applyBorder="1" applyAlignment="1">
      <alignment vertical="center" wrapText="1"/>
    </xf>
    <xf numFmtId="4" fontId="13" fillId="0" borderId="0" xfId="1" applyNumberFormat="1" applyFont="1" applyFill="1" applyBorder="1" applyAlignment="1">
      <alignment vertical="center" wrapText="1"/>
    </xf>
    <xf numFmtId="4" fontId="13" fillId="0" borderId="0" xfId="1" applyNumberFormat="1" applyFont="1" applyFill="1" applyBorder="1" applyAlignment="1">
      <alignment horizontal="right" vertical="center" wrapText="1" indent="1"/>
    </xf>
    <xf numFmtId="0" fontId="17" fillId="0" borderId="4" xfId="4" applyFont="1" applyBorder="1" applyAlignment="1">
      <alignment horizontal="left" wrapText="1" indent="1"/>
    </xf>
    <xf numFmtId="165" fontId="13" fillId="0" borderId="0" xfId="1" applyNumberFormat="1" applyFont="1" applyFill="1" applyBorder="1" applyAlignment="1">
      <alignment vertical="center"/>
    </xf>
    <xf numFmtId="0" fontId="13" fillId="0" borderId="2" xfId="4" applyFont="1" applyBorder="1" applyAlignment="1">
      <alignment horizontal="left" wrapText="1"/>
    </xf>
    <xf numFmtId="4" fontId="29" fillId="0" borderId="2" xfId="0" applyNumberFormat="1" applyFont="1" applyBorder="1"/>
    <xf numFmtId="0" fontId="4" fillId="0" borderId="0" xfId="4" applyFont="1" applyAlignment="1">
      <alignment horizontal="right" vertical="top" wrapText="1"/>
    </xf>
    <xf numFmtId="4" fontId="4" fillId="0" borderId="0" xfId="4" applyNumberFormat="1" applyFont="1" applyAlignment="1">
      <alignment horizontal="left" vertical="top" wrapText="1"/>
    </xf>
    <xf numFmtId="198" fontId="13" fillId="0" borderId="0" xfId="23" applyNumberFormat="1" applyFont="1" applyFill="1" applyBorder="1" applyAlignment="1">
      <alignment horizontal="left" vertical="center" wrapText="1" indent="2"/>
    </xf>
    <xf numFmtId="49" fontId="13" fillId="0" borderId="0" xfId="23" applyNumberFormat="1" applyFont="1" applyFill="1" applyBorder="1" applyAlignment="1">
      <alignment horizontal="left" vertical="center" wrapText="1" indent="2"/>
    </xf>
    <xf numFmtId="169" fontId="0" fillId="0" borderId="0" xfId="0" applyNumberFormat="1" applyAlignment="1">
      <alignment horizontal="right"/>
    </xf>
    <xf numFmtId="169" fontId="0" fillId="0" borderId="0" xfId="0" applyNumberFormat="1"/>
    <xf numFmtId="4" fontId="0" fillId="0" borderId="0" xfId="0" applyNumberFormat="1" applyAlignment="1">
      <alignment horizontal="right"/>
    </xf>
    <xf numFmtId="0" fontId="10" fillId="0" borderId="3" xfId="0" applyFont="1" applyBorder="1" applyAlignment="1" applyProtection="1">
      <alignment horizontal="left" vertical="center" indent="2"/>
      <protection locked="0"/>
    </xf>
    <xf numFmtId="3" fontId="29" fillId="0" borderId="3" xfId="0" applyNumberFormat="1" applyFont="1" applyBorder="1" applyAlignment="1">
      <alignment horizontal="right"/>
    </xf>
    <xf numFmtId="4" fontId="29" fillId="0" borderId="3" xfId="0" applyNumberFormat="1" applyFont="1" applyBorder="1" applyAlignment="1">
      <alignment horizontal="right"/>
    </xf>
    <xf numFmtId="3" fontId="29" fillId="0" borderId="0" xfId="0" applyNumberFormat="1" applyFont="1" applyAlignment="1">
      <alignment horizontal="right" vertical="center"/>
    </xf>
    <xf numFmtId="4" fontId="29" fillId="0" borderId="0" xfId="0" applyNumberFormat="1" applyFont="1" applyAlignment="1">
      <alignment horizontal="right" vertical="center"/>
    </xf>
    <xf numFmtId="3" fontId="13" fillId="0" borderId="0" xfId="0" applyNumberFormat="1" applyFont="1" applyAlignment="1" applyProtection="1">
      <alignment horizontal="right" vertical="center"/>
      <protection locked="0"/>
    </xf>
    <xf numFmtId="4" fontId="36" fillId="0" borderId="0" xfId="0" applyNumberFormat="1" applyFont="1" applyAlignment="1">
      <alignment horizontal="right"/>
    </xf>
    <xf numFmtId="0" fontId="4" fillId="0" borderId="0" xfId="4" applyFont="1" applyAlignment="1">
      <alignment horizontal="right"/>
    </xf>
    <xf numFmtId="4" fontId="4" fillId="0" borderId="0" xfId="4" applyNumberFormat="1" applyFont="1" applyAlignment="1">
      <alignment horizontal="left"/>
    </xf>
    <xf numFmtId="3" fontId="10" fillId="0" borderId="0" xfId="0" quotePrefix="1" applyNumberFormat="1" applyFont="1" applyAlignment="1">
      <alignment horizontal="right" vertical="center"/>
    </xf>
    <xf numFmtId="182" fontId="13" fillId="0" borderId="0" xfId="1" applyNumberFormat="1" applyFont="1" applyFill="1" applyBorder="1" applyAlignment="1">
      <alignment horizontal="right" vertical="center"/>
    </xf>
    <xf numFmtId="0" fontId="17" fillId="0" borderId="0" xfId="0" applyFont="1" applyAlignment="1" applyProtection="1">
      <alignment horizontal="right" vertical="center" wrapText="1"/>
      <protection locked="0"/>
    </xf>
    <xf numFmtId="4" fontId="17" fillId="0" borderId="0" xfId="0" applyNumberFormat="1" applyFont="1" applyAlignment="1" applyProtection="1">
      <alignment horizontal="left" vertical="center" wrapText="1" indent="1"/>
      <protection locked="0"/>
    </xf>
    <xf numFmtId="182" fontId="10" fillId="0" borderId="0" xfId="1" applyNumberFormat="1" applyFont="1" applyFill="1" applyBorder="1" applyAlignment="1">
      <alignment horizontal="right" vertical="center"/>
    </xf>
    <xf numFmtId="165" fontId="29" fillId="0" borderId="0" xfId="11" applyNumberFormat="1" applyFont="1" applyFill="1" applyBorder="1" applyAlignment="1">
      <alignment horizontal="right" vertical="center"/>
    </xf>
    <xf numFmtId="4" fontId="29" fillId="0" borderId="0" xfId="11" applyNumberFormat="1" applyFont="1" applyFill="1" applyBorder="1" applyAlignment="1">
      <alignment horizontal="right" vertical="center"/>
    </xf>
    <xf numFmtId="0" fontId="119" fillId="0" borderId="0" xfId="0" applyFont="1" applyAlignment="1" applyProtection="1">
      <alignment horizontal="left" vertical="center" wrapText="1"/>
      <protection locked="0"/>
    </xf>
    <xf numFmtId="0" fontId="20" fillId="0" borderId="0" xfId="10" quotePrefix="1" applyFont="1" applyAlignment="1">
      <alignment horizontal="right" vertical="center"/>
    </xf>
    <xf numFmtId="0" fontId="13" fillId="0" borderId="0" xfId="0" applyFont="1" applyAlignment="1">
      <alignment horizontal="left" indent="1"/>
    </xf>
    <xf numFmtId="0" fontId="13" fillId="0" borderId="0" xfId="10" applyFont="1" applyAlignment="1">
      <alignment horizontal="right" vertical="center"/>
    </xf>
    <xf numFmtId="4" fontId="13" fillId="0" borderId="0" xfId="10" applyNumberFormat="1" applyFont="1" applyAlignment="1">
      <alignment horizontal="right" vertical="center"/>
    </xf>
    <xf numFmtId="182" fontId="111" fillId="0" borderId="0" xfId="11" applyNumberFormat="1" applyFont="1" applyFill="1" applyBorder="1" applyAlignment="1">
      <alignment horizontal="right" vertical="center"/>
    </xf>
    <xf numFmtId="2" fontId="119" fillId="0" borderId="0" xfId="0" applyNumberFormat="1" applyFont="1" applyAlignment="1" applyProtection="1">
      <alignment vertical="center" wrapText="1"/>
      <protection locked="0"/>
    </xf>
    <xf numFmtId="1" fontId="13" fillId="0" borderId="0" xfId="11" applyNumberFormat="1" applyFont="1" applyFill="1" applyBorder="1" applyAlignment="1">
      <alignment horizontal="right" vertical="center"/>
    </xf>
    <xf numFmtId="182" fontId="111" fillId="0" borderId="0" xfId="41" applyNumberFormat="1" applyFont="1" applyFill="1" applyBorder="1" applyAlignment="1">
      <alignment horizontal="right" vertical="center"/>
    </xf>
    <xf numFmtId="182" fontId="13" fillId="0" borderId="0" xfId="41" applyNumberFormat="1" applyFont="1" applyFill="1" applyBorder="1" applyAlignment="1">
      <alignment horizontal="right" vertical="center"/>
    </xf>
    <xf numFmtId="0" fontId="13" fillId="0" borderId="4" xfId="0" applyFont="1" applyBorder="1" applyAlignment="1">
      <alignment horizontal="left" indent="1"/>
    </xf>
    <xf numFmtId="0" fontId="120" fillId="19" borderId="0" xfId="0" applyFont="1" applyFill="1" applyAlignment="1">
      <alignment horizontal="left" vertical="center"/>
    </xf>
    <xf numFmtId="0" fontId="121" fillId="20" borderId="29" xfId="0" applyFont="1" applyFill="1" applyBorder="1" applyAlignment="1">
      <alignment horizontal="center" vertical="center"/>
    </xf>
    <xf numFmtId="0" fontId="121" fillId="20" borderId="19" xfId="0" applyFont="1" applyFill="1" applyBorder="1" applyAlignment="1">
      <alignment horizontal="center" vertical="center"/>
    </xf>
    <xf numFmtId="0" fontId="4" fillId="0" borderId="0" xfId="4" applyFont="1" applyAlignment="1">
      <alignment wrapText="1"/>
    </xf>
    <xf numFmtId="4" fontId="13" fillId="0" borderId="0" xfId="4" applyNumberFormat="1" applyFont="1" applyAlignment="1">
      <alignment horizontal="center" wrapText="1"/>
    </xf>
    <xf numFmtId="0" fontId="9" fillId="4" borderId="0" xfId="4" applyFont="1" applyFill="1" applyAlignment="1">
      <alignment horizontal="right"/>
    </xf>
    <xf numFmtId="4" fontId="13" fillId="0" borderId="0" xfId="1" applyNumberFormat="1" applyFont="1" applyFill="1" applyBorder="1" applyAlignment="1"/>
    <xf numFmtId="199" fontId="29" fillId="0" borderId="0" xfId="22" applyNumberFormat="1" applyFont="1" applyAlignment="1">
      <alignment horizontal="right"/>
    </xf>
    <xf numFmtId="4" fontId="29" fillId="0" borderId="0" xfId="22" applyNumberFormat="1" applyFont="1" applyAlignment="1">
      <alignment horizontal="right"/>
    </xf>
    <xf numFmtId="0" fontId="4" fillId="0" borderId="12" xfId="4" applyFont="1" applyBorder="1" applyAlignment="1">
      <alignment horizontal="right"/>
    </xf>
    <xf numFmtId="0" fontId="4" fillId="0" borderId="0" xfId="4" applyFont="1" applyAlignment="1">
      <alignment horizontal="right" wrapText="1"/>
    </xf>
    <xf numFmtId="0" fontId="10" fillId="4" borderId="2" xfId="4" applyFont="1" applyFill="1" applyBorder="1" applyAlignment="1">
      <alignment horizontal="right" wrapText="1"/>
    </xf>
    <xf numFmtId="0" fontId="10" fillId="0" borderId="0" xfId="0" quotePrefix="1" applyFont="1" applyAlignment="1">
      <alignment vertical="center"/>
    </xf>
    <xf numFmtId="3" fontId="36" fillId="0" borderId="0" xfId="0" applyNumberFormat="1" applyFont="1" applyAlignment="1">
      <alignment horizontal="right"/>
    </xf>
    <xf numFmtId="3" fontId="36" fillId="0" borderId="0" xfId="0" applyNumberFormat="1" applyFont="1"/>
    <xf numFmtId="4" fontId="34" fillId="4" borderId="2" xfId="4" applyNumberFormat="1" applyFont="1" applyFill="1" applyBorder="1" applyAlignment="1">
      <alignment horizontal="center" wrapText="1"/>
    </xf>
    <xf numFmtId="4" fontId="29" fillId="0" borderId="0" xfId="0" quotePrefix="1" applyNumberFormat="1" applyFont="1" applyAlignment="1">
      <alignment horizontal="right" vertical="center"/>
    </xf>
    <xf numFmtId="165" fontId="34" fillId="0" borderId="0" xfId="0" quotePrefix="1" applyNumberFormat="1" applyFont="1" applyAlignment="1">
      <alignment horizontal="right" vertical="center"/>
    </xf>
    <xf numFmtId="0" fontId="29" fillId="0" borderId="0" xfId="0" quotePrefix="1" applyFont="1" applyAlignment="1">
      <alignment horizontal="right" vertical="center"/>
    </xf>
    <xf numFmtId="3" fontId="13" fillId="0" borderId="0" xfId="0" quotePrefix="1" applyNumberFormat="1" applyFont="1" applyAlignment="1">
      <alignment vertical="center"/>
    </xf>
    <xf numFmtId="3" fontId="13" fillId="0" borderId="0" xfId="0" applyNumberFormat="1" applyFont="1" applyAlignment="1" applyProtection="1">
      <alignment vertical="center" wrapText="1"/>
      <protection locked="0"/>
    </xf>
    <xf numFmtId="0" fontId="4" fillId="0" borderId="0" xfId="0" applyFont="1" applyAlignment="1" applyProtection="1">
      <alignment horizontal="right" vertical="center" wrapText="1"/>
      <protection locked="0"/>
    </xf>
    <xf numFmtId="3" fontId="29" fillId="0" borderId="0" xfId="0" applyNumberFormat="1" applyFont="1" applyAlignment="1" applyProtection="1">
      <alignment horizontal="right" vertical="center" wrapText="1"/>
      <protection locked="0"/>
    </xf>
    <xf numFmtId="4" fontId="29" fillId="0" borderId="0" xfId="0" applyNumberFormat="1" applyFont="1" applyAlignment="1" applyProtection="1">
      <alignment horizontal="right" vertical="center" wrapText="1"/>
      <protection locked="0"/>
    </xf>
    <xf numFmtId="3" fontId="29" fillId="0" borderId="0" xfId="11" applyNumberFormat="1" applyFont="1" applyFill="1" applyBorder="1" applyAlignment="1">
      <alignment horizontal="right" vertical="center"/>
    </xf>
    <xf numFmtId="2" fontId="29" fillId="0" borderId="4" xfId="0" applyNumberFormat="1" applyFont="1" applyBorder="1" applyAlignment="1">
      <alignment horizontal="right"/>
    </xf>
    <xf numFmtId="2" fontId="37" fillId="0" borderId="0" xfId="0" quotePrefix="1" applyNumberFormat="1" applyFont="1" applyAlignment="1">
      <alignment horizontal="right" vertical="center"/>
    </xf>
    <xf numFmtId="2" fontId="4" fillId="0" borderId="0" xfId="0" applyNumberFormat="1" applyFont="1" applyAlignment="1">
      <alignment vertical="center"/>
    </xf>
    <xf numFmtId="4" fontId="4" fillId="0" borderId="0" xfId="0" applyNumberFormat="1" applyFont="1" applyAlignment="1">
      <alignment vertical="center"/>
    </xf>
    <xf numFmtId="0" fontId="19" fillId="0" borderId="6" xfId="0" applyFont="1" applyBorder="1" applyAlignment="1">
      <alignment horizontal="left" vertical="center" indent="2"/>
    </xf>
    <xf numFmtId="3" fontId="29" fillId="21" borderId="13" xfId="0" applyNumberFormat="1" applyFont="1" applyFill="1" applyBorder="1" applyAlignment="1">
      <alignment horizontal="center" vertical="center"/>
    </xf>
    <xf numFmtId="4" fontId="29" fillId="0" borderId="13" xfId="0" applyNumberFormat="1" applyFont="1" applyBorder="1" applyAlignment="1">
      <alignment horizontal="center"/>
    </xf>
    <xf numFmtId="4" fontId="13" fillId="4" borderId="2" xfId="4" applyNumberFormat="1" applyFont="1" applyFill="1" applyBorder="1" applyAlignment="1">
      <alignment horizontal="center" vertical="center" wrapText="1"/>
    </xf>
    <xf numFmtId="0" fontId="29" fillId="0" borderId="18" xfId="0" applyFont="1" applyBorder="1" applyAlignment="1">
      <alignment horizontal="right"/>
    </xf>
    <xf numFmtId="164" fontId="13" fillId="0" borderId="13" xfId="0" applyNumberFormat="1" applyFont="1" applyBorder="1" applyAlignment="1">
      <alignment horizontal="center" vertical="center"/>
    </xf>
    <xf numFmtId="164" fontId="13" fillId="0" borderId="13" xfId="0" applyNumberFormat="1" applyFont="1" applyBorder="1"/>
    <xf numFmtId="20" fontId="29" fillId="0" borderId="13" xfId="0" applyNumberFormat="1" applyFont="1" applyBorder="1" applyAlignment="1">
      <alignment horizontal="center"/>
    </xf>
    <xf numFmtId="0" fontId="13" fillId="4" borderId="10" xfId="4" applyFont="1" applyFill="1" applyBorder="1" applyAlignment="1">
      <alignment horizontal="right" vertical="center" wrapText="1"/>
    </xf>
    <xf numFmtId="3" fontId="13" fillId="0" borderId="17" xfId="0" applyNumberFormat="1" applyFont="1" applyBorder="1" applyAlignment="1">
      <alignment horizontal="center" vertical="center"/>
    </xf>
    <xf numFmtId="164" fontId="13" fillId="0" borderId="17" xfId="0" applyNumberFormat="1" applyFont="1" applyBorder="1" applyAlignment="1">
      <alignment horizontal="center" vertical="center"/>
    </xf>
    <xf numFmtId="4" fontId="10" fillId="0" borderId="0" xfId="4" applyNumberFormat="1" applyFont="1" applyAlignment="1">
      <alignment horizontal="right" wrapText="1"/>
    </xf>
    <xf numFmtId="3" fontId="19" fillId="0" borderId="18" xfId="0" applyNumberFormat="1" applyFont="1" applyBorder="1" applyAlignment="1">
      <alignment horizontal="right" vertical="center"/>
    </xf>
    <xf numFmtId="4" fontId="19" fillId="0" borderId="13" xfId="0" applyNumberFormat="1" applyFont="1" applyBorder="1" applyAlignment="1">
      <alignment horizontal="center" vertical="center"/>
    </xf>
    <xf numFmtId="4" fontId="19" fillId="0" borderId="0" xfId="0" applyNumberFormat="1" applyFont="1" applyAlignment="1">
      <alignment horizontal="center" vertical="center"/>
    </xf>
    <xf numFmtId="0" fontId="37" fillId="0" borderId="0" xfId="0" applyFont="1" applyAlignment="1">
      <alignment horizontal="left" vertical="top" wrapText="1"/>
    </xf>
    <xf numFmtId="4" fontId="19" fillId="0" borderId="0" xfId="0" applyNumberFormat="1" applyFont="1" applyAlignment="1">
      <alignment horizontal="center" vertical="center" wrapText="1"/>
    </xf>
    <xf numFmtId="4" fontId="19" fillId="0" borderId="4" xfId="0" applyNumberFormat="1" applyFont="1" applyBorder="1" applyAlignment="1">
      <alignment horizontal="center" vertical="center" wrapText="1"/>
    </xf>
    <xf numFmtId="2" fontId="12" fillId="0" borderId="0" xfId="0" applyNumberFormat="1" applyFont="1"/>
    <xf numFmtId="2" fontId="63" fillId="0" borderId="7" xfId="0" applyNumberFormat="1" applyFont="1" applyBorder="1"/>
    <xf numFmtId="180" fontId="37" fillId="0" borderId="7" xfId="0" applyNumberFormat="1" applyFont="1" applyBorder="1" applyAlignment="1">
      <alignment vertical="center"/>
    </xf>
    <xf numFmtId="180" fontId="37" fillId="0" borderId="6" xfId="0" applyNumberFormat="1" applyFont="1" applyBorder="1" applyAlignment="1">
      <alignment horizontal="right" vertical="center"/>
    </xf>
    <xf numFmtId="180" fontId="37" fillId="0" borderId="6" xfId="0" applyNumberFormat="1" applyFont="1" applyBorder="1" applyAlignment="1">
      <alignment vertical="center"/>
    </xf>
    <xf numFmtId="180" fontId="37" fillId="0" borderId="27" xfId="0" applyNumberFormat="1" applyFont="1" applyBorder="1" applyAlignment="1">
      <alignment vertical="center"/>
    </xf>
    <xf numFmtId="180" fontId="63" fillId="0" borderId="27" xfId="0" applyNumberFormat="1" applyFont="1" applyBorder="1" applyAlignment="1">
      <alignment horizontal="right"/>
    </xf>
    <xf numFmtId="3" fontId="63" fillId="0" borderId="3" xfId="0" applyNumberFormat="1" applyFont="1" applyBorder="1" applyAlignment="1">
      <alignment horizontal="right" vertical="center"/>
    </xf>
    <xf numFmtId="3" fontId="63" fillId="0" borderId="2" xfId="0" applyNumberFormat="1" applyFont="1" applyBorder="1" applyAlignment="1">
      <alignment horizontal="right" vertical="center"/>
    </xf>
    <xf numFmtId="3" fontId="63" fillId="0" borderId="7" xfId="0" applyNumberFormat="1" applyFont="1" applyBorder="1" applyAlignment="1">
      <alignment horizontal="right" vertical="center"/>
    </xf>
    <xf numFmtId="3" fontId="63" fillId="0" borderId="6" xfId="0" applyNumberFormat="1" applyFont="1" applyBorder="1" applyAlignment="1">
      <alignment horizontal="right" vertical="center"/>
    </xf>
    <xf numFmtId="3" fontId="63" fillId="0" borderId="27" xfId="0" applyNumberFormat="1" applyFont="1" applyBorder="1" applyAlignment="1">
      <alignment horizontal="right" vertical="center"/>
    </xf>
    <xf numFmtId="3" fontId="63" fillId="0" borderId="25" xfId="0" applyNumberFormat="1" applyFont="1" applyBorder="1" applyAlignment="1">
      <alignment horizontal="right" vertical="center"/>
    </xf>
    <xf numFmtId="3" fontId="63" fillId="0" borderId="26" xfId="0" applyNumberFormat="1" applyFont="1" applyBorder="1" applyAlignment="1">
      <alignment horizontal="right" vertical="center"/>
    </xf>
    <xf numFmtId="180" fontId="63" fillId="0" borderId="2" xfId="0" applyNumberFormat="1" applyFont="1" applyBorder="1" applyAlignment="1">
      <alignment horizontal="right"/>
    </xf>
    <xf numFmtId="180" fontId="37" fillId="0" borderId="3" xfId="0" applyNumberFormat="1" applyFont="1" applyBorder="1" applyAlignment="1">
      <alignment vertical="center"/>
    </xf>
    <xf numFmtId="180" fontId="37" fillId="0" borderId="25" xfId="0" applyNumberFormat="1" applyFont="1" applyBorder="1" applyAlignment="1">
      <alignment vertical="center"/>
    </xf>
    <xf numFmtId="180" fontId="37" fillId="0" borderId="16" xfId="0" applyNumberFormat="1" applyFont="1" applyBorder="1" applyAlignment="1">
      <alignment horizontal="right" vertical="center"/>
    </xf>
    <xf numFmtId="180" fontId="63" fillId="0" borderId="26" xfId="0" applyNumberFormat="1" applyFont="1" applyBorder="1" applyAlignment="1">
      <alignment horizontal="right"/>
    </xf>
    <xf numFmtId="0" fontId="66" fillId="0" borderId="27" xfId="4" applyFont="1" applyBorder="1" applyAlignment="1">
      <alignment horizontal="center" vertical="center"/>
    </xf>
    <xf numFmtId="0" fontId="0" fillId="0" borderId="21" xfId="0" applyBorder="1"/>
    <xf numFmtId="0" fontId="66" fillId="0" borderId="7" xfId="4" applyFont="1" applyBorder="1" applyAlignment="1">
      <alignment horizontal="center" vertical="center"/>
    </xf>
    <xf numFmtId="0" fontId="66" fillId="0" borderId="6" xfId="4" quotePrefix="1" applyFont="1" applyBorder="1" applyAlignment="1">
      <alignment horizontal="center" vertical="center"/>
    </xf>
    <xf numFmtId="0" fontId="66" fillId="0" borderId="6" xfId="4" applyFont="1" applyBorder="1" applyAlignment="1">
      <alignment horizontal="center" vertical="center"/>
    </xf>
    <xf numFmtId="0" fontId="0" fillId="0" borderId="7" xfId="0" applyBorder="1"/>
    <xf numFmtId="0" fontId="10" fillId="13" borderId="0" xfId="4" applyFont="1" applyFill="1" applyProtection="1">
      <protection locked="0"/>
    </xf>
    <xf numFmtId="180" fontId="37" fillId="0" borderId="2" xfId="0" applyNumberFormat="1" applyFont="1" applyBorder="1" applyAlignment="1">
      <alignment vertical="center"/>
    </xf>
    <xf numFmtId="0" fontId="0" fillId="0" borderId="25" xfId="0" applyBorder="1" applyAlignment="1">
      <alignment vertical="center"/>
    </xf>
    <xf numFmtId="0" fontId="0" fillId="0" borderId="3" xfId="0" applyBorder="1" applyAlignment="1">
      <alignment vertical="center"/>
    </xf>
    <xf numFmtId="0" fontId="0" fillId="0" borderId="7" xfId="0" applyBorder="1" applyAlignment="1">
      <alignment vertical="center"/>
    </xf>
    <xf numFmtId="0" fontId="0" fillId="0" borderId="6" xfId="0" applyBorder="1" applyAlignment="1">
      <alignment vertical="center"/>
    </xf>
    <xf numFmtId="0" fontId="0" fillId="0" borderId="26" xfId="0" applyBorder="1" applyAlignment="1">
      <alignment vertical="center"/>
    </xf>
    <xf numFmtId="0" fontId="0" fillId="0" borderId="2" xfId="0" applyBorder="1" applyAlignment="1">
      <alignment vertical="center"/>
    </xf>
    <xf numFmtId="0" fontId="0" fillId="0" borderId="27" xfId="0" applyBorder="1" applyAlignment="1">
      <alignment vertical="center"/>
    </xf>
    <xf numFmtId="0" fontId="4" fillId="0" borderId="0" xfId="4" applyFont="1" applyAlignment="1">
      <alignment horizontal="left" vertical="top"/>
    </xf>
    <xf numFmtId="0" fontId="32" fillId="0" borderId="0" xfId="0" applyFont="1" applyAlignment="1">
      <alignment horizontal="left" vertical="center" wrapText="1" indent="2"/>
    </xf>
    <xf numFmtId="2" fontId="5" fillId="0" borderId="0" xfId="0" applyNumberFormat="1" applyFont="1"/>
    <xf numFmtId="200" fontId="17" fillId="0" borderId="0" xfId="15" applyNumberFormat="1" applyFont="1" applyFill="1" applyBorder="1" applyAlignment="1">
      <alignment horizontal="left" vertical="center" wrapText="1" indent="2"/>
    </xf>
    <xf numFmtId="2" fontId="34" fillId="0" borderId="0" xfId="4" applyNumberFormat="1" applyFont="1" applyAlignment="1">
      <alignment horizontal="right" wrapText="1"/>
    </xf>
    <xf numFmtId="3" fontId="5" fillId="0" borderId="4" xfId="0" applyNumberFormat="1" applyFont="1" applyBorder="1" applyAlignment="1">
      <alignment horizontal="center" vertical="center"/>
    </xf>
    <xf numFmtId="2" fontId="63" fillId="0" borderId="25" xfId="0" applyNumberFormat="1" applyFont="1" applyBorder="1"/>
    <xf numFmtId="180" fontId="63" fillId="0" borderId="16" xfId="0" applyNumberFormat="1" applyFont="1" applyBorder="1"/>
    <xf numFmtId="180" fontId="63" fillId="0" borderId="25" xfId="0" applyNumberFormat="1" applyFont="1" applyBorder="1"/>
    <xf numFmtId="180" fontId="63" fillId="0" borderId="3" xfId="0" applyNumberFormat="1" applyFont="1" applyBorder="1"/>
    <xf numFmtId="180" fontId="63" fillId="0" borderId="7" xfId="0" applyNumberFormat="1" applyFont="1" applyBorder="1"/>
    <xf numFmtId="180" fontId="63" fillId="0" borderId="26" xfId="0" applyNumberFormat="1" applyFont="1" applyBorder="1"/>
    <xf numFmtId="180" fontId="63" fillId="0" borderId="2" xfId="0" applyNumberFormat="1" applyFont="1" applyBorder="1"/>
    <xf numFmtId="180" fontId="63" fillId="0" borderId="27" xfId="0" applyNumberFormat="1" applyFont="1" applyBorder="1"/>
    <xf numFmtId="0" fontId="0" fillId="13" borderId="0" xfId="0" applyFill="1"/>
    <xf numFmtId="0" fontId="15" fillId="13" borderId="0" xfId="0" applyFont="1" applyFill="1"/>
    <xf numFmtId="169" fontId="55" fillId="0" borderId="0" xfId="11" applyNumberFormat="1" applyFont="1" applyFill="1" applyBorder="1" applyAlignment="1">
      <alignment horizontal="right" vertical="center" wrapText="1"/>
    </xf>
    <xf numFmtId="166" fontId="29" fillId="0" borderId="4" xfId="0" applyNumberFormat="1" applyFont="1" applyBorder="1" applyAlignment="1">
      <alignment horizontal="right"/>
    </xf>
    <xf numFmtId="3" fontId="29" fillId="0" borderId="0" xfId="0" applyNumberFormat="1" applyFont="1"/>
    <xf numFmtId="171" fontId="13" fillId="0" borderId="0" xfId="11" applyFont="1" applyFill="1" applyBorder="1" applyAlignment="1">
      <alignment horizontal="right" vertical="center"/>
    </xf>
    <xf numFmtId="4" fontId="17" fillId="0" borderId="0" xfId="0" applyNumberFormat="1" applyFont="1" applyAlignment="1" applyProtection="1">
      <alignment horizontal="left" vertical="center" wrapText="1" indent="2"/>
      <protection locked="0"/>
    </xf>
    <xf numFmtId="4" fontId="13" fillId="0" borderId="0" xfId="0" applyNumberFormat="1" applyFont="1" applyAlignment="1" applyProtection="1">
      <alignment vertical="center" wrapText="1"/>
      <protection locked="0"/>
    </xf>
    <xf numFmtId="4" fontId="17" fillId="0" borderId="0" xfId="0" applyNumberFormat="1" applyFont="1" applyAlignment="1">
      <alignment horizontal="left" vertical="center" indent="2"/>
    </xf>
    <xf numFmtId="4" fontId="10" fillId="0" borderId="0" xfId="0" applyNumberFormat="1" applyFont="1" applyAlignment="1">
      <alignment horizontal="left" vertical="center"/>
    </xf>
    <xf numFmtId="4" fontId="10" fillId="0" borderId="0" xfId="0" applyNumberFormat="1" applyFont="1" applyAlignment="1">
      <alignment horizontal="left" vertical="center" wrapText="1"/>
    </xf>
    <xf numFmtId="4" fontId="17" fillId="0" borderId="4" xfId="0" applyNumberFormat="1" applyFont="1" applyBorder="1" applyAlignment="1" applyProtection="1">
      <alignment horizontal="left" vertical="center" wrapText="1" indent="1"/>
      <protection locked="0"/>
    </xf>
    <xf numFmtId="171" fontId="13" fillId="0" borderId="0" xfId="11" applyFont="1" applyFill="1" applyAlignment="1">
      <alignment horizontal="right" vertical="center"/>
    </xf>
    <xf numFmtId="2" fontId="29" fillId="0" borderId="0" xfId="0" applyNumberFormat="1" applyFont="1" applyAlignment="1">
      <alignment horizontal="right" vertical="center"/>
    </xf>
    <xf numFmtId="171" fontId="13" fillId="0" borderId="0" xfId="0" applyNumberFormat="1" applyFont="1" applyAlignment="1">
      <alignment horizontal="right" vertical="center"/>
    </xf>
    <xf numFmtId="8" fontId="19" fillId="0" borderId="0" xfId="4" applyNumberFormat="1" applyFont="1" applyAlignment="1">
      <alignment horizontal="right" vertical="center" wrapText="1"/>
    </xf>
    <xf numFmtId="4" fontId="19" fillId="0" borderId="0" xfId="4" applyNumberFormat="1" applyFont="1" applyAlignment="1">
      <alignment horizontal="right" vertical="center"/>
    </xf>
    <xf numFmtId="167" fontId="13" fillId="0" borderId="0" xfId="0" quotePrefix="1" applyNumberFormat="1" applyFont="1" applyAlignment="1">
      <alignment horizontal="right" vertical="center"/>
    </xf>
    <xf numFmtId="171" fontId="13" fillId="0" borderId="0" xfId="11" quotePrefix="1" applyFont="1" applyFill="1" applyAlignment="1">
      <alignment horizontal="right" vertical="center"/>
    </xf>
    <xf numFmtId="9" fontId="19" fillId="0" borderId="0" xfId="2" applyFont="1" applyFill="1" applyBorder="1" applyAlignment="1">
      <alignment horizontal="right" wrapText="1"/>
    </xf>
    <xf numFmtId="0" fontId="19" fillId="0" borderId="0" xfId="4" applyFont="1"/>
    <xf numFmtId="1" fontId="19" fillId="0" borderId="0" xfId="4" applyNumberFormat="1" applyFont="1" applyAlignment="1">
      <alignment horizontal="right" wrapText="1"/>
    </xf>
    <xf numFmtId="2" fontId="77" fillId="0" borderId="0" xfId="0" applyNumberFormat="1" applyFont="1" applyAlignment="1">
      <alignment horizontal="right"/>
    </xf>
    <xf numFmtId="4" fontId="63" fillId="0" borderId="34" xfId="0" applyNumberFormat="1" applyFont="1" applyBorder="1" applyAlignment="1">
      <alignment horizontal="right"/>
    </xf>
    <xf numFmtId="4" fontId="13" fillId="0" borderId="0" xfId="0" applyNumberFormat="1" applyFont="1" applyAlignment="1" applyProtection="1">
      <alignment horizontal="left" vertical="center" indent="2"/>
      <protection locked="0"/>
    </xf>
    <xf numFmtId="4" fontId="19" fillId="0" borderId="2" xfId="4" applyNumberFormat="1" applyFont="1" applyBorder="1" applyAlignment="1">
      <alignment horizontal="right" wrapText="1"/>
    </xf>
    <xf numFmtId="0" fontId="15" fillId="0" borderId="34" xfId="0" applyFont="1" applyBorder="1"/>
    <xf numFmtId="4" fontId="15" fillId="0" borderId="34" xfId="0" applyNumberFormat="1" applyFont="1" applyBorder="1" applyAlignment="1" applyProtection="1">
      <alignment horizontal="left" indent="2"/>
      <protection locked="0"/>
    </xf>
    <xf numFmtId="4" fontId="10" fillId="0" borderId="34" xfId="4" applyNumberFormat="1" applyFont="1" applyBorder="1" applyProtection="1">
      <protection locked="0"/>
    </xf>
    <xf numFmtId="4" fontId="13" fillId="0" borderId="34" xfId="0" applyNumberFormat="1" applyFont="1" applyBorder="1" applyAlignment="1" applyProtection="1">
      <alignment horizontal="left" vertical="center" indent="2"/>
      <protection locked="0"/>
    </xf>
    <xf numFmtId="4" fontId="13" fillId="0" borderId="34" xfId="0" applyNumberFormat="1" applyFont="1" applyBorder="1" applyAlignment="1" applyProtection="1">
      <alignment horizontal="left" vertical="center" wrapText="1" indent="2"/>
      <protection locked="0"/>
    </xf>
    <xf numFmtId="0" fontId="0" fillId="0" borderId="6" xfId="0" applyBorder="1"/>
    <xf numFmtId="1" fontId="63" fillId="0" borderId="6" xfId="0" applyNumberFormat="1" applyFont="1" applyBorder="1" applyAlignment="1">
      <alignment horizontal="right" vertical="center"/>
    </xf>
    <xf numFmtId="1" fontId="63" fillId="0" borderId="26" xfId="0" applyNumberFormat="1" applyFont="1" applyBorder="1" applyAlignment="1">
      <alignment horizontal="right"/>
    </xf>
    <xf numFmtId="1" fontId="63" fillId="0" borderId="2" xfId="0" applyNumberFormat="1" applyFont="1" applyBorder="1" applyAlignment="1">
      <alignment horizontal="right"/>
    </xf>
    <xf numFmtId="1" fontId="63" fillId="0" borderId="27" xfId="0" applyNumberFormat="1" applyFont="1" applyBorder="1" applyAlignment="1">
      <alignment horizontal="right"/>
    </xf>
    <xf numFmtId="185" fontId="63" fillId="0" borderId="0" xfId="0" applyNumberFormat="1" applyFont="1" applyAlignment="1">
      <alignment horizontal="right"/>
    </xf>
    <xf numFmtId="185" fontId="63" fillId="0" borderId="26" xfId="0" applyNumberFormat="1" applyFont="1" applyBorder="1" applyAlignment="1">
      <alignment horizontal="right"/>
    </xf>
    <xf numFmtId="185" fontId="63" fillId="0" borderId="2" xfId="0" applyNumberFormat="1" applyFont="1" applyBorder="1" applyAlignment="1">
      <alignment horizontal="right"/>
    </xf>
    <xf numFmtId="0" fontId="3" fillId="0" borderId="0" xfId="0" applyFont="1" applyAlignment="1">
      <alignment horizontal="left" vertical="top"/>
    </xf>
    <xf numFmtId="0" fontId="8" fillId="0" borderId="30" xfId="0" applyFont="1" applyBorder="1" applyAlignment="1">
      <alignment horizontal="left"/>
    </xf>
    <xf numFmtId="43" fontId="16" fillId="0" borderId="0" xfId="1" applyFont="1" applyAlignment="1" applyProtection="1">
      <alignment vertical="center" wrapText="1"/>
      <protection locked="0"/>
    </xf>
    <xf numFmtId="164" fontId="63" fillId="0" borderId="0" xfId="0" applyNumberFormat="1" applyFont="1" applyAlignment="1">
      <alignment horizontal="right"/>
    </xf>
    <xf numFmtId="4" fontId="7" fillId="0" borderId="0" xfId="0" applyNumberFormat="1" applyFont="1"/>
    <xf numFmtId="171" fontId="13" fillId="0" borderId="0" xfId="1" applyNumberFormat="1" applyFont="1" applyFill="1" applyBorder="1" applyAlignment="1">
      <alignment horizontal="right" wrapText="1"/>
    </xf>
    <xf numFmtId="0" fontId="122" fillId="0" borderId="0" xfId="4" applyFont="1" applyAlignment="1">
      <alignment horizontal="left" vertical="top"/>
    </xf>
    <xf numFmtId="0" fontId="30" fillId="0" borderId="0" xfId="0" applyFont="1" applyAlignment="1">
      <alignment horizontal="right"/>
    </xf>
    <xf numFmtId="43" fontId="5" fillId="0" borderId="0" xfId="1" applyFont="1" applyAlignment="1">
      <alignment horizontal="right" vertical="center"/>
    </xf>
    <xf numFmtId="43" fontId="13" fillId="0" borderId="0" xfId="1" quotePrefix="1" applyFont="1" applyFill="1" applyBorder="1" applyAlignment="1">
      <alignment horizontal="right" vertical="center"/>
    </xf>
    <xf numFmtId="43" fontId="19" fillId="0" borderId="0" xfId="1" applyFont="1" applyAlignment="1">
      <alignment horizontal="right" wrapText="1"/>
    </xf>
    <xf numFmtId="43" fontId="19" fillId="0" borderId="0" xfId="1" quotePrefix="1" applyFont="1" applyAlignment="1">
      <alignment horizontal="right" vertical="center"/>
    </xf>
    <xf numFmtId="0" fontId="13" fillId="0" borderId="7" xfId="0" applyFont="1" applyBorder="1" applyAlignment="1">
      <alignment horizontal="left" indent="2"/>
    </xf>
    <xf numFmtId="0" fontId="13" fillId="0" borderId="33" xfId="0" applyFont="1" applyBorder="1" applyAlignment="1">
      <alignment horizontal="left" vertical="center" indent="2"/>
    </xf>
    <xf numFmtId="0" fontId="6" fillId="0" borderId="0" xfId="14" applyAlignment="1">
      <alignment horizontal="left" vertical="center"/>
    </xf>
    <xf numFmtId="37" fontId="55" fillId="0" borderId="0" xfId="14" quotePrefix="1" applyNumberFormat="1" applyFont="1" applyAlignment="1">
      <alignment horizontal="right"/>
    </xf>
    <xf numFmtId="37" fontId="55" fillId="0" borderId="0" xfId="14" applyNumberFormat="1" applyFont="1" applyAlignment="1">
      <alignment horizontal="right"/>
    </xf>
    <xf numFmtId="0" fontId="55" fillId="0" borderId="0" xfId="14" applyFont="1" applyAlignment="1">
      <alignment horizontal="left" vertical="center"/>
    </xf>
    <xf numFmtId="0" fontId="17" fillId="0" borderId="0" xfId="14" applyFont="1" applyAlignment="1">
      <alignment horizontal="left" vertical="center"/>
    </xf>
    <xf numFmtId="0" fontId="115" fillId="0" borderId="0" xfId="14" applyFont="1" applyAlignment="1">
      <alignment horizontal="left" vertical="center" indent="1"/>
    </xf>
    <xf numFmtId="37" fontId="13" fillId="0" borderId="0" xfId="14" applyNumberFormat="1" applyFont="1" applyAlignment="1">
      <alignment horizontal="right"/>
    </xf>
    <xf numFmtId="37" fontId="55" fillId="0" borderId="0" xfId="14" quotePrefix="1" applyNumberFormat="1" applyFont="1"/>
    <xf numFmtId="0" fontId="6" fillId="0" borderId="0" xfId="0" applyFont="1"/>
    <xf numFmtId="39" fontId="55" fillId="0" borderId="0" xfId="14" quotePrefix="1" applyNumberFormat="1" applyFont="1"/>
    <xf numFmtId="39" fontId="55" fillId="0" borderId="0" xfId="14" applyNumberFormat="1" applyFont="1"/>
    <xf numFmtId="39" fontId="6" fillId="0" borderId="0" xfId="0" applyNumberFormat="1" applyFont="1"/>
    <xf numFmtId="39" fontId="55" fillId="0" borderId="0" xfId="14" applyNumberFormat="1" applyFont="1" applyAlignment="1">
      <alignment horizontal="right"/>
    </xf>
    <xf numFmtId="39" fontId="13" fillId="0" borderId="0" xfId="14" applyNumberFormat="1" applyFont="1" applyAlignment="1">
      <alignment horizontal="right"/>
    </xf>
    <xf numFmtId="39" fontId="55" fillId="0" borderId="0" xfId="17" applyNumberFormat="1" applyFont="1" applyFill="1" applyBorder="1" applyAlignment="1">
      <alignment wrapText="1"/>
    </xf>
    <xf numFmtId="39" fontId="55" fillId="0" borderId="0" xfId="14" quotePrefix="1" applyNumberFormat="1" applyFont="1" applyAlignment="1">
      <alignment horizontal="right"/>
    </xf>
    <xf numFmtId="0" fontId="17" fillId="0" borderId="0" xfId="0" applyFont="1" applyAlignment="1" applyProtection="1">
      <alignment horizontal="left" indent="1"/>
      <protection locked="0"/>
    </xf>
    <xf numFmtId="185" fontId="63" fillId="0" borderId="6" xfId="0" applyNumberFormat="1" applyFont="1" applyBorder="1" applyAlignment="1">
      <alignment horizontal="right"/>
    </xf>
    <xf numFmtId="185" fontId="63" fillId="0" borderId="27" xfId="0" applyNumberFormat="1" applyFont="1" applyBorder="1" applyAlignment="1">
      <alignment horizontal="right"/>
    </xf>
    <xf numFmtId="4" fontId="15" fillId="0" borderId="26" xfId="0" applyNumberFormat="1" applyFont="1" applyBorder="1" applyAlignment="1">
      <alignment horizontal="left"/>
    </xf>
    <xf numFmtId="0" fontId="12" fillId="0" borderId="16" xfId="0" applyFont="1" applyBorder="1" applyAlignment="1">
      <alignment horizontal="left" vertical="center" wrapText="1" indent="2"/>
    </xf>
    <xf numFmtId="0" fontId="81" fillId="0" borderId="0" xfId="0" applyFont="1" applyAlignment="1" applyProtection="1">
      <alignment horizontal="left" vertical="center" wrapText="1"/>
      <protection locked="0"/>
    </xf>
    <xf numFmtId="0" fontId="15" fillId="0" borderId="34" xfId="0" applyFont="1" applyBorder="1" applyAlignment="1" applyProtection="1">
      <alignment horizontal="left" wrapText="1" indent="2"/>
      <protection locked="0"/>
    </xf>
    <xf numFmtId="0" fontId="15" fillId="0" borderId="34" xfId="0" applyFont="1" applyBorder="1" applyAlignment="1" applyProtection="1">
      <alignment horizontal="left" indent="2"/>
      <protection locked="0"/>
    </xf>
    <xf numFmtId="0" fontId="10" fillId="0" borderId="34" xfId="4" applyFont="1" applyBorder="1" applyProtection="1">
      <protection locked="0"/>
    </xf>
    <xf numFmtId="0" fontId="10" fillId="0" borderId="34" xfId="4" applyFont="1" applyBorder="1" applyAlignment="1" applyProtection="1">
      <alignment horizontal="left"/>
      <protection locked="0"/>
    </xf>
    <xf numFmtId="0" fontId="15" fillId="0" borderId="34" xfId="0" applyFont="1" applyBorder="1" applyAlignment="1" applyProtection="1">
      <alignment horizontal="left" vertical="center" wrapText="1" indent="2"/>
      <protection locked="0"/>
    </xf>
    <xf numFmtId="0" fontId="15" fillId="0" borderId="34" xfId="0" applyFont="1" applyBorder="1" applyAlignment="1" applyProtection="1">
      <alignment horizontal="left" vertical="center" indent="2"/>
      <protection locked="0"/>
    </xf>
    <xf numFmtId="0" fontId="13" fillId="0" borderId="34" xfId="0" applyFont="1" applyBorder="1" applyAlignment="1" applyProtection="1">
      <alignment horizontal="left" vertical="center" indent="2"/>
      <protection locked="0"/>
    </xf>
    <xf numFmtId="0" fontId="13" fillId="0" borderId="34" xfId="0" applyFont="1" applyBorder="1" applyAlignment="1">
      <alignment horizontal="left" vertical="center" indent="2"/>
    </xf>
    <xf numFmtId="4" fontId="63" fillId="0" borderId="34" xfId="0" applyNumberFormat="1" applyFont="1" applyBorder="1" applyAlignment="1">
      <alignment horizontal="right" vertical="center"/>
    </xf>
    <xf numFmtId="4" fontId="4" fillId="0" borderId="34" xfId="0" applyNumberFormat="1" applyFont="1" applyBorder="1" applyAlignment="1">
      <alignment horizontal="right" vertical="center"/>
    </xf>
    <xf numFmtId="0" fontId="63" fillId="0" borderId="34" xfId="0" applyFont="1" applyBorder="1" applyAlignment="1" applyProtection="1">
      <alignment horizontal="right"/>
      <protection locked="0"/>
    </xf>
    <xf numFmtId="4" fontId="4" fillId="0" borderId="34" xfId="0" applyNumberFormat="1" applyFont="1" applyBorder="1" applyAlignment="1">
      <alignment horizontal="right"/>
    </xf>
    <xf numFmtId="4" fontId="63" fillId="0" borderId="34" xfId="0" applyNumberFormat="1" applyFont="1" applyBorder="1" applyAlignment="1" applyProtection="1">
      <alignment horizontal="right"/>
      <protection locked="0"/>
    </xf>
    <xf numFmtId="0" fontId="66" fillId="0" borderId="34" xfId="4" quotePrefix="1" applyFont="1" applyBorder="1" applyAlignment="1">
      <alignment horizontal="center" vertical="center"/>
    </xf>
    <xf numFmtId="1" fontId="63" fillId="0" borderId="34" xfId="0" applyNumberFormat="1" applyFont="1" applyBorder="1" applyAlignment="1">
      <alignment horizontal="right"/>
    </xf>
    <xf numFmtId="3" fontId="63" fillId="0" borderId="34" xfId="0" applyNumberFormat="1" applyFont="1" applyBorder="1" applyAlignment="1">
      <alignment horizontal="right" vertical="center"/>
    </xf>
    <xf numFmtId="0" fontId="63" fillId="0" borderId="34" xfId="0" applyFont="1" applyBorder="1" applyAlignment="1">
      <alignment horizontal="right"/>
    </xf>
    <xf numFmtId="1" fontId="4" fillId="0" borderId="34" xfId="0" applyNumberFormat="1" applyFont="1" applyBorder="1" applyAlignment="1">
      <alignment horizontal="right" vertical="center"/>
    </xf>
    <xf numFmtId="165" fontId="4" fillId="0" borderId="34" xfId="0" applyNumberFormat="1" applyFont="1" applyBorder="1" applyAlignment="1">
      <alignment horizontal="right" vertical="center"/>
    </xf>
    <xf numFmtId="1" fontId="63" fillId="0" borderId="34" xfId="0" applyNumberFormat="1" applyFont="1" applyBorder="1" applyAlignment="1" applyProtection="1">
      <alignment horizontal="right" vertical="center"/>
      <protection locked="0"/>
    </xf>
    <xf numFmtId="0" fontId="13" fillId="0" borderId="34" xfId="0" applyFont="1" applyBorder="1" applyAlignment="1" applyProtection="1">
      <alignment horizontal="left" vertical="center" wrapText="1" indent="2"/>
      <protection locked="0"/>
    </xf>
    <xf numFmtId="2" fontId="63" fillId="0" borderId="2" xfId="0" applyNumberFormat="1" applyFont="1" applyBorder="1" applyAlignment="1" applyProtection="1">
      <alignment horizontal="right"/>
      <protection locked="0"/>
    </xf>
    <xf numFmtId="0" fontId="13" fillId="0" borderId="26" xfId="0" applyFont="1" applyBorder="1" applyAlignment="1" applyProtection="1">
      <alignment horizontal="left" vertical="center" wrapText="1" indent="2"/>
      <protection locked="0"/>
    </xf>
    <xf numFmtId="0" fontId="15" fillId="0" borderId="26" xfId="0" applyFont="1" applyBorder="1" applyAlignment="1" applyProtection="1">
      <alignment horizontal="left" wrapText="1" indent="2"/>
      <protection locked="0"/>
    </xf>
    <xf numFmtId="3" fontId="63" fillId="0" borderId="34" xfId="0" applyNumberFormat="1" applyFont="1" applyBorder="1" applyAlignment="1">
      <alignment horizontal="right"/>
    </xf>
    <xf numFmtId="3" fontId="4" fillId="0" borderId="34" xfId="0" applyNumberFormat="1" applyFont="1" applyBorder="1" applyAlignment="1">
      <alignment horizontal="right" vertical="center"/>
    </xf>
    <xf numFmtId="3" fontId="4" fillId="0" borderId="34" xfId="4" applyNumberFormat="1" applyFont="1" applyBorder="1" applyAlignment="1">
      <alignment horizontal="right"/>
    </xf>
    <xf numFmtId="4" fontId="4" fillId="0" borderId="34" xfId="4" applyNumberFormat="1" applyFont="1" applyBorder="1" applyAlignment="1">
      <alignment horizontal="right"/>
    </xf>
    <xf numFmtId="197" fontId="4" fillId="0" borderId="0" xfId="0" applyNumberFormat="1" applyFont="1" applyAlignment="1" applyProtection="1">
      <alignment horizontal="center" vertical="center" wrapText="1"/>
      <protection locked="0"/>
    </xf>
    <xf numFmtId="197" fontId="4" fillId="0" borderId="0" xfId="0" applyNumberFormat="1" applyFont="1" applyAlignment="1">
      <alignment horizontal="center" vertical="center" wrapText="1"/>
    </xf>
    <xf numFmtId="0" fontId="63" fillId="0" borderId="3" xfId="0" applyFont="1" applyBorder="1" applyProtection="1">
      <protection locked="0"/>
    </xf>
    <xf numFmtId="0" fontId="4" fillId="0" borderId="3" xfId="4" applyFont="1" applyBorder="1" applyAlignment="1" applyProtection="1">
      <alignment vertical="center" wrapText="1"/>
      <protection locked="0"/>
    </xf>
    <xf numFmtId="180" fontId="63" fillId="0" borderId="0" xfId="0" applyNumberFormat="1" applyFont="1" applyAlignment="1">
      <alignment horizontal="right"/>
    </xf>
    <xf numFmtId="180" fontId="63" fillId="0" borderId="6" xfId="0" applyNumberFormat="1" applyFont="1" applyBorder="1" applyAlignment="1">
      <alignment horizontal="right"/>
    </xf>
    <xf numFmtId="180" fontId="63" fillId="0" borderId="6" xfId="0" applyNumberFormat="1" applyFont="1" applyBorder="1" applyAlignment="1">
      <alignment horizontal="right" wrapText="1"/>
    </xf>
    <xf numFmtId="0" fontId="15" fillId="0" borderId="9" xfId="0" applyFont="1" applyBorder="1" applyAlignment="1" applyProtection="1">
      <alignment horizontal="left" vertical="center"/>
      <protection locked="0"/>
    </xf>
    <xf numFmtId="0" fontId="13" fillId="0" borderId="9" xfId="4" applyFont="1" applyBorder="1" applyAlignment="1" applyProtection="1">
      <alignment horizontal="left" vertical="center"/>
      <protection locked="0"/>
    </xf>
    <xf numFmtId="0" fontId="13" fillId="0" borderId="9" xfId="4" applyFont="1" applyBorder="1" applyAlignment="1" applyProtection="1">
      <alignment horizontal="left"/>
      <protection locked="0"/>
    </xf>
    <xf numFmtId="185" fontId="63" fillId="0" borderId="9" xfId="0" applyNumberFormat="1" applyFont="1" applyBorder="1" applyAlignment="1">
      <alignment horizontal="left" wrapText="1"/>
    </xf>
    <xf numFmtId="185" fontId="63" fillId="0" borderId="9" xfId="0" applyNumberFormat="1" applyFont="1" applyBorder="1" applyAlignment="1">
      <alignment horizontal="left"/>
    </xf>
    <xf numFmtId="0" fontId="13" fillId="0" borderId="9" xfId="0" applyFont="1" applyBorder="1" applyAlignment="1" applyProtection="1">
      <alignment horizontal="left" vertical="center" wrapText="1"/>
      <protection locked="0"/>
    </xf>
    <xf numFmtId="0" fontId="13" fillId="0" borderId="9" xfId="10" applyFont="1" applyBorder="1" applyAlignment="1">
      <alignment horizontal="left" vertical="center"/>
    </xf>
    <xf numFmtId="180" fontId="63" fillId="0" borderId="9" xfId="0" applyNumberFormat="1" applyFont="1" applyBorder="1" applyAlignment="1">
      <alignment horizontal="left"/>
    </xf>
    <xf numFmtId="0" fontId="15" fillId="0" borderId="9" xfId="0" applyFont="1" applyBorder="1" applyAlignment="1" applyProtection="1">
      <alignment horizontal="left"/>
      <protection locked="0"/>
    </xf>
    <xf numFmtId="180" fontId="63" fillId="0" borderId="9" xfId="0" applyNumberFormat="1" applyFont="1" applyBorder="1" applyAlignment="1">
      <alignment horizontal="left" wrapText="1"/>
    </xf>
    <xf numFmtId="3" fontId="13" fillId="0" borderId="9" xfId="5" applyNumberFormat="1" applyFont="1" applyBorder="1" applyAlignment="1" applyProtection="1">
      <alignment horizontal="left" vertical="center" wrapText="1"/>
      <protection locked="0"/>
    </xf>
    <xf numFmtId="0" fontId="15" fillId="0" borderId="9" xfId="0" applyFont="1" applyBorder="1" applyAlignment="1" applyProtection="1">
      <alignment horizontal="left" vertical="center" wrapText="1"/>
      <protection locked="0"/>
    </xf>
    <xf numFmtId="180" fontId="63" fillId="0" borderId="29" xfId="0" applyNumberFormat="1" applyFont="1" applyBorder="1" applyAlignment="1">
      <alignment horizontal="left"/>
    </xf>
    <xf numFmtId="3" fontId="4" fillId="0" borderId="0" xfId="5" applyNumberFormat="1" applyFont="1" applyAlignment="1" applyProtection="1">
      <alignment horizontal="right" vertical="center" wrapText="1"/>
      <protection locked="0"/>
    </xf>
    <xf numFmtId="49" fontId="4" fillId="0" borderId="6" xfId="19" applyNumberFormat="1" applyFont="1" applyFill="1" applyBorder="1" applyAlignment="1" applyProtection="1">
      <alignment horizontal="right" vertical="center" wrapText="1"/>
      <protection locked="0"/>
    </xf>
    <xf numFmtId="3" fontId="4" fillId="0" borderId="6" xfId="5" applyNumberFormat="1" applyFont="1" applyBorder="1" applyAlignment="1" applyProtection="1">
      <alignment horizontal="right" vertical="center" wrapText="1"/>
      <protection locked="0"/>
    </xf>
    <xf numFmtId="0" fontId="15" fillId="0" borderId="6" xfId="0" applyFont="1" applyBorder="1" applyAlignment="1">
      <alignment horizontal="right"/>
    </xf>
    <xf numFmtId="20" fontId="63" fillId="0" borderId="0" xfId="0" applyNumberFormat="1" applyFont="1" applyAlignment="1" applyProtection="1">
      <alignment horizontal="right" vertical="center"/>
      <protection locked="0"/>
    </xf>
    <xf numFmtId="20" fontId="14" fillId="0" borderId="0" xfId="0" applyNumberFormat="1" applyFont="1" applyAlignment="1" applyProtection="1">
      <alignment horizontal="right" vertical="center"/>
      <protection locked="0"/>
    </xf>
    <xf numFmtId="0" fontId="70" fillId="0" borderId="6" xfId="0" applyFont="1" applyBorder="1" applyAlignment="1" applyProtection="1">
      <alignment horizontal="right"/>
      <protection locked="0"/>
    </xf>
    <xf numFmtId="3" fontId="63" fillId="0" borderId="27" xfId="0" applyNumberFormat="1" applyFont="1" applyBorder="1" applyAlignment="1">
      <alignment horizontal="right" vertical="center" wrapText="1"/>
    </xf>
    <xf numFmtId="3" fontId="63" fillId="0" borderId="0" xfId="0" applyNumberFormat="1" applyFont="1" applyAlignment="1">
      <alignment horizontal="right" vertical="center" wrapText="1"/>
    </xf>
    <xf numFmtId="0" fontId="15" fillId="0" borderId="16" xfId="0" applyFont="1" applyBorder="1" applyAlignment="1" applyProtection="1">
      <alignment horizontal="left"/>
      <protection locked="0"/>
    </xf>
    <xf numFmtId="0" fontId="15" fillId="0" borderId="16" xfId="0" applyFont="1" applyBorder="1" applyAlignment="1" applyProtection="1">
      <alignment horizontal="left" vertical="center"/>
      <protection locked="0"/>
    </xf>
    <xf numFmtId="3" fontId="63" fillId="0" borderId="16" xfId="0" applyNumberFormat="1" applyFont="1" applyBorder="1" applyAlignment="1">
      <alignment horizontal="left" vertical="center"/>
    </xf>
    <xf numFmtId="0" fontId="15" fillId="0" borderId="16" xfId="0" applyFont="1" applyBorder="1" applyAlignment="1" applyProtection="1">
      <alignment horizontal="left" wrapText="1"/>
      <protection locked="0"/>
    </xf>
    <xf numFmtId="0" fontId="13" fillId="0" borderId="16" xfId="0" applyFont="1" applyBorder="1" applyAlignment="1">
      <alignment horizontal="left" vertical="center"/>
    </xf>
    <xf numFmtId="0" fontId="14" fillId="0" borderId="16" xfId="0" applyFont="1" applyBorder="1" applyAlignment="1" applyProtection="1">
      <alignment horizontal="left"/>
      <protection locked="0"/>
    </xf>
    <xf numFmtId="0" fontId="19" fillId="0" borderId="16" xfId="4" applyFont="1" applyBorder="1" applyAlignment="1" applyProtection="1">
      <alignment horizontal="left"/>
      <protection locked="0"/>
    </xf>
    <xf numFmtId="3" fontId="63" fillId="0" borderId="16" xfId="0" applyNumberFormat="1" applyFont="1" applyBorder="1" applyAlignment="1">
      <alignment horizontal="left" vertical="center" wrapText="1"/>
    </xf>
    <xf numFmtId="3" fontId="63" fillId="0" borderId="26" xfId="0" applyNumberFormat="1" applyFont="1" applyBorder="1" applyAlignment="1">
      <alignment horizontal="left" vertical="center"/>
    </xf>
    <xf numFmtId="0" fontId="7" fillId="0" borderId="16" xfId="0" applyFont="1" applyBorder="1" applyAlignment="1">
      <alignment horizontal="left" wrapText="1"/>
    </xf>
    <xf numFmtId="0" fontId="15" fillId="0" borderId="16" xfId="0" applyFont="1" applyBorder="1" applyAlignment="1" applyProtection="1">
      <alignment horizontal="left" vertical="center" wrapText="1"/>
      <protection locked="0"/>
    </xf>
    <xf numFmtId="3" fontId="63" fillId="0" borderId="16" xfId="0" applyNumberFormat="1" applyFont="1" applyBorder="1" applyAlignment="1">
      <alignment horizontal="right" vertical="center" wrapText="1"/>
    </xf>
    <xf numFmtId="3" fontId="63" fillId="0" borderId="2" xfId="0" applyNumberFormat="1" applyFont="1" applyBorder="1" applyAlignment="1">
      <alignment horizontal="right" vertical="center" wrapText="1"/>
    </xf>
    <xf numFmtId="0" fontId="13" fillId="0" borderId="16" xfId="0" applyFont="1" applyBorder="1" applyAlignment="1" applyProtection="1">
      <alignment horizontal="left" vertical="center" wrapText="1"/>
      <protection locked="0"/>
    </xf>
    <xf numFmtId="0" fontId="13" fillId="0" borderId="16" xfId="4" applyFont="1" applyBorder="1" applyAlignment="1" applyProtection="1">
      <alignment horizontal="left" vertical="center" wrapText="1"/>
      <protection locked="0"/>
    </xf>
    <xf numFmtId="0" fontId="10" fillId="0" borderId="25" xfId="4" applyFont="1" applyBorder="1" applyAlignment="1" applyProtection="1">
      <alignment horizontal="left" vertical="center" wrapText="1"/>
      <protection locked="0"/>
    </xf>
    <xf numFmtId="0" fontId="10" fillId="0" borderId="16" xfId="4" applyFont="1" applyBorder="1" applyAlignment="1" applyProtection="1">
      <alignment horizontal="left" vertical="center" wrapText="1"/>
      <protection locked="0"/>
    </xf>
    <xf numFmtId="3" fontId="63" fillId="0" borderId="26" xfId="0" applyNumberFormat="1" applyFont="1" applyBorder="1" applyAlignment="1">
      <alignment horizontal="left" vertical="center" wrapText="1"/>
    </xf>
    <xf numFmtId="0" fontId="63" fillId="0" borderId="25" xfId="0" applyFont="1" applyBorder="1" applyAlignment="1" applyProtection="1">
      <alignment horizontal="center" wrapText="1"/>
      <protection locked="0"/>
    </xf>
    <xf numFmtId="0" fontId="63" fillId="0" borderId="3" xfId="0" applyFont="1" applyBorder="1" applyAlignment="1" applyProtection="1">
      <alignment horizontal="center" wrapText="1"/>
      <protection locked="0"/>
    </xf>
    <xf numFmtId="0" fontId="63" fillId="0" borderId="7" xfId="0" applyFont="1" applyBorder="1" applyAlignment="1" applyProtection="1">
      <alignment horizontal="center" wrapText="1"/>
      <protection locked="0"/>
    </xf>
    <xf numFmtId="0" fontId="15" fillId="0" borderId="0" xfId="0" applyFont="1" applyAlignment="1">
      <alignment wrapText="1"/>
    </xf>
    <xf numFmtId="3" fontId="63" fillId="0" borderId="6" xfId="0" applyNumberFormat="1" applyFont="1" applyBorder="1" applyAlignment="1">
      <alignment horizontal="right" vertical="center" wrapText="1"/>
    </xf>
    <xf numFmtId="197" fontId="63" fillId="0" borderId="0" xfId="0" applyNumberFormat="1" applyFont="1" applyAlignment="1">
      <alignment horizontal="right" vertical="center" wrapText="1"/>
    </xf>
    <xf numFmtId="0" fontId="66" fillId="0" borderId="6" xfId="4" applyFont="1" applyBorder="1" applyAlignment="1" applyProtection="1">
      <alignment horizontal="center" wrapText="1"/>
      <protection locked="0"/>
    </xf>
    <xf numFmtId="0" fontId="0" fillId="0" borderId="0" xfId="0" applyAlignment="1" applyProtection="1">
      <alignment wrapText="1"/>
      <protection locked="0"/>
    </xf>
    <xf numFmtId="3" fontId="63" fillId="0" borderId="26" xfId="0" applyNumberFormat="1" applyFont="1" applyBorder="1" applyAlignment="1">
      <alignment horizontal="right" vertical="center" wrapText="1"/>
    </xf>
    <xf numFmtId="197" fontId="63" fillId="0" borderId="0" xfId="0" applyNumberFormat="1" applyFont="1" applyAlignment="1" applyProtection="1">
      <alignment horizontal="center" wrapText="1"/>
      <protection locked="0"/>
    </xf>
    <xf numFmtId="197" fontId="4" fillId="0" borderId="0" xfId="0" applyNumberFormat="1" applyFont="1" applyAlignment="1" applyProtection="1">
      <alignment horizontal="center" wrapText="1"/>
      <protection locked="0"/>
    </xf>
    <xf numFmtId="197" fontId="4" fillId="0" borderId="0" xfId="0" quotePrefix="1" applyNumberFormat="1" applyFont="1" applyAlignment="1" applyProtection="1">
      <alignment horizontal="center" vertical="center" wrapText="1"/>
      <protection locked="0"/>
    </xf>
    <xf numFmtId="197" fontId="63" fillId="0" borderId="0" xfId="0" applyNumberFormat="1" applyFont="1" applyAlignment="1" applyProtection="1">
      <alignment horizontal="center" vertical="center" wrapText="1"/>
      <protection locked="0"/>
    </xf>
    <xf numFmtId="197" fontId="66" fillId="0" borderId="0" xfId="4" applyNumberFormat="1" applyFont="1" applyAlignment="1" applyProtection="1">
      <alignment horizontal="center" wrapText="1"/>
      <protection locked="0"/>
    </xf>
    <xf numFmtId="197" fontId="63" fillId="0" borderId="2" xfId="0" applyNumberFormat="1" applyFont="1" applyBorder="1" applyAlignment="1">
      <alignment horizontal="right" vertical="center" wrapText="1"/>
    </xf>
    <xf numFmtId="180" fontId="37" fillId="0" borderId="0" xfId="0" applyNumberFormat="1" applyFont="1" applyAlignment="1">
      <alignment vertical="center"/>
    </xf>
    <xf numFmtId="180" fontId="37" fillId="0" borderId="0" xfId="0" applyNumberFormat="1" applyFont="1" applyAlignment="1">
      <alignment horizontal="right" vertical="center"/>
    </xf>
    <xf numFmtId="169" fontId="63" fillId="0" borderId="34" xfId="0" applyNumberFormat="1" applyFont="1" applyBorder="1" applyAlignment="1">
      <alignment horizontal="right"/>
    </xf>
    <xf numFmtId="180" fontId="72" fillId="0" borderId="16" xfId="0" applyNumberFormat="1" applyFont="1" applyBorder="1"/>
    <xf numFmtId="180" fontId="72" fillId="0" borderId="0" xfId="0" applyNumberFormat="1" applyFont="1"/>
    <xf numFmtId="49" fontId="4" fillId="0" borderId="0" xfId="18" applyNumberFormat="1" applyFont="1" applyFill="1" applyBorder="1" applyAlignment="1" applyProtection="1">
      <alignment horizontal="center" vertical="center" wrapText="1"/>
      <protection locked="0"/>
    </xf>
    <xf numFmtId="169" fontId="63" fillId="0" borderId="2" xfId="0" applyNumberFormat="1" applyFont="1" applyBorder="1" applyAlignment="1">
      <alignment horizontal="right" wrapText="1"/>
    </xf>
    <xf numFmtId="197" fontId="4" fillId="0" borderId="0" xfId="10" applyNumberFormat="1" applyFont="1" applyAlignment="1" applyProtection="1">
      <alignment horizontal="center" vertical="center" wrapText="1"/>
      <protection locked="0"/>
    </xf>
    <xf numFmtId="178" fontId="4" fillId="0" borderId="0" xfId="10" applyNumberFormat="1" applyFont="1" applyAlignment="1" applyProtection="1">
      <alignment horizontal="center" vertical="center" wrapText="1"/>
      <protection locked="0"/>
    </xf>
    <xf numFmtId="0" fontId="8" fillId="0" borderId="0" xfId="0" applyFont="1" applyAlignment="1">
      <alignment horizontal="center" wrapText="1"/>
    </xf>
    <xf numFmtId="197" fontId="63" fillId="0" borderId="0" xfId="0" applyNumberFormat="1" applyFont="1" applyAlignment="1">
      <alignment horizontal="right" wrapText="1"/>
    </xf>
    <xf numFmtId="178" fontId="63" fillId="0" borderId="0" xfId="0" applyNumberFormat="1" applyFont="1" applyAlignment="1" applyProtection="1">
      <alignment horizontal="center" vertical="center" wrapText="1"/>
      <protection locked="0"/>
    </xf>
    <xf numFmtId="3" fontId="63" fillId="0" borderId="0" xfId="0" applyNumberFormat="1" applyFont="1" applyAlignment="1" applyProtection="1">
      <alignment horizontal="center" vertical="center" wrapText="1"/>
      <protection locked="0"/>
    </xf>
    <xf numFmtId="169" fontId="63" fillId="0" borderId="0" xfId="0" applyNumberFormat="1" applyFont="1" applyAlignment="1">
      <alignment horizontal="right" wrapText="1"/>
    </xf>
    <xf numFmtId="201" fontId="63" fillId="0" borderId="0" xfId="0" applyNumberFormat="1" applyFont="1" applyAlignment="1">
      <alignment horizontal="right" wrapText="1"/>
    </xf>
    <xf numFmtId="201" fontId="63" fillId="0" borderId="2" xfId="0" applyNumberFormat="1" applyFont="1" applyBorder="1" applyAlignment="1">
      <alignment horizontal="right" wrapText="1"/>
    </xf>
    <xf numFmtId="197" fontId="0" fillId="0" borderId="0" xfId="0" applyNumberFormat="1" applyAlignment="1">
      <alignment wrapText="1"/>
    </xf>
    <xf numFmtId="197" fontId="63" fillId="0" borderId="2" xfId="0" applyNumberFormat="1" applyFont="1" applyBorder="1" applyAlignment="1">
      <alignment horizontal="right" wrapText="1"/>
    </xf>
    <xf numFmtId="197" fontId="19" fillId="0" borderId="0" xfId="0" quotePrefix="1" applyNumberFormat="1" applyFont="1" applyAlignment="1">
      <alignment horizontal="center" vertical="center"/>
    </xf>
    <xf numFmtId="197" fontId="19" fillId="0" borderId="4" xfId="0" quotePrefix="1" applyNumberFormat="1" applyFont="1" applyBorder="1" applyAlignment="1">
      <alignment horizontal="center" vertical="center"/>
    </xf>
    <xf numFmtId="197" fontId="63" fillId="0" borderId="0" xfId="0" applyNumberFormat="1" applyFont="1" applyAlignment="1">
      <alignment horizontal="right"/>
    </xf>
    <xf numFmtId="0" fontId="63" fillId="0" borderId="3" xfId="0" applyFont="1" applyBorder="1" applyAlignment="1" applyProtection="1">
      <alignment horizontal="center" vertical="center" wrapText="1"/>
      <protection locked="0"/>
    </xf>
    <xf numFmtId="0" fontId="13" fillId="0" borderId="34" xfId="4" applyFont="1" applyBorder="1" applyProtection="1">
      <protection locked="0"/>
    </xf>
    <xf numFmtId="169" fontId="63" fillId="0" borderId="34" xfId="0" applyNumberFormat="1" applyFont="1" applyBorder="1"/>
    <xf numFmtId="169" fontId="63" fillId="0" borderId="34" xfId="0" applyNumberFormat="1" applyFont="1" applyBorder="1" applyAlignment="1">
      <alignment horizontal="right" vertical="center"/>
    </xf>
    <xf numFmtId="180" fontId="63" fillId="0" borderId="34" xfId="0" applyNumberFormat="1" applyFont="1" applyBorder="1"/>
    <xf numFmtId="0" fontId="0" fillId="0" borderId="34" xfId="0" applyBorder="1" applyAlignment="1">
      <alignment vertical="center"/>
    </xf>
    <xf numFmtId="0" fontId="0" fillId="0" borderId="0" xfId="0" applyAlignment="1">
      <alignment vertical="center"/>
    </xf>
    <xf numFmtId="197" fontId="63" fillId="0" borderId="9" xfId="0" applyNumberFormat="1" applyFont="1" applyBorder="1" applyAlignment="1">
      <alignment horizontal="right" wrapText="1"/>
    </xf>
    <xf numFmtId="197" fontId="63" fillId="0" borderId="9" xfId="0" applyNumberFormat="1" applyFont="1" applyBorder="1" applyAlignment="1" applyProtection="1">
      <alignment horizontal="center" vertical="center" wrapText="1"/>
      <protection locked="0"/>
    </xf>
    <xf numFmtId="197" fontId="4" fillId="0" borderId="9" xfId="0" applyNumberFormat="1" applyFont="1" applyBorder="1" applyAlignment="1">
      <alignment horizontal="center" vertical="center" wrapText="1"/>
    </xf>
    <xf numFmtId="197" fontId="4" fillId="0" borderId="9" xfId="0" applyNumberFormat="1" applyFont="1" applyBorder="1" applyAlignment="1" applyProtection="1">
      <alignment horizontal="center" vertical="center" wrapText="1"/>
      <protection locked="0"/>
    </xf>
    <xf numFmtId="197" fontId="4" fillId="0" borderId="9" xfId="10" applyNumberFormat="1" applyFont="1" applyBorder="1" applyAlignment="1" applyProtection="1">
      <alignment horizontal="center" vertical="center" wrapText="1"/>
      <protection locked="0"/>
    </xf>
    <xf numFmtId="197" fontId="63" fillId="0" borderId="9" xfId="0" applyNumberFormat="1" applyFont="1" applyBorder="1" applyAlignment="1" applyProtection="1">
      <alignment horizontal="center" wrapText="1"/>
      <protection locked="0"/>
    </xf>
    <xf numFmtId="197" fontId="0" fillId="0" borderId="9" xfId="0" applyNumberFormat="1" applyBorder="1" applyAlignment="1">
      <alignment wrapText="1"/>
    </xf>
    <xf numFmtId="201" fontId="63" fillId="0" borderId="9" xfId="0" applyNumberFormat="1" applyFont="1" applyBorder="1" applyAlignment="1">
      <alignment horizontal="right" wrapText="1"/>
    </xf>
    <xf numFmtId="201" fontId="63" fillId="0" borderId="29" xfId="0" applyNumberFormat="1" applyFont="1" applyBorder="1" applyAlignment="1">
      <alignment horizontal="right" wrapText="1"/>
    </xf>
    <xf numFmtId="2" fontId="10" fillId="0" borderId="0" xfId="0" applyNumberFormat="1" applyFont="1" applyAlignment="1" applyProtection="1">
      <alignment vertical="center" wrapText="1"/>
      <protection locked="0"/>
    </xf>
    <xf numFmtId="4" fontId="13" fillId="0" borderId="9" xfId="4" applyNumberFormat="1" applyFont="1" applyBorder="1" applyAlignment="1" applyProtection="1">
      <alignment horizontal="left" wrapText="1" indent="2"/>
      <protection locked="0"/>
    </xf>
    <xf numFmtId="4" fontId="13" fillId="0" borderId="9" xfId="0" applyNumberFormat="1" applyFont="1" applyBorder="1" applyAlignment="1" applyProtection="1">
      <alignment horizontal="left" vertical="center" wrapText="1" indent="2"/>
      <protection locked="0"/>
    </xf>
    <xf numFmtId="0" fontId="15" fillId="0" borderId="9" xfId="0" applyFont="1" applyBorder="1"/>
    <xf numFmtId="4" fontId="15" fillId="0" borderId="9" xfId="0" applyNumberFormat="1" applyFont="1" applyBorder="1" applyAlignment="1" applyProtection="1">
      <alignment horizontal="left" vertical="center" wrapText="1"/>
      <protection locked="0"/>
    </xf>
    <xf numFmtId="165" fontId="63" fillId="0" borderId="0" xfId="0" applyNumberFormat="1" applyFont="1" applyAlignment="1">
      <alignment horizontal="right"/>
    </xf>
    <xf numFmtId="4" fontId="13" fillId="0" borderId="34" xfId="4" applyNumberFormat="1" applyFont="1" applyBorder="1" applyAlignment="1" applyProtection="1">
      <alignment horizontal="left" wrapText="1" indent="2"/>
      <protection locked="0"/>
    </xf>
    <xf numFmtId="165" fontId="63" fillId="0" borderId="34" xfId="0" applyNumberFormat="1" applyFont="1" applyBorder="1" applyAlignment="1">
      <alignment horizontal="right"/>
    </xf>
    <xf numFmtId="165" fontId="63" fillId="0" borderId="6" xfId="0" applyNumberFormat="1" applyFont="1" applyBorder="1" applyAlignment="1">
      <alignment horizontal="right"/>
    </xf>
    <xf numFmtId="0" fontId="0" fillId="0" borderId="34" xfId="0" applyBorder="1"/>
    <xf numFmtId="1" fontId="63" fillId="0" borderId="34" xfId="0" applyNumberFormat="1" applyFont="1" applyBorder="1" applyAlignment="1">
      <alignment horizontal="right" vertical="center"/>
    </xf>
    <xf numFmtId="0" fontId="13" fillId="0" borderId="34" xfId="4" applyFont="1" applyBorder="1" applyAlignment="1" applyProtection="1">
      <alignment horizontal="left" indent="2"/>
      <protection locked="0"/>
    </xf>
    <xf numFmtId="0" fontId="10" fillId="0" borderId="0" xfId="0" applyFont="1" applyAlignment="1">
      <alignment horizontal="left"/>
    </xf>
    <xf numFmtId="0" fontId="13" fillId="0" borderId="34" xfId="4" applyFont="1" applyBorder="1" applyAlignment="1" applyProtection="1">
      <alignment horizontal="left" vertical="center" indent="2"/>
      <protection locked="0"/>
    </xf>
    <xf numFmtId="0" fontId="13" fillId="0" borderId="34" xfId="4" applyFont="1" applyBorder="1" applyAlignment="1" applyProtection="1">
      <alignment horizontal="left" vertical="center" wrapText="1" indent="2"/>
      <protection locked="0"/>
    </xf>
    <xf numFmtId="0" fontId="4" fillId="0" borderId="34" xfId="10" quotePrefix="1" applyFont="1" applyBorder="1" applyAlignment="1">
      <alignment horizontal="right" vertical="center"/>
    </xf>
    <xf numFmtId="1" fontId="8" fillId="0" borderId="34" xfId="0" applyNumberFormat="1" applyFont="1" applyBorder="1" applyAlignment="1">
      <alignment horizontal="right" vertical="center"/>
    </xf>
    <xf numFmtId="1" fontId="63" fillId="0" borderId="34" xfId="0" applyNumberFormat="1" applyFont="1" applyBorder="1" applyAlignment="1" applyProtection="1">
      <alignment horizontal="right"/>
      <protection locked="0"/>
    </xf>
    <xf numFmtId="185" fontId="63" fillId="0" borderId="34" xfId="0" applyNumberFormat="1" applyFont="1" applyBorder="1" applyAlignment="1">
      <alignment horizontal="right"/>
    </xf>
    <xf numFmtId="0" fontId="26" fillId="0" borderId="34" xfId="0" applyFont="1" applyBorder="1" applyAlignment="1" applyProtection="1">
      <alignment horizontal="left" wrapText="1" indent="4"/>
      <protection locked="0"/>
    </xf>
    <xf numFmtId="0" fontId="13" fillId="0" borderId="34" xfId="4" applyFont="1" applyBorder="1" applyAlignment="1" applyProtection="1">
      <alignment horizontal="left" wrapText="1" indent="2"/>
      <protection locked="0"/>
    </xf>
    <xf numFmtId="9" fontId="63" fillId="0" borderId="34" xfId="2" applyFont="1" applyFill="1" applyBorder="1" applyAlignment="1" applyProtection="1">
      <alignment horizontal="right"/>
      <protection locked="0"/>
    </xf>
    <xf numFmtId="185" fontId="63" fillId="0" borderId="34" xfId="2" applyNumberFormat="1" applyFont="1" applyFill="1" applyBorder="1" applyAlignment="1" applyProtection="1">
      <alignment horizontal="right" vertical="center"/>
    </xf>
    <xf numFmtId="185" fontId="63" fillId="0" borderId="34" xfId="2" applyNumberFormat="1" applyFont="1" applyFill="1" applyBorder="1" applyAlignment="1" applyProtection="1">
      <alignment horizontal="right" vertical="center"/>
      <protection locked="0"/>
    </xf>
    <xf numFmtId="185" fontId="63" fillId="0" borderId="34" xfId="2" quotePrefix="1" applyNumberFormat="1" applyFont="1" applyFill="1" applyBorder="1" applyAlignment="1">
      <alignment horizontal="right" vertical="center"/>
    </xf>
    <xf numFmtId="185" fontId="63" fillId="0" borderId="34" xfId="2" applyNumberFormat="1" applyFont="1" applyFill="1" applyBorder="1" applyAlignment="1">
      <alignment horizontal="right" vertical="center" wrapText="1"/>
    </xf>
    <xf numFmtId="185" fontId="63" fillId="0" borderId="34" xfId="2" applyNumberFormat="1" applyFont="1" applyFill="1" applyBorder="1" applyAlignment="1">
      <alignment horizontal="right" vertical="center"/>
    </xf>
    <xf numFmtId="185" fontId="63" fillId="0" borderId="34" xfId="2" applyNumberFormat="1" applyFont="1" applyFill="1" applyBorder="1" applyAlignment="1" applyProtection="1">
      <alignment horizontal="right" vertical="center" wrapText="1"/>
    </xf>
    <xf numFmtId="0" fontId="12" fillId="0" borderId="34" xfId="0" applyFont="1" applyBorder="1" applyAlignment="1">
      <alignment horizontal="left" vertical="center" indent="2"/>
    </xf>
    <xf numFmtId="0" fontId="12" fillId="0" borderId="34" xfId="0" applyFont="1" applyBorder="1" applyAlignment="1">
      <alignment horizontal="left" vertical="center" wrapText="1" indent="2"/>
    </xf>
    <xf numFmtId="0" fontId="13" fillId="0" borderId="34" xfId="0" applyFont="1" applyBorder="1" applyAlignment="1" applyProtection="1">
      <alignment vertical="center" wrapText="1"/>
      <protection locked="0"/>
    </xf>
    <xf numFmtId="0" fontId="15" fillId="0" borderId="34" xfId="0" applyFont="1" applyBorder="1" applyAlignment="1" applyProtection="1">
      <alignment wrapText="1"/>
      <protection locked="0"/>
    </xf>
    <xf numFmtId="4" fontId="15" fillId="0" borderId="34" xfId="0" applyNumberFormat="1" applyFont="1" applyBorder="1" applyAlignment="1">
      <alignment horizontal="left" wrapText="1"/>
    </xf>
    <xf numFmtId="4" fontId="15" fillId="0" borderId="34" xfId="0" applyNumberFormat="1" applyFont="1" applyBorder="1" applyAlignment="1">
      <alignment horizontal="left"/>
    </xf>
    <xf numFmtId="0" fontId="15" fillId="0" borderId="34" xfId="0" applyFont="1" applyBorder="1" applyAlignment="1" applyProtection="1">
      <alignment vertical="center"/>
      <protection locked="0"/>
    </xf>
    <xf numFmtId="0" fontId="13" fillId="0" borderId="34" xfId="4" applyFont="1" applyBorder="1" applyAlignment="1" applyProtection="1">
      <alignment wrapText="1"/>
      <protection locked="0"/>
    </xf>
    <xf numFmtId="0" fontId="13" fillId="0" borderId="34" xfId="0" applyFont="1" applyBorder="1" applyAlignment="1" applyProtection="1">
      <alignment vertical="center"/>
      <protection locked="0"/>
    </xf>
    <xf numFmtId="0" fontId="15" fillId="0" borderId="34" xfId="0" applyFont="1" applyBorder="1" applyProtection="1">
      <protection locked="0"/>
    </xf>
    <xf numFmtId="0" fontId="15" fillId="0" borderId="34" xfId="0" applyFont="1" applyBorder="1" applyAlignment="1" applyProtection="1">
      <alignment vertical="center" wrapText="1"/>
      <protection locked="0"/>
    </xf>
    <xf numFmtId="4" fontId="16" fillId="0" borderId="34" xfId="0" applyNumberFormat="1" applyFont="1" applyBorder="1" applyAlignment="1">
      <alignment horizontal="left"/>
    </xf>
    <xf numFmtId="197" fontId="15" fillId="0" borderId="0" xfId="0" applyNumberFormat="1" applyFont="1" applyAlignment="1">
      <alignment wrapText="1"/>
    </xf>
    <xf numFmtId="178" fontId="63" fillId="0" borderId="0" xfId="0" applyNumberFormat="1" applyFont="1" applyAlignment="1" applyProtection="1">
      <alignment horizontal="center" wrapText="1"/>
      <protection locked="0"/>
    </xf>
    <xf numFmtId="0" fontId="66" fillId="0" borderId="0" xfId="4" applyFont="1" applyAlignment="1" applyProtection="1">
      <alignment horizontal="center" vertical="center" wrapText="1"/>
      <protection locked="0"/>
    </xf>
    <xf numFmtId="197" fontId="66" fillId="0" borderId="0" xfId="4" applyNumberFormat="1" applyFont="1" applyAlignment="1" applyProtection="1">
      <alignment horizontal="center" vertical="center" wrapText="1"/>
      <protection locked="0"/>
    </xf>
    <xf numFmtId="197" fontId="63" fillId="0" borderId="3" xfId="0" applyNumberFormat="1" applyFont="1" applyBorder="1" applyAlignment="1" applyProtection="1">
      <alignment horizontal="center" vertical="center" wrapText="1"/>
      <protection locked="0"/>
    </xf>
    <xf numFmtId="197" fontId="63" fillId="0" borderId="28" xfId="0" applyNumberFormat="1" applyFont="1" applyBorder="1" applyAlignment="1" applyProtection="1">
      <alignment horizontal="center" vertical="center" wrapText="1"/>
      <protection locked="0"/>
    </xf>
    <xf numFmtId="197" fontId="15" fillId="0" borderId="9" xfId="0" applyNumberFormat="1" applyFont="1" applyBorder="1" applyAlignment="1">
      <alignment wrapText="1"/>
    </xf>
    <xf numFmtId="197" fontId="66" fillId="0" borderId="9" xfId="4" applyNumberFormat="1" applyFont="1" applyBorder="1" applyAlignment="1" applyProtection="1">
      <alignment horizontal="center" vertical="center" wrapText="1"/>
      <protection locked="0"/>
    </xf>
    <xf numFmtId="197" fontId="63" fillId="0" borderId="25" xfId="0" applyNumberFormat="1" applyFont="1" applyBorder="1" applyAlignment="1" applyProtection="1">
      <alignment horizontal="center" vertical="center" wrapText="1"/>
      <protection locked="0"/>
    </xf>
    <xf numFmtId="197" fontId="63" fillId="0" borderId="34" xfId="0" applyNumberFormat="1" applyFont="1" applyBorder="1" applyAlignment="1">
      <alignment horizontal="right" wrapText="1"/>
    </xf>
    <xf numFmtId="197" fontId="63" fillId="0" borderId="34" xfId="0" applyNumberFormat="1" applyFont="1" applyBorder="1" applyAlignment="1" applyProtection="1">
      <alignment horizontal="center" vertical="center" wrapText="1"/>
      <protection locked="0"/>
    </xf>
    <xf numFmtId="197" fontId="4" fillId="0" borderId="34" xfId="0" applyNumberFormat="1" applyFont="1" applyBorder="1" applyAlignment="1">
      <alignment horizontal="center" vertical="center" wrapText="1"/>
    </xf>
    <xf numFmtId="197" fontId="15" fillId="0" borderId="34" xfId="0" applyNumberFormat="1" applyFont="1" applyBorder="1" applyAlignment="1">
      <alignment wrapText="1"/>
    </xf>
    <xf numFmtId="197" fontId="4" fillId="0" borderId="34" xfId="0" applyNumberFormat="1" applyFont="1" applyBorder="1" applyAlignment="1" applyProtection="1">
      <alignment horizontal="center" vertical="center" wrapText="1"/>
      <protection locked="0"/>
    </xf>
    <xf numFmtId="197" fontId="4" fillId="0" borderId="34" xfId="10" applyNumberFormat="1" applyFont="1" applyBorder="1" applyAlignment="1" applyProtection="1">
      <alignment horizontal="center" vertical="center" wrapText="1"/>
      <protection locked="0"/>
    </xf>
    <xf numFmtId="197" fontId="63" fillId="0" borderId="34" xfId="0" applyNumberFormat="1" applyFont="1" applyBorder="1" applyAlignment="1" applyProtection="1">
      <alignment horizontal="center" wrapText="1"/>
      <protection locked="0"/>
    </xf>
    <xf numFmtId="197" fontId="0" fillId="0" borderId="34" xfId="0" applyNumberFormat="1" applyBorder="1" applyAlignment="1">
      <alignment wrapText="1"/>
    </xf>
    <xf numFmtId="197" fontId="66" fillId="0" borderId="34" xfId="4" applyNumberFormat="1" applyFont="1" applyBorder="1" applyAlignment="1" applyProtection="1">
      <alignment horizontal="center" vertical="center" wrapText="1"/>
      <protection locked="0"/>
    </xf>
    <xf numFmtId="201" fontId="63" fillId="0" borderId="34" xfId="0" applyNumberFormat="1" applyFont="1" applyBorder="1" applyAlignment="1">
      <alignment horizontal="right" wrapText="1"/>
    </xf>
    <xf numFmtId="201" fontId="63" fillId="0" borderId="26" xfId="0" applyNumberFormat="1" applyFont="1" applyBorder="1" applyAlignment="1">
      <alignment horizontal="right" wrapText="1"/>
    </xf>
    <xf numFmtId="197" fontId="4" fillId="0" borderId="9" xfId="0" applyNumberFormat="1" applyFont="1" applyBorder="1" applyAlignment="1">
      <alignment wrapText="1"/>
    </xf>
    <xf numFmtId="0" fontId="4" fillId="0" borderId="19" xfId="4" applyFont="1" applyBorder="1" applyAlignment="1" applyProtection="1">
      <alignment horizontal="center" vertical="center" wrapText="1"/>
      <protection locked="0"/>
    </xf>
    <xf numFmtId="0" fontId="10" fillId="0" borderId="28" xfId="4" applyFont="1" applyBorder="1" applyAlignment="1" applyProtection="1">
      <alignment horizontal="center"/>
      <protection locked="0"/>
    </xf>
    <xf numFmtId="169" fontId="63" fillId="0" borderId="9" xfId="0" applyNumberFormat="1" applyFont="1" applyBorder="1" applyAlignment="1">
      <alignment horizontal="center"/>
    </xf>
    <xf numFmtId="0" fontId="15" fillId="0" borderId="9" xfId="0" applyFont="1" applyBorder="1" applyAlignment="1" applyProtection="1">
      <alignment horizontal="center" wrapText="1"/>
      <protection locked="0"/>
    </xf>
    <xf numFmtId="0" fontId="66" fillId="0" borderId="9" xfId="4" applyFont="1" applyBorder="1" applyAlignment="1" applyProtection="1">
      <alignment horizontal="center"/>
      <protection locked="0"/>
    </xf>
    <xf numFmtId="0" fontId="10" fillId="0" borderId="9" xfId="4" applyFont="1" applyBorder="1" applyAlignment="1" applyProtection="1">
      <alignment horizontal="center"/>
      <protection locked="0"/>
    </xf>
    <xf numFmtId="169" fontId="63" fillId="0" borderId="9" xfId="0" applyNumberFormat="1" applyFont="1" applyBorder="1" applyAlignment="1">
      <alignment horizontal="center" wrapText="1"/>
    </xf>
    <xf numFmtId="0" fontId="13" fillId="0" borderId="9" xfId="0" applyFont="1" applyBorder="1" applyAlignment="1" applyProtection="1">
      <alignment horizontal="center" vertical="center"/>
      <protection locked="0"/>
    </xf>
    <xf numFmtId="0" fontId="13" fillId="0" borderId="9" xfId="4" applyFont="1" applyBorder="1" applyAlignment="1" applyProtection="1">
      <alignment horizontal="center"/>
      <protection locked="0"/>
    </xf>
    <xf numFmtId="0" fontId="15" fillId="0" borderId="9" xfId="0" applyFont="1" applyBorder="1" applyAlignment="1" applyProtection="1">
      <alignment horizontal="center" vertical="center"/>
      <protection locked="0"/>
    </xf>
    <xf numFmtId="0" fontId="13" fillId="0" borderId="9" xfId="4" applyFont="1" applyBorder="1" applyAlignment="1" applyProtection="1">
      <alignment horizontal="center" vertical="center"/>
      <protection locked="0"/>
    </xf>
    <xf numFmtId="0" fontId="13" fillId="0" borderId="9" xfId="0" applyFont="1" applyBorder="1" applyAlignment="1">
      <alignment horizontal="center" vertical="center" wrapText="1"/>
    </xf>
    <xf numFmtId="0" fontId="16" fillId="0" borderId="9" xfId="0" applyFont="1" applyBorder="1" applyAlignment="1" applyProtection="1">
      <alignment horizontal="center"/>
      <protection locked="0"/>
    </xf>
    <xf numFmtId="0" fontId="15" fillId="0" borderId="9" xfId="0" applyFont="1" applyBorder="1" applyAlignment="1" applyProtection="1">
      <alignment horizontal="center"/>
      <protection locked="0"/>
    </xf>
    <xf numFmtId="169" fontId="63" fillId="0" borderId="29" xfId="0" applyNumberFormat="1" applyFont="1" applyBorder="1" applyAlignment="1">
      <alignment horizontal="center"/>
    </xf>
    <xf numFmtId="0" fontId="64" fillId="0" borderId="0" xfId="0" applyFont="1" applyAlignment="1" applyProtection="1">
      <alignment vertical="center"/>
      <protection locked="0"/>
    </xf>
    <xf numFmtId="4" fontId="4" fillId="0" borderId="34" xfId="0" applyNumberFormat="1" applyFont="1" applyBorder="1" applyAlignment="1">
      <alignment horizontal="right" vertical="center" wrapText="1"/>
    </xf>
    <xf numFmtId="4" fontId="4" fillId="0" borderId="34" xfId="4" applyNumberFormat="1" applyFont="1" applyBorder="1" applyAlignment="1">
      <alignment horizontal="right" wrapText="1"/>
    </xf>
    <xf numFmtId="4" fontId="66" fillId="0" borderId="34" xfId="4" applyNumberFormat="1" applyFont="1" applyBorder="1" applyAlignment="1">
      <alignment horizontal="right" vertical="center"/>
    </xf>
    <xf numFmtId="4" fontId="63" fillId="0" borderId="34" xfId="0" applyNumberFormat="1" applyFont="1" applyBorder="1" applyAlignment="1">
      <alignment horizontal="right" vertical="center" wrapText="1"/>
    </xf>
    <xf numFmtId="3" fontId="13" fillId="0" borderId="34" xfId="5" applyNumberFormat="1" applyFont="1" applyBorder="1" applyAlignment="1" applyProtection="1">
      <alignment horizontal="left" vertical="center" wrapText="1" indent="2"/>
      <protection locked="0"/>
    </xf>
    <xf numFmtId="3" fontId="63" fillId="0" borderId="34" xfId="0" applyNumberFormat="1" applyFont="1" applyBorder="1" applyAlignment="1">
      <alignment horizontal="left" vertical="center"/>
    </xf>
    <xf numFmtId="3" fontId="63" fillId="0" borderId="34" xfId="0" applyNumberFormat="1" applyFont="1" applyBorder="1" applyAlignment="1">
      <alignment horizontal="right" vertical="center" wrapText="1"/>
    </xf>
    <xf numFmtId="0" fontId="15" fillId="0" borderId="9" xfId="0" applyFont="1" applyBorder="1" applyAlignment="1" applyProtection="1">
      <alignment horizontal="left" wrapText="1"/>
      <protection locked="0"/>
    </xf>
    <xf numFmtId="4" fontId="63" fillId="0" borderId="9" xfId="0" applyNumberFormat="1" applyFont="1" applyBorder="1" applyAlignment="1">
      <alignment horizontal="right" vertical="center" wrapText="1"/>
    </xf>
    <xf numFmtId="0" fontId="10" fillId="0" borderId="9" xfId="4" applyFont="1" applyBorder="1" applyAlignment="1" applyProtection="1">
      <alignment horizontal="left" wrapText="1"/>
      <protection locked="0"/>
    </xf>
    <xf numFmtId="3" fontId="63" fillId="0" borderId="9" xfId="0" applyNumberFormat="1" applyFont="1" applyBorder="1" applyAlignment="1">
      <alignment horizontal="left" vertical="center" wrapText="1"/>
    </xf>
    <xf numFmtId="165" fontId="63" fillId="0" borderId="34" xfId="0" applyNumberFormat="1" applyFont="1" applyBorder="1" applyAlignment="1">
      <alignment horizontal="right" vertical="center"/>
    </xf>
    <xf numFmtId="0" fontId="13" fillId="0" borderId="34" xfId="0" applyFont="1" applyBorder="1" applyAlignment="1" applyProtection="1">
      <alignment horizontal="center" vertical="center" wrapText="1"/>
      <protection locked="0"/>
    </xf>
    <xf numFmtId="0" fontId="63" fillId="0" borderId="25" xfId="0" applyFont="1" applyBorder="1" applyAlignment="1" applyProtection="1">
      <alignment horizontal="right" vertical="center"/>
      <protection locked="0"/>
    </xf>
    <xf numFmtId="4" fontId="63" fillId="0" borderId="3" xfId="0" applyNumberFormat="1" applyFont="1" applyBorder="1" applyAlignment="1" applyProtection="1">
      <alignment horizontal="right" vertical="center"/>
      <protection locked="0"/>
    </xf>
    <xf numFmtId="4" fontId="63" fillId="0" borderId="7" xfId="0" applyNumberFormat="1" applyFont="1" applyBorder="1" applyAlignment="1" applyProtection="1">
      <alignment horizontal="right" vertical="center"/>
      <protection locked="0"/>
    </xf>
    <xf numFmtId="2" fontId="63" fillId="0" borderId="34" xfId="0" applyNumberFormat="1" applyFont="1" applyBorder="1" applyAlignment="1" applyProtection="1">
      <alignment horizontal="right" vertical="center"/>
      <protection locked="0"/>
    </xf>
    <xf numFmtId="0" fontId="63" fillId="0" borderId="34" xfId="0" applyFont="1" applyBorder="1" applyAlignment="1" applyProtection="1">
      <alignment horizontal="right" vertical="center"/>
      <protection locked="0"/>
    </xf>
    <xf numFmtId="0" fontId="15" fillId="0" borderId="34" xfId="0" applyFont="1" applyBorder="1" applyAlignment="1">
      <alignment vertical="center"/>
    </xf>
    <xf numFmtId="0" fontId="15" fillId="0" borderId="6" xfId="0" applyFont="1" applyBorder="1" applyAlignment="1">
      <alignment vertical="center"/>
    </xf>
    <xf numFmtId="2" fontId="63" fillId="0" borderId="26" xfId="0" applyNumberFormat="1" applyFont="1" applyBorder="1" applyAlignment="1" applyProtection="1">
      <alignment horizontal="right" vertical="center"/>
      <protection locked="0"/>
    </xf>
    <xf numFmtId="4" fontId="63" fillId="0" borderId="25" xfId="0" applyNumberFormat="1" applyFont="1" applyBorder="1" applyAlignment="1" applyProtection="1">
      <alignment horizontal="right" vertical="center"/>
      <protection locked="0"/>
    </xf>
    <xf numFmtId="165" fontId="63" fillId="0" borderId="0" xfId="0" applyNumberFormat="1" applyFont="1" applyAlignment="1">
      <alignment horizontal="right" vertical="center"/>
    </xf>
    <xf numFmtId="165" fontId="63" fillId="0" borderId="6" xfId="0" applyNumberFormat="1" applyFont="1" applyBorder="1" applyAlignment="1">
      <alignment horizontal="right" vertical="center"/>
    </xf>
    <xf numFmtId="0" fontId="15" fillId="0" borderId="34" xfId="0" applyFont="1" applyBorder="1" applyAlignment="1" applyProtection="1">
      <alignment horizontal="left" vertical="center" wrapText="1"/>
      <protection locked="0"/>
    </xf>
    <xf numFmtId="0" fontId="63" fillId="0" borderId="34" xfId="0" applyFont="1" applyBorder="1" applyAlignment="1" applyProtection="1">
      <alignment horizontal="center" vertical="center" wrapText="1"/>
      <protection locked="0"/>
    </xf>
    <xf numFmtId="0" fontId="63" fillId="0" borderId="34" xfId="0" applyFont="1" applyBorder="1" applyAlignment="1" applyProtection="1">
      <alignment horizontal="center" wrapText="1"/>
      <protection locked="0"/>
    </xf>
    <xf numFmtId="3" fontId="63" fillId="0" borderId="34" xfId="0" applyNumberFormat="1" applyFont="1" applyBorder="1" applyAlignment="1">
      <alignment horizontal="left" vertical="center" wrapText="1"/>
    </xf>
    <xf numFmtId="0" fontId="13" fillId="0" borderId="34" xfId="0" applyFont="1" applyBorder="1" applyAlignment="1" applyProtection="1">
      <alignment horizontal="left" vertical="center" wrapText="1"/>
      <protection locked="0"/>
    </xf>
    <xf numFmtId="3" fontId="4" fillId="0" borderId="34" xfId="0" applyNumberFormat="1" applyFont="1" applyBorder="1" applyAlignment="1" applyProtection="1">
      <alignment horizontal="center" vertical="center" wrapText="1"/>
      <protection locked="0"/>
    </xf>
    <xf numFmtId="3" fontId="63" fillId="0" borderId="0" xfId="0" applyNumberFormat="1" applyFont="1" applyAlignment="1">
      <alignment horizontal="left" vertical="center" wrapText="1"/>
    </xf>
    <xf numFmtId="3" fontId="63" fillId="0" borderId="6" xfId="0" applyNumberFormat="1" applyFont="1" applyBorder="1" applyAlignment="1">
      <alignment horizontal="left" vertical="center" wrapText="1"/>
    </xf>
    <xf numFmtId="0" fontId="66" fillId="0" borderId="34" xfId="4" applyFont="1" applyBorder="1" applyAlignment="1" applyProtection="1">
      <alignment horizontal="center" wrapText="1"/>
      <protection locked="0"/>
    </xf>
    <xf numFmtId="165" fontId="63" fillId="0" borderId="26" xfId="0" applyNumberFormat="1" applyFont="1" applyBorder="1" applyAlignment="1">
      <alignment horizontal="right" vertical="center"/>
    </xf>
    <xf numFmtId="165" fontId="63" fillId="0" borderId="0" xfId="0" applyNumberFormat="1" applyFont="1" applyAlignment="1">
      <alignment horizontal="left" vertical="center" wrapText="1"/>
    </xf>
    <xf numFmtId="165" fontId="63" fillId="0" borderId="34" xfId="0" applyNumberFormat="1" applyFont="1" applyBorder="1" applyAlignment="1">
      <alignment horizontal="left" vertical="center" wrapText="1"/>
    </xf>
    <xf numFmtId="165" fontId="63" fillId="0" borderId="6" xfId="0" applyNumberFormat="1" applyFont="1" applyBorder="1" applyAlignment="1">
      <alignment horizontal="left" vertical="center" wrapText="1"/>
    </xf>
    <xf numFmtId="165" fontId="63" fillId="0" borderId="2" xfId="0" applyNumberFormat="1" applyFont="1" applyBorder="1" applyAlignment="1">
      <alignment horizontal="right" vertical="center"/>
    </xf>
    <xf numFmtId="165" fontId="63" fillId="0" borderId="27" xfId="0" applyNumberFormat="1" applyFont="1" applyBorder="1" applyAlignment="1">
      <alignment horizontal="right" vertical="center"/>
    </xf>
    <xf numFmtId="165" fontId="4" fillId="0" borderId="34" xfId="10" applyNumberFormat="1" applyFont="1" applyBorder="1" applyAlignment="1">
      <alignment horizontal="right" vertical="center"/>
    </xf>
    <xf numFmtId="165" fontId="4" fillId="0" borderId="0" xfId="10" applyNumberFormat="1" applyFont="1" applyAlignment="1">
      <alignment horizontal="right" vertical="center"/>
    </xf>
    <xf numFmtId="165" fontId="4" fillId="0" borderId="34" xfId="4" applyNumberFormat="1" applyFont="1" applyBorder="1" applyAlignment="1">
      <alignment horizontal="right"/>
    </xf>
    <xf numFmtId="0" fontId="15" fillId="0" borderId="26" xfId="0" applyFont="1" applyBorder="1" applyAlignment="1" applyProtection="1">
      <alignment horizontal="left" vertical="center" wrapText="1" indent="2"/>
      <protection locked="0"/>
    </xf>
    <xf numFmtId="165" fontId="15" fillId="0" borderId="0" xfId="0" applyNumberFormat="1" applyFont="1"/>
    <xf numFmtId="165" fontId="4" fillId="0" borderId="0" xfId="4" applyNumberFormat="1" applyFont="1" applyAlignment="1">
      <alignment horizontal="right"/>
    </xf>
    <xf numFmtId="165" fontId="15" fillId="0" borderId="34" xfId="0" applyNumberFormat="1" applyFont="1" applyBorder="1"/>
    <xf numFmtId="165" fontId="15" fillId="0" borderId="6" xfId="0" applyNumberFormat="1" applyFont="1" applyBorder="1"/>
    <xf numFmtId="165" fontId="4" fillId="0" borderId="6" xfId="4" applyNumberFormat="1" applyFont="1" applyBorder="1" applyAlignment="1">
      <alignment horizontal="right"/>
    </xf>
    <xf numFmtId="165" fontId="4" fillId="0" borderId="6" xfId="10" applyNumberFormat="1" applyFont="1" applyBorder="1" applyAlignment="1">
      <alignment horizontal="right" vertical="center"/>
    </xf>
    <xf numFmtId="0" fontId="8" fillId="9" borderId="0" xfId="0" applyFont="1" applyFill="1" applyAlignment="1">
      <alignment horizontal="left" vertical="top" wrapText="1"/>
    </xf>
    <xf numFmtId="0" fontId="8" fillId="9" borderId="0" xfId="0" applyFont="1" applyFill="1" applyAlignment="1">
      <alignment horizontal="left" vertical="top"/>
    </xf>
    <xf numFmtId="0" fontId="32" fillId="2" borderId="20" xfId="0" applyFont="1" applyFill="1" applyBorder="1" applyAlignment="1">
      <alignment horizontal="center" vertical="center" wrapText="1"/>
    </xf>
    <xf numFmtId="0" fontId="32" fillId="2" borderId="21" xfId="0" applyFont="1" applyFill="1" applyBorder="1" applyAlignment="1">
      <alignment horizontal="center" vertical="center" wrapText="1"/>
    </xf>
    <xf numFmtId="0" fontId="32" fillId="2" borderId="19" xfId="0" applyFont="1" applyFill="1" applyBorder="1" applyAlignment="1">
      <alignment horizontal="center" vertical="center" wrapText="1"/>
    </xf>
    <xf numFmtId="0" fontId="40" fillId="7" borderId="19" xfId="0" applyFont="1" applyFill="1" applyBorder="1" applyAlignment="1">
      <alignment horizontal="center" vertical="center"/>
    </xf>
    <xf numFmtId="0" fontId="7" fillId="8" borderId="20" xfId="0" applyFont="1" applyFill="1" applyBorder="1" applyAlignment="1">
      <alignment horizontal="center" vertical="center"/>
    </xf>
    <xf numFmtId="0" fontId="7" fillId="8" borderId="21" xfId="0" applyFont="1" applyFill="1" applyBorder="1" applyAlignment="1">
      <alignment horizontal="center" vertical="center"/>
    </xf>
    <xf numFmtId="0" fontId="38" fillId="0" borderId="19" xfId="0" applyFont="1" applyBorder="1" applyAlignment="1">
      <alignment horizontal="center" vertical="center" wrapText="1"/>
    </xf>
    <xf numFmtId="0" fontId="38" fillId="0" borderId="19" xfId="0" applyFont="1" applyBorder="1" applyAlignment="1">
      <alignment horizontal="center" vertical="center"/>
    </xf>
    <xf numFmtId="0" fontId="7" fillId="8" borderId="19" xfId="0" applyFont="1" applyFill="1" applyBorder="1" applyAlignment="1">
      <alignment horizontal="center" vertical="center"/>
    </xf>
    <xf numFmtId="0" fontId="7" fillId="0" borderId="0" xfId="0" applyFont="1" applyAlignment="1">
      <alignment horizontal="center" vertical="center" wrapText="1"/>
    </xf>
    <xf numFmtId="0" fontId="4" fillId="0" borderId="0" xfId="4" applyFont="1" applyAlignment="1">
      <alignment horizontal="left" vertical="top" wrapText="1"/>
    </xf>
    <xf numFmtId="0" fontId="8" fillId="0" borderId="0" xfId="0" applyFont="1" applyAlignment="1">
      <alignment horizontal="left" wrapText="1"/>
    </xf>
    <xf numFmtId="0" fontId="7" fillId="2" borderId="3"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4" fillId="0" borderId="12" xfId="4" applyFont="1" applyBorder="1" applyAlignment="1">
      <alignment horizontal="left" vertical="top"/>
    </xf>
    <xf numFmtId="0" fontId="9" fillId="2" borderId="0" xfId="4" applyFont="1" applyFill="1" applyAlignment="1">
      <alignment horizontal="left"/>
    </xf>
    <xf numFmtId="0" fontId="4" fillId="0" borderId="12" xfId="4" applyFont="1" applyBorder="1" applyAlignment="1">
      <alignment horizontal="left"/>
    </xf>
    <xf numFmtId="0" fontId="4" fillId="0" borderId="12" xfId="4" applyFont="1" applyBorder="1" applyAlignment="1">
      <alignment horizontal="left" vertical="top" wrapText="1"/>
    </xf>
    <xf numFmtId="0" fontId="13" fillId="0" borderId="0" xfId="4" applyFont="1" applyAlignment="1">
      <alignment horizontal="left" vertical="top" wrapText="1"/>
    </xf>
    <xf numFmtId="0" fontId="5" fillId="2" borderId="3"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wrapText="1"/>
    </xf>
    <xf numFmtId="0" fontId="4" fillId="0" borderId="0" xfId="4" applyFont="1" applyAlignment="1">
      <alignment horizontal="left"/>
    </xf>
    <xf numFmtId="0" fontId="8" fillId="0" borderId="0" xfId="0" applyFont="1" applyAlignment="1">
      <alignment horizontal="left" vertical="top" wrapText="1"/>
    </xf>
    <xf numFmtId="0" fontId="0" fillId="0" borderId="0" xfId="0" applyAlignment="1">
      <alignment horizontal="left" wrapText="1"/>
    </xf>
    <xf numFmtId="0" fontId="5" fillId="0" borderId="0" xfId="0" applyFont="1" applyAlignment="1">
      <alignment horizontal="center" vertical="center" wrapText="1"/>
    </xf>
    <xf numFmtId="0" fontId="5" fillId="0" borderId="0" xfId="0" applyFont="1" applyAlignment="1">
      <alignment horizontal="center" vertical="center"/>
    </xf>
    <xf numFmtId="0" fontId="8" fillId="0" borderId="12" xfId="0" applyFont="1" applyBorder="1" applyAlignment="1">
      <alignment horizontal="left"/>
    </xf>
    <xf numFmtId="0" fontId="8" fillId="0" borderId="0" xfId="0" applyFont="1" applyAlignment="1">
      <alignment horizontal="left"/>
    </xf>
    <xf numFmtId="0" fontId="3" fillId="0" borderId="0" xfId="0" applyFont="1" applyAlignment="1">
      <alignment horizontal="left" vertical="top"/>
    </xf>
    <xf numFmtId="0" fontId="4" fillId="0" borderId="12" xfId="4" applyFont="1" applyBorder="1" applyAlignment="1">
      <alignment horizontal="left" wrapText="1"/>
    </xf>
    <xf numFmtId="0" fontId="0" fillId="0" borderId="0" xfId="0" applyAlignment="1">
      <alignment horizontal="left"/>
    </xf>
    <xf numFmtId="2" fontId="4" fillId="0" borderId="0" xfId="4" applyNumberFormat="1" applyFont="1" applyAlignment="1">
      <alignment horizontal="left"/>
    </xf>
    <xf numFmtId="2" fontId="0" fillId="0" borderId="0" xfId="0" applyNumberFormat="1" applyAlignment="1">
      <alignment horizontal="left"/>
    </xf>
    <xf numFmtId="0" fontId="9" fillId="2" borderId="0" xfId="4" applyFont="1" applyFill="1" applyAlignment="1">
      <alignment horizontal="center"/>
    </xf>
    <xf numFmtId="0" fontId="109" fillId="0" borderId="0" xfId="0" applyFont="1" applyAlignment="1">
      <alignment horizontal="left" wrapText="1"/>
    </xf>
    <xf numFmtId="0" fontId="109" fillId="0" borderId="0" xfId="0" applyFont="1" applyAlignment="1">
      <alignment horizontal="left" vertical="center" wrapText="1"/>
    </xf>
    <xf numFmtId="0" fontId="10" fillId="2" borderId="0" xfId="4" applyFont="1" applyFill="1" applyAlignment="1">
      <alignment horizontal="center" wrapText="1"/>
    </xf>
    <xf numFmtId="0" fontId="10" fillId="2" borderId="2" xfId="4" applyFont="1" applyFill="1" applyBorder="1" applyAlignment="1">
      <alignment horizontal="center" wrapText="1"/>
    </xf>
    <xf numFmtId="0" fontId="109" fillId="0" borderId="0" xfId="10" applyFont="1" applyAlignment="1">
      <alignment horizontal="left" wrapText="1"/>
    </xf>
    <xf numFmtId="0" fontId="5" fillId="2" borderId="3" xfId="38" applyFont="1" applyFill="1" applyBorder="1" applyAlignment="1">
      <alignment horizontal="center" vertical="center" wrapText="1"/>
    </xf>
    <xf numFmtId="0" fontId="5" fillId="15" borderId="0" xfId="38" applyFont="1" applyFill="1" applyAlignment="1">
      <alignment horizontal="center" vertical="center"/>
    </xf>
    <xf numFmtId="0" fontId="5" fillId="0" borderId="0" xfId="38" applyFont="1" applyAlignment="1">
      <alignment horizontal="center" vertical="center" wrapText="1"/>
    </xf>
    <xf numFmtId="0" fontId="5" fillId="0" borderId="0" xfId="38" applyFont="1" applyAlignment="1">
      <alignment horizontal="center" vertical="center"/>
    </xf>
    <xf numFmtId="0" fontId="7" fillId="2" borderId="3" xfId="38" applyFont="1" applyFill="1" applyBorder="1" applyAlignment="1">
      <alignment horizontal="center" vertical="center"/>
    </xf>
    <xf numFmtId="0" fontId="7" fillId="2" borderId="0" xfId="38" applyFont="1" applyFill="1" applyAlignment="1">
      <alignment horizontal="center" vertical="center"/>
    </xf>
    <xf numFmtId="0" fontId="5" fillId="2" borderId="3" xfId="38" applyFont="1" applyFill="1" applyBorder="1" applyAlignment="1">
      <alignment horizontal="center" vertical="center"/>
    </xf>
    <xf numFmtId="0" fontId="5" fillId="2" borderId="0" xfId="38" applyFont="1" applyFill="1" applyAlignment="1">
      <alignment horizontal="center" vertical="center"/>
    </xf>
    <xf numFmtId="0" fontId="109" fillId="0" borderId="0" xfId="38" applyFont="1" applyAlignment="1">
      <alignment horizontal="left" vertical="center" wrapText="1"/>
    </xf>
    <xf numFmtId="0" fontId="10" fillId="0" borderId="31" xfId="10" applyFont="1" applyBorder="1" applyAlignment="1">
      <alignment horizontal="center" vertical="center" wrapText="1"/>
    </xf>
    <xf numFmtId="0" fontId="10" fillId="0" borderId="27" xfId="10" applyFont="1" applyBorder="1" applyAlignment="1">
      <alignment horizontal="center" vertical="center" wrapText="1"/>
    </xf>
    <xf numFmtId="0" fontId="10" fillId="0" borderId="32" xfId="10" applyFont="1" applyBorder="1" applyAlignment="1">
      <alignment horizontal="center" vertical="center" wrapText="1"/>
    </xf>
    <xf numFmtId="0" fontId="10" fillId="0" borderId="2" xfId="10" applyFont="1" applyBorder="1" applyAlignment="1">
      <alignment horizontal="center" vertical="center" wrapText="1"/>
    </xf>
    <xf numFmtId="0" fontId="55" fillId="0" borderId="0" xfId="10" applyFont="1" applyAlignment="1">
      <alignment horizontal="left" vertical="center" wrapText="1"/>
    </xf>
    <xf numFmtId="0" fontId="113" fillId="0" borderId="0" xfId="10" applyFont="1" applyAlignment="1">
      <alignment horizontal="left" wrapText="1"/>
    </xf>
    <xf numFmtId="2" fontId="13" fillId="0" borderId="0" xfId="39" applyNumberFormat="1" applyFont="1" applyAlignment="1" applyProtection="1">
      <alignment horizontal="left" vertical="center" wrapText="1"/>
      <protection locked="0"/>
    </xf>
    <xf numFmtId="0" fontId="6" fillId="0" borderId="0" xfId="40" applyAlignment="1">
      <alignment horizontal="left" vertical="center" wrapText="1"/>
    </xf>
    <xf numFmtId="0" fontId="4" fillId="0" borderId="0" xfId="4" applyFont="1" applyAlignment="1">
      <alignment horizontal="left" wrapText="1"/>
    </xf>
    <xf numFmtId="0" fontId="4" fillId="0" borderId="4" xfId="4" applyFont="1" applyBorder="1" applyAlignment="1">
      <alignment horizontal="left"/>
    </xf>
    <xf numFmtId="0" fontId="116" fillId="0" borderId="0" xfId="40" applyFont="1" applyAlignment="1">
      <alignment horizontal="left" vertical="center" wrapText="1"/>
    </xf>
    <xf numFmtId="0" fontId="7" fillId="0" borderId="0" xfId="0" applyFont="1" applyAlignment="1">
      <alignment horizontal="center" vertical="center"/>
    </xf>
    <xf numFmtId="0" fontId="7" fillId="2" borderId="0" xfId="0" applyFont="1" applyFill="1" applyAlignment="1">
      <alignment horizontal="center" vertical="center"/>
    </xf>
    <xf numFmtId="0" fontId="7" fillId="0" borderId="3" xfId="0" applyFont="1" applyBorder="1" applyAlignment="1">
      <alignment horizontal="center" vertical="center"/>
    </xf>
    <xf numFmtId="0" fontId="7" fillId="0" borderId="2" xfId="0" applyFont="1" applyBorder="1" applyAlignment="1">
      <alignment horizontal="center" vertical="center"/>
    </xf>
    <xf numFmtId="4" fontId="4" fillId="0" borderId="12" xfId="4" applyNumberFormat="1" applyFont="1" applyBorder="1" applyAlignment="1">
      <alignment horizontal="left"/>
    </xf>
    <xf numFmtId="4" fontId="4" fillId="0" borderId="0" xfId="4" applyNumberFormat="1" applyFont="1" applyAlignment="1">
      <alignment horizontal="left" wrapText="1"/>
    </xf>
    <xf numFmtId="4" fontId="9" fillId="2" borderId="0" xfId="4" applyNumberFormat="1" applyFont="1" applyFill="1" applyAlignment="1">
      <alignment horizontal="left"/>
    </xf>
    <xf numFmtId="0" fontId="4" fillId="0" borderId="14" xfId="4" applyFont="1" applyBorder="1" applyAlignment="1">
      <alignment horizontal="left"/>
    </xf>
    <xf numFmtId="0" fontId="8" fillId="0" borderId="12" xfId="0" applyFont="1" applyBorder="1"/>
    <xf numFmtId="0" fontId="8" fillId="0" borderId="0" xfId="0" applyFont="1"/>
    <xf numFmtId="0" fontId="4" fillId="0" borderId="12" xfId="4" applyFont="1" applyBorder="1"/>
    <xf numFmtId="0" fontId="9" fillId="2" borderId="0" xfId="4" applyFont="1" applyFill="1"/>
    <xf numFmtId="0" fontId="80" fillId="2" borderId="0" xfId="4" applyFont="1" applyFill="1" applyAlignment="1">
      <alignment horizontal="left"/>
    </xf>
    <xf numFmtId="0" fontId="15" fillId="2" borderId="3" xfId="0" applyFont="1" applyFill="1" applyBorder="1" applyAlignment="1">
      <alignment horizontal="center" vertical="center"/>
    </xf>
    <xf numFmtId="0" fontId="15" fillId="2" borderId="2" xfId="0" applyFont="1" applyFill="1" applyBorder="1" applyAlignment="1">
      <alignment horizontal="center" vertical="center"/>
    </xf>
    <xf numFmtId="0" fontId="14" fillId="2" borderId="3" xfId="0" applyFont="1" applyFill="1" applyBorder="1" applyAlignment="1">
      <alignment horizontal="center" vertical="center" wrapText="1"/>
    </xf>
    <xf numFmtId="0" fontId="14" fillId="2" borderId="2" xfId="0" applyFont="1" applyFill="1" applyBorder="1" applyAlignment="1">
      <alignment horizontal="center" vertical="center"/>
    </xf>
    <xf numFmtId="0" fontId="14" fillId="0" borderId="0" xfId="0" applyFont="1" applyAlignment="1">
      <alignment horizontal="center" vertical="center" wrapText="1"/>
    </xf>
    <xf numFmtId="0" fontId="14" fillId="0" borderId="0" xfId="0" applyFont="1" applyAlignment="1">
      <alignment horizontal="center" vertical="center"/>
    </xf>
    <xf numFmtId="0" fontId="14" fillId="2" borderId="2" xfId="0" applyFont="1" applyFill="1" applyBorder="1" applyAlignment="1">
      <alignment horizontal="center" vertical="center" wrapText="1"/>
    </xf>
    <xf numFmtId="0" fontId="63" fillId="0" borderId="12" xfId="0" applyFont="1" applyBorder="1" applyAlignment="1">
      <alignment horizontal="left"/>
    </xf>
    <xf numFmtId="0" fontId="63" fillId="0" borderId="0" xfId="0" applyFont="1" applyAlignment="1">
      <alignment horizontal="left"/>
    </xf>
    <xf numFmtId="0" fontId="63" fillId="0" borderId="0" xfId="0" applyFont="1" applyAlignment="1">
      <alignment horizontal="left" wrapText="1"/>
    </xf>
    <xf numFmtId="0" fontId="14" fillId="2" borderId="3" xfId="0" applyFont="1" applyFill="1" applyBorder="1" applyAlignment="1">
      <alignment horizontal="center" vertical="center"/>
    </xf>
    <xf numFmtId="0" fontId="63" fillId="0" borderId="12" xfId="4" applyFont="1" applyBorder="1" applyAlignment="1">
      <alignment horizontal="left"/>
    </xf>
    <xf numFmtId="0" fontId="63" fillId="0" borderId="0" xfId="4" applyFont="1" applyAlignment="1">
      <alignment horizontal="left" vertical="top" wrapText="1"/>
    </xf>
    <xf numFmtId="0" fontId="63" fillId="0" borderId="0" xfId="4" applyFont="1" applyAlignment="1">
      <alignment horizontal="left" wrapText="1"/>
    </xf>
    <xf numFmtId="43" fontId="86" fillId="2" borderId="0" xfId="1" applyFont="1" applyFill="1" applyAlignment="1">
      <alignment horizontal="left"/>
    </xf>
    <xf numFmtId="0" fontId="9" fillId="0" borderId="0" xfId="4" applyFont="1" applyAlignment="1">
      <alignment horizontal="left"/>
    </xf>
    <xf numFmtId="0" fontId="41" fillId="0" borderId="0" xfId="4" applyFont="1" applyAlignment="1">
      <alignment horizontal="left" vertical="center" wrapText="1"/>
    </xf>
    <xf numFmtId="0" fontId="41" fillId="0" borderId="0" xfId="4" applyFont="1" applyAlignment="1">
      <alignment horizontal="left" vertical="top" wrapText="1"/>
    </xf>
    <xf numFmtId="0" fontId="9" fillId="4" borderId="0" xfId="4" applyFont="1" applyFill="1" applyAlignment="1">
      <alignment horizontal="left"/>
    </xf>
    <xf numFmtId="0" fontId="41" fillId="0" borderId="0" xfId="0" applyFont="1" applyAlignment="1">
      <alignment horizontal="left" vertical="top" wrapText="1"/>
    </xf>
    <xf numFmtId="0" fontId="9" fillId="0" borderId="0" xfId="4" applyFont="1" applyAlignment="1">
      <alignment horizontal="left" wrapText="1"/>
    </xf>
    <xf numFmtId="4" fontId="9" fillId="4" borderId="0" xfId="4" applyNumberFormat="1" applyFont="1" applyFill="1" applyAlignment="1">
      <alignment horizontal="left"/>
    </xf>
    <xf numFmtId="4" fontId="9" fillId="0" borderId="0" xfId="4" applyNumberFormat="1" applyFont="1" applyAlignment="1">
      <alignment horizontal="left" vertical="top" wrapText="1"/>
    </xf>
    <xf numFmtId="0" fontId="0" fillId="0" borderId="0" xfId="0"/>
    <xf numFmtId="0" fontId="9" fillId="9" borderId="0" xfId="4" applyFont="1" applyFill="1" applyAlignment="1">
      <alignment horizontal="left"/>
    </xf>
    <xf numFmtId="0" fontId="20" fillId="4" borderId="0" xfId="0" applyFont="1" applyFill="1" applyAlignment="1">
      <alignment horizontal="center" vertical="center" wrapText="1"/>
    </xf>
    <xf numFmtId="0" fontId="20" fillId="4" borderId="0" xfId="0" applyFont="1" applyFill="1" applyAlignment="1">
      <alignment horizontal="center" vertical="center"/>
    </xf>
    <xf numFmtId="0" fontId="20" fillId="4" borderId="3" xfId="0" applyFont="1" applyFill="1" applyBorder="1" applyAlignment="1">
      <alignment horizontal="center" vertical="center"/>
    </xf>
    <xf numFmtId="0" fontId="20" fillId="4" borderId="2" xfId="0" applyFont="1" applyFill="1" applyBorder="1" applyAlignment="1">
      <alignment horizontal="center" vertical="center"/>
    </xf>
    <xf numFmtId="0" fontId="20" fillId="4" borderId="3" xfId="0" applyFont="1" applyFill="1" applyBorder="1" applyAlignment="1">
      <alignment horizontal="center" vertical="center" wrapText="1"/>
    </xf>
    <xf numFmtId="0" fontId="37" fillId="0" borderId="0" xfId="0" applyFont="1" applyAlignment="1">
      <alignment horizontal="left"/>
    </xf>
    <xf numFmtId="0" fontId="20" fillId="0" borderId="0" xfId="0" applyFont="1" applyAlignment="1">
      <alignment horizontal="center" vertical="center" wrapText="1"/>
    </xf>
    <xf numFmtId="0" fontId="20" fillId="0" borderId="0" xfId="0" applyFont="1" applyAlignment="1">
      <alignment horizontal="center" vertical="center"/>
    </xf>
    <xf numFmtId="0" fontId="20" fillId="0" borderId="3" xfId="0" applyFont="1" applyBorder="1" applyAlignment="1">
      <alignment horizontal="center" vertical="center" wrapText="1"/>
    </xf>
    <xf numFmtId="0" fontId="20" fillId="0" borderId="2" xfId="0" applyFont="1" applyBorder="1" applyAlignment="1">
      <alignment horizontal="center" vertical="center"/>
    </xf>
    <xf numFmtId="0" fontId="20" fillId="0" borderId="3" xfId="0" applyFont="1" applyBorder="1" applyAlignment="1">
      <alignment horizontal="center" vertical="center"/>
    </xf>
    <xf numFmtId="0" fontId="10" fillId="0" borderId="0" xfId="0" applyFont="1" applyAlignment="1" applyProtection="1">
      <alignment horizontal="left" vertical="center" wrapText="1"/>
      <protection locked="0"/>
    </xf>
    <xf numFmtId="0" fontId="4" fillId="0" borderId="0" xfId="4" applyFont="1" applyAlignment="1">
      <alignment horizontal="left" vertical="center" wrapText="1"/>
    </xf>
    <xf numFmtId="4" fontId="9" fillId="0" borderId="0" xfId="4" applyNumberFormat="1" applyFont="1" applyAlignment="1">
      <alignment horizontal="left"/>
    </xf>
    <xf numFmtId="0" fontId="20" fillId="0" borderId="2" xfId="0" applyFont="1" applyBorder="1" applyAlignment="1">
      <alignment horizontal="center" vertical="center" wrapText="1"/>
    </xf>
    <xf numFmtId="0" fontId="8" fillId="0" borderId="0" xfId="21" applyFont="1" applyAlignment="1">
      <alignment horizontal="left" wrapText="1"/>
    </xf>
    <xf numFmtId="0" fontId="36" fillId="0" borderId="0" xfId="0" applyFont="1" applyAlignment="1">
      <alignment horizontal="left" vertical="top"/>
    </xf>
    <xf numFmtId="0" fontId="4" fillId="9" borderId="12" xfId="4" applyFont="1" applyFill="1" applyBorder="1" applyAlignment="1">
      <alignment horizontal="left"/>
    </xf>
    <xf numFmtId="0" fontId="4" fillId="9" borderId="0" xfId="4" applyFont="1" applyFill="1" applyAlignment="1">
      <alignment horizontal="left"/>
    </xf>
    <xf numFmtId="0" fontId="10" fillId="4" borderId="0" xfId="4" applyFont="1" applyFill="1" applyAlignment="1">
      <alignment horizontal="left"/>
    </xf>
    <xf numFmtId="0" fontId="37" fillId="0" borderId="12" xfId="0" applyFont="1" applyBorder="1" applyAlignment="1">
      <alignment horizontal="left"/>
    </xf>
    <xf numFmtId="0" fontId="20" fillId="0" borderId="0" xfId="0" applyFont="1" applyAlignment="1">
      <alignment horizontal="left"/>
    </xf>
    <xf numFmtId="0" fontId="20" fillId="0" borderId="0" xfId="0" applyFont="1" applyAlignment="1">
      <alignment horizontal="left" vertical="top"/>
    </xf>
    <xf numFmtId="0" fontId="29" fillId="0" borderId="0" xfId="0" applyFont="1" applyAlignment="1">
      <alignment horizontal="center" vertical="center" wrapText="1"/>
    </xf>
    <xf numFmtId="0" fontId="29" fillId="0" borderId="0" xfId="0" applyFont="1" applyAlignment="1">
      <alignment horizontal="center" vertical="center"/>
    </xf>
    <xf numFmtId="0" fontId="29" fillId="4" borderId="3" xfId="0" applyFont="1" applyFill="1" applyBorder="1" applyAlignment="1">
      <alignment horizontal="center" vertical="center"/>
    </xf>
    <xf numFmtId="0" fontId="29" fillId="4" borderId="2" xfId="0" applyFont="1" applyFill="1" applyBorder="1" applyAlignment="1">
      <alignment horizontal="center" vertical="center"/>
    </xf>
    <xf numFmtId="0" fontId="29" fillId="4" borderId="3" xfId="0" applyFont="1" applyFill="1" applyBorder="1" applyAlignment="1">
      <alignment horizontal="center" vertical="center" wrapText="1"/>
    </xf>
    <xf numFmtId="0" fontId="29" fillId="4" borderId="0" xfId="0" applyFont="1" applyFill="1" applyAlignment="1">
      <alignment horizontal="center" vertical="center"/>
    </xf>
    <xf numFmtId="0" fontId="37" fillId="0" borderId="0" xfId="0" applyFont="1" applyAlignment="1">
      <alignment horizontal="left" wrapText="1"/>
    </xf>
    <xf numFmtId="0" fontId="4" fillId="0" borderId="12" xfId="4" applyFont="1" applyBorder="1" applyAlignment="1">
      <alignment horizontal="center"/>
    </xf>
    <xf numFmtId="0" fontId="20" fillId="4" borderId="3" xfId="0" applyFont="1" applyFill="1" applyBorder="1" applyAlignment="1">
      <alignment horizontal="right" vertical="center"/>
    </xf>
    <xf numFmtId="0" fontId="20" fillId="4" borderId="2" xfId="0" applyFont="1" applyFill="1" applyBorder="1" applyAlignment="1">
      <alignment horizontal="right" vertical="center"/>
    </xf>
    <xf numFmtId="4" fontId="20" fillId="4" borderId="3" xfId="0" applyNumberFormat="1" applyFont="1" applyFill="1" applyBorder="1" applyAlignment="1">
      <alignment horizontal="center" vertical="center" wrapText="1"/>
    </xf>
    <xf numFmtId="4" fontId="20" fillId="4" borderId="2" xfId="0" applyNumberFormat="1" applyFont="1" applyFill="1" applyBorder="1" applyAlignment="1">
      <alignment horizontal="center" vertical="center"/>
    </xf>
    <xf numFmtId="4" fontId="20" fillId="4" borderId="0" xfId="0" applyNumberFormat="1" applyFont="1" applyFill="1" applyAlignment="1">
      <alignment horizontal="center" vertical="center"/>
    </xf>
    <xf numFmtId="4" fontId="20" fillId="0" borderId="0" xfId="0" applyNumberFormat="1" applyFont="1" applyAlignment="1">
      <alignment horizontal="center" vertical="center" wrapText="1"/>
    </xf>
    <xf numFmtId="4" fontId="20" fillId="0" borderId="0" xfId="0" applyNumberFormat="1" applyFont="1" applyAlignment="1">
      <alignment horizontal="center" vertical="center"/>
    </xf>
    <xf numFmtId="0" fontId="20" fillId="4" borderId="3" xfId="0" applyFont="1" applyFill="1" applyBorder="1" applyAlignment="1">
      <alignment horizontal="right" vertical="center" wrapText="1"/>
    </xf>
    <xf numFmtId="0" fontId="20" fillId="4" borderId="0" xfId="0" applyFont="1" applyFill="1" applyAlignment="1">
      <alignment horizontal="right" vertical="center"/>
    </xf>
    <xf numFmtId="0" fontId="8" fillId="0" borderId="0" xfId="0" applyFont="1" applyAlignment="1">
      <alignment wrapText="1"/>
    </xf>
    <xf numFmtId="0" fontId="17" fillId="0" borderId="12" xfId="0" applyFont="1" applyBorder="1" applyAlignment="1" applyProtection="1">
      <alignment horizontal="left" vertical="center" wrapText="1" indent="1"/>
      <protection locked="0"/>
    </xf>
    <xf numFmtId="0" fontId="93" fillId="0" borderId="0" xfId="4" applyFont="1" applyAlignment="1">
      <alignment horizontal="left" wrapText="1"/>
    </xf>
    <xf numFmtId="0" fontId="93" fillId="0" borderId="0" xfId="4" applyFont="1" applyAlignment="1">
      <alignment horizontal="left" vertical="center" wrapText="1"/>
    </xf>
    <xf numFmtId="0" fontId="101" fillId="0" borderId="0" xfId="4" applyFont="1" applyAlignment="1">
      <alignment horizontal="left" vertical="top" wrapText="1"/>
    </xf>
    <xf numFmtId="0" fontId="0" fillId="0" borderId="12" xfId="0" applyBorder="1"/>
    <xf numFmtId="0" fontId="13" fillId="4" borderId="10" xfId="4" applyFont="1" applyFill="1" applyBorder="1" applyAlignment="1">
      <alignment horizontal="center" vertical="center" wrapText="1"/>
    </xf>
    <xf numFmtId="0" fontId="29" fillId="0" borderId="3" xfId="0" applyFont="1" applyBorder="1" applyAlignment="1">
      <alignment horizontal="center" vertical="center" wrapText="1"/>
    </xf>
    <xf numFmtId="0" fontId="20" fillId="4" borderId="2" xfId="0" applyFont="1" applyFill="1" applyBorder="1" applyAlignment="1">
      <alignment horizontal="center" vertical="center" wrapText="1"/>
    </xf>
    <xf numFmtId="3" fontId="19" fillId="0" borderId="4" xfId="0" applyNumberFormat="1" applyFont="1" applyBorder="1" applyAlignment="1">
      <alignment horizontal="center" vertical="center"/>
    </xf>
    <xf numFmtId="0" fontId="10" fillId="13" borderId="0" xfId="4" applyFont="1" applyFill="1" applyAlignment="1" applyProtection="1">
      <alignment horizontal="center"/>
      <protection locked="0"/>
    </xf>
    <xf numFmtId="0" fontId="10" fillId="14" borderId="0" xfId="4" applyFont="1" applyFill="1" applyAlignment="1" applyProtection="1">
      <alignment horizontal="center"/>
      <protection locked="0"/>
    </xf>
    <xf numFmtId="0" fontId="10" fillId="0" borderId="0" xfId="4" applyFont="1" applyAlignment="1" applyProtection="1">
      <alignment horizontal="center" vertical="center"/>
      <protection locked="0"/>
    </xf>
    <xf numFmtId="0" fontId="17" fillId="0" borderId="0" xfId="4" applyFont="1" applyAlignment="1" applyProtection="1">
      <alignment horizontal="center" vertical="center"/>
      <protection locked="0"/>
    </xf>
    <xf numFmtId="0" fontId="66" fillId="0" borderId="20" xfId="0" applyFont="1" applyBorder="1" applyAlignment="1" applyProtection="1">
      <alignment horizontal="center"/>
      <protection locked="0"/>
    </xf>
    <xf numFmtId="0" fontId="66" fillId="0" borderId="10" xfId="0" applyFont="1" applyBorder="1" applyAlignment="1" applyProtection="1">
      <alignment horizontal="center"/>
      <protection locked="0"/>
    </xf>
    <xf numFmtId="0" fontId="66" fillId="0" borderId="21" xfId="0" applyFont="1" applyBorder="1" applyAlignment="1" applyProtection="1">
      <alignment horizontal="center"/>
      <protection locked="0"/>
    </xf>
    <xf numFmtId="0" fontId="66" fillId="0" borderId="25" xfId="0" applyFont="1" applyBorder="1" applyAlignment="1" applyProtection="1">
      <alignment horizontal="center"/>
      <protection locked="0"/>
    </xf>
    <xf numFmtId="0" fontId="66" fillId="0" borderId="3" xfId="0" applyFont="1" applyBorder="1" applyAlignment="1" applyProtection="1">
      <alignment horizontal="center"/>
      <protection locked="0"/>
    </xf>
    <xf numFmtId="0" fontId="66" fillId="0" borderId="7" xfId="0" applyFont="1" applyBorder="1" applyAlignment="1" applyProtection="1">
      <alignment horizontal="center"/>
      <protection locked="0"/>
    </xf>
    <xf numFmtId="0" fontId="64" fillId="0" borderId="25" xfId="0" applyFont="1" applyBorder="1" applyAlignment="1">
      <alignment horizontal="center"/>
    </xf>
    <xf numFmtId="0" fontId="64" fillId="0" borderId="3" xfId="0" applyFont="1" applyBorder="1" applyAlignment="1">
      <alignment horizontal="center"/>
    </xf>
    <xf numFmtId="0" fontId="64" fillId="0" borderId="7" xfId="0" applyFont="1" applyBorder="1" applyAlignment="1">
      <alignment horizontal="center"/>
    </xf>
    <xf numFmtId="0" fontId="64" fillId="0" borderId="20" xfId="0" applyFont="1" applyBorder="1" applyAlignment="1">
      <alignment horizontal="center"/>
    </xf>
    <xf numFmtId="0" fontId="64" fillId="0" borderId="10" xfId="0" applyFont="1" applyBorder="1" applyAlignment="1">
      <alignment horizontal="center"/>
    </xf>
    <xf numFmtId="0" fontId="64" fillId="0" borderId="21" xfId="0" applyFont="1" applyBorder="1" applyAlignment="1">
      <alignment horizontal="center"/>
    </xf>
    <xf numFmtId="0" fontId="66" fillId="0" borderId="25" xfId="4" applyFont="1" applyBorder="1" applyAlignment="1">
      <alignment horizontal="center" vertical="center"/>
    </xf>
    <xf numFmtId="0" fontId="66" fillId="0" borderId="3" xfId="4" applyFont="1" applyBorder="1" applyAlignment="1">
      <alignment horizontal="center" vertical="center"/>
    </xf>
    <xf numFmtId="0" fontId="66" fillId="0" borderId="7" xfId="4" applyFont="1" applyBorder="1" applyAlignment="1">
      <alignment horizontal="center" vertical="center"/>
    </xf>
    <xf numFmtId="0" fontId="66" fillId="0" borderId="19" xfId="4" applyFont="1" applyBorder="1" applyAlignment="1" applyProtection="1">
      <alignment horizontal="center" vertical="center"/>
      <protection locked="0"/>
    </xf>
    <xf numFmtId="0" fontId="64" fillId="0" borderId="19" xfId="0" applyFont="1" applyBorder="1" applyAlignment="1" applyProtection="1">
      <alignment horizontal="center"/>
      <protection locked="0"/>
    </xf>
    <xf numFmtId="0" fontId="10" fillId="0" borderId="0" xfId="4" applyFont="1" applyAlignment="1" applyProtection="1">
      <alignment horizontal="center" vertical="center" wrapText="1"/>
      <protection locked="0"/>
    </xf>
    <xf numFmtId="0" fontId="10" fillId="0" borderId="0" xfId="4" applyFont="1" applyAlignment="1" applyProtection="1">
      <alignment horizontal="left" vertical="center"/>
      <protection locked="0"/>
    </xf>
    <xf numFmtId="0" fontId="10" fillId="13" borderId="0" xfId="4" applyFont="1" applyFill="1" applyAlignment="1" applyProtection="1">
      <alignment horizontal="left"/>
      <protection locked="0"/>
    </xf>
    <xf numFmtId="0" fontId="69" fillId="0" borderId="0" xfId="0" applyFont="1" applyAlignment="1" applyProtection="1">
      <alignment horizontal="center"/>
      <protection locked="0"/>
    </xf>
    <xf numFmtId="0" fontId="64" fillId="0" borderId="0" xfId="0" applyFont="1" applyAlignment="1" applyProtection="1">
      <alignment horizontal="center"/>
      <protection locked="0"/>
    </xf>
    <xf numFmtId="0" fontId="64" fillId="0" borderId="20" xfId="0" applyFont="1" applyBorder="1" applyAlignment="1" applyProtection="1">
      <alignment horizontal="center"/>
      <protection locked="0"/>
    </xf>
    <xf numFmtId="0" fontId="64" fillId="0" borderId="10" xfId="0" applyFont="1" applyBorder="1" applyAlignment="1" applyProtection="1">
      <alignment horizontal="center"/>
      <protection locked="0"/>
    </xf>
    <xf numFmtId="0" fontId="64" fillId="0" borderId="21" xfId="0" applyFont="1" applyBorder="1" applyAlignment="1" applyProtection="1">
      <alignment horizontal="center"/>
      <protection locked="0"/>
    </xf>
    <xf numFmtId="0" fontId="64" fillId="0" borderId="7" xfId="0" applyFont="1" applyBorder="1" applyAlignment="1" applyProtection="1">
      <alignment horizontal="center"/>
      <protection locked="0"/>
    </xf>
    <xf numFmtId="0" fontId="66" fillId="0" borderId="19" xfId="0" applyFont="1" applyBorder="1" applyAlignment="1" applyProtection="1">
      <alignment horizontal="center"/>
      <protection locked="0"/>
    </xf>
    <xf numFmtId="0" fontId="64" fillId="0" borderId="26" xfId="0" applyFont="1" applyBorder="1" applyAlignment="1" applyProtection="1">
      <alignment horizontal="center"/>
      <protection locked="0"/>
    </xf>
    <xf numFmtId="0" fontId="64" fillId="0" borderId="2" xfId="0" applyFont="1" applyBorder="1" applyAlignment="1" applyProtection="1">
      <alignment horizontal="center"/>
      <protection locked="0"/>
    </xf>
    <xf numFmtId="0" fontId="64" fillId="0" borderId="27" xfId="0" applyFont="1" applyBorder="1" applyAlignment="1" applyProtection="1">
      <alignment horizontal="center"/>
      <protection locked="0"/>
    </xf>
    <xf numFmtId="0" fontId="66" fillId="0" borderId="20" xfId="4" applyFont="1" applyBorder="1" applyAlignment="1" applyProtection="1">
      <alignment horizontal="center" vertical="center"/>
      <protection locked="0"/>
    </xf>
    <xf numFmtId="0" fontId="66" fillId="0" borderId="10" xfId="4" applyFont="1" applyBorder="1" applyAlignment="1" applyProtection="1">
      <alignment horizontal="center" vertical="center"/>
      <protection locked="0"/>
    </xf>
    <xf numFmtId="0" fontId="66" fillId="0" borderId="21" xfId="4" applyFont="1" applyBorder="1" applyAlignment="1" applyProtection="1">
      <alignment horizontal="center" vertical="center"/>
      <protection locked="0"/>
    </xf>
    <xf numFmtId="0" fontId="64" fillId="0" borderId="25" xfId="0" applyFont="1" applyBorder="1" applyAlignment="1" applyProtection="1">
      <alignment horizontal="center"/>
      <protection locked="0"/>
    </xf>
    <xf numFmtId="0" fontId="64" fillId="0" borderId="3" xfId="0" applyFont="1" applyBorder="1" applyAlignment="1" applyProtection="1">
      <alignment horizontal="center"/>
      <protection locked="0"/>
    </xf>
    <xf numFmtId="0" fontId="68" fillId="0" borderId="20" xfId="0" applyFont="1" applyBorder="1" applyAlignment="1" applyProtection="1">
      <alignment horizontal="center"/>
      <protection locked="0"/>
    </xf>
    <xf numFmtId="0" fontId="68" fillId="0" borderId="10" xfId="0" applyFont="1" applyBorder="1" applyAlignment="1" applyProtection="1">
      <alignment horizontal="center"/>
      <protection locked="0"/>
    </xf>
    <xf numFmtId="0" fontId="68" fillId="0" borderId="21" xfId="0" applyFont="1" applyBorder="1" applyAlignment="1" applyProtection="1">
      <alignment horizontal="center"/>
      <protection locked="0"/>
    </xf>
    <xf numFmtId="0" fontId="68" fillId="0" borderId="19" xfId="0" applyFont="1" applyBorder="1" applyAlignment="1" applyProtection="1">
      <alignment horizontal="center"/>
      <protection locked="0"/>
    </xf>
    <xf numFmtId="0" fontId="69" fillId="0" borderId="20" xfId="0" applyFont="1" applyBorder="1" applyAlignment="1" applyProtection="1">
      <alignment horizontal="center"/>
      <protection locked="0"/>
    </xf>
    <xf numFmtId="0" fontId="69" fillId="0" borderId="10" xfId="0" applyFont="1" applyBorder="1" applyAlignment="1" applyProtection="1">
      <alignment horizontal="center"/>
      <protection locked="0"/>
    </xf>
    <xf numFmtId="0" fontId="69" fillId="0" borderId="21" xfId="0" applyFont="1" applyBorder="1" applyAlignment="1" applyProtection="1">
      <alignment horizontal="center"/>
      <protection locked="0"/>
    </xf>
    <xf numFmtId="0" fontId="69" fillId="0" borderId="25" xfId="0" applyFont="1" applyBorder="1" applyAlignment="1" applyProtection="1">
      <alignment horizontal="center"/>
      <protection locked="0"/>
    </xf>
    <xf numFmtId="0" fontId="69" fillId="0" borderId="3" xfId="0" applyFont="1" applyBorder="1" applyAlignment="1" applyProtection="1">
      <alignment horizontal="center"/>
      <protection locked="0"/>
    </xf>
    <xf numFmtId="0" fontId="69" fillId="0" borderId="7" xfId="0" applyFont="1" applyBorder="1" applyAlignment="1" applyProtection="1">
      <alignment horizontal="center"/>
      <protection locked="0"/>
    </xf>
    <xf numFmtId="0" fontId="68" fillId="0" borderId="25" xfId="0" applyFont="1" applyBorder="1" applyAlignment="1" applyProtection="1">
      <alignment horizontal="center"/>
      <protection locked="0"/>
    </xf>
    <xf numFmtId="0" fontId="68" fillId="0" borderId="3" xfId="0" applyFont="1" applyBorder="1" applyAlignment="1" applyProtection="1">
      <alignment horizontal="center"/>
      <protection locked="0"/>
    </xf>
    <xf numFmtId="0" fontId="68" fillId="0" borderId="7" xfId="0" applyFont="1" applyBorder="1" applyAlignment="1" applyProtection="1">
      <alignment horizontal="center"/>
      <protection locked="0"/>
    </xf>
    <xf numFmtId="0" fontId="17" fillId="9" borderId="0" xfId="4" applyFont="1" applyFill="1" applyAlignment="1" applyProtection="1">
      <alignment horizontal="center" vertical="center"/>
      <protection locked="0"/>
    </xf>
    <xf numFmtId="0" fontId="66" fillId="0" borderId="0" xfId="4" applyFont="1" applyAlignment="1" applyProtection="1">
      <alignment horizontal="center" vertical="center"/>
      <protection locked="0"/>
    </xf>
    <xf numFmtId="0" fontId="66" fillId="0" borderId="20" xfId="4" applyFont="1" applyBorder="1" applyAlignment="1">
      <alignment horizontal="center" vertical="center"/>
    </xf>
    <xf numFmtId="0" fontId="66" fillId="0" borderId="10" xfId="4" applyFont="1" applyBorder="1" applyAlignment="1">
      <alignment horizontal="center" vertical="center"/>
    </xf>
    <xf numFmtId="0" fontId="66" fillId="0" borderId="21" xfId="4" applyFont="1" applyBorder="1" applyAlignment="1">
      <alignment horizontal="center" vertical="center"/>
    </xf>
    <xf numFmtId="0" fontId="66" fillId="0" borderId="26" xfId="0" applyFont="1" applyBorder="1" applyAlignment="1" applyProtection="1">
      <alignment horizontal="center"/>
      <protection locked="0"/>
    </xf>
    <xf numFmtId="0" fontId="66" fillId="0" borderId="2" xfId="0" applyFont="1" applyBorder="1" applyAlignment="1" applyProtection="1">
      <alignment horizontal="center"/>
      <protection locked="0"/>
    </xf>
    <xf numFmtId="0" fontId="66" fillId="0" borderId="27" xfId="0" applyFont="1" applyBorder="1" applyAlignment="1" applyProtection="1">
      <alignment horizontal="center"/>
      <protection locked="0"/>
    </xf>
    <xf numFmtId="0" fontId="64" fillId="0" borderId="26" xfId="0" applyFont="1" applyBorder="1" applyAlignment="1">
      <alignment horizontal="center"/>
    </xf>
    <xf numFmtId="0" fontId="64" fillId="0" borderId="2" xfId="0" applyFont="1" applyBorder="1" applyAlignment="1">
      <alignment horizontal="center"/>
    </xf>
    <xf numFmtId="0" fontId="64" fillId="0" borderId="27" xfId="0" applyFont="1" applyBorder="1" applyAlignment="1">
      <alignment horizontal="center"/>
    </xf>
    <xf numFmtId="0" fontId="66" fillId="0" borderId="26" xfId="4" applyFont="1" applyBorder="1" applyAlignment="1">
      <alignment horizontal="center" vertical="center"/>
    </xf>
    <xf numFmtId="0" fontId="66" fillId="0" borderId="2" xfId="4" applyFont="1" applyBorder="1" applyAlignment="1">
      <alignment horizontal="center" vertical="center"/>
    </xf>
    <xf numFmtId="0" fontId="66" fillId="0" borderId="27" xfId="4" applyFont="1" applyBorder="1" applyAlignment="1">
      <alignment horizontal="center" vertical="center"/>
    </xf>
    <xf numFmtId="0" fontId="63" fillId="0" borderId="3" xfId="0" applyFont="1" applyBorder="1" applyAlignment="1" applyProtection="1">
      <alignment horizontal="center" vertical="center" wrapText="1"/>
      <protection locked="0"/>
    </xf>
    <xf numFmtId="0" fontId="63" fillId="0" borderId="0" xfId="0" applyFont="1" applyAlignment="1" applyProtection="1">
      <alignment horizontal="center" vertical="center"/>
      <protection locked="0"/>
    </xf>
    <xf numFmtId="0" fontId="63" fillId="0" borderId="20" xfId="0" applyFont="1" applyBorder="1" applyAlignment="1" applyProtection="1">
      <alignment horizontal="center" vertical="center" wrapText="1"/>
      <protection locked="0"/>
    </xf>
    <xf numFmtId="0" fontId="63" fillId="0" borderId="21" xfId="0" applyFont="1" applyBorder="1" applyAlignment="1" applyProtection="1">
      <alignment horizontal="center" vertical="center" wrapText="1"/>
      <protection locked="0"/>
    </xf>
    <xf numFmtId="0" fontId="64" fillId="0" borderId="20" xfId="0" applyFont="1" applyBorder="1" applyAlignment="1">
      <alignment horizontal="center" vertical="center" wrapText="1"/>
    </xf>
    <xf numFmtId="0" fontId="64" fillId="0" borderId="10" xfId="0" applyFont="1" applyBorder="1" applyAlignment="1">
      <alignment horizontal="center" vertical="center" wrapText="1"/>
    </xf>
    <xf numFmtId="0" fontId="64" fillId="0" borderId="21" xfId="0" applyFont="1" applyBorder="1" applyAlignment="1">
      <alignment horizontal="center" vertical="center" wrapText="1"/>
    </xf>
    <xf numFmtId="0" fontId="64" fillId="0" borderId="20" xfId="0" applyFont="1" applyBorder="1" applyAlignment="1">
      <alignment horizontal="center" vertical="center"/>
    </xf>
    <xf numFmtId="0" fontId="64" fillId="0" borderId="10" xfId="0" applyFont="1" applyBorder="1" applyAlignment="1">
      <alignment horizontal="center" vertical="center"/>
    </xf>
    <xf numFmtId="0" fontId="64" fillId="0" borderId="21" xfId="0" applyFont="1" applyBorder="1" applyAlignment="1">
      <alignment horizontal="center" vertical="center"/>
    </xf>
    <xf numFmtId="0" fontId="10" fillId="0" borderId="19" xfId="4" applyFont="1" applyBorder="1" applyAlignment="1" applyProtection="1">
      <alignment horizontal="center" vertical="center"/>
      <protection locked="0"/>
    </xf>
    <xf numFmtId="0" fontId="10" fillId="0" borderId="25" xfId="4" applyFont="1" applyBorder="1" applyAlignment="1" applyProtection="1">
      <alignment horizontal="center" vertical="center"/>
      <protection locked="0"/>
    </xf>
    <xf numFmtId="0" fontId="63" fillId="0" borderId="3" xfId="0" applyFont="1" applyBorder="1" applyAlignment="1" applyProtection="1">
      <alignment horizontal="center" vertical="center"/>
      <protection locked="0"/>
    </xf>
    <xf numFmtId="0" fontId="10" fillId="0" borderId="28" xfId="4" applyFont="1" applyBorder="1" applyAlignment="1" applyProtection="1">
      <alignment horizontal="center" vertical="center"/>
      <protection locked="0"/>
    </xf>
    <xf numFmtId="0" fontId="10" fillId="0" borderId="9" xfId="4" applyFont="1" applyBorder="1" applyAlignment="1" applyProtection="1">
      <alignment horizontal="center" vertical="center"/>
      <protection locked="0"/>
    </xf>
    <xf numFmtId="0" fontId="63" fillId="0" borderId="25" xfId="0" applyFont="1" applyBorder="1" applyAlignment="1" applyProtection="1">
      <alignment horizontal="center" vertical="center"/>
      <protection locked="0"/>
    </xf>
    <xf numFmtId="0" fontId="63" fillId="0" borderId="16" xfId="0" applyFont="1" applyBorder="1" applyAlignment="1" applyProtection="1">
      <alignment horizontal="center" vertical="center"/>
      <protection locked="0"/>
    </xf>
    <xf numFmtId="0" fontId="69" fillId="0" borderId="25" xfId="0" applyFont="1" applyBorder="1" applyAlignment="1">
      <alignment horizontal="center" vertical="center"/>
    </xf>
    <xf numFmtId="0" fontId="69" fillId="0" borderId="3" xfId="0" applyFont="1" applyBorder="1" applyAlignment="1">
      <alignment horizontal="center" vertical="center"/>
    </xf>
    <xf numFmtId="0" fontId="69" fillId="0" borderId="7" xfId="0" applyFont="1" applyBorder="1" applyAlignment="1">
      <alignment horizontal="center" vertical="center"/>
    </xf>
    <xf numFmtId="0" fontId="10" fillId="14" borderId="0" xfId="4" applyFont="1" applyFill="1" applyAlignment="1" applyProtection="1">
      <alignment horizontal="left" vertical="center"/>
      <protection locked="0"/>
    </xf>
    <xf numFmtId="0" fontId="17" fillId="0" borderId="0" xfId="4" applyFont="1" applyAlignment="1" applyProtection="1">
      <alignment horizontal="left" vertical="center"/>
      <protection locked="0"/>
    </xf>
    <xf numFmtId="0" fontId="64" fillId="0" borderId="25" xfId="0" applyFont="1" applyBorder="1" applyAlignment="1">
      <alignment horizontal="center" vertical="center"/>
    </xf>
    <xf numFmtId="0" fontId="64" fillId="0" borderId="3" xfId="0" applyFont="1" applyBorder="1" applyAlignment="1">
      <alignment horizontal="center" vertical="center"/>
    </xf>
    <xf numFmtId="0" fontId="64" fillId="0" borderId="7" xfId="0" applyFont="1" applyBorder="1" applyAlignment="1">
      <alignment horizontal="center" vertical="center"/>
    </xf>
    <xf numFmtId="0" fontId="10" fillId="0" borderId="19" xfId="4" applyFont="1" applyBorder="1" applyAlignment="1" applyProtection="1">
      <alignment vertical="center"/>
      <protection locked="0"/>
    </xf>
    <xf numFmtId="0" fontId="10" fillId="0" borderId="20" xfId="4" applyFont="1" applyBorder="1" applyAlignment="1" applyProtection="1">
      <alignment vertical="center"/>
      <protection locked="0"/>
    </xf>
    <xf numFmtId="0" fontId="10" fillId="14" borderId="0" xfId="4" applyFont="1" applyFill="1" applyAlignment="1" applyProtection="1">
      <alignment horizontal="left"/>
      <protection locked="0"/>
    </xf>
    <xf numFmtId="0" fontId="10" fillId="0" borderId="20" xfId="4" applyFont="1" applyBorder="1" applyAlignment="1" applyProtection="1">
      <alignment horizontal="center" vertical="center"/>
      <protection locked="0"/>
    </xf>
    <xf numFmtId="0" fontId="10" fillId="0" borderId="25" xfId="4" applyFont="1" applyBorder="1" applyAlignment="1" applyProtection="1">
      <alignment vertical="center"/>
      <protection locked="0"/>
    </xf>
    <xf numFmtId="0" fontId="10" fillId="14" borderId="0" xfId="4" applyFont="1" applyFill="1" applyAlignment="1" applyProtection="1">
      <alignment horizontal="center" vertical="center"/>
      <protection locked="0"/>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protection locked="0"/>
    </xf>
    <xf numFmtId="0" fontId="10" fillId="0" borderId="16" xfId="4" applyFont="1" applyBorder="1" applyAlignment="1" applyProtection="1">
      <alignment horizontal="center" vertical="center"/>
      <protection locked="0"/>
    </xf>
    <xf numFmtId="0" fontId="64" fillId="0" borderId="25"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3" xfId="0" applyFont="1" applyBorder="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10" fillId="0" borderId="26" xfId="4" applyFont="1" applyBorder="1" applyAlignment="1" applyProtection="1">
      <alignment horizontal="center" vertical="center"/>
      <protection locked="0"/>
    </xf>
  </cellXfs>
  <cellStyles count="42">
    <cellStyle name="Comma 2" xfId="17" xr:uid="{7BE11BEC-7BDB-4D38-A976-1A9B82486FA1}"/>
    <cellStyle name="Comma 3" xfId="34" xr:uid="{537AC524-87D2-409C-9D2D-E651B8B7B5E9}"/>
    <cellStyle name="Comma 4" xfId="35" xr:uid="{236C2EBB-F3EB-463E-85D5-E4D93AB1C30B}"/>
    <cellStyle name="Comma_BIS Proposal Comp Tables - Aug05" xfId="19" xr:uid="{C4953A96-EF2F-42DF-81F5-EEFE48973C43}"/>
    <cellStyle name="Currency 2" xfId="13" xr:uid="{1CB41337-06BB-41D4-AD8C-5705F44BF24E}"/>
    <cellStyle name="Euro" xfId="31" xr:uid="{15552D1E-E93F-47CB-A431-050960D78669}"/>
    <cellStyle name="Incorrecto" xfId="36" builtinId="27"/>
    <cellStyle name="Millares" xfId="1" builtinId="3"/>
    <cellStyle name="Millares [0] 3" xfId="12" xr:uid="{0C5CF912-A0B7-4669-8B02-4D7A5E1ABA51}"/>
    <cellStyle name="Millares 2" xfId="33" xr:uid="{BE6438C3-6F70-492A-BBF1-857C238C61C2}"/>
    <cellStyle name="Millares 2 2 2" xfId="8" xr:uid="{41598095-EA24-4FAB-8C93-CBAA4EC404BA}"/>
    <cellStyle name="Millares 2 5" xfId="37" xr:uid="{D3DC7A49-9D13-4F1D-AE61-7A2648957C3B}"/>
    <cellStyle name="Millares 2 6" xfId="11" xr:uid="{C0FD5F64-16A0-4DE2-A52E-A0D1192C0604}"/>
    <cellStyle name="Millares 24" xfId="27" xr:uid="{883D6FC7-E8DA-4B74-A47F-17FA5F184175}"/>
    <cellStyle name="Millares 26" xfId="26" xr:uid="{B14958F9-5640-4E15-BCCB-51D3A711881D}"/>
    <cellStyle name="Millares 3" xfId="9" xr:uid="{38A4FC08-A701-467D-87D6-0F72895C667D}"/>
    <cellStyle name="Millares 30" xfId="28" xr:uid="{47DA9FBE-B873-4D24-882F-A95BC37EDA67}"/>
    <cellStyle name="Millares 38" xfId="29" xr:uid="{05AC7725-02E1-4E80-8575-EDFB866916EE}"/>
    <cellStyle name="Millares 47" xfId="32" xr:uid="{797FCFAC-11FB-437C-BBF2-9A4C65BC7EA3}"/>
    <cellStyle name="Millares 65" xfId="41" xr:uid="{B1D9A82A-887B-4BD5-B84D-25FF7D28483A}"/>
    <cellStyle name="Millares 66 2" xfId="24" xr:uid="{F6643E57-3BD6-465C-AFEC-6A06FA591FEF}"/>
    <cellStyle name="Millares 68 2" xfId="25" xr:uid="{516F3E82-6BE7-497C-BF92-19F1FB6BBEDC}"/>
    <cellStyle name="Moneda 2" xfId="23" xr:uid="{C8C16660-1134-4175-B388-77EDB32993A2}"/>
    <cellStyle name="Moneda 3" xfId="15" xr:uid="{E7776592-7D50-4F9C-A452-58FAC412D462}"/>
    <cellStyle name="Normal" xfId="0" builtinId="0"/>
    <cellStyle name="Normal - Style1" xfId="38" xr:uid="{2E067D04-A7A3-4F12-9789-CDA37FCC2896}"/>
    <cellStyle name="Normal 10" xfId="10" xr:uid="{4DBD6DE1-CDF5-4B55-81FE-1E78EEFF0091}"/>
    <cellStyle name="Normal 10 2" xfId="40" xr:uid="{AF911BD6-C847-44F3-B110-253085586929}"/>
    <cellStyle name="Normal 11" xfId="21" xr:uid="{0C8EA9C8-F7AC-4C78-B46F-4E1BA0173A5C}"/>
    <cellStyle name="Normal 16" xfId="7" xr:uid="{CBDCB59E-FE1C-4A89-BE8C-B710E07BCB23}"/>
    <cellStyle name="Normal 2" xfId="4" xr:uid="{458700B6-2821-4D8D-83E1-25514702F264}"/>
    <cellStyle name="Normal 2 10" xfId="14" xr:uid="{A64A6939-8AEE-4880-A19F-47F44E48A5B7}"/>
    <cellStyle name="Normal 2 2 2" xfId="5" xr:uid="{0AFBD329-6B0F-4799-952A-2D4042EF3505}"/>
    <cellStyle name="Normal 2 2 2 3" xfId="30" xr:uid="{46077CF2-DE9E-4A73-B68A-71B33F6741D4}"/>
    <cellStyle name="Normal 2 5 2 2" xfId="22" xr:uid="{D01387C7-4410-418C-AEF5-03D51FE6C938}"/>
    <cellStyle name="Normal 4 3" xfId="20" xr:uid="{E168CF6F-243C-4394-9FD1-CA61C4090B0F}"/>
    <cellStyle name="Normal 42" xfId="16" xr:uid="{CE29D1B1-3672-4C09-A564-B95B29D7858C}"/>
    <cellStyle name="Normal 9" xfId="3" xr:uid="{B4FA241B-0F13-454E-B333-D2911C3AE1DD}"/>
    <cellStyle name="Normal 9 2" xfId="39" xr:uid="{E25296B7-B6BE-4BCD-8200-335B36DCA699}"/>
    <cellStyle name="Porcentaje" xfId="2" builtinId="5"/>
    <cellStyle name="Porcentaje 2" xfId="6" xr:uid="{E73648FF-83CE-4E9C-9853-3053E0A5D33A}"/>
    <cellStyle name="Vírgula 11" xfId="18" xr:uid="{2C162DAF-C9D7-4D5D-9AA5-162FFBBF8049}"/>
  </cellStyles>
  <dxfs count="19">
    <dxf>
      <font>
        <b/>
        <i val="0"/>
      </font>
      <fill>
        <patternFill>
          <bgColor rgb="FF00B0F0"/>
        </patternFill>
      </fill>
    </dxf>
    <dxf>
      <font>
        <b/>
        <i val="0"/>
      </font>
      <fill>
        <patternFill>
          <bgColor rgb="FF00B0F0"/>
        </patternFill>
      </fill>
    </dxf>
    <dxf>
      <font>
        <b/>
        <i val="0"/>
      </font>
      <fill>
        <patternFill>
          <bgColor rgb="FF00B0F0"/>
        </patternFill>
      </fill>
    </dxf>
    <dxf>
      <font>
        <b/>
        <i val="0"/>
      </font>
      <fill>
        <patternFill>
          <bgColor rgb="FF00B0F0"/>
        </patternFill>
      </fill>
    </dxf>
    <dxf>
      <font>
        <b/>
        <i val="0"/>
      </font>
      <fill>
        <patternFill>
          <bgColor rgb="FF00B0F0"/>
        </patternFill>
      </fill>
    </dxf>
    <dxf>
      <font>
        <b/>
        <i val="0"/>
      </font>
      <fill>
        <patternFill>
          <bgColor rgb="FF00B0F0"/>
        </patternFill>
      </fill>
    </dxf>
    <dxf>
      <font>
        <b/>
        <i val="0"/>
      </font>
      <fill>
        <patternFill>
          <bgColor rgb="FF00B0F0"/>
        </patternFill>
      </fill>
    </dxf>
    <dxf>
      <font>
        <b/>
        <i val="0"/>
      </font>
      <fill>
        <patternFill>
          <bgColor rgb="FF00B0F0"/>
        </patternFill>
      </fill>
    </dxf>
    <dxf>
      <font>
        <b/>
        <i val="0"/>
      </font>
      <fill>
        <patternFill>
          <bgColor rgb="FF00B0F0"/>
        </patternFill>
      </fill>
    </dxf>
    <dxf>
      <font>
        <b/>
        <i val="0"/>
      </font>
      <fill>
        <patternFill>
          <bgColor rgb="FF00B0F0"/>
        </patternFill>
      </fill>
    </dxf>
    <dxf>
      <font>
        <b/>
        <i val="0"/>
      </font>
      <fill>
        <patternFill>
          <bgColor rgb="FF00B0F0"/>
        </patternFill>
      </fill>
    </dxf>
    <dxf>
      <font>
        <b/>
        <i val="0"/>
      </font>
      <fill>
        <patternFill>
          <bgColor rgb="FF00B0F0"/>
        </patternFill>
      </fill>
    </dxf>
    <dxf>
      <font>
        <b/>
        <i val="0"/>
      </font>
      <fill>
        <patternFill>
          <bgColor rgb="FF00B0F0"/>
        </patternFill>
      </fill>
    </dxf>
    <dxf>
      <font>
        <b/>
        <i val="0"/>
      </font>
      <fill>
        <patternFill>
          <bgColor rgb="FF00B0F0"/>
        </patternFill>
      </fill>
    </dxf>
    <dxf>
      <font>
        <b/>
        <i val="0"/>
      </font>
      <fill>
        <patternFill>
          <bgColor rgb="FF00B0F0"/>
        </patternFill>
      </fill>
    </dxf>
    <dxf>
      <font>
        <b/>
        <i val="0"/>
      </font>
      <fill>
        <patternFill>
          <bgColor rgb="FF00B0F0"/>
        </patternFill>
      </fill>
    </dxf>
    <dxf>
      <font>
        <b/>
        <i val="0"/>
      </font>
      <fill>
        <patternFill>
          <bgColor rgb="FF00B0F0"/>
        </patternFill>
      </fill>
    </dxf>
    <dxf>
      <font>
        <b/>
        <i val="0"/>
      </font>
      <fill>
        <patternFill>
          <bgColor rgb="FF00B0F0"/>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775</xdr:row>
      <xdr:rowOff>0</xdr:rowOff>
    </xdr:from>
    <xdr:to>
      <xdr:col>22</xdr:col>
      <xdr:colOff>598952</xdr:colOff>
      <xdr:row>796</xdr:row>
      <xdr:rowOff>55572</xdr:rowOff>
    </xdr:to>
    <xdr:pic>
      <xdr:nvPicPr>
        <xdr:cNvPr id="2" name="Imagen 5">
          <a:extLst>
            <a:ext uri="{FF2B5EF4-FFF2-40B4-BE49-F238E27FC236}">
              <a16:creationId xmlns:a16="http://schemas.microsoft.com/office/drawing/2014/main" id="{D899AD9E-7717-451E-B692-B71D5C8BB918}"/>
            </a:ext>
          </a:extLst>
        </xdr:cNvPr>
        <xdr:cNvPicPr>
          <a:picLocks noChangeAspect="1"/>
        </xdr:cNvPicPr>
      </xdr:nvPicPr>
      <xdr:blipFill>
        <a:blip xmlns:r="http://schemas.openxmlformats.org/officeDocument/2006/relationships" r:embed="rId1"/>
        <a:stretch>
          <a:fillRect/>
        </a:stretch>
      </xdr:blipFill>
      <xdr:spPr>
        <a:xfrm>
          <a:off x="10391775" y="150990300"/>
          <a:ext cx="8980952" cy="416084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Sara\Downloads\FHO%20-%20Estadisticas%20Libro%20Amarillo%20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gherd/OneDrive/Escritorio/CEMLA/Yellowbook/YB%20COUNTRY%20TABLES%202014-2020%20FINAL_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A2"/>
      <sheetName val="A3"/>
      <sheetName val="A4"/>
      <sheetName val="A5"/>
      <sheetName val="A6"/>
      <sheetName val="A7"/>
      <sheetName val="A8"/>
      <sheetName val="A9"/>
      <sheetName val="A10 A11"/>
      <sheetName val="A12 A13"/>
      <sheetName val="A14 "/>
      <sheetName val="A15"/>
      <sheetName val="A16"/>
      <sheetName val="A17 A18"/>
      <sheetName val="A19"/>
      <sheetName val="A20 A21"/>
      <sheetName val="A22"/>
      <sheetName val="A23 A24"/>
      <sheetName val="A25 A26"/>
      <sheetName val="SP1"/>
      <sheetName val="TRS1"/>
      <sheetName val="ECC1"/>
      <sheetName val="DCV1"/>
      <sheetName val="B1"/>
      <sheetName val="B2"/>
      <sheetName val="B3"/>
      <sheetName val="B4"/>
      <sheetName val="B5"/>
      <sheetName val="B6"/>
      <sheetName val="B7"/>
    </sheetNames>
    <sheetDataSet>
      <sheetData sheetId="0">
        <row r="10">
          <cell r="Q10">
            <v>2.9849999999999999</v>
          </cell>
          <cell r="R10">
            <v>3.4104999999999999</v>
          </cell>
          <cell r="S10">
            <v>3.3559999999999999</v>
          </cell>
          <cell r="T10">
            <v>3.2414999999999998</v>
          </cell>
          <cell r="U10">
            <v>3.3740000000000001</v>
          </cell>
          <cell r="V10">
            <v>3.3140000000000001</v>
          </cell>
          <cell r="W10">
            <v>3.621</v>
          </cell>
          <cell r="X10">
            <v>3.9864999999999999</v>
          </cell>
        </row>
      </sheetData>
      <sheetData sheetId="1"/>
      <sheetData sheetId="2"/>
      <sheetData sheetId="3"/>
      <sheetData sheetId="4"/>
      <sheetData sheetId="5"/>
      <sheetData sheetId="6">
        <row r="8">
          <cell r="Q8">
            <v>1891361.9768767697</v>
          </cell>
          <cell r="R8">
            <v>1998155.605428475</v>
          </cell>
          <cell r="S8">
            <v>2004270.7065048364</v>
          </cell>
          <cell r="T8">
            <v>2377281.3662167834</v>
          </cell>
          <cell r="U8">
            <v>2983863.7879316737</v>
          </cell>
          <cell r="V8">
            <v>3708557.3178531555</v>
          </cell>
          <cell r="W8">
            <v>3903906.7230781959</v>
          </cell>
          <cell r="X8">
            <v>5100708.5874070283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RG"/>
      <sheetName val="BA"/>
      <sheetName val="BO"/>
      <sheetName val="BR"/>
      <sheetName val="CL"/>
      <sheetName val="CO"/>
      <sheetName val="CR"/>
      <sheetName val="CW"/>
      <sheetName val="EC"/>
      <sheetName val="SV"/>
      <sheetName val="GT"/>
      <sheetName val="HN"/>
      <sheetName val="JM"/>
      <sheetName val="PE"/>
      <sheetName val="PY"/>
      <sheetName val="RD"/>
      <sheetName val="TT"/>
      <sheetName val="Hoja1"/>
    </sheetNames>
    <sheetDataSet>
      <sheetData sheetId="0"/>
      <sheetData sheetId="1">
        <row r="6">
          <cell r="C6">
            <v>42.669499999999999</v>
          </cell>
        </row>
      </sheetData>
      <sheetData sheetId="2">
        <row r="6">
          <cell r="C6">
            <v>365.92</v>
          </cell>
        </row>
      </sheetData>
      <sheetData sheetId="3">
        <row r="6">
          <cell r="C6">
            <v>10383.760002361872</v>
          </cell>
        </row>
      </sheetData>
      <sheetData sheetId="4">
        <row r="6">
          <cell r="C6">
            <v>201717.541</v>
          </cell>
        </row>
      </sheetData>
      <sheetData sheetId="5">
        <row r="6">
          <cell r="C6">
            <v>17787.616999999998</v>
          </cell>
        </row>
        <row r="227">
          <cell r="C227">
            <v>511086.03509901039</v>
          </cell>
          <cell r="D227">
            <v>562371.82808608806</v>
          </cell>
          <cell r="E227">
            <v>456441.21685136965</v>
          </cell>
          <cell r="F227">
            <v>442575.49531813926</v>
          </cell>
          <cell r="G227">
            <v>478331.79960399395</v>
          </cell>
          <cell r="H227">
            <v>399418.46871164953</v>
          </cell>
          <cell r="I227">
            <v>172471.96675191817</v>
          </cell>
        </row>
      </sheetData>
      <sheetData sheetId="6">
        <row r="6">
          <cell r="C6">
            <v>47661.786999999997</v>
          </cell>
        </row>
        <row r="224">
          <cell r="C224">
            <v>146474.12693537824</v>
          </cell>
          <cell r="D224">
            <v>103905.74082367549</v>
          </cell>
          <cell r="E224">
            <v>87773.232965003161</v>
          </cell>
          <cell r="F224">
            <v>70800.880673635693</v>
          </cell>
          <cell r="G224">
            <v>63848.496973590118</v>
          </cell>
          <cell r="H224">
            <v>56534.207021551374</v>
          </cell>
          <cell r="I224">
            <v>34542.916605575527</v>
          </cell>
        </row>
      </sheetData>
      <sheetData sheetId="7">
        <row r="6">
          <cell r="C6">
            <v>4773.1189999999997</v>
          </cell>
        </row>
      </sheetData>
      <sheetData sheetId="8">
        <row r="6">
          <cell r="C6">
            <v>157</v>
          </cell>
        </row>
      </sheetData>
      <sheetData sheetId="9">
        <row r="6">
          <cell r="C6">
            <v>16.027466</v>
          </cell>
        </row>
      </sheetData>
      <sheetData sheetId="10">
        <row r="6">
          <cell r="C6">
            <v>6.4012399999999996</v>
          </cell>
        </row>
      </sheetData>
      <sheetData sheetId="11">
        <row r="6">
          <cell r="C6">
            <v>15806.674999999999</v>
          </cell>
        </row>
      </sheetData>
      <sheetData sheetId="12">
        <row r="6">
          <cell r="C6">
            <v>8432.15</v>
          </cell>
        </row>
      </sheetData>
      <sheetData sheetId="13">
        <row r="6">
          <cell r="C6">
            <v>2715.6570000000002</v>
          </cell>
        </row>
      </sheetData>
      <sheetData sheetId="14">
        <row r="6">
          <cell r="C6">
            <v>30814.174999999999</v>
          </cell>
        </row>
        <row r="39">
          <cell r="C39">
            <v>14133.005402904993</v>
          </cell>
          <cell r="D39">
            <v>12161.741213168478</v>
          </cell>
          <cell r="E39">
            <v>10766.268212969333</v>
          </cell>
          <cell r="F39">
            <v>10867.289506885121</v>
          </cell>
          <cell r="G39">
            <v>10380.383022302312</v>
          </cell>
          <cell r="H39">
            <v>12161.957223097119</v>
          </cell>
          <cell r="I39">
            <v>12097.000142582538</v>
          </cell>
        </row>
      </sheetData>
      <sheetData sheetId="15">
        <row r="6">
          <cell r="C6">
            <v>6657.2320000000009</v>
          </cell>
        </row>
      </sheetData>
      <sheetData sheetId="16">
        <row r="6">
          <cell r="C6">
            <v>9.8834859999999995</v>
          </cell>
        </row>
      </sheetData>
      <sheetData sheetId="17">
        <row r="6">
          <cell r="C6">
            <v>1345.3430000000001</v>
          </cell>
        </row>
      </sheetData>
      <sheetData sheetId="1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E8F17-5D6A-4B29-B6C6-7FA1912913A8}">
  <dimension ref="A1:D67"/>
  <sheetViews>
    <sheetView view="pageBreakPreview" zoomScale="60" workbookViewId="0">
      <selection activeCell="B16" sqref="B16"/>
    </sheetView>
  </sheetViews>
  <sheetFormatPr baseColWidth="10" defaultColWidth="11.453125" defaultRowHeight="14.5"/>
  <cols>
    <col min="2" max="2" width="103.26953125" customWidth="1"/>
    <col min="3" max="3" width="18.81640625" customWidth="1"/>
  </cols>
  <sheetData>
    <row r="1" spans="1:4">
      <c r="A1" s="372"/>
      <c r="B1" s="373"/>
      <c r="C1" s="373"/>
      <c r="D1" s="374"/>
    </row>
    <row r="2" spans="1:4" ht="36" customHeight="1">
      <c r="A2" s="372"/>
      <c r="B2" s="2013" t="s">
        <v>728</v>
      </c>
      <c r="C2" s="2014"/>
      <c r="D2" s="374"/>
    </row>
    <row r="3" spans="1:4" ht="28">
      <c r="A3" s="372"/>
      <c r="B3" s="375" t="s">
        <v>729</v>
      </c>
      <c r="C3" s="376" t="s">
        <v>730</v>
      </c>
      <c r="D3" s="374"/>
    </row>
    <row r="4" spans="1:4">
      <c r="A4" s="372"/>
      <c r="B4" s="2010" t="s">
        <v>731</v>
      </c>
      <c r="C4" s="2010"/>
      <c r="D4" s="374"/>
    </row>
    <row r="5" spans="1:4">
      <c r="A5" s="372"/>
      <c r="B5" s="2015" t="s">
        <v>732</v>
      </c>
      <c r="C5" s="2015"/>
      <c r="D5" s="374"/>
    </row>
    <row r="6" spans="1:4">
      <c r="A6" s="372"/>
      <c r="B6" s="377" t="s">
        <v>463</v>
      </c>
      <c r="C6" s="378" t="s">
        <v>464</v>
      </c>
      <c r="D6" s="374"/>
    </row>
    <row r="7" spans="1:4">
      <c r="A7" s="372"/>
      <c r="B7" s="379" t="s">
        <v>453</v>
      </c>
      <c r="C7" s="378" t="s">
        <v>454</v>
      </c>
      <c r="D7" s="374"/>
    </row>
    <row r="8" spans="1:4">
      <c r="A8" s="372"/>
      <c r="B8" s="377" t="s">
        <v>441</v>
      </c>
      <c r="C8" s="378" t="s">
        <v>442</v>
      </c>
      <c r="D8" s="374"/>
    </row>
    <row r="9" spans="1:4">
      <c r="A9" s="372"/>
      <c r="B9" s="377" t="s">
        <v>433</v>
      </c>
      <c r="C9" s="378" t="s">
        <v>434</v>
      </c>
      <c r="D9" s="374"/>
    </row>
    <row r="10" spans="1:4">
      <c r="A10" s="372"/>
      <c r="B10" s="377" t="s">
        <v>410</v>
      </c>
      <c r="C10" s="378" t="s">
        <v>411</v>
      </c>
      <c r="D10" s="374"/>
    </row>
    <row r="11" spans="1:4">
      <c r="A11" s="372"/>
      <c r="B11" s="2011" t="s">
        <v>733</v>
      </c>
      <c r="C11" s="2012"/>
      <c r="D11" s="374"/>
    </row>
    <row r="12" spans="1:4">
      <c r="A12" s="372"/>
      <c r="B12" s="377" t="s">
        <v>392</v>
      </c>
      <c r="C12" s="378" t="s">
        <v>393</v>
      </c>
      <c r="D12" s="374"/>
    </row>
    <row r="13" spans="1:4">
      <c r="A13" s="372"/>
      <c r="B13" s="377" t="s">
        <v>366</v>
      </c>
      <c r="C13" s="378" t="s">
        <v>367</v>
      </c>
      <c r="D13" s="374"/>
    </row>
    <row r="14" spans="1:4">
      <c r="A14" s="372"/>
      <c r="B14" s="377" t="s">
        <v>363</v>
      </c>
      <c r="C14" s="378" t="s">
        <v>364</v>
      </c>
      <c r="D14" s="374"/>
    </row>
    <row r="15" spans="1:4">
      <c r="A15" s="372"/>
      <c r="B15" s="2011" t="s">
        <v>734</v>
      </c>
      <c r="C15" s="2012"/>
      <c r="D15" s="374"/>
    </row>
    <row r="16" spans="1:4">
      <c r="A16" s="372"/>
      <c r="B16" s="379" t="s">
        <v>332</v>
      </c>
      <c r="C16" s="378" t="s">
        <v>333</v>
      </c>
      <c r="D16" s="374"/>
    </row>
    <row r="17" spans="1:4">
      <c r="A17" s="372"/>
      <c r="B17" s="377" t="s">
        <v>319</v>
      </c>
      <c r="C17" s="378" t="s">
        <v>320</v>
      </c>
      <c r="D17" s="374"/>
    </row>
    <row r="18" spans="1:4">
      <c r="A18" s="372"/>
      <c r="B18" s="379" t="s">
        <v>312</v>
      </c>
      <c r="C18" s="378" t="s">
        <v>313</v>
      </c>
      <c r="D18" s="374"/>
    </row>
    <row r="19" spans="1:4">
      <c r="A19" s="372"/>
      <c r="B19" s="2011" t="s">
        <v>735</v>
      </c>
      <c r="C19" s="2012"/>
      <c r="D19" s="374"/>
    </row>
    <row r="20" spans="1:4">
      <c r="A20" s="372"/>
      <c r="B20" s="2007" t="s">
        <v>736</v>
      </c>
      <c r="C20" s="2008"/>
      <c r="D20" s="374"/>
    </row>
    <row r="21" spans="1:4">
      <c r="A21" s="372"/>
      <c r="B21" s="379" t="s">
        <v>270</v>
      </c>
      <c r="C21" s="378" t="s">
        <v>271</v>
      </c>
      <c r="D21" s="374"/>
    </row>
    <row r="22" spans="1:4">
      <c r="A22" s="372"/>
      <c r="B22" s="379" t="s">
        <v>257</v>
      </c>
      <c r="C22" s="378" t="s">
        <v>258</v>
      </c>
      <c r="D22" s="374"/>
    </row>
    <row r="23" spans="1:4">
      <c r="A23" s="372"/>
      <c r="B23" s="377" t="s">
        <v>243</v>
      </c>
      <c r="C23" s="378" t="s">
        <v>244</v>
      </c>
      <c r="D23" s="374"/>
    </row>
    <row r="24" spans="1:4">
      <c r="A24" s="372"/>
      <c r="B24" s="377" t="s">
        <v>237</v>
      </c>
      <c r="C24" s="378" t="s">
        <v>238</v>
      </c>
      <c r="D24" s="374"/>
    </row>
    <row r="25" spans="1:4">
      <c r="A25" s="372"/>
      <c r="B25" s="379" t="s">
        <v>227</v>
      </c>
      <c r="C25" s="378" t="s">
        <v>228</v>
      </c>
      <c r="D25" s="374"/>
    </row>
    <row r="26" spans="1:4">
      <c r="A26" s="372"/>
      <c r="B26" s="2009" t="s">
        <v>737</v>
      </c>
      <c r="C26" s="2009"/>
      <c r="D26" s="374"/>
    </row>
    <row r="27" spans="1:4">
      <c r="A27" s="372"/>
      <c r="B27" s="379" t="s">
        <v>218</v>
      </c>
      <c r="C27" s="378" t="s">
        <v>219</v>
      </c>
      <c r="D27" s="374"/>
    </row>
    <row r="28" spans="1:4">
      <c r="A28" s="372"/>
      <c r="B28" s="379" t="s">
        <v>211</v>
      </c>
      <c r="C28" s="378" t="s">
        <v>212</v>
      </c>
      <c r="D28" s="374"/>
    </row>
    <row r="29" spans="1:4">
      <c r="A29" s="372"/>
      <c r="B29" s="377" t="s">
        <v>198</v>
      </c>
      <c r="C29" s="378" t="s">
        <v>199</v>
      </c>
      <c r="D29" s="374"/>
    </row>
    <row r="30" spans="1:4">
      <c r="A30" s="372"/>
      <c r="B30" s="2009" t="s">
        <v>738</v>
      </c>
      <c r="C30" s="2009"/>
      <c r="D30" s="374"/>
    </row>
    <row r="31" spans="1:4">
      <c r="A31" s="372"/>
      <c r="B31" s="379" t="s">
        <v>160</v>
      </c>
      <c r="C31" s="378" t="s">
        <v>161</v>
      </c>
      <c r="D31" s="374"/>
    </row>
    <row r="32" spans="1:4">
      <c r="A32" s="372"/>
      <c r="B32" s="379" t="s">
        <v>143</v>
      </c>
      <c r="C32" s="378" t="s">
        <v>144</v>
      </c>
      <c r="D32" s="374"/>
    </row>
    <row r="33" spans="1:4">
      <c r="A33" s="372"/>
      <c r="B33" s="379" t="s">
        <v>139</v>
      </c>
      <c r="C33" s="378" t="s">
        <v>140</v>
      </c>
      <c r="D33" s="374"/>
    </row>
    <row r="34" spans="1:4">
      <c r="A34" s="372"/>
      <c r="B34" s="379" t="s">
        <v>132</v>
      </c>
      <c r="C34" s="378" t="s">
        <v>133</v>
      </c>
      <c r="D34" s="374"/>
    </row>
    <row r="35" spans="1:4">
      <c r="A35" s="372"/>
      <c r="B35" s="379" t="s">
        <v>128</v>
      </c>
      <c r="C35" s="378" t="s">
        <v>129</v>
      </c>
      <c r="D35" s="374"/>
    </row>
    <row r="36" spans="1:4">
      <c r="A36" s="372"/>
      <c r="B36" s="2010" t="s">
        <v>739</v>
      </c>
      <c r="C36" s="2010"/>
      <c r="D36" s="374"/>
    </row>
    <row r="37" spans="1:4">
      <c r="A37" s="372"/>
      <c r="B37" s="2011" t="s">
        <v>740</v>
      </c>
      <c r="C37" s="2012"/>
      <c r="D37" s="374"/>
    </row>
    <row r="38" spans="1:4">
      <c r="A38" s="372"/>
      <c r="B38" s="379" t="s">
        <v>114</v>
      </c>
      <c r="C38" s="378" t="s">
        <v>115</v>
      </c>
      <c r="D38" s="374"/>
    </row>
    <row r="39" spans="1:4">
      <c r="A39" s="372"/>
      <c r="B39" s="379" t="s">
        <v>741</v>
      </c>
      <c r="C39" s="378" t="s">
        <v>742</v>
      </c>
      <c r="D39" s="374"/>
    </row>
    <row r="40" spans="1:4">
      <c r="A40" s="372"/>
      <c r="B40" s="379" t="s">
        <v>743</v>
      </c>
      <c r="C40" s="378" t="s">
        <v>744</v>
      </c>
      <c r="D40" s="374"/>
    </row>
    <row r="41" spans="1:4">
      <c r="A41" s="372"/>
      <c r="B41" s="377" t="s">
        <v>332</v>
      </c>
      <c r="C41" s="378" t="s">
        <v>745</v>
      </c>
      <c r="D41" s="374"/>
    </row>
    <row r="42" spans="1:4">
      <c r="A42" s="372"/>
      <c r="B42" s="2011" t="s">
        <v>746</v>
      </c>
      <c r="C42" s="2012"/>
      <c r="D42" s="374"/>
    </row>
    <row r="43" spans="1:4">
      <c r="A43" s="372"/>
      <c r="B43" s="377" t="s">
        <v>75</v>
      </c>
      <c r="C43" s="378" t="s">
        <v>76</v>
      </c>
      <c r="D43" s="374"/>
    </row>
    <row r="44" spans="1:4">
      <c r="A44" s="372"/>
      <c r="B44" s="377" t="s">
        <v>747</v>
      </c>
      <c r="C44" s="378" t="s">
        <v>748</v>
      </c>
      <c r="D44" s="374"/>
    </row>
    <row r="45" spans="1:4">
      <c r="A45" s="372"/>
      <c r="B45" s="377" t="s">
        <v>749</v>
      </c>
      <c r="C45" s="378" t="s">
        <v>750</v>
      </c>
      <c r="D45" s="374"/>
    </row>
    <row r="46" spans="1:4">
      <c r="A46" s="372"/>
      <c r="B46" s="377" t="s">
        <v>751</v>
      </c>
      <c r="C46" s="378" t="s">
        <v>752</v>
      </c>
      <c r="D46" s="374"/>
    </row>
    <row r="47" spans="1:4">
      <c r="A47" s="372"/>
      <c r="B47" s="377" t="s">
        <v>753</v>
      </c>
      <c r="C47" s="378" t="s">
        <v>754</v>
      </c>
      <c r="D47" s="374"/>
    </row>
    <row r="48" spans="1:4">
      <c r="A48" s="372"/>
      <c r="B48" s="2011" t="s">
        <v>755</v>
      </c>
      <c r="C48" s="2012"/>
      <c r="D48" s="374"/>
    </row>
    <row r="49" spans="1:4">
      <c r="A49" s="372"/>
      <c r="B49" s="377" t="s">
        <v>51</v>
      </c>
      <c r="C49" s="378" t="s">
        <v>52</v>
      </c>
      <c r="D49" s="374"/>
    </row>
    <row r="50" spans="1:4">
      <c r="A50" s="372"/>
      <c r="B50" s="377" t="s">
        <v>756</v>
      </c>
      <c r="C50" s="378" t="s">
        <v>757</v>
      </c>
      <c r="D50" s="374"/>
    </row>
    <row r="51" spans="1:4">
      <c r="A51" s="372"/>
      <c r="B51" s="377" t="s">
        <v>758</v>
      </c>
      <c r="C51" s="378" t="s">
        <v>759</v>
      </c>
      <c r="D51" s="374"/>
    </row>
    <row r="52" spans="1:4">
      <c r="A52" s="372"/>
      <c r="B52" s="377" t="s">
        <v>265</v>
      </c>
      <c r="C52" s="378" t="s">
        <v>760</v>
      </c>
      <c r="D52" s="374"/>
    </row>
    <row r="53" spans="1:4">
      <c r="A53" s="372"/>
      <c r="B53" s="2011" t="s">
        <v>761</v>
      </c>
      <c r="C53" s="2012"/>
      <c r="D53" s="374"/>
    </row>
    <row r="54" spans="1:4">
      <c r="A54" s="372"/>
      <c r="B54" s="377" t="s">
        <v>25</v>
      </c>
      <c r="C54" s="378" t="s">
        <v>26</v>
      </c>
      <c r="D54" s="374"/>
    </row>
    <row r="55" spans="1:4">
      <c r="A55" s="372"/>
      <c r="B55" s="2010" t="s">
        <v>762</v>
      </c>
      <c r="C55" s="2010"/>
      <c r="D55" s="374"/>
    </row>
    <row r="56" spans="1:4">
      <c r="A56" s="372"/>
      <c r="B56" s="2011" t="s">
        <v>763</v>
      </c>
      <c r="C56" s="2012"/>
      <c r="D56" s="374"/>
    </row>
    <row r="57" spans="1:4">
      <c r="A57" s="372"/>
      <c r="B57" s="380" t="s">
        <v>764</v>
      </c>
      <c r="C57" s="381" t="s">
        <v>765</v>
      </c>
      <c r="D57" s="374"/>
    </row>
    <row r="58" spans="1:4">
      <c r="A58" s="372"/>
      <c r="B58" s="382" t="s">
        <v>766</v>
      </c>
      <c r="C58" s="381" t="s">
        <v>767</v>
      </c>
      <c r="D58" s="374"/>
    </row>
    <row r="59" spans="1:4">
      <c r="A59" s="372"/>
      <c r="B59" s="380" t="s">
        <v>768</v>
      </c>
      <c r="C59" s="381" t="s">
        <v>769</v>
      </c>
      <c r="D59" s="374"/>
    </row>
    <row r="60" spans="1:4">
      <c r="A60" s="372"/>
      <c r="B60" s="2011" t="s">
        <v>770</v>
      </c>
      <c r="C60" s="2012"/>
      <c r="D60" s="374"/>
    </row>
    <row r="61" spans="1:4">
      <c r="A61" s="372"/>
      <c r="B61" s="380" t="s">
        <v>771</v>
      </c>
      <c r="C61" s="381" t="s">
        <v>772</v>
      </c>
      <c r="D61" s="374"/>
    </row>
    <row r="62" spans="1:4">
      <c r="A62" s="372"/>
      <c r="B62" s="380" t="s">
        <v>773</v>
      </c>
      <c r="C62" s="381" t="s">
        <v>774</v>
      </c>
      <c r="D62" s="374"/>
    </row>
    <row r="63" spans="1:4">
      <c r="A63" s="372"/>
      <c r="B63" s="380" t="s">
        <v>775</v>
      </c>
      <c r="C63" s="381" t="s">
        <v>776</v>
      </c>
      <c r="D63" s="374"/>
    </row>
    <row r="64" spans="1:4">
      <c r="A64" s="372"/>
      <c r="B64" s="380" t="s">
        <v>777</v>
      </c>
      <c r="C64" s="381" t="s">
        <v>778</v>
      </c>
      <c r="D64" s="374"/>
    </row>
    <row r="65" spans="1:4">
      <c r="A65" s="372"/>
      <c r="B65" s="373"/>
      <c r="C65" s="373"/>
      <c r="D65" s="374"/>
    </row>
    <row r="66" spans="1:4" ht="49.5" customHeight="1">
      <c r="A66" s="383"/>
      <c r="B66" s="2005" t="s">
        <v>779</v>
      </c>
      <c r="C66" s="2006"/>
      <c r="D66" s="374"/>
    </row>
    <row r="67" spans="1:4" ht="22.5" customHeight="1">
      <c r="A67" s="383"/>
      <c r="B67" s="2006"/>
      <c r="C67" s="2006"/>
      <c r="D67" s="374"/>
    </row>
  </sheetData>
  <mergeCells count="18">
    <mergeCell ref="B19:C19"/>
    <mergeCell ref="B2:C2"/>
    <mergeCell ref="B4:C4"/>
    <mergeCell ref="B5:C5"/>
    <mergeCell ref="B11:C11"/>
    <mergeCell ref="B15:C15"/>
    <mergeCell ref="B66:C67"/>
    <mergeCell ref="B20:C20"/>
    <mergeCell ref="B26:C26"/>
    <mergeCell ref="B30:C30"/>
    <mergeCell ref="B36:C36"/>
    <mergeCell ref="B37:C37"/>
    <mergeCell ref="B42:C42"/>
    <mergeCell ref="B48:C48"/>
    <mergeCell ref="B53:C53"/>
    <mergeCell ref="B55:C55"/>
    <mergeCell ref="B56:C56"/>
    <mergeCell ref="B60:C60"/>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71929-1D4C-4AC1-9D20-57873EE26332}">
  <dimension ref="B2:K809"/>
  <sheetViews>
    <sheetView topLeftCell="A681" zoomScale="73" zoomScaleNormal="73" zoomScaleSheetLayoutView="100" workbookViewId="0">
      <selection activeCell="A697" sqref="A697:XFD697"/>
    </sheetView>
  </sheetViews>
  <sheetFormatPr baseColWidth="10" defaultColWidth="11.54296875" defaultRowHeight="14.5"/>
  <cols>
    <col min="2" max="2" width="69.81640625" customWidth="1"/>
    <col min="3" max="6" width="19.1796875" customWidth="1"/>
    <col min="7" max="7" width="21" customWidth="1"/>
    <col min="8" max="8" width="19.1796875" customWidth="1"/>
    <col min="9" max="9" width="20.1796875" customWidth="1"/>
    <col min="10" max="10" width="15.1796875" customWidth="1"/>
  </cols>
  <sheetData>
    <row r="2" spans="2:10">
      <c r="B2" s="2024" t="s">
        <v>464</v>
      </c>
      <c r="C2" s="2024"/>
      <c r="D2" s="2024"/>
      <c r="E2" s="2024"/>
      <c r="F2" s="2024"/>
      <c r="G2" s="2024"/>
      <c r="H2" s="2024"/>
      <c r="I2" s="2024"/>
      <c r="J2" s="2024"/>
    </row>
    <row r="3" spans="2:10">
      <c r="B3" s="12" t="s">
        <v>463</v>
      </c>
      <c r="C3" s="1"/>
      <c r="D3" s="1"/>
      <c r="E3" s="1"/>
      <c r="F3" s="1"/>
      <c r="G3" s="1"/>
      <c r="H3" s="1"/>
      <c r="I3" s="1"/>
      <c r="J3" s="1"/>
    </row>
    <row r="4" spans="2:10">
      <c r="B4" s="76"/>
      <c r="C4" s="121"/>
      <c r="D4" s="121"/>
      <c r="E4" s="121"/>
      <c r="F4" s="121"/>
      <c r="G4" s="121"/>
      <c r="H4" s="121"/>
      <c r="I4" s="121"/>
      <c r="J4" s="121"/>
    </row>
    <row r="5" spans="2:10">
      <c r="B5" s="61"/>
      <c r="C5" s="60">
        <v>2014</v>
      </c>
      <c r="D5" s="60">
        <v>2015</v>
      </c>
      <c r="E5" s="60">
        <v>2016</v>
      </c>
      <c r="F5" s="60">
        <v>2017</v>
      </c>
      <c r="G5" s="60">
        <v>2018</v>
      </c>
      <c r="H5" s="60">
        <v>2019</v>
      </c>
      <c r="I5" s="60">
        <v>2020</v>
      </c>
      <c r="J5" s="60">
        <v>2021</v>
      </c>
    </row>
    <row r="6" spans="2:10" ht="15.5">
      <c r="B6" s="64" t="s">
        <v>780</v>
      </c>
      <c r="C6" s="216">
        <f>16027466/1000000</f>
        <v>16.027466</v>
      </c>
      <c r="D6" s="216">
        <f>16278844/1000000</f>
        <v>16.278843999999999</v>
      </c>
      <c r="E6" s="216">
        <f>16528730/1000000</f>
        <v>16.528729999999999</v>
      </c>
      <c r="F6" s="216">
        <f>16776977/1000000</f>
        <v>16.776976999999999</v>
      </c>
      <c r="G6" s="216">
        <f>17023408/1000000</f>
        <v>17.023408</v>
      </c>
      <c r="H6" s="216">
        <f>17267986/1000000</f>
        <v>17.267986000000001</v>
      </c>
      <c r="I6" s="216">
        <f>17510643/1000000</f>
        <v>17.510643000000002</v>
      </c>
      <c r="J6" s="98">
        <v>17.888473999999999</v>
      </c>
    </row>
    <row r="7" spans="2:10" ht="15.5">
      <c r="B7" s="64" t="s">
        <v>781</v>
      </c>
      <c r="C7" s="385">
        <v>101726.33</v>
      </c>
      <c r="D7" s="385">
        <v>99290.38</v>
      </c>
      <c r="E7" s="385">
        <v>99937.7</v>
      </c>
      <c r="F7" s="385">
        <v>104295.86</v>
      </c>
      <c r="G7" s="385">
        <v>107562.01</v>
      </c>
      <c r="H7" s="385">
        <v>108108.01</v>
      </c>
      <c r="I7" s="385">
        <v>98808.01</v>
      </c>
      <c r="J7" s="386">
        <v>106166</v>
      </c>
    </row>
    <row r="8" spans="2:10">
      <c r="B8" s="64" t="s">
        <v>550</v>
      </c>
      <c r="C8" s="216">
        <f>C7/C6</f>
        <v>6347.0002057717666</v>
      </c>
      <c r="D8" s="216">
        <f t="shared" ref="D8:J8" si="0">D7/D6</f>
        <v>6099.3507892820899</v>
      </c>
      <c r="E8" s="216">
        <f t="shared" si="0"/>
        <v>6046.3024079889983</v>
      </c>
      <c r="F8" s="216">
        <f t="shared" si="0"/>
        <v>6216.6062455709398</v>
      </c>
      <c r="G8" s="216">
        <f t="shared" si="0"/>
        <v>6318.4768878241066</v>
      </c>
      <c r="H8" s="216">
        <f t="shared" si="0"/>
        <v>6260.6032921268288</v>
      </c>
      <c r="I8" s="216">
        <f t="shared" si="0"/>
        <v>5642.7402466031654</v>
      </c>
      <c r="J8" s="216">
        <f t="shared" si="0"/>
        <v>5934.8829866650449</v>
      </c>
    </row>
    <row r="9" spans="2:10" ht="15.5">
      <c r="B9" s="64" t="s">
        <v>782</v>
      </c>
      <c r="C9" s="216">
        <v>3.6673572119306801</v>
      </c>
      <c r="D9" s="216">
        <v>3.38012513334938</v>
      </c>
      <c r="E9" s="216">
        <v>1.11979144715992</v>
      </c>
      <c r="F9" s="216">
        <v>-0.196700543099004</v>
      </c>
      <c r="G9" s="216">
        <v>0.26617035809426398</v>
      </c>
      <c r="H9" s="216">
        <v>-6.5333180752313896E-2</v>
      </c>
      <c r="I9" s="216">
        <v>-0.93298918884632298</v>
      </c>
      <c r="J9" s="98">
        <v>1.94</v>
      </c>
    </row>
    <row r="10" spans="2:10">
      <c r="B10" s="64" t="s">
        <v>467</v>
      </c>
      <c r="C10" s="387"/>
      <c r="D10" s="387"/>
      <c r="E10" s="387"/>
      <c r="F10" s="387"/>
      <c r="G10" s="387"/>
      <c r="H10" s="387"/>
      <c r="I10" s="387"/>
      <c r="J10" s="121"/>
    </row>
    <row r="11" spans="2:10">
      <c r="B11" s="190" t="s">
        <v>468</v>
      </c>
      <c r="C11" s="387">
        <v>0</v>
      </c>
      <c r="D11" s="387">
        <v>0</v>
      </c>
      <c r="E11" s="387">
        <v>0</v>
      </c>
      <c r="F11" s="387">
        <v>0</v>
      </c>
      <c r="G11" s="387">
        <v>0</v>
      </c>
      <c r="H11" s="387">
        <v>0</v>
      </c>
      <c r="I11" s="387">
        <v>0</v>
      </c>
      <c r="J11" s="387">
        <v>0</v>
      </c>
    </row>
    <row r="12" spans="2:10" ht="15" thickBot="1">
      <c r="B12" s="196" t="s">
        <v>783</v>
      </c>
      <c r="C12" s="387">
        <v>0</v>
      </c>
      <c r="D12" s="387">
        <v>0</v>
      </c>
      <c r="E12" s="387">
        <v>0</v>
      </c>
      <c r="F12" s="387">
        <v>0</v>
      </c>
      <c r="G12" s="387">
        <v>0</v>
      </c>
      <c r="H12" s="387">
        <v>0</v>
      </c>
      <c r="I12" s="387">
        <v>0</v>
      </c>
      <c r="J12" s="387">
        <v>0</v>
      </c>
    </row>
    <row r="13" spans="2:10" ht="15" thickTop="1">
      <c r="B13" s="2023" t="s">
        <v>784</v>
      </c>
      <c r="C13" s="2023"/>
      <c r="D13" s="2023"/>
      <c r="E13" s="2023"/>
      <c r="F13" s="2023"/>
      <c r="G13" s="2023"/>
      <c r="H13" s="2023"/>
      <c r="I13" s="2023"/>
      <c r="J13" s="2023"/>
    </row>
    <row r="14" spans="2:10" ht="47.25" customHeight="1">
      <c r="B14" s="2098" t="s">
        <v>785</v>
      </c>
      <c r="C14" s="2098"/>
      <c r="D14" s="2098"/>
      <c r="E14" s="2098"/>
      <c r="F14" s="2098"/>
      <c r="G14" s="2098"/>
      <c r="H14" s="2098"/>
      <c r="I14" s="2098"/>
      <c r="J14" s="2098"/>
    </row>
    <row r="15" spans="2:10">
      <c r="B15" s="2097"/>
      <c r="C15" s="2097"/>
      <c r="D15" s="2097"/>
      <c r="E15" s="2097"/>
      <c r="F15" s="2097"/>
      <c r="G15" s="2097"/>
      <c r="H15" s="2097"/>
      <c r="I15" s="2097"/>
      <c r="J15" s="2097"/>
    </row>
    <row r="16" spans="2:10">
      <c r="B16" s="2024" t="s">
        <v>454</v>
      </c>
      <c r="C16" s="2024"/>
      <c r="D16" s="2024"/>
      <c r="E16" s="2024"/>
      <c r="F16" s="2024"/>
      <c r="G16" s="2024"/>
      <c r="H16" s="2024"/>
      <c r="I16" s="2024"/>
      <c r="J16" s="2024"/>
    </row>
    <row r="17" spans="2:10">
      <c r="B17" s="62" t="s">
        <v>453</v>
      </c>
      <c r="C17" s="121"/>
      <c r="D17" s="121"/>
      <c r="E17" s="121"/>
      <c r="F17" s="121"/>
      <c r="G17" s="121"/>
      <c r="H17" s="121"/>
      <c r="I17" s="121"/>
      <c r="J17" s="121"/>
    </row>
    <row r="18" spans="2:10">
      <c r="B18" s="64" t="s">
        <v>242</v>
      </c>
      <c r="C18" s="121"/>
      <c r="D18" s="121"/>
      <c r="E18" s="121"/>
      <c r="F18" s="121"/>
      <c r="G18" s="121"/>
      <c r="H18" s="121"/>
      <c r="I18" s="121"/>
      <c r="J18" s="121"/>
    </row>
    <row r="19" spans="2:10">
      <c r="B19" s="61"/>
      <c r="C19" s="303">
        <v>2014</v>
      </c>
      <c r="D19" s="303">
        <v>2015</v>
      </c>
      <c r="E19" s="303">
        <v>2016</v>
      </c>
      <c r="F19" s="303">
        <v>2017</v>
      </c>
      <c r="G19" s="303">
        <v>2018</v>
      </c>
      <c r="H19" s="303">
        <v>2019</v>
      </c>
      <c r="I19" s="303">
        <v>2020</v>
      </c>
      <c r="J19" s="303">
        <v>2021</v>
      </c>
    </row>
    <row r="20" spans="2:10">
      <c r="B20" s="188"/>
      <c r="C20" s="55"/>
      <c r="D20" s="55"/>
      <c r="E20" s="55"/>
      <c r="F20" s="55"/>
      <c r="G20" s="55"/>
      <c r="H20" s="55"/>
      <c r="I20" s="55"/>
      <c r="J20" s="55"/>
    </row>
    <row r="21" spans="2:10">
      <c r="B21" s="197" t="s">
        <v>786</v>
      </c>
      <c r="C21" s="67">
        <v>9539.8967329999996</v>
      </c>
      <c r="D21" s="67">
        <v>11753.669449999999</v>
      </c>
      <c r="E21" s="67">
        <v>13261.11947</v>
      </c>
      <c r="F21" s="67">
        <v>14858.68093</v>
      </c>
      <c r="G21" s="67">
        <v>15915.86587</v>
      </c>
      <c r="H21" s="67">
        <v>16966.201069999999</v>
      </c>
      <c r="I21" s="67">
        <v>17959.91502</v>
      </c>
      <c r="J21" s="67">
        <v>18683.965677999997</v>
      </c>
    </row>
    <row r="22" spans="2:10">
      <c r="B22" s="194" t="s">
        <v>787</v>
      </c>
      <c r="C22" s="67">
        <v>9068.76</v>
      </c>
      <c r="D22" s="67">
        <v>7200.95</v>
      </c>
      <c r="E22" s="67">
        <v>9281.36</v>
      </c>
      <c r="F22" s="67">
        <v>9577.64</v>
      </c>
      <c r="G22" s="67">
        <v>9260.52</v>
      </c>
      <c r="H22" s="67">
        <v>9150</v>
      </c>
      <c r="I22" s="67">
        <v>10369.629999999999</v>
      </c>
      <c r="J22" s="67">
        <v>11486.613642</v>
      </c>
    </row>
    <row r="23" spans="2:10">
      <c r="B23" s="198" t="s">
        <v>379</v>
      </c>
      <c r="C23" s="55"/>
      <c r="D23" s="55"/>
      <c r="E23" s="55"/>
      <c r="F23" s="55"/>
      <c r="G23" s="55"/>
      <c r="H23" s="55"/>
      <c r="I23" s="55"/>
      <c r="J23" s="55"/>
    </row>
    <row r="24" spans="2:10">
      <c r="B24" s="198" t="s">
        <v>451</v>
      </c>
      <c r="C24" s="55">
        <v>0</v>
      </c>
      <c r="D24" s="55">
        <v>0</v>
      </c>
      <c r="E24" s="55">
        <v>0</v>
      </c>
      <c r="F24" s="55">
        <v>0</v>
      </c>
      <c r="G24" s="55">
        <v>0</v>
      </c>
      <c r="H24" s="55">
        <v>0</v>
      </c>
      <c r="I24" s="55">
        <v>0</v>
      </c>
      <c r="J24" s="55">
        <v>0</v>
      </c>
    </row>
    <row r="25" spans="2:10">
      <c r="B25" s="197" t="s">
        <v>450</v>
      </c>
      <c r="C25" s="55">
        <v>0</v>
      </c>
      <c r="D25" s="55">
        <v>0</v>
      </c>
      <c r="E25" s="55">
        <v>0</v>
      </c>
      <c r="F25" s="55">
        <v>0</v>
      </c>
      <c r="G25" s="55">
        <v>0</v>
      </c>
      <c r="H25" s="55">
        <v>0</v>
      </c>
      <c r="I25" s="55">
        <v>0</v>
      </c>
      <c r="J25" s="55">
        <v>0</v>
      </c>
    </row>
    <row r="26" spans="2:10">
      <c r="B26" s="197" t="s">
        <v>788</v>
      </c>
      <c r="C26" s="307">
        <v>18695.32</v>
      </c>
      <c r="D26" s="307">
        <v>19041.650000000001</v>
      </c>
      <c r="E26" s="307">
        <v>22634.799999999999</v>
      </c>
      <c r="F26" s="307">
        <v>24530.51</v>
      </c>
      <c r="G26" s="307">
        <v>25259.94</v>
      </c>
      <c r="H26" s="307">
        <v>26196.71</v>
      </c>
      <c r="I26" s="307">
        <v>28409.5</v>
      </c>
      <c r="J26" s="307">
        <v>30254.959999999999</v>
      </c>
    </row>
    <row r="27" spans="2:10">
      <c r="B27" s="195" t="s">
        <v>448</v>
      </c>
      <c r="C27" s="66"/>
      <c r="D27" s="66"/>
      <c r="E27" s="66"/>
      <c r="F27" s="66"/>
      <c r="G27" s="66"/>
      <c r="H27" s="66"/>
      <c r="I27" s="66"/>
      <c r="J27" s="66"/>
    </row>
    <row r="28" spans="2:10">
      <c r="B28" s="195" t="s">
        <v>789</v>
      </c>
      <c r="C28" s="55">
        <v>0.08</v>
      </c>
      <c r="D28" s="55">
        <v>0.78</v>
      </c>
      <c r="E28" s="55">
        <v>4.13</v>
      </c>
      <c r="F28" s="55">
        <v>8.8800000000000008</v>
      </c>
      <c r="G28" s="55">
        <v>0</v>
      </c>
      <c r="H28" s="55">
        <v>0</v>
      </c>
      <c r="I28" s="55">
        <v>0</v>
      </c>
      <c r="J28" s="55">
        <v>0</v>
      </c>
    </row>
    <row r="29" spans="2:10">
      <c r="B29" s="195" t="s">
        <v>445</v>
      </c>
      <c r="C29" s="66">
        <v>0</v>
      </c>
      <c r="D29" s="66">
        <v>0</v>
      </c>
      <c r="E29" s="66">
        <v>0</v>
      </c>
      <c r="F29" s="66">
        <v>0</v>
      </c>
      <c r="G29" s="66">
        <v>0</v>
      </c>
      <c r="H29" s="66">
        <v>0</v>
      </c>
      <c r="I29" s="66">
        <v>0</v>
      </c>
      <c r="J29" s="388">
        <v>0</v>
      </c>
    </row>
    <row r="30" spans="2:10">
      <c r="B30" s="195" t="s">
        <v>444</v>
      </c>
      <c r="C30" s="66">
        <v>0</v>
      </c>
      <c r="D30" s="66">
        <v>0</v>
      </c>
      <c r="E30" s="66">
        <v>0</v>
      </c>
      <c r="F30" s="66">
        <v>0</v>
      </c>
      <c r="G30" s="66">
        <v>0</v>
      </c>
      <c r="H30" s="66">
        <v>0</v>
      </c>
      <c r="I30" s="66">
        <v>0</v>
      </c>
      <c r="J30" s="388">
        <v>0</v>
      </c>
    </row>
    <row r="31" spans="2:10">
      <c r="B31" s="195" t="s">
        <v>443</v>
      </c>
      <c r="C31" s="66">
        <v>0</v>
      </c>
      <c r="D31" s="66">
        <v>0</v>
      </c>
      <c r="E31" s="66">
        <v>0</v>
      </c>
      <c r="F31" s="66">
        <v>0</v>
      </c>
      <c r="G31" s="66">
        <v>0</v>
      </c>
      <c r="H31" s="66">
        <v>0</v>
      </c>
      <c r="I31" s="66">
        <v>0</v>
      </c>
      <c r="J31" s="388">
        <v>0</v>
      </c>
    </row>
    <row r="32" spans="2:10" ht="14.5" customHeight="1">
      <c r="B32" s="2017" t="s">
        <v>790</v>
      </c>
      <c r="C32" s="2017"/>
      <c r="D32" s="2017"/>
      <c r="E32" s="2017"/>
      <c r="F32" s="2017"/>
      <c r="G32" s="2017"/>
      <c r="H32" s="2017"/>
      <c r="I32" s="2017"/>
      <c r="J32" s="2017"/>
    </row>
    <row r="33" spans="2:10" ht="57.75" customHeight="1">
      <c r="B33" s="2099" t="s">
        <v>791</v>
      </c>
      <c r="C33" s="2099"/>
      <c r="D33" s="2099"/>
      <c r="E33" s="2099"/>
      <c r="F33" s="2099"/>
      <c r="G33" s="2099"/>
      <c r="H33" s="2099"/>
      <c r="I33" s="2099"/>
      <c r="J33" s="2099"/>
    </row>
    <row r="34" spans="2:10">
      <c r="B34" s="2097"/>
      <c r="C34" s="2097"/>
      <c r="D34" s="2097"/>
      <c r="E34" s="2097"/>
      <c r="F34" s="2097"/>
      <c r="G34" s="2097"/>
      <c r="H34" s="2097"/>
      <c r="I34" s="2097"/>
      <c r="J34" s="2097"/>
    </row>
    <row r="35" spans="2:10">
      <c r="B35" s="2024" t="s">
        <v>442</v>
      </c>
      <c r="C35" s="2024"/>
      <c r="D35" s="2024"/>
      <c r="E35" s="2024"/>
      <c r="F35" s="2024"/>
      <c r="G35" s="2024"/>
      <c r="H35" s="2024"/>
      <c r="I35" s="2024"/>
      <c r="J35" s="2024"/>
    </row>
    <row r="36" spans="2:10">
      <c r="B36" s="77" t="s">
        <v>441</v>
      </c>
      <c r="C36" s="121"/>
      <c r="D36" s="121"/>
      <c r="E36" s="121"/>
      <c r="F36" s="121"/>
      <c r="G36" s="121"/>
      <c r="H36" s="121"/>
      <c r="I36" s="121"/>
      <c r="J36" s="121"/>
    </row>
    <row r="37" spans="2:10">
      <c r="B37" s="64" t="s">
        <v>242</v>
      </c>
      <c r="C37" s="121"/>
      <c r="D37" s="121"/>
      <c r="E37" s="121"/>
      <c r="F37" s="121"/>
      <c r="G37" s="121"/>
      <c r="H37" s="121"/>
      <c r="I37" s="121"/>
      <c r="J37" s="121"/>
    </row>
    <row r="38" spans="2:10">
      <c r="B38" s="61"/>
      <c r="C38" s="303">
        <v>2014</v>
      </c>
      <c r="D38" s="303">
        <v>2015</v>
      </c>
      <c r="E38" s="303">
        <v>2016</v>
      </c>
      <c r="F38" s="303">
        <v>2017</v>
      </c>
      <c r="G38" s="303">
        <v>2018</v>
      </c>
      <c r="H38" s="303">
        <v>2019</v>
      </c>
      <c r="I38" s="303">
        <v>2020</v>
      </c>
      <c r="J38" s="303">
        <v>2021</v>
      </c>
    </row>
    <row r="39" spans="2:10">
      <c r="B39" s="195" t="s">
        <v>792</v>
      </c>
      <c r="C39" s="67">
        <f>+C40+C43</f>
        <v>1955.1054899999999</v>
      </c>
      <c r="D39" s="67">
        <f t="shared" ref="D39:J39" si="1">+D40+D43</f>
        <v>1687.1189300000001</v>
      </c>
      <c r="E39" s="67">
        <f t="shared" si="1"/>
        <v>3992.6395599999996</v>
      </c>
      <c r="F39" s="67">
        <f t="shared" si="1"/>
        <v>2693.1135358000001</v>
      </c>
      <c r="G39" s="67">
        <f t="shared" si="1"/>
        <v>2569.1691565700003</v>
      </c>
      <c r="H39" s="67">
        <f t="shared" si="1"/>
        <v>2336.2527361385701</v>
      </c>
      <c r="I39" s="214">
        <f t="shared" si="1"/>
        <v>5494.05818</v>
      </c>
      <c r="J39" s="214">
        <f t="shared" si="1"/>
        <v>4689.6292880000001</v>
      </c>
    </row>
    <row r="40" spans="2:10">
      <c r="B40" s="195" t="s">
        <v>470</v>
      </c>
      <c r="C40" s="67">
        <f>+SUM(C41:C42)</f>
        <v>1269.0827253622999</v>
      </c>
      <c r="D40" s="67">
        <f t="shared" ref="D40:H40" si="2">+SUM(D41:D42)</f>
        <v>1121.556</v>
      </c>
      <c r="E40" s="67">
        <f t="shared" si="2"/>
        <v>1169.1931999999999</v>
      </c>
      <c r="F40" s="67">
        <f t="shared" si="2"/>
        <v>1651.99776471</v>
      </c>
      <c r="G40" s="67">
        <f t="shared" si="2"/>
        <v>1698.97545483</v>
      </c>
      <c r="H40" s="67">
        <f t="shared" si="2"/>
        <v>1556.70293715857</v>
      </c>
      <c r="I40" s="214">
        <f t="shared" ref="I40:J40" si="3">+SUM(I41:I42)</f>
        <v>2132.7111862400002</v>
      </c>
      <c r="J40" s="214">
        <f t="shared" si="3"/>
        <v>2065.07073885</v>
      </c>
    </row>
    <row r="41" spans="2:10">
      <c r="B41" s="150" t="s">
        <v>352</v>
      </c>
      <c r="C41" s="67">
        <v>1269.0827253622999</v>
      </c>
      <c r="D41" s="67">
        <v>1121.556</v>
      </c>
      <c r="E41" s="67">
        <v>1169.1931999999999</v>
      </c>
      <c r="F41" s="67">
        <v>1651.99776471</v>
      </c>
      <c r="G41" s="67">
        <v>1698.97545483</v>
      </c>
      <c r="H41" s="67">
        <v>1556.70293715857</v>
      </c>
      <c r="I41" s="67">
        <v>2132.7111862400002</v>
      </c>
      <c r="J41" s="158">
        <v>2065.07073885</v>
      </c>
    </row>
    <row r="42" spans="2:10">
      <c r="B42" s="150" t="s">
        <v>351</v>
      </c>
      <c r="C42" s="67">
        <v>0</v>
      </c>
      <c r="D42" s="67">
        <v>0</v>
      </c>
      <c r="E42" s="67">
        <v>0</v>
      </c>
      <c r="F42" s="67">
        <v>0</v>
      </c>
      <c r="G42" s="67">
        <v>0</v>
      </c>
      <c r="H42" s="67">
        <v>0</v>
      </c>
      <c r="I42" s="67">
        <v>0</v>
      </c>
      <c r="J42" s="67">
        <v>0</v>
      </c>
    </row>
    <row r="43" spans="2:10">
      <c r="B43" s="195" t="s">
        <v>471</v>
      </c>
      <c r="C43" s="67">
        <f>+SUM(C44:C45)</f>
        <v>686.02276463769999</v>
      </c>
      <c r="D43" s="67">
        <f t="shared" ref="D43:J43" si="4">+SUM(D44:D45)</f>
        <v>565.56293000000005</v>
      </c>
      <c r="E43" s="67">
        <f t="shared" si="4"/>
        <v>2823.4463599999999</v>
      </c>
      <c r="F43" s="67">
        <f t="shared" si="4"/>
        <v>1041.11577109</v>
      </c>
      <c r="G43" s="67">
        <f t="shared" si="4"/>
        <v>870.19370174000005</v>
      </c>
      <c r="H43" s="67">
        <f t="shared" si="4"/>
        <v>779.54979897999999</v>
      </c>
      <c r="I43" s="386">
        <f t="shared" si="4"/>
        <v>3361.3469937599998</v>
      </c>
      <c r="J43" s="386">
        <f t="shared" si="4"/>
        <v>2624.5585491500005</v>
      </c>
    </row>
    <row r="44" spans="2:10">
      <c r="B44" s="150" t="s">
        <v>352</v>
      </c>
      <c r="C44" s="67">
        <v>686.02276463769999</v>
      </c>
      <c r="D44" s="67">
        <v>565.56293000000005</v>
      </c>
      <c r="E44" s="67">
        <v>2823.4463599999999</v>
      </c>
      <c r="F44" s="67">
        <v>1041.11577109</v>
      </c>
      <c r="G44" s="67">
        <v>870.19370174000005</v>
      </c>
      <c r="H44" s="67">
        <v>779.54979897999999</v>
      </c>
      <c r="I44" s="67">
        <v>3361.3469937599998</v>
      </c>
      <c r="J44" s="67">
        <v>2624.5585491500005</v>
      </c>
    </row>
    <row r="45" spans="2:10">
      <c r="B45" s="150" t="s">
        <v>351</v>
      </c>
      <c r="C45" s="67">
        <v>0</v>
      </c>
      <c r="D45" s="67">
        <v>0</v>
      </c>
      <c r="E45" s="67">
        <v>0</v>
      </c>
      <c r="F45" s="67">
        <v>0</v>
      </c>
      <c r="G45" s="67">
        <v>0</v>
      </c>
      <c r="H45" s="67">
        <v>0</v>
      </c>
      <c r="I45" s="67">
        <v>0</v>
      </c>
      <c r="J45" s="67">
        <v>0</v>
      </c>
    </row>
    <row r="46" spans="2:10">
      <c r="B46" s="150" t="s">
        <v>793</v>
      </c>
      <c r="C46" s="67">
        <v>775.69775403999995</v>
      </c>
      <c r="D46" s="67">
        <v>828.46987810999997</v>
      </c>
      <c r="E46" s="67">
        <v>781.27948203999995</v>
      </c>
      <c r="F46" s="67">
        <v>810.54596834999995</v>
      </c>
      <c r="G46" s="67">
        <v>874.32119233999993</v>
      </c>
      <c r="H46" s="67">
        <v>1038.29042011</v>
      </c>
      <c r="I46" s="67">
        <v>1301.0137953200001</v>
      </c>
      <c r="J46" s="67">
        <v>1202.3790416700001</v>
      </c>
    </row>
    <row r="47" spans="2:10" ht="15" thickBot="1">
      <c r="B47" s="389" t="s">
        <v>436</v>
      </c>
      <c r="C47" s="390">
        <v>0</v>
      </c>
      <c r="D47" s="390">
        <v>0</v>
      </c>
      <c r="E47" s="390">
        <v>0</v>
      </c>
      <c r="F47" s="390">
        <v>0</v>
      </c>
      <c r="G47" s="390">
        <v>0</v>
      </c>
      <c r="H47" s="390">
        <v>0</v>
      </c>
      <c r="I47" s="390">
        <v>0</v>
      </c>
      <c r="J47" s="390">
        <v>0</v>
      </c>
    </row>
    <row r="48" spans="2:10" ht="15" thickTop="1">
      <c r="B48" s="2023" t="s">
        <v>794</v>
      </c>
      <c r="C48" s="2023"/>
      <c r="D48" s="2023"/>
      <c r="E48" s="2023"/>
      <c r="F48" s="2023"/>
      <c r="G48" s="2023"/>
      <c r="H48" s="2023"/>
      <c r="I48" s="2023"/>
      <c r="J48" s="2023"/>
    </row>
    <row r="49" spans="2:10" ht="31.5" customHeight="1">
      <c r="B49" s="2098" t="s">
        <v>795</v>
      </c>
      <c r="C49" s="2098"/>
      <c r="D49" s="2098"/>
      <c r="E49" s="2098"/>
      <c r="F49" s="2098"/>
      <c r="G49" s="2098"/>
      <c r="H49" s="2098"/>
      <c r="I49" s="2098"/>
      <c r="J49" s="2098"/>
    </row>
    <row r="50" spans="2:10">
      <c r="B50" s="2097"/>
      <c r="C50" s="2097"/>
      <c r="D50" s="2097"/>
      <c r="E50" s="2097"/>
      <c r="F50" s="2097"/>
      <c r="G50" s="2097"/>
      <c r="H50" s="2097"/>
      <c r="I50" s="2097"/>
      <c r="J50" s="2097"/>
    </row>
    <row r="51" spans="2:10">
      <c r="B51" s="2024" t="s">
        <v>434</v>
      </c>
      <c r="C51" s="2024"/>
      <c r="D51" s="2024"/>
      <c r="E51" s="2024"/>
      <c r="F51" s="2024"/>
      <c r="G51" s="2024"/>
      <c r="H51" s="2024"/>
      <c r="I51" s="2024"/>
      <c r="J51" s="2024"/>
    </row>
    <row r="52" spans="2:10">
      <c r="B52" s="62" t="s">
        <v>433</v>
      </c>
      <c r="C52" s="121"/>
      <c r="D52" s="121"/>
      <c r="E52" s="121"/>
      <c r="F52" s="121"/>
      <c r="G52" s="121"/>
      <c r="H52" s="121"/>
      <c r="I52" s="121"/>
      <c r="J52" s="121"/>
    </row>
    <row r="53" spans="2:10">
      <c r="B53" s="64" t="s">
        <v>242</v>
      </c>
      <c r="C53" s="121"/>
      <c r="D53" s="121"/>
      <c r="E53" s="121"/>
      <c r="F53" s="121"/>
      <c r="G53" s="121"/>
      <c r="H53" s="121"/>
      <c r="I53" s="121"/>
      <c r="J53" s="121"/>
    </row>
    <row r="54" spans="2:10">
      <c r="B54" s="61"/>
      <c r="C54" s="303">
        <v>2014</v>
      </c>
      <c r="D54" s="303">
        <v>2015</v>
      </c>
      <c r="E54" s="303">
        <v>2016</v>
      </c>
      <c r="F54" s="303">
        <v>2017</v>
      </c>
      <c r="G54" s="303">
        <v>2018</v>
      </c>
      <c r="H54" s="303">
        <v>2019</v>
      </c>
      <c r="I54" s="303">
        <v>2020</v>
      </c>
      <c r="J54" s="303">
        <v>2021</v>
      </c>
    </row>
    <row r="55" spans="2:10" ht="15.5">
      <c r="B55" s="62" t="s">
        <v>796</v>
      </c>
      <c r="C55" s="55">
        <f>C57+C67</f>
        <v>3581.5819999999999</v>
      </c>
      <c r="D55" s="55">
        <f t="shared" ref="D55:J55" si="5">D57+D67</f>
        <v>3558.7120000000004</v>
      </c>
      <c r="E55" s="55">
        <f t="shared" si="5"/>
        <v>2537.7359999999994</v>
      </c>
      <c r="F55" s="55">
        <f t="shared" si="5"/>
        <v>2573.86</v>
      </c>
      <c r="G55" s="55">
        <f t="shared" si="5"/>
        <v>1905.58</v>
      </c>
      <c r="H55" s="55">
        <f t="shared" si="5"/>
        <v>2211.116</v>
      </c>
      <c r="I55" s="55">
        <f t="shared" si="5"/>
        <v>2560.752</v>
      </c>
      <c r="J55" s="55">
        <f t="shared" si="5"/>
        <v>2251.9900000000002</v>
      </c>
    </row>
    <row r="56" spans="2:10">
      <c r="B56" s="64"/>
      <c r="C56" s="55"/>
      <c r="D56" s="55"/>
      <c r="E56" s="55"/>
      <c r="F56" s="55"/>
      <c r="G56" s="55"/>
      <c r="H56" s="55"/>
      <c r="I56" s="55"/>
      <c r="J56" s="55"/>
    </row>
    <row r="57" spans="2:10">
      <c r="B57" s="391" t="s">
        <v>431</v>
      </c>
      <c r="C57" s="392">
        <f>SUM(C58:C65)</f>
        <v>3569.52</v>
      </c>
      <c r="D57" s="392">
        <f>SUM(D58:D65)</f>
        <v>3550.0000000000005</v>
      </c>
      <c r="E57" s="392">
        <f t="shared" ref="E57:J57" si="6">SUM(E58:E65)</f>
        <v>2534.9199999999996</v>
      </c>
      <c r="F57" s="392">
        <f t="shared" si="6"/>
        <v>2550</v>
      </c>
      <c r="G57" s="392">
        <f t="shared" si="6"/>
        <v>1890.24</v>
      </c>
      <c r="H57" s="392">
        <f t="shared" si="6"/>
        <v>2200</v>
      </c>
      <c r="I57" s="392">
        <f t="shared" si="6"/>
        <v>2547.12</v>
      </c>
      <c r="J57" s="392">
        <f t="shared" si="6"/>
        <v>2250.0000000000005</v>
      </c>
    </row>
    <row r="58" spans="2:10">
      <c r="B58" s="393" t="s">
        <v>472</v>
      </c>
      <c r="C58" s="394"/>
      <c r="D58" s="394"/>
      <c r="E58" s="394"/>
      <c r="F58" s="394"/>
      <c r="G58" s="394"/>
      <c r="H58" s="394"/>
      <c r="I58" s="394"/>
      <c r="J58" s="395"/>
    </row>
    <row r="59" spans="2:10">
      <c r="B59" s="396" t="s">
        <v>797</v>
      </c>
      <c r="C59" s="394">
        <v>11.2</v>
      </c>
      <c r="D59" s="394">
        <v>17.600000000000001</v>
      </c>
      <c r="E59" s="394">
        <v>0.1</v>
      </c>
      <c r="F59" s="394">
        <v>0</v>
      </c>
      <c r="G59" s="394">
        <v>0</v>
      </c>
      <c r="H59" s="394">
        <v>0</v>
      </c>
      <c r="I59" s="394">
        <v>0</v>
      </c>
      <c r="J59" s="395">
        <v>0</v>
      </c>
    </row>
    <row r="60" spans="2:10">
      <c r="B60" s="396" t="s">
        <v>798</v>
      </c>
      <c r="C60" s="394">
        <v>0</v>
      </c>
      <c r="D60" s="394">
        <v>19.2</v>
      </c>
      <c r="E60" s="394">
        <v>0</v>
      </c>
      <c r="F60" s="394">
        <v>0</v>
      </c>
      <c r="G60" s="394">
        <v>0</v>
      </c>
      <c r="H60" s="394">
        <v>0</v>
      </c>
      <c r="I60" s="394">
        <v>0</v>
      </c>
      <c r="J60" s="395">
        <v>0</v>
      </c>
    </row>
    <row r="61" spans="2:10">
      <c r="B61" s="396" t="s">
        <v>799</v>
      </c>
      <c r="C61" s="394">
        <v>2785.92</v>
      </c>
      <c r="D61" s="394">
        <v>2639.36</v>
      </c>
      <c r="E61" s="394">
        <v>2114.58</v>
      </c>
      <c r="F61" s="394">
        <v>2097.6</v>
      </c>
      <c r="G61" s="394">
        <v>1323.2</v>
      </c>
      <c r="H61" s="394">
        <v>1650.24</v>
      </c>
      <c r="I61" s="394">
        <v>2029.44</v>
      </c>
      <c r="J61" s="395">
        <v>1710.4</v>
      </c>
    </row>
    <row r="62" spans="2:10">
      <c r="B62" s="396" t="s">
        <v>800</v>
      </c>
      <c r="C62" s="394">
        <v>613.91999999999996</v>
      </c>
      <c r="D62" s="394">
        <v>699.2</v>
      </c>
      <c r="E62" s="394">
        <v>365.6</v>
      </c>
      <c r="F62" s="394">
        <v>337.12</v>
      </c>
      <c r="G62" s="394">
        <v>431.84</v>
      </c>
      <c r="H62" s="394">
        <v>410.72</v>
      </c>
      <c r="I62" s="394">
        <v>406.4</v>
      </c>
      <c r="J62" s="395">
        <v>376.96</v>
      </c>
    </row>
    <row r="63" spans="2:10">
      <c r="B63" s="396" t="s">
        <v>801</v>
      </c>
      <c r="C63" s="394">
        <v>158.47999999999999</v>
      </c>
      <c r="D63" s="394">
        <v>174.64</v>
      </c>
      <c r="E63" s="394">
        <v>54.64</v>
      </c>
      <c r="F63" s="394">
        <v>115.28</v>
      </c>
      <c r="G63" s="394">
        <v>135.19999999999999</v>
      </c>
      <c r="H63" s="394">
        <v>135.19999999999999</v>
      </c>
      <c r="I63" s="394">
        <v>109.68</v>
      </c>
      <c r="J63" s="395">
        <v>161.36000000000001</v>
      </c>
    </row>
    <row r="64" spans="2:10">
      <c r="B64" s="396" t="s">
        <v>802</v>
      </c>
      <c r="C64" s="394"/>
      <c r="D64" s="394"/>
      <c r="E64" s="394"/>
      <c r="F64" s="394"/>
      <c r="G64" s="394"/>
      <c r="H64" s="394">
        <v>3.84</v>
      </c>
      <c r="I64" s="394">
        <v>1.6</v>
      </c>
      <c r="J64" s="395">
        <v>1.28</v>
      </c>
    </row>
    <row r="65" spans="2:11">
      <c r="B65" s="396" t="s">
        <v>803</v>
      </c>
      <c r="C65" s="394">
        <v>0</v>
      </c>
      <c r="D65" s="394">
        <v>0</v>
      </c>
      <c r="E65" s="394">
        <v>0</v>
      </c>
      <c r="F65" s="394">
        <v>0</v>
      </c>
      <c r="G65" s="394">
        <v>0</v>
      </c>
      <c r="H65" s="394">
        <v>0</v>
      </c>
      <c r="I65" s="394">
        <v>0</v>
      </c>
      <c r="J65" s="395">
        <v>0</v>
      </c>
    </row>
    <row r="66" spans="2:11">
      <c r="B66" s="396"/>
      <c r="C66" s="394"/>
      <c r="D66" s="394"/>
      <c r="E66" s="394"/>
      <c r="F66" s="394"/>
      <c r="G66" s="394"/>
      <c r="H66" s="394"/>
      <c r="I66" s="394"/>
      <c r="J66" s="395"/>
    </row>
    <row r="67" spans="2:11">
      <c r="B67" s="391" t="s">
        <v>424</v>
      </c>
      <c r="C67" s="392">
        <f>SUM(C68:C73)</f>
        <v>12.061999999999999</v>
      </c>
      <c r="D67" s="392">
        <f>SUM(D68:D73)</f>
        <v>8.7119999999999997</v>
      </c>
      <c r="E67" s="392">
        <f t="shared" ref="E67:J67" si="7">SUM(E68:E73)</f>
        <v>2.8159999999999998</v>
      </c>
      <c r="F67" s="392">
        <f t="shared" si="7"/>
        <v>23.86</v>
      </c>
      <c r="G67" s="392">
        <f t="shared" si="7"/>
        <v>15.34</v>
      </c>
      <c r="H67" s="392">
        <f t="shared" si="7"/>
        <v>11.116000000000001</v>
      </c>
      <c r="I67" s="392">
        <f t="shared" si="7"/>
        <v>13.632000000000001</v>
      </c>
      <c r="J67" s="392">
        <f t="shared" si="7"/>
        <v>1.99</v>
      </c>
    </row>
    <row r="68" spans="2:11">
      <c r="B68" s="393" t="s">
        <v>472</v>
      </c>
      <c r="C68" s="394"/>
      <c r="D68" s="394"/>
      <c r="E68" s="394"/>
      <c r="F68" s="394"/>
      <c r="G68" s="394"/>
      <c r="H68" s="394"/>
      <c r="I68" s="394"/>
      <c r="J68" s="395"/>
    </row>
    <row r="69" spans="2:11">
      <c r="B69" s="397" t="s">
        <v>804</v>
      </c>
      <c r="C69" s="394">
        <v>0.95</v>
      </c>
      <c r="D69" s="394">
        <v>1.6</v>
      </c>
      <c r="E69" s="394">
        <v>0.8</v>
      </c>
      <c r="F69" s="394">
        <v>7.2</v>
      </c>
      <c r="G69" s="394">
        <v>7.2</v>
      </c>
      <c r="H69" s="394">
        <v>6.4</v>
      </c>
      <c r="I69" s="394">
        <v>8</v>
      </c>
      <c r="J69" s="395">
        <v>0</v>
      </c>
    </row>
    <row r="70" spans="2:11">
      <c r="B70" s="397" t="s">
        <v>805</v>
      </c>
      <c r="C70" s="394">
        <v>5.6</v>
      </c>
      <c r="D70" s="394">
        <v>1.6</v>
      </c>
      <c r="E70" s="394">
        <v>0</v>
      </c>
      <c r="F70" s="394">
        <v>9.6</v>
      </c>
      <c r="G70" s="394">
        <v>1.6</v>
      </c>
      <c r="H70" s="394">
        <v>0.8</v>
      </c>
      <c r="I70" s="394">
        <v>0.15</v>
      </c>
      <c r="J70" s="395">
        <v>0</v>
      </c>
    </row>
    <row r="71" spans="2:11">
      <c r="B71" s="397" t="s">
        <v>806</v>
      </c>
      <c r="C71" s="394">
        <v>2.4</v>
      </c>
      <c r="D71" s="394">
        <v>2.4</v>
      </c>
      <c r="E71" s="394">
        <v>0.8</v>
      </c>
      <c r="F71" s="394">
        <v>3.2</v>
      </c>
      <c r="G71" s="394">
        <v>3.2</v>
      </c>
      <c r="H71" s="394">
        <v>1.6</v>
      </c>
      <c r="I71" s="394">
        <v>2.4500000000000002</v>
      </c>
      <c r="J71" s="395">
        <v>1.05</v>
      </c>
    </row>
    <row r="72" spans="2:11">
      <c r="B72" s="397" t="s">
        <v>807</v>
      </c>
      <c r="C72" s="394">
        <v>1.44</v>
      </c>
      <c r="D72" s="394">
        <v>1.44</v>
      </c>
      <c r="E72" s="394">
        <v>0</v>
      </c>
      <c r="F72" s="394">
        <v>2.34</v>
      </c>
      <c r="G72" s="394">
        <v>1.44</v>
      </c>
      <c r="H72" s="394">
        <v>0.72</v>
      </c>
      <c r="I72" s="394">
        <v>0.96</v>
      </c>
      <c r="J72" s="395">
        <v>0.18</v>
      </c>
    </row>
    <row r="73" spans="2:11">
      <c r="B73" s="397" t="s">
        <v>808</v>
      </c>
      <c r="C73" s="394">
        <v>1.6719999999999999</v>
      </c>
      <c r="D73" s="394">
        <v>1.6719999999999999</v>
      </c>
      <c r="E73" s="394">
        <v>1.216</v>
      </c>
      <c r="F73" s="394">
        <v>1.52</v>
      </c>
      <c r="G73" s="394">
        <v>1.9</v>
      </c>
      <c r="H73" s="394">
        <v>1.5960000000000001</v>
      </c>
      <c r="I73" s="394">
        <v>2.0720000000000001</v>
      </c>
      <c r="J73" s="395">
        <v>0.76</v>
      </c>
    </row>
    <row r="74" spans="2:11">
      <c r="B74" s="398"/>
      <c r="C74" s="394"/>
      <c r="D74" s="394"/>
      <c r="E74" s="394"/>
      <c r="F74" s="394"/>
      <c r="G74" s="394"/>
      <c r="H74" s="394"/>
      <c r="I74" s="394"/>
      <c r="J74" s="394"/>
    </row>
    <row r="75" spans="2:11">
      <c r="B75" s="399" t="s">
        <v>414</v>
      </c>
      <c r="C75" s="66">
        <v>0</v>
      </c>
      <c r="D75" s="66">
        <v>0</v>
      </c>
      <c r="E75" s="66">
        <v>0</v>
      </c>
      <c r="F75" s="66">
        <v>0</v>
      </c>
      <c r="G75" s="66">
        <v>0</v>
      </c>
      <c r="H75" s="66">
        <v>0</v>
      </c>
      <c r="I75" s="66">
        <v>0</v>
      </c>
      <c r="J75" s="66">
        <v>0</v>
      </c>
    </row>
    <row r="76" spans="2:11" ht="15" thickBot="1">
      <c r="B76" s="400" t="s">
        <v>413</v>
      </c>
      <c r="C76" s="109">
        <v>0</v>
      </c>
      <c r="D76" s="109">
        <v>0</v>
      </c>
      <c r="E76" s="109">
        <v>0</v>
      </c>
      <c r="F76" s="109">
        <v>0</v>
      </c>
      <c r="G76" s="109">
        <v>0</v>
      </c>
      <c r="H76" s="109">
        <v>0</v>
      </c>
      <c r="I76" s="109">
        <v>0</v>
      </c>
      <c r="J76" s="109">
        <v>0</v>
      </c>
    </row>
    <row r="77" spans="2:11" ht="15" thickTop="1">
      <c r="B77" s="401" t="s">
        <v>809</v>
      </c>
      <c r="C77" s="66"/>
      <c r="D77" s="66"/>
      <c r="E77" s="66"/>
      <c r="F77" s="66"/>
      <c r="G77" s="66"/>
      <c r="H77" s="66"/>
      <c r="I77" s="66"/>
      <c r="J77" s="66"/>
    </row>
    <row r="78" spans="2:11" ht="21.75" customHeight="1">
      <c r="B78" s="2099" t="s">
        <v>810</v>
      </c>
      <c r="C78" s="2099"/>
      <c r="D78" s="2099"/>
      <c r="E78" s="2099"/>
      <c r="F78" s="2099"/>
      <c r="G78" s="2099"/>
      <c r="H78" s="2099"/>
      <c r="I78" s="2099"/>
      <c r="J78" s="2099"/>
    </row>
    <row r="79" spans="2:11">
      <c r="B79" s="197"/>
      <c r="C79" s="66"/>
      <c r="D79" s="66"/>
      <c r="E79" s="66"/>
      <c r="F79" s="66"/>
      <c r="G79" s="66"/>
      <c r="H79" s="66"/>
      <c r="I79" s="66"/>
      <c r="J79" s="66"/>
    </row>
    <row r="80" spans="2:11">
      <c r="B80" s="2100" t="s">
        <v>411</v>
      </c>
      <c r="C80" s="2100"/>
      <c r="D80" s="2100"/>
      <c r="E80" s="2100"/>
      <c r="F80" s="2100"/>
      <c r="G80" s="2100"/>
      <c r="H80" s="2100"/>
      <c r="I80" s="2100"/>
      <c r="J80" s="2100"/>
      <c r="K80" s="2100"/>
    </row>
    <row r="81" spans="2:10">
      <c r="B81" s="12" t="s">
        <v>410</v>
      </c>
      <c r="C81" s="12"/>
      <c r="D81" s="12"/>
      <c r="E81" s="12"/>
      <c r="F81" s="12"/>
      <c r="G81" s="12"/>
      <c r="H81" s="12"/>
      <c r="I81" s="12"/>
      <c r="J81" s="12"/>
    </row>
    <row r="82" spans="2:10">
      <c r="B82" s="62" t="s">
        <v>409</v>
      </c>
      <c r="C82" s="62"/>
      <c r="D82" s="62"/>
      <c r="E82" s="62"/>
      <c r="F82" s="62"/>
      <c r="G82" s="62"/>
      <c r="H82" s="62"/>
      <c r="I82" s="62"/>
      <c r="J82" s="62"/>
    </row>
    <row r="83" spans="2:10">
      <c r="B83" s="2024"/>
      <c r="C83" s="2024"/>
      <c r="D83" s="2024"/>
      <c r="E83" s="2024"/>
      <c r="F83" s="2024"/>
      <c r="G83" s="2024"/>
      <c r="H83" s="2024"/>
      <c r="I83" s="2024"/>
      <c r="J83" s="2024"/>
    </row>
    <row r="84" spans="2:10">
      <c r="B84" s="12"/>
      <c r="C84" s="303">
        <v>2014</v>
      </c>
      <c r="D84" s="303">
        <v>2015</v>
      </c>
      <c r="E84" s="303">
        <v>2016</v>
      </c>
      <c r="F84" s="303">
        <v>2017</v>
      </c>
      <c r="G84" s="303">
        <v>2018</v>
      </c>
      <c r="H84" s="303">
        <v>2019</v>
      </c>
      <c r="I84" s="303">
        <v>2020</v>
      </c>
      <c r="J84" s="303">
        <v>2021</v>
      </c>
    </row>
    <row r="85" spans="2:10">
      <c r="B85" s="402" t="s">
        <v>262</v>
      </c>
      <c r="C85" s="121">
        <v>1</v>
      </c>
      <c r="D85" s="121">
        <v>1</v>
      </c>
      <c r="E85" s="121">
        <v>1</v>
      </c>
      <c r="F85" s="121">
        <v>1</v>
      </c>
      <c r="G85" s="121">
        <v>1</v>
      </c>
      <c r="H85" s="121">
        <v>1</v>
      </c>
      <c r="I85" s="121">
        <v>1</v>
      </c>
      <c r="J85" s="121">
        <v>1</v>
      </c>
    </row>
    <row r="86" spans="2:10">
      <c r="B86" s="64" t="s">
        <v>408</v>
      </c>
      <c r="C86" s="121">
        <v>3</v>
      </c>
      <c r="D86" s="121">
        <v>3</v>
      </c>
      <c r="E86" s="121">
        <v>3</v>
      </c>
      <c r="F86" s="121">
        <v>3</v>
      </c>
      <c r="G86" s="121">
        <v>4</v>
      </c>
      <c r="H86" s="121">
        <v>4</v>
      </c>
      <c r="I86" s="121">
        <v>4</v>
      </c>
      <c r="J86" s="121">
        <v>4</v>
      </c>
    </row>
    <row r="87" spans="2:10">
      <c r="B87" s="64" t="s">
        <v>407</v>
      </c>
      <c r="C87" s="121">
        <v>23</v>
      </c>
      <c r="D87" s="121">
        <v>24</v>
      </c>
      <c r="E87" s="121">
        <v>26</v>
      </c>
      <c r="F87" s="121">
        <v>27</v>
      </c>
      <c r="G87" s="121">
        <v>27</v>
      </c>
      <c r="H87" s="121">
        <v>28</v>
      </c>
      <c r="I87" s="121">
        <v>28</v>
      </c>
      <c r="J87" s="121">
        <v>26</v>
      </c>
    </row>
    <row r="88" spans="2:10" ht="15.5">
      <c r="B88" s="403" t="s">
        <v>811</v>
      </c>
      <c r="C88" s="121">
        <v>10991</v>
      </c>
      <c r="D88" s="121">
        <v>10575</v>
      </c>
      <c r="E88" s="121">
        <v>10571</v>
      </c>
      <c r="F88" s="121">
        <v>10550</v>
      </c>
      <c r="G88" s="121">
        <v>9835</v>
      </c>
      <c r="H88" s="121">
        <v>10121</v>
      </c>
      <c r="I88" s="121">
        <v>10493</v>
      </c>
      <c r="J88" s="121">
        <v>10453</v>
      </c>
    </row>
    <row r="89" spans="2:10">
      <c r="B89" s="186" t="s">
        <v>401</v>
      </c>
      <c r="C89" s="55">
        <v>6.5960917439599998</v>
      </c>
      <c r="D89" s="55">
        <v>4.9901244427999991</v>
      </c>
      <c r="E89" s="55">
        <v>9.18135614117001</v>
      </c>
      <c r="F89" s="55">
        <v>9.0095137846700144</v>
      </c>
      <c r="G89" s="55">
        <v>8.7878073800300207</v>
      </c>
      <c r="H89" s="55">
        <v>9.2424303546200086</v>
      </c>
      <c r="I89" s="55">
        <v>13.307500829309994</v>
      </c>
      <c r="J89" s="55">
        <v>13.60474951178</v>
      </c>
    </row>
    <row r="90" spans="2:10">
      <c r="B90" s="65"/>
    </row>
    <row r="91" spans="2:10">
      <c r="B91" s="404" t="s">
        <v>477</v>
      </c>
      <c r="C91" s="66"/>
      <c r="D91" s="66"/>
      <c r="E91" s="66"/>
      <c r="F91" s="66"/>
      <c r="G91" s="66"/>
      <c r="H91" s="66"/>
      <c r="I91" s="66"/>
      <c r="J91" s="66"/>
    </row>
    <row r="92" spans="2:10" ht="15.5">
      <c r="B92" s="186" t="s">
        <v>812</v>
      </c>
      <c r="C92" s="405">
        <v>23</v>
      </c>
      <c r="D92" s="405">
        <v>23</v>
      </c>
      <c r="E92" s="405">
        <v>24</v>
      </c>
      <c r="F92" s="405">
        <v>24</v>
      </c>
      <c r="G92" s="405">
        <v>24</v>
      </c>
      <c r="H92" s="405">
        <v>24</v>
      </c>
      <c r="I92" s="405">
        <v>24</v>
      </c>
      <c r="J92" s="67">
        <v>24</v>
      </c>
    </row>
    <row r="93" spans="2:10">
      <c r="B93" s="186" t="s">
        <v>403</v>
      </c>
      <c r="C93" s="67">
        <v>0</v>
      </c>
      <c r="D93" s="67">
        <v>1325</v>
      </c>
      <c r="E93" s="67">
        <v>1314</v>
      </c>
      <c r="F93" s="67">
        <v>1286</v>
      </c>
      <c r="G93" s="67">
        <v>1291</v>
      </c>
      <c r="H93" s="67">
        <v>1280</v>
      </c>
      <c r="I93" s="67">
        <v>1285</v>
      </c>
      <c r="J93" s="67">
        <v>1224</v>
      </c>
    </row>
    <row r="94" spans="2:10">
      <c r="B94" s="186" t="s">
        <v>402</v>
      </c>
      <c r="C94" s="67">
        <v>8661874</v>
      </c>
      <c r="D94" s="67">
        <v>9176075.666666666</v>
      </c>
      <c r="E94" s="67">
        <v>10289972.3333333</v>
      </c>
      <c r="F94" s="67">
        <v>10792726.25</v>
      </c>
      <c r="G94" s="67">
        <v>11645271.166666666</v>
      </c>
      <c r="H94" s="67">
        <v>12153306.75</v>
      </c>
      <c r="I94" s="67">
        <v>12478843.333333334</v>
      </c>
      <c r="J94" s="67">
        <v>0</v>
      </c>
    </row>
    <row r="95" spans="2:10">
      <c r="B95" s="186" t="s">
        <v>401</v>
      </c>
      <c r="C95" s="406">
        <v>18.531482354717003</v>
      </c>
      <c r="D95" s="406">
        <v>15.530358719000001</v>
      </c>
      <c r="E95" s="406">
        <v>18.711454898</v>
      </c>
      <c r="F95" s="406">
        <v>19.396516457000001</v>
      </c>
      <c r="G95" s="406">
        <v>18.841615913000002</v>
      </c>
      <c r="H95" s="406">
        <v>33.170507710999999</v>
      </c>
      <c r="I95" s="406">
        <v>22.057468395000001</v>
      </c>
      <c r="J95" s="67">
        <v>0</v>
      </c>
    </row>
    <row r="96" spans="2:10">
      <c r="B96" s="186"/>
      <c r="C96" s="67"/>
      <c r="D96" s="67"/>
      <c r="E96" s="67"/>
      <c r="F96" s="67"/>
      <c r="G96" s="67"/>
      <c r="H96" s="67"/>
      <c r="I96" s="67"/>
      <c r="J96" s="67"/>
    </row>
    <row r="97" spans="2:11">
      <c r="B97" s="407" t="s">
        <v>813</v>
      </c>
      <c r="C97" s="67"/>
      <c r="D97" s="67"/>
      <c r="E97" s="67"/>
      <c r="F97" s="67"/>
      <c r="G97" s="67"/>
      <c r="H97" s="3"/>
      <c r="I97" s="3"/>
      <c r="J97" s="67"/>
    </row>
    <row r="98" spans="2:11" ht="15.5">
      <c r="B98" s="408" t="s">
        <v>814</v>
      </c>
      <c r="C98" s="3">
        <v>0</v>
      </c>
      <c r="D98" s="67">
        <v>0</v>
      </c>
      <c r="E98" s="67">
        <v>0</v>
      </c>
      <c r="F98" s="67">
        <v>0</v>
      </c>
      <c r="G98" s="67">
        <v>0</v>
      </c>
      <c r="H98" s="3">
        <v>0</v>
      </c>
      <c r="I98" s="3">
        <f>510+47</f>
        <v>557</v>
      </c>
      <c r="J98" s="67">
        <f>38+47+91+153+155+56</f>
        <v>540</v>
      </c>
    </row>
    <row r="99" spans="2:11">
      <c r="B99" s="409" t="s">
        <v>408</v>
      </c>
      <c r="C99" s="67">
        <v>0</v>
      </c>
      <c r="D99" s="3">
        <v>0</v>
      </c>
      <c r="E99" s="3">
        <v>0</v>
      </c>
      <c r="F99" s="3">
        <v>0</v>
      </c>
      <c r="G99" s="3">
        <v>0</v>
      </c>
      <c r="H99" s="3">
        <v>0</v>
      </c>
      <c r="I99" s="3">
        <v>0</v>
      </c>
      <c r="J99" s="3">
        <v>0</v>
      </c>
    </row>
    <row r="100" spans="2:11">
      <c r="B100" s="408" t="s">
        <v>402</v>
      </c>
      <c r="C100" s="3">
        <v>0</v>
      </c>
      <c r="D100" s="67">
        <v>0</v>
      </c>
      <c r="E100" s="67">
        <v>0</v>
      </c>
      <c r="F100" s="67">
        <v>0</v>
      </c>
      <c r="G100" s="67">
        <v>0</v>
      </c>
      <c r="H100" s="3">
        <v>0</v>
      </c>
      <c r="I100" s="3">
        <v>0</v>
      </c>
      <c r="J100" s="3">
        <v>0</v>
      </c>
    </row>
    <row r="101" spans="2:11">
      <c r="B101" s="408" t="s">
        <v>401</v>
      </c>
      <c r="C101" s="3">
        <v>0</v>
      </c>
      <c r="D101" s="3">
        <v>0</v>
      </c>
      <c r="E101" s="3">
        <v>0</v>
      </c>
      <c r="F101" s="3">
        <v>0</v>
      </c>
      <c r="G101" s="3">
        <v>0</v>
      </c>
      <c r="H101" s="3">
        <v>0</v>
      </c>
      <c r="I101" s="3">
        <v>0</v>
      </c>
      <c r="J101" s="3">
        <v>0</v>
      </c>
    </row>
    <row r="102" spans="2:11">
      <c r="B102" s="186"/>
      <c r="C102" s="3"/>
      <c r="D102" s="3"/>
      <c r="E102" s="3"/>
      <c r="F102" s="3"/>
      <c r="G102" s="3"/>
      <c r="H102" s="3"/>
      <c r="I102" s="3"/>
      <c r="J102" s="3"/>
    </row>
    <row r="103" spans="2:11">
      <c r="B103" s="407" t="s">
        <v>400</v>
      </c>
      <c r="C103" s="3"/>
      <c r="D103" s="3"/>
      <c r="E103" s="3"/>
      <c r="F103" s="3"/>
      <c r="G103" s="3"/>
      <c r="H103" s="3"/>
      <c r="I103" s="3"/>
      <c r="J103" s="3"/>
    </row>
    <row r="104" spans="2:11">
      <c r="B104" s="186" t="s">
        <v>399</v>
      </c>
      <c r="C104" s="3">
        <v>1</v>
      </c>
      <c r="D104" s="3">
        <v>1</v>
      </c>
      <c r="E104" s="3">
        <v>1</v>
      </c>
      <c r="F104" s="3">
        <v>1</v>
      </c>
      <c r="G104" s="3">
        <v>0</v>
      </c>
      <c r="H104" s="3">
        <v>0</v>
      </c>
      <c r="I104" s="3">
        <v>0</v>
      </c>
      <c r="J104" s="3">
        <v>0</v>
      </c>
    </row>
    <row r="105" spans="2:11" s="411" customFormat="1" ht="15.5">
      <c r="B105" s="410" t="s">
        <v>815</v>
      </c>
      <c r="C105" s="3">
        <f>+C28/1000</f>
        <v>8.0000000000000007E-5</v>
      </c>
      <c r="D105" s="3">
        <f>+D28/1000</f>
        <v>7.7999999999999999E-4</v>
      </c>
      <c r="E105" s="3">
        <f>+E28/1000</f>
        <v>4.13E-3</v>
      </c>
      <c r="F105" s="3">
        <f>+F28/1000</f>
        <v>8.8800000000000007E-3</v>
      </c>
      <c r="G105" s="3">
        <v>0</v>
      </c>
      <c r="H105" s="3">
        <v>0</v>
      </c>
      <c r="I105" s="3">
        <v>0</v>
      </c>
      <c r="J105" s="3">
        <v>0</v>
      </c>
    </row>
    <row r="106" spans="2:11" ht="15" thickBot="1">
      <c r="B106" s="389" t="s">
        <v>395</v>
      </c>
      <c r="C106" s="390">
        <v>0</v>
      </c>
      <c r="D106" s="390">
        <v>0</v>
      </c>
      <c r="E106" s="390">
        <v>0</v>
      </c>
      <c r="F106" s="390">
        <v>0</v>
      </c>
      <c r="G106" s="390">
        <v>0</v>
      </c>
      <c r="H106" s="390">
        <v>0</v>
      </c>
      <c r="I106" s="390">
        <v>0</v>
      </c>
      <c r="J106" s="390">
        <v>0</v>
      </c>
    </row>
    <row r="107" spans="2:11" ht="15" thickTop="1">
      <c r="B107" s="412" t="s">
        <v>816</v>
      </c>
      <c r="C107" s="3"/>
      <c r="D107" s="3"/>
      <c r="E107" s="3"/>
      <c r="F107" s="3"/>
      <c r="G107" s="3"/>
      <c r="H107" s="3"/>
      <c r="I107" s="3"/>
      <c r="J107" s="3"/>
    </row>
    <row r="108" spans="2:11" ht="60" customHeight="1">
      <c r="B108" s="2101" t="s">
        <v>817</v>
      </c>
      <c r="C108" s="2101"/>
      <c r="D108" s="2101"/>
      <c r="E108" s="2101"/>
      <c r="F108" s="2101"/>
      <c r="G108" s="2101"/>
      <c r="H108" s="2101"/>
      <c r="I108" s="2101"/>
      <c r="J108" s="2101"/>
    </row>
    <row r="109" spans="2:11" ht="15" thickBot="1">
      <c r="B109" s="183"/>
      <c r="C109" s="3"/>
      <c r="D109" s="3"/>
      <c r="E109" s="3"/>
      <c r="F109" s="3"/>
      <c r="G109" s="3"/>
      <c r="H109" s="3"/>
      <c r="I109" s="3"/>
      <c r="J109" s="3"/>
    </row>
    <row r="110" spans="2:11" ht="15" thickTop="1">
      <c r="B110" s="2100" t="s">
        <v>393</v>
      </c>
      <c r="C110" s="2100"/>
      <c r="D110" s="2100"/>
      <c r="E110" s="2100"/>
      <c r="F110" s="2100"/>
      <c r="G110" s="2100"/>
      <c r="H110" s="2100"/>
      <c r="I110" s="2100"/>
      <c r="J110" s="2100"/>
      <c r="K110" s="2100"/>
    </row>
    <row r="111" spans="2:11">
      <c r="B111" s="12" t="s">
        <v>392</v>
      </c>
      <c r="C111" s="302"/>
      <c r="D111" s="302"/>
      <c r="E111" s="302"/>
      <c r="F111" s="302"/>
      <c r="G111" s="302"/>
      <c r="H111" s="302"/>
      <c r="I111" s="302"/>
      <c r="J111" s="302"/>
      <c r="K111" s="302"/>
    </row>
    <row r="112" spans="2:11">
      <c r="B112" s="62" t="s">
        <v>269</v>
      </c>
      <c r="C112" s="302"/>
      <c r="D112" s="302"/>
      <c r="E112" s="302"/>
      <c r="F112" s="302"/>
      <c r="G112" s="302"/>
      <c r="H112" s="302"/>
      <c r="I112" s="302"/>
      <c r="J112" s="302"/>
      <c r="K112" s="302"/>
    </row>
    <row r="113" spans="2:11">
      <c r="B113" s="64"/>
      <c r="C113" s="302"/>
      <c r="D113" s="302"/>
      <c r="E113" s="302"/>
      <c r="F113" s="302"/>
      <c r="G113" s="302"/>
      <c r="H113" s="302"/>
      <c r="I113" s="302"/>
      <c r="J113" s="302"/>
      <c r="K113" s="302"/>
    </row>
    <row r="114" spans="2:11">
      <c r="B114" s="61"/>
      <c r="C114" s="303">
        <v>2014</v>
      </c>
      <c r="D114" s="303">
        <v>2015</v>
      </c>
      <c r="E114" s="303">
        <v>2016</v>
      </c>
      <c r="F114" s="303">
        <v>2017</v>
      </c>
      <c r="G114" s="303">
        <v>2018</v>
      </c>
      <c r="H114" s="303">
        <v>2019</v>
      </c>
      <c r="I114" s="303">
        <v>2020</v>
      </c>
      <c r="J114" s="303">
        <v>2021</v>
      </c>
      <c r="K114" s="413"/>
    </row>
    <row r="115" spans="2:11" s="411" customFormat="1" ht="15">
      <c r="B115" s="414" t="s">
        <v>818</v>
      </c>
      <c r="C115" s="67"/>
      <c r="D115" s="67"/>
      <c r="E115" s="67"/>
      <c r="F115" s="67"/>
      <c r="G115" s="67"/>
      <c r="H115" s="67"/>
      <c r="I115" s="67"/>
      <c r="J115" s="67"/>
    </row>
    <row r="116" spans="2:11">
      <c r="B116" s="414" t="s">
        <v>390</v>
      </c>
      <c r="C116" s="67">
        <v>0</v>
      </c>
      <c r="D116" s="67">
        <v>0</v>
      </c>
      <c r="E116" s="67">
        <v>0</v>
      </c>
      <c r="F116" s="67">
        <v>0</v>
      </c>
      <c r="G116" s="67">
        <v>0</v>
      </c>
      <c r="H116" s="67">
        <v>0</v>
      </c>
      <c r="I116" s="67">
        <v>0</v>
      </c>
      <c r="J116" s="67">
        <v>0</v>
      </c>
    </row>
    <row r="117" spans="2:11" s="411" customFormat="1">
      <c r="B117" s="414" t="s">
        <v>819</v>
      </c>
      <c r="C117" s="67">
        <v>0</v>
      </c>
      <c r="D117" s="67">
        <v>4799256</v>
      </c>
      <c r="E117" s="67">
        <v>5391362.0000000009</v>
      </c>
      <c r="F117" s="67">
        <v>5778966.9999999991</v>
      </c>
      <c r="G117" s="67">
        <v>6771199.9999999991</v>
      </c>
      <c r="H117" s="67">
        <v>7755368.9999999991</v>
      </c>
      <c r="I117" s="67">
        <v>8613465</v>
      </c>
      <c r="J117" s="67">
        <v>2230857</v>
      </c>
    </row>
    <row r="118" spans="2:11">
      <c r="B118" s="414" t="s">
        <v>820</v>
      </c>
      <c r="C118" s="67">
        <v>0</v>
      </c>
      <c r="D118" s="67">
        <v>0</v>
      </c>
      <c r="E118" s="67">
        <v>0</v>
      </c>
      <c r="F118" s="67">
        <v>0</v>
      </c>
      <c r="G118" s="67">
        <v>0</v>
      </c>
      <c r="H118" s="67">
        <v>0</v>
      </c>
      <c r="I118" s="67">
        <v>0</v>
      </c>
      <c r="J118" s="67">
        <v>0</v>
      </c>
    </row>
    <row r="119" spans="2:11">
      <c r="B119" s="414" t="s">
        <v>821</v>
      </c>
      <c r="C119" s="67">
        <v>0</v>
      </c>
      <c r="D119" s="67">
        <v>2559836.0000000065</v>
      </c>
      <c r="E119" s="67">
        <v>2572188.0000000084</v>
      </c>
      <c r="F119" s="67">
        <v>2841332.9999999888</v>
      </c>
      <c r="G119" s="67">
        <v>3149193.9999999665</v>
      </c>
      <c r="H119" s="67">
        <v>3468619.9999999511</v>
      </c>
      <c r="I119" s="67">
        <v>3392684</v>
      </c>
      <c r="J119" s="67">
        <v>2566398</v>
      </c>
    </row>
    <row r="120" spans="2:11">
      <c r="B120" s="414" t="s">
        <v>386</v>
      </c>
      <c r="C120" s="67">
        <v>0</v>
      </c>
      <c r="D120" s="67">
        <v>0</v>
      </c>
      <c r="E120" s="67">
        <v>0</v>
      </c>
      <c r="F120" s="67">
        <v>0</v>
      </c>
      <c r="G120" s="67">
        <v>0</v>
      </c>
      <c r="H120" s="67">
        <v>0</v>
      </c>
      <c r="I120" s="67">
        <v>0</v>
      </c>
      <c r="J120" s="67">
        <v>0</v>
      </c>
    </row>
    <row r="121" spans="2:11">
      <c r="B121" s="414" t="s">
        <v>385</v>
      </c>
      <c r="C121" s="67">
        <v>0</v>
      </c>
      <c r="D121" s="67">
        <v>0</v>
      </c>
      <c r="E121" s="67">
        <v>0</v>
      </c>
      <c r="F121" s="67">
        <v>0</v>
      </c>
      <c r="G121" s="67">
        <v>0</v>
      </c>
      <c r="H121" s="67">
        <v>0</v>
      </c>
      <c r="I121" s="67">
        <v>0</v>
      </c>
      <c r="J121" s="67">
        <v>0</v>
      </c>
    </row>
    <row r="122" spans="2:11">
      <c r="B122" s="414" t="s">
        <v>384</v>
      </c>
      <c r="C122" s="67">
        <v>0</v>
      </c>
      <c r="D122" s="67">
        <v>0</v>
      </c>
      <c r="E122" s="67">
        <v>0</v>
      </c>
      <c r="F122" s="67">
        <v>0</v>
      </c>
      <c r="G122" s="67">
        <v>0</v>
      </c>
      <c r="H122" s="67">
        <v>0</v>
      </c>
      <c r="I122" s="67">
        <v>0</v>
      </c>
      <c r="J122" s="67">
        <v>0</v>
      </c>
    </row>
    <row r="123" spans="2:11">
      <c r="B123" s="415" t="s">
        <v>383</v>
      </c>
      <c r="C123" s="67">
        <v>0</v>
      </c>
      <c r="D123" s="67">
        <v>0</v>
      </c>
      <c r="E123" s="67">
        <v>0</v>
      </c>
      <c r="F123" s="67">
        <v>0</v>
      </c>
      <c r="G123" s="67">
        <v>0</v>
      </c>
      <c r="H123" s="67">
        <v>0</v>
      </c>
      <c r="I123" s="67">
        <v>0</v>
      </c>
      <c r="J123" s="67">
        <v>0</v>
      </c>
    </row>
    <row r="124" spans="2:11">
      <c r="B124" s="54" t="s">
        <v>382</v>
      </c>
      <c r="C124" s="67">
        <v>0</v>
      </c>
      <c r="D124" s="67">
        <v>0</v>
      </c>
      <c r="E124" s="67">
        <v>0</v>
      </c>
      <c r="F124" s="67">
        <v>0</v>
      </c>
      <c r="G124" s="67">
        <v>0</v>
      </c>
      <c r="H124" s="67">
        <v>0</v>
      </c>
      <c r="I124" s="67">
        <v>0</v>
      </c>
      <c r="J124" s="67">
        <v>0</v>
      </c>
    </row>
    <row r="125" spans="2:11">
      <c r="B125" s="147"/>
      <c r="C125" s="67"/>
      <c r="D125" s="67"/>
      <c r="E125" s="67"/>
      <c r="F125" s="67"/>
      <c r="G125" s="67"/>
      <c r="H125" s="67"/>
      <c r="I125" s="67"/>
      <c r="J125" s="67"/>
    </row>
    <row r="126" spans="2:11">
      <c r="B126" s="416" t="s">
        <v>381</v>
      </c>
      <c r="C126" s="67"/>
      <c r="D126" s="67"/>
      <c r="E126" s="67"/>
      <c r="F126" s="67"/>
      <c r="G126" s="67"/>
      <c r="H126" s="67"/>
      <c r="I126" s="67"/>
      <c r="J126" s="67"/>
    </row>
    <row r="127" spans="2:11">
      <c r="B127" s="149" t="s">
        <v>822</v>
      </c>
      <c r="C127" s="67">
        <f>+C129+C130</f>
        <v>3626</v>
      </c>
      <c r="D127" s="67">
        <f t="shared" ref="D127:J127" si="8">+D129+D130</f>
        <v>3900</v>
      </c>
      <c r="E127" s="67">
        <f t="shared" si="8"/>
        <v>3999</v>
      </c>
      <c r="F127" s="67">
        <f t="shared" si="8"/>
        <v>3991</v>
      </c>
      <c r="G127" s="67">
        <f t="shared" si="8"/>
        <v>4335</v>
      </c>
      <c r="H127" s="67">
        <f t="shared" si="8"/>
        <v>4577</v>
      </c>
      <c r="I127" s="67">
        <f t="shared" si="8"/>
        <v>4677</v>
      </c>
      <c r="J127" s="67">
        <f t="shared" si="8"/>
        <v>4860</v>
      </c>
    </row>
    <row r="128" spans="2:11">
      <c r="B128" s="417" t="s">
        <v>379</v>
      </c>
      <c r="C128" s="67"/>
      <c r="D128" s="67"/>
      <c r="E128" s="67"/>
      <c r="F128" s="67"/>
      <c r="G128" s="67"/>
      <c r="H128" s="67"/>
      <c r="I128" s="67"/>
      <c r="J128" s="67"/>
    </row>
    <row r="129" spans="2:11">
      <c r="B129" s="149" t="s">
        <v>378</v>
      </c>
      <c r="C129" s="67">
        <v>3626</v>
      </c>
      <c r="D129" s="67">
        <v>3900</v>
      </c>
      <c r="E129" s="67">
        <v>3999</v>
      </c>
      <c r="F129" s="67">
        <v>3991</v>
      </c>
      <c r="G129" s="67">
        <v>4335</v>
      </c>
      <c r="H129" s="67">
        <v>4577</v>
      </c>
      <c r="I129" s="67">
        <v>4677</v>
      </c>
      <c r="J129" s="67">
        <v>4860</v>
      </c>
    </row>
    <row r="130" spans="2:11">
      <c r="B130" s="172" t="s">
        <v>377</v>
      </c>
      <c r="C130" s="67">
        <v>0</v>
      </c>
      <c r="D130" s="67">
        <v>0</v>
      </c>
      <c r="E130" s="67">
        <v>0</v>
      </c>
      <c r="F130" s="67">
        <v>0</v>
      </c>
      <c r="G130" s="67">
        <v>0</v>
      </c>
      <c r="H130" s="67">
        <v>0</v>
      </c>
      <c r="I130" s="67">
        <v>0</v>
      </c>
      <c r="J130" s="67">
        <v>0</v>
      </c>
    </row>
    <row r="131" spans="2:11">
      <c r="B131" s="168" t="s">
        <v>376</v>
      </c>
      <c r="C131" s="67">
        <v>0</v>
      </c>
      <c r="D131" s="67">
        <v>0</v>
      </c>
      <c r="E131" s="67">
        <v>0</v>
      </c>
      <c r="F131" s="67">
        <v>0</v>
      </c>
      <c r="G131" s="67">
        <v>0</v>
      </c>
      <c r="H131" s="67">
        <v>0</v>
      </c>
      <c r="I131" s="67">
        <v>0</v>
      </c>
      <c r="J131" s="67"/>
    </row>
    <row r="132" spans="2:11">
      <c r="B132" s="168"/>
      <c r="C132" s="67"/>
      <c r="D132" s="67"/>
      <c r="E132" s="67"/>
      <c r="F132" s="67"/>
      <c r="G132" s="67"/>
      <c r="H132" s="67"/>
      <c r="I132" s="67"/>
      <c r="J132" s="67"/>
    </row>
    <row r="133" spans="2:11">
      <c r="B133" s="149" t="s">
        <v>823</v>
      </c>
      <c r="C133" s="67">
        <v>0</v>
      </c>
      <c r="D133" s="67">
        <f t="shared" ref="D133:I133" si="9">SUM(D134)</f>
        <v>74386</v>
      </c>
      <c r="E133" s="67">
        <f t="shared" si="9"/>
        <v>76245</v>
      </c>
      <c r="F133" s="67">
        <f t="shared" si="9"/>
        <v>80443</v>
      </c>
      <c r="G133" s="67">
        <f t="shared" si="9"/>
        <v>86077</v>
      </c>
      <c r="H133" s="67">
        <f t="shared" si="9"/>
        <v>124845</v>
      </c>
      <c r="I133" s="67">
        <f t="shared" si="9"/>
        <v>150308</v>
      </c>
      <c r="J133" s="67">
        <f>SUM(J134)</f>
        <v>168953</v>
      </c>
    </row>
    <row r="134" spans="2:11">
      <c r="B134" s="149" t="s">
        <v>374</v>
      </c>
      <c r="C134" s="67">
        <v>0</v>
      </c>
      <c r="D134" s="67">
        <v>74386</v>
      </c>
      <c r="E134" s="67">
        <v>76245</v>
      </c>
      <c r="F134" s="67">
        <v>80443</v>
      </c>
      <c r="G134" s="67">
        <v>86077</v>
      </c>
      <c r="H134" s="67">
        <v>124845</v>
      </c>
      <c r="I134" s="67">
        <v>150308</v>
      </c>
      <c r="J134" s="67">
        <v>168953</v>
      </c>
    </row>
    <row r="135" spans="2:11">
      <c r="B135" s="149" t="s">
        <v>478</v>
      </c>
      <c r="C135" s="67">
        <v>0</v>
      </c>
      <c r="D135" s="67">
        <v>0</v>
      </c>
      <c r="E135" s="67">
        <v>0</v>
      </c>
      <c r="F135" s="67">
        <v>0</v>
      </c>
      <c r="G135" s="67">
        <v>0</v>
      </c>
      <c r="H135" s="67">
        <v>0</v>
      </c>
      <c r="I135" s="67">
        <v>0</v>
      </c>
      <c r="J135" s="67">
        <v>0</v>
      </c>
    </row>
    <row r="136" spans="2:11">
      <c r="B136" s="168" t="s">
        <v>373</v>
      </c>
      <c r="C136" s="67">
        <v>0</v>
      </c>
      <c r="D136" s="67">
        <v>0</v>
      </c>
      <c r="E136" s="67">
        <v>0</v>
      </c>
      <c r="F136" s="67">
        <v>0</v>
      </c>
      <c r="G136" s="67">
        <v>0</v>
      </c>
      <c r="H136" s="67">
        <v>0</v>
      </c>
      <c r="I136" s="67">
        <v>0</v>
      </c>
      <c r="J136" s="67">
        <v>0</v>
      </c>
    </row>
    <row r="137" spans="2:11">
      <c r="B137" s="149" t="s">
        <v>372</v>
      </c>
      <c r="C137" s="67">
        <v>0</v>
      </c>
      <c r="D137" s="67">
        <v>0</v>
      </c>
      <c r="E137" s="67">
        <v>0</v>
      </c>
      <c r="F137" s="67">
        <v>0</v>
      </c>
      <c r="G137" s="67">
        <v>0</v>
      </c>
      <c r="H137" s="67">
        <v>0</v>
      </c>
      <c r="I137" s="67">
        <v>0</v>
      </c>
      <c r="J137" s="67">
        <v>0</v>
      </c>
    </row>
    <row r="138" spans="2:11">
      <c r="B138" s="165" t="s">
        <v>371</v>
      </c>
      <c r="C138" s="67">
        <f>+C139+C140</f>
        <v>0</v>
      </c>
      <c r="D138" s="67">
        <f>+D139+D140</f>
        <v>0</v>
      </c>
      <c r="E138" s="67">
        <f>+E139+E140</f>
        <v>0</v>
      </c>
      <c r="F138" s="67">
        <v>0</v>
      </c>
      <c r="G138" s="67">
        <f>+G139+G140</f>
        <v>0</v>
      </c>
      <c r="H138" s="67">
        <f>+H139+H140</f>
        <v>0</v>
      </c>
      <c r="I138" s="67">
        <f>+I139+I140</f>
        <v>0</v>
      </c>
      <c r="J138" s="67">
        <f>+J139+J140</f>
        <v>0</v>
      </c>
    </row>
    <row r="139" spans="2:11">
      <c r="B139" s="149" t="s">
        <v>370</v>
      </c>
      <c r="C139" s="67">
        <v>0</v>
      </c>
      <c r="D139" s="67">
        <v>0</v>
      </c>
      <c r="E139" s="67">
        <v>0</v>
      </c>
      <c r="F139" s="67">
        <v>0</v>
      </c>
      <c r="G139" s="67">
        <v>0</v>
      </c>
      <c r="H139" s="67">
        <v>0</v>
      </c>
      <c r="I139" s="67">
        <v>0</v>
      </c>
      <c r="J139" s="67">
        <v>0</v>
      </c>
    </row>
    <row r="140" spans="2:11" ht="15" thickBot="1">
      <c r="B140" s="418" t="s">
        <v>369</v>
      </c>
      <c r="C140" s="117">
        <v>0</v>
      </c>
      <c r="D140" s="117">
        <v>0</v>
      </c>
      <c r="E140" s="117">
        <v>0</v>
      </c>
      <c r="F140" s="117">
        <v>0</v>
      </c>
      <c r="G140" s="117">
        <v>0</v>
      </c>
      <c r="H140" s="117">
        <v>0</v>
      </c>
      <c r="I140" s="117">
        <v>0</v>
      </c>
      <c r="J140" s="117">
        <v>0</v>
      </c>
    </row>
    <row r="141" spans="2:11" ht="15" thickTop="1">
      <c r="B141" s="412" t="s">
        <v>824</v>
      </c>
      <c r="C141" s="67"/>
      <c r="D141" s="67"/>
      <c r="E141" s="67"/>
      <c r="F141" s="67"/>
      <c r="G141" s="67"/>
      <c r="H141" s="67"/>
      <c r="I141" s="67"/>
      <c r="J141" s="67"/>
    </row>
    <row r="142" spans="2:11" ht="44.25" customHeight="1" thickBot="1">
      <c r="B142" s="2101" t="s">
        <v>825</v>
      </c>
      <c r="C142" s="2101"/>
      <c r="D142" s="2101"/>
      <c r="E142" s="2101"/>
      <c r="F142" s="2101"/>
      <c r="G142" s="2101"/>
      <c r="H142" s="2101"/>
      <c r="I142" s="2101"/>
      <c r="J142" s="2101"/>
    </row>
    <row r="143" spans="2:11" ht="15" thickTop="1">
      <c r="B143" s="2023"/>
      <c r="C143" s="2023"/>
      <c r="D143" s="2023"/>
      <c r="E143" s="2023"/>
      <c r="F143" s="2023"/>
      <c r="G143" s="2023"/>
      <c r="H143" s="2023"/>
      <c r="I143" s="2023"/>
      <c r="J143" s="2023"/>
    </row>
    <row r="144" spans="2:11">
      <c r="B144" s="2100" t="s">
        <v>367</v>
      </c>
      <c r="C144" s="2100"/>
      <c r="D144" s="2100"/>
      <c r="E144" s="2100"/>
      <c r="F144" s="2100"/>
      <c r="G144" s="2100"/>
      <c r="H144" s="2100"/>
      <c r="I144" s="2100"/>
      <c r="J144" s="2100"/>
      <c r="K144" s="2100"/>
    </row>
    <row r="146" spans="2:11">
      <c r="B146" s="62" t="s">
        <v>210</v>
      </c>
      <c r="C146" s="302"/>
      <c r="D146" s="302"/>
      <c r="E146" s="302"/>
      <c r="F146" s="302"/>
      <c r="G146" s="302"/>
      <c r="H146" s="302"/>
      <c r="I146" s="302"/>
      <c r="J146" s="302"/>
      <c r="K146" s="302"/>
    </row>
    <row r="147" spans="2:11">
      <c r="B147" s="64"/>
      <c r="C147" s="302"/>
      <c r="D147" s="302"/>
      <c r="E147" s="302"/>
      <c r="F147" s="302"/>
      <c r="G147" s="302"/>
      <c r="H147" s="302"/>
      <c r="I147" s="302"/>
      <c r="J147" s="302"/>
      <c r="K147" s="302"/>
    </row>
    <row r="148" spans="2:11">
      <c r="B148" s="61"/>
      <c r="C148" s="303">
        <v>2014</v>
      </c>
      <c r="D148" s="303">
        <v>2015</v>
      </c>
      <c r="E148" s="303">
        <v>2016</v>
      </c>
      <c r="F148" s="303">
        <v>2017</v>
      </c>
      <c r="G148" s="303">
        <v>2018</v>
      </c>
      <c r="H148" s="303">
        <v>2019</v>
      </c>
      <c r="I148" s="303">
        <v>2020</v>
      </c>
      <c r="J148" s="303">
        <v>2021</v>
      </c>
      <c r="K148" s="413"/>
    </row>
    <row r="149" spans="2:11">
      <c r="B149" s="419" t="s">
        <v>362</v>
      </c>
      <c r="C149" s="115"/>
      <c r="D149" s="115"/>
      <c r="E149" s="115"/>
      <c r="F149" s="115"/>
      <c r="G149" s="115"/>
      <c r="H149" s="115"/>
      <c r="I149" s="115"/>
      <c r="J149" s="115"/>
    </row>
    <row r="150" spans="2:11">
      <c r="B150" s="420" t="s">
        <v>826</v>
      </c>
      <c r="C150" s="67">
        <f>SUM(C151:C152)</f>
        <v>46913.004000000001</v>
      </c>
      <c r="D150" s="67">
        <f>SUM(D151:D152)</f>
        <v>50759.462</v>
      </c>
      <c r="E150" s="67">
        <f t="shared" ref="E150:J150" si="10">SUM(E151:E152)</f>
        <v>56510.404000000002</v>
      </c>
      <c r="F150" s="67">
        <f t="shared" si="10"/>
        <v>61867.663999999997</v>
      </c>
      <c r="G150" s="67">
        <f t="shared" si="10"/>
        <v>68910.497000000003</v>
      </c>
      <c r="H150" s="67">
        <f t="shared" si="10"/>
        <v>75324.728000000003</v>
      </c>
      <c r="I150" s="67">
        <f t="shared" si="10"/>
        <v>81576.899000000005</v>
      </c>
      <c r="J150" s="67">
        <f t="shared" si="10"/>
        <v>100905.921</v>
      </c>
    </row>
    <row r="151" spans="2:11">
      <c r="B151" s="151" t="s">
        <v>827</v>
      </c>
      <c r="C151" s="55">
        <v>0</v>
      </c>
      <c r="D151" s="55">
        <v>0</v>
      </c>
      <c r="E151" s="55">
        <v>0</v>
      </c>
      <c r="F151" s="55">
        <v>0</v>
      </c>
      <c r="G151" s="55">
        <v>0</v>
      </c>
      <c r="H151" s="55">
        <v>0</v>
      </c>
      <c r="I151" s="55">
        <v>0</v>
      </c>
      <c r="J151" s="55">
        <v>0</v>
      </c>
    </row>
    <row r="152" spans="2:11">
      <c r="B152" s="151" t="s">
        <v>828</v>
      </c>
      <c r="C152" s="67">
        <v>46913.004000000001</v>
      </c>
      <c r="D152" s="67">
        <v>50759.462</v>
      </c>
      <c r="E152" s="67">
        <v>56510.404000000002</v>
      </c>
      <c r="F152" s="67">
        <v>61867.663999999997</v>
      </c>
      <c r="G152" s="67">
        <v>68910.497000000003</v>
      </c>
      <c r="H152" s="67">
        <v>75324.728000000003</v>
      </c>
      <c r="I152" s="67">
        <v>81576.899000000005</v>
      </c>
      <c r="J152" s="67">
        <v>100905.921</v>
      </c>
    </row>
    <row r="153" spans="2:11" ht="15">
      <c r="B153" s="421" t="s">
        <v>829</v>
      </c>
      <c r="C153" s="67">
        <v>6458.5910000000003</v>
      </c>
      <c r="D153" s="67">
        <v>7594.98</v>
      </c>
      <c r="E153" s="67">
        <v>8066.24</v>
      </c>
      <c r="F153" s="67">
        <v>8266.357</v>
      </c>
      <c r="G153" s="67">
        <v>8657.6139999999996</v>
      </c>
      <c r="H153" s="67">
        <v>9446.1589999999997</v>
      </c>
      <c r="I153" s="67">
        <v>9210.9719999999998</v>
      </c>
      <c r="J153" s="67">
        <v>9957.16</v>
      </c>
    </row>
    <row r="154" spans="2:11" ht="14.25" customHeight="1">
      <c r="B154" s="422" t="s">
        <v>830</v>
      </c>
      <c r="C154" s="55">
        <v>0</v>
      </c>
      <c r="D154" s="67">
        <f>SUM(D155:D157)</f>
        <v>155978.908</v>
      </c>
      <c r="E154" s="67">
        <f t="shared" ref="E154:J154" si="11">SUM(E155:E157)</f>
        <v>166429.31100000016</v>
      </c>
      <c r="F154" s="67">
        <f t="shared" si="11"/>
        <v>195173.008</v>
      </c>
      <c r="G154" s="67">
        <f t="shared" si="11"/>
        <v>235005.53200000001</v>
      </c>
      <c r="H154" s="67">
        <f t="shared" si="11"/>
        <v>265765.223</v>
      </c>
      <c r="I154" s="67">
        <f t="shared" si="11"/>
        <v>228076.97400000002</v>
      </c>
      <c r="J154" s="67">
        <f t="shared" si="11"/>
        <v>273900.71499999997</v>
      </c>
    </row>
    <row r="155" spans="2:11" ht="14.25" customHeight="1">
      <c r="B155" s="151" t="s">
        <v>356</v>
      </c>
      <c r="C155" s="55">
        <v>0</v>
      </c>
      <c r="D155" s="67">
        <v>23701.365000000002</v>
      </c>
      <c r="E155" s="67">
        <v>30334.004000000001</v>
      </c>
      <c r="F155" s="67">
        <v>37474.750999999997</v>
      </c>
      <c r="G155" s="67">
        <v>46936.235000000001</v>
      </c>
      <c r="H155" s="67">
        <v>59801.622000000003</v>
      </c>
      <c r="I155" s="67">
        <v>61115.125999999997</v>
      </c>
      <c r="J155" s="67">
        <v>123000</v>
      </c>
    </row>
    <row r="156" spans="2:11">
      <c r="B156" s="151" t="s">
        <v>355</v>
      </c>
      <c r="C156" s="55">
        <v>0</v>
      </c>
      <c r="D156" s="55">
        <v>0</v>
      </c>
      <c r="E156" s="55">
        <v>0</v>
      </c>
      <c r="F156" s="55">
        <v>0</v>
      </c>
      <c r="G156" s="55">
        <v>0</v>
      </c>
      <c r="H156" s="55">
        <v>0</v>
      </c>
      <c r="I156" s="55">
        <v>0</v>
      </c>
      <c r="J156" s="55">
        <v>0</v>
      </c>
    </row>
    <row r="157" spans="2:11">
      <c r="B157" s="423" t="s">
        <v>354</v>
      </c>
      <c r="C157" s="75">
        <v>0</v>
      </c>
      <c r="D157" s="67">
        <f>132277543/1000</f>
        <v>132277.54300000001</v>
      </c>
      <c r="E157" s="67">
        <v>136095.30700000018</v>
      </c>
      <c r="F157" s="67">
        <f>157698257/1000</f>
        <v>157698.25700000001</v>
      </c>
      <c r="G157" s="67">
        <f>188069297/1000</f>
        <v>188069.29699999999</v>
      </c>
      <c r="H157" s="67">
        <f>205963601/1000</f>
        <v>205963.601</v>
      </c>
      <c r="I157" s="67">
        <v>166961.84800000003</v>
      </c>
      <c r="J157" s="67">
        <v>150900.715</v>
      </c>
    </row>
    <row r="158" spans="2:11" s="411" customFormat="1">
      <c r="B158" s="423" t="s">
        <v>480</v>
      </c>
      <c r="C158" s="75">
        <v>0</v>
      </c>
      <c r="D158" s="75">
        <v>0</v>
      </c>
      <c r="E158" s="75">
        <v>0</v>
      </c>
      <c r="F158" s="75">
        <v>0</v>
      </c>
      <c r="G158" s="75">
        <v>0</v>
      </c>
      <c r="H158" s="75">
        <v>0</v>
      </c>
      <c r="I158" s="75">
        <v>0</v>
      </c>
      <c r="J158" s="75">
        <v>0</v>
      </c>
    </row>
    <row r="159" spans="2:11" s="425" customFormat="1">
      <c r="B159" s="424" t="s">
        <v>831</v>
      </c>
      <c r="C159" s="67">
        <v>39230.355000000003</v>
      </c>
      <c r="D159" s="67">
        <v>35272.517</v>
      </c>
      <c r="E159" s="67">
        <v>31428.602999999999</v>
      </c>
      <c r="F159" s="67">
        <v>31233.322</v>
      </c>
      <c r="G159" s="67">
        <v>30711.741999999998</v>
      </c>
      <c r="H159" s="67">
        <v>29116.758000000002</v>
      </c>
      <c r="I159" s="67">
        <v>18357.436000000002</v>
      </c>
      <c r="J159" s="67">
        <v>19850.754000000001</v>
      </c>
    </row>
    <row r="160" spans="2:11">
      <c r="B160" s="71" t="s">
        <v>352</v>
      </c>
      <c r="C160" s="55">
        <v>0</v>
      </c>
      <c r="D160" s="55">
        <v>0</v>
      </c>
      <c r="E160" s="55">
        <v>0</v>
      </c>
      <c r="F160" s="55">
        <v>0</v>
      </c>
      <c r="G160" s="55">
        <v>0</v>
      </c>
      <c r="H160" s="55">
        <v>0</v>
      </c>
      <c r="I160" s="55">
        <v>0</v>
      </c>
      <c r="J160" s="55">
        <v>0</v>
      </c>
    </row>
    <row r="161" spans="2:10">
      <c r="B161" s="150" t="s">
        <v>351</v>
      </c>
      <c r="C161" s="55">
        <v>0</v>
      </c>
      <c r="D161" s="55">
        <v>0</v>
      </c>
      <c r="E161" s="55">
        <v>0</v>
      </c>
      <c r="F161" s="55">
        <v>0</v>
      </c>
      <c r="G161" s="55">
        <v>0</v>
      </c>
      <c r="H161" s="55">
        <v>0</v>
      </c>
      <c r="I161" s="55">
        <v>0</v>
      </c>
      <c r="J161" s="55">
        <v>0</v>
      </c>
    </row>
    <row r="162" spans="2:10">
      <c r="B162" s="150" t="s">
        <v>832</v>
      </c>
      <c r="C162" s="55">
        <v>0</v>
      </c>
      <c r="D162" s="55">
        <v>0</v>
      </c>
      <c r="E162" s="55">
        <v>0</v>
      </c>
      <c r="F162" s="55">
        <v>0</v>
      </c>
      <c r="G162" s="55">
        <v>0</v>
      </c>
      <c r="H162" s="55">
        <v>0</v>
      </c>
      <c r="I162" s="55">
        <v>0</v>
      </c>
      <c r="J162" s="55">
        <v>0</v>
      </c>
    </row>
    <row r="163" spans="2:10">
      <c r="B163" s="150"/>
      <c r="C163" s="55"/>
      <c r="D163" s="55"/>
      <c r="E163" s="55"/>
      <c r="F163" s="55"/>
      <c r="G163" s="55"/>
      <c r="H163" s="55"/>
      <c r="I163" s="55"/>
      <c r="J163" s="55"/>
    </row>
    <row r="164" spans="2:10">
      <c r="B164" s="426" t="s">
        <v>365</v>
      </c>
      <c r="C164" s="67">
        <f>C150+C153+C154+C159</f>
        <v>92601.950000000012</v>
      </c>
      <c r="D164" s="67">
        <f t="shared" ref="D164:J164" si="12">D150+D153+D154+D159</f>
        <v>249605.86699999997</v>
      </c>
      <c r="E164" s="67">
        <f t="shared" si="12"/>
        <v>262434.55800000014</v>
      </c>
      <c r="F164" s="67">
        <f t="shared" si="12"/>
        <v>296540.35099999997</v>
      </c>
      <c r="G164" s="67">
        <f t="shared" si="12"/>
        <v>343285.38500000001</v>
      </c>
      <c r="H164" s="67">
        <f t="shared" si="12"/>
        <v>379652.86800000002</v>
      </c>
      <c r="I164" s="67">
        <f t="shared" si="12"/>
        <v>337222.28100000002</v>
      </c>
      <c r="J164" s="67">
        <f t="shared" si="12"/>
        <v>404614.55</v>
      </c>
    </row>
    <row r="165" spans="2:10">
      <c r="B165" s="150" t="s">
        <v>348</v>
      </c>
      <c r="C165" s="55"/>
      <c r="D165" s="55"/>
      <c r="E165" s="55"/>
      <c r="F165" s="55"/>
      <c r="G165" s="55"/>
      <c r="H165" s="55"/>
      <c r="I165" s="55"/>
      <c r="J165" s="55"/>
    </row>
    <row r="166" spans="2:10">
      <c r="B166" s="54"/>
      <c r="C166" s="55"/>
      <c r="D166" s="55"/>
      <c r="E166" s="55"/>
      <c r="F166" s="55"/>
      <c r="G166" s="55"/>
      <c r="H166" s="55"/>
      <c r="I166" s="55"/>
      <c r="J166" s="55"/>
    </row>
    <row r="167" spans="2:10">
      <c r="B167" s="54" t="s">
        <v>347</v>
      </c>
      <c r="C167" s="55">
        <v>0</v>
      </c>
      <c r="D167" s="55">
        <v>0</v>
      </c>
      <c r="E167" s="55">
        <v>0</v>
      </c>
      <c r="F167" s="55">
        <v>0</v>
      </c>
      <c r="G167" s="55">
        <v>0</v>
      </c>
      <c r="H167" s="55">
        <v>0</v>
      </c>
      <c r="I167" s="55">
        <v>0</v>
      </c>
      <c r="J167" s="55">
        <v>0</v>
      </c>
    </row>
    <row r="168" spans="2:10">
      <c r="B168" s="54"/>
      <c r="C168" s="210"/>
      <c r="D168" s="210"/>
      <c r="E168" s="210"/>
      <c r="F168" s="210"/>
      <c r="G168" s="210"/>
      <c r="H168" s="210"/>
      <c r="I168" s="210"/>
      <c r="J168" s="210"/>
    </row>
    <row r="169" spans="2:10">
      <c r="B169" s="419" t="s">
        <v>346</v>
      </c>
      <c r="C169" s="66">
        <v>0</v>
      </c>
      <c r="D169" s="67">
        <f>SUM(D170)+D173</f>
        <v>288267.81900000002</v>
      </c>
      <c r="E169" s="67">
        <f t="shared" ref="E169:H169" si="13">SUM(E170)+E173</f>
        <v>274915.54700000002</v>
      </c>
      <c r="F169" s="67">
        <f t="shared" si="13"/>
        <v>292635.005</v>
      </c>
      <c r="G169" s="67">
        <f t="shared" si="13"/>
        <v>317679.21600000001</v>
      </c>
      <c r="H169" s="67">
        <f t="shared" si="13"/>
        <v>341500.74099999992</v>
      </c>
      <c r="I169" s="67">
        <f t="shared" ref="I169" si="14">SUM(I170)+I173</f>
        <v>271501.02800000005</v>
      </c>
      <c r="J169" s="67">
        <f>SUM(J170)+J173</f>
        <v>346486.18</v>
      </c>
    </row>
    <row r="170" spans="2:10">
      <c r="B170" s="427" t="s">
        <v>342</v>
      </c>
      <c r="C170" s="66">
        <v>0</v>
      </c>
      <c r="D170" s="67">
        <f>SUM(D171:D172)</f>
        <v>199173.486</v>
      </c>
      <c r="E170" s="67">
        <f t="shared" ref="E170:J170" si="15">SUM(E171:E172)</f>
        <v>178118.478</v>
      </c>
      <c r="F170" s="67">
        <f t="shared" si="15"/>
        <v>183072.71600000001</v>
      </c>
      <c r="G170" s="67">
        <f t="shared" si="15"/>
        <v>186740.481</v>
      </c>
      <c r="H170" s="67">
        <f t="shared" si="15"/>
        <v>194317.37599999999</v>
      </c>
      <c r="I170" s="67">
        <f t="shared" si="15"/>
        <v>153459.19200000001</v>
      </c>
      <c r="J170" s="67">
        <f t="shared" si="15"/>
        <v>188441.92600000001</v>
      </c>
    </row>
    <row r="171" spans="2:10">
      <c r="B171" s="147" t="s">
        <v>341</v>
      </c>
      <c r="C171" s="66">
        <v>0</v>
      </c>
      <c r="D171" s="67">
        <f>199.173486*1000</f>
        <v>199173.486</v>
      </c>
      <c r="E171" s="67">
        <f>178.118478*1000</f>
        <v>178118.478</v>
      </c>
      <c r="F171" s="67">
        <f>183.072716*1000</f>
        <v>183072.71600000001</v>
      </c>
      <c r="G171" s="67">
        <f>186.740481*1000</f>
        <v>186740.481</v>
      </c>
      <c r="H171" s="67">
        <f>194.317376*1000</f>
        <v>194317.37599999999</v>
      </c>
      <c r="I171" s="67">
        <f>153.459192*1000</f>
        <v>153459.19200000001</v>
      </c>
      <c r="J171" s="67">
        <v>188441.92600000001</v>
      </c>
    </row>
    <row r="172" spans="2:10" ht="14.25" customHeight="1">
      <c r="B172" s="147" t="s">
        <v>340</v>
      </c>
      <c r="C172" s="66">
        <v>0</v>
      </c>
      <c r="D172" s="67">
        <v>0</v>
      </c>
      <c r="E172" s="67">
        <v>0</v>
      </c>
      <c r="F172" s="67">
        <v>0</v>
      </c>
      <c r="G172" s="67">
        <v>0</v>
      </c>
      <c r="H172" s="67">
        <v>0</v>
      </c>
      <c r="I172" s="67">
        <v>0</v>
      </c>
      <c r="J172" s="67">
        <v>0</v>
      </c>
    </row>
    <row r="173" spans="2:10">
      <c r="B173" s="428" t="s">
        <v>833</v>
      </c>
      <c r="C173" s="66">
        <v>0</v>
      </c>
      <c r="D173" s="67">
        <v>89094.332999999999</v>
      </c>
      <c r="E173" s="67">
        <v>96797.069000000003</v>
      </c>
      <c r="F173" s="67">
        <v>109562.28899999998</v>
      </c>
      <c r="G173" s="67">
        <v>130938.735</v>
      </c>
      <c r="H173" s="67">
        <v>147183.36499999993</v>
      </c>
      <c r="I173" s="67">
        <v>118041.83600000004</v>
      </c>
      <c r="J173" s="67">
        <v>158044.25399999999</v>
      </c>
    </row>
    <row r="174" spans="2:10">
      <c r="B174" s="54" t="s">
        <v>338</v>
      </c>
      <c r="C174" s="66">
        <v>0</v>
      </c>
      <c r="D174" s="67">
        <f t="shared" ref="D174:J174" si="16">SUM(D175:D177)</f>
        <v>0</v>
      </c>
      <c r="E174" s="67">
        <f t="shared" si="16"/>
        <v>0</v>
      </c>
      <c r="F174" s="67">
        <f t="shared" si="16"/>
        <v>0</v>
      </c>
      <c r="G174" s="67">
        <f t="shared" si="16"/>
        <v>0</v>
      </c>
      <c r="H174" s="67">
        <f t="shared" si="16"/>
        <v>0</v>
      </c>
      <c r="I174" s="67">
        <f t="shared" si="16"/>
        <v>0</v>
      </c>
      <c r="J174" s="67">
        <f t="shared" si="16"/>
        <v>0</v>
      </c>
    </row>
    <row r="175" spans="2:10">
      <c r="B175" s="147" t="s">
        <v>337</v>
      </c>
      <c r="C175" s="66">
        <v>0</v>
      </c>
      <c r="D175" s="67">
        <v>0</v>
      </c>
      <c r="E175" s="67">
        <v>0</v>
      </c>
      <c r="F175" s="67">
        <v>0</v>
      </c>
      <c r="G175" s="67">
        <v>0</v>
      </c>
      <c r="H175" s="67">
        <v>0</v>
      </c>
      <c r="I175" s="67">
        <v>0</v>
      </c>
      <c r="J175" s="67">
        <v>0</v>
      </c>
    </row>
    <row r="176" spans="2:10">
      <c r="B176" s="147" t="s">
        <v>336</v>
      </c>
      <c r="C176" s="66">
        <v>0</v>
      </c>
      <c r="D176" s="67">
        <v>0</v>
      </c>
      <c r="E176" s="67">
        <v>0</v>
      </c>
      <c r="F176" s="67">
        <v>0</v>
      </c>
      <c r="G176" s="67">
        <v>0</v>
      </c>
      <c r="H176" s="67">
        <v>0</v>
      </c>
      <c r="I176" s="67">
        <v>0</v>
      </c>
      <c r="J176" s="67">
        <v>0</v>
      </c>
    </row>
    <row r="177" spans="2:10">
      <c r="B177" s="54" t="s">
        <v>335</v>
      </c>
      <c r="C177" s="429">
        <v>0</v>
      </c>
      <c r="D177" s="429">
        <v>0</v>
      </c>
      <c r="E177" s="210">
        <v>0</v>
      </c>
      <c r="F177" s="210">
        <v>0</v>
      </c>
      <c r="G177" s="210">
        <v>0</v>
      </c>
      <c r="H177" s="210">
        <v>0</v>
      </c>
      <c r="I177" s="210">
        <v>0</v>
      </c>
      <c r="J177" s="210">
        <v>0</v>
      </c>
    </row>
    <row r="178" spans="2:10">
      <c r="B178" s="54"/>
      <c r="C178" s="429"/>
      <c r="D178" s="429"/>
      <c r="E178" s="210"/>
      <c r="F178" s="210"/>
      <c r="G178" s="210"/>
      <c r="H178" s="210"/>
      <c r="I178" s="210"/>
      <c r="J178" s="210"/>
    </row>
    <row r="179" spans="2:10">
      <c r="B179" s="430" t="s">
        <v>345</v>
      </c>
      <c r="C179" s="429">
        <v>0</v>
      </c>
      <c r="D179" s="431">
        <f>SUM(D180+D183)</f>
        <v>288267.81900000002</v>
      </c>
      <c r="E179" s="431">
        <f t="shared" ref="E179:J179" si="17">SUM(E180+E183)</f>
        <v>274915.54700000002</v>
      </c>
      <c r="F179" s="431">
        <f t="shared" si="17"/>
        <v>292635.005</v>
      </c>
      <c r="G179" s="431">
        <f t="shared" si="17"/>
        <v>317679.21600000001</v>
      </c>
      <c r="H179" s="431">
        <f t="shared" si="17"/>
        <v>341500.74099999992</v>
      </c>
      <c r="I179" s="431">
        <f t="shared" si="17"/>
        <v>271501.02800000005</v>
      </c>
      <c r="J179" s="431">
        <f t="shared" si="17"/>
        <v>346486.18</v>
      </c>
    </row>
    <row r="180" spans="2:10">
      <c r="B180" s="427" t="s">
        <v>342</v>
      </c>
      <c r="C180" s="429">
        <v>0</v>
      </c>
      <c r="D180" s="67">
        <f>+SUM(D181:D182)</f>
        <v>199173.486</v>
      </c>
      <c r="E180" s="67">
        <f t="shared" ref="E180:J180" si="18">+SUM(E181:E182)</f>
        <v>178118.478</v>
      </c>
      <c r="F180" s="67">
        <f t="shared" si="18"/>
        <v>183072.71600000001</v>
      </c>
      <c r="G180" s="67">
        <f t="shared" si="18"/>
        <v>186740.481</v>
      </c>
      <c r="H180" s="67">
        <f t="shared" si="18"/>
        <v>194317.37599999999</v>
      </c>
      <c r="I180" s="67">
        <f t="shared" si="18"/>
        <v>153459.19200000001</v>
      </c>
      <c r="J180" s="67">
        <f t="shared" si="18"/>
        <v>188441.92600000001</v>
      </c>
    </row>
    <row r="181" spans="2:10">
      <c r="B181" s="147" t="s">
        <v>341</v>
      </c>
      <c r="C181" s="429">
        <v>0</v>
      </c>
      <c r="D181" s="67">
        <f>199.173486*1000</f>
        <v>199173.486</v>
      </c>
      <c r="E181" s="67">
        <f>178.118478*1000</f>
        <v>178118.478</v>
      </c>
      <c r="F181" s="67">
        <f>183.072716*1000</f>
        <v>183072.71600000001</v>
      </c>
      <c r="G181" s="67">
        <f>186.740481*1000</f>
        <v>186740.481</v>
      </c>
      <c r="H181" s="67">
        <f>194.317376*1000</f>
        <v>194317.37599999999</v>
      </c>
      <c r="I181" s="67">
        <f>153.459192*1000</f>
        <v>153459.19200000001</v>
      </c>
      <c r="J181" s="67">
        <v>188441.92600000001</v>
      </c>
    </row>
    <row r="182" spans="2:10">
      <c r="B182" s="147" t="s">
        <v>340</v>
      </c>
      <c r="C182" s="66">
        <v>0</v>
      </c>
      <c r="D182" s="66">
        <v>0</v>
      </c>
      <c r="E182" s="55">
        <v>0</v>
      </c>
      <c r="F182" s="55">
        <v>0</v>
      </c>
      <c r="G182" s="55">
        <v>0</v>
      </c>
      <c r="H182" s="55">
        <v>0</v>
      </c>
      <c r="I182" s="55">
        <v>0</v>
      </c>
      <c r="J182" s="55">
        <v>0</v>
      </c>
    </row>
    <row r="183" spans="2:10" s="432" customFormat="1" ht="15">
      <c r="B183" s="427" t="s">
        <v>834</v>
      </c>
      <c r="C183" s="66">
        <v>0</v>
      </c>
      <c r="D183" s="67">
        <v>89094.332999999999</v>
      </c>
      <c r="E183" s="67">
        <v>96797.069000000003</v>
      </c>
      <c r="F183" s="67">
        <v>109562.28899999998</v>
      </c>
      <c r="G183" s="67">
        <v>130938.735</v>
      </c>
      <c r="H183" s="67">
        <v>147183.36499999993</v>
      </c>
      <c r="I183" s="67">
        <v>118041.83600000004</v>
      </c>
      <c r="J183" s="67">
        <v>158044.25399999999</v>
      </c>
    </row>
    <row r="184" spans="2:10">
      <c r="B184" s="54" t="s">
        <v>338</v>
      </c>
      <c r="C184" s="75">
        <v>0</v>
      </c>
      <c r="D184" s="75">
        <v>0</v>
      </c>
      <c r="E184" s="75">
        <v>0</v>
      </c>
      <c r="F184" s="75">
        <v>0</v>
      </c>
      <c r="G184" s="75">
        <v>0</v>
      </c>
      <c r="H184" s="75">
        <v>0</v>
      </c>
      <c r="I184" s="75">
        <v>0</v>
      </c>
      <c r="J184" s="75">
        <v>0</v>
      </c>
    </row>
    <row r="185" spans="2:10">
      <c r="B185" s="147" t="s">
        <v>337</v>
      </c>
      <c r="C185" s="429">
        <v>0</v>
      </c>
      <c r="D185" s="429">
        <v>0</v>
      </c>
      <c r="E185" s="210">
        <v>0</v>
      </c>
      <c r="F185" s="210">
        <v>0</v>
      </c>
      <c r="G185" s="210">
        <v>0</v>
      </c>
      <c r="H185" s="210">
        <v>0</v>
      </c>
      <c r="I185" s="210">
        <v>0</v>
      </c>
      <c r="J185" s="210">
        <v>0</v>
      </c>
    </row>
    <row r="186" spans="2:10">
      <c r="B186" s="147" t="s">
        <v>336</v>
      </c>
      <c r="C186" s="429">
        <v>0</v>
      </c>
      <c r="D186" s="429">
        <v>0</v>
      </c>
      <c r="E186" s="210">
        <v>0</v>
      </c>
      <c r="F186" s="210">
        <v>0</v>
      </c>
      <c r="G186" s="210">
        <v>0</v>
      </c>
      <c r="H186" s="210">
        <v>0</v>
      </c>
      <c r="I186" s="210">
        <v>0</v>
      </c>
      <c r="J186" s="210">
        <v>0</v>
      </c>
    </row>
    <row r="187" spans="2:10">
      <c r="B187" s="147" t="s">
        <v>335</v>
      </c>
      <c r="C187" s="429">
        <v>0</v>
      </c>
      <c r="D187" s="429">
        <v>0</v>
      </c>
      <c r="E187" s="210">
        <v>0</v>
      </c>
      <c r="F187" s="210">
        <v>0</v>
      </c>
      <c r="G187" s="210">
        <v>0</v>
      </c>
      <c r="H187" s="210">
        <v>0</v>
      </c>
      <c r="I187" s="210">
        <v>0</v>
      </c>
      <c r="J187" s="210">
        <v>0</v>
      </c>
    </row>
    <row r="188" spans="2:10">
      <c r="B188" s="54"/>
      <c r="C188" s="429"/>
      <c r="D188" s="429"/>
      <c r="E188" s="210"/>
      <c r="F188" s="210"/>
      <c r="G188" s="210"/>
      <c r="H188" s="210"/>
      <c r="I188" s="210"/>
      <c r="J188" s="210"/>
    </row>
    <row r="189" spans="2:10" s="411" customFormat="1" ht="26">
      <c r="B189" s="433" t="s">
        <v>344</v>
      </c>
      <c r="C189" s="434">
        <f>SUM(C190,C193,C194)</f>
        <v>0</v>
      </c>
      <c r="D189" s="434">
        <f t="shared" ref="D189:I189" si="19">SUM(D190,D193,D194)</f>
        <v>0</v>
      </c>
      <c r="E189" s="434">
        <f t="shared" si="19"/>
        <v>0</v>
      </c>
      <c r="F189" s="434">
        <f t="shared" si="19"/>
        <v>0</v>
      </c>
      <c r="G189" s="434">
        <f t="shared" si="19"/>
        <v>0</v>
      </c>
      <c r="H189" s="434">
        <f t="shared" si="19"/>
        <v>0</v>
      </c>
      <c r="I189" s="434">
        <f t="shared" si="19"/>
        <v>0</v>
      </c>
      <c r="J189" s="434">
        <v>0</v>
      </c>
    </row>
    <row r="190" spans="2:10">
      <c r="B190" s="427" t="s">
        <v>342</v>
      </c>
      <c r="C190" s="434">
        <f t="shared" ref="C190:J190" si="20">SUM(C191:C192)</f>
        <v>0</v>
      </c>
      <c r="D190" s="434">
        <f t="shared" si="20"/>
        <v>0</v>
      </c>
      <c r="E190" s="434">
        <f t="shared" si="20"/>
        <v>0</v>
      </c>
      <c r="F190" s="434">
        <f t="shared" si="20"/>
        <v>0</v>
      </c>
      <c r="G190" s="434">
        <f t="shared" si="20"/>
        <v>0</v>
      </c>
      <c r="H190" s="434">
        <f t="shared" si="20"/>
        <v>0</v>
      </c>
      <c r="I190" s="434">
        <f t="shared" si="20"/>
        <v>0</v>
      </c>
      <c r="J190" s="434">
        <f t="shared" si="20"/>
        <v>0</v>
      </c>
    </row>
    <row r="191" spans="2:10">
      <c r="B191" s="147" t="s">
        <v>341</v>
      </c>
      <c r="C191" s="434">
        <v>0</v>
      </c>
      <c r="D191" s="434">
        <v>0</v>
      </c>
      <c r="E191" s="434">
        <v>0</v>
      </c>
      <c r="F191" s="434">
        <v>0</v>
      </c>
      <c r="G191" s="434">
        <v>0</v>
      </c>
      <c r="H191" s="434">
        <v>0</v>
      </c>
      <c r="I191" s="434">
        <v>0</v>
      </c>
      <c r="J191" s="434">
        <v>0</v>
      </c>
    </row>
    <row r="192" spans="2:10">
      <c r="B192" s="147" t="s">
        <v>340</v>
      </c>
      <c r="C192" s="435">
        <v>0</v>
      </c>
      <c r="D192" s="435">
        <v>0</v>
      </c>
      <c r="E192" s="435">
        <v>0</v>
      </c>
      <c r="F192" s="435">
        <v>0</v>
      </c>
      <c r="G192" s="435">
        <v>0</v>
      </c>
      <c r="H192" s="435">
        <v>0</v>
      </c>
      <c r="I192" s="435">
        <v>0</v>
      </c>
      <c r="J192" s="435">
        <v>0</v>
      </c>
    </row>
    <row r="193" spans="2:10" s="411" customFormat="1">
      <c r="B193" s="436" t="s">
        <v>339</v>
      </c>
      <c r="C193" s="435">
        <v>0</v>
      </c>
      <c r="D193" s="435">
        <v>0</v>
      </c>
      <c r="E193" s="435">
        <v>0</v>
      </c>
      <c r="F193" s="435">
        <v>0</v>
      </c>
      <c r="G193" s="435">
        <v>0</v>
      </c>
      <c r="H193" s="435">
        <v>0</v>
      </c>
      <c r="I193" s="435">
        <v>0</v>
      </c>
      <c r="J193" s="435">
        <v>0</v>
      </c>
    </row>
    <row r="194" spans="2:10">
      <c r="B194" s="54" t="s">
        <v>338</v>
      </c>
      <c r="C194" s="431">
        <f t="shared" ref="C194:J194" si="21">SUM(C195:C197)</f>
        <v>0</v>
      </c>
      <c r="D194" s="431">
        <f t="shared" si="21"/>
        <v>0</v>
      </c>
      <c r="E194" s="431">
        <f t="shared" si="21"/>
        <v>0</v>
      </c>
      <c r="F194" s="431">
        <f t="shared" si="21"/>
        <v>0</v>
      </c>
      <c r="G194" s="431">
        <f t="shared" si="21"/>
        <v>0</v>
      </c>
      <c r="H194" s="431">
        <f t="shared" si="21"/>
        <v>0</v>
      </c>
      <c r="I194" s="431">
        <f t="shared" si="21"/>
        <v>0</v>
      </c>
      <c r="J194" s="431">
        <f t="shared" si="21"/>
        <v>0</v>
      </c>
    </row>
    <row r="195" spans="2:10">
      <c r="B195" s="147" t="s">
        <v>337</v>
      </c>
      <c r="C195" s="431">
        <v>0</v>
      </c>
      <c r="D195" s="431">
        <v>0</v>
      </c>
      <c r="E195" s="431">
        <v>0</v>
      </c>
      <c r="F195" s="431">
        <v>0</v>
      </c>
      <c r="G195" s="431">
        <v>0</v>
      </c>
      <c r="H195" s="431">
        <v>0</v>
      </c>
      <c r="I195" s="431">
        <v>0</v>
      </c>
      <c r="J195" s="431">
        <v>0</v>
      </c>
    </row>
    <row r="196" spans="2:10">
      <c r="B196" s="147" t="s">
        <v>336</v>
      </c>
      <c r="C196" s="431">
        <v>0</v>
      </c>
      <c r="D196" s="431">
        <v>0</v>
      </c>
      <c r="E196" s="431">
        <v>0</v>
      </c>
      <c r="F196" s="431">
        <v>0</v>
      </c>
      <c r="G196" s="431">
        <v>0</v>
      </c>
      <c r="H196" s="431">
        <v>0</v>
      </c>
      <c r="I196" s="431">
        <v>0</v>
      </c>
      <c r="J196" s="431">
        <v>0</v>
      </c>
    </row>
    <row r="197" spans="2:10">
      <c r="B197" s="54" t="s">
        <v>335</v>
      </c>
      <c r="C197" s="431">
        <v>0</v>
      </c>
      <c r="D197" s="431">
        <v>0</v>
      </c>
      <c r="E197" s="431">
        <v>0</v>
      </c>
      <c r="F197" s="431">
        <v>0</v>
      </c>
      <c r="G197" s="431">
        <v>0</v>
      </c>
      <c r="H197" s="431">
        <v>0</v>
      </c>
      <c r="I197" s="431">
        <v>0</v>
      </c>
      <c r="J197" s="431">
        <v>0</v>
      </c>
    </row>
    <row r="198" spans="2:10">
      <c r="B198" s="54"/>
      <c r="C198" s="429"/>
      <c r="D198" s="429"/>
      <c r="E198" s="210"/>
      <c r="F198" s="210"/>
      <c r="G198" s="210"/>
      <c r="H198" s="210"/>
      <c r="I198" s="210"/>
      <c r="J198" s="210"/>
    </row>
    <row r="199" spans="2:10" s="425" customFormat="1" ht="26">
      <c r="B199" s="430" t="s">
        <v>343</v>
      </c>
      <c r="C199" s="429">
        <f t="shared" ref="C199:I199" si="22">SUM(C200,C203,C204)</f>
        <v>0</v>
      </c>
      <c r="D199" s="429">
        <f t="shared" si="22"/>
        <v>0</v>
      </c>
      <c r="E199" s="210">
        <f t="shared" si="22"/>
        <v>0</v>
      </c>
      <c r="F199" s="210">
        <f t="shared" si="22"/>
        <v>0</v>
      </c>
      <c r="G199" s="210">
        <f t="shared" si="22"/>
        <v>0</v>
      </c>
      <c r="H199" s="210">
        <f t="shared" si="22"/>
        <v>0</v>
      </c>
      <c r="I199" s="210">
        <f t="shared" si="22"/>
        <v>0</v>
      </c>
      <c r="J199" s="210">
        <v>0</v>
      </c>
    </row>
    <row r="200" spans="2:10">
      <c r="B200" s="427" t="s">
        <v>342</v>
      </c>
      <c r="C200" s="429">
        <f t="shared" ref="C200:J200" si="23">SUM(C201:C202)</f>
        <v>0</v>
      </c>
      <c r="D200" s="429">
        <f t="shared" si="23"/>
        <v>0</v>
      </c>
      <c r="E200" s="210">
        <f t="shared" si="23"/>
        <v>0</v>
      </c>
      <c r="F200" s="210">
        <f t="shared" si="23"/>
        <v>0</v>
      </c>
      <c r="G200" s="210">
        <f t="shared" si="23"/>
        <v>0</v>
      </c>
      <c r="H200" s="210">
        <f t="shared" si="23"/>
        <v>0</v>
      </c>
      <c r="I200" s="210">
        <f t="shared" si="23"/>
        <v>0</v>
      </c>
      <c r="J200" s="210">
        <f t="shared" si="23"/>
        <v>0</v>
      </c>
    </row>
    <row r="201" spans="2:10">
      <c r="B201" s="147" t="s">
        <v>341</v>
      </c>
      <c r="C201" s="429">
        <v>0</v>
      </c>
      <c r="D201" s="429">
        <v>0</v>
      </c>
      <c r="E201" s="210">
        <v>0</v>
      </c>
      <c r="F201" s="210">
        <v>0</v>
      </c>
      <c r="G201" s="210">
        <v>0</v>
      </c>
      <c r="H201" s="210">
        <v>0</v>
      </c>
      <c r="I201" s="210">
        <v>0</v>
      </c>
      <c r="J201" s="210">
        <v>0</v>
      </c>
    </row>
    <row r="202" spans="2:10">
      <c r="B202" s="147" t="s">
        <v>340</v>
      </c>
      <c r="C202" s="66">
        <v>0</v>
      </c>
      <c r="D202" s="66">
        <v>0</v>
      </c>
      <c r="E202" s="55">
        <v>0</v>
      </c>
      <c r="F202" s="55">
        <v>0</v>
      </c>
      <c r="G202" s="55">
        <v>0</v>
      </c>
      <c r="H202" s="55">
        <v>0</v>
      </c>
      <c r="I202" s="55">
        <v>0</v>
      </c>
      <c r="J202" s="55">
        <v>0</v>
      </c>
    </row>
    <row r="203" spans="2:10" s="425" customFormat="1">
      <c r="B203" s="437" t="s">
        <v>339</v>
      </c>
      <c r="C203" s="66">
        <v>0</v>
      </c>
      <c r="D203" s="66">
        <v>0</v>
      </c>
      <c r="E203" s="55">
        <v>0</v>
      </c>
      <c r="F203" s="55">
        <v>0</v>
      </c>
      <c r="G203" s="55">
        <v>0</v>
      </c>
      <c r="H203" s="55">
        <v>0</v>
      </c>
      <c r="I203" s="55">
        <v>0</v>
      </c>
      <c r="J203" s="55">
        <v>0</v>
      </c>
    </row>
    <row r="204" spans="2:10">
      <c r="B204" s="54" t="s">
        <v>338</v>
      </c>
      <c r="C204" s="429">
        <f t="shared" ref="C204:J204" si="24">SUM(C205:C207)</f>
        <v>0</v>
      </c>
      <c r="D204" s="429">
        <f t="shared" si="24"/>
        <v>0</v>
      </c>
      <c r="E204" s="210">
        <f t="shared" si="24"/>
        <v>0</v>
      </c>
      <c r="F204" s="210">
        <f t="shared" si="24"/>
        <v>0</v>
      </c>
      <c r="G204" s="210">
        <f t="shared" si="24"/>
        <v>0</v>
      </c>
      <c r="H204" s="210">
        <f t="shared" si="24"/>
        <v>0</v>
      </c>
      <c r="I204" s="210">
        <f t="shared" si="24"/>
        <v>0</v>
      </c>
      <c r="J204" s="210">
        <f t="shared" si="24"/>
        <v>0</v>
      </c>
    </row>
    <row r="205" spans="2:10">
      <c r="B205" s="147" t="s">
        <v>337</v>
      </c>
      <c r="C205" s="429">
        <v>0</v>
      </c>
      <c r="D205" s="429">
        <v>0</v>
      </c>
      <c r="E205" s="210">
        <v>0</v>
      </c>
      <c r="F205" s="210">
        <v>0</v>
      </c>
      <c r="G205" s="210">
        <v>0</v>
      </c>
      <c r="H205" s="210">
        <v>0</v>
      </c>
      <c r="I205" s="210">
        <v>0</v>
      </c>
      <c r="J205" s="210">
        <v>0</v>
      </c>
    </row>
    <row r="206" spans="2:10">
      <c r="B206" s="147" t="s">
        <v>336</v>
      </c>
      <c r="C206" s="429">
        <v>0</v>
      </c>
      <c r="D206" s="429">
        <v>0</v>
      </c>
      <c r="E206" s="210">
        <v>0</v>
      </c>
      <c r="F206" s="210">
        <v>0</v>
      </c>
      <c r="G206" s="210">
        <v>0</v>
      </c>
      <c r="H206" s="210">
        <v>0</v>
      </c>
      <c r="I206" s="210">
        <v>0</v>
      </c>
      <c r="J206" s="210">
        <v>0</v>
      </c>
    </row>
    <row r="207" spans="2:10">
      <c r="B207" s="54" t="s">
        <v>335</v>
      </c>
      <c r="C207" s="429">
        <v>0</v>
      </c>
      <c r="D207" s="429">
        <v>0</v>
      </c>
      <c r="E207" s="210">
        <v>0</v>
      </c>
      <c r="F207" s="210">
        <v>0</v>
      </c>
      <c r="G207" s="210">
        <v>0</v>
      </c>
      <c r="H207" s="210">
        <v>0</v>
      </c>
      <c r="I207" s="210">
        <v>0</v>
      </c>
      <c r="J207" s="210">
        <v>0</v>
      </c>
    </row>
    <row r="208" spans="2:10" ht="69" customHeight="1">
      <c r="B208" s="2101" t="s">
        <v>835</v>
      </c>
      <c r="C208" s="2101"/>
      <c r="D208" s="2101"/>
      <c r="E208" s="2101"/>
      <c r="F208" s="2101"/>
      <c r="G208" s="2101"/>
      <c r="H208" s="2101"/>
      <c r="I208" s="2101"/>
      <c r="J208" s="2101"/>
    </row>
    <row r="209" spans="2:11">
      <c r="B209" s="147"/>
      <c r="C209" s="429"/>
      <c r="D209" s="429"/>
      <c r="E209" s="210"/>
      <c r="F209" s="210"/>
      <c r="G209" s="210"/>
      <c r="H209" s="210"/>
      <c r="I209" s="210"/>
      <c r="J209" s="210"/>
    </row>
    <row r="210" spans="2:11" ht="15" thickBot="1">
      <c r="B210" s="146"/>
      <c r="C210" s="429"/>
      <c r="D210" s="429"/>
      <c r="E210" s="210"/>
      <c r="F210" s="210"/>
      <c r="G210" s="210"/>
      <c r="H210" s="210"/>
      <c r="I210" s="210"/>
      <c r="J210" s="210"/>
    </row>
    <row r="211" spans="2:11" ht="15" thickTop="1">
      <c r="B211" s="2103" t="s">
        <v>364</v>
      </c>
      <c r="C211" s="2103"/>
      <c r="D211" s="2103"/>
      <c r="E211" s="2103"/>
      <c r="F211" s="2103"/>
      <c r="G211" s="2103"/>
      <c r="H211" s="2103"/>
      <c r="I211" s="2103"/>
      <c r="J211" s="2103"/>
      <c r="K211" s="2103"/>
    </row>
    <row r="212" spans="2:11">
      <c r="B212" s="2104" t="s">
        <v>363</v>
      </c>
      <c r="C212" s="2105"/>
      <c r="D212" s="2105"/>
      <c r="E212" s="2105"/>
      <c r="F212" s="2105"/>
      <c r="G212" s="2105"/>
      <c r="H212" s="2105"/>
      <c r="I212" s="2105"/>
      <c r="J212" s="2105"/>
      <c r="K212" s="2105"/>
    </row>
    <row r="213" spans="2:11">
      <c r="B213" s="438" t="s">
        <v>311</v>
      </c>
      <c r="C213" s="439"/>
      <c r="D213" s="439"/>
      <c r="E213" s="439"/>
      <c r="F213" s="439"/>
      <c r="G213" s="439"/>
      <c r="H213" s="439"/>
      <c r="I213" s="439"/>
      <c r="J213" s="439"/>
      <c r="K213" s="439"/>
    </row>
    <row r="214" spans="2:11">
      <c r="B214" s="440"/>
      <c r="C214" s="439"/>
      <c r="D214" s="439"/>
      <c r="E214" s="439"/>
      <c r="F214" s="439"/>
      <c r="G214" s="439"/>
      <c r="H214" s="439"/>
      <c r="I214" s="439"/>
      <c r="J214" s="439"/>
      <c r="K214" s="439"/>
    </row>
    <row r="215" spans="2:11">
      <c r="B215" s="441"/>
      <c r="C215" s="303">
        <v>2014</v>
      </c>
      <c r="D215" s="303">
        <v>2015</v>
      </c>
      <c r="E215" s="303">
        <v>2016</v>
      </c>
      <c r="F215" s="303">
        <v>2017</v>
      </c>
      <c r="G215" s="303">
        <v>2018</v>
      </c>
      <c r="H215" s="303">
        <v>2019</v>
      </c>
      <c r="I215" s="303">
        <v>2020</v>
      </c>
      <c r="J215" s="303">
        <v>2021</v>
      </c>
      <c r="K215" s="413"/>
    </row>
    <row r="216" spans="2:11">
      <c r="B216" s="402" t="s">
        <v>362</v>
      </c>
      <c r="C216" s="121"/>
      <c r="D216" s="121"/>
      <c r="E216" s="121"/>
      <c r="F216" s="121"/>
      <c r="G216" s="121"/>
      <c r="H216" s="121"/>
      <c r="I216" s="121"/>
      <c r="J216" s="121"/>
    </row>
    <row r="217" spans="2:11">
      <c r="B217" s="420" t="s">
        <v>826</v>
      </c>
      <c r="C217" s="431">
        <f>+SUM(C218:C219)</f>
        <v>66964.639794620001</v>
      </c>
      <c r="D217" s="431">
        <f t="shared" ref="D217:J217" si="25">+SUM(D218:D219)</f>
        <v>87317.155625240004</v>
      </c>
      <c r="E217" s="431">
        <f t="shared" si="25"/>
        <v>91636.358080589998</v>
      </c>
      <c r="F217" s="431">
        <f t="shared" si="25"/>
        <v>98961.462494680003</v>
      </c>
      <c r="G217" s="431">
        <f t="shared" si="25"/>
        <v>107772.56222837001</v>
      </c>
      <c r="H217" s="431">
        <f t="shared" si="25"/>
        <v>113458.10338114</v>
      </c>
      <c r="I217" s="431">
        <f t="shared" si="25"/>
        <v>110604.61299281</v>
      </c>
      <c r="J217" s="431">
        <f t="shared" si="25"/>
        <v>136909.42385771999</v>
      </c>
    </row>
    <row r="218" spans="2:11">
      <c r="B218" s="151" t="s">
        <v>827</v>
      </c>
      <c r="C218" s="66">
        <v>0</v>
      </c>
      <c r="D218" s="66">
        <v>0</v>
      </c>
      <c r="E218" s="66">
        <v>0</v>
      </c>
      <c r="F218" s="66">
        <v>0</v>
      </c>
      <c r="G218" s="66">
        <v>0</v>
      </c>
      <c r="H218" s="66">
        <v>0</v>
      </c>
      <c r="I218" s="66">
        <v>0</v>
      </c>
      <c r="J218" s="66">
        <v>0</v>
      </c>
    </row>
    <row r="219" spans="2:11">
      <c r="B219" s="151" t="s">
        <v>828</v>
      </c>
      <c r="C219" s="431">
        <v>66964.639794620001</v>
      </c>
      <c r="D219" s="431">
        <v>87317.155625240004</v>
      </c>
      <c r="E219" s="431">
        <v>91636.358080589998</v>
      </c>
      <c r="F219" s="431">
        <v>98961.462494680003</v>
      </c>
      <c r="G219" s="431">
        <v>107772.56222837001</v>
      </c>
      <c r="H219" s="431">
        <v>113458.10338114</v>
      </c>
      <c r="I219" s="431">
        <v>110604.61299281</v>
      </c>
      <c r="J219" s="431">
        <v>136909.42385771999</v>
      </c>
    </row>
    <row r="220" spans="2:11" s="425" customFormat="1" ht="14.25" customHeight="1">
      <c r="B220" s="442" t="s">
        <v>836</v>
      </c>
      <c r="C220" s="431">
        <v>8928.9193892399999</v>
      </c>
      <c r="D220" s="431">
        <v>10557.46573989</v>
      </c>
      <c r="E220" s="431">
        <v>9400.2276852800005</v>
      </c>
      <c r="F220" s="431">
        <v>9686.9777192300007</v>
      </c>
      <c r="G220" s="431">
        <v>10510.7316056</v>
      </c>
      <c r="H220" s="431">
        <v>10582.90216981</v>
      </c>
      <c r="I220" s="431">
        <v>9729.9971998199999</v>
      </c>
      <c r="J220" s="431">
        <v>9757.7109517000008</v>
      </c>
    </row>
    <row r="221" spans="2:11">
      <c r="B221" s="422" t="s">
        <v>830</v>
      </c>
      <c r="C221" s="431">
        <f>SUM(C222:C224)</f>
        <v>0</v>
      </c>
      <c r="D221" s="431">
        <f>SUM(D222:D224)</f>
        <v>10686.952311230003</v>
      </c>
      <c r="E221" s="431">
        <f t="shared" ref="E221:I221" si="26">SUM(E222:E224)</f>
        <v>10576.941239190002</v>
      </c>
      <c r="F221" s="431">
        <f t="shared" si="26"/>
        <v>11936.01478338999</v>
      </c>
      <c r="G221" s="431">
        <f t="shared" si="26"/>
        <v>13963.743371124583</v>
      </c>
      <c r="H221" s="431">
        <f t="shared" si="26"/>
        <v>15837.339803990011</v>
      </c>
      <c r="I221" s="431">
        <f t="shared" si="26"/>
        <v>13544.136365609991</v>
      </c>
      <c r="J221" s="431">
        <f>SUM(J222:J224)</f>
        <v>13952.149540280352</v>
      </c>
    </row>
    <row r="222" spans="2:11">
      <c r="B222" s="151" t="s">
        <v>356</v>
      </c>
      <c r="C222" s="431">
        <v>0</v>
      </c>
      <c r="D222" s="431">
        <v>975.51844200000005</v>
      </c>
      <c r="E222" s="431">
        <v>1161.1827462700001</v>
      </c>
      <c r="F222" s="431">
        <v>1384.5930582400001</v>
      </c>
      <c r="G222" s="431">
        <v>1618.8607431525002</v>
      </c>
      <c r="H222" s="431">
        <v>1866.1340926500002</v>
      </c>
      <c r="I222" s="431">
        <v>1990.1416798599973</v>
      </c>
      <c r="J222" s="431">
        <v>3426.01298018016</v>
      </c>
    </row>
    <row r="223" spans="2:11">
      <c r="B223" s="151" t="s">
        <v>355</v>
      </c>
      <c r="C223" s="429">
        <v>0</v>
      </c>
      <c r="D223" s="429">
        <v>0</v>
      </c>
      <c r="E223" s="210">
        <v>0</v>
      </c>
      <c r="F223" s="210">
        <v>0</v>
      </c>
      <c r="G223" s="210">
        <v>0</v>
      </c>
      <c r="H223" s="210">
        <v>0</v>
      </c>
      <c r="I223" s="210">
        <v>0</v>
      </c>
      <c r="J223" s="210">
        <v>0</v>
      </c>
    </row>
    <row r="224" spans="2:11">
      <c r="B224" s="423" t="s">
        <v>354</v>
      </c>
      <c r="C224" s="431">
        <v>0</v>
      </c>
      <c r="D224" s="431">
        <v>9711.4338692300025</v>
      </c>
      <c r="E224" s="431">
        <v>9415.758492920002</v>
      </c>
      <c r="F224" s="431">
        <v>10551.42172514999</v>
      </c>
      <c r="G224" s="431">
        <v>12344.882627972083</v>
      </c>
      <c r="H224" s="431">
        <v>13971.205711340011</v>
      </c>
      <c r="I224" s="431">
        <v>11553.994685749994</v>
      </c>
      <c r="J224" s="431">
        <v>10526.136560100193</v>
      </c>
    </row>
    <row r="225" spans="2:10">
      <c r="B225" s="423" t="s">
        <v>480</v>
      </c>
      <c r="C225" s="429">
        <v>0</v>
      </c>
      <c r="D225" s="429">
        <v>0</v>
      </c>
      <c r="E225" s="210">
        <v>0</v>
      </c>
      <c r="F225" s="210">
        <v>0</v>
      </c>
      <c r="G225" s="210">
        <v>0</v>
      </c>
      <c r="H225" s="210">
        <v>0</v>
      </c>
      <c r="I225" s="210">
        <v>0</v>
      </c>
      <c r="J225" s="210">
        <v>0</v>
      </c>
    </row>
    <row r="226" spans="2:10" s="425" customFormat="1">
      <c r="B226" s="424" t="s">
        <v>831</v>
      </c>
      <c r="C226" s="431">
        <v>67784.557982750004</v>
      </c>
      <c r="D226" s="431">
        <v>62013.807664280001</v>
      </c>
      <c r="E226" s="431">
        <v>54074.726959200001</v>
      </c>
      <c r="F226" s="431">
        <v>55403.750934839998</v>
      </c>
      <c r="G226" s="431">
        <v>56431.862847919998</v>
      </c>
      <c r="H226" s="431">
        <v>54376.739486580002</v>
      </c>
      <c r="I226" s="431">
        <v>34966.542700339996</v>
      </c>
      <c r="J226" s="431">
        <v>40948.030311369999</v>
      </c>
    </row>
    <row r="227" spans="2:10">
      <c r="B227" s="71" t="s">
        <v>352</v>
      </c>
      <c r="C227" s="429">
        <v>0</v>
      </c>
      <c r="D227" s="429">
        <v>0</v>
      </c>
      <c r="E227" s="210">
        <v>0</v>
      </c>
      <c r="F227" s="210">
        <v>0</v>
      </c>
      <c r="G227" s="210">
        <v>0</v>
      </c>
      <c r="H227" s="210">
        <v>0</v>
      </c>
      <c r="I227" s="210">
        <v>0</v>
      </c>
      <c r="J227" s="210">
        <v>0</v>
      </c>
    </row>
    <row r="228" spans="2:10">
      <c r="B228" s="150" t="s">
        <v>351</v>
      </c>
      <c r="C228" s="429">
        <v>0</v>
      </c>
      <c r="D228" s="429">
        <v>0</v>
      </c>
      <c r="E228" s="210">
        <v>0</v>
      </c>
      <c r="F228" s="210">
        <v>0</v>
      </c>
      <c r="G228" s="210">
        <v>0</v>
      </c>
      <c r="H228" s="210">
        <v>0</v>
      </c>
      <c r="I228" s="210">
        <v>0</v>
      </c>
      <c r="J228" s="210">
        <v>0</v>
      </c>
    </row>
    <row r="229" spans="2:10">
      <c r="B229" s="150" t="s">
        <v>832</v>
      </c>
      <c r="C229" s="429">
        <v>0</v>
      </c>
      <c r="D229" s="429">
        <v>0</v>
      </c>
      <c r="E229" s="210">
        <v>0</v>
      </c>
      <c r="F229" s="210">
        <v>0</v>
      </c>
      <c r="G229" s="210">
        <v>0</v>
      </c>
      <c r="H229" s="210">
        <v>0</v>
      </c>
      <c r="I229" s="210">
        <v>0</v>
      </c>
      <c r="J229" s="210">
        <v>0</v>
      </c>
    </row>
    <row r="230" spans="2:10">
      <c r="B230" s="150"/>
      <c r="C230" s="429"/>
      <c r="D230" s="429"/>
      <c r="E230" s="210"/>
      <c r="F230" s="210"/>
      <c r="G230" s="210"/>
      <c r="H230" s="210"/>
      <c r="I230" s="210"/>
      <c r="J230" s="210"/>
    </row>
    <row r="231" spans="2:10">
      <c r="B231" s="426" t="s">
        <v>349</v>
      </c>
      <c r="C231" s="55">
        <f>C217+C220+C221+C226</f>
        <v>143678.11716661</v>
      </c>
      <c r="D231" s="55">
        <f t="shared" ref="D231:J231" si="27">D217+D220+D221+D226</f>
        <v>170575.38134064001</v>
      </c>
      <c r="E231" s="55">
        <f t="shared" si="27"/>
        <v>165688.25396425999</v>
      </c>
      <c r="F231" s="55">
        <f t="shared" si="27"/>
        <v>175988.20593214</v>
      </c>
      <c r="G231" s="55">
        <f t="shared" si="27"/>
        <v>188678.90005301457</v>
      </c>
      <c r="H231" s="55">
        <f t="shared" si="27"/>
        <v>194255.08484152</v>
      </c>
      <c r="I231" s="55">
        <f t="shared" si="27"/>
        <v>168845.28925858001</v>
      </c>
      <c r="J231" s="55">
        <f t="shared" si="27"/>
        <v>201567.31466107033</v>
      </c>
    </row>
    <row r="232" spans="2:10">
      <c r="B232" s="426" t="s">
        <v>348</v>
      </c>
      <c r="C232" s="55"/>
      <c r="D232" s="55"/>
      <c r="E232" s="55"/>
      <c r="F232" s="55"/>
      <c r="G232" s="55"/>
      <c r="H232" s="55"/>
      <c r="I232" s="55"/>
      <c r="J232" s="55"/>
    </row>
    <row r="233" spans="2:10">
      <c r="B233" s="150"/>
      <c r="C233" s="55"/>
      <c r="D233" s="55"/>
      <c r="E233" s="55"/>
      <c r="F233" s="55"/>
      <c r="G233" s="55"/>
      <c r="H233" s="55"/>
      <c r="I233" s="55"/>
      <c r="J233" s="55"/>
    </row>
    <row r="234" spans="2:10">
      <c r="B234" s="54" t="s">
        <v>347</v>
      </c>
      <c r="C234" s="429">
        <v>0</v>
      </c>
      <c r="D234" s="429">
        <v>0</v>
      </c>
      <c r="E234" s="210">
        <v>0</v>
      </c>
      <c r="F234" s="210">
        <v>0</v>
      </c>
      <c r="G234" s="210">
        <v>0</v>
      </c>
      <c r="H234" s="210">
        <v>0</v>
      </c>
      <c r="I234" s="210">
        <v>0</v>
      </c>
      <c r="J234" s="210">
        <v>0</v>
      </c>
    </row>
    <row r="235" spans="2:10">
      <c r="B235" s="54"/>
      <c r="C235" s="66"/>
      <c r="D235" s="66"/>
      <c r="E235" s="55"/>
      <c r="F235" s="55"/>
      <c r="G235" s="55"/>
      <c r="H235" s="55"/>
      <c r="I235" s="55"/>
      <c r="J235" s="55"/>
    </row>
    <row r="236" spans="2:10">
      <c r="B236" s="443" t="s">
        <v>346</v>
      </c>
      <c r="C236" s="429"/>
      <c r="D236" s="429"/>
      <c r="E236" s="210"/>
      <c r="F236" s="210"/>
      <c r="G236" s="210"/>
      <c r="H236" s="210"/>
      <c r="I236" s="210"/>
      <c r="J236" s="210"/>
    </row>
    <row r="237" spans="2:10">
      <c r="B237" s="427" t="s">
        <v>342</v>
      </c>
      <c r="C237" s="429">
        <f>SUM(C238:C239)</f>
        <v>0</v>
      </c>
      <c r="D237" s="431">
        <f>SUM(D238:D239)</f>
        <v>18592.821104440107</v>
      </c>
      <c r="E237" s="431">
        <f>SUM(E238:E239)</f>
        <v>16680.947590120035</v>
      </c>
      <c r="F237" s="431">
        <f t="shared" ref="F237:I237" si="28">SUM(F238:F239)</f>
        <v>17654.218284164086</v>
      </c>
      <c r="G237" s="431">
        <f t="shared" si="28"/>
        <v>18389.240240010415</v>
      </c>
      <c r="H237" s="431">
        <f t="shared" si="28"/>
        <v>19491.05276438759</v>
      </c>
      <c r="I237" s="431">
        <f t="shared" si="28"/>
        <v>16499.667053280013</v>
      </c>
      <c r="J237" s="431">
        <f>SUM(J238:J239)</f>
        <v>19481.420523189998</v>
      </c>
    </row>
    <row r="238" spans="2:10">
      <c r="B238" s="147" t="s">
        <v>341</v>
      </c>
      <c r="C238" s="66">
        <v>0</v>
      </c>
      <c r="D238" s="67">
        <v>18592.821104440107</v>
      </c>
      <c r="E238" s="67">
        <v>16680.947590120035</v>
      </c>
      <c r="F238" s="67">
        <v>17654.218284164086</v>
      </c>
      <c r="G238" s="67">
        <v>18389.240240010415</v>
      </c>
      <c r="H238" s="67">
        <v>19491.05276438759</v>
      </c>
      <c r="I238" s="67">
        <v>16499.667053280013</v>
      </c>
      <c r="J238" s="67">
        <v>19481.420523189998</v>
      </c>
    </row>
    <row r="239" spans="2:10">
      <c r="B239" s="147" t="s">
        <v>340</v>
      </c>
      <c r="C239" s="429">
        <v>0</v>
      </c>
      <c r="D239" s="429">
        <v>0</v>
      </c>
      <c r="E239" s="210">
        <v>0</v>
      </c>
      <c r="F239" s="210">
        <v>0</v>
      </c>
      <c r="G239" s="210">
        <v>0</v>
      </c>
      <c r="H239" s="210">
        <v>0</v>
      </c>
      <c r="I239" s="210">
        <v>0</v>
      </c>
      <c r="J239" s="210">
        <v>0</v>
      </c>
    </row>
    <row r="240" spans="2:10">
      <c r="B240" s="444" t="s">
        <v>837</v>
      </c>
      <c r="C240" s="445">
        <f>C250+C260</f>
        <v>0</v>
      </c>
      <c r="D240" s="435">
        <f>D250+D260</f>
        <v>6755.2680957520006</v>
      </c>
      <c r="E240" s="435">
        <f t="shared" ref="E240:H240" si="29">E250+E260</f>
        <v>6761.0683737599975</v>
      </c>
      <c r="F240" s="435">
        <f t="shared" si="29"/>
        <v>7525.0870968586114</v>
      </c>
      <c r="G240" s="435">
        <f t="shared" si="29"/>
        <v>8748.6292921646436</v>
      </c>
      <c r="H240" s="435">
        <f t="shared" si="29"/>
        <v>9682.7063774299859</v>
      </c>
      <c r="I240" s="435">
        <f>I250+I260</f>
        <v>7847.2113815700022</v>
      </c>
      <c r="J240" s="435">
        <f>J250+J260</f>
        <v>9365.6834404399979</v>
      </c>
    </row>
    <row r="241" spans="2:10">
      <c r="B241" s="420" t="s">
        <v>338</v>
      </c>
      <c r="C241" s="66">
        <f t="shared" ref="C241:J241" si="30">SUM(C242:C244)</f>
        <v>0</v>
      </c>
      <c r="D241" s="67">
        <f t="shared" si="30"/>
        <v>0</v>
      </c>
      <c r="E241" s="67">
        <f t="shared" si="30"/>
        <v>0</v>
      </c>
      <c r="F241" s="67">
        <f t="shared" si="30"/>
        <v>0</v>
      </c>
      <c r="G241" s="67">
        <f t="shared" si="30"/>
        <v>0</v>
      </c>
      <c r="H241" s="67">
        <f t="shared" si="30"/>
        <v>0</v>
      </c>
      <c r="I241" s="67">
        <f t="shared" si="30"/>
        <v>0</v>
      </c>
      <c r="J241" s="67">
        <f t="shared" si="30"/>
        <v>0</v>
      </c>
    </row>
    <row r="242" spans="2:10">
      <c r="B242" s="54" t="s">
        <v>337</v>
      </c>
      <c r="C242" s="429">
        <v>0</v>
      </c>
      <c r="D242" s="429">
        <v>0</v>
      </c>
      <c r="E242" s="210">
        <v>0</v>
      </c>
      <c r="F242" s="210">
        <v>0</v>
      </c>
      <c r="G242" s="210">
        <v>0</v>
      </c>
      <c r="H242" s="210">
        <v>0</v>
      </c>
      <c r="I242" s="210">
        <v>0</v>
      </c>
      <c r="J242" s="210">
        <v>0</v>
      </c>
    </row>
    <row r="243" spans="2:10">
      <c r="B243" s="147" t="s">
        <v>336</v>
      </c>
      <c r="C243" s="429">
        <v>0</v>
      </c>
      <c r="D243" s="429">
        <v>0</v>
      </c>
      <c r="E243" s="210">
        <v>0</v>
      </c>
      <c r="F243" s="210">
        <v>0</v>
      </c>
      <c r="G243" s="210">
        <v>0</v>
      </c>
      <c r="H243" s="210">
        <v>0</v>
      </c>
      <c r="I243" s="210">
        <v>0</v>
      </c>
      <c r="J243" s="210">
        <v>0</v>
      </c>
    </row>
    <row r="244" spans="2:10">
      <c r="B244" s="147" t="s">
        <v>335</v>
      </c>
      <c r="C244" s="429">
        <v>0</v>
      </c>
      <c r="D244" s="429">
        <v>0</v>
      </c>
      <c r="E244" s="210">
        <v>0</v>
      </c>
      <c r="F244" s="210">
        <v>0</v>
      </c>
      <c r="G244" s="210">
        <v>0</v>
      </c>
      <c r="H244" s="210">
        <v>0</v>
      </c>
      <c r="I244" s="210">
        <v>0</v>
      </c>
      <c r="J244" s="210">
        <v>0</v>
      </c>
    </row>
    <row r="245" spans="2:10">
      <c r="B245" s="54"/>
      <c r="C245" s="429"/>
      <c r="D245" s="429"/>
      <c r="E245" s="210"/>
      <c r="F245" s="210"/>
      <c r="G245" s="210"/>
      <c r="H245" s="210"/>
      <c r="I245" s="210"/>
      <c r="J245" s="210"/>
    </row>
    <row r="246" spans="2:10">
      <c r="B246" s="54" t="s">
        <v>345</v>
      </c>
      <c r="C246" s="429">
        <v>0</v>
      </c>
      <c r="D246" s="429">
        <f>SUM(D247,D250,D251)</f>
        <v>25348.089200192109</v>
      </c>
      <c r="E246" s="429">
        <f t="shared" ref="E246:J246" si="31">SUM(E247,E250,E251)</f>
        <v>23442.015963880032</v>
      </c>
      <c r="F246" s="429">
        <f t="shared" si="31"/>
        <v>25179.305381022699</v>
      </c>
      <c r="G246" s="429">
        <f t="shared" si="31"/>
        <v>27137.869532175057</v>
      </c>
      <c r="H246" s="429">
        <f t="shared" si="31"/>
        <v>29173.759141817576</v>
      </c>
      <c r="I246" s="429">
        <f t="shared" si="31"/>
        <v>24346.878434850016</v>
      </c>
      <c r="J246" s="429">
        <f t="shared" si="31"/>
        <v>28847.103963629997</v>
      </c>
    </row>
    <row r="247" spans="2:10">
      <c r="B247" s="427" t="s">
        <v>342</v>
      </c>
      <c r="C247" s="429">
        <v>0</v>
      </c>
      <c r="D247" s="431">
        <f>SUM(D248:D249)</f>
        <v>18592.821104440107</v>
      </c>
      <c r="E247" s="431">
        <f t="shared" ref="E247:J247" si="32">SUM(E248:E249)</f>
        <v>16680.947590120035</v>
      </c>
      <c r="F247" s="431">
        <f t="shared" si="32"/>
        <v>17654.218284164086</v>
      </c>
      <c r="G247" s="431">
        <f t="shared" si="32"/>
        <v>18389.240240010415</v>
      </c>
      <c r="H247" s="431">
        <f t="shared" si="32"/>
        <v>19491.05276438759</v>
      </c>
      <c r="I247" s="431">
        <f t="shared" si="32"/>
        <v>16499.667053280013</v>
      </c>
      <c r="J247" s="431">
        <f t="shared" si="32"/>
        <v>19481.420523189998</v>
      </c>
    </row>
    <row r="248" spans="2:10">
      <c r="B248" s="147" t="s">
        <v>341</v>
      </c>
      <c r="C248" s="429">
        <v>0</v>
      </c>
      <c r="D248" s="67">
        <v>18592.821104440107</v>
      </c>
      <c r="E248" s="67">
        <v>16680.947590120035</v>
      </c>
      <c r="F248" s="67">
        <v>17654.218284164086</v>
      </c>
      <c r="G248" s="67">
        <v>18389.240240010415</v>
      </c>
      <c r="H248" s="67">
        <v>19491.05276438759</v>
      </c>
      <c r="I248" s="67">
        <v>16499.667053280013</v>
      </c>
      <c r="J248" s="67">
        <v>19481.420523189998</v>
      </c>
    </row>
    <row r="249" spans="2:10">
      <c r="B249" s="147" t="s">
        <v>340</v>
      </c>
      <c r="C249" s="429">
        <v>0</v>
      </c>
      <c r="D249" s="429">
        <v>0</v>
      </c>
      <c r="E249" s="210">
        <v>0</v>
      </c>
      <c r="F249" s="210">
        <v>0</v>
      </c>
      <c r="G249" s="210">
        <v>0</v>
      </c>
      <c r="H249" s="210">
        <v>0</v>
      </c>
      <c r="I249" s="210">
        <v>0</v>
      </c>
      <c r="J249" s="210">
        <v>0</v>
      </c>
    </row>
    <row r="250" spans="2:10">
      <c r="B250" s="446" t="s">
        <v>838</v>
      </c>
      <c r="C250" s="66">
        <v>0</v>
      </c>
      <c r="D250" s="67">
        <v>6755.2680957520006</v>
      </c>
      <c r="E250" s="67">
        <v>6761.0683737599975</v>
      </c>
      <c r="F250" s="67">
        <v>7525.0870968586114</v>
      </c>
      <c r="G250" s="67">
        <v>8748.6292921646436</v>
      </c>
      <c r="H250" s="67">
        <v>9682.7063774299859</v>
      </c>
      <c r="I250" s="67">
        <v>7847.2113815700022</v>
      </c>
      <c r="J250" s="67">
        <v>9365.6834404399979</v>
      </c>
    </row>
    <row r="251" spans="2:10">
      <c r="B251" s="437" t="s">
        <v>338</v>
      </c>
      <c r="C251" s="66">
        <v>0</v>
      </c>
      <c r="D251" s="66">
        <f t="shared" ref="D251:J251" si="33">SUM(D252:D254)</f>
        <v>0</v>
      </c>
      <c r="E251" s="55">
        <f t="shared" si="33"/>
        <v>0</v>
      </c>
      <c r="F251" s="55">
        <f t="shared" si="33"/>
        <v>0</v>
      </c>
      <c r="G251" s="55">
        <f t="shared" si="33"/>
        <v>0</v>
      </c>
      <c r="H251" s="55">
        <f t="shared" si="33"/>
        <v>0</v>
      </c>
      <c r="I251" s="55">
        <f t="shared" si="33"/>
        <v>0</v>
      </c>
      <c r="J251" s="55">
        <f t="shared" si="33"/>
        <v>0</v>
      </c>
    </row>
    <row r="252" spans="2:10">
      <c r="B252" s="147" t="s">
        <v>337</v>
      </c>
      <c r="C252" s="429">
        <v>0</v>
      </c>
      <c r="D252" s="429">
        <v>0</v>
      </c>
      <c r="E252" s="210">
        <v>0</v>
      </c>
      <c r="F252" s="210">
        <v>0</v>
      </c>
      <c r="G252" s="210">
        <v>0</v>
      </c>
      <c r="H252" s="210">
        <v>0</v>
      </c>
      <c r="I252" s="210">
        <v>0</v>
      </c>
      <c r="J252" s="210">
        <v>0</v>
      </c>
    </row>
    <row r="253" spans="2:10">
      <c r="B253" s="147" t="s">
        <v>336</v>
      </c>
      <c r="C253" s="429">
        <v>0</v>
      </c>
      <c r="D253" s="429">
        <v>0</v>
      </c>
      <c r="E253" s="210">
        <v>0</v>
      </c>
      <c r="F253" s="210">
        <v>0</v>
      </c>
      <c r="G253" s="210">
        <v>0</v>
      </c>
      <c r="H253" s="210">
        <v>0</v>
      </c>
      <c r="I253" s="210">
        <v>0</v>
      </c>
      <c r="J253" s="210">
        <v>0</v>
      </c>
    </row>
    <row r="254" spans="2:10">
      <c r="B254" s="147" t="s">
        <v>335</v>
      </c>
      <c r="C254" s="429">
        <v>0</v>
      </c>
      <c r="D254" s="429">
        <v>0</v>
      </c>
      <c r="E254" s="210">
        <v>0</v>
      </c>
      <c r="F254" s="210">
        <v>0</v>
      </c>
      <c r="G254" s="210">
        <v>0</v>
      </c>
      <c r="H254" s="210">
        <v>0</v>
      </c>
      <c r="I254" s="210">
        <v>0</v>
      </c>
      <c r="J254" s="210">
        <v>0</v>
      </c>
    </row>
    <row r="255" spans="2:10">
      <c r="B255" s="54"/>
      <c r="C255" s="429"/>
      <c r="D255" s="429"/>
      <c r="E255" s="210"/>
      <c r="F255" s="210"/>
      <c r="G255" s="210"/>
      <c r="H255" s="210"/>
      <c r="I255" s="210"/>
      <c r="J255" s="210"/>
    </row>
    <row r="256" spans="2:10">
      <c r="B256" s="54" t="s">
        <v>344</v>
      </c>
      <c r="C256" s="429">
        <f t="shared" ref="C256:I256" si="34">SUM(C257,C260,C261)</f>
        <v>0</v>
      </c>
      <c r="D256" s="429">
        <f t="shared" si="34"/>
        <v>0</v>
      </c>
      <c r="E256" s="210">
        <f t="shared" si="34"/>
        <v>0</v>
      </c>
      <c r="F256" s="210">
        <f t="shared" si="34"/>
        <v>0</v>
      </c>
      <c r="G256" s="210">
        <f t="shared" si="34"/>
        <v>0</v>
      </c>
      <c r="H256" s="210">
        <f t="shared" si="34"/>
        <v>0</v>
      </c>
      <c r="I256" s="210">
        <f t="shared" si="34"/>
        <v>0</v>
      </c>
      <c r="J256" s="210">
        <v>0</v>
      </c>
    </row>
    <row r="257" spans="2:10">
      <c r="B257" s="427" t="s">
        <v>342</v>
      </c>
      <c r="C257" s="429">
        <v>0</v>
      </c>
      <c r="D257" s="429">
        <f t="shared" ref="D257:J257" si="35">SUM(D258:D259)</f>
        <v>0</v>
      </c>
      <c r="E257" s="210">
        <f t="shared" si="35"/>
        <v>0</v>
      </c>
      <c r="F257" s="210">
        <f t="shared" si="35"/>
        <v>0</v>
      </c>
      <c r="G257" s="210">
        <f t="shared" si="35"/>
        <v>0</v>
      </c>
      <c r="H257" s="210">
        <f t="shared" si="35"/>
        <v>0</v>
      </c>
      <c r="I257" s="210">
        <f t="shared" si="35"/>
        <v>0</v>
      </c>
      <c r="J257" s="210">
        <f t="shared" si="35"/>
        <v>0</v>
      </c>
    </row>
    <row r="258" spans="2:10">
      <c r="B258" s="147" t="s">
        <v>341</v>
      </c>
      <c r="C258" s="429">
        <v>0</v>
      </c>
      <c r="D258" s="429">
        <v>0</v>
      </c>
      <c r="E258" s="210">
        <v>0</v>
      </c>
      <c r="F258" s="210">
        <v>0</v>
      </c>
      <c r="G258" s="210">
        <v>0</v>
      </c>
      <c r="H258" s="210">
        <v>0</v>
      </c>
      <c r="I258" s="210">
        <v>0</v>
      </c>
      <c r="J258" s="210">
        <v>0</v>
      </c>
    </row>
    <row r="259" spans="2:10">
      <c r="B259" s="147" t="s">
        <v>340</v>
      </c>
      <c r="C259" s="429">
        <v>0</v>
      </c>
      <c r="D259" s="429">
        <v>0</v>
      </c>
      <c r="E259" s="210">
        <v>0</v>
      </c>
      <c r="F259" s="210">
        <v>0</v>
      </c>
      <c r="G259" s="210">
        <v>0</v>
      </c>
      <c r="H259" s="210">
        <v>0</v>
      </c>
      <c r="I259" s="210">
        <v>0</v>
      </c>
      <c r="J259" s="210">
        <v>0</v>
      </c>
    </row>
    <row r="260" spans="2:10">
      <c r="B260" s="447" t="s">
        <v>339</v>
      </c>
      <c r="C260" s="66">
        <f t="shared" ref="C260:C261" si="36">SUM(C261:C262)</f>
        <v>0</v>
      </c>
      <c r="D260" s="66">
        <v>0</v>
      </c>
      <c r="E260" s="55">
        <v>0</v>
      </c>
      <c r="F260" s="55">
        <v>0</v>
      </c>
      <c r="G260" s="55">
        <v>0</v>
      </c>
      <c r="H260" s="55">
        <v>0</v>
      </c>
      <c r="I260" s="55">
        <v>0</v>
      </c>
      <c r="J260" s="55">
        <v>0</v>
      </c>
    </row>
    <row r="261" spans="2:10">
      <c r="B261" s="437" t="s">
        <v>338</v>
      </c>
      <c r="C261" s="66">
        <f t="shared" si="36"/>
        <v>0</v>
      </c>
      <c r="D261" s="66">
        <f t="shared" ref="D261:J261" si="37">SUM(D262:D264)</f>
        <v>0</v>
      </c>
      <c r="E261" s="55">
        <f t="shared" si="37"/>
        <v>0</v>
      </c>
      <c r="F261" s="55">
        <f t="shared" si="37"/>
        <v>0</v>
      </c>
      <c r="G261" s="55">
        <f t="shared" si="37"/>
        <v>0</v>
      </c>
      <c r="H261" s="55">
        <f t="shared" si="37"/>
        <v>0</v>
      </c>
      <c r="I261" s="55">
        <f t="shared" si="37"/>
        <v>0</v>
      </c>
      <c r="J261" s="55">
        <f t="shared" si="37"/>
        <v>0</v>
      </c>
    </row>
    <row r="262" spans="2:10">
      <c r="B262" s="147" t="s">
        <v>337</v>
      </c>
      <c r="C262" s="429">
        <v>0</v>
      </c>
      <c r="D262" s="429">
        <v>0</v>
      </c>
      <c r="E262" s="210">
        <v>0</v>
      </c>
      <c r="F262" s="210">
        <v>0</v>
      </c>
      <c r="G262" s="210">
        <v>0</v>
      </c>
      <c r="H262" s="210">
        <v>0</v>
      </c>
      <c r="I262" s="210">
        <v>0</v>
      </c>
      <c r="J262" s="210">
        <v>0</v>
      </c>
    </row>
    <row r="263" spans="2:10">
      <c r="B263" s="147" t="s">
        <v>336</v>
      </c>
      <c r="C263" s="429">
        <v>0</v>
      </c>
      <c r="D263" s="429">
        <v>0</v>
      </c>
      <c r="E263" s="210">
        <v>0</v>
      </c>
      <c r="F263" s="210">
        <v>0</v>
      </c>
      <c r="G263" s="210">
        <v>0</v>
      </c>
      <c r="H263" s="210">
        <v>0</v>
      </c>
      <c r="I263" s="210">
        <v>0</v>
      </c>
      <c r="J263" s="210">
        <v>0</v>
      </c>
    </row>
    <row r="264" spans="2:10">
      <c r="B264" s="147" t="s">
        <v>335</v>
      </c>
      <c r="C264" s="429">
        <v>0</v>
      </c>
      <c r="D264" s="429">
        <v>0</v>
      </c>
      <c r="E264" s="210">
        <v>0</v>
      </c>
      <c r="F264" s="210">
        <v>0</v>
      </c>
      <c r="G264" s="210">
        <v>0</v>
      </c>
      <c r="H264" s="210">
        <v>0</v>
      </c>
      <c r="I264" s="210">
        <v>0</v>
      </c>
      <c r="J264" s="210">
        <v>0</v>
      </c>
    </row>
    <row r="265" spans="2:10">
      <c r="B265" s="54"/>
      <c r="C265" s="429"/>
      <c r="D265" s="429"/>
      <c r="E265" s="210"/>
      <c r="F265" s="210"/>
      <c r="G265" s="210"/>
      <c r="H265" s="210"/>
      <c r="I265" s="210"/>
      <c r="J265" s="210"/>
    </row>
    <row r="266" spans="2:10">
      <c r="B266" s="54" t="s">
        <v>343</v>
      </c>
      <c r="C266" s="448">
        <f t="shared" ref="C266:I266" si="38">SUM(C267,C270,C271)</f>
        <v>0</v>
      </c>
      <c r="D266" s="448">
        <f t="shared" si="38"/>
        <v>0</v>
      </c>
      <c r="E266" s="448">
        <f t="shared" si="38"/>
        <v>0</v>
      </c>
      <c r="F266" s="448">
        <f t="shared" si="38"/>
        <v>0</v>
      </c>
      <c r="G266" s="448">
        <f t="shared" si="38"/>
        <v>0</v>
      </c>
      <c r="H266" s="448">
        <f t="shared" si="38"/>
        <v>0</v>
      </c>
      <c r="I266" s="448">
        <f t="shared" si="38"/>
        <v>0</v>
      </c>
      <c r="J266" s="448">
        <v>0</v>
      </c>
    </row>
    <row r="267" spans="2:10">
      <c r="B267" s="427" t="s">
        <v>342</v>
      </c>
      <c r="C267" s="448">
        <f t="shared" ref="C267:J267" si="39">SUM(C268:C269)</f>
        <v>0</v>
      </c>
      <c r="D267" s="448">
        <f t="shared" si="39"/>
        <v>0</v>
      </c>
      <c r="E267" s="448">
        <f t="shared" si="39"/>
        <v>0</v>
      </c>
      <c r="F267" s="448">
        <f t="shared" si="39"/>
        <v>0</v>
      </c>
      <c r="G267" s="448">
        <f t="shared" si="39"/>
        <v>0</v>
      </c>
      <c r="H267" s="448">
        <f t="shared" si="39"/>
        <v>0</v>
      </c>
      <c r="I267" s="448">
        <f t="shared" si="39"/>
        <v>0</v>
      </c>
      <c r="J267" s="448">
        <f t="shared" si="39"/>
        <v>0</v>
      </c>
    </row>
    <row r="268" spans="2:10">
      <c r="B268" s="147" t="s">
        <v>341</v>
      </c>
      <c r="C268" s="448">
        <v>0</v>
      </c>
      <c r="D268" s="448">
        <v>0</v>
      </c>
      <c r="E268" s="448">
        <v>0</v>
      </c>
      <c r="F268" s="448">
        <v>0</v>
      </c>
      <c r="G268" s="448">
        <v>0</v>
      </c>
      <c r="H268" s="448">
        <v>0</v>
      </c>
      <c r="I268" s="448">
        <v>0</v>
      </c>
      <c r="J268" s="448">
        <v>0</v>
      </c>
    </row>
    <row r="269" spans="2:10">
      <c r="B269" s="147" t="s">
        <v>340</v>
      </c>
      <c r="C269" s="448">
        <v>0</v>
      </c>
      <c r="D269" s="448">
        <v>0</v>
      </c>
      <c r="E269" s="448">
        <v>0</v>
      </c>
      <c r="F269" s="448">
        <v>0</v>
      </c>
      <c r="G269" s="448">
        <v>0</v>
      </c>
      <c r="H269" s="448">
        <v>0</v>
      </c>
      <c r="I269" s="448">
        <v>0</v>
      </c>
      <c r="J269" s="448">
        <v>0</v>
      </c>
    </row>
    <row r="270" spans="2:10">
      <c r="B270" s="447" t="s">
        <v>339</v>
      </c>
      <c r="C270" s="406">
        <f t="shared" ref="C270:C271" si="40">SUM(C271:C272)</f>
        <v>0</v>
      </c>
      <c r="D270" s="406">
        <v>0</v>
      </c>
      <c r="E270" s="406">
        <v>0</v>
      </c>
      <c r="F270" s="406">
        <v>0</v>
      </c>
      <c r="G270" s="406">
        <v>0</v>
      </c>
      <c r="H270" s="406">
        <v>0</v>
      </c>
      <c r="I270" s="406">
        <v>0</v>
      </c>
      <c r="J270" s="406">
        <v>0</v>
      </c>
    </row>
    <row r="271" spans="2:10">
      <c r="B271" s="437" t="s">
        <v>338</v>
      </c>
      <c r="C271" s="406">
        <f t="shared" si="40"/>
        <v>0</v>
      </c>
      <c r="D271" s="406">
        <f t="shared" ref="D271:J271" si="41">SUM(D272:D274)</f>
        <v>0</v>
      </c>
      <c r="E271" s="406">
        <f t="shared" si="41"/>
        <v>0</v>
      </c>
      <c r="F271" s="406">
        <f t="shared" si="41"/>
        <v>0</v>
      </c>
      <c r="G271" s="406">
        <f t="shared" si="41"/>
        <v>0</v>
      </c>
      <c r="H271" s="406">
        <f t="shared" si="41"/>
        <v>0</v>
      </c>
      <c r="I271" s="406">
        <f t="shared" si="41"/>
        <v>0</v>
      </c>
      <c r="J271" s="406">
        <f t="shared" si="41"/>
        <v>0</v>
      </c>
    </row>
    <row r="272" spans="2:10">
      <c r="B272" s="147" t="s">
        <v>337</v>
      </c>
      <c r="C272" s="448">
        <v>0</v>
      </c>
      <c r="D272" s="448">
        <v>0</v>
      </c>
      <c r="E272" s="448">
        <v>0</v>
      </c>
      <c r="F272" s="448">
        <v>0</v>
      </c>
      <c r="G272" s="448">
        <v>0</v>
      </c>
      <c r="H272" s="448">
        <v>0</v>
      </c>
      <c r="I272" s="448">
        <v>0</v>
      </c>
      <c r="J272" s="448">
        <v>0</v>
      </c>
    </row>
    <row r="273" spans="2:11">
      <c r="B273" s="147" t="s">
        <v>336</v>
      </c>
      <c r="C273" s="448">
        <v>0</v>
      </c>
      <c r="D273" s="448">
        <v>0</v>
      </c>
      <c r="E273" s="448">
        <v>0</v>
      </c>
      <c r="F273" s="448">
        <v>0</v>
      </c>
      <c r="G273" s="448">
        <v>0</v>
      </c>
      <c r="H273" s="448">
        <v>0</v>
      </c>
      <c r="I273" s="448">
        <v>0</v>
      </c>
      <c r="J273" s="448">
        <v>0</v>
      </c>
    </row>
    <row r="274" spans="2:11">
      <c r="B274" s="147" t="s">
        <v>335</v>
      </c>
      <c r="C274" s="448">
        <v>0</v>
      </c>
      <c r="D274" s="448">
        <v>0</v>
      </c>
      <c r="E274" s="448">
        <v>0</v>
      </c>
      <c r="F274" s="448">
        <v>0</v>
      </c>
      <c r="G274" s="448">
        <v>0</v>
      </c>
      <c r="H274" s="448">
        <v>0</v>
      </c>
      <c r="I274" s="448">
        <v>0</v>
      </c>
      <c r="J274" s="448">
        <v>0</v>
      </c>
    </row>
    <row r="275" spans="2:11">
      <c r="B275" s="54" t="s">
        <v>839</v>
      </c>
      <c r="C275" s="429"/>
      <c r="D275" s="429"/>
      <c r="E275" s="210"/>
      <c r="F275" s="210"/>
      <c r="G275" s="210"/>
      <c r="H275" s="210"/>
      <c r="I275" s="210"/>
      <c r="J275" s="210"/>
    </row>
    <row r="276" spans="2:11" ht="54.75" customHeight="1">
      <c r="B276" s="2101" t="s">
        <v>835</v>
      </c>
      <c r="C276" s="2101"/>
      <c r="D276" s="2101"/>
      <c r="E276" s="2101"/>
      <c r="F276" s="2101"/>
      <c r="G276" s="2101"/>
      <c r="H276" s="2101"/>
      <c r="I276" s="2101"/>
      <c r="J276" s="2101"/>
    </row>
    <row r="277" spans="2:11">
      <c r="B277" s="147"/>
      <c r="C277" s="429"/>
      <c r="D277" s="429"/>
      <c r="E277" s="210"/>
      <c r="F277" s="210"/>
      <c r="G277" s="210"/>
      <c r="H277" s="210"/>
      <c r="I277" s="210"/>
      <c r="J277" s="210"/>
    </row>
    <row r="278" spans="2:11">
      <c r="B278" s="2100" t="s">
        <v>333</v>
      </c>
      <c r="C278" s="2100"/>
      <c r="D278" s="2100"/>
      <c r="E278" s="2100"/>
      <c r="F278" s="2100"/>
      <c r="G278" s="2100"/>
      <c r="H278" s="2100"/>
      <c r="I278" s="2100"/>
      <c r="J278" s="2100"/>
      <c r="K278" s="2100"/>
    </row>
    <row r="279" spans="2:11">
      <c r="B279" s="12" t="s">
        <v>332</v>
      </c>
      <c r="C279" s="302"/>
      <c r="D279" s="302"/>
      <c r="E279" s="302"/>
      <c r="F279" s="302"/>
      <c r="G279" s="302"/>
      <c r="H279" s="302"/>
      <c r="I279" s="302"/>
      <c r="J279" s="302"/>
      <c r="K279" s="302"/>
    </row>
    <row r="280" spans="2:11">
      <c r="B280" s="62" t="s">
        <v>269</v>
      </c>
      <c r="C280" s="302"/>
      <c r="D280" s="302"/>
      <c r="E280" s="302"/>
      <c r="F280" s="302"/>
      <c r="G280" s="302"/>
      <c r="H280" s="302"/>
      <c r="I280" s="302"/>
      <c r="J280" s="302"/>
      <c r="K280" s="302"/>
    </row>
    <row r="281" spans="2:11">
      <c r="B281" s="64"/>
      <c r="C281" s="302"/>
      <c r="D281" s="302"/>
      <c r="E281" s="302"/>
      <c r="F281" s="302"/>
      <c r="G281" s="302"/>
      <c r="H281" s="302"/>
      <c r="I281" s="302"/>
      <c r="J281" s="302"/>
      <c r="K281" s="302"/>
    </row>
    <row r="282" spans="2:11">
      <c r="B282" s="61"/>
      <c r="C282" s="303">
        <v>2014</v>
      </c>
      <c r="D282" s="303">
        <v>2015</v>
      </c>
      <c r="E282" s="303">
        <v>2016</v>
      </c>
      <c r="F282" s="303">
        <v>2017</v>
      </c>
      <c r="G282" s="303">
        <v>2018</v>
      </c>
      <c r="H282" s="303">
        <v>2019</v>
      </c>
      <c r="I282" s="303">
        <v>2020</v>
      </c>
      <c r="J282" s="303">
        <v>2021</v>
      </c>
      <c r="K282" s="413"/>
    </row>
    <row r="283" spans="2:11" ht="15">
      <c r="B283" s="114" t="s">
        <v>840</v>
      </c>
      <c r="C283" s="449"/>
      <c r="D283" s="449"/>
      <c r="E283" s="449"/>
      <c r="F283" s="449"/>
      <c r="G283" s="449"/>
      <c r="H283" s="449"/>
      <c r="I283" s="449"/>
      <c r="J283" s="449"/>
      <c r="K283" s="449"/>
    </row>
    <row r="284" spans="2:11">
      <c r="B284" s="114"/>
      <c r="C284" s="449"/>
      <c r="D284" s="449"/>
      <c r="E284" s="449"/>
      <c r="F284" s="449"/>
      <c r="G284" s="449"/>
      <c r="H284" s="449"/>
      <c r="I284" s="449"/>
      <c r="J284" s="449"/>
      <c r="K284" s="449"/>
    </row>
    <row r="285" spans="2:11">
      <c r="B285" s="450" t="s">
        <v>841</v>
      </c>
      <c r="C285" s="449"/>
      <c r="D285" s="449"/>
      <c r="E285" s="449"/>
      <c r="F285" s="449"/>
      <c r="G285" s="449"/>
      <c r="H285" s="449"/>
      <c r="I285" s="449"/>
      <c r="J285" s="449"/>
      <c r="K285" s="449"/>
    </row>
    <row r="286" spans="2:11">
      <c r="B286" s="71" t="s">
        <v>331</v>
      </c>
      <c r="C286" s="451">
        <f>+C287+C290</f>
        <v>245</v>
      </c>
      <c r="D286" s="451">
        <f t="shared" ref="D286:J286" si="42">+D287+D290</f>
        <v>296</v>
      </c>
      <c r="E286" s="451">
        <f t="shared" si="42"/>
        <v>341</v>
      </c>
      <c r="F286" s="451">
        <f t="shared" si="42"/>
        <v>350</v>
      </c>
      <c r="G286" s="451">
        <f t="shared" si="42"/>
        <v>345</v>
      </c>
      <c r="H286" s="451">
        <f t="shared" si="42"/>
        <v>322</v>
      </c>
      <c r="I286" s="451">
        <f t="shared" si="42"/>
        <v>257</v>
      </c>
      <c r="J286" s="451">
        <f t="shared" si="42"/>
        <v>262</v>
      </c>
    </row>
    <row r="287" spans="2:11">
      <c r="B287" s="420" t="s">
        <v>330</v>
      </c>
      <c r="C287" s="3">
        <f>+C288+C289</f>
        <v>24</v>
      </c>
      <c r="D287" s="3">
        <f t="shared" ref="D287:J287" si="43">+D288+D289</f>
        <v>24</v>
      </c>
      <c r="E287" s="3">
        <f t="shared" si="43"/>
        <v>23</v>
      </c>
      <c r="F287" s="3">
        <f t="shared" si="43"/>
        <v>25</v>
      </c>
      <c r="G287" s="3">
        <f t="shared" si="43"/>
        <v>25</v>
      </c>
      <c r="H287" s="3">
        <f t="shared" si="43"/>
        <v>25</v>
      </c>
      <c r="I287" s="3">
        <f t="shared" si="43"/>
        <v>25</v>
      </c>
      <c r="J287" s="3">
        <f t="shared" si="43"/>
        <v>25</v>
      </c>
    </row>
    <row r="288" spans="2:11">
      <c r="B288" s="133" t="s">
        <v>260</v>
      </c>
      <c r="C288" s="3">
        <v>23</v>
      </c>
      <c r="D288" s="3">
        <v>23</v>
      </c>
      <c r="E288" s="3">
        <v>22</v>
      </c>
      <c r="F288" s="3">
        <v>24</v>
      </c>
      <c r="G288" s="3">
        <v>24</v>
      </c>
      <c r="H288" s="3">
        <v>24</v>
      </c>
      <c r="I288" s="3">
        <v>24</v>
      </c>
      <c r="J288" s="3">
        <v>24</v>
      </c>
    </row>
    <row r="289" spans="2:10">
      <c r="B289" s="133" t="s">
        <v>329</v>
      </c>
      <c r="C289" s="3">
        <v>1</v>
      </c>
      <c r="D289" s="3">
        <v>1</v>
      </c>
      <c r="E289" s="3">
        <v>1</v>
      </c>
      <c r="F289" s="3">
        <v>1</v>
      </c>
      <c r="G289" s="3">
        <v>1</v>
      </c>
      <c r="H289" s="3">
        <v>1</v>
      </c>
      <c r="I289" s="3">
        <v>1</v>
      </c>
      <c r="J289" s="3">
        <v>1</v>
      </c>
    </row>
    <row r="290" spans="2:10">
      <c r="B290" s="452" t="s">
        <v>328</v>
      </c>
      <c r="C290" s="75">
        <f>+SUM(C291:C296)</f>
        <v>221</v>
      </c>
      <c r="D290" s="75">
        <f t="shared" ref="D290:J290" si="44">+SUM(D291:D296)</f>
        <v>272</v>
      </c>
      <c r="E290" s="75">
        <f t="shared" si="44"/>
        <v>318</v>
      </c>
      <c r="F290" s="75">
        <f t="shared" si="44"/>
        <v>325</v>
      </c>
      <c r="G290" s="75">
        <f t="shared" si="44"/>
        <v>320</v>
      </c>
      <c r="H290" s="75">
        <f t="shared" si="44"/>
        <v>297</v>
      </c>
      <c r="I290" s="75">
        <f t="shared" si="44"/>
        <v>232</v>
      </c>
      <c r="J290" s="75">
        <f t="shared" si="44"/>
        <v>237</v>
      </c>
    </row>
    <row r="291" spans="2:10">
      <c r="B291" s="133" t="s">
        <v>327</v>
      </c>
      <c r="C291">
        <v>4</v>
      </c>
      <c r="D291">
        <v>5</v>
      </c>
      <c r="E291">
        <v>5</v>
      </c>
      <c r="F291">
        <v>5</v>
      </c>
      <c r="G291">
        <v>4</v>
      </c>
      <c r="H291">
        <v>4</v>
      </c>
      <c r="I291">
        <v>4</v>
      </c>
      <c r="J291">
        <v>4</v>
      </c>
    </row>
    <row r="292" spans="2:10">
      <c r="B292" s="133" t="s">
        <v>326</v>
      </c>
      <c r="C292" s="75">
        <v>0</v>
      </c>
      <c r="D292" s="75">
        <v>0</v>
      </c>
      <c r="E292" s="75">
        <v>0</v>
      </c>
      <c r="F292" s="75">
        <v>0</v>
      </c>
      <c r="G292" s="75">
        <v>0</v>
      </c>
      <c r="H292" s="75">
        <v>0</v>
      </c>
      <c r="I292" s="75">
        <v>0</v>
      </c>
      <c r="J292" s="75">
        <v>0</v>
      </c>
    </row>
    <row r="293" spans="2:10">
      <c r="B293" s="133" t="s">
        <v>325</v>
      </c>
      <c r="C293" s="75">
        <v>0</v>
      </c>
      <c r="D293" s="75">
        <v>0</v>
      </c>
      <c r="E293" s="75">
        <v>0</v>
      </c>
      <c r="F293" s="75">
        <v>0</v>
      </c>
      <c r="G293" s="75">
        <v>0</v>
      </c>
      <c r="H293" s="75">
        <v>0</v>
      </c>
      <c r="I293" s="75">
        <v>0</v>
      </c>
      <c r="J293" s="75">
        <v>0</v>
      </c>
    </row>
    <row r="294" spans="2:10">
      <c r="B294" s="133" t="s">
        <v>323</v>
      </c>
      <c r="C294">
        <v>215</v>
      </c>
      <c r="D294">
        <v>264</v>
      </c>
      <c r="E294">
        <v>279</v>
      </c>
      <c r="F294">
        <v>287</v>
      </c>
      <c r="G294">
        <v>286</v>
      </c>
      <c r="H294">
        <v>267</v>
      </c>
      <c r="I294">
        <v>227</v>
      </c>
      <c r="J294">
        <v>232</v>
      </c>
    </row>
    <row r="295" spans="2:10">
      <c r="B295" s="133" t="s">
        <v>117</v>
      </c>
      <c r="C295">
        <v>2</v>
      </c>
      <c r="D295">
        <v>3</v>
      </c>
      <c r="E295">
        <v>34</v>
      </c>
      <c r="F295">
        <v>33</v>
      </c>
      <c r="G295">
        <v>30</v>
      </c>
      <c r="H295">
        <v>26</v>
      </c>
      <c r="I295">
        <v>1</v>
      </c>
      <c r="J295">
        <v>1</v>
      </c>
    </row>
    <row r="296" spans="2:10">
      <c r="B296" s="133" t="s">
        <v>322</v>
      </c>
      <c r="C296" s="75">
        <v>0</v>
      </c>
      <c r="D296" s="75">
        <v>0</v>
      </c>
      <c r="E296" s="75">
        <v>0</v>
      </c>
      <c r="F296" s="75">
        <v>0</v>
      </c>
      <c r="G296" s="75">
        <v>0</v>
      </c>
      <c r="H296" s="75">
        <v>0</v>
      </c>
      <c r="I296" s="75">
        <v>0</v>
      </c>
      <c r="J296" s="75">
        <v>0</v>
      </c>
    </row>
    <row r="297" spans="2:10">
      <c r="B297" s="136"/>
      <c r="C297" s="75"/>
      <c r="D297" s="75"/>
      <c r="E297" s="75"/>
      <c r="F297" s="75"/>
      <c r="G297" s="75"/>
      <c r="H297" s="75"/>
      <c r="I297" s="75"/>
      <c r="J297" s="75"/>
    </row>
    <row r="298" spans="2:10">
      <c r="B298" s="407" t="s">
        <v>842</v>
      </c>
      <c r="C298" s="75"/>
      <c r="D298" s="75"/>
      <c r="E298" s="75"/>
      <c r="F298" s="75"/>
      <c r="G298" s="75"/>
      <c r="H298" s="75"/>
      <c r="I298" s="75"/>
      <c r="J298" s="75"/>
    </row>
    <row r="299" spans="2:10">
      <c r="B299" s="71" t="s">
        <v>331</v>
      </c>
      <c r="C299" s="75">
        <f>+C300+C303</f>
        <v>9</v>
      </c>
      <c r="D299" s="75">
        <f t="shared" ref="D299:J299" si="45">+D300+D303</f>
        <v>9</v>
      </c>
      <c r="E299" s="75">
        <f t="shared" si="45"/>
        <v>10</v>
      </c>
      <c r="F299" s="75">
        <f t="shared" si="45"/>
        <v>13</v>
      </c>
      <c r="G299" s="75">
        <f t="shared" si="45"/>
        <v>12</v>
      </c>
      <c r="H299" s="75">
        <f t="shared" si="45"/>
        <v>12</v>
      </c>
      <c r="I299" s="75">
        <f t="shared" si="45"/>
        <v>12</v>
      </c>
      <c r="J299" s="75">
        <f t="shared" si="45"/>
        <v>13</v>
      </c>
    </row>
    <row r="300" spans="2:10">
      <c r="B300" s="420" t="s">
        <v>330</v>
      </c>
      <c r="C300" s="75">
        <f>+C301+C302</f>
        <v>7</v>
      </c>
      <c r="D300" s="75">
        <f t="shared" ref="D300:J300" si="46">+D301+D302</f>
        <v>7</v>
      </c>
      <c r="E300" s="75">
        <f t="shared" si="46"/>
        <v>6</v>
      </c>
      <c r="F300" s="75">
        <f t="shared" si="46"/>
        <v>9</v>
      </c>
      <c r="G300" s="75">
        <f t="shared" si="46"/>
        <v>8</v>
      </c>
      <c r="H300" s="75">
        <f t="shared" si="46"/>
        <v>8</v>
      </c>
      <c r="I300" s="75">
        <f t="shared" si="46"/>
        <v>8</v>
      </c>
      <c r="J300" s="75">
        <f t="shared" si="46"/>
        <v>9</v>
      </c>
    </row>
    <row r="301" spans="2:10">
      <c r="B301" s="133" t="s">
        <v>260</v>
      </c>
      <c r="C301" s="3">
        <v>6</v>
      </c>
      <c r="D301" s="3">
        <v>6</v>
      </c>
      <c r="E301" s="3">
        <v>5</v>
      </c>
      <c r="F301" s="3">
        <v>8</v>
      </c>
      <c r="G301" s="3">
        <v>7</v>
      </c>
      <c r="H301" s="3">
        <v>7</v>
      </c>
      <c r="I301" s="3">
        <v>7</v>
      </c>
      <c r="J301" s="3">
        <v>8</v>
      </c>
    </row>
    <row r="302" spans="2:10">
      <c r="B302" s="133" t="s">
        <v>329</v>
      </c>
      <c r="C302" s="3">
        <v>1</v>
      </c>
      <c r="D302" s="3">
        <v>1</v>
      </c>
      <c r="E302" s="3">
        <v>1</v>
      </c>
      <c r="F302" s="3">
        <v>1</v>
      </c>
      <c r="G302" s="3">
        <v>1</v>
      </c>
      <c r="H302" s="3">
        <v>1</v>
      </c>
      <c r="I302" s="3">
        <v>1</v>
      </c>
      <c r="J302" s="3">
        <v>1</v>
      </c>
    </row>
    <row r="303" spans="2:10">
      <c r="B303" s="71" t="s">
        <v>328</v>
      </c>
      <c r="C303" s="3">
        <f>+SUM(C304:C308)</f>
        <v>2</v>
      </c>
      <c r="D303" s="3">
        <f t="shared" ref="D303:I303" si="47">+SUM(D304:D308)</f>
        <v>2</v>
      </c>
      <c r="E303" s="3">
        <f t="shared" si="47"/>
        <v>4</v>
      </c>
      <c r="F303" s="3">
        <f t="shared" si="47"/>
        <v>4</v>
      </c>
      <c r="G303" s="3">
        <f t="shared" si="47"/>
        <v>4</v>
      </c>
      <c r="H303" s="3">
        <f t="shared" si="47"/>
        <v>4</v>
      </c>
      <c r="I303" s="3">
        <f t="shared" si="47"/>
        <v>4</v>
      </c>
      <c r="J303" s="3">
        <f>+SUM(J304:J308)</f>
        <v>4</v>
      </c>
    </row>
    <row r="304" spans="2:10">
      <c r="B304" s="133" t="s">
        <v>327</v>
      </c>
      <c r="C304" s="3">
        <v>1</v>
      </c>
      <c r="D304" s="3">
        <v>1</v>
      </c>
      <c r="E304" s="3">
        <v>1</v>
      </c>
      <c r="F304" s="3">
        <v>1</v>
      </c>
      <c r="G304" s="3">
        <v>1</v>
      </c>
      <c r="H304" s="3">
        <v>1</v>
      </c>
      <c r="I304" s="3">
        <v>1</v>
      </c>
      <c r="J304" s="3">
        <v>1</v>
      </c>
    </row>
    <row r="305" spans="2:10">
      <c r="B305" s="133" t="s">
        <v>326</v>
      </c>
      <c r="C305" s="75">
        <v>0</v>
      </c>
      <c r="D305" s="75">
        <v>0</v>
      </c>
      <c r="E305" s="75">
        <v>0</v>
      </c>
      <c r="F305" s="75">
        <v>0</v>
      </c>
      <c r="G305" s="75">
        <v>0</v>
      </c>
      <c r="H305" s="75">
        <v>0</v>
      </c>
      <c r="I305" s="75">
        <v>0</v>
      </c>
      <c r="J305" s="75">
        <v>0</v>
      </c>
    </row>
    <row r="306" spans="2:10">
      <c r="B306" s="133" t="s">
        <v>325</v>
      </c>
      <c r="C306" s="75">
        <v>0</v>
      </c>
      <c r="D306" s="75">
        <v>0</v>
      </c>
      <c r="E306" s="75">
        <v>0</v>
      </c>
      <c r="F306" s="75">
        <v>0</v>
      </c>
      <c r="G306" s="75">
        <v>0</v>
      </c>
      <c r="H306" s="75">
        <v>0</v>
      </c>
      <c r="I306" s="75">
        <v>0</v>
      </c>
      <c r="J306" s="75">
        <v>0</v>
      </c>
    </row>
    <row r="307" spans="2:10">
      <c r="B307" s="133" t="s">
        <v>323</v>
      </c>
      <c r="C307" s="75">
        <v>0</v>
      </c>
      <c r="D307" s="75">
        <v>0</v>
      </c>
      <c r="E307">
        <v>2</v>
      </c>
      <c r="F307">
        <v>2</v>
      </c>
      <c r="G307">
        <v>2</v>
      </c>
      <c r="H307">
        <v>2</v>
      </c>
      <c r="I307">
        <v>2</v>
      </c>
      <c r="J307">
        <v>2</v>
      </c>
    </row>
    <row r="308" spans="2:10">
      <c r="B308" s="133" t="s">
        <v>117</v>
      </c>
      <c r="C308">
        <v>1</v>
      </c>
      <c r="D308">
        <v>1</v>
      </c>
      <c r="E308">
        <v>1</v>
      </c>
      <c r="F308">
        <v>1</v>
      </c>
      <c r="G308">
        <v>1</v>
      </c>
      <c r="H308">
        <v>1</v>
      </c>
      <c r="I308">
        <v>1</v>
      </c>
      <c r="J308">
        <v>1</v>
      </c>
    </row>
    <row r="309" spans="2:10" ht="14.5" customHeight="1">
      <c r="B309" s="133" t="s">
        <v>322</v>
      </c>
      <c r="C309" s="75">
        <v>0</v>
      </c>
      <c r="D309" s="75">
        <v>0</v>
      </c>
      <c r="E309" s="75">
        <v>0</v>
      </c>
      <c r="F309" s="75">
        <v>0</v>
      </c>
      <c r="G309" s="75">
        <v>0</v>
      </c>
      <c r="H309" s="75">
        <v>0</v>
      </c>
      <c r="I309" s="75">
        <v>0</v>
      </c>
      <c r="J309" s="75">
        <v>0</v>
      </c>
    </row>
    <row r="310" spans="2:10">
      <c r="B310" s="136"/>
      <c r="C310" s="75"/>
      <c r="D310" s="75"/>
      <c r="E310" s="75"/>
      <c r="F310" s="75"/>
      <c r="G310" s="75"/>
      <c r="H310" s="75"/>
      <c r="I310" s="75"/>
      <c r="J310" s="75"/>
    </row>
    <row r="311" spans="2:10">
      <c r="B311" s="1891" t="s">
        <v>843</v>
      </c>
      <c r="C311" s="75"/>
      <c r="D311" s="75"/>
      <c r="E311" s="75"/>
      <c r="F311" s="75"/>
      <c r="G311" s="75"/>
      <c r="H311" s="75"/>
      <c r="I311" s="75"/>
      <c r="J311" s="75"/>
    </row>
    <row r="312" spans="2:10">
      <c r="B312" s="71" t="s">
        <v>331</v>
      </c>
      <c r="C312" s="75">
        <f>+C313+C316</f>
        <v>31</v>
      </c>
      <c r="D312" s="75">
        <f t="shared" ref="D312:J312" si="48">+D313+D316</f>
        <v>33</v>
      </c>
      <c r="E312" s="75">
        <f t="shared" si="48"/>
        <v>88</v>
      </c>
      <c r="F312" s="75">
        <f t="shared" si="48"/>
        <v>94</v>
      </c>
      <c r="G312" s="75">
        <f t="shared" si="48"/>
        <v>94</v>
      </c>
      <c r="H312" s="75">
        <f t="shared" si="48"/>
        <v>100</v>
      </c>
      <c r="I312" s="75">
        <f t="shared" si="48"/>
        <v>98</v>
      </c>
      <c r="J312" s="75">
        <f t="shared" si="48"/>
        <v>116</v>
      </c>
    </row>
    <row r="313" spans="2:10">
      <c r="B313" s="420" t="s">
        <v>330</v>
      </c>
      <c r="C313" s="75">
        <f>+C314+C315</f>
        <v>19</v>
      </c>
      <c r="D313" s="75">
        <f t="shared" ref="D313:J313" si="49">+D314+D315</f>
        <v>18</v>
      </c>
      <c r="E313" s="75">
        <f t="shared" si="49"/>
        <v>18</v>
      </c>
      <c r="F313" s="75">
        <f t="shared" si="49"/>
        <v>18</v>
      </c>
      <c r="G313" s="75">
        <f t="shared" si="49"/>
        <v>19</v>
      </c>
      <c r="H313" s="75">
        <f t="shared" si="49"/>
        <v>21</v>
      </c>
      <c r="I313" s="75">
        <f t="shared" si="49"/>
        <v>21</v>
      </c>
      <c r="J313" s="75">
        <f t="shared" si="49"/>
        <v>24</v>
      </c>
    </row>
    <row r="314" spans="2:10">
      <c r="B314" s="133" t="s">
        <v>260</v>
      </c>
      <c r="C314" s="75">
        <v>18</v>
      </c>
      <c r="D314" s="75">
        <v>17</v>
      </c>
      <c r="E314" s="75">
        <v>17</v>
      </c>
      <c r="F314" s="75">
        <v>17</v>
      </c>
      <c r="G314" s="75">
        <v>18</v>
      </c>
      <c r="H314" s="75">
        <v>20</v>
      </c>
      <c r="I314" s="75">
        <v>20</v>
      </c>
      <c r="J314" s="75">
        <v>23</v>
      </c>
    </row>
    <row r="315" spans="2:10">
      <c r="B315" s="133" t="s">
        <v>329</v>
      </c>
      <c r="C315" s="75">
        <v>1</v>
      </c>
      <c r="D315" s="75">
        <v>1</v>
      </c>
      <c r="E315" s="75">
        <v>1</v>
      </c>
      <c r="F315" s="75">
        <v>1</v>
      </c>
      <c r="G315" s="75">
        <v>1</v>
      </c>
      <c r="H315" s="75">
        <v>1</v>
      </c>
      <c r="I315" s="75">
        <v>1</v>
      </c>
      <c r="J315" s="75">
        <v>1</v>
      </c>
    </row>
    <row r="316" spans="2:10">
      <c r="B316" s="71" t="s">
        <v>328</v>
      </c>
      <c r="C316" s="75">
        <f>+SUM(C317:C321)</f>
        <v>12</v>
      </c>
      <c r="D316" s="75">
        <f t="shared" ref="D316:J316" si="50">+SUM(D317:D321)</f>
        <v>15</v>
      </c>
      <c r="E316" s="75">
        <f t="shared" si="50"/>
        <v>70</v>
      </c>
      <c r="F316" s="75">
        <f t="shared" si="50"/>
        <v>76</v>
      </c>
      <c r="G316" s="75">
        <f t="shared" si="50"/>
        <v>75</v>
      </c>
      <c r="H316" s="75">
        <f t="shared" si="50"/>
        <v>79</v>
      </c>
      <c r="I316" s="75">
        <f t="shared" si="50"/>
        <v>77</v>
      </c>
      <c r="J316" s="75">
        <f t="shared" si="50"/>
        <v>92</v>
      </c>
    </row>
    <row r="317" spans="2:10">
      <c r="B317" s="133" t="s">
        <v>327</v>
      </c>
      <c r="C317">
        <v>1</v>
      </c>
      <c r="H317">
        <v>1</v>
      </c>
      <c r="I317">
        <v>1</v>
      </c>
      <c r="J317">
        <v>1</v>
      </c>
    </row>
    <row r="318" spans="2:10">
      <c r="B318" s="133" t="s">
        <v>326</v>
      </c>
      <c r="C318" s="75">
        <v>0</v>
      </c>
      <c r="D318" s="75">
        <v>0</v>
      </c>
      <c r="E318" s="75">
        <v>0</v>
      </c>
      <c r="F318" s="75">
        <v>0</v>
      </c>
      <c r="G318" s="75">
        <v>0</v>
      </c>
      <c r="H318" s="75">
        <v>0</v>
      </c>
      <c r="I318" s="75">
        <v>0</v>
      </c>
      <c r="J318" s="75">
        <v>0</v>
      </c>
    </row>
    <row r="319" spans="2:10">
      <c r="B319" s="133" t="s">
        <v>325</v>
      </c>
      <c r="C319" s="75">
        <v>0</v>
      </c>
      <c r="D319" s="75">
        <v>0</v>
      </c>
      <c r="E319" s="75">
        <v>0</v>
      </c>
      <c r="F319" s="75">
        <v>0</v>
      </c>
      <c r="G319" s="75">
        <v>0</v>
      </c>
      <c r="H319" s="75">
        <v>0</v>
      </c>
      <c r="I319" s="75">
        <v>0</v>
      </c>
      <c r="J319" s="75">
        <v>0</v>
      </c>
    </row>
    <row r="320" spans="2:10">
      <c r="B320" s="133" t="s">
        <v>323</v>
      </c>
      <c r="C320" s="75">
        <v>8</v>
      </c>
      <c r="D320" s="75">
        <v>13</v>
      </c>
      <c r="E320" s="75">
        <v>69</v>
      </c>
      <c r="F320" s="75">
        <v>75</v>
      </c>
      <c r="G320" s="75">
        <v>75</v>
      </c>
      <c r="H320" s="75">
        <v>77</v>
      </c>
      <c r="I320" s="75">
        <v>75</v>
      </c>
      <c r="J320" s="75">
        <v>90</v>
      </c>
    </row>
    <row r="321" spans="2:10">
      <c r="B321" s="133" t="s">
        <v>117</v>
      </c>
      <c r="C321">
        <v>3</v>
      </c>
      <c r="D321">
        <v>2</v>
      </c>
      <c r="E321">
        <v>1</v>
      </c>
      <c r="F321">
        <v>1</v>
      </c>
      <c r="H321">
        <v>1</v>
      </c>
      <c r="I321">
        <v>1</v>
      </c>
      <c r="J321">
        <v>1</v>
      </c>
    </row>
    <row r="322" spans="2:10">
      <c r="B322" s="133" t="s">
        <v>322</v>
      </c>
      <c r="C322" s="75">
        <v>0</v>
      </c>
      <c r="D322" s="75">
        <v>0</v>
      </c>
      <c r="E322" s="75">
        <v>0</v>
      </c>
      <c r="F322" s="75">
        <v>0</v>
      </c>
      <c r="G322" s="75">
        <v>0</v>
      </c>
      <c r="H322" s="75">
        <v>0</v>
      </c>
      <c r="I322" s="75">
        <v>0</v>
      </c>
      <c r="J322" s="75">
        <v>0</v>
      </c>
    </row>
    <row r="323" spans="2:10">
      <c r="B323" s="64"/>
      <c r="C323" s="64"/>
      <c r="D323" s="64"/>
      <c r="E323" s="64"/>
      <c r="F323" s="64"/>
      <c r="G323" s="64"/>
      <c r="H323" s="64"/>
      <c r="I323" s="64"/>
      <c r="J323" s="223"/>
    </row>
    <row r="324" spans="2:10">
      <c r="B324" s="114"/>
      <c r="C324" s="453"/>
      <c r="D324" s="453"/>
      <c r="E324" s="453"/>
      <c r="F324" s="453"/>
      <c r="G324" s="453"/>
      <c r="H324" s="453"/>
      <c r="I324" s="453"/>
      <c r="J324" s="453"/>
    </row>
    <row r="325" spans="2:10">
      <c r="B325" s="211" t="s">
        <v>844</v>
      </c>
      <c r="C325" s="453"/>
      <c r="D325" s="453"/>
      <c r="E325" s="453"/>
      <c r="F325" s="453"/>
      <c r="G325" s="453"/>
      <c r="H325" s="453"/>
      <c r="I325" s="453"/>
      <c r="J325" s="453"/>
    </row>
    <row r="326" spans="2:10">
      <c r="B326" s="71" t="s">
        <v>331</v>
      </c>
      <c r="C326" s="385">
        <f>+C327+C330</f>
        <v>38</v>
      </c>
      <c r="D326" s="385">
        <f t="shared" ref="D326:J326" si="51">+D327+D330</f>
        <v>35</v>
      </c>
      <c r="E326" s="385">
        <f t="shared" si="51"/>
        <v>35</v>
      </c>
      <c r="F326" s="385">
        <f t="shared" si="51"/>
        <v>38</v>
      </c>
      <c r="G326" s="385">
        <f t="shared" si="51"/>
        <v>37</v>
      </c>
      <c r="H326" s="385">
        <f t="shared" si="51"/>
        <v>38</v>
      </c>
      <c r="I326" s="385">
        <f t="shared" si="51"/>
        <v>38</v>
      </c>
      <c r="J326" s="385">
        <f t="shared" si="51"/>
        <v>38</v>
      </c>
    </row>
    <row r="327" spans="2:10">
      <c r="B327" s="420" t="s">
        <v>330</v>
      </c>
      <c r="C327" s="385">
        <f>+C328+C329</f>
        <v>24</v>
      </c>
      <c r="D327" s="385">
        <f t="shared" ref="D327:J327" si="52">+D328+D329</f>
        <v>22</v>
      </c>
      <c r="E327" s="385">
        <f t="shared" si="52"/>
        <v>21</v>
      </c>
      <c r="F327" s="385">
        <f t="shared" si="52"/>
        <v>22</v>
      </c>
      <c r="G327" s="385">
        <f t="shared" si="52"/>
        <v>22</v>
      </c>
      <c r="H327" s="385">
        <f t="shared" si="52"/>
        <v>22</v>
      </c>
      <c r="I327" s="385">
        <f t="shared" si="52"/>
        <v>22</v>
      </c>
      <c r="J327" s="385">
        <f t="shared" si="52"/>
        <v>22</v>
      </c>
    </row>
    <row r="328" spans="2:10">
      <c r="B328" s="133" t="s">
        <v>260</v>
      </c>
      <c r="C328" s="454">
        <v>23</v>
      </c>
      <c r="D328" s="454">
        <v>21</v>
      </c>
      <c r="E328" s="454">
        <v>20</v>
      </c>
      <c r="F328" s="454">
        <v>21</v>
      </c>
      <c r="G328" s="454">
        <v>21</v>
      </c>
      <c r="H328" s="454">
        <v>21</v>
      </c>
      <c r="I328" s="454">
        <v>21</v>
      </c>
      <c r="J328" s="454">
        <v>21</v>
      </c>
    </row>
    <row r="329" spans="2:10">
      <c r="B329" s="133" t="s">
        <v>329</v>
      </c>
      <c r="C329" s="385">
        <v>1</v>
      </c>
      <c r="D329" s="385">
        <v>1</v>
      </c>
      <c r="E329" s="385">
        <v>1</v>
      </c>
      <c r="F329" s="385">
        <v>1</v>
      </c>
      <c r="G329" s="385">
        <v>1</v>
      </c>
      <c r="H329" s="385">
        <v>1</v>
      </c>
      <c r="I329" s="385">
        <v>1</v>
      </c>
      <c r="J329" s="385">
        <v>1</v>
      </c>
    </row>
    <row r="330" spans="2:10">
      <c r="B330" s="71" t="s">
        <v>328</v>
      </c>
      <c r="C330" s="223">
        <f>+SUM(C331:C335)</f>
        <v>14</v>
      </c>
      <c r="D330" s="223">
        <f t="shared" ref="D330:J330" si="53">+SUM(D331:D335)</f>
        <v>13</v>
      </c>
      <c r="E330" s="223">
        <f t="shared" si="53"/>
        <v>14</v>
      </c>
      <c r="F330" s="223">
        <f t="shared" si="53"/>
        <v>16</v>
      </c>
      <c r="G330" s="223">
        <f t="shared" si="53"/>
        <v>15</v>
      </c>
      <c r="H330" s="223">
        <f t="shared" si="53"/>
        <v>16</v>
      </c>
      <c r="I330" s="223">
        <f t="shared" si="53"/>
        <v>16</v>
      </c>
      <c r="J330" s="223">
        <f t="shared" si="53"/>
        <v>16</v>
      </c>
    </row>
    <row r="331" spans="2:10">
      <c r="B331" s="133" t="s">
        <v>327</v>
      </c>
      <c r="C331" s="454">
        <v>1</v>
      </c>
      <c r="D331" s="454">
        <v>1</v>
      </c>
      <c r="E331" s="454">
        <v>2</v>
      </c>
      <c r="F331" s="454">
        <v>1</v>
      </c>
      <c r="G331" s="454">
        <v>1</v>
      </c>
      <c r="H331" s="454">
        <v>1</v>
      </c>
      <c r="I331" s="454">
        <v>1</v>
      </c>
      <c r="J331" s="454">
        <v>1</v>
      </c>
    </row>
    <row r="332" spans="2:10">
      <c r="B332" s="133" t="s">
        <v>326</v>
      </c>
      <c r="C332" s="453">
        <v>0</v>
      </c>
      <c r="D332" s="453">
        <v>0</v>
      </c>
      <c r="E332" s="453">
        <v>0</v>
      </c>
      <c r="F332" s="453">
        <v>0</v>
      </c>
      <c r="G332" s="453">
        <v>0</v>
      </c>
      <c r="H332" s="453">
        <v>0</v>
      </c>
      <c r="I332" s="453">
        <v>0</v>
      </c>
      <c r="J332" s="453">
        <v>0</v>
      </c>
    </row>
    <row r="333" spans="2:10">
      <c r="B333" s="133" t="s">
        <v>325</v>
      </c>
      <c r="C333" s="453">
        <v>0</v>
      </c>
      <c r="D333" s="453">
        <v>0</v>
      </c>
      <c r="E333" s="453">
        <v>0</v>
      </c>
      <c r="F333" s="453">
        <v>0</v>
      </c>
      <c r="G333" s="453">
        <v>0</v>
      </c>
      <c r="H333" s="453">
        <v>0</v>
      </c>
      <c r="I333" s="453">
        <v>0</v>
      </c>
      <c r="J333" s="453">
        <v>0</v>
      </c>
    </row>
    <row r="334" spans="2:10">
      <c r="B334" s="133" t="s">
        <v>845</v>
      </c>
      <c r="C334" s="454">
        <v>12</v>
      </c>
      <c r="D334" s="454">
        <v>11</v>
      </c>
      <c r="E334" s="454">
        <v>11</v>
      </c>
      <c r="F334" s="454">
        <v>14</v>
      </c>
      <c r="G334" s="454">
        <v>13</v>
      </c>
      <c r="H334" s="454">
        <v>14</v>
      </c>
      <c r="I334" s="454">
        <v>14</v>
      </c>
      <c r="J334" s="454">
        <v>14</v>
      </c>
    </row>
    <row r="335" spans="2:10">
      <c r="B335" s="133" t="s">
        <v>117</v>
      </c>
      <c r="C335" s="454">
        <v>1</v>
      </c>
      <c r="D335" s="454">
        <v>1</v>
      </c>
      <c r="E335" s="454">
        <v>1</v>
      </c>
      <c r="F335" s="454">
        <v>1</v>
      </c>
      <c r="G335" s="454">
        <v>1</v>
      </c>
      <c r="H335" s="454">
        <v>1</v>
      </c>
      <c r="I335" s="454">
        <v>1</v>
      </c>
      <c r="J335" s="454">
        <v>1</v>
      </c>
    </row>
    <row r="336" spans="2:10" ht="14.25" customHeight="1">
      <c r="B336" s="133" t="s">
        <v>322</v>
      </c>
      <c r="C336" s="455">
        <v>0</v>
      </c>
      <c r="D336" s="455">
        <v>0</v>
      </c>
      <c r="E336" s="455">
        <v>0</v>
      </c>
      <c r="F336" s="455">
        <v>0</v>
      </c>
      <c r="G336" s="455">
        <v>0</v>
      </c>
      <c r="H336" s="455">
        <v>0</v>
      </c>
      <c r="I336" s="455">
        <v>0</v>
      </c>
      <c r="J336" s="455">
        <v>0</v>
      </c>
    </row>
    <row r="337" spans="2:11" ht="14.25" customHeight="1">
      <c r="B337" s="133"/>
      <c r="C337" s="455"/>
      <c r="D337" s="455"/>
      <c r="E337" s="455"/>
      <c r="F337" s="455"/>
      <c r="G337" s="455"/>
      <c r="H337" s="455"/>
      <c r="I337" s="455"/>
      <c r="J337" s="455"/>
    </row>
    <row r="338" spans="2:11" ht="15">
      <c r="B338" s="114" t="s">
        <v>846</v>
      </c>
      <c r="C338" s="455"/>
      <c r="D338" s="455"/>
      <c r="E338" s="455"/>
      <c r="F338" s="455"/>
      <c r="G338" s="455"/>
      <c r="H338" s="455"/>
      <c r="I338" s="455"/>
      <c r="J338" s="455"/>
    </row>
    <row r="339" spans="2:11" ht="15" thickBot="1">
      <c r="B339" s="141"/>
      <c r="C339" s="456"/>
      <c r="D339" s="456"/>
      <c r="E339" s="456"/>
      <c r="F339" s="456"/>
      <c r="G339" s="456"/>
      <c r="H339" s="456"/>
      <c r="I339" s="456"/>
      <c r="J339" s="456"/>
    </row>
    <row r="340" spans="2:11" s="457" customFormat="1" ht="28.5" customHeight="1" thickTop="1">
      <c r="B340" s="2101" t="s">
        <v>847</v>
      </c>
      <c r="C340" s="2101"/>
      <c r="D340" s="2101"/>
      <c r="E340" s="2101"/>
      <c r="F340" s="2101"/>
      <c r="G340" s="2101"/>
      <c r="H340" s="2101"/>
      <c r="I340" s="2101"/>
      <c r="J340" s="2101"/>
    </row>
    <row r="341" spans="2:11">
      <c r="B341" s="131"/>
      <c r="C341" s="222"/>
      <c r="D341" s="222"/>
      <c r="E341" s="222"/>
      <c r="F341" s="222"/>
      <c r="G341" s="222"/>
      <c r="H341" s="222"/>
      <c r="I341" s="222"/>
      <c r="J341" s="222"/>
    </row>
    <row r="342" spans="2:11">
      <c r="B342" s="2100" t="s">
        <v>320</v>
      </c>
      <c r="C342" s="2100"/>
      <c r="D342" s="2100"/>
      <c r="E342" s="2100"/>
      <c r="F342" s="2100"/>
      <c r="G342" s="2100"/>
      <c r="H342" s="2100"/>
      <c r="I342" s="2100"/>
      <c r="J342" s="2100"/>
      <c r="K342" s="2100"/>
    </row>
    <row r="343" spans="2:11">
      <c r="B343" s="2102" t="s">
        <v>319</v>
      </c>
      <c r="C343" s="2102"/>
      <c r="D343" s="2102"/>
      <c r="E343" s="2102"/>
      <c r="F343" s="2102"/>
      <c r="G343" s="2102"/>
      <c r="H343" s="2102"/>
      <c r="I343" s="2102"/>
      <c r="J343" s="2102"/>
      <c r="K343" s="2102"/>
    </row>
    <row r="344" spans="2:11">
      <c r="B344" s="62" t="s">
        <v>242</v>
      </c>
      <c r="C344" s="302"/>
      <c r="D344" s="302"/>
      <c r="E344" s="302"/>
      <c r="F344" s="302"/>
      <c r="G344" s="302"/>
      <c r="H344" s="302"/>
      <c r="I344" s="302"/>
      <c r="J344" s="302"/>
      <c r="K344" s="302"/>
    </row>
    <row r="345" spans="2:11">
      <c r="B345" s="64"/>
      <c r="C345" s="302"/>
      <c r="D345" s="302"/>
      <c r="E345" s="302"/>
      <c r="F345" s="302"/>
      <c r="G345" s="302"/>
      <c r="H345" s="302"/>
      <c r="I345" s="302"/>
      <c r="J345" s="302"/>
      <c r="K345" s="302"/>
    </row>
    <row r="346" spans="2:11">
      <c r="B346" s="61"/>
      <c r="C346" s="303">
        <v>2014</v>
      </c>
      <c r="D346" s="303">
        <v>2015</v>
      </c>
      <c r="E346" s="303">
        <v>2016</v>
      </c>
      <c r="F346" s="303">
        <v>2017</v>
      </c>
      <c r="G346" s="303">
        <v>2018</v>
      </c>
      <c r="H346" s="303">
        <v>2019</v>
      </c>
      <c r="I346" s="303">
        <v>2020</v>
      </c>
      <c r="J346" s="303">
        <v>2021</v>
      </c>
      <c r="K346" s="217"/>
    </row>
    <row r="347" spans="2:11" ht="15">
      <c r="B347" s="114" t="s">
        <v>848</v>
      </c>
      <c r="C347" s="458"/>
      <c r="D347" s="232"/>
      <c r="E347" s="232"/>
      <c r="F347" s="232"/>
      <c r="G347" s="232"/>
      <c r="H347" s="232"/>
      <c r="I347" s="232"/>
      <c r="J347" s="232"/>
      <c r="K347" s="459"/>
    </row>
    <row r="348" spans="2:11">
      <c r="B348" s="114"/>
      <c r="C348" s="460"/>
      <c r="D348" s="460"/>
      <c r="E348" s="460"/>
      <c r="F348" s="460"/>
      <c r="G348" s="460"/>
      <c r="H348" s="460"/>
      <c r="I348" s="460"/>
      <c r="J348" s="460"/>
      <c r="K348" s="461"/>
    </row>
    <row r="349" spans="2:11">
      <c r="B349" s="59" t="s">
        <v>849</v>
      </c>
      <c r="C349" s="451"/>
      <c r="D349" s="451"/>
      <c r="E349" s="451"/>
      <c r="F349" s="451"/>
      <c r="G349" s="451"/>
      <c r="H349" s="451"/>
      <c r="I349" s="451"/>
      <c r="J349" s="462"/>
      <c r="K349" s="463"/>
    </row>
    <row r="350" spans="2:11">
      <c r="B350" s="71" t="s">
        <v>297</v>
      </c>
      <c r="C350" s="220">
        <f t="shared" ref="C350:J350" si="54">SUM(C351:C353)</f>
        <v>46.913004000000001</v>
      </c>
      <c r="D350" s="220">
        <f t="shared" si="54"/>
        <v>50.759461999999999</v>
      </c>
      <c r="E350" s="220">
        <f t="shared" si="54"/>
        <v>56.510404000000001</v>
      </c>
      <c r="F350" s="220">
        <f t="shared" si="54"/>
        <v>61.867663999999998</v>
      </c>
      <c r="G350" s="220">
        <f t="shared" si="54"/>
        <v>68.910497000000007</v>
      </c>
      <c r="H350" s="220">
        <f t="shared" si="54"/>
        <v>75.324727999999993</v>
      </c>
      <c r="I350" s="220">
        <f t="shared" si="54"/>
        <v>81.576898999999997</v>
      </c>
      <c r="J350" s="220">
        <f t="shared" si="54"/>
        <v>100.90592100000001</v>
      </c>
      <c r="K350" s="464"/>
    </row>
    <row r="351" spans="2:11">
      <c r="B351" s="133" t="s">
        <v>296</v>
      </c>
      <c r="C351" s="220">
        <f>46913004/1000000</f>
        <v>46.913004000000001</v>
      </c>
      <c r="D351" s="220">
        <f>50759462/1000000</f>
        <v>50.759461999999999</v>
      </c>
      <c r="E351" s="220">
        <f>56510404/1000000</f>
        <v>56.510404000000001</v>
      </c>
      <c r="F351" s="220">
        <f>61867664/1000000</f>
        <v>61.867663999999998</v>
      </c>
      <c r="G351" s="220">
        <f>68910497/1000000</f>
        <v>68.910497000000007</v>
      </c>
      <c r="H351" s="220">
        <f>75324728/1000000</f>
        <v>75.324727999999993</v>
      </c>
      <c r="I351" s="220">
        <f>81576899/1000000</f>
        <v>81.576898999999997</v>
      </c>
      <c r="J351" s="220">
        <v>100.90592100000001</v>
      </c>
    </row>
    <row r="352" spans="2:11">
      <c r="B352" s="132" t="s">
        <v>295</v>
      </c>
      <c r="C352" s="220">
        <v>0</v>
      </c>
      <c r="D352" s="220">
        <v>0</v>
      </c>
      <c r="E352" s="220">
        <v>0</v>
      </c>
      <c r="F352" s="220">
        <v>0</v>
      </c>
      <c r="G352" s="220">
        <v>0</v>
      </c>
      <c r="H352" s="220">
        <v>0</v>
      </c>
      <c r="I352" s="220">
        <v>0</v>
      </c>
      <c r="J352" s="220">
        <v>0</v>
      </c>
    </row>
    <row r="353" spans="2:10">
      <c r="B353" s="132" t="s">
        <v>303</v>
      </c>
      <c r="C353" s="220">
        <v>0</v>
      </c>
      <c r="D353" s="220">
        <v>0</v>
      </c>
      <c r="E353" s="220">
        <v>0</v>
      </c>
      <c r="F353" s="220">
        <v>0</v>
      </c>
      <c r="G353" s="220">
        <v>0</v>
      </c>
      <c r="H353" s="220">
        <v>0</v>
      </c>
      <c r="I353" s="220">
        <v>0</v>
      </c>
      <c r="J353" s="220">
        <v>0</v>
      </c>
    </row>
    <row r="354" spans="2:10">
      <c r="B354" s="65" t="s">
        <v>287</v>
      </c>
      <c r="C354" s="220">
        <v>0</v>
      </c>
      <c r="D354" s="220">
        <v>0</v>
      </c>
      <c r="E354" s="220">
        <v>0</v>
      </c>
      <c r="F354" s="220">
        <v>0</v>
      </c>
      <c r="G354" s="220">
        <v>0</v>
      </c>
      <c r="H354" s="220">
        <v>0</v>
      </c>
      <c r="I354" s="220"/>
      <c r="J354" s="220">
        <v>0</v>
      </c>
    </row>
    <row r="355" spans="2:10">
      <c r="B355" s="64"/>
      <c r="C355" s="121"/>
      <c r="D355" s="121"/>
      <c r="E355" s="121"/>
      <c r="F355" s="121"/>
      <c r="G355" s="121"/>
      <c r="H355" s="121"/>
      <c r="I355" s="121"/>
      <c r="J355" s="121"/>
    </row>
    <row r="356" spans="2:10">
      <c r="B356" s="12" t="s">
        <v>850</v>
      </c>
      <c r="C356" s="465"/>
      <c r="D356" s="465"/>
      <c r="E356" s="465"/>
      <c r="F356" s="465"/>
      <c r="G356" s="465"/>
      <c r="H356" s="465"/>
      <c r="I356" s="465"/>
      <c r="J356" s="121"/>
    </row>
    <row r="357" spans="2:10">
      <c r="B357" s="71" t="s">
        <v>297</v>
      </c>
      <c r="C357" s="220">
        <f>SUM(C358:C360)</f>
        <v>6.4585910000000002</v>
      </c>
      <c r="D357" s="220">
        <f>SUM(D358:D360)</f>
        <v>7.5949799999999996</v>
      </c>
      <c r="E357" s="220">
        <f t="shared" ref="E357:J357" si="55">SUM(E358:E360)</f>
        <v>8.0662400000000005</v>
      </c>
      <c r="F357" s="220">
        <f t="shared" si="55"/>
        <v>8.2663569999999993</v>
      </c>
      <c r="G357" s="220">
        <f t="shared" si="55"/>
        <v>8.6576140000000006</v>
      </c>
      <c r="H357" s="220">
        <f t="shared" si="55"/>
        <v>9.4461589999999998</v>
      </c>
      <c r="I357" s="220">
        <f t="shared" si="55"/>
        <v>9.2109719999999999</v>
      </c>
      <c r="J357" s="220">
        <f t="shared" si="55"/>
        <v>9.95716</v>
      </c>
    </row>
    <row r="358" spans="2:10">
      <c r="B358" s="133" t="s">
        <v>296</v>
      </c>
      <c r="C358" s="220">
        <f>6458591/1000000</f>
        <v>6.4585910000000002</v>
      </c>
      <c r="D358" s="220">
        <f>7594980/1000000</f>
        <v>7.5949799999999996</v>
      </c>
      <c r="E358" s="220">
        <f>8066240/1000000</f>
        <v>8.0662400000000005</v>
      </c>
      <c r="F358" s="220">
        <f>8266357/1000000</f>
        <v>8.2663569999999993</v>
      </c>
      <c r="G358" s="220">
        <f>8657614/1000000</f>
        <v>8.6576140000000006</v>
      </c>
      <c r="H358" s="220">
        <f>9446159/1000000</f>
        <v>9.4461589999999998</v>
      </c>
      <c r="I358" s="220">
        <f>9210972/1000000</f>
        <v>9.2109719999999999</v>
      </c>
      <c r="J358" s="220">
        <v>9.95716</v>
      </c>
    </row>
    <row r="359" spans="2:10">
      <c r="B359" s="132" t="s">
        <v>295</v>
      </c>
      <c r="C359" s="220">
        <v>0</v>
      </c>
      <c r="D359" s="220">
        <v>0</v>
      </c>
      <c r="E359" s="220">
        <v>0</v>
      </c>
      <c r="F359" s="220">
        <v>0</v>
      </c>
      <c r="G359" s="220">
        <v>0</v>
      </c>
      <c r="H359" s="220">
        <v>0</v>
      </c>
      <c r="I359" s="220">
        <v>0</v>
      </c>
      <c r="J359" s="220">
        <v>0</v>
      </c>
    </row>
    <row r="360" spans="2:10">
      <c r="B360" s="132" t="s">
        <v>303</v>
      </c>
      <c r="C360" s="220">
        <v>0</v>
      </c>
      <c r="D360" s="220">
        <v>0</v>
      </c>
      <c r="E360" s="220">
        <v>0</v>
      </c>
      <c r="F360" s="220">
        <v>0</v>
      </c>
      <c r="G360" s="220">
        <v>0</v>
      </c>
      <c r="H360" s="220">
        <v>0</v>
      </c>
      <c r="I360" s="220">
        <v>0</v>
      </c>
      <c r="J360" s="220">
        <v>0</v>
      </c>
    </row>
    <row r="361" spans="2:10">
      <c r="B361" s="65" t="s">
        <v>287</v>
      </c>
      <c r="C361" s="220">
        <v>0</v>
      </c>
      <c r="D361" s="220">
        <v>0</v>
      </c>
      <c r="E361" s="220">
        <v>0</v>
      </c>
      <c r="F361" s="220">
        <v>0</v>
      </c>
      <c r="G361" s="220">
        <v>0</v>
      </c>
      <c r="H361" s="220">
        <v>0</v>
      </c>
      <c r="I361" s="220">
        <v>0</v>
      </c>
      <c r="J361" s="220">
        <v>0</v>
      </c>
    </row>
    <row r="362" spans="2:10">
      <c r="B362" s="211"/>
      <c r="C362" s="453"/>
      <c r="D362" s="453"/>
      <c r="E362" s="453"/>
      <c r="F362" s="453"/>
      <c r="G362" s="453"/>
      <c r="H362" s="453"/>
      <c r="I362" s="453"/>
      <c r="J362" s="453"/>
    </row>
    <row r="363" spans="2:10">
      <c r="B363" s="1879" t="s">
        <v>851</v>
      </c>
      <c r="C363" s="467"/>
      <c r="D363" s="467"/>
      <c r="E363" s="467"/>
      <c r="F363" s="467"/>
      <c r="G363" s="467"/>
      <c r="H363" s="467"/>
      <c r="I363" s="467"/>
      <c r="J363" s="467"/>
    </row>
    <row r="364" spans="2:10">
      <c r="B364" s="71" t="s">
        <v>297</v>
      </c>
      <c r="C364" s="467">
        <f>SUM(C365:C367)</f>
        <v>0.94166000000000005</v>
      </c>
      <c r="D364" s="467">
        <f t="shared" ref="D364:J364" si="56">SUM(D365:D367)</f>
        <v>0.80433600000000005</v>
      </c>
      <c r="E364" s="467">
        <f t="shared" si="56"/>
        <v>0.71692</v>
      </c>
      <c r="F364" s="467">
        <f t="shared" si="56"/>
        <v>0.86178200000000005</v>
      </c>
      <c r="G364" s="467">
        <f t="shared" si="56"/>
        <v>0.89222900000000005</v>
      </c>
      <c r="H364" s="467">
        <f t="shared" si="56"/>
        <v>0.86148100000000005</v>
      </c>
      <c r="I364" s="467">
        <f t="shared" si="56"/>
        <v>0.86570400000000003</v>
      </c>
      <c r="J364" s="467">
        <f t="shared" si="56"/>
        <v>0.87597499999999995</v>
      </c>
    </row>
    <row r="365" spans="2:10">
      <c r="B365" s="133" t="s">
        <v>296</v>
      </c>
      <c r="C365" s="467">
        <v>0.94166000000000005</v>
      </c>
      <c r="D365" s="467">
        <v>0.80433600000000005</v>
      </c>
      <c r="E365" s="467">
        <v>0.71692</v>
      </c>
      <c r="F365" s="467">
        <v>0.86178200000000005</v>
      </c>
      <c r="G365" s="467">
        <v>0.89222900000000005</v>
      </c>
      <c r="H365" s="467">
        <v>0.86148100000000005</v>
      </c>
      <c r="I365" s="467">
        <v>0.86570400000000003</v>
      </c>
      <c r="J365" s="467">
        <v>0.87597499999999995</v>
      </c>
    </row>
    <row r="366" spans="2:10">
      <c r="B366" s="132" t="s">
        <v>295</v>
      </c>
      <c r="C366" s="468">
        <v>0</v>
      </c>
      <c r="D366" s="468">
        <v>0</v>
      </c>
      <c r="E366" s="468">
        <v>0</v>
      </c>
      <c r="F366" s="468">
        <v>0</v>
      </c>
      <c r="G366" s="468">
        <v>0</v>
      </c>
      <c r="H366" s="468">
        <v>0</v>
      </c>
      <c r="I366" s="468">
        <v>0</v>
      </c>
      <c r="J366" s="467">
        <v>0</v>
      </c>
    </row>
    <row r="367" spans="2:10">
      <c r="B367" s="132" t="s">
        <v>303</v>
      </c>
      <c r="C367" s="468">
        <v>0</v>
      </c>
      <c r="D367" s="468">
        <v>0</v>
      </c>
      <c r="E367" s="468">
        <v>0</v>
      </c>
      <c r="F367" s="468">
        <v>0</v>
      </c>
      <c r="G367" s="468">
        <v>0</v>
      </c>
      <c r="H367" s="468">
        <v>0</v>
      </c>
      <c r="I367" s="468">
        <v>0</v>
      </c>
      <c r="J367" s="467">
        <v>0</v>
      </c>
    </row>
    <row r="368" spans="2:10">
      <c r="B368" s="65" t="s">
        <v>287</v>
      </c>
      <c r="C368" s="468">
        <v>0</v>
      </c>
      <c r="D368" s="468">
        <v>0</v>
      </c>
      <c r="E368" s="468">
        <v>0</v>
      </c>
      <c r="F368" s="468">
        <v>0</v>
      </c>
      <c r="G368" s="468">
        <v>0</v>
      </c>
      <c r="H368" s="468">
        <v>0</v>
      </c>
      <c r="I368" s="468">
        <v>0</v>
      </c>
      <c r="J368" s="467">
        <v>0</v>
      </c>
    </row>
    <row r="369" spans="2:11">
      <c r="B369" s="136"/>
      <c r="C369" s="468"/>
      <c r="D369" s="468"/>
      <c r="E369" s="468"/>
      <c r="F369" s="468"/>
      <c r="G369" s="468"/>
      <c r="H369" s="468"/>
      <c r="I369" s="468"/>
      <c r="J369" s="468"/>
    </row>
    <row r="370" spans="2:11">
      <c r="B370" s="211" t="s">
        <v>844</v>
      </c>
      <c r="C370" s="468"/>
      <c r="D370" s="468"/>
      <c r="E370" s="468"/>
      <c r="F370" s="468"/>
      <c r="G370" s="468"/>
      <c r="H370" s="468"/>
      <c r="I370" s="468"/>
      <c r="J370" s="468"/>
    </row>
    <row r="371" spans="2:11">
      <c r="B371" s="71" t="s">
        <v>297</v>
      </c>
      <c r="C371" s="469">
        <f t="shared" ref="C371:J371" si="57">SUM(C372:C374)</f>
        <v>39.230355000000003</v>
      </c>
      <c r="D371" s="469">
        <f t="shared" si="57"/>
        <v>35.272517000000001</v>
      </c>
      <c r="E371" s="469">
        <f t="shared" si="57"/>
        <v>31.428602999999999</v>
      </c>
      <c r="F371" s="469">
        <f t="shared" si="57"/>
        <v>31.233322000000001</v>
      </c>
      <c r="G371" s="469">
        <f t="shared" si="57"/>
        <v>30.711740200000001</v>
      </c>
      <c r="H371" s="469">
        <f t="shared" si="57"/>
        <v>29.116758000000001</v>
      </c>
      <c r="I371" s="469">
        <f t="shared" si="57"/>
        <v>18.357436</v>
      </c>
      <c r="J371" s="469">
        <f t="shared" si="57"/>
        <v>19.850753999999998</v>
      </c>
    </row>
    <row r="372" spans="2:11">
      <c r="B372" s="133" t="s">
        <v>296</v>
      </c>
      <c r="C372" s="469">
        <f>39230355/1000000</f>
        <v>39.230355000000003</v>
      </c>
      <c r="D372" s="469">
        <v>35.272517000000001</v>
      </c>
      <c r="E372" s="469">
        <v>31.428602999999999</v>
      </c>
      <c r="F372" s="469">
        <v>31.233322000000001</v>
      </c>
      <c r="G372" s="469">
        <v>30.711740200000001</v>
      </c>
      <c r="H372" s="469">
        <v>29.116758000000001</v>
      </c>
      <c r="I372" s="469">
        <v>18.357436</v>
      </c>
      <c r="J372" s="469">
        <v>19.850753999999998</v>
      </c>
    </row>
    <row r="373" spans="2:11">
      <c r="B373" s="132" t="s">
        <v>295</v>
      </c>
      <c r="C373" s="468">
        <v>0</v>
      </c>
      <c r="D373" s="468">
        <v>0</v>
      </c>
      <c r="E373" s="468">
        <v>0</v>
      </c>
      <c r="F373" s="468">
        <v>0</v>
      </c>
      <c r="G373" s="468">
        <v>0</v>
      </c>
      <c r="H373" s="468">
        <v>0</v>
      </c>
      <c r="I373" s="468">
        <v>0</v>
      </c>
      <c r="J373" s="468">
        <v>0</v>
      </c>
    </row>
    <row r="374" spans="2:11">
      <c r="B374" s="132" t="s">
        <v>303</v>
      </c>
      <c r="C374" s="468">
        <v>0</v>
      </c>
      <c r="D374" s="468">
        <v>0</v>
      </c>
      <c r="E374" s="468">
        <v>0</v>
      </c>
      <c r="F374" s="468">
        <v>0</v>
      </c>
      <c r="G374" s="468">
        <v>0</v>
      </c>
      <c r="H374" s="468">
        <v>0</v>
      </c>
      <c r="I374" s="468">
        <v>0</v>
      </c>
      <c r="J374" s="468">
        <v>0</v>
      </c>
    </row>
    <row r="375" spans="2:11">
      <c r="B375" s="65" t="s">
        <v>287</v>
      </c>
      <c r="C375" s="468">
        <v>0</v>
      </c>
      <c r="D375" s="468">
        <v>0</v>
      </c>
      <c r="E375" s="468">
        <v>0</v>
      </c>
      <c r="F375" s="468">
        <v>0</v>
      </c>
      <c r="G375" s="468">
        <v>0</v>
      </c>
      <c r="H375" s="468">
        <v>0</v>
      </c>
      <c r="I375" s="468">
        <v>0</v>
      </c>
      <c r="J375" s="468">
        <v>0</v>
      </c>
    </row>
    <row r="376" spans="2:11">
      <c r="B376" s="131"/>
      <c r="C376" s="468"/>
      <c r="D376" s="468"/>
      <c r="E376" s="468"/>
      <c r="F376" s="468"/>
      <c r="G376" s="468"/>
      <c r="H376" s="468"/>
      <c r="I376" s="468"/>
      <c r="J376" s="468"/>
    </row>
    <row r="377" spans="2:11" ht="15">
      <c r="B377" s="466" t="s">
        <v>852</v>
      </c>
      <c r="C377" s="468"/>
      <c r="D377" s="468"/>
      <c r="E377" s="468"/>
      <c r="F377" s="468"/>
      <c r="G377" s="468"/>
      <c r="H377" s="468"/>
      <c r="I377" s="468"/>
      <c r="J377" s="468"/>
    </row>
    <row r="378" spans="2:11" ht="15" thickBot="1">
      <c r="B378" s="470"/>
      <c r="C378" s="100"/>
      <c r="D378" s="100"/>
      <c r="E378" s="100"/>
      <c r="F378" s="100"/>
      <c r="G378" s="100"/>
      <c r="H378" s="100"/>
      <c r="I378" s="100"/>
      <c r="J378" s="100"/>
    </row>
    <row r="379" spans="2:11" ht="15" thickTop="1">
      <c r="B379" s="152" t="s">
        <v>853</v>
      </c>
      <c r="C379" s="3"/>
      <c r="D379" s="3"/>
      <c r="E379" s="3"/>
      <c r="F379" s="3"/>
      <c r="G379" s="3"/>
      <c r="H379" s="3"/>
      <c r="I379" s="3"/>
      <c r="J379" s="3"/>
    </row>
    <row r="380" spans="2:11" ht="25">
      <c r="B380" s="152" t="s">
        <v>854</v>
      </c>
      <c r="C380" s="3"/>
      <c r="D380" s="3"/>
      <c r="E380" s="3"/>
      <c r="F380" s="3"/>
      <c r="G380" s="3"/>
      <c r="H380" s="3"/>
      <c r="I380" s="3"/>
      <c r="J380" s="3"/>
    </row>
    <row r="381" spans="2:11">
      <c r="B381" s="52"/>
      <c r="C381" s="3"/>
      <c r="D381" s="3"/>
      <c r="E381" s="3"/>
      <c r="F381" s="3"/>
      <c r="G381" s="3"/>
      <c r="H381" s="3"/>
      <c r="I381" s="3"/>
      <c r="J381" s="3"/>
    </row>
    <row r="382" spans="2:11">
      <c r="B382" s="52"/>
      <c r="C382" s="3"/>
      <c r="D382" s="3"/>
      <c r="E382" s="3"/>
      <c r="F382" s="3"/>
      <c r="G382" s="3"/>
      <c r="H382" s="3"/>
      <c r="I382" s="3"/>
      <c r="J382" s="3"/>
    </row>
    <row r="383" spans="2:11">
      <c r="B383" s="2100" t="s">
        <v>313</v>
      </c>
      <c r="C383" s="2100"/>
      <c r="D383" s="2100"/>
      <c r="E383" s="2100"/>
      <c r="F383" s="2100"/>
      <c r="G383" s="2100"/>
      <c r="H383" s="2100"/>
      <c r="I383" s="2100"/>
      <c r="J383" s="2100"/>
      <c r="K383" s="2100"/>
    </row>
    <row r="384" spans="2:11">
      <c r="B384" s="2102" t="s">
        <v>312</v>
      </c>
      <c r="C384" s="2105"/>
      <c r="D384" s="2105"/>
      <c r="E384" s="2105"/>
      <c r="F384" s="2105"/>
      <c r="G384" s="2105"/>
      <c r="H384" s="2105"/>
      <c r="I384" s="2105"/>
      <c r="J384" s="2105"/>
      <c r="K384" s="2105"/>
    </row>
    <row r="385" spans="2:11">
      <c r="B385" s="62" t="s">
        <v>311</v>
      </c>
      <c r="C385" s="302"/>
      <c r="D385" s="302"/>
      <c r="E385" s="302"/>
      <c r="F385" s="302"/>
      <c r="G385" s="302"/>
      <c r="H385" s="302"/>
      <c r="I385" s="302"/>
      <c r="J385" s="302"/>
      <c r="K385" s="302"/>
    </row>
    <row r="386" spans="2:11">
      <c r="B386" s="64"/>
      <c r="C386" s="471"/>
      <c r="D386" s="471"/>
      <c r="E386" s="471"/>
      <c r="F386" s="471"/>
      <c r="G386" s="471"/>
      <c r="H386" s="471"/>
      <c r="I386" s="471"/>
      <c r="J386" s="471"/>
      <c r="K386" s="302"/>
    </row>
    <row r="387" spans="2:11">
      <c r="B387" s="61"/>
      <c r="C387" s="471">
        <v>2014</v>
      </c>
      <c r="D387" s="471">
        <v>2015</v>
      </c>
      <c r="E387" s="471">
        <v>2016</v>
      </c>
      <c r="F387" s="471">
        <v>2017</v>
      </c>
      <c r="G387" s="471">
        <v>2018</v>
      </c>
      <c r="H387" s="471">
        <v>2019</v>
      </c>
      <c r="I387" s="471">
        <v>2020</v>
      </c>
      <c r="J387" s="471">
        <v>2021</v>
      </c>
      <c r="K387" s="217"/>
    </row>
    <row r="388" spans="2:11" ht="15">
      <c r="B388" s="114" t="s">
        <v>855</v>
      </c>
      <c r="C388" s="458"/>
      <c r="D388" s="336"/>
      <c r="E388" s="336"/>
      <c r="F388" s="336"/>
      <c r="G388" s="336"/>
      <c r="H388" s="336"/>
      <c r="I388" s="336"/>
      <c r="J388" s="336"/>
      <c r="K388" s="459"/>
    </row>
    <row r="389" spans="2:11">
      <c r="B389" s="114"/>
      <c r="C389" s="458"/>
      <c r="D389" s="472"/>
      <c r="E389" s="472"/>
      <c r="F389" s="336"/>
      <c r="G389" s="336"/>
      <c r="H389" s="336"/>
      <c r="I389" s="336"/>
      <c r="J389" s="336"/>
      <c r="K389" s="459"/>
    </row>
    <row r="390" spans="2:11">
      <c r="B390" s="59" t="s">
        <v>841</v>
      </c>
      <c r="C390" s="473"/>
      <c r="D390" s="473"/>
      <c r="E390" s="473"/>
      <c r="F390" s="473"/>
      <c r="G390" s="473"/>
      <c r="H390" s="473"/>
      <c r="I390" s="473"/>
      <c r="J390" s="474"/>
      <c r="K390" s="475"/>
    </row>
    <row r="391" spans="2:11">
      <c r="B391" s="71" t="s">
        <v>297</v>
      </c>
      <c r="C391" s="473">
        <f>SUM(C392:C394)</f>
        <v>66964.639794620001</v>
      </c>
      <c r="D391" s="473">
        <f>SUM(D392:D394)</f>
        <v>87317.155625240004</v>
      </c>
      <c r="E391" s="473">
        <f t="shared" ref="E391:F391" si="58">SUM(E392:E394)</f>
        <v>91636.358080589998</v>
      </c>
      <c r="F391" s="473">
        <f t="shared" si="58"/>
        <v>98961.462494680018</v>
      </c>
      <c r="G391" s="473">
        <f>+G392</f>
        <v>107772.56222837001</v>
      </c>
      <c r="H391" s="473">
        <f>+H392</f>
        <v>113458.10338114003</v>
      </c>
      <c r="I391" s="473">
        <f>+I392</f>
        <v>110604.61299281001</v>
      </c>
      <c r="J391" s="473">
        <f>+J392</f>
        <v>136909.42385771999</v>
      </c>
      <c r="K391" s="476"/>
    </row>
    <row r="392" spans="2:11">
      <c r="B392" s="133" t="s">
        <v>296</v>
      </c>
      <c r="C392" s="385">
        <v>66964.639794620001</v>
      </c>
      <c r="D392" s="385">
        <v>87317.155625240004</v>
      </c>
      <c r="E392" s="385">
        <v>91636.358080589998</v>
      </c>
      <c r="F392" s="385">
        <v>98961.462494680018</v>
      </c>
      <c r="G392" s="385">
        <v>107772.56222837001</v>
      </c>
      <c r="H392" s="385">
        <v>113458.10338114003</v>
      </c>
      <c r="I392" s="385">
        <v>110604.61299281001</v>
      </c>
      <c r="J392" s="385">
        <v>136909.42385771999</v>
      </c>
    </row>
    <row r="393" spans="2:11">
      <c r="B393" s="132" t="s">
        <v>295</v>
      </c>
      <c r="C393" s="387">
        <v>0</v>
      </c>
      <c r="D393" s="387">
        <v>0</v>
      </c>
      <c r="E393" s="387">
        <v>0</v>
      </c>
      <c r="F393" s="387">
        <v>0</v>
      </c>
      <c r="G393" s="387">
        <v>0</v>
      </c>
      <c r="H393" s="387">
        <v>0</v>
      </c>
      <c r="I393" s="387">
        <v>0</v>
      </c>
      <c r="J393" s="387">
        <v>0</v>
      </c>
    </row>
    <row r="394" spans="2:11">
      <c r="B394" s="132" t="s">
        <v>303</v>
      </c>
      <c r="C394" s="387">
        <v>0</v>
      </c>
      <c r="D394" s="387">
        <v>0</v>
      </c>
      <c r="E394" s="387">
        <v>0</v>
      </c>
      <c r="F394" s="387">
        <v>0</v>
      </c>
      <c r="G394" s="387">
        <v>0</v>
      </c>
      <c r="H394" s="387">
        <v>0</v>
      </c>
      <c r="I394" s="387">
        <v>0</v>
      </c>
      <c r="J394" s="387">
        <v>0</v>
      </c>
    </row>
    <row r="395" spans="2:11">
      <c r="B395" s="65" t="s">
        <v>301</v>
      </c>
      <c r="C395" s="387">
        <v>0</v>
      </c>
      <c r="D395" s="387">
        <v>0</v>
      </c>
      <c r="E395" s="387">
        <v>0</v>
      </c>
      <c r="F395" s="387">
        <v>0</v>
      </c>
      <c r="G395" s="387">
        <v>0</v>
      </c>
      <c r="H395" s="387">
        <v>0</v>
      </c>
      <c r="I395" s="387">
        <v>0</v>
      </c>
      <c r="J395" s="387">
        <v>0</v>
      </c>
    </row>
    <row r="396" spans="2:11">
      <c r="B396" s="62"/>
      <c r="C396" s="121"/>
      <c r="D396" s="121"/>
      <c r="E396" s="121"/>
      <c r="F396" s="121"/>
      <c r="G396" s="121"/>
      <c r="H396" s="121"/>
      <c r="I396" s="121"/>
      <c r="J396" s="121"/>
    </row>
    <row r="397" spans="2:11">
      <c r="B397" s="2097" t="s">
        <v>842</v>
      </c>
      <c r="C397" s="2097">
        <f>C398</f>
        <v>8928.9193892399999</v>
      </c>
      <c r="D397" s="2097">
        <f>D398</f>
        <v>10557.46573989</v>
      </c>
      <c r="E397" s="2097">
        <f t="shared" ref="E397:J397" si="59">E398</f>
        <v>9400.2276852800005</v>
      </c>
      <c r="F397" s="2097">
        <f t="shared" si="59"/>
        <v>9686.9777192299989</v>
      </c>
      <c r="G397" s="2097">
        <f t="shared" si="59"/>
        <v>10510.731605599998</v>
      </c>
      <c r="H397" s="2097">
        <f t="shared" si="59"/>
        <v>10582.902169810002</v>
      </c>
      <c r="I397" s="2097"/>
      <c r="J397" s="2097">
        <f t="shared" si="59"/>
        <v>9757.7109517000008</v>
      </c>
    </row>
    <row r="398" spans="2:11">
      <c r="B398" s="71" t="s">
        <v>297</v>
      </c>
      <c r="C398" s="385">
        <f t="shared" ref="C398:J398" si="60">SUM(C399,C403)</f>
        <v>8928.9193892399999</v>
      </c>
      <c r="D398" s="385">
        <f t="shared" si="60"/>
        <v>10557.46573989</v>
      </c>
      <c r="E398" s="385">
        <f t="shared" si="60"/>
        <v>9400.2276852800005</v>
      </c>
      <c r="F398" s="385">
        <f t="shared" si="60"/>
        <v>9686.9777192299989</v>
      </c>
      <c r="G398" s="385">
        <f t="shared" si="60"/>
        <v>10510.731605599998</v>
      </c>
      <c r="H398" s="385">
        <f t="shared" si="60"/>
        <v>10582.902169810002</v>
      </c>
      <c r="I398" s="385">
        <f t="shared" si="60"/>
        <v>9729.9971998199981</v>
      </c>
      <c r="J398" s="385">
        <f t="shared" si="60"/>
        <v>9757.7109517000008</v>
      </c>
    </row>
    <row r="399" spans="2:11">
      <c r="B399" s="133" t="s">
        <v>296</v>
      </c>
      <c r="C399" s="385">
        <v>8928.9193892399999</v>
      </c>
      <c r="D399" s="385">
        <v>10557.46573989</v>
      </c>
      <c r="E399" s="385">
        <v>9400.2276852800005</v>
      </c>
      <c r="F399" s="385">
        <v>9686.9777192299989</v>
      </c>
      <c r="G399" s="385">
        <v>10510.731605599998</v>
      </c>
      <c r="H399" s="385">
        <v>10582.902169810002</v>
      </c>
      <c r="I399" s="385">
        <v>9729.9971998199981</v>
      </c>
      <c r="J399" s="385">
        <v>9757.7109517000008</v>
      </c>
    </row>
    <row r="400" spans="2:11">
      <c r="B400" s="132" t="s">
        <v>295</v>
      </c>
      <c r="C400" s="385">
        <v>0</v>
      </c>
      <c r="D400" s="385">
        <v>0</v>
      </c>
      <c r="E400" s="385">
        <v>0</v>
      </c>
      <c r="F400" s="385">
        <v>0</v>
      </c>
      <c r="G400" s="385">
        <v>0</v>
      </c>
      <c r="H400" s="385">
        <v>0</v>
      </c>
      <c r="I400" s="385">
        <v>0</v>
      </c>
      <c r="J400" s="385">
        <v>0</v>
      </c>
    </row>
    <row r="401" spans="2:10">
      <c r="B401" s="132" t="s">
        <v>303</v>
      </c>
      <c r="C401" s="385">
        <v>0</v>
      </c>
      <c r="D401" s="385">
        <v>0</v>
      </c>
      <c r="E401" s="385">
        <v>0</v>
      </c>
      <c r="F401" s="385">
        <v>0</v>
      </c>
      <c r="G401" s="385">
        <v>0</v>
      </c>
      <c r="H401" s="385">
        <v>0</v>
      </c>
      <c r="I401" s="385">
        <v>0</v>
      </c>
      <c r="J401" s="385">
        <v>0</v>
      </c>
    </row>
    <row r="402" spans="2:10">
      <c r="B402" s="65" t="s">
        <v>301</v>
      </c>
      <c r="C402" s="385">
        <v>0</v>
      </c>
      <c r="D402" s="385">
        <v>0</v>
      </c>
      <c r="E402" s="385">
        <v>0</v>
      </c>
      <c r="F402" s="385">
        <v>0</v>
      </c>
      <c r="G402" s="385">
        <v>0</v>
      </c>
      <c r="H402" s="385">
        <v>0</v>
      </c>
      <c r="I402" s="385">
        <v>0</v>
      </c>
      <c r="J402" s="385">
        <v>0</v>
      </c>
    </row>
    <row r="403" spans="2:10">
      <c r="B403" s="71"/>
      <c r="C403" s="3"/>
      <c r="D403" s="3"/>
      <c r="E403" s="3"/>
      <c r="F403" s="3"/>
      <c r="G403" s="3"/>
      <c r="H403" s="3"/>
      <c r="I403" s="3"/>
      <c r="J403" s="3"/>
    </row>
    <row r="404" spans="2:10">
      <c r="B404" s="477" t="s">
        <v>851</v>
      </c>
      <c r="C404" s="385"/>
      <c r="D404" s="385"/>
      <c r="E404" s="385"/>
      <c r="F404" s="385"/>
      <c r="G404" s="385"/>
      <c r="H404" s="385"/>
      <c r="I404" s="385"/>
      <c r="J404" s="3"/>
    </row>
    <row r="405" spans="2:10">
      <c r="B405" s="71" t="s">
        <v>297</v>
      </c>
      <c r="C405" s="385">
        <f t="shared" ref="C405:H405" si="61">SUM(C406:C409)</f>
        <v>78805.486963960473</v>
      </c>
      <c r="D405" s="385">
        <f t="shared" si="61"/>
        <v>89064.522509391842</v>
      </c>
      <c r="E405" s="385">
        <f t="shared" si="61"/>
        <v>90115.637206639949</v>
      </c>
      <c r="F405" s="385">
        <f t="shared" si="61"/>
        <v>94565.861526689885</v>
      </c>
      <c r="G405" s="385">
        <f t="shared" si="61"/>
        <v>108715.81685869997</v>
      </c>
      <c r="H405" s="385">
        <f t="shared" si="61"/>
        <v>110167.17035511957</v>
      </c>
      <c r="I405" s="385">
        <f t="shared" ref="I405:J405" si="62">SUM(I406:I409)</f>
        <v>113134.66181235913</v>
      </c>
      <c r="J405" s="385">
        <f t="shared" si="62"/>
        <v>122735.83728380041</v>
      </c>
    </row>
    <row r="406" spans="2:10">
      <c r="B406" s="133" t="s">
        <v>296</v>
      </c>
      <c r="C406" s="385">
        <v>78805.486963960473</v>
      </c>
      <c r="D406" s="385">
        <v>89064.522509391842</v>
      </c>
      <c r="E406" s="385">
        <v>90115.637206639949</v>
      </c>
      <c r="F406" s="385">
        <v>94565.861526689885</v>
      </c>
      <c r="G406" s="385">
        <v>108715.81685869997</v>
      </c>
      <c r="H406" s="385">
        <v>110167.17035511957</v>
      </c>
      <c r="I406" s="385">
        <v>113134.66181235913</v>
      </c>
      <c r="J406" s="385">
        <v>122735.83728380041</v>
      </c>
    </row>
    <row r="407" spans="2:10">
      <c r="B407" s="132" t="s">
        <v>295</v>
      </c>
      <c r="C407" s="3">
        <v>0</v>
      </c>
      <c r="D407" s="3">
        <v>0</v>
      </c>
      <c r="E407" s="3">
        <v>0</v>
      </c>
      <c r="F407" s="3">
        <v>0</v>
      </c>
      <c r="G407" s="3">
        <v>0</v>
      </c>
      <c r="H407" s="3">
        <v>0</v>
      </c>
      <c r="I407" s="3">
        <v>0</v>
      </c>
      <c r="J407" s="3">
        <v>0</v>
      </c>
    </row>
    <row r="408" spans="2:10">
      <c r="B408" s="132" t="s">
        <v>303</v>
      </c>
      <c r="C408" s="3">
        <v>0</v>
      </c>
      <c r="D408" s="3">
        <v>0</v>
      </c>
      <c r="E408" s="3">
        <v>0</v>
      </c>
      <c r="F408" s="3">
        <v>0</v>
      </c>
      <c r="G408" s="3">
        <v>0</v>
      </c>
      <c r="H408" s="3">
        <v>0</v>
      </c>
      <c r="I408" s="3">
        <v>0</v>
      </c>
      <c r="J408" s="3">
        <v>0</v>
      </c>
    </row>
    <row r="409" spans="2:10">
      <c r="B409" s="65" t="s">
        <v>301</v>
      </c>
      <c r="C409" s="3">
        <v>0</v>
      </c>
      <c r="D409" s="3">
        <v>0</v>
      </c>
      <c r="E409" s="3">
        <v>0</v>
      </c>
      <c r="F409" s="3">
        <v>0</v>
      </c>
      <c r="G409" s="3">
        <v>0</v>
      </c>
      <c r="H409" s="3">
        <v>0</v>
      </c>
      <c r="I409" s="3">
        <v>0</v>
      </c>
      <c r="J409" s="3">
        <v>0</v>
      </c>
    </row>
    <row r="410" spans="2:10">
      <c r="B410" s="64"/>
      <c r="C410" s="387"/>
      <c r="D410" s="387"/>
      <c r="E410" s="387"/>
      <c r="F410" s="387"/>
      <c r="G410" s="387"/>
      <c r="H410" s="387"/>
      <c r="I410" s="387"/>
      <c r="J410" s="121"/>
    </row>
    <row r="411" spans="2:10">
      <c r="B411" s="12" t="s">
        <v>844</v>
      </c>
      <c r="C411" s="121"/>
      <c r="D411" s="121"/>
      <c r="E411" s="121"/>
      <c r="F411" s="121"/>
      <c r="G411" s="121"/>
      <c r="H411" s="121"/>
      <c r="I411" s="121"/>
      <c r="J411" s="121"/>
    </row>
    <row r="412" spans="2:10">
      <c r="B412" s="71" t="s">
        <v>297</v>
      </c>
      <c r="C412" s="385">
        <f t="shared" ref="C412:J412" si="63">SUM(C413:C415)</f>
        <v>67784.557982750106</v>
      </c>
      <c r="D412" s="385">
        <f t="shared" si="63"/>
        <v>62013.807000000001</v>
      </c>
      <c r="E412" s="385">
        <f t="shared" si="63"/>
        <v>54074.726000000002</v>
      </c>
      <c r="F412" s="385">
        <f t="shared" si="63"/>
        <v>55403.750934839998</v>
      </c>
      <c r="G412" s="385">
        <f t="shared" si="63"/>
        <v>56431.862847919998</v>
      </c>
      <c r="H412" s="385">
        <f t="shared" si="63"/>
        <v>54376.739486580002</v>
      </c>
      <c r="I412" s="385">
        <f t="shared" si="63"/>
        <v>34966.542700339996</v>
      </c>
      <c r="J412" s="385">
        <f t="shared" si="63"/>
        <v>40948.030311369999</v>
      </c>
    </row>
    <row r="413" spans="2:10">
      <c r="B413" s="133" t="s">
        <v>296</v>
      </c>
      <c r="C413" s="385">
        <f>67784557982.7501/1000000</f>
        <v>67784.557982750106</v>
      </c>
      <c r="D413" s="385">
        <v>62013.807000000001</v>
      </c>
      <c r="E413" s="385">
        <v>54074.726000000002</v>
      </c>
      <c r="F413" s="385">
        <f t="shared" ref="F413" si="64">55403750934.84/1000000</f>
        <v>55403.750934839998</v>
      </c>
      <c r="G413" s="385">
        <f>56431862847.92/1000000</f>
        <v>56431.862847919998</v>
      </c>
      <c r="H413" s="385">
        <f>54376739486.58/1000000</f>
        <v>54376.739486580002</v>
      </c>
      <c r="I413" s="385">
        <v>34966.542700339996</v>
      </c>
      <c r="J413" s="385">
        <v>40948.030311369999</v>
      </c>
    </row>
    <row r="414" spans="2:10">
      <c r="B414" s="132" t="s">
        <v>295</v>
      </c>
      <c r="C414" s="387">
        <v>0</v>
      </c>
      <c r="D414" s="387">
        <v>0</v>
      </c>
      <c r="E414" s="387">
        <v>0</v>
      </c>
      <c r="F414" s="387">
        <v>0</v>
      </c>
      <c r="G414" s="387">
        <v>0</v>
      </c>
      <c r="H414" s="387">
        <v>0</v>
      </c>
      <c r="I414" s="387">
        <v>0</v>
      </c>
      <c r="J414" s="387">
        <v>0</v>
      </c>
    </row>
    <row r="415" spans="2:10">
      <c r="B415" s="132" t="s">
        <v>303</v>
      </c>
      <c r="C415" s="387">
        <v>0</v>
      </c>
      <c r="D415" s="387">
        <v>0</v>
      </c>
      <c r="E415" s="387">
        <v>0</v>
      </c>
      <c r="F415" s="387">
        <v>0</v>
      </c>
      <c r="G415" s="387">
        <v>0</v>
      </c>
      <c r="H415" s="387">
        <v>0</v>
      </c>
      <c r="I415" s="387">
        <v>0</v>
      </c>
      <c r="J415" s="387">
        <v>0</v>
      </c>
    </row>
    <row r="416" spans="2:10">
      <c r="B416" s="65" t="s">
        <v>301</v>
      </c>
      <c r="C416" s="216">
        <v>0</v>
      </c>
      <c r="D416" s="216">
        <v>0</v>
      </c>
      <c r="E416" s="216">
        <v>0</v>
      </c>
      <c r="F416" s="216">
        <v>0</v>
      </c>
      <c r="G416" s="216">
        <v>0</v>
      </c>
      <c r="H416" s="216">
        <v>0</v>
      </c>
      <c r="I416" s="216">
        <v>0</v>
      </c>
      <c r="J416" s="216">
        <v>0</v>
      </c>
    </row>
    <row r="417" spans="2:11">
      <c r="B417" s="2031"/>
      <c r="C417" s="2031"/>
      <c r="D417" s="2031"/>
      <c r="E417" s="2031"/>
      <c r="F417" s="2031"/>
      <c r="G417" s="2031"/>
      <c r="H417" s="2031"/>
      <c r="I417" s="2031"/>
      <c r="J417" s="2031"/>
    </row>
    <row r="418" spans="2:11">
      <c r="B418" s="2017"/>
      <c r="C418" s="2017"/>
      <c r="D418" s="2017"/>
      <c r="E418" s="2017"/>
      <c r="F418" s="2017"/>
      <c r="G418" s="2017"/>
      <c r="H418" s="2017"/>
      <c r="I418" s="2017"/>
      <c r="J418" s="2017"/>
    </row>
    <row r="419" spans="2:11" ht="15.5">
      <c r="B419" s="478" t="s">
        <v>856</v>
      </c>
      <c r="C419" s="121"/>
      <c r="D419" s="121"/>
      <c r="E419" s="121"/>
      <c r="F419" s="121"/>
      <c r="G419" s="121"/>
      <c r="H419" s="121"/>
      <c r="I419" s="121"/>
      <c r="J419" s="121"/>
    </row>
    <row r="420" spans="2:11" ht="15" thickBot="1">
      <c r="B420" s="479"/>
      <c r="C420" s="109"/>
      <c r="D420" s="109"/>
      <c r="E420" s="109"/>
      <c r="F420" s="109"/>
      <c r="G420" s="109"/>
      <c r="H420" s="109"/>
      <c r="I420" s="109"/>
      <c r="J420" s="109"/>
    </row>
    <row r="421" spans="2:11" ht="15" thickTop="1">
      <c r="B421" s="64" t="s">
        <v>857</v>
      </c>
      <c r="C421" s="121"/>
      <c r="D421" s="121"/>
      <c r="E421" s="121"/>
      <c r="F421" s="121"/>
      <c r="G421" s="121"/>
      <c r="H421" s="121"/>
      <c r="I421" s="121"/>
      <c r="J421" s="121"/>
    </row>
    <row r="422" spans="2:11" ht="25">
      <c r="B422" s="152" t="s">
        <v>854</v>
      </c>
      <c r="C422" s="64"/>
      <c r="D422" s="64"/>
      <c r="E422" s="64"/>
      <c r="F422" s="64"/>
      <c r="G422" s="64"/>
      <c r="H422" s="64"/>
      <c r="I422" s="64"/>
      <c r="J422" s="64"/>
    </row>
    <row r="423" spans="2:11">
      <c r="B423" s="12"/>
      <c r="C423" s="121"/>
      <c r="D423" s="121"/>
      <c r="E423" s="121"/>
      <c r="F423" s="121"/>
      <c r="G423" s="121"/>
      <c r="H423" s="121"/>
      <c r="I423" s="121"/>
      <c r="J423" s="121"/>
    </row>
    <row r="424" spans="2:11">
      <c r="B424" s="2100" t="s">
        <v>271</v>
      </c>
      <c r="C424" s="2100"/>
      <c r="D424" s="2100"/>
      <c r="E424" s="2100"/>
      <c r="F424" s="2100"/>
      <c r="G424" s="2100"/>
      <c r="H424" s="2100"/>
      <c r="I424" s="2100"/>
      <c r="J424" s="2100"/>
      <c r="K424" s="2100"/>
    </row>
    <row r="425" spans="2:11">
      <c r="B425" s="12" t="s">
        <v>270</v>
      </c>
      <c r="C425" s="302"/>
      <c r="D425" s="302"/>
      <c r="E425" s="302"/>
      <c r="F425" s="302"/>
      <c r="G425" s="302"/>
      <c r="H425" s="302"/>
      <c r="I425" s="302"/>
      <c r="J425" s="302"/>
      <c r="K425" s="302"/>
    </row>
    <row r="426" spans="2:11">
      <c r="B426" s="77" t="s">
        <v>269</v>
      </c>
      <c r="C426" s="302"/>
      <c r="D426" s="302"/>
      <c r="E426" s="302"/>
      <c r="F426" s="302"/>
      <c r="G426" s="302"/>
      <c r="H426" s="302"/>
      <c r="I426" s="302"/>
      <c r="J426" s="302"/>
      <c r="K426" s="302"/>
    </row>
    <row r="427" spans="2:11">
      <c r="B427" s="76"/>
      <c r="C427" s="302"/>
      <c r="D427" s="302"/>
      <c r="E427" s="302"/>
      <c r="F427" s="302"/>
      <c r="G427" s="302"/>
      <c r="H427" s="302"/>
      <c r="I427" s="302"/>
      <c r="J427" s="302"/>
      <c r="K427" s="302"/>
    </row>
    <row r="428" spans="2:11">
      <c r="B428" s="61"/>
      <c r="C428" s="303">
        <v>2014</v>
      </c>
      <c r="D428" s="303">
        <v>2015</v>
      </c>
      <c r="E428" s="303">
        <v>2016</v>
      </c>
      <c r="F428" s="303">
        <v>2017</v>
      </c>
      <c r="G428" s="303">
        <v>2018</v>
      </c>
      <c r="H428" s="303">
        <v>2019</v>
      </c>
      <c r="I428" s="303">
        <v>2020</v>
      </c>
      <c r="J428" s="303">
        <v>2021</v>
      </c>
      <c r="K428" s="413"/>
    </row>
    <row r="429" spans="2:11">
      <c r="B429" s="480" t="s">
        <v>858</v>
      </c>
      <c r="C429" s="302"/>
      <c r="D429" s="302"/>
      <c r="E429" s="302"/>
      <c r="F429" s="302"/>
      <c r="G429" s="302"/>
      <c r="H429" s="302"/>
      <c r="I429" s="302"/>
      <c r="J429" s="302"/>
      <c r="K429" s="302"/>
    </row>
    <row r="430" spans="2:11">
      <c r="B430" s="71" t="s">
        <v>265</v>
      </c>
      <c r="C430" s="481">
        <v>35</v>
      </c>
      <c r="D430" s="481">
        <v>39</v>
      </c>
      <c r="E430" s="481">
        <v>39</v>
      </c>
      <c r="F430" s="481">
        <v>39</v>
      </c>
      <c r="G430" s="481">
        <v>35</v>
      </c>
      <c r="H430" s="481">
        <v>34</v>
      </c>
      <c r="I430" s="481">
        <v>32</v>
      </c>
      <c r="J430" s="481">
        <v>32</v>
      </c>
      <c r="K430" s="481"/>
    </row>
    <row r="431" spans="2:11">
      <c r="B431" s="52" t="s">
        <v>262</v>
      </c>
      <c r="C431" s="321">
        <v>1</v>
      </c>
      <c r="D431" s="321">
        <v>1</v>
      </c>
      <c r="E431" s="321">
        <v>1</v>
      </c>
      <c r="F431" s="321">
        <v>1</v>
      </c>
      <c r="G431" s="321">
        <v>1</v>
      </c>
      <c r="H431" s="321">
        <v>1</v>
      </c>
      <c r="I431" s="321">
        <v>1</v>
      </c>
      <c r="J431" s="321">
        <v>1</v>
      </c>
      <c r="K431" s="321"/>
    </row>
    <row r="432" spans="2:11">
      <c r="B432" s="52" t="s">
        <v>261</v>
      </c>
      <c r="C432" s="66">
        <v>0</v>
      </c>
      <c r="D432" s="66">
        <v>0</v>
      </c>
      <c r="E432" s="66">
        <v>0</v>
      </c>
      <c r="F432" s="66">
        <v>0</v>
      </c>
      <c r="G432" s="66">
        <v>0</v>
      </c>
      <c r="H432" s="66">
        <v>0</v>
      </c>
      <c r="I432" s="66">
        <v>0</v>
      </c>
      <c r="J432" s="66">
        <v>0</v>
      </c>
    </row>
    <row r="433" spans="2:10">
      <c r="B433" s="52" t="s">
        <v>260</v>
      </c>
      <c r="C433" s="66">
        <v>0</v>
      </c>
      <c r="D433" s="66">
        <v>0</v>
      </c>
      <c r="E433" s="66">
        <v>0</v>
      </c>
      <c r="F433" s="66">
        <v>0</v>
      </c>
      <c r="G433" s="66">
        <v>0</v>
      </c>
      <c r="H433" s="66">
        <v>0</v>
      </c>
      <c r="I433" s="66">
        <v>0</v>
      </c>
      <c r="J433" s="66">
        <v>0</v>
      </c>
    </row>
    <row r="434" spans="2:10">
      <c r="B434" s="52" t="s">
        <v>859</v>
      </c>
      <c r="C434" s="66">
        <v>34</v>
      </c>
      <c r="D434" s="66">
        <v>38</v>
      </c>
      <c r="E434" s="66">
        <v>38</v>
      </c>
      <c r="F434" s="66">
        <v>38</v>
      </c>
      <c r="G434" s="66">
        <v>34</v>
      </c>
      <c r="H434" s="66">
        <v>33</v>
      </c>
      <c r="I434" s="66">
        <v>31</v>
      </c>
      <c r="J434" s="66">
        <v>31</v>
      </c>
    </row>
    <row r="435" spans="2:10">
      <c r="B435" s="71"/>
      <c r="C435" s="66"/>
      <c r="D435" s="66"/>
      <c r="E435" s="66"/>
      <c r="F435" s="66"/>
      <c r="G435" s="66"/>
      <c r="H435" s="66"/>
      <c r="I435" s="66"/>
      <c r="J435" s="66"/>
    </row>
    <row r="436" spans="2:10">
      <c r="B436" s="152" t="s">
        <v>264</v>
      </c>
      <c r="C436" s="66">
        <v>35</v>
      </c>
      <c r="D436" s="66">
        <v>39</v>
      </c>
      <c r="E436" s="66">
        <v>39</v>
      </c>
      <c r="F436" s="66">
        <v>39</v>
      </c>
      <c r="G436" s="66">
        <v>35</v>
      </c>
      <c r="H436" s="66">
        <v>34</v>
      </c>
      <c r="I436" s="66">
        <v>32</v>
      </c>
      <c r="J436" s="66">
        <v>32</v>
      </c>
    </row>
    <row r="437" spans="2:10">
      <c r="B437" s="52" t="s">
        <v>262</v>
      </c>
      <c r="C437" s="66">
        <v>1</v>
      </c>
      <c r="D437" s="66">
        <v>1</v>
      </c>
      <c r="E437" s="66">
        <v>1</v>
      </c>
      <c r="F437" s="66">
        <v>1</v>
      </c>
      <c r="G437" s="66">
        <v>1</v>
      </c>
      <c r="H437" s="66">
        <v>1</v>
      </c>
      <c r="I437" s="66">
        <v>1</v>
      </c>
      <c r="J437" s="66">
        <v>1</v>
      </c>
    </row>
    <row r="438" spans="2:10">
      <c r="B438" s="52" t="s">
        <v>261</v>
      </c>
      <c r="C438" s="66">
        <v>0</v>
      </c>
      <c r="D438" s="66">
        <v>0</v>
      </c>
      <c r="E438" s="66">
        <v>0</v>
      </c>
      <c r="F438" s="66">
        <v>0</v>
      </c>
      <c r="G438" s="66">
        <v>0</v>
      </c>
      <c r="H438" s="66">
        <v>0</v>
      </c>
      <c r="I438" s="66">
        <v>0</v>
      </c>
      <c r="J438" s="66">
        <v>0</v>
      </c>
    </row>
    <row r="439" spans="2:10">
      <c r="B439" s="52" t="s">
        <v>260</v>
      </c>
      <c r="C439" s="66">
        <v>0</v>
      </c>
      <c r="D439" s="66">
        <v>0</v>
      </c>
      <c r="E439" s="66">
        <v>0</v>
      </c>
      <c r="F439" s="66">
        <v>0</v>
      </c>
      <c r="G439" s="66">
        <v>0</v>
      </c>
      <c r="H439" s="66">
        <v>0</v>
      </c>
      <c r="I439" s="66">
        <v>0</v>
      </c>
      <c r="J439" s="66">
        <v>0</v>
      </c>
    </row>
    <row r="440" spans="2:10">
      <c r="B440" s="52" t="s">
        <v>859</v>
      </c>
      <c r="C440" s="66">
        <v>34</v>
      </c>
      <c r="D440" s="66">
        <v>38</v>
      </c>
      <c r="E440" s="66">
        <v>38</v>
      </c>
      <c r="F440" s="66">
        <v>38</v>
      </c>
      <c r="G440" s="66">
        <v>34</v>
      </c>
      <c r="H440" s="66">
        <v>33</v>
      </c>
      <c r="I440" s="66">
        <v>31</v>
      </c>
      <c r="J440" s="66">
        <v>31</v>
      </c>
    </row>
    <row r="441" spans="2:10">
      <c r="B441" s="52"/>
      <c r="C441" s="66"/>
      <c r="D441" s="66"/>
      <c r="E441" s="66"/>
      <c r="F441" s="66"/>
      <c r="G441" s="66"/>
      <c r="H441" s="66"/>
      <c r="I441" s="66"/>
      <c r="J441" s="66"/>
    </row>
    <row r="442" spans="2:10">
      <c r="B442" s="152" t="s">
        <v>263</v>
      </c>
      <c r="C442" s="234">
        <v>0</v>
      </c>
      <c r="D442" s="234">
        <v>0</v>
      </c>
      <c r="E442" s="234">
        <v>0</v>
      </c>
      <c r="F442" s="234">
        <v>0</v>
      </c>
      <c r="G442" s="234">
        <v>0</v>
      </c>
      <c r="H442" s="234">
        <v>0</v>
      </c>
      <c r="I442" s="234">
        <v>0</v>
      </c>
      <c r="J442" s="234">
        <v>0</v>
      </c>
    </row>
    <row r="443" spans="2:10">
      <c r="B443" s="52" t="s">
        <v>262</v>
      </c>
      <c r="C443" s="234">
        <v>0</v>
      </c>
      <c r="D443" s="234">
        <v>0</v>
      </c>
      <c r="E443" s="234">
        <v>0</v>
      </c>
      <c r="F443" s="234">
        <v>0</v>
      </c>
      <c r="G443" s="234">
        <v>0</v>
      </c>
      <c r="H443" s="234">
        <v>0</v>
      </c>
      <c r="I443" s="234">
        <v>0</v>
      </c>
      <c r="J443" s="234">
        <v>0</v>
      </c>
    </row>
    <row r="444" spans="2:10">
      <c r="B444" s="52" t="s">
        <v>261</v>
      </c>
      <c r="C444" s="234">
        <v>0</v>
      </c>
      <c r="D444" s="234">
        <v>0</v>
      </c>
      <c r="E444" s="234">
        <v>0</v>
      </c>
      <c r="F444" s="234">
        <v>0</v>
      </c>
      <c r="G444" s="234">
        <v>0</v>
      </c>
      <c r="H444" s="234">
        <v>0</v>
      </c>
      <c r="I444" s="234">
        <v>0</v>
      </c>
      <c r="J444" s="234">
        <v>0</v>
      </c>
    </row>
    <row r="445" spans="2:10">
      <c r="B445" s="52" t="s">
        <v>260</v>
      </c>
      <c r="C445" s="234">
        <v>0</v>
      </c>
      <c r="D445" s="234">
        <v>0</v>
      </c>
      <c r="E445" s="234">
        <v>0</v>
      </c>
      <c r="F445" s="234">
        <v>0</v>
      </c>
      <c r="G445" s="234">
        <v>0</v>
      </c>
      <c r="H445" s="234">
        <v>0</v>
      </c>
      <c r="I445" s="234">
        <v>0</v>
      </c>
      <c r="J445" s="234">
        <v>0</v>
      </c>
    </row>
    <row r="446" spans="2:10" ht="15" thickBot="1">
      <c r="B446" s="50" t="s">
        <v>859</v>
      </c>
      <c r="C446" s="482">
        <v>0</v>
      </c>
      <c r="D446" s="482">
        <v>0</v>
      </c>
      <c r="E446" s="482">
        <v>0</v>
      </c>
      <c r="F446" s="482">
        <v>0</v>
      </c>
      <c r="G446" s="482">
        <v>0</v>
      </c>
      <c r="H446" s="482">
        <v>0</v>
      </c>
      <c r="I446" s="482">
        <v>0</v>
      </c>
      <c r="J446" s="482">
        <v>0</v>
      </c>
    </row>
    <row r="447" spans="2:10" ht="15" thickTop="1">
      <c r="B447" s="64" t="s">
        <v>860</v>
      </c>
      <c r="C447" s="234"/>
      <c r="D447" s="234"/>
      <c r="E447" s="234"/>
      <c r="F447" s="234"/>
      <c r="G447" s="234"/>
      <c r="H447" s="234"/>
      <c r="I447" s="234"/>
      <c r="J447" s="234"/>
    </row>
    <row r="448" spans="2:10">
      <c r="B448" s="59"/>
      <c r="C448" s="121"/>
      <c r="D448" s="121"/>
      <c r="E448" s="121"/>
      <c r="F448" s="121"/>
      <c r="G448" s="121"/>
      <c r="H448" s="121"/>
      <c r="I448" s="121"/>
      <c r="J448" s="121"/>
    </row>
    <row r="449" spans="2:11">
      <c r="B449" s="2100" t="s">
        <v>258</v>
      </c>
      <c r="C449" s="2100"/>
      <c r="D449" s="2100"/>
      <c r="E449" s="2100"/>
      <c r="F449" s="2100"/>
      <c r="G449" s="2100"/>
      <c r="H449" s="2100"/>
      <c r="I449" s="2100"/>
      <c r="J449" s="2100"/>
      <c r="K449" s="2100"/>
    </row>
    <row r="450" spans="2:11">
      <c r="B450" s="12" t="s">
        <v>257</v>
      </c>
      <c r="C450" s="302"/>
      <c r="D450" s="302"/>
      <c r="E450" s="302"/>
      <c r="F450" s="302"/>
      <c r="G450" s="302"/>
      <c r="H450" s="302"/>
      <c r="I450" s="302"/>
      <c r="J450" s="302"/>
      <c r="K450" s="302"/>
    </row>
    <row r="451" spans="2:11">
      <c r="B451" s="77" t="s">
        <v>256</v>
      </c>
      <c r="C451" s="302"/>
      <c r="D451" s="302"/>
      <c r="E451" s="302"/>
      <c r="F451" s="302"/>
      <c r="G451" s="302"/>
      <c r="H451" s="302"/>
      <c r="I451" s="302"/>
      <c r="J451" s="302"/>
      <c r="K451" s="302"/>
    </row>
    <row r="452" spans="2:11">
      <c r="B452" s="62"/>
      <c r="C452" s="302"/>
      <c r="D452" s="302"/>
      <c r="E452" s="302"/>
      <c r="F452" s="302"/>
      <c r="G452" s="302"/>
      <c r="H452" s="302"/>
      <c r="I452" s="302"/>
      <c r="J452" s="302"/>
      <c r="K452" s="302"/>
    </row>
    <row r="453" spans="2:11">
      <c r="B453" s="61"/>
      <c r="C453" s="303">
        <v>2014</v>
      </c>
      <c r="D453" s="303">
        <v>2015</v>
      </c>
      <c r="E453" s="303">
        <v>2016</v>
      </c>
      <c r="F453" s="303">
        <v>2017</v>
      </c>
      <c r="G453" s="303">
        <v>2018</v>
      </c>
      <c r="H453" s="303">
        <v>2019</v>
      </c>
      <c r="I453" s="303">
        <v>2020</v>
      </c>
      <c r="J453" s="303">
        <v>2021</v>
      </c>
      <c r="K453" s="413"/>
    </row>
    <row r="454" spans="2:11">
      <c r="B454" s="76" t="s">
        <v>861</v>
      </c>
      <c r="C454" s="302"/>
      <c r="D454" s="302"/>
      <c r="E454" s="302"/>
      <c r="F454" s="302"/>
      <c r="G454" s="302"/>
      <c r="H454" s="302"/>
      <c r="I454" s="302"/>
      <c r="J454" s="302"/>
      <c r="K454" s="302"/>
    </row>
    <row r="455" spans="2:11">
      <c r="B455" s="71" t="s">
        <v>862</v>
      </c>
      <c r="C455" s="483">
        <v>145</v>
      </c>
      <c r="D455" s="483">
        <v>162</v>
      </c>
      <c r="E455" s="483">
        <v>176</v>
      </c>
      <c r="F455" s="483">
        <v>198</v>
      </c>
      <c r="G455" s="483">
        <v>236</v>
      </c>
      <c r="H455" s="483">
        <v>296</v>
      </c>
      <c r="I455" s="483">
        <v>326</v>
      </c>
      <c r="J455" s="484">
        <v>330</v>
      </c>
      <c r="K455" s="484"/>
    </row>
    <row r="456" spans="2:11">
      <c r="B456" s="52" t="s">
        <v>121</v>
      </c>
      <c r="C456" s="485">
        <v>0</v>
      </c>
      <c r="D456" s="485">
        <v>0</v>
      </c>
      <c r="E456" s="485">
        <v>0</v>
      </c>
      <c r="F456" s="485">
        <v>0</v>
      </c>
      <c r="G456" s="485">
        <v>0</v>
      </c>
      <c r="H456" s="485">
        <v>0</v>
      </c>
      <c r="I456" s="485">
        <v>0</v>
      </c>
      <c r="J456" s="486">
        <v>0</v>
      </c>
      <c r="K456" s="487"/>
    </row>
    <row r="457" spans="2:11">
      <c r="B457" s="53" t="s">
        <v>120</v>
      </c>
      <c r="C457" s="485">
        <v>0</v>
      </c>
      <c r="D457" s="485">
        <v>0</v>
      </c>
      <c r="E457" s="485">
        <v>0</v>
      </c>
      <c r="F457" s="485">
        <v>0</v>
      </c>
      <c r="G457" s="485">
        <v>0</v>
      </c>
      <c r="H457" s="485">
        <v>0</v>
      </c>
      <c r="I457" s="485">
        <v>0</v>
      </c>
      <c r="J457" s="486">
        <v>0</v>
      </c>
      <c r="K457" s="487"/>
    </row>
    <row r="458" spans="2:11">
      <c r="B458" s="53" t="s">
        <v>119</v>
      </c>
      <c r="C458" s="3">
        <v>0</v>
      </c>
      <c r="D458" s="3">
        <v>0</v>
      </c>
      <c r="E458" s="3">
        <v>0</v>
      </c>
      <c r="F458" s="3">
        <v>0</v>
      </c>
      <c r="G458" s="3">
        <v>0</v>
      </c>
      <c r="H458" s="3">
        <v>0</v>
      </c>
      <c r="I458" s="3">
        <v>0</v>
      </c>
      <c r="J458" s="16">
        <v>0</v>
      </c>
    </row>
    <row r="459" spans="2:11">
      <c r="B459" s="52" t="s">
        <v>118</v>
      </c>
      <c r="C459" s="3">
        <v>0</v>
      </c>
      <c r="D459" s="3">
        <v>0</v>
      </c>
      <c r="E459" s="3">
        <v>0</v>
      </c>
      <c r="F459" s="3">
        <v>0</v>
      </c>
      <c r="G459" s="3">
        <v>0</v>
      </c>
      <c r="H459" s="3">
        <v>0</v>
      </c>
      <c r="I459" s="3">
        <v>0</v>
      </c>
      <c r="J459" s="16">
        <v>0</v>
      </c>
    </row>
    <row r="460" spans="2:11" ht="15" thickBot="1">
      <c r="B460" s="50" t="s">
        <v>117</v>
      </c>
      <c r="C460" s="100">
        <v>0</v>
      </c>
      <c r="D460" s="100">
        <v>0</v>
      </c>
      <c r="E460" s="100">
        <v>0</v>
      </c>
      <c r="F460" s="100">
        <v>0</v>
      </c>
      <c r="G460" s="100">
        <v>0</v>
      </c>
      <c r="H460" s="100">
        <v>0</v>
      </c>
      <c r="I460" s="100">
        <v>0</v>
      </c>
      <c r="J460" s="17">
        <v>0</v>
      </c>
    </row>
    <row r="461" spans="2:11" ht="15" thickTop="1">
      <c r="B461" s="446" t="s">
        <v>863</v>
      </c>
      <c r="C461" s="121"/>
      <c r="D461" s="121"/>
      <c r="E461" s="121"/>
      <c r="F461" s="121"/>
      <c r="G461" s="121"/>
      <c r="H461" s="121"/>
      <c r="I461" s="121"/>
      <c r="J461" s="121"/>
    </row>
    <row r="462" spans="2:11" ht="25">
      <c r="B462" s="71" t="s">
        <v>864</v>
      </c>
      <c r="C462" s="229"/>
      <c r="D462" s="229"/>
      <c r="E462" s="229"/>
      <c r="F462" s="229"/>
      <c r="G462" s="229"/>
      <c r="H462" s="229"/>
      <c r="I462" s="229"/>
      <c r="J462" s="229"/>
    </row>
    <row r="463" spans="2:11">
      <c r="B463" s="71"/>
      <c r="C463" s="121"/>
      <c r="D463" s="121"/>
      <c r="E463" s="121"/>
      <c r="F463" s="121"/>
      <c r="G463" s="121"/>
      <c r="H463" s="121"/>
      <c r="I463" s="121"/>
      <c r="J463" s="121"/>
    </row>
    <row r="464" spans="2:11">
      <c r="B464" s="2100" t="s">
        <v>244</v>
      </c>
      <c r="C464" s="2100"/>
      <c r="D464" s="2100"/>
      <c r="E464" s="2100"/>
      <c r="F464" s="2100"/>
      <c r="G464" s="2100"/>
      <c r="H464" s="2100"/>
      <c r="I464" s="2100"/>
      <c r="J464" s="2100"/>
      <c r="K464" s="2100"/>
    </row>
    <row r="465" spans="2:11">
      <c r="B465" s="12" t="s">
        <v>243</v>
      </c>
      <c r="C465" s="302"/>
      <c r="D465" s="302"/>
      <c r="E465" s="302"/>
      <c r="F465" s="302"/>
      <c r="G465" s="302"/>
      <c r="H465" s="302"/>
      <c r="I465" s="302"/>
      <c r="J465" s="302"/>
      <c r="K465" s="302"/>
    </row>
    <row r="466" spans="2:11">
      <c r="B466" s="62" t="s">
        <v>242</v>
      </c>
      <c r="C466" s="302"/>
      <c r="D466" s="302"/>
      <c r="E466" s="302"/>
      <c r="F466" s="302"/>
      <c r="G466" s="302"/>
      <c r="H466" s="302"/>
      <c r="I466" s="302"/>
      <c r="J466" s="302"/>
      <c r="K466" s="302"/>
    </row>
    <row r="467" spans="2:11">
      <c r="B467" s="64"/>
      <c r="C467" s="302"/>
      <c r="D467" s="302"/>
      <c r="E467" s="302"/>
      <c r="F467" s="302"/>
      <c r="G467" s="302"/>
      <c r="H467" s="302"/>
      <c r="I467" s="302"/>
      <c r="J467" s="302"/>
      <c r="K467" s="302"/>
    </row>
    <row r="468" spans="2:11">
      <c r="B468" s="61"/>
      <c r="C468" s="303">
        <v>2014</v>
      </c>
      <c r="D468" s="303">
        <v>2015</v>
      </c>
      <c r="E468" s="303">
        <v>2016</v>
      </c>
      <c r="F468" s="303">
        <v>2017</v>
      </c>
      <c r="G468" s="303">
        <v>2018</v>
      </c>
      <c r="H468" s="303">
        <v>2019</v>
      </c>
      <c r="I468" s="303">
        <v>2020</v>
      </c>
      <c r="J468" s="303">
        <v>2021</v>
      </c>
      <c r="K468" s="413"/>
    </row>
    <row r="469" spans="2:11">
      <c r="B469" s="488" t="s">
        <v>865</v>
      </c>
      <c r="C469" s="217"/>
      <c r="D469" s="217"/>
      <c r="E469" s="217"/>
      <c r="F469" s="217"/>
      <c r="G469" s="217"/>
      <c r="H469" s="217"/>
      <c r="I469" s="217"/>
      <c r="J469" s="217"/>
      <c r="K469" s="217"/>
    </row>
    <row r="470" spans="2:11">
      <c r="B470" s="71" t="s">
        <v>239</v>
      </c>
      <c r="C470" s="214">
        <v>0</v>
      </c>
      <c r="D470" s="214">
        <v>0</v>
      </c>
      <c r="E470" s="214">
        <v>0</v>
      </c>
      <c r="F470" s="489">
        <v>6837.8853402499999</v>
      </c>
      <c r="G470" s="489">
        <v>8286.4214424900001</v>
      </c>
      <c r="H470" s="489">
        <v>8012.2341999999999</v>
      </c>
      <c r="I470" s="489">
        <v>8474.6789439999993</v>
      </c>
      <c r="J470" s="489" t="s">
        <v>2086</v>
      </c>
      <c r="K470" s="490"/>
    </row>
    <row r="471" spans="2:11">
      <c r="B471" s="52"/>
      <c r="C471" s="3"/>
      <c r="D471" s="3"/>
      <c r="E471" s="3"/>
      <c r="F471" s="3"/>
      <c r="G471" s="3"/>
      <c r="H471" s="3"/>
      <c r="I471" s="3"/>
      <c r="J471" s="121"/>
    </row>
    <row r="472" spans="2:11">
      <c r="B472" s="83" t="s">
        <v>866</v>
      </c>
      <c r="C472" s="229"/>
      <c r="D472" s="229"/>
      <c r="E472" s="229"/>
      <c r="F472" s="229"/>
      <c r="G472" s="229"/>
      <c r="H472" s="229"/>
      <c r="I472" s="229"/>
      <c r="J472" s="229"/>
    </row>
    <row r="473" spans="2:11">
      <c r="B473" s="81" t="s">
        <v>239</v>
      </c>
      <c r="C473" s="229" t="s">
        <v>2086</v>
      </c>
      <c r="D473" s="229" t="s">
        <v>2086</v>
      </c>
      <c r="E473" s="229" t="s">
        <v>2086</v>
      </c>
      <c r="F473" s="491">
        <v>6764.7266551149996</v>
      </c>
      <c r="G473" s="491">
        <v>8138.0689857099997</v>
      </c>
      <c r="H473" s="491">
        <v>8320.1212300000007</v>
      </c>
      <c r="I473" s="491">
        <v>8486.2360599999993</v>
      </c>
      <c r="J473" s="229" t="s">
        <v>2086</v>
      </c>
    </row>
    <row r="474" spans="2:11">
      <c r="B474" s="82"/>
      <c r="C474" s="229"/>
      <c r="D474" s="229"/>
      <c r="E474" s="229"/>
      <c r="F474" s="229"/>
      <c r="G474" s="229"/>
      <c r="H474" s="229"/>
      <c r="I474" s="229"/>
      <c r="J474" s="229"/>
    </row>
    <row r="475" spans="2:11">
      <c r="B475" s="447" t="s">
        <v>867</v>
      </c>
      <c r="C475" s="229"/>
      <c r="D475" s="229"/>
      <c r="E475" s="229"/>
      <c r="F475" s="229"/>
      <c r="G475" s="229"/>
      <c r="H475" s="229"/>
      <c r="I475" s="229"/>
      <c r="J475" s="229"/>
    </row>
    <row r="476" spans="2:11">
      <c r="B476" s="82"/>
      <c r="C476" s="229"/>
      <c r="D476" s="229"/>
      <c r="E476" s="229"/>
      <c r="F476" s="229"/>
      <c r="G476" s="229"/>
      <c r="H476" s="229"/>
      <c r="I476" s="229"/>
      <c r="J476" s="229"/>
    </row>
    <row r="477" spans="2:11">
      <c r="B477" s="81"/>
      <c r="C477" s="229"/>
      <c r="D477" s="229"/>
      <c r="E477" s="229"/>
      <c r="F477" s="229"/>
      <c r="G477" s="229"/>
      <c r="H477" s="229"/>
      <c r="I477" s="229"/>
      <c r="J477" s="229"/>
    </row>
    <row r="478" spans="2:11">
      <c r="B478" s="2100" t="s">
        <v>238</v>
      </c>
      <c r="C478" s="2100"/>
      <c r="D478" s="2100"/>
      <c r="E478" s="2100"/>
      <c r="F478" s="2100"/>
      <c r="G478" s="2100"/>
      <c r="H478" s="2100"/>
      <c r="I478" s="2100"/>
      <c r="J478" s="2100"/>
      <c r="K478" s="2100"/>
    </row>
    <row r="479" spans="2:11">
      <c r="B479" s="12" t="s">
        <v>237</v>
      </c>
      <c r="C479" s="302"/>
      <c r="D479" s="302"/>
      <c r="E479" s="302"/>
      <c r="F479" s="302"/>
      <c r="G479" s="302"/>
      <c r="H479" s="302"/>
      <c r="I479" s="302"/>
      <c r="J479" s="302"/>
      <c r="K479" s="302"/>
    </row>
    <row r="480" spans="2:11">
      <c r="B480" s="62" t="s">
        <v>236</v>
      </c>
      <c r="C480" s="302"/>
      <c r="D480" s="302"/>
      <c r="E480" s="302"/>
      <c r="F480" s="302"/>
      <c r="G480" s="302"/>
      <c r="H480" s="302"/>
      <c r="I480" s="302"/>
      <c r="J480" s="302"/>
      <c r="K480" s="302"/>
    </row>
    <row r="481" spans="2:11">
      <c r="B481" s="64"/>
      <c r="C481" s="302"/>
      <c r="D481" s="302"/>
      <c r="E481" s="302"/>
      <c r="F481" s="302"/>
      <c r="G481" s="302"/>
      <c r="H481" s="302"/>
      <c r="I481" s="302"/>
      <c r="J481" s="302"/>
      <c r="K481" s="302"/>
    </row>
    <row r="482" spans="2:11">
      <c r="B482" s="61"/>
      <c r="C482" s="303">
        <v>2014</v>
      </c>
      <c r="D482" s="303">
        <v>2015</v>
      </c>
      <c r="E482" s="303">
        <v>2016</v>
      </c>
      <c r="F482" s="303">
        <v>2017</v>
      </c>
      <c r="G482" s="303">
        <v>2018</v>
      </c>
      <c r="H482" s="303">
        <v>2019</v>
      </c>
      <c r="I482" s="303">
        <v>2020</v>
      </c>
      <c r="J482" s="303">
        <v>2021</v>
      </c>
      <c r="K482" s="413"/>
    </row>
    <row r="483" spans="2:11">
      <c r="B483" s="76" t="s">
        <v>858</v>
      </c>
      <c r="C483" s="492"/>
      <c r="D483" s="492"/>
      <c r="E483" s="492"/>
      <c r="F483" s="492"/>
      <c r="G483" s="492"/>
      <c r="H483" s="492"/>
      <c r="I483" s="158"/>
      <c r="J483" s="158"/>
      <c r="K483" s="158"/>
    </row>
    <row r="484" spans="2:11">
      <c r="B484" s="71" t="s">
        <v>231</v>
      </c>
      <c r="C484" s="307">
        <v>3.8839999999999999</v>
      </c>
      <c r="D484" s="307">
        <v>3.9039999999999999</v>
      </c>
      <c r="E484" s="307">
        <v>5.4050000000000002</v>
      </c>
      <c r="F484" s="307">
        <v>6.0839999999999996</v>
      </c>
      <c r="G484" s="307">
        <v>4.0759999999999996</v>
      </c>
      <c r="H484" s="307">
        <v>8.4930000000000003</v>
      </c>
      <c r="I484" s="307">
        <v>7.859</v>
      </c>
      <c r="J484" s="491">
        <v>7489</v>
      </c>
      <c r="K484" s="307"/>
    </row>
    <row r="485" spans="2:11">
      <c r="B485" s="52" t="s">
        <v>121</v>
      </c>
      <c r="C485" s="307">
        <v>3.8839999999999999</v>
      </c>
      <c r="D485" s="307">
        <v>3.9039999999999999</v>
      </c>
      <c r="E485" s="307">
        <v>5.4050000000000002</v>
      </c>
      <c r="F485" s="307">
        <v>6.0839999999999996</v>
      </c>
      <c r="G485" s="307">
        <v>4.0759999999999996</v>
      </c>
      <c r="H485" s="307">
        <v>8.4930000000000003</v>
      </c>
      <c r="I485" s="307">
        <v>7.859</v>
      </c>
      <c r="J485" s="491">
        <v>7489</v>
      </c>
      <c r="K485" s="307"/>
    </row>
    <row r="486" spans="2:11">
      <c r="B486" s="53" t="s">
        <v>120</v>
      </c>
      <c r="C486" s="306">
        <v>0</v>
      </c>
      <c r="D486" s="306">
        <v>0</v>
      </c>
      <c r="E486" s="306">
        <v>0</v>
      </c>
      <c r="F486" s="306">
        <v>0</v>
      </c>
      <c r="G486" s="306">
        <v>0</v>
      </c>
      <c r="H486" s="306">
        <v>0</v>
      </c>
      <c r="I486" s="306">
        <v>0</v>
      </c>
      <c r="J486" s="229" t="s">
        <v>2086</v>
      </c>
      <c r="K486" s="306"/>
    </row>
    <row r="487" spans="2:11">
      <c r="B487" s="53" t="s">
        <v>119</v>
      </c>
      <c r="C487" s="3">
        <v>0</v>
      </c>
      <c r="D487" s="3">
        <v>0</v>
      </c>
      <c r="E487" s="3">
        <v>0</v>
      </c>
      <c r="F487" s="3">
        <v>0</v>
      </c>
      <c r="G487" s="3">
        <v>0</v>
      </c>
      <c r="H487" s="3">
        <v>0</v>
      </c>
      <c r="I487" s="3">
        <v>0</v>
      </c>
      <c r="J487" s="3">
        <v>0</v>
      </c>
    </row>
    <row r="488" spans="2:11">
      <c r="B488" s="71" t="s">
        <v>118</v>
      </c>
      <c r="C488" s="229" t="s">
        <v>2086</v>
      </c>
      <c r="D488" s="229" t="s">
        <v>2086</v>
      </c>
      <c r="E488" s="229" t="s">
        <v>2086</v>
      </c>
      <c r="F488" s="229" t="s">
        <v>2086</v>
      </c>
      <c r="G488" s="229" t="s">
        <v>2086</v>
      </c>
      <c r="H488" s="229" t="s">
        <v>2086</v>
      </c>
      <c r="I488" s="229" t="s">
        <v>2086</v>
      </c>
      <c r="J488" s="229" t="s">
        <v>2086</v>
      </c>
    </row>
    <row r="489" spans="2:11">
      <c r="B489" s="52" t="s">
        <v>117</v>
      </c>
      <c r="C489" s="229" t="s">
        <v>2086</v>
      </c>
      <c r="D489" s="229" t="s">
        <v>2086</v>
      </c>
      <c r="E489" s="229" t="s">
        <v>2086</v>
      </c>
      <c r="F489" s="229" t="s">
        <v>2086</v>
      </c>
      <c r="G489" s="229" t="s">
        <v>2086</v>
      </c>
      <c r="H489" s="229" t="s">
        <v>2086</v>
      </c>
      <c r="I489" s="229" t="s">
        <v>2086</v>
      </c>
      <c r="J489" s="229" t="s">
        <v>2086</v>
      </c>
    </row>
    <row r="490" spans="2:11">
      <c r="B490" s="52"/>
      <c r="C490" s="229"/>
      <c r="D490" s="229"/>
      <c r="E490" s="229"/>
      <c r="F490" s="229"/>
      <c r="G490" s="229"/>
      <c r="H490" s="229"/>
      <c r="I490" s="229"/>
      <c r="J490" s="229"/>
    </row>
    <row r="491" spans="2:11">
      <c r="B491" s="52" t="s">
        <v>230</v>
      </c>
      <c r="C491" s="229" t="s">
        <v>2086</v>
      </c>
      <c r="D491" s="229" t="s">
        <v>2086</v>
      </c>
      <c r="E491" s="229" t="s">
        <v>2086</v>
      </c>
      <c r="F491" s="229" t="s">
        <v>2086</v>
      </c>
      <c r="G491" s="229" t="s">
        <v>2086</v>
      </c>
      <c r="H491" s="229" t="s">
        <v>2086</v>
      </c>
      <c r="I491" s="229" t="s">
        <v>2086</v>
      </c>
      <c r="J491" s="229" t="s">
        <v>2086</v>
      </c>
    </row>
    <row r="492" spans="2:11">
      <c r="B492" s="52" t="s">
        <v>169</v>
      </c>
      <c r="C492" s="229" t="s">
        <v>2086</v>
      </c>
      <c r="D492" s="229" t="s">
        <v>2086</v>
      </c>
      <c r="E492" s="229" t="s">
        <v>2086</v>
      </c>
      <c r="F492" s="229" t="s">
        <v>2086</v>
      </c>
      <c r="G492" s="229" t="s">
        <v>2086</v>
      </c>
      <c r="H492" s="229" t="s">
        <v>2086</v>
      </c>
      <c r="I492" s="229" t="s">
        <v>2086</v>
      </c>
      <c r="J492" s="229" t="s">
        <v>2086</v>
      </c>
    </row>
    <row r="493" spans="2:11">
      <c r="B493" s="52" t="s">
        <v>168</v>
      </c>
      <c r="C493" s="229" t="s">
        <v>2086</v>
      </c>
      <c r="D493" s="229" t="s">
        <v>2086</v>
      </c>
      <c r="E493" s="229" t="s">
        <v>2086</v>
      </c>
      <c r="F493" s="229" t="s">
        <v>2086</v>
      </c>
      <c r="G493" s="229" t="s">
        <v>2086</v>
      </c>
      <c r="H493" s="229" t="s">
        <v>2086</v>
      </c>
      <c r="I493" s="229" t="s">
        <v>2086</v>
      </c>
      <c r="J493" s="229" t="s">
        <v>2086</v>
      </c>
    </row>
    <row r="494" spans="2:11">
      <c r="B494" s="52" t="s">
        <v>167</v>
      </c>
      <c r="C494" s="229" t="s">
        <v>2086</v>
      </c>
      <c r="D494" s="229" t="s">
        <v>2086</v>
      </c>
      <c r="E494" s="229" t="s">
        <v>2086</v>
      </c>
      <c r="F494" s="229" t="s">
        <v>2086</v>
      </c>
      <c r="G494" s="229" t="s">
        <v>2086</v>
      </c>
      <c r="H494" s="229" t="s">
        <v>2086</v>
      </c>
      <c r="I494" s="229" t="s">
        <v>2086</v>
      </c>
      <c r="J494" s="229" t="s">
        <v>2086</v>
      </c>
    </row>
    <row r="495" spans="2:11">
      <c r="B495" s="52" t="s">
        <v>166</v>
      </c>
      <c r="C495" s="3">
        <v>0</v>
      </c>
      <c r="D495" s="3">
        <v>0</v>
      </c>
      <c r="E495" s="3">
        <v>0</v>
      </c>
      <c r="F495" s="3">
        <v>0</v>
      </c>
      <c r="G495" s="3">
        <v>0</v>
      </c>
      <c r="H495" s="3">
        <v>0</v>
      </c>
      <c r="I495" s="3">
        <v>0</v>
      </c>
      <c r="J495" s="3">
        <v>0</v>
      </c>
    </row>
    <row r="496" spans="2:11">
      <c r="B496" s="52" t="s">
        <v>165</v>
      </c>
      <c r="C496" s="229" t="s">
        <v>2086</v>
      </c>
      <c r="D496" s="229" t="s">
        <v>2086</v>
      </c>
      <c r="E496" s="229" t="s">
        <v>2086</v>
      </c>
      <c r="F496" s="229" t="s">
        <v>2086</v>
      </c>
      <c r="G496" s="229" t="s">
        <v>2086</v>
      </c>
      <c r="H496" s="229" t="s">
        <v>2086</v>
      </c>
      <c r="I496" s="229" t="s">
        <v>2086</v>
      </c>
      <c r="J496" s="229" t="s">
        <v>2086</v>
      </c>
    </row>
    <row r="497" spans="2:11" ht="15" thickBot="1">
      <c r="B497" s="50" t="s">
        <v>164</v>
      </c>
      <c r="C497" s="493" t="s">
        <v>2086</v>
      </c>
      <c r="D497" s="493" t="s">
        <v>2086</v>
      </c>
      <c r="E497" s="493" t="s">
        <v>2086</v>
      </c>
      <c r="F497" s="493" t="s">
        <v>2086</v>
      </c>
      <c r="G497" s="493" t="s">
        <v>2086</v>
      </c>
      <c r="H497" s="493" t="s">
        <v>2086</v>
      </c>
      <c r="I497" s="493" t="s">
        <v>2086</v>
      </c>
      <c r="J497" s="493" t="s">
        <v>2086</v>
      </c>
    </row>
    <row r="498" spans="2:11" ht="15" thickTop="1">
      <c r="B498" s="52" t="s">
        <v>868</v>
      </c>
      <c r="C498" s="229"/>
      <c r="D498" s="229"/>
      <c r="E498" s="229"/>
      <c r="F498" s="229"/>
      <c r="G498" s="229"/>
      <c r="H498" s="229"/>
      <c r="I498" s="229"/>
      <c r="J498" s="229"/>
    </row>
    <row r="499" spans="2:11">
      <c r="B499" s="52"/>
      <c r="C499" s="229"/>
      <c r="D499" s="229"/>
      <c r="E499" s="229"/>
      <c r="F499" s="229"/>
      <c r="G499" s="229"/>
      <c r="H499" s="229"/>
      <c r="I499" s="229"/>
      <c r="J499" s="229"/>
    </row>
    <row r="500" spans="2:11">
      <c r="B500" s="52"/>
      <c r="C500" s="229"/>
      <c r="D500" s="229"/>
      <c r="E500" s="229"/>
      <c r="F500" s="229"/>
      <c r="G500" s="229"/>
      <c r="H500" s="229"/>
      <c r="I500" s="229"/>
      <c r="J500" s="229"/>
    </row>
    <row r="501" spans="2:11">
      <c r="B501" s="2100" t="s">
        <v>228</v>
      </c>
      <c r="C501" s="2100"/>
      <c r="D501" s="2100"/>
      <c r="E501" s="2100"/>
      <c r="F501" s="2100"/>
      <c r="G501" s="2100"/>
      <c r="H501" s="2100"/>
      <c r="I501" s="2100"/>
      <c r="J501" s="2100"/>
      <c r="K501" s="2100"/>
    </row>
    <row r="502" spans="2:11">
      <c r="B502" s="12" t="s">
        <v>227</v>
      </c>
      <c r="C502" s="302"/>
      <c r="D502" s="302"/>
      <c r="E502" s="302"/>
      <c r="F502" s="302"/>
      <c r="G502" s="302"/>
      <c r="H502" s="302"/>
      <c r="I502" s="302"/>
      <c r="J502" s="302"/>
      <c r="K502" s="302"/>
    </row>
    <row r="503" spans="2:11">
      <c r="B503" s="62" t="s">
        <v>127</v>
      </c>
      <c r="C503" s="302"/>
      <c r="D503" s="302"/>
      <c r="E503" s="302"/>
      <c r="F503" s="302"/>
      <c r="G503" s="302"/>
      <c r="H503" s="302"/>
      <c r="I503" s="302"/>
      <c r="J503" s="302"/>
      <c r="K503" s="302"/>
    </row>
    <row r="504" spans="2:11">
      <c r="B504" s="62"/>
      <c r="C504" s="302"/>
      <c r="D504" s="302"/>
      <c r="E504" s="302"/>
      <c r="F504" s="302"/>
      <c r="G504" s="302"/>
      <c r="H504" s="302"/>
      <c r="I504" s="302"/>
      <c r="J504" s="302"/>
      <c r="K504" s="302"/>
    </row>
    <row r="505" spans="2:11">
      <c r="B505" s="61"/>
      <c r="C505" s="303">
        <v>2014</v>
      </c>
      <c r="D505" s="303">
        <v>2015</v>
      </c>
      <c r="E505" s="303">
        <v>2016</v>
      </c>
      <c r="F505" s="303">
        <v>2017</v>
      </c>
      <c r="G505" s="303">
        <v>2018</v>
      </c>
      <c r="H505" s="303">
        <v>2019</v>
      </c>
      <c r="I505" s="303">
        <v>2020</v>
      </c>
      <c r="J505" s="303">
        <v>2021</v>
      </c>
      <c r="K505" s="413"/>
    </row>
    <row r="506" spans="2:11">
      <c r="B506" s="59" t="s">
        <v>486</v>
      </c>
      <c r="C506" s="302"/>
      <c r="D506" s="302"/>
      <c r="E506" s="302"/>
      <c r="F506" s="302"/>
      <c r="G506" s="302"/>
      <c r="H506" s="302"/>
      <c r="I506" s="302"/>
      <c r="J506" s="302"/>
      <c r="K506" s="302"/>
    </row>
    <row r="507" spans="2:11">
      <c r="B507" s="71" t="s">
        <v>222</v>
      </c>
      <c r="C507" s="306">
        <v>4386.26</v>
      </c>
      <c r="D507" s="306">
        <v>3266.08</v>
      </c>
      <c r="E507" s="306">
        <v>6691.8109999999997</v>
      </c>
      <c r="F507" s="306">
        <v>4918.4180779999997</v>
      </c>
      <c r="G507" s="306">
        <v>5244.9549999999999</v>
      </c>
      <c r="H507" s="306">
        <v>9308.4150000000009</v>
      </c>
      <c r="I507" s="306">
        <v>9872.2900000000009</v>
      </c>
      <c r="J507" s="229">
        <v>13453.124868519966</v>
      </c>
      <c r="K507" s="306"/>
    </row>
    <row r="508" spans="2:11">
      <c r="B508" s="52" t="s">
        <v>121</v>
      </c>
      <c r="C508" s="306">
        <v>4386.26</v>
      </c>
      <c r="D508" s="306">
        <v>3266.08</v>
      </c>
      <c r="E508" s="306">
        <v>6691.8109999999997</v>
      </c>
      <c r="F508" s="306">
        <v>4918.4180779999997</v>
      </c>
      <c r="G508" s="306">
        <v>5244.9549999999999</v>
      </c>
      <c r="H508" s="306">
        <v>9308.4150000000009</v>
      </c>
      <c r="I508" s="306">
        <v>9872.2900000000009</v>
      </c>
      <c r="J508" s="229">
        <v>13453.124868519966</v>
      </c>
      <c r="K508" s="306"/>
    </row>
    <row r="509" spans="2:11">
      <c r="B509" s="53" t="s">
        <v>120</v>
      </c>
      <c r="C509" s="3">
        <v>0</v>
      </c>
      <c r="D509" s="3">
        <v>0</v>
      </c>
      <c r="E509" s="3">
        <v>0</v>
      </c>
      <c r="F509" s="3">
        <v>0</v>
      </c>
      <c r="G509" s="3">
        <v>0</v>
      </c>
      <c r="H509" s="3">
        <v>0</v>
      </c>
      <c r="I509" s="3">
        <v>0</v>
      </c>
      <c r="J509" s="229" t="s">
        <v>2086</v>
      </c>
    </row>
    <row r="510" spans="2:11">
      <c r="B510" s="53" t="s">
        <v>119</v>
      </c>
      <c r="C510" s="229" t="s">
        <v>2086</v>
      </c>
      <c r="D510" s="229" t="s">
        <v>2086</v>
      </c>
      <c r="E510" s="229" t="s">
        <v>2086</v>
      </c>
      <c r="F510" s="229" t="s">
        <v>2086</v>
      </c>
      <c r="G510" s="229" t="s">
        <v>2086</v>
      </c>
      <c r="H510" s="229" t="s">
        <v>2086</v>
      </c>
      <c r="I510" s="229" t="s">
        <v>2086</v>
      </c>
      <c r="J510" s="229" t="s">
        <v>2086</v>
      </c>
    </row>
    <row r="511" spans="2:11">
      <c r="B511" s="52" t="s">
        <v>118</v>
      </c>
      <c r="C511" s="3">
        <v>0</v>
      </c>
      <c r="D511" s="3">
        <v>0</v>
      </c>
      <c r="E511" s="3">
        <v>0</v>
      </c>
      <c r="F511" s="3">
        <v>0</v>
      </c>
      <c r="G511" s="3">
        <v>0</v>
      </c>
      <c r="H511" s="3">
        <v>0</v>
      </c>
      <c r="I511" s="3">
        <v>0</v>
      </c>
      <c r="J511" s="3">
        <v>0</v>
      </c>
    </row>
    <row r="512" spans="2:11">
      <c r="B512" s="52" t="s">
        <v>117</v>
      </c>
      <c r="C512" s="229" t="s">
        <v>2086</v>
      </c>
      <c r="D512" s="229" t="s">
        <v>2086</v>
      </c>
      <c r="E512" s="229" t="s">
        <v>2086</v>
      </c>
      <c r="F512" s="229" t="s">
        <v>2086</v>
      </c>
      <c r="G512" s="229" t="s">
        <v>2086</v>
      </c>
      <c r="H512" s="229" t="s">
        <v>2086</v>
      </c>
      <c r="I512" s="229" t="s">
        <v>2086</v>
      </c>
      <c r="J512" s="229" t="s">
        <v>2086</v>
      </c>
    </row>
    <row r="513" spans="2:11">
      <c r="B513" s="52"/>
      <c r="C513" s="229"/>
      <c r="D513" s="229"/>
      <c r="E513" s="229"/>
      <c r="F513" s="229"/>
      <c r="G513" s="229"/>
      <c r="H513" s="229"/>
      <c r="I513" s="229"/>
      <c r="J513" s="229"/>
    </row>
    <row r="514" spans="2:11">
      <c r="B514" s="71" t="s">
        <v>221</v>
      </c>
      <c r="C514" s="229" t="s">
        <v>2086</v>
      </c>
      <c r="D514" s="229" t="s">
        <v>2086</v>
      </c>
      <c r="E514" s="229" t="s">
        <v>2086</v>
      </c>
      <c r="F514" s="229" t="s">
        <v>2086</v>
      </c>
      <c r="G514" s="229" t="s">
        <v>2086</v>
      </c>
      <c r="H514" s="229" t="s">
        <v>2086</v>
      </c>
      <c r="I514" s="229" t="s">
        <v>2086</v>
      </c>
      <c r="J514" s="229" t="s">
        <v>2086</v>
      </c>
    </row>
    <row r="515" spans="2:11">
      <c r="B515" s="52" t="s">
        <v>169</v>
      </c>
      <c r="C515" s="229" t="s">
        <v>2086</v>
      </c>
      <c r="D515" s="229" t="s">
        <v>2086</v>
      </c>
      <c r="E515" s="229" t="s">
        <v>2086</v>
      </c>
      <c r="F515" s="229" t="s">
        <v>2086</v>
      </c>
      <c r="G515" s="229" t="s">
        <v>2086</v>
      </c>
      <c r="H515" s="229" t="s">
        <v>2086</v>
      </c>
      <c r="I515" s="229" t="s">
        <v>2086</v>
      </c>
      <c r="J515" s="229" t="s">
        <v>2086</v>
      </c>
    </row>
    <row r="516" spans="2:11">
      <c r="B516" s="52" t="s">
        <v>168</v>
      </c>
      <c r="C516" s="229" t="s">
        <v>2086</v>
      </c>
      <c r="D516" s="229" t="s">
        <v>2086</v>
      </c>
      <c r="E516" s="229" t="s">
        <v>2086</v>
      </c>
      <c r="F516" s="229" t="s">
        <v>2086</v>
      </c>
      <c r="G516" s="229" t="s">
        <v>2086</v>
      </c>
      <c r="H516" s="229" t="s">
        <v>2086</v>
      </c>
      <c r="I516" s="229" t="s">
        <v>2086</v>
      </c>
      <c r="J516" s="229" t="s">
        <v>2086</v>
      </c>
    </row>
    <row r="517" spans="2:11">
      <c r="B517" s="52" t="s">
        <v>167</v>
      </c>
      <c r="C517" s="229" t="s">
        <v>2086</v>
      </c>
      <c r="D517" s="229" t="s">
        <v>2086</v>
      </c>
      <c r="E517" s="229" t="s">
        <v>2086</v>
      </c>
      <c r="F517" s="229" t="s">
        <v>2086</v>
      </c>
      <c r="G517" s="229" t="s">
        <v>2086</v>
      </c>
      <c r="H517" s="229" t="s">
        <v>2086</v>
      </c>
      <c r="I517" s="229" t="s">
        <v>2086</v>
      </c>
      <c r="J517" s="229" t="s">
        <v>2086</v>
      </c>
    </row>
    <row r="518" spans="2:11">
      <c r="B518" s="52" t="s">
        <v>166</v>
      </c>
      <c r="C518" s="229" t="s">
        <v>2086</v>
      </c>
      <c r="D518" s="229" t="s">
        <v>2086</v>
      </c>
      <c r="E518" s="229" t="s">
        <v>2086</v>
      </c>
      <c r="F518" s="229" t="s">
        <v>2086</v>
      </c>
      <c r="G518" s="229" t="s">
        <v>2086</v>
      </c>
      <c r="H518" s="229" t="s">
        <v>2086</v>
      </c>
      <c r="I518" s="229" t="s">
        <v>2086</v>
      </c>
      <c r="J518" s="229" t="s">
        <v>2086</v>
      </c>
    </row>
    <row r="519" spans="2:11">
      <c r="B519" s="52" t="s">
        <v>165</v>
      </c>
      <c r="C519" s="3">
        <v>0</v>
      </c>
      <c r="D519" s="3">
        <v>0</v>
      </c>
      <c r="E519" s="3">
        <v>0</v>
      </c>
      <c r="F519" s="3">
        <v>0</v>
      </c>
      <c r="G519" s="3">
        <v>0</v>
      </c>
      <c r="H519" s="3">
        <v>0</v>
      </c>
      <c r="I519" s="3">
        <v>0</v>
      </c>
      <c r="J519" s="3">
        <v>0</v>
      </c>
    </row>
    <row r="520" spans="2:11" ht="15" thickBot="1">
      <c r="B520" s="50" t="s">
        <v>164</v>
      </c>
      <c r="C520" s="493" t="s">
        <v>2086</v>
      </c>
      <c r="D520" s="493" t="s">
        <v>2086</v>
      </c>
      <c r="E520" s="493" t="s">
        <v>2086</v>
      </c>
      <c r="F520" s="493" t="s">
        <v>2086</v>
      </c>
      <c r="G520" s="493" t="s">
        <v>2086</v>
      </c>
      <c r="H520" s="493" t="s">
        <v>2086</v>
      </c>
      <c r="I520" s="493" t="s">
        <v>2086</v>
      </c>
      <c r="J520" s="493" t="s">
        <v>2086</v>
      </c>
    </row>
    <row r="521" spans="2:11" ht="15" thickTop="1">
      <c r="B521" s="447" t="s">
        <v>869</v>
      </c>
      <c r="C521" s="229"/>
      <c r="D521" s="229"/>
      <c r="E521" s="229"/>
      <c r="F521" s="229"/>
      <c r="G521" s="229"/>
      <c r="H521" s="229"/>
      <c r="I521" s="229"/>
      <c r="J521" s="229"/>
    </row>
    <row r="522" spans="2:11">
      <c r="B522" s="82"/>
      <c r="C522" s="229"/>
      <c r="D522" s="229"/>
      <c r="E522" s="229"/>
      <c r="F522" s="229"/>
      <c r="G522" s="229"/>
      <c r="H522" s="229"/>
      <c r="I522" s="229"/>
      <c r="J522" s="229"/>
    </row>
    <row r="523" spans="2:11">
      <c r="B523" s="82"/>
      <c r="C523" s="229"/>
      <c r="D523" s="229"/>
      <c r="E523" s="229"/>
      <c r="F523" s="229"/>
      <c r="G523" s="229"/>
      <c r="H523" s="229"/>
      <c r="I523" s="229"/>
      <c r="J523" s="229"/>
    </row>
    <row r="524" spans="2:11">
      <c r="B524" s="2100" t="s">
        <v>219</v>
      </c>
      <c r="C524" s="2100"/>
      <c r="D524" s="2100"/>
      <c r="E524" s="2100"/>
      <c r="F524" s="2100"/>
      <c r="G524" s="2100"/>
      <c r="H524" s="2100"/>
      <c r="I524" s="2100"/>
      <c r="J524" s="2100"/>
      <c r="K524" s="2100"/>
    </row>
    <row r="525" spans="2:11">
      <c r="B525" s="12" t="s">
        <v>218</v>
      </c>
      <c r="C525" s="302"/>
      <c r="D525" s="302"/>
      <c r="E525" s="302"/>
      <c r="F525" s="302"/>
      <c r="G525" s="302"/>
      <c r="H525" s="302"/>
      <c r="I525" s="302"/>
      <c r="J525" s="302"/>
      <c r="K525" s="302"/>
    </row>
    <row r="526" spans="2:11">
      <c r="B526" s="77" t="s">
        <v>269</v>
      </c>
      <c r="C526" s="302"/>
      <c r="D526" s="302"/>
      <c r="E526" s="302"/>
      <c r="F526" s="302"/>
      <c r="G526" s="302"/>
      <c r="H526" s="302"/>
      <c r="I526" s="302"/>
      <c r="J526" s="302"/>
      <c r="K526" s="302"/>
    </row>
    <row r="527" spans="2:11">
      <c r="B527" s="76"/>
      <c r="C527" s="302"/>
      <c r="D527" s="302"/>
      <c r="E527" s="302"/>
      <c r="F527" s="302"/>
      <c r="G527" s="302"/>
      <c r="H527" s="302"/>
      <c r="I527" s="302"/>
      <c r="J527" s="302"/>
      <c r="K527" s="302"/>
    </row>
    <row r="528" spans="2:11">
      <c r="B528" s="61"/>
      <c r="C528" s="303">
        <v>2014</v>
      </c>
      <c r="D528" s="303">
        <v>2015</v>
      </c>
      <c r="E528" s="303">
        <v>2016</v>
      </c>
      <c r="F528" s="303">
        <v>2017</v>
      </c>
      <c r="G528" s="303">
        <v>2018</v>
      </c>
      <c r="H528" s="303">
        <v>2019</v>
      </c>
      <c r="I528" s="303">
        <v>2020</v>
      </c>
      <c r="J528" s="303">
        <v>2021</v>
      </c>
      <c r="K528" s="303"/>
    </row>
    <row r="529" spans="2:11">
      <c r="B529" s="59" t="s">
        <v>697</v>
      </c>
      <c r="C529" s="339"/>
      <c r="D529" s="339"/>
      <c r="E529" s="339"/>
      <c r="F529" s="339"/>
      <c r="G529" s="339"/>
      <c r="H529" s="339"/>
      <c r="I529" s="339"/>
      <c r="J529" s="302"/>
      <c r="K529" s="302"/>
    </row>
    <row r="530" spans="2:11">
      <c r="B530" s="71" t="s">
        <v>217</v>
      </c>
      <c r="C530" s="235">
        <v>1</v>
      </c>
      <c r="D530" s="235">
        <v>1</v>
      </c>
      <c r="E530" s="235">
        <v>1</v>
      </c>
      <c r="F530" s="235">
        <v>1</v>
      </c>
      <c r="G530" s="235">
        <v>1</v>
      </c>
      <c r="H530" s="235">
        <v>1</v>
      </c>
      <c r="I530" s="235">
        <v>1</v>
      </c>
      <c r="J530" s="235">
        <v>1</v>
      </c>
      <c r="K530" s="235"/>
    </row>
    <row r="531" spans="2:11">
      <c r="B531" s="52" t="s">
        <v>150</v>
      </c>
      <c r="C531" s="235">
        <v>1</v>
      </c>
      <c r="D531" s="235">
        <v>1</v>
      </c>
      <c r="E531" s="235">
        <v>1</v>
      </c>
      <c r="F531" s="235">
        <v>1</v>
      </c>
      <c r="G531" s="235">
        <v>1</v>
      </c>
      <c r="H531" s="235">
        <v>1</v>
      </c>
      <c r="I531" s="235">
        <v>1</v>
      </c>
      <c r="J531" s="235">
        <v>1</v>
      </c>
      <c r="K531" s="235"/>
    </row>
    <row r="532" spans="2:11">
      <c r="B532" s="52" t="s">
        <v>214</v>
      </c>
      <c r="C532" s="321">
        <v>0</v>
      </c>
      <c r="D532" s="321">
        <v>0</v>
      </c>
      <c r="E532" s="321">
        <v>0</v>
      </c>
      <c r="F532" s="321">
        <v>0</v>
      </c>
      <c r="G532" s="321">
        <v>0</v>
      </c>
      <c r="H532" s="321">
        <v>0</v>
      </c>
      <c r="I532" s="321">
        <v>0</v>
      </c>
      <c r="J532" s="321">
        <v>0</v>
      </c>
      <c r="K532" s="321"/>
    </row>
    <row r="533" spans="2:11">
      <c r="B533" s="52" t="s">
        <v>147</v>
      </c>
      <c r="C533" s="321">
        <v>0</v>
      </c>
      <c r="D533" s="321">
        <v>0</v>
      </c>
      <c r="E533" s="321">
        <v>0</v>
      </c>
      <c r="F533" s="321">
        <v>0</v>
      </c>
      <c r="G533" s="321">
        <v>0</v>
      </c>
      <c r="H533" s="321">
        <v>0</v>
      </c>
      <c r="I533" s="321">
        <v>0</v>
      </c>
      <c r="J533" s="321">
        <v>0</v>
      </c>
      <c r="K533" s="321"/>
    </row>
    <row r="534" spans="2:11">
      <c r="B534" s="81" t="s">
        <v>146</v>
      </c>
      <c r="C534" s="3">
        <v>1</v>
      </c>
      <c r="D534" s="3">
        <v>1</v>
      </c>
      <c r="E534" s="3">
        <v>1</v>
      </c>
      <c r="F534" s="3">
        <v>1</v>
      </c>
      <c r="G534" s="3">
        <v>1</v>
      </c>
      <c r="H534" s="3">
        <v>1</v>
      </c>
      <c r="I534" s="3">
        <v>1</v>
      </c>
      <c r="J534" s="321">
        <v>0</v>
      </c>
    </row>
    <row r="535" spans="2:11">
      <c r="B535" s="71"/>
      <c r="C535" s="229"/>
      <c r="D535" s="229"/>
      <c r="E535" s="229"/>
      <c r="F535" s="229"/>
      <c r="G535" s="229"/>
      <c r="H535" s="229"/>
      <c r="I535" s="229"/>
      <c r="J535" s="229"/>
    </row>
    <row r="536" spans="2:11">
      <c r="B536" s="152" t="s">
        <v>216</v>
      </c>
      <c r="C536" s="229">
        <v>1</v>
      </c>
      <c r="D536" s="229">
        <v>1</v>
      </c>
      <c r="E536" s="229">
        <v>1</v>
      </c>
      <c r="F536" s="229">
        <v>1</v>
      </c>
      <c r="G536" s="229">
        <v>1</v>
      </c>
      <c r="H536" s="229">
        <v>1</v>
      </c>
      <c r="I536" s="229">
        <v>1</v>
      </c>
      <c r="J536" s="229">
        <v>1</v>
      </c>
    </row>
    <row r="537" spans="2:11">
      <c r="B537" s="52" t="s">
        <v>150</v>
      </c>
      <c r="C537" s="229">
        <v>1</v>
      </c>
      <c r="D537" s="229">
        <v>1</v>
      </c>
      <c r="E537" s="229">
        <v>1</v>
      </c>
      <c r="F537" s="229">
        <v>1</v>
      </c>
      <c r="G537" s="229">
        <v>1</v>
      </c>
      <c r="H537" s="229">
        <v>1</v>
      </c>
      <c r="I537" s="229">
        <v>1</v>
      </c>
      <c r="J537" s="229">
        <v>1</v>
      </c>
    </row>
    <row r="538" spans="2:11">
      <c r="B538" s="52" t="s">
        <v>214</v>
      </c>
      <c r="C538" s="229" t="s">
        <v>2086</v>
      </c>
      <c r="D538" s="229" t="s">
        <v>2086</v>
      </c>
      <c r="E538" s="229" t="s">
        <v>2086</v>
      </c>
      <c r="F538" s="229" t="s">
        <v>2086</v>
      </c>
      <c r="G538" s="229" t="s">
        <v>2086</v>
      </c>
      <c r="H538" s="229" t="s">
        <v>2086</v>
      </c>
      <c r="I538" s="229" t="s">
        <v>2086</v>
      </c>
      <c r="J538" s="229" t="s">
        <v>2086</v>
      </c>
    </row>
    <row r="539" spans="2:11">
      <c r="B539" s="52" t="s">
        <v>147</v>
      </c>
      <c r="C539" s="229" t="s">
        <v>2086</v>
      </c>
      <c r="D539" s="229" t="s">
        <v>2086</v>
      </c>
      <c r="E539" s="229" t="s">
        <v>2086</v>
      </c>
      <c r="F539" s="229" t="s">
        <v>2086</v>
      </c>
      <c r="G539" s="229" t="s">
        <v>2086</v>
      </c>
      <c r="H539" s="229" t="s">
        <v>2086</v>
      </c>
      <c r="I539" s="229" t="s">
        <v>2086</v>
      </c>
      <c r="J539" s="229" t="s">
        <v>2086</v>
      </c>
    </row>
    <row r="540" spans="2:11">
      <c r="B540" s="52" t="s">
        <v>146</v>
      </c>
      <c r="C540" s="229">
        <v>1</v>
      </c>
      <c r="D540" s="229">
        <v>1</v>
      </c>
      <c r="E540" s="229">
        <v>1</v>
      </c>
      <c r="F540" s="229">
        <v>1</v>
      </c>
      <c r="G540" s="229">
        <v>1</v>
      </c>
      <c r="H540" s="229">
        <v>1</v>
      </c>
      <c r="I540" s="229">
        <v>1</v>
      </c>
      <c r="J540" s="229" t="s">
        <v>2086</v>
      </c>
    </row>
    <row r="541" spans="2:11">
      <c r="B541" s="52"/>
      <c r="C541" s="229"/>
      <c r="D541" s="229"/>
      <c r="E541" s="229"/>
      <c r="F541" s="229"/>
      <c r="G541" s="229"/>
      <c r="H541" s="229"/>
      <c r="I541" s="229"/>
      <c r="J541" s="229"/>
    </row>
    <row r="542" spans="2:11">
      <c r="B542" s="152" t="s">
        <v>215</v>
      </c>
      <c r="C542" s="3">
        <v>0</v>
      </c>
      <c r="D542" s="3">
        <v>0</v>
      </c>
      <c r="E542" s="3">
        <v>0</v>
      </c>
      <c r="F542" s="3">
        <v>0</v>
      </c>
      <c r="G542" s="3">
        <v>0</v>
      </c>
      <c r="H542" s="3">
        <v>0</v>
      </c>
      <c r="I542" s="3">
        <v>0</v>
      </c>
      <c r="J542" s="3">
        <v>0</v>
      </c>
    </row>
    <row r="543" spans="2:11">
      <c r="B543" s="52" t="s">
        <v>150</v>
      </c>
      <c r="C543" s="229" t="s">
        <v>2086</v>
      </c>
      <c r="D543" s="229" t="s">
        <v>2086</v>
      </c>
      <c r="E543" s="229" t="s">
        <v>2086</v>
      </c>
      <c r="F543" s="229" t="s">
        <v>2086</v>
      </c>
      <c r="G543" s="229" t="s">
        <v>2086</v>
      </c>
      <c r="H543" s="229" t="s">
        <v>2086</v>
      </c>
      <c r="I543" s="229" t="s">
        <v>2086</v>
      </c>
      <c r="J543" s="229" t="s">
        <v>2086</v>
      </c>
    </row>
    <row r="544" spans="2:11">
      <c r="B544" s="52" t="s">
        <v>214</v>
      </c>
      <c r="C544" s="229" t="s">
        <v>2086</v>
      </c>
      <c r="D544" s="229" t="s">
        <v>2086</v>
      </c>
      <c r="E544" s="229" t="s">
        <v>2086</v>
      </c>
      <c r="F544" s="229" t="s">
        <v>2086</v>
      </c>
      <c r="G544" s="229" t="s">
        <v>2086</v>
      </c>
      <c r="H544" s="229" t="s">
        <v>2086</v>
      </c>
      <c r="I544" s="229" t="s">
        <v>2086</v>
      </c>
      <c r="J544" s="229" t="s">
        <v>2086</v>
      </c>
    </row>
    <row r="545" spans="2:11">
      <c r="B545" s="52" t="s">
        <v>147</v>
      </c>
      <c r="C545" s="229" t="s">
        <v>2086</v>
      </c>
      <c r="D545" s="229" t="s">
        <v>2086</v>
      </c>
      <c r="E545" s="229" t="s">
        <v>2086</v>
      </c>
      <c r="F545" s="229" t="s">
        <v>2086</v>
      </c>
      <c r="G545" s="229" t="s">
        <v>2086</v>
      </c>
      <c r="H545" s="229" t="s">
        <v>2086</v>
      </c>
      <c r="I545" s="229" t="s">
        <v>2086</v>
      </c>
      <c r="J545" s="229" t="s">
        <v>2086</v>
      </c>
    </row>
    <row r="546" spans="2:11" ht="15" thickBot="1">
      <c r="B546" s="50" t="s">
        <v>146</v>
      </c>
      <c r="C546" s="493" t="s">
        <v>2086</v>
      </c>
      <c r="D546" s="493" t="s">
        <v>2086</v>
      </c>
      <c r="E546" s="493" t="s">
        <v>2086</v>
      </c>
      <c r="F546" s="493" t="s">
        <v>2086</v>
      </c>
      <c r="G546" s="493" t="s">
        <v>2086</v>
      </c>
      <c r="H546" s="493" t="s">
        <v>2086</v>
      </c>
      <c r="I546" s="493" t="s">
        <v>2086</v>
      </c>
      <c r="J546" s="493" t="s">
        <v>2086</v>
      </c>
    </row>
    <row r="547" spans="2:11" ht="15" thickTop="1">
      <c r="B547" s="152" t="s">
        <v>869</v>
      </c>
      <c r="C547" s="229"/>
      <c r="D547" s="229"/>
      <c r="E547" s="229"/>
      <c r="F547" s="229"/>
      <c r="G547" s="229"/>
      <c r="H547" s="229"/>
      <c r="I547" s="229"/>
      <c r="J547" s="229"/>
    </row>
    <row r="548" spans="2:11">
      <c r="B548" s="52"/>
      <c r="C548" s="229"/>
      <c r="D548" s="229"/>
      <c r="E548" s="229"/>
      <c r="F548" s="229"/>
      <c r="G548" s="229"/>
      <c r="H548" s="229"/>
      <c r="I548" s="229"/>
      <c r="J548" s="229"/>
    </row>
    <row r="549" spans="2:11">
      <c r="B549" s="2100" t="s">
        <v>212</v>
      </c>
      <c r="C549" s="2100"/>
      <c r="D549" s="2100"/>
      <c r="E549" s="2100"/>
      <c r="F549" s="2100"/>
      <c r="G549" s="2100"/>
      <c r="H549" s="2100"/>
      <c r="I549" s="2100"/>
      <c r="J549" s="2100"/>
      <c r="K549" s="2100"/>
    </row>
    <row r="550" spans="2:11">
      <c r="B550" s="12" t="s">
        <v>211</v>
      </c>
      <c r="C550" s="302"/>
      <c r="D550" s="302"/>
      <c r="E550" s="302"/>
      <c r="F550" s="302"/>
      <c r="G550" s="302"/>
      <c r="H550" s="302"/>
      <c r="I550" s="302"/>
      <c r="J550" s="302"/>
      <c r="K550" s="302"/>
    </row>
    <row r="551" spans="2:11">
      <c r="B551" s="64" t="s">
        <v>210</v>
      </c>
      <c r="C551" s="302"/>
      <c r="D551" s="302"/>
      <c r="E551" s="302"/>
      <c r="F551" s="302"/>
      <c r="G551" s="302"/>
      <c r="H551" s="302"/>
      <c r="I551" s="302"/>
      <c r="J551" s="302"/>
      <c r="K551" s="302"/>
    </row>
    <row r="552" spans="2:11">
      <c r="B552" s="64"/>
      <c r="C552" s="302"/>
      <c r="D552" s="302"/>
      <c r="E552" s="302"/>
      <c r="F552" s="302"/>
      <c r="G552" s="302"/>
      <c r="H552" s="302"/>
      <c r="I552" s="302"/>
      <c r="J552" s="302"/>
      <c r="K552" s="302"/>
    </row>
    <row r="553" spans="2:11">
      <c r="B553" s="61"/>
      <c r="C553" s="303">
        <v>2014</v>
      </c>
      <c r="D553" s="303">
        <v>2015</v>
      </c>
      <c r="E553" s="303">
        <v>2016</v>
      </c>
      <c r="F553" s="303">
        <v>2017</v>
      </c>
      <c r="G553" s="303">
        <v>2018</v>
      </c>
      <c r="H553" s="303">
        <v>2019</v>
      </c>
      <c r="I553" s="303">
        <v>2020</v>
      </c>
      <c r="J553" s="303">
        <v>2021</v>
      </c>
      <c r="K553" s="413"/>
    </row>
    <row r="554" spans="2:11">
      <c r="B554" s="59" t="s">
        <v>697</v>
      </c>
      <c r="C554" s="302"/>
      <c r="D554" s="302"/>
      <c r="E554" s="302"/>
      <c r="F554" s="302"/>
      <c r="G554" s="302"/>
      <c r="H554" s="302"/>
      <c r="I554" s="302"/>
      <c r="J554" s="302"/>
      <c r="K554" s="302"/>
    </row>
    <row r="555" spans="2:11">
      <c r="B555" s="71" t="s">
        <v>209</v>
      </c>
      <c r="C555" s="307">
        <f>C557</f>
        <v>3.8839999999999999</v>
      </c>
      <c r="D555" s="307">
        <f t="shared" ref="D555" si="65">D557</f>
        <v>3.9039999999999999</v>
      </c>
      <c r="E555" s="307">
        <v>5.4050000000000002</v>
      </c>
      <c r="F555" s="307">
        <v>6.0839999999999996</v>
      </c>
      <c r="G555" s="307">
        <v>4.0759999999999996</v>
      </c>
      <c r="H555" s="307">
        <v>8.4930000000000003</v>
      </c>
      <c r="I555" s="307">
        <v>7.859</v>
      </c>
      <c r="J555" s="306">
        <v>7489</v>
      </c>
      <c r="K555" s="307"/>
    </row>
    <row r="556" spans="2:11">
      <c r="B556" s="71"/>
      <c r="C556" s="307"/>
      <c r="D556" s="307"/>
      <c r="E556" s="307"/>
      <c r="F556" s="307"/>
      <c r="G556" s="307"/>
      <c r="H556" s="307"/>
      <c r="I556" s="307"/>
      <c r="J556" s="307"/>
      <c r="K556" s="307"/>
    </row>
    <row r="557" spans="2:11">
      <c r="B557" s="71" t="s">
        <v>208</v>
      </c>
      <c r="C557" s="307">
        <f t="shared" ref="C557:D557" si="66">SUM(C558,C562,C563)</f>
        <v>3.8839999999999999</v>
      </c>
      <c r="D557" s="307">
        <f t="shared" si="66"/>
        <v>3.9039999999999999</v>
      </c>
      <c r="E557" s="307">
        <v>5.4050000000000002</v>
      </c>
      <c r="F557" s="307">
        <v>6.0839999999999996</v>
      </c>
      <c r="G557" s="307">
        <v>4.0759999999999996</v>
      </c>
      <c r="H557" s="307">
        <v>8.4930000000000003</v>
      </c>
      <c r="I557" s="307">
        <v>7.859</v>
      </c>
      <c r="J557" s="306">
        <v>7489</v>
      </c>
      <c r="K557" s="307"/>
    </row>
    <row r="558" spans="2:11">
      <c r="B558" s="52" t="s">
        <v>121</v>
      </c>
      <c r="C558" s="307">
        <v>3.8839999999999999</v>
      </c>
      <c r="D558" s="307">
        <v>3.9039999999999999</v>
      </c>
      <c r="E558" s="307">
        <v>5.4050000000000002</v>
      </c>
      <c r="F558" s="307">
        <v>6.0839999999999996</v>
      </c>
      <c r="G558" s="307">
        <v>4.0759999999999996</v>
      </c>
      <c r="H558" s="307">
        <v>8.4930000000000003</v>
      </c>
      <c r="I558" s="307">
        <v>7.859</v>
      </c>
      <c r="J558" s="306">
        <v>7489</v>
      </c>
      <c r="K558" s="307"/>
    </row>
    <row r="559" spans="2:11">
      <c r="B559" s="53" t="s">
        <v>120</v>
      </c>
      <c r="C559" s="235" t="s">
        <v>2086</v>
      </c>
      <c r="D559" s="235" t="s">
        <v>2086</v>
      </c>
      <c r="E559" s="235" t="s">
        <v>2086</v>
      </c>
      <c r="F559" s="235" t="s">
        <v>2086</v>
      </c>
      <c r="G559" s="235" t="s">
        <v>2086</v>
      </c>
      <c r="H559" s="235" t="s">
        <v>2086</v>
      </c>
      <c r="I559" s="235" t="s">
        <v>2086</v>
      </c>
      <c r="J559" s="235" t="s">
        <v>2086</v>
      </c>
      <c r="K559" s="235"/>
    </row>
    <row r="560" spans="2:11">
      <c r="B560" s="53" t="s">
        <v>119</v>
      </c>
      <c r="C560" s="235" t="s">
        <v>2086</v>
      </c>
      <c r="D560" s="235" t="s">
        <v>2086</v>
      </c>
      <c r="E560" s="235" t="s">
        <v>2086</v>
      </c>
      <c r="F560" s="235" t="s">
        <v>2086</v>
      </c>
      <c r="G560" s="235" t="s">
        <v>2086</v>
      </c>
      <c r="H560" s="235" t="s">
        <v>2086</v>
      </c>
      <c r="I560" s="235" t="s">
        <v>2086</v>
      </c>
      <c r="J560" s="235" t="s">
        <v>2086</v>
      </c>
      <c r="K560" s="235"/>
    </row>
    <row r="561" spans="2:11">
      <c r="B561" s="53" t="s">
        <v>172</v>
      </c>
      <c r="C561" s="235" t="s">
        <v>2086</v>
      </c>
      <c r="D561" s="235" t="s">
        <v>2086</v>
      </c>
      <c r="E561" s="235" t="s">
        <v>2086</v>
      </c>
      <c r="F561" s="235" t="s">
        <v>2086</v>
      </c>
      <c r="G561" s="235" t="s">
        <v>2086</v>
      </c>
      <c r="H561" s="235" t="s">
        <v>2086</v>
      </c>
      <c r="I561" s="235" t="s">
        <v>2086</v>
      </c>
      <c r="J561" s="235" t="s">
        <v>2086</v>
      </c>
      <c r="K561" s="235"/>
    </row>
    <row r="562" spans="2:11">
      <c r="B562" s="52" t="s">
        <v>118</v>
      </c>
      <c r="C562" s="235" t="s">
        <v>2086</v>
      </c>
      <c r="D562" s="235" t="s">
        <v>2086</v>
      </c>
      <c r="E562" s="235" t="s">
        <v>2086</v>
      </c>
      <c r="F562" s="235" t="s">
        <v>2086</v>
      </c>
      <c r="G562" s="235" t="s">
        <v>2086</v>
      </c>
      <c r="H562" s="235" t="s">
        <v>2086</v>
      </c>
      <c r="I562" s="235" t="s">
        <v>2086</v>
      </c>
      <c r="J562" s="235" t="s">
        <v>2086</v>
      </c>
      <c r="K562" s="235"/>
    </row>
    <row r="563" spans="2:11">
      <c r="B563" s="52" t="s">
        <v>117</v>
      </c>
      <c r="C563" s="235" t="s">
        <v>2086</v>
      </c>
      <c r="D563" s="235" t="s">
        <v>2086</v>
      </c>
      <c r="E563" s="235" t="s">
        <v>2086</v>
      </c>
      <c r="F563" s="235" t="s">
        <v>2086</v>
      </c>
      <c r="G563" s="235" t="s">
        <v>2086</v>
      </c>
      <c r="H563" s="235" t="s">
        <v>2086</v>
      </c>
      <c r="I563" s="235" t="s">
        <v>2086</v>
      </c>
      <c r="J563" s="235" t="s">
        <v>2086</v>
      </c>
      <c r="K563" s="235"/>
    </row>
    <row r="564" spans="2:11">
      <c r="B564" s="71"/>
      <c r="C564" s="234"/>
      <c r="D564" s="234"/>
      <c r="E564" s="234"/>
      <c r="F564" s="234"/>
      <c r="G564" s="234"/>
      <c r="H564" s="234"/>
      <c r="I564" s="234"/>
      <c r="J564" s="234"/>
    </row>
    <row r="565" spans="2:11">
      <c r="B565" s="52" t="s">
        <v>205</v>
      </c>
      <c r="C565" s="234">
        <v>0</v>
      </c>
      <c r="D565" s="234">
        <v>0</v>
      </c>
      <c r="E565" s="234">
        <v>0</v>
      </c>
      <c r="F565" s="234">
        <v>0</v>
      </c>
      <c r="G565" s="234">
        <v>0</v>
      </c>
      <c r="H565" s="234">
        <v>0</v>
      </c>
      <c r="I565" s="234">
        <v>0</v>
      </c>
      <c r="J565" s="234">
        <v>0</v>
      </c>
    </row>
    <row r="566" spans="2:11">
      <c r="B566" s="52" t="s">
        <v>121</v>
      </c>
      <c r="C566" s="234">
        <v>0</v>
      </c>
      <c r="D566" s="234">
        <v>0</v>
      </c>
      <c r="E566" s="234">
        <v>0</v>
      </c>
      <c r="F566" s="234">
        <v>0</v>
      </c>
      <c r="G566" s="234">
        <v>0</v>
      </c>
      <c r="H566" s="234">
        <v>0</v>
      </c>
      <c r="I566" s="234">
        <v>0</v>
      </c>
      <c r="J566" s="234">
        <v>0</v>
      </c>
    </row>
    <row r="567" spans="2:11">
      <c r="B567" s="53" t="s">
        <v>120</v>
      </c>
      <c r="C567" s="234">
        <v>0</v>
      </c>
      <c r="D567" s="234">
        <v>0</v>
      </c>
      <c r="E567" s="234">
        <v>0</v>
      </c>
      <c r="F567" s="234">
        <v>0</v>
      </c>
      <c r="G567" s="234">
        <v>0</v>
      </c>
      <c r="H567" s="234">
        <v>0</v>
      </c>
      <c r="I567" s="234">
        <v>0</v>
      </c>
      <c r="J567" s="234">
        <v>0</v>
      </c>
    </row>
    <row r="568" spans="2:11">
      <c r="B568" s="53" t="s">
        <v>119</v>
      </c>
      <c r="C568" s="234">
        <v>0</v>
      </c>
      <c r="D568" s="234">
        <v>0</v>
      </c>
      <c r="E568" s="234">
        <v>0</v>
      </c>
      <c r="F568" s="234">
        <v>0</v>
      </c>
      <c r="G568" s="234">
        <v>0</v>
      </c>
      <c r="H568" s="234">
        <v>0</v>
      </c>
      <c r="I568" s="234">
        <v>0</v>
      </c>
      <c r="J568" s="234">
        <v>0</v>
      </c>
    </row>
    <row r="569" spans="2:11">
      <c r="B569" s="53" t="s">
        <v>172</v>
      </c>
      <c r="C569" s="234">
        <v>0</v>
      </c>
      <c r="D569" s="234">
        <v>0</v>
      </c>
      <c r="E569" s="234">
        <v>0</v>
      </c>
      <c r="F569" s="234">
        <v>0</v>
      </c>
      <c r="G569" s="234">
        <v>0</v>
      </c>
      <c r="H569" s="234">
        <v>0</v>
      </c>
      <c r="I569" s="234">
        <v>0</v>
      </c>
      <c r="J569" s="234">
        <v>0</v>
      </c>
    </row>
    <row r="570" spans="2:11">
      <c r="B570" s="52" t="s">
        <v>118</v>
      </c>
      <c r="C570" s="234">
        <v>0</v>
      </c>
      <c r="D570" s="234">
        <v>0</v>
      </c>
      <c r="E570" s="234">
        <v>0</v>
      </c>
      <c r="F570" s="234">
        <v>0</v>
      </c>
      <c r="G570" s="234">
        <v>0</v>
      </c>
      <c r="H570" s="234">
        <v>0</v>
      </c>
      <c r="I570" s="234">
        <v>0</v>
      </c>
      <c r="J570" s="234">
        <v>0</v>
      </c>
    </row>
    <row r="571" spans="2:11">
      <c r="B571" s="52" t="s">
        <v>117</v>
      </c>
      <c r="C571" s="234">
        <v>0</v>
      </c>
      <c r="D571" s="234">
        <v>0</v>
      </c>
      <c r="E571" s="234">
        <v>0</v>
      </c>
      <c r="F571" s="234">
        <v>0</v>
      </c>
      <c r="G571" s="234">
        <v>0</v>
      </c>
      <c r="H571" s="234">
        <v>0</v>
      </c>
      <c r="I571" s="234">
        <v>0</v>
      </c>
      <c r="J571" s="234">
        <v>0</v>
      </c>
    </row>
    <row r="572" spans="2:11">
      <c r="B572" s="52"/>
      <c r="C572" s="234"/>
      <c r="D572" s="234"/>
      <c r="E572" s="234"/>
      <c r="F572" s="234"/>
      <c r="G572" s="234"/>
      <c r="H572" s="234"/>
      <c r="I572" s="234"/>
      <c r="J572" s="234"/>
    </row>
    <row r="573" spans="2:11">
      <c r="B573" s="52" t="s">
        <v>204</v>
      </c>
      <c r="C573" s="234">
        <f t="shared" ref="C573:D573" si="67">SUM(C574,C578,C579)</f>
        <v>3.8839999999999999</v>
      </c>
      <c r="D573" s="234">
        <f t="shared" si="67"/>
        <v>3.9039999999999999</v>
      </c>
      <c r="E573" s="234">
        <v>5.4039999999999999</v>
      </c>
      <c r="F573" s="234">
        <v>6.0839999999999996</v>
      </c>
      <c r="G573" s="234">
        <v>4.0759999999999996</v>
      </c>
      <c r="H573" s="234">
        <v>8.4930000000000003</v>
      </c>
      <c r="I573" s="234">
        <v>7.8330000000000002</v>
      </c>
      <c r="J573" s="307">
        <v>5405</v>
      </c>
    </row>
    <row r="574" spans="2:11">
      <c r="B574" s="52" t="s">
        <v>121</v>
      </c>
      <c r="C574" s="234">
        <v>3.8839999999999999</v>
      </c>
      <c r="D574" s="234">
        <v>3.9039999999999999</v>
      </c>
      <c r="E574" s="234">
        <v>5.4039999999999999</v>
      </c>
      <c r="F574" s="234">
        <v>6.0839999999999996</v>
      </c>
      <c r="G574" s="234">
        <v>4.0759999999999996</v>
      </c>
      <c r="H574" s="234">
        <v>8.4930000000000003</v>
      </c>
      <c r="I574" s="234">
        <v>7.8330000000000002</v>
      </c>
      <c r="J574" s="307">
        <v>5405</v>
      </c>
    </row>
    <row r="575" spans="2:11">
      <c r="B575" s="53" t="s">
        <v>120</v>
      </c>
      <c r="C575" s="234">
        <v>0</v>
      </c>
      <c r="D575" s="234">
        <v>0</v>
      </c>
      <c r="E575" s="234">
        <v>0</v>
      </c>
      <c r="F575" s="234">
        <v>0</v>
      </c>
      <c r="G575" s="234">
        <v>0</v>
      </c>
      <c r="H575" s="234">
        <v>0</v>
      </c>
      <c r="I575" s="234">
        <v>0</v>
      </c>
      <c r="J575" s="234">
        <v>0</v>
      </c>
    </row>
    <row r="576" spans="2:11">
      <c r="B576" s="53" t="s">
        <v>119</v>
      </c>
      <c r="C576" s="234">
        <v>0</v>
      </c>
      <c r="D576" s="234">
        <v>0</v>
      </c>
      <c r="E576" s="234">
        <v>0</v>
      </c>
      <c r="F576" s="234">
        <v>0</v>
      </c>
      <c r="G576" s="234">
        <v>0</v>
      </c>
      <c r="H576" s="234">
        <v>0</v>
      </c>
      <c r="I576" s="234">
        <v>0</v>
      </c>
      <c r="J576" s="234">
        <v>0</v>
      </c>
    </row>
    <row r="577" spans="2:10">
      <c r="B577" s="53" t="s">
        <v>172</v>
      </c>
      <c r="C577" s="234">
        <v>0</v>
      </c>
      <c r="D577" s="234">
        <v>0</v>
      </c>
      <c r="E577" s="234">
        <v>0</v>
      </c>
      <c r="F577" s="234">
        <v>0</v>
      </c>
      <c r="G577" s="234">
        <v>0</v>
      </c>
      <c r="H577" s="234">
        <v>0</v>
      </c>
      <c r="I577" s="234">
        <v>0</v>
      </c>
      <c r="J577" s="234">
        <v>0</v>
      </c>
    </row>
    <row r="578" spans="2:10">
      <c r="B578" s="52" t="s">
        <v>118</v>
      </c>
      <c r="C578" s="234">
        <v>0</v>
      </c>
      <c r="D578" s="234">
        <v>0</v>
      </c>
      <c r="E578" s="234">
        <v>0</v>
      </c>
      <c r="F578" s="234">
        <v>0</v>
      </c>
      <c r="G578" s="234">
        <v>0</v>
      </c>
      <c r="H578" s="234">
        <v>0</v>
      </c>
      <c r="I578" s="234">
        <v>0</v>
      </c>
      <c r="J578" s="234">
        <v>0</v>
      </c>
    </row>
    <row r="579" spans="2:10">
      <c r="B579" s="52" t="s">
        <v>117</v>
      </c>
      <c r="C579" s="234">
        <v>0</v>
      </c>
      <c r="D579" s="234">
        <v>0</v>
      </c>
      <c r="E579" s="234">
        <v>0</v>
      </c>
      <c r="F579" s="234">
        <v>0</v>
      </c>
      <c r="G579" s="234">
        <v>0</v>
      </c>
      <c r="H579" s="234">
        <v>0</v>
      </c>
      <c r="I579" s="234">
        <v>0</v>
      </c>
      <c r="J579" s="234">
        <v>0</v>
      </c>
    </row>
    <row r="580" spans="2:10">
      <c r="B580" s="2106"/>
      <c r="C580" s="2106"/>
      <c r="D580" s="2106"/>
      <c r="E580" s="2106"/>
      <c r="F580" s="2106"/>
      <c r="G580" s="2106"/>
      <c r="H580" s="2106"/>
      <c r="I580" s="2106"/>
      <c r="J580" s="2106"/>
    </row>
    <row r="581" spans="2:10">
      <c r="B581" s="52" t="s">
        <v>203</v>
      </c>
      <c r="C581" s="3">
        <v>0</v>
      </c>
      <c r="D581" s="3">
        <v>0</v>
      </c>
      <c r="E581" s="3">
        <v>0</v>
      </c>
      <c r="F581" s="3">
        <v>0</v>
      </c>
      <c r="G581" s="3">
        <v>0</v>
      </c>
      <c r="H581" s="3">
        <v>0</v>
      </c>
      <c r="I581" s="3">
        <v>0</v>
      </c>
      <c r="J581" s="3">
        <v>0</v>
      </c>
    </row>
    <row r="582" spans="2:10">
      <c r="B582" s="52" t="s">
        <v>169</v>
      </c>
      <c r="C582" s="3">
        <v>0</v>
      </c>
      <c r="D582" s="3">
        <v>0</v>
      </c>
      <c r="E582" s="3">
        <v>0</v>
      </c>
      <c r="F582" s="3">
        <v>0</v>
      </c>
      <c r="G582" s="3">
        <v>0</v>
      </c>
      <c r="H582" s="3">
        <v>0</v>
      </c>
      <c r="I582" s="3">
        <v>0</v>
      </c>
      <c r="J582" s="3">
        <v>0</v>
      </c>
    </row>
    <row r="583" spans="2:10">
      <c r="B583" s="52" t="s">
        <v>168</v>
      </c>
      <c r="C583" s="3">
        <v>0</v>
      </c>
      <c r="D583" s="3">
        <v>0</v>
      </c>
      <c r="E583" s="3">
        <v>0</v>
      </c>
      <c r="F583" s="3">
        <v>0</v>
      </c>
      <c r="G583" s="3">
        <v>0</v>
      </c>
      <c r="H583" s="3">
        <v>0</v>
      </c>
      <c r="I583" s="3">
        <v>0</v>
      </c>
      <c r="J583" s="3">
        <v>0</v>
      </c>
    </row>
    <row r="584" spans="2:10">
      <c r="B584" s="52" t="s">
        <v>167</v>
      </c>
      <c r="C584" s="3">
        <v>0</v>
      </c>
      <c r="D584" s="3">
        <v>0</v>
      </c>
      <c r="E584" s="3">
        <v>0</v>
      </c>
      <c r="F584" s="3">
        <v>0</v>
      </c>
      <c r="G584" s="3">
        <v>0</v>
      </c>
      <c r="H584" s="3">
        <v>0</v>
      </c>
      <c r="I584" s="3">
        <v>0</v>
      </c>
      <c r="J584" s="3">
        <v>0</v>
      </c>
    </row>
    <row r="585" spans="2:10">
      <c r="B585" s="52" t="s">
        <v>166</v>
      </c>
      <c r="C585" s="387">
        <v>0</v>
      </c>
      <c r="D585" s="387">
        <v>0</v>
      </c>
      <c r="E585" s="387">
        <v>0</v>
      </c>
      <c r="F585" s="387">
        <v>0</v>
      </c>
      <c r="G585" s="387">
        <v>0</v>
      </c>
      <c r="H585" s="387">
        <v>0</v>
      </c>
      <c r="I585" s="387">
        <v>0</v>
      </c>
      <c r="J585" s="387">
        <v>0</v>
      </c>
    </row>
    <row r="586" spans="2:10">
      <c r="B586" s="52" t="s">
        <v>165</v>
      </c>
      <c r="C586" s="235" t="s">
        <v>2086</v>
      </c>
      <c r="D586" s="235" t="s">
        <v>2086</v>
      </c>
      <c r="E586" s="235" t="s">
        <v>2086</v>
      </c>
      <c r="F586" s="235" t="s">
        <v>2086</v>
      </c>
      <c r="G586" s="235" t="s">
        <v>2086</v>
      </c>
      <c r="H586" s="235" t="s">
        <v>2086</v>
      </c>
      <c r="I586" s="235" t="s">
        <v>2086</v>
      </c>
      <c r="J586" s="235" t="s">
        <v>2086</v>
      </c>
    </row>
    <row r="587" spans="2:10">
      <c r="B587" s="52" t="s">
        <v>164</v>
      </c>
      <c r="C587" s="235" t="s">
        <v>2086</v>
      </c>
      <c r="D587" s="235" t="s">
        <v>2086</v>
      </c>
      <c r="E587" s="235" t="s">
        <v>2086</v>
      </c>
      <c r="F587" s="235" t="s">
        <v>2086</v>
      </c>
      <c r="G587" s="235" t="s">
        <v>2086</v>
      </c>
      <c r="H587" s="235" t="s">
        <v>2086</v>
      </c>
      <c r="I587" s="235" t="s">
        <v>2086</v>
      </c>
      <c r="J587" s="235" t="s">
        <v>2086</v>
      </c>
    </row>
    <row r="588" spans="2:10">
      <c r="B588" s="53"/>
      <c r="C588" s="235"/>
      <c r="D588" s="235"/>
      <c r="E588" s="235"/>
      <c r="F588" s="235"/>
      <c r="G588" s="235"/>
      <c r="H588" s="235"/>
      <c r="I588" s="235"/>
      <c r="J588" s="235"/>
    </row>
    <row r="589" spans="2:10">
      <c r="B589" s="52" t="s">
        <v>202</v>
      </c>
      <c r="C589" s="3">
        <v>0</v>
      </c>
      <c r="D589" s="3">
        <v>0</v>
      </c>
      <c r="E589" s="3">
        <v>0</v>
      </c>
      <c r="F589" s="3">
        <v>0</v>
      </c>
      <c r="G589" s="3">
        <v>0</v>
      </c>
      <c r="H589" s="3">
        <v>0</v>
      </c>
      <c r="I589" s="3">
        <v>0</v>
      </c>
      <c r="J589" s="3">
        <v>0</v>
      </c>
    </row>
    <row r="590" spans="2:10">
      <c r="B590" s="52" t="s">
        <v>169</v>
      </c>
      <c r="C590" s="3">
        <v>0</v>
      </c>
      <c r="D590" s="3">
        <v>0</v>
      </c>
      <c r="E590" s="3">
        <v>0</v>
      </c>
      <c r="F590" s="3">
        <v>0</v>
      </c>
      <c r="G590" s="3">
        <v>0</v>
      </c>
      <c r="H590" s="3">
        <v>0</v>
      </c>
      <c r="I590" s="3">
        <v>0</v>
      </c>
      <c r="J590" s="3">
        <v>0</v>
      </c>
    </row>
    <row r="591" spans="2:10">
      <c r="B591" s="52" t="s">
        <v>168</v>
      </c>
      <c r="C591" s="3">
        <v>0</v>
      </c>
      <c r="D591" s="3">
        <v>0</v>
      </c>
      <c r="E591" s="3">
        <v>0</v>
      </c>
      <c r="F591" s="3">
        <v>0</v>
      </c>
      <c r="G591" s="3">
        <v>0</v>
      </c>
      <c r="H591" s="3">
        <v>0</v>
      </c>
      <c r="I591" s="3">
        <v>0</v>
      </c>
      <c r="J591" s="3">
        <v>0</v>
      </c>
    </row>
    <row r="592" spans="2:10">
      <c r="B592" s="52" t="s">
        <v>167</v>
      </c>
      <c r="C592" s="3">
        <v>0</v>
      </c>
      <c r="D592" s="3">
        <v>0</v>
      </c>
      <c r="E592" s="3">
        <v>0</v>
      </c>
      <c r="F592" s="3">
        <v>0</v>
      </c>
      <c r="G592" s="3">
        <v>0</v>
      </c>
      <c r="H592" s="3">
        <v>0</v>
      </c>
      <c r="I592" s="3">
        <v>0</v>
      </c>
      <c r="J592" s="3">
        <v>0</v>
      </c>
    </row>
    <row r="593" spans="2:11">
      <c r="B593" s="52" t="s">
        <v>166</v>
      </c>
      <c r="C593" s="3">
        <v>0</v>
      </c>
      <c r="D593" s="3">
        <v>0</v>
      </c>
      <c r="E593" s="3">
        <v>0</v>
      </c>
      <c r="F593" s="3">
        <v>0</v>
      </c>
      <c r="G593" s="3">
        <v>0</v>
      </c>
      <c r="H593" s="3">
        <v>0</v>
      </c>
      <c r="I593" s="3">
        <v>0</v>
      </c>
      <c r="J593" s="3">
        <v>0</v>
      </c>
    </row>
    <row r="594" spans="2:11">
      <c r="B594" s="52" t="s">
        <v>165</v>
      </c>
      <c r="C594" s="3">
        <v>0</v>
      </c>
      <c r="D594" s="3">
        <v>0</v>
      </c>
      <c r="E594" s="3">
        <v>0</v>
      </c>
      <c r="F594" s="3">
        <v>0</v>
      </c>
      <c r="G594" s="3">
        <v>0</v>
      </c>
      <c r="H594" s="3">
        <v>0</v>
      </c>
      <c r="I594" s="3">
        <v>0</v>
      </c>
      <c r="J594" s="3">
        <v>0</v>
      </c>
    </row>
    <row r="595" spans="2:11" ht="15" thickBot="1">
      <c r="B595" s="50" t="s">
        <v>164</v>
      </c>
      <c r="C595" s="100">
        <v>0</v>
      </c>
      <c r="D595" s="100">
        <v>0</v>
      </c>
      <c r="E595" s="100">
        <v>0</v>
      </c>
      <c r="F595" s="100">
        <v>0</v>
      </c>
      <c r="G595" s="100">
        <v>0</v>
      </c>
      <c r="H595" s="100">
        <v>0</v>
      </c>
      <c r="I595" s="100">
        <v>0</v>
      </c>
      <c r="J595" s="100">
        <v>0</v>
      </c>
    </row>
    <row r="596" spans="2:11" ht="15" thickTop="1">
      <c r="B596" s="62" t="s">
        <v>869</v>
      </c>
      <c r="C596" s="121"/>
      <c r="D596" s="121"/>
      <c r="E596" s="121"/>
      <c r="F596" s="121"/>
      <c r="G596" s="121"/>
      <c r="H596" s="121"/>
      <c r="I596" s="121"/>
      <c r="J596" s="121"/>
    </row>
    <row r="597" spans="2:11">
      <c r="B597" s="64"/>
      <c r="C597" s="121"/>
      <c r="D597" s="121"/>
      <c r="E597" s="121"/>
      <c r="F597" s="121"/>
      <c r="G597" s="121"/>
      <c r="H597" s="121"/>
      <c r="I597" s="121"/>
      <c r="J597" s="121"/>
    </row>
    <row r="598" spans="2:11">
      <c r="B598" s="2100" t="s">
        <v>199</v>
      </c>
      <c r="C598" s="2100"/>
      <c r="D598" s="2100"/>
      <c r="E598" s="2100"/>
      <c r="F598" s="2100"/>
      <c r="G598" s="2100"/>
      <c r="H598" s="2100"/>
      <c r="I598" s="2100"/>
      <c r="J598" s="2100"/>
      <c r="K598" s="2100"/>
    </row>
    <row r="599" spans="2:11">
      <c r="B599" s="12" t="s">
        <v>198</v>
      </c>
      <c r="C599" s="302"/>
      <c r="D599" s="302"/>
      <c r="E599" s="302"/>
      <c r="F599" s="302"/>
      <c r="G599" s="302"/>
      <c r="H599" s="302"/>
      <c r="I599" s="302"/>
      <c r="J599" s="302"/>
      <c r="K599" s="302"/>
    </row>
    <row r="600" spans="2:11">
      <c r="B600" s="62" t="s">
        <v>127</v>
      </c>
      <c r="C600" s="302"/>
      <c r="D600" s="302"/>
      <c r="E600" s="302"/>
      <c r="F600" s="302"/>
      <c r="G600" s="302"/>
      <c r="H600" s="302"/>
      <c r="I600" s="302"/>
      <c r="J600" s="302"/>
      <c r="K600" s="302"/>
    </row>
    <row r="601" spans="2:11">
      <c r="B601" s="62"/>
      <c r="C601" s="302"/>
      <c r="D601" s="302"/>
      <c r="E601" s="302"/>
      <c r="F601" s="302"/>
      <c r="G601" s="302"/>
      <c r="H601" s="302"/>
      <c r="I601" s="302"/>
      <c r="J601" s="302"/>
      <c r="K601" s="302"/>
    </row>
    <row r="602" spans="2:11">
      <c r="B602" s="61"/>
      <c r="C602" s="303">
        <v>2014</v>
      </c>
      <c r="D602" s="303">
        <v>2015</v>
      </c>
      <c r="E602" s="303">
        <v>2016</v>
      </c>
      <c r="F602" s="303">
        <v>2017</v>
      </c>
      <c r="G602" s="303">
        <v>2018</v>
      </c>
      <c r="H602" s="303">
        <v>2019</v>
      </c>
      <c r="I602" s="303">
        <v>2020</v>
      </c>
      <c r="J602" s="303">
        <v>2021</v>
      </c>
      <c r="K602" s="413"/>
    </row>
    <row r="603" spans="2:11">
      <c r="B603" s="59" t="s">
        <v>503</v>
      </c>
      <c r="C603" s="302"/>
      <c r="D603" s="302"/>
      <c r="E603" s="302"/>
      <c r="F603" s="302"/>
      <c r="G603" s="302"/>
      <c r="H603" s="302"/>
      <c r="I603" s="302"/>
      <c r="J603" s="302"/>
      <c r="K603" s="302"/>
    </row>
    <row r="604" spans="2:11">
      <c r="B604" s="71" t="s">
        <v>186</v>
      </c>
      <c r="C604" s="235">
        <v>4386.26</v>
      </c>
      <c r="D604" s="235">
        <v>3266.08</v>
      </c>
      <c r="E604" s="235">
        <v>6691.73</v>
      </c>
      <c r="F604" s="235">
        <v>4918.42</v>
      </c>
      <c r="G604" s="235">
        <v>5244.96</v>
      </c>
      <c r="H604" s="235">
        <v>9308.4699999999993</v>
      </c>
      <c r="I604" s="235">
        <v>9844.91</v>
      </c>
      <c r="J604" s="235">
        <v>13448.188</v>
      </c>
      <c r="K604" s="235"/>
    </row>
    <row r="605" spans="2:11">
      <c r="B605" s="71"/>
      <c r="C605" s="235"/>
      <c r="D605" s="235"/>
      <c r="E605" s="306"/>
      <c r="G605" s="306"/>
      <c r="H605" s="306"/>
      <c r="I605" s="306"/>
      <c r="J605" s="306"/>
      <c r="K605" s="306"/>
    </row>
    <row r="606" spans="2:11">
      <c r="B606" s="71" t="s">
        <v>190</v>
      </c>
      <c r="C606" s="235">
        <f t="shared" ref="C606:I606" si="68">SUM(C607,C611:C612)</f>
        <v>4386.26</v>
      </c>
      <c r="D606" s="235">
        <f t="shared" si="68"/>
        <v>3266.08</v>
      </c>
      <c r="E606" s="235">
        <f t="shared" si="68"/>
        <v>6691.73</v>
      </c>
      <c r="F606" s="235">
        <f t="shared" si="68"/>
        <v>4918.42</v>
      </c>
      <c r="G606" s="235">
        <f t="shared" si="68"/>
        <v>5244.96</v>
      </c>
      <c r="H606" s="235">
        <f t="shared" si="68"/>
        <v>9308.4699999999993</v>
      </c>
      <c r="I606" s="235">
        <f t="shared" si="68"/>
        <v>9844.91</v>
      </c>
      <c r="J606" s="235">
        <v>13448.188</v>
      </c>
      <c r="K606" s="235"/>
    </row>
    <row r="607" spans="2:11">
      <c r="B607" s="52" t="s">
        <v>121</v>
      </c>
      <c r="C607" s="235">
        <v>4386.26</v>
      </c>
      <c r="D607" s="235">
        <v>3266.08</v>
      </c>
      <c r="E607" s="235">
        <v>6691.73</v>
      </c>
      <c r="F607" s="235">
        <v>4918.42</v>
      </c>
      <c r="G607" s="235">
        <v>5244.96</v>
      </c>
      <c r="H607" s="235">
        <v>9308.4699999999993</v>
      </c>
      <c r="I607" s="235">
        <v>9844.91</v>
      </c>
      <c r="J607" s="235">
        <v>13448.188</v>
      </c>
      <c r="K607" s="235"/>
    </row>
    <row r="608" spans="2:11">
      <c r="B608" s="53" t="s">
        <v>120</v>
      </c>
      <c r="C608" s="235" t="s">
        <v>2086</v>
      </c>
      <c r="D608" s="235" t="s">
        <v>2086</v>
      </c>
      <c r="E608" s="235" t="s">
        <v>2086</v>
      </c>
      <c r="F608" s="235" t="s">
        <v>2086</v>
      </c>
      <c r="G608" s="235" t="s">
        <v>2086</v>
      </c>
      <c r="H608" s="235" t="s">
        <v>2086</v>
      </c>
      <c r="I608" s="235" t="s">
        <v>2086</v>
      </c>
      <c r="J608" s="235" t="s">
        <v>2086</v>
      </c>
      <c r="K608" s="235"/>
    </row>
    <row r="609" spans="2:11">
      <c r="B609" s="53" t="s">
        <v>119</v>
      </c>
      <c r="C609" s="235" t="s">
        <v>2086</v>
      </c>
      <c r="D609" s="235" t="s">
        <v>2086</v>
      </c>
      <c r="E609" s="235" t="s">
        <v>2086</v>
      </c>
      <c r="F609" s="235" t="s">
        <v>2086</v>
      </c>
      <c r="G609" s="235" t="s">
        <v>2086</v>
      </c>
      <c r="H609" s="235" t="s">
        <v>2086</v>
      </c>
      <c r="I609" s="235" t="s">
        <v>2086</v>
      </c>
      <c r="J609" s="235" t="s">
        <v>2086</v>
      </c>
      <c r="K609" s="235"/>
    </row>
    <row r="610" spans="2:11">
      <c r="B610" s="53" t="s">
        <v>197</v>
      </c>
      <c r="C610" s="235" t="s">
        <v>2086</v>
      </c>
      <c r="D610" s="235" t="s">
        <v>2086</v>
      </c>
      <c r="E610" s="235" t="s">
        <v>2086</v>
      </c>
      <c r="F610" s="235" t="s">
        <v>2086</v>
      </c>
      <c r="G610" s="235" t="s">
        <v>2086</v>
      </c>
      <c r="H610" s="235" t="s">
        <v>2086</v>
      </c>
      <c r="I610" s="235" t="s">
        <v>2086</v>
      </c>
      <c r="J610" s="235" t="s">
        <v>2086</v>
      </c>
      <c r="K610" s="235"/>
    </row>
    <row r="611" spans="2:11">
      <c r="B611" s="52" t="s">
        <v>118</v>
      </c>
      <c r="C611" s="235" t="s">
        <v>2086</v>
      </c>
      <c r="D611" s="235" t="s">
        <v>2086</v>
      </c>
      <c r="E611" s="235" t="s">
        <v>2086</v>
      </c>
      <c r="F611" s="235" t="s">
        <v>2086</v>
      </c>
      <c r="G611" s="235" t="s">
        <v>2086</v>
      </c>
      <c r="H611" s="235" t="s">
        <v>2086</v>
      </c>
      <c r="I611" s="235" t="s">
        <v>2086</v>
      </c>
      <c r="J611" s="235" t="s">
        <v>2086</v>
      </c>
      <c r="K611" s="235"/>
    </row>
    <row r="612" spans="2:11">
      <c r="B612" s="52" t="s">
        <v>117</v>
      </c>
      <c r="C612" s="235" t="s">
        <v>2086</v>
      </c>
      <c r="D612" s="235" t="s">
        <v>2086</v>
      </c>
      <c r="E612" s="235" t="s">
        <v>2086</v>
      </c>
      <c r="F612" s="235" t="s">
        <v>2086</v>
      </c>
      <c r="G612" s="235" t="s">
        <v>2086</v>
      </c>
      <c r="H612" s="235" t="s">
        <v>2086</v>
      </c>
      <c r="I612" s="235" t="s">
        <v>2086</v>
      </c>
      <c r="J612" s="235" t="s">
        <v>2086</v>
      </c>
      <c r="K612" s="235"/>
    </row>
    <row r="613" spans="2:11">
      <c r="B613" s="52"/>
      <c r="C613" s="306"/>
      <c r="D613" s="306"/>
      <c r="E613" s="306"/>
      <c r="F613" s="306"/>
      <c r="G613" s="306"/>
      <c r="H613" s="306"/>
      <c r="I613" s="306"/>
      <c r="J613" s="306"/>
      <c r="K613" s="306"/>
    </row>
    <row r="614" spans="2:11">
      <c r="B614" s="83" t="s">
        <v>187</v>
      </c>
      <c r="C614" s="235" t="s">
        <v>2086</v>
      </c>
      <c r="D614" s="235" t="s">
        <v>2086</v>
      </c>
      <c r="E614" s="235" t="s">
        <v>2086</v>
      </c>
      <c r="F614" s="235" t="s">
        <v>2086</v>
      </c>
      <c r="G614" s="235" t="s">
        <v>2086</v>
      </c>
      <c r="H614" s="235" t="s">
        <v>2086</v>
      </c>
      <c r="I614" s="235" t="s">
        <v>2086</v>
      </c>
      <c r="J614" s="235" t="s">
        <v>2086</v>
      </c>
      <c r="K614" s="235"/>
    </row>
    <row r="615" spans="2:11">
      <c r="B615" s="81" t="s">
        <v>121</v>
      </c>
      <c r="C615" s="235" t="s">
        <v>2086</v>
      </c>
      <c r="D615" s="235" t="s">
        <v>2086</v>
      </c>
      <c r="E615" s="235" t="s">
        <v>2086</v>
      </c>
      <c r="F615" s="235" t="s">
        <v>2086</v>
      </c>
      <c r="G615" s="235" t="s">
        <v>2086</v>
      </c>
      <c r="H615" s="235" t="s">
        <v>2086</v>
      </c>
      <c r="I615" s="235" t="s">
        <v>2086</v>
      </c>
      <c r="J615" s="235" t="s">
        <v>2086</v>
      </c>
      <c r="K615" s="235"/>
    </row>
    <row r="616" spans="2:11">
      <c r="B616" s="82" t="s">
        <v>120</v>
      </c>
      <c r="C616" s="235" t="s">
        <v>2086</v>
      </c>
      <c r="D616" s="235" t="s">
        <v>2086</v>
      </c>
      <c r="E616" s="235" t="s">
        <v>2086</v>
      </c>
      <c r="F616" s="235" t="s">
        <v>2086</v>
      </c>
      <c r="G616" s="235" t="s">
        <v>2086</v>
      </c>
      <c r="H616" s="235" t="s">
        <v>2086</v>
      </c>
      <c r="I616" s="235" t="s">
        <v>2086</v>
      </c>
      <c r="J616" s="235" t="s">
        <v>2086</v>
      </c>
      <c r="K616" s="235"/>
    </row>
    <row r="617" spans="2:11">
      <c r="B617" s="82" t="s">
        <v>119</v>
      </c>
      <c r="C617" s="235" t="s">
        <v>2086</v>
      </c>
      <c r="D617" s="235" t="s">
        <v>2086</v>
      </c>
      <c r="E617" s="235" t="s">
        <v>2086</v>
      </c>
      <c r="F617" s="235" t="s">
        <v>2086</v>
      </c>
      <c r="G617" s="235" t="s">
        <v>2086</v>
      </c>
      <c r="H617" s="235" t="s">
        <v>2086</v>
      </c>
      <c r="I617" s="235" t="s">
        <v>2086</v>
      </c>
      <c r="J617" s="235" t="s">
        <v>2086</v>
      </c>
      <c r="K617" s="235"/>
    </row>
    <row r="618" spans="2:11">
      <c r="B618" s="82" t="s">
        <v>172</v>
      </c>
      <c r="C618" s="235" t="s">
        <v>2086</v>
      </c>
      <c r="D618" s="235" t="s">
        <v>2086</v>
      </c>
      <c r="E618" s="235" t="s">
        <v>2086</v>
      </c>
      <c r="F618" s="235" t="s">
        <v>2086</v>
      </c>
      <c r="G618" s="235" t="s">
        <v>2086</v>
      </c>
      <c r="H618" s="235" t="s">
        <v>2086</v>
      </c>
      <c r="I618" s="235" t="s">
        <v>2086</v>
      </c>
      <c r="J618" s="235" t="s">
        <v>2086</v>
      </c>
      <c r="K618" s="235"/>
    </row>
    <row r="619" spans="2:11">
      <c r="B619" s="81" t="s">
        <v>118</v>
      </c>
      <c r="C619" s="235" t="s">
        <v>2086</v>
      </c>
      <c r="D619" s="235" t="s">
        <v>2086</v>
      </c>
      <c r="E619" s="235" t="s">
        <v>2086</v>
      </c>
      <c r="F619" s="235" t="s">
        <v>2086</v>
      </c>
      <c r="G619" s="235" t="s">
        <v>2086</v>
      </c>
      <c r="H619" s="235" t="s">
        <v>2086</v>
      </c>
      <c r="I619" s="235" t="s">
        <v>2086</v>
      </c>
      <c r="J619" s="235" t="s">
        <v>2086</v>
      </c>
      <c r="K619" s="235"/>
    </row>
    <row r="620" spans="2:11">
      <c r="B620" s="81" t="s">
        <v>117</v>
      </c>
      <c r="C620" s="235" t="s">
        <v>2086</v>
      </c>
      <c r="D620" s="235" t="s">
        <v>2086</v>
      </c>
      <c r="E620" s="235" t="s">
        <v>2086</v>
      </c>
      <c r="F620" s="235" t="s">
        <v>2086</v>
      </c>
      <c r="G620" s="235" t="s">
        <v>2086</v>
      </c>
      <c r="H620" s="235" t="s">
        <v>2086</v>
      </c>
      <c r="I620" s="235" t="s">
        <v>2086</v>
      </c>
      <c r="J620" s="235" t="s">
        <v>2086</v>
      </c>
      <c r="K620" s="235"/>
    </row>
    <row r="621" spans="2:11">
      <c r="B621" s="81"/>
      <c r="C621" s="306"/>
      <c r="D621" s="306"/>
      <c r="E621" s="306"/>
      <c r="F621" s="306"/>
      <c r="G621" s="306"/>
      <c r="H621" s="306"/>
      <c r="I621" s="306"/>
      <c r="J621" s="306"/>
      <c r="K621" s="306"/>
    </row>
    <row r="622" spans="2:11">
      <c r="B622" s="83" t="s">
        <v>173</v>
      </c>
      <c r="C622" s="494">
        <f t="shared" ref="C622:I622" si="69">SUM(C623,C627:C628)</f>
        <v>4386.26</v>
      </c>
      <c r="D622" s="494">
        <f t="shared" si="69"/>
        <v>3266.08</v>
      </c>
      <c r="E622" s="494">
        <f t="shared" si="69"/>
        <v>6691.73</v>
      </c>
      <c r="F622" s="494">
        <f t="shared" si="69"/>
        <v>4918.42</v>
      </c>
      <c r="G622" s="494">
        <f t="shared" si="69"/>
        <v>5244.96</v>
      </c>
      <c r="H622" s="494">
        <f t="shared" si="69"/>
        <v>9308.4699999999993</v>
      </c>
      <c r="I622" s="494">
        <f t="shared" si="69"/>
        <v>9844.91</v>
      </c>
      <c r="J622" s="494">
        <v>13448.188</v>
      </c>
      <c r="K622" s="235"/>
    </row>
    <row r="623" spans="2:11">
      <c r="B623" s="81" t="s">
        <v>121</v>
      </c>
      <c r="C623" s="494">
        <v>4386.26</v>
      </c>
      <c r="D623" s="494">
        <v>3266.08</v>
      </c>
      <c r="E623" s="494">
        <v>6691.73</v>
      </c>
      <c r="F623" s="494">
        <v>4918.42</v>
      </c>
      <c r="G623" s="494">
        <v>5244.96</v>
      </c>
      <c r="H623" s="494">
        <v>9308.4699999999993</v>
      </c>
      <c r="I623" s="494">
        <v>9844.91</v>
      </c>
      <c r="J623" s="494">
        <v>13448.188</v>
      </c>
      <c r="K623" s="235"/>
    </row>
    <row r="624" spans="2:11">
      <c r="B624" s="82" t="s">
        <v>120</v>
      </c>
      <c r="C624" s="235" t="s">
        <v>2086</v>
      </c>
      <c r="D624" s="235" t="s">
        <v>2086</v>
      </c>
      <c r="E624" s="235" t="s">
        <v>2086</v>
      </c>
      <c r="F624" s="235" t="s">
        <v>2086</v>
      </c>
      <c r="G624" s="235" t="s">
        <v>2086</v>
      </c>
      <c r="H624" s="235" t="s">
        <v>2086</v>
      </c>
      <c r="I624" s="235" t="s">
        <v>2086</v>
      </c>
      <c r="J624" s="235" t="s">
        <v>2086</v>
      </c>
      <c r="K624" s="235"/>
    </row>
    <row r="625" spans="2:11">
      <c r="B625" s="82" t="s">
        <v>119</v>
      </c>
      <c r="C625" s="235" t="s">
        <v>2086</v>
      </c>
      <c r="D625" s="235" t="s">
        <v>2086</v>
      </c>
      <c r="E625" s="235" t="s">
        <v>2086</v>
      </c>
      <c r="F625" s="235" t="s">
        <v>2086</v>
      </c>
      <c r="G625" s="235" t="s">
        <v>2086</v>
      </c>
      <c r="H625" s="235" t="s">
        <v>2086</v>
      </c>
      <c r="I625" s="235" t="s">
        <v>2086</v>
      </c>
      <c r="J625" s="235" t="s">
        <v>2086</v>
      </c>
      <c r="K625" s="235"/>
    </row>
    <row r="626" spans="2:11">
      <c r="B626" s="82" t="s">
        <v>197</v>
      </c>
      <c r="C626" s="235" t="s">
        <v>2086</v>
      </c>
      <c r="D626" s="235" t="s">
        <v>2086</v>
      </c>
      <c r="E626" s="235" t="s">
        <v>2086</v>
      </c>
      <c r="F626" s="235" t="s">
        <v>2086</v>
      </c>
      <c r="G626" s="235" t="s">
        <v>2086</v>
      </c>
      <c r="H626" s="235" t="s">
        <v>2086</v>
      </c>
      <c r="I626" s="235" t="s">
        <v>2086</v>
      </c>
      <c r="J626" s="235" t="s">
        <v>2086</v>
      </c>
      <c r="K626" s="235"/>
    </row>
    <row r="627" spans="2:11">
      <c r="B627" s="81" t="s">
        <v>118</v>
      </c>
      <c r="C627" s="235" t="s">
        <v>2086</v>
      </c>
      <c r="D627" s="235" t="s">
        <v>2086</v>
      </c>
      <c r="E627" s="235" t="s">
        <v>2086</v>
      </c>
      <c r="F627" s="235" t="s">
        <v>2086</v>
      </c>
      <c r="G627" s="235" t="s">
        <v>2086</v>
      </c>
      <c r="H627" s="235" t="s">
        <v>2086</v>
      </c>
      <c r="I627" s="235" t="s">
        <v>2086</v>
      </c>
      <c r="J627" s="235" t="s">
        <v>2086</v>
      </c>
      <c r="K627" s="235"/>
    </row>
    <row r="628" spans="2:11">
      <c r="B628" s="81" t="s">
        <v>117</v>
      </c>
      <c r="C628" s="235" t="s">
        <v>2086</v>
      </c>
      <c r="D628" s="235" t="s">
        <v>2086</v>
      </c>
      <c r="E628" s="235" t="s">
        <v>2086</v>
      </c>
      <c r="F628" s="235" t="s">
        <v>2086</v>
      </c>
      <c r="G628" s="235" t="s">
        <v>2086</v>
      </c>
      <c r="H628" s="235" t="s">
        <v>2086</v>
      </c>
      <c r="I628" s="235" t="s">
        <v>2086</v>
      </c>
      <c r="J628" s="235" t="s">
        <v>2086</v>
      </c>
      <c r="K628" s="235"/>
    </row>
    <row r="629" spans="2:11">
      <c r="B629" s="81"/>
      <c r="C629" s="306"/>
      <c r="D629" s="306"/>
      <c r="E629" s="306"/>
      <c r="F629" s="306"/>
      <c r="G629" s="306"/>
      <c r="H629" s="306"/>
      <c r="I629" s="306"/>
      <c r="J629" s="306"/>
      <c r="K629" s="306"/>
    </row>
    <row r="630" spans="2:11">
      <c r="B630" s="71" t="s">
        <v>171</v>
      </c>
      <c r="C630" s="235" t="s">
        <v>2086</v>
      </c>
      <c r="D630" s="235" t="s">
        <v>2086</v>
      </c>
      <c r="E630" s="235" t="s">
        <v>2086</v>
      </c>
      <c r="F630" s="235" t="s">
        <v>2086</v>
      </c>
      <c r="G630" s="235" t="s">
        <v>2086</v>
      </c>
      <c r="H630" s="235" t="s">
        <v>2086</v>
      </c>
      <c r="I630" s="235" t="s">
        <v>2086</v>
      </c>
      <c r="J630" s="235" t="s">
        <v>2086</v>
      </c>
      <c r="K630" s="235"/>
    </row>
    <row r="631" spans="2:11">
      <c r="B631" s="52" t="s">
        <v>169</v>
      </c>
      <c r="C631" s="235" t="s">
        <v>2086</v>
      </c>
      <c r="D631" s="235" t="s">
        <v>2086</v>
      </c>
      <c r="E631" s="235" t="s">
        <v>2086</v>
      </c>
      <c r="F631" s="235" t="s">
        <v>2086</v>
      </c>
      <c r="G631" s="235" t="s">
        <v>2086</v>
      </c>
      <c r="H631" s="235" t="s">
        <v>2086</v>
      </c>
      <c r="I631" s="235" t="s">
        <v>2086</v>
      </c>
      <c r="J631" s="235" t="s">
        <v>2086</v>
      </c>
      <c r="K631" s="235"/>
    </row>
    <row r="632" spans="2:11">
      <c r="B632" s="52" t="s">
        <v>168</v>
      </c>
      <c r="C632" s="235" t="s">
        <v>2086</v>
      </c>
      <c r="D632" s="235" t="s">
        <v>2086</v>
      </c>
      <c r="E632" s="235" t="s">
        <v>2086</v>
      </c>
      <c r="F632" s="235" t="s">
        <v>2086</v>
      </c>
      <c r="G632" s="235" t="s">
        <v>2086</v>
      </c>
      <c r="H632" s="235" t="s">
        <v>2086</v>
      </c>
      <c r="I632" s="235" t="s">
        <v>2086</v>
      </c>
      <c r="J632" s="235" t="s">
        <v>2086</v>
      </c>
      <c r="K632" s="235"/>
    </row>
    <row r="633" spans="2:11">
      <c r="B633" s="52" t="s">
        <v>167</v>
      </c>
      <c r="C633" s="235" t="s">
        <v>2086</v>
      </c>
      <c r="D633" s="235" t="s">
        <v>2086</v>
      </c>
      <c r="E633" s="235" t="s">
        <v>2086</v>
      </c>
      <c r="F633" s="235" t="s">
        <v>2086</v>
      </c>
      <c r="G633" s="235" t="s">
        <v>2086</v>
      </c>
      <c r="H633" s="235" t="s">
        <v>2086</v>
      </c>
      <c r="I633" s="235" t="s">
        <v>2086</v>
      </c>
      <c r="J633" s="235" t="s">
        <v>2086</v>
      </c>
      <c r="K633" s="235"/>
    </row>
    <row r="634" spans="2:11">
      <c r="B634" s="52" t="s">
        <v>166</v>
      </c>
      <c r="C634" s="235" t="s">
        <v>2086</v>
      </c>
      <c r="D634" s="235" t="s">
        <v>2086</v>
      </c>
      <c r="E634" s="235" t="s">
        <v>2086</v>
      </c>
      <c r="F634" s="235" t="s">
        <v>2086</v>
      </c>
      <c r="G634" s="235" t="s">
        <v>2086</v>
      </c>
      <c r="H634" s="235" t="s">
        <v>2086</v>
      </c>
      <c r="I634" s="235" t="s">
        <v>2086</v>
      </c>
      <c r="J634" s="235" t="s">
        <v>2086</v>
      </c>
      <c r="K634" s="235"/>
    </row>
    <row r="635" spans="2:11">
      <c r="B635" s="52" t="s">
        <v>165</v>
      </c>
      <c r="C635" s="235" t="s">
        <v>2086</v>
      </c>
      <c r="D635" s="235" t="s">
        <v>2086</v>
      </c>
      <c r="E635" s="235" t="s">
        <v>2086</v>
      </c>
      <c r="F635" s="235" t="s">
        <v>2086</v>
      </c>
      <c r="G635" s="235" t="s">
        <v>2086</v>
      </c>
      <c r="H635" s="235" t="s">
        <v>2086</v>
      </c>
      <c r="I635" s="235" t="s">
        <v>2086</v>
      </c>
      <c r="J635" s="235" t="s">
        <v>2086</v>
      </c>
      <c r="K635" s="235"/>
    </row>
    <row r="636" spans="2:11">
      <c r="B636" s="52" t="s">
        <v>164</v>
      </c>
      <c r="C636" s="235" t="s">
        <v>2086</v>
      </c>
      <c r="D636" s="235" t="s">
        <v>2086</v>
      </c>
      <c r="E636" s="235" t="s">
        <v>2086</v>
      </c>
      <c r="F636" s="235" t="s">
        <v>2086</v>
      </c>
      <c r="G636" s="235" t="s">
        <v>2086</v>
      </c>
      <c r="H636" s="235" t="s">
        <v>2086</v>
      </c>
      <c r="I636" s="235" t="s">
        <v>2086</v>
      </c>
      <c r="J636" s="235" t="s">
        <v>2086</v>
      </c>
      <c r="K636" s="235"/>
    </row>
    <row r="637" spans="2:11">
      <c r="B637" s="52"/>
      <c r="C637" s="306"/>
      <c r="D637" s="306"/>
      <c r="E637" s="306"/>
      <c r="F637" s="306"/>
      <c r="G637" s="306"/>
      <c r="H637" s="306"/>
      <c r="I637" s="306"/>
      <c r="J637" s="306"/>
      <c r="K637" s="306"/>
    </row>
    <row r="638" spans="2:11">
      <c r="B638" s="80" t="s">
        <v>170</v>
      </c>
      <c r="C638" s="235" t="s">
        <v>2086</v>
      </c>
      <c r="D638" s="235" t="s">
        <v>2086</v>
      </c>
      <c r="E638" s="235" t="s">
        <v>2086</v>
      </c>
      <c r="F638" s="235" t="s">
        <v>2086</v>
      </c>
      <c r="G638" s="235" t="s">
        <v>2086</v>
      </c>
      <c r="H638" s="235" t="s">
        <v>2086</v>
      </c>
      <c r="I638" s="235" t="s">
        <v>2086</v>
      </c>
      <c r="J638" s="235" t="s">
        <v>2086</v>
      </c>
      <c r="K638" s="235"/>
    </row>
    <row r="639" spans="2:11">
      <c r="B639" s="52" t="s">
        <v>169</v>
      </c>
      <c r="C639" s="235" t="s">
        <v>2086</v>
      </c>
      <c r="D639" s="235" t="s">
        <v>2086</v>
      </c>
      <c r="E639" s="235" t="s">
        <v>2086</v>
      </c>
      <c r="F639" s="235" t="s">
        <v>2086</v>
      </c>
      <c r="G639" s="235" t="s">
        <v>2086</v>
      </c>
      <c r="H639" s="235" t="s">
        <v>2086</v>
      </c>
      <c r="I639" s="235" t="s">
        <v>2086</v>
      </c>
      <c r="J639" s="235" t="s">
        <v>2086</v>
      </c>
      <c r="K639" s="235"/>
    </row>
    <row r="640" spans="2:11">
      <c r="B640" s="52" t="s">
        <v>168</v>
      </c>
      <c r="C640" s="235" t="s">
        <v>2086</v>
      </c>
      <c r="D640" s="235" t="s">
        <v>2086</v>
      </c>
      <c r="E640" s="235" t="s">
        <v>2086</v>
      </c>
      <c r="F640" s="235" t="s">
        <v>2086</v>
      </c>
      <c r="G640" s="235" t="s">
        <v>2086</v>
      </c>
      <c r="H640" s="235" t="s">
        <v>2086</v>
      </c>
      <c r="I640" s="235" t="s">
        <v>2086</v>
      </c>
      <c r="J640" s="235" t="s">
        <v>2086</v>
      </c>
      <c r="K640" s="235"/>
    </row>
    <row r="641" spans="2:11">
      <c r="B641" s="52" t="s">
        <v>167</v>
      </c>
      <c r="C641" s="235" t="s">
        <v>2086</v>
      </c>
      <c r="D641" s="235" t="s">
        <v>2086</v>
      </c>
      <c r="E641" s="235" t="s">
        <v>2086</v>
      </c>
      <c r="F641" s="235" t="s">
        <v>2086</v>
      </c>
      <c r="G641" s="235" t="s">
        <v>2086</v>
      </c>
      <c r="H641" s="235" t="s">
        <v>2086</v>
      </c>
      <c r="I641" s="235" t="s">
        <v>2086</v>
      </c>
      <c r="J641" s="235" t="s">
        <v>2086</v>
      </c>
      <c r="K641" s="235"/>
    </row>
    <row r="642" spans="2:11">
      <c r="B642" s="52" t="s">
        <v>166</v>
      </c>
      <c r="C642" s="235" t="s">
        <v>2086</v>
      </c>
      <c r="D642" s="235" t="s">
        <v>2086</v>
      </c>
      <c r="E642" s="235" t="s">
        <v>2086</v>
      </c>
      <c r="F642" s="235" t="s">
        <v>2086</v>
      </c>
      <c r="G642" s="235" t="s">
        <v>2086</v>
      </c>
      <c r="H642" s="235" t="s">
        <v>2086</v>
      </c>
      <c r="I642" s="235" t="s">
        <v>2086</v>
      </c>
      <c r="J642" s="235" t="s">
        <v>2086</v>
      </c>
      <c r="K642" s="235"/>
    </row>
    <row r="643" spans="2:11">
      <c r="B643" s="52" t="s">
        <v>165</v>
      </c>
      <c r="C643" s="235" t="s">
        <v>2086</v>
      </c>
      <c r="D643" s="235" t="s">
        <v>2086</v>
      </c>
      <c r="E643" s="235" t="s">
        <v>2086</v>
      </c>
      <c r="F643" s="235" t="s">
        <v>2086</v>
      </c>
      <c r="G643" s="235" t="s">
        <v>2086</v>
      </c>
      <c r="H643" s="235" t="s">
        <v>2086</v>
      </c>
      <c r="I643" s="235" t="s">
        <v>2086</v>
      </c>
      <c r="J643" s="235" t="s">
        <v>2086</v>
      </c>
      <c r="K643" s="235"/>
    </row>
    <row r="644" spans="2:11" ht="15" thickBot="1">
      <c r="B644" s="52" t="s">
        <v>164</v>
      </c>
      <c r="C644" s="235" t="s">
        <v>2086</v>
      </c>
      <c r="D644" s="235" t="s">
        <v>2086</v>
      </c>
      <c r="E644" s="235" t="s">
        <v>2086</v>
      </c>
      <c r="F644" s="235" t="s">
        <v>2086</v>
      </c>
      <c r="G644" s="235" t="s">
        <v>2086</v>
      </c>
      <c r="H644" s="235" t="s">
        <v>2086</v>
      </c>
      <c r="I644" s="235" t="s">
        <v>2086</v>
      </c>
      <c r="J644" s="235" t="s">
        <v>2086</v>
      </c>
      <c r="K644" s="235"/>
    </row>
    <row r="645" spans="2:11" ht="15" thickTop="1">
      <c r="B645" s="62" t="s">
        <v>869</v>
      </c>
      <c r="C645" s="181"/>
      <c r="D645" s="181"/>
      <c r="E645" s="181"/>
      <c r="F645" s="181"/>
      <c r="G645" s="181"/>
      <c r="H645" s="181"/>
      <c r="I645" s="181"/>
      <c r="J645" s="181"/>
      <c r="K645" s="108"/>
    </row>
    <row r="646" spans="2:11">
      <c r="B646" s="2017"/>
      <c r="C646" s="2017"/>
      <c r="D646" s="2017"/>
      <c r="E646" s="2017"/>
      <c r="F646" s="2017"/>
      <c r="G646" s="2017"/>
      <c r="H646" s="2017"/>
      <c r="I646" s="2017"/>
      <c r="J646" s="2017"/>
      <c r="K646" s="2017"/>
    </row>
    <row r="647" spans="2:11">
      <c r="B647" s="64"/>
      <c r="C647" s="302"/>
      <c r="D647" s="302"/>
      <c r="E647" s="302"/>
      <c r="F647" s="302"/>
      <c r="G647" s="302"/>
      <c r="H647" s="302"/>
      <c r="I647" s="302"/>
      <c r="J647" s="302"/>
      <c r="K647" s="302"/>
    </row>
    <row r="648" spans="2:11">
      <c r="B648" s="2100" t="s">
        <v>161</v>
      </c>
      <c r="C648" s="2100"/>
      <c r="D648" s="2100"/>
      <c r="E648" s="2100"/>
      <c r="F648" s="2100"/>
      <c r="G648" s="2100"/>
      <c r="H648" s="2100"/>
      <c r="I648" s="2100"/>
      <c r="J648" s="2100"/>
      <c r="K648" s="2100"/>
    </row>
    <row r="649" spans="2:11">
      <c r="B649" s="12" t="s">
        <v>160</v>
      </c>
      <c r="C649" s="302"/>
      <c r="D649" s="302"/>
      <c r="E649" s="302"/>
      <c r="F649" s="302"/>
      <c r="G649" s="302"/>
      <c r="H649" s="302"/>
      <c r="I649" s="302"/>
      <c r="J649" s="302"/>
      <c r="K649" s="302"/>
    </row>
    <row r="650" spans="2:11">
      <c r="B650" s="77" t="s">
        <v>269</v>
      </c>
      <c r="C650" s="302"/>
      <c r="D650" s="302"/>
      <c r="E650" s="302"/>
      <c r="F650" s="302"/>
      <c r="G650" s="302"/>
      <c r="H650" s="302"/>
      <c r="I650" s="302"/>
      <c r="J650" s="302"/>
      <c r="K650" s="302"/>
    </row>
    <row r="651" spans="2:11">
      <c r="B651" s="76"/>
      <c r="C651" s="302"/>
      <c r="D651" s="302"/>
      <c r="E651" s="302"/>
      <c r="F651" s="302"/>
      <c r="G651" s="302"/>
      <c r="H651" s="302"/>
      <c r="I651" s="302"/>
      <c r="J651" s="302"/>
      <c r="K651" s="302"/>
    </row>
    <row r="652" spans="2:11">
      <c r="B652" s="61"/>
      <c r="C652" s="303">
        <v>2014</v>
      </c>
      <c r="D652" s="303">
        <v>2015</v>
      </c>
      <c r="E652" s="303">
        <v>2016</v>
      </c>
      <c r="F652" s="303">
        <v>2017</v>
      </c>
      <c r="G652" s="303">
        <v>2018</v>
      </c>
      <c r="H652" s="303">
        <v>2019</v>
      </c>
      <c r="I652" s="303">
        <v>2020</v>
      </c>
      <c r="J652" s="303">
        <v>2021</v>
      </c>
      <c r="K652" s="413"/>
    </row>
    <row r="653" spans="2:11">
      <c r="B653" s="59" t="s">
        <v>503</v>
      </c>
      <c r="C653" s="302"/>
      <c r="D653" s="302"/>
      <c r="E653" s="302"/>
      <c r="F653" s="302"/>
      <c r="G653" s="302"/>
      <c r="H653" s="302"/>
      <c r="I653" s="302"/>
      <c r="J653" s="302"/>
      <c r="K653" s="302"/>
    </row>
    <row r="654" spans="2:11">
      <c r="B654" s="71" t="s">
        <v>516</v>
      </c>
      <c r="C654" s="481">
        <v>35</v>
      </c>
      <c r="D654" s="481">
        <v>39</v>
      </c>
      <c r="E654" s="481">
        <v>39</v>
      </c>
      <c r="F654" s="481">
        <v>39</v>
      </c>
      <c r="G654" s="481">
        <v>35</v>
      </c>
      <c r="H654" s="481">
        <v>34</v>
      </c>
      <c r="I654" s="481">
        <v>32</v>
      </c>
      <c r="J654" s="481">
        <v>43</v>
      </c>
      <c r="K654" s="481"/>
    </row>
    <row r="655" spans="2:11">
      <c r="B655" s="52" t="s">
        <v>150</v>
      </c>
      <c r="C655" s="321">
        <v>1</v>
      </c>
      <c r="D655" s="321">
        <v>1</v>
      </c>
      <c r="E655" s="321">
        <v>1</v>
      </c>
      <c r="F655" s="321">
        <v>1</v>
      </c>
      <c r="G655" s="321">
        <v>1</v>
      </c>
      <c r="H655" s="321">
        <v>1</v>
      </c>
      <c r="I655" s="321">
        <v>1</v>
      </c>
      <c r="J655" s="321">
        <v>1</v>
      </c>
      <c r="K655" s="321"/>
    </row>
    <row r="656" spans="2:11">
      <c r="B656" s="52" t="s">
        <v>149</v>
      </c>
      <c r="C656" s="235" t="s">
        <v>2086</v>
      </c>
      <c r="D656" s="235" t="s">
        <v>2086</v>
      </c>
      <c r="E656" s="235" t="s">
        <v>2086</v>
      </c>
      <c r="F656" s="235" t="s">
        <v>2086</v>
      </c>
      <c r="G656" s="235" t="s">
        <v>2086</v>
      </c>
      <c r="H656" s="235" t="s">
        <v>2086</v>
      </c>
      <c r="I656" s="235" t="s">
        <v>2086</v>
      </c>
      <c r="J656" s="235" t="s">
        <v>2086</v>
      </c>
      <c r="K656" s="235"/>
    </row>
    <row r="657" spans="2:11">
      <c r="B657" s="52" t="s">
        <v>148</v>
      </c>
      <c r="C657" s="235" t="s">
        <v>2086</v>
      </c>
      <c r="D657" s="235" t="s">
        <v>2086</v>
      </c>
      <c r="E657" s="235" t="s">
        <v>2086</v>
      </c>
      <c r="F657" s="235" t="s">
        <v>2086</v>
      </c>
      <c r="G657" s="235" t="s">
        <v>2086</v>
      </c>
      <c r="H657" s="235" t="s">
        <v>2086</v>
      </c>
      <c r="I657" s="235" t="s">
        <v>2086</v>
      </c>
      <c r="J657" s="235" t="s">
        <v>2086</v>
      </c>
      <c r="K657" s="235"/>
    </row>
    <row r="658" spans="2:11">
      <c r="B658" s="52" t="s">
        <v>147</v>
      </c>
      <c r="C658" s="235" t="s">
        <v>2086</v>
      </c>
      <c r="D658" s="235" t="s">
        <v>2086</v>
      </c>
      <c r="E658" s="235" t="s">
        <v>2086</v>
      </c>
      <c r="F658" s="235" t="s">
        <v>2086</v>
      </c>
      <c r="G658" s="235" t="s">
        <v>2086</v>
      </c>
      <c r="H658" s="235" t="s">
        <v>2086</v>
      </c>
      <c r="I658" s="235" t="s">
        <v>2086</v>
      </c>
      <c r="J658" s="235" t="s">
        <v>2086</v>
      </c>
      <c r="K658" s="235"/>
    </row>
    <row r="659" spans="2:11">
      <c r="B659" s="52" t="s">
        <v>146</v>
      </c>
      <c r="C659" s="235">
        <v>34</v>
      </c>
      <c r="D659" s="235">
        <v>34</v>
      </c>
      <c r="E659" s="235">
        <v>34</v>
      </c>
      <c r="F659" s="235">
        <v>40</v>
      </c>
      <c r="G659" s="235">
        <v>41</v>
      </c>
      <c r="H659" s="235">
        <v>30</v>
      </c>
      <c r="I659" s="235">
        <v>40</v>
      </c>
      <c r="J659" s="235">
        <v>43</v>
      </c>
      <c r="K659" s="235"/>
    </row>
    <row r="660" spans="2:11">
      <c r="B660" s="52"/>
      <c r="C660" s="321"/>
      <c r="D660" s="321"/>
      <c r="E660" s="321"/>
      <c r="F660" s="321"/>
      <c r="G660" s="321"/>
      <c r="H660" s="321"/>
      <c r="I660" s="321"/>
      <c r="J660" s="321"/>
      <c r="K660" s="321"/>
    </row>
    <row r="661" spans="2:11">
      <c r="B661" s="71" t="s">
        <v>152</v>
      </c>
      <c r="C661" s="481">
        <v>35</v>
      </c>
      <c r="D661" s="481">
        <v>39</v>
      </c>
      <c r="E661" s="481">
        <v>39</v>
      </c>
      <c r="F661" s="481">
        <v>39</v>
      </c>
      <c r="G661" s="481">
        <v>35</v>
      </c>
      <c r="H661" s="481">
        <v>34</v>
      </c>
      <c r="I661" s="481">
        <v>32</v>
      </c>
      <c r="J661" s="481">
        <v>43</v>
      </c>
      <c r="K661" s="481"/>
    </row>
    <row r="662" spans="2:11">
      <c r="B662" s="52" t="s">
        <v>150</v>
      </c>
      <c r="C662" s="321">
        <v>1</v>
      </c>
      <c r="D662" s="321">
        <v>1</v>
      </c>
      <c r="E662" s="321">
        <v>1</v>
      </c>
      <c r="F662" s="321">
        <v>1</v>
      </c>
      <c r="G662" s="321">
        <v>1</v>
      </c>
      <c r="H662" s="321">
        <v>1</v>
      </c>
      <c r="I662" s="321">
        <v>1</v>
      </c>
      <c r="J662" s="321">
        <v>1</v>
      </c>
      <c r="K662" s="321"/>
    </row>
    <row r="663" spans="2:11">
      <c r="B663" s="52" t="s">
        <v>149</v>
      </c>
      <c r="C663" s="235" t="s">
        <v>2086</v>
      </c>
      <c r="D663" s="235" t="s">
        <v>2086</v>
      </c>
      <c r="E663" s="235" t="s">
        <v>2086</v>
      </c>
      <c r="F663" s="235" t="s">
        <v>2086</v>
      </c>
      <c r="G663" s="235" t="s">
        <v>2086</v>
      </c>
      <c r="H663" s="235" t="s">
        <v>2086</v>
      </c>
      <c r="I663" s="235" t="s">
        <v>2086</v>
      </c>
      <c r="J663" s="235" t="s">
        <v>2086</v>
      </c>
      <c r="K663" s="235"/>
    </row>
    <row r="664" spans="2:11">
      <c r="B664" s="52" t="s">
        <v>148</v>
      </c>
      <c r="C664" s="235" t="s">
        <v>2086</v>
      </c>
      <c r="D664" s="235" t="s">
        <v>2086</v>
      </c>
      <c r="E664" s="235" t="s">
        <v>2086</v>
      </c>
      <c r="F664" s="235" t="s">
        <v>2086</v>
      </c>
      <c r="G664" s="235" t="s">
        <v>2086</v>
      </c>
      <c r="H664" s="235" t="s">
        <v>2086</v>
      </c>
      <c r="I664" s="235" t="s">
        <v>2086</v>
      </c>
      <c r="J664" s="235" t="s">
        <v>2086</v>
      </c>
      <c r="K664" s="235"/>
    </row>
    <row r="665" spans="2:11">
      <c r="B665" s="52" t="s">
        <v>147</v>
      </c>
      <c r="C665" s="235" t="s">
        <v>2086</v>
      </c>
      <c r="D665" s="235" t="s">
        <v>2086</v>
      </c>
      <c r="E665" s="235" t="s">
        <v>2086</v>
      </c>
      <c r="F665" s="235" t="s">
        <v>2086</v>
      </c>
      <c r="G665" s="235" t="s">
        <v>2086</v>
      </c>
      <c r="H665" s="235" t="s">
        <v>2086</v>
      </c>
      <c r="I665" s="235" t="s">
        <v>2086</v>
      </c>
      <c r="J665" s="235" t="s">
        <v>2086</v>
      </c>
      <c r="K665" s="235"/>
    </row>
    <row r="666" spans="2:11">
      <c r="B666" s="52" t="s">
        <v>146</v>
      </c>
      <c r="C666" s="235">
        <v>34</v>
      </c>
      <c r="D666" s="235">
        <v>34</v>
      </c>
      <c r="E666" s="235">
        <v>34</v>
      </c>
      <c r="F666" s="235">
        <v>40</v>
      </c>
      <c r="G666" s="235">
        <v>41</v>
      </c>
      <c r="H666" s="235">
        <v>30</v>
      </c>
      <c r="I666" s="235">
        <v>40</v>
      </c>
      <c r="J666" s="235">
        <v>43</v>
      </c>
      <c r="K666" s="235"/>
    </row>
    <row r="667" spans="2:11">
      <c r="B667" s="52"/>
      <c r="C667" s="321"/>
      <c r="D667" s="321"/>
      <c r="E667" s="321"/>
      <c r="F667" s="321"/>
      <c r="G667" s="321"/>
      <c r="H667" s="321"/>
      <c r="I667" s="321"/>
      <c r="J667" s="321"/>
      <c r="K667" s="321"/>
    </row>
    <row r="668" spans="2:11">
      <c r="B668" s="71" t="s">
        <v>151</v>
      </c>
      <c r="C668" s="235" t="s">
        <v>2086</v>
      </c>
      <c r="D668" s="235" t="s">
        <v>2086</v>
      </c>
      <c r="E668" s="235" t="s">
        <v>2086</v>
      </c>
      <c r="F668" s="235" t="s">
        <v>2086</v>
      </c>
      <c r="G668" s="235" t="s">
        <v>2086</v>
      </c>
      <c r="H668" s="235" t="s">
        <v>2086</v>
      </c>
      <c r="I668" s="235" t="s">
        <v>2086</v>
      </c>
      <c r="J668" s="235" t="s">
        <v>2086</v>
      </c>
      <c r="K668" s="235"/>
    </row>
    <row r="669" spans="2:11">
      <c r="B669" s="52" t="s">
        <v>150</v>
      </c>
      <c r="C669" s="235" t="s">
        <v>2086</v>
      </c>
      <c r="D669" s="235" t="s">
        <v>2086</v>
      </c>
      <c r="E669" s="235" t="s">
        <v>2086</v>
      </c>
      <c r="F669" s="235" t="s">
        <v>2086</v>
      </c>
      <c r="G669" s="235" t="s">
        <v>2086</v>
      </c>
      <c r="H669" s="235" t="s">
        <v>2086</v>
      </c>
      <c r="I669" s="235" t="s">
        <v>2086</v>
      </c>
      <c r="J669" s="235" t="s">
        <v>2086</v>
      </c>
      <c r="K669" s="235"/>
    </row>
    <row r="670" spans="2:11">
      <c r="B670" s="52" t="s">
        <v>149</v>
      </c>
      <c r="C670" s="235" t="s">
        <v>2086</v>
      </c>
      <c r="D670" s="235" t="s">
        <v>2086</v>
      </c>
      <c r="E670" s="235" t="s">
        <v>2086</v>
      </c>
      <c r="F670" s="235" t="s">
        <v>2086</v>
      </c>
      <c r="G670" s="235" t="s">
        <v>2086</v>
      </c>
      <c r="H670" s="235" t="s">
        <v>2086</v>
      </c>
      <c r="I670" s="235" t="s">
        <v>2086</v>
      </c>
      <c r="J670" s="235" t="s">
        <v>2086</v>
      </c>
      <c r="K670" s="235"/>
    </row>
    <row r="671" spans="2:11">
      <c r="B671" s="52" t="s">
        <v>148</v>
      </c>
      <c r="C671" s="235" t="s">
        <v>2086</v>
      </c>
      <c r="D671" s="235" t="s">
        <v>2086</v>
      </c>
      <c r="E671" s="235" t="s">
        <v>2086</v>
      </c>
      <c r="F671" s="235" t="s">
        <v>2086</v>
      </c>
      <c r="G671" s="235" t="s">
        <v>2086</v>
      </c>
      <c r="H671" s="235" t="s">
        <v>2086</v>
      </c>
      <c r="I671" s="235" t="s">
        <v>2086</v>
      </c>
      <c r="J671" s="235" t="s">
        <v>2086</v>
      </c>
      <c r="K671" s="235"/>
    </row>
    <row r="672" spans="2:11">
      <c r="B672" s="52" t="s">
        <v>147</v>
      </c>
      <c r="C672" s="235" t="s">
        <v>2086</v>
      </c>
      <c r="D672" s="235" t="s">
        <v>2086</v>
      </c>
      <c r="E672" s="235" t="s">
        <v>2086</v>
      </c>
      <c r="F672" s="235" t="s">
        <v>2086</v>
      </c>
      <c r="G672" s="235" t="s">
        <v>2086</v>
      </c>
      <c r="H672" s="235" t="s">
        <v>2086</v>
      </c>
      <c r="I672" s="235" t="s">
        <v>2086</v>
      </c>
      <c r="J672" s="235" t="s">
        <v>2086</v>
      </c>
      <c r="K672" s="235"/>
    </row>
    <row r="673" spans="2:11" ht="15" thickBot="1">
      <c r="B673" s="52" t="s">
        <v>146</v>
      </c>
      <c r="C673" s="235" t="s">
        <v>2086</v>
      </c>
      <c r="D673" s="235" t="s">
        <v>2086</v>
      </c>
      <c r="E673" s="235" t="s">
        <v>2086</v>
      </c>
      <c r="F673" s="235" t="s">
        <v>2086</v>
      </c>
      <c r="G673" s="235" t="s">
        <v>2086</v>
      </c>
      <c r="H673" s="235" t="s">
        <v>2086</v>
      </c>
      <c r="I673" s="235" t="s">
        <v>2086</v>
      </c>
      <c r="J673" s="235" t="s">
        <v>2086</v>
      </c>
      <c r="K673" s="235"/>
    </row>
    <row r="674" spans="2:11" ht="15" thickTop="1">
      <c r="B674" s="181" t="s">
        <v>869</v>
      </c>
      <c r="C674" s="181"/>
      <c r="D674" s="181"/>
      <c r="E674" s="181"/>
      <c r="F674" s="181"/>
      <c r="G674" s="181"/>
      <c r="H674" s="181"/>
      <c r="I674" s="181"/>
      <c r="J674" s="181"/>
      <c r="K674" s="108"/>
    </row>
    <row r="675" spans="2:11">
      <c r="B675" s="62"/>
      <c r="C675" s="302"/>
      <c r="D675" s="302"/>
      <c r="E675" s="302"/>
      <c r="F675" s="302"/>
      <c r="G675" s="302"/>
      <c r="H675" s="302"/>
      <c r="I675" s="302"/>
      <c r="J675" s="302"/>
      <c r="K675" s="302"/>
    </row>
    <row r="676" spans="2:11">
      <c r="B676" s="2100" t="s">
        <v>144</v>
      </c>
      <c r="C676" s="2100"/>
      <c r="D676" s="2100"/>
      <c r="E676" s="2100"/>
      <c r="F676" s="2100"/>
      <c r="G676" s="2100"/>
      <c r="H676" s="2100"/>
      <c r="I676" s="2100"/>
      <c r="J676" s="2100"/>
      <c r="K676" s="2100"/>
    </row>
    <row r="677" spans="2:11">
      <c r="B677" s="12" t="s">
        <v>143</v>
      </c>
      <c r="C677" s="302"/>
      <c r="D677" s="302"/>
      <c r="E677" s="302"/>
      <c r="F677" s="302"/>
      <c r="G677" s="302"/>
      <c r="H677" s="302"/>
      <c r="I677" s="302"/>
      <c r="J677" s="302"/>
      <c r="K677" s="302"/>
    </row>
    <row r="678" spans="2:11">
      <c r="B678" s="62" t="s">
        <v>142</v>
      </c>
      <c r="C678" s="302"/>
      <c r="D678" s="302"/>
      <c r="E678" s="302"/>
      <c r="F678" s="302"/>
      <c r="G678" s="302"/>
      <c r="H678" s="302"/>
      <c r="I678" s="302"/>
      <c r="J678" s="302"/>
      <c r="K678" s="302"/>
    </row>
    <row r="679" spans="2:11">
      <c r="B679" s="62"/>
      <c r="C679" s="302"/>
      <c r="D679" s="302"/>
      <c r="E679" s="302"/>
      <c r="F679" s="302"/>
      <c r="G679" s="302"/>
      <c r="H679" s="302"/>
      <c r="I679" s="302"/>
      <c r="J679" s="302"/>
      <c r="K679" s="302"/>
    </row>
    <row r="680" spans="2:11">
      <c r="B680" s="61"/>
      <c r="C680" s="303">
        <v>2014</v>
      </c>
      <c r="D680" s="303">
        <v>2015</v>
      </c>
      <c r="E680" s="303">
        <v>2016</v>
      </c>
      <c r="F680" s="303">
        <v>2017</v>
      </c>
      <c r="G680" s="303">
        <v>2018</v>
      </c>
      <c r="H680" s="303">
        <v>2019</v>
      </c>
      <c r="I680" s="303">
        <v>2020</v>
      </c>
      <c r="J680" s="303">
        <v>2021</v>
      </c>
      <c r="K680" s="413"/>
    </row>
    <row r="681" spans="2:11">
      <c r="B681" s="59" t="s">
        <v>503</v>
      </c>
      <c r="C681" s="302"/>
      <c r="D681" s="302"/>
      <c r="E681" s="302"/>
      <c r="F681" s="302"/>
      <c r="G681" s="302"/>
      <c r="H681" s="302"/>
      <c r="I681" s="302"/>
      <c r="J681" s="302"/>
      <c r="K681" s="302"/>
    </row>
    <row r="682" spans="2:11">
      <c r="B682" s="71" t="s">
        <v>141</v>
      </c>
      <c r="C682" s="495">
        <f t="shared" ref="C682:D682" si="70">SUM(C683,C686:C687)</f>
        <v>2.073</v>
      </c>
      <c r="D682" s="495">
        <f t="shared" si="70"/>
        <v>2.133</v>
      </c>
      <c r="E682" s="495">
        <f>SUM(E683,E686:E687)</f>
        <v>2.3330000000000002</v>
      </c>
      <c r="F682" s="495">
        <f t="shared" ref="F682:G682" si="71">SUM(F683,F686:F687)</f>
        <v>9.0019999999999989</v>
      </c>
      <c r="G682" s="495">
        <f t="shared" si="71"/>
        <v>6.9620000000000006</v>
      </c>
      <c r="H682" s="305">
        <f>+H683+H686+H687</f>
        <v>6.5710000000000006</v>
      </c>
      <c r="I682" s="305">
        <f t="shared" ref="I682" si="72">+I683+I686+I687</f>
        <v>7.2349999999999994</v>
      </c>
      <c r="J682" s="305">
        <v>9.7590000000000003</v>
      </c>
      <c r="K682" s="305"/>
    </row>
    <row r="683" spans="2:11">
      <c r="B683" s="52" t="s">
        <v>121</v>
      </c>
      <c r="C683" s="464">
        <f t="shared" ref="C683:E683" si="73">SUM(C684:C685)</f>
        <v>1.9159999999999999</v>
      </c>
      <c r="D683" s="464">
        <f t="shared" si="73"/>
        <v>1.802</v>
      </c>
      <c r="E683" s="464">
        <f t="shared" si="73"/>
        <v>2.2350000000000003</v>
      </c>
      <c r="F683" s="495">
        <v>8.2729999999999997</v>
      </c>
      <c r="G683" s="495">
        <v>6.5600000000000005</v>
      </c>
      <c r="H683" s="305">
        <f>+H684+H685</f>
        <v>6.2</v>
      </c>
      <c r="I683" s="305">
        <f>+I684+I685</f>
        <v>6.6639999999999997</v>
      </c>
      <c r="J683" s="305">
        <v>8.004999999999999</v>
      </c>
      <c r="K683" s="305"/>
    </row>
    <row r="684" spans="2:11">
      <c r="B684" s="53" t="s">
        <v>120</v>
      </c>
      <c r="C684" s="496">
        <v>1.663</v>
      </c>
      <c r="D684" s="497">
        <v>1.6739999999999999</v>
      </c>
      <c r="E684" s="497">
        <v>2.1720000000000002</v>
      </c>
      <c r="F684" s="495">
        <v>0.73799999999999999</v>
      </c>
      <c r="G684" s="495">
        <v>0.63700000000000001</v>
      </c>
      <c r="H684">
        <v>0.72699999999999998</v>
      </c>
      <c r="I684" s="307">
        <v>0.92200000000000004</v>
      </c>
      <c r="J684" s="307">
        <v>0.64400000000000002</v>
      </c>
      <c r="K684" s="307"/>
    </row>
    <row r="685" spans="2:11">
      <c r="B685" s="53" t="s">
        <v>119</v>
      </c>
      <c r="C685" s="496">
        <v>0.253</v>
      </c>
      <c r="D685" s="497">
        <v>0.128</v>
      </c>
      <c r="E685" s="497">
        <v>6.3E-2</v>
      </c>
      <c r="F685" s="495">
        <v>7.5350000000000001</v>
      </c>
      <c r="G685" s="495">
        <v>5.923</v>
      </c>
      <c r="H685">
        <v>5.4729999999999999</v>
      </c>
      <c r="I685" s="307">
        <v>5.742</v>
      </c>
      <c r="J685" s="307">
        <v>7.3609999999999998</v>
      </c>
      <c r="K685" s="307"/>
    </row>
    <row r="686" spans="2:11">
      <c r="B686" s="52" t="s">
        <v>118</v>
      </c>
      <c r="C686" s="496">
        <v>1E-3</v>
      </c>
      <c r="D686" s="497">
        <v>2E-3</v>
      </c>
      <c r="E686" s="497">
        <v>1E-3</v>
      </c>
      <c r="F686" s="495">
        <v>3.2000000000000001E-2</v>
      </c>
      <c r="G686" s="495">
        <v>3.2000000000000001E-2</v>
      </c>
      <c r="H686" s="307">
        <v>3.2000000000000001E-2</v>
      </c>
      <c r="I686" s="307">
        <v>3.2000000000000001E-2</v>
      </c>
      <c r="J686" s="307">
        <v>0.46</v>
      </c>
      <c r="K686" s="307"/>
    </row>
    <row r="687" spans="2:11" ht="15" thickBot="1">
      <c r="B687" s="52" t="s">
        <v>117</v>
      </c>
      <c r="C687" s="496">
        <v>0.156</v>
      </c>
      <c r="D687" s="497">
        <v>0.32900000000000001</v>
      </c>
      <c r="E687" s="497">
        <v>9.7000000000000003E-2</v>
      </c>
      <c r="F687" s="495">
        <v>0.69699999999999995</v>
      </c>
      <c r="G687" s="495">
        <v>0.37</v>
      </c>
      <c r="H687" s="307">
        <v>0.33900000000000002</v>
      </c>
      <c r="I687" s="307">
        <v>0.53900000000000003</v>
      </c>
      <c r="J687" s="307">
        <v>1.294</v>
      </c>
      <c r="K687" s="307"/>
    </row>
    <row r="688" spans="2:11" ht="15" thickTop="1">
      <c r="B688" s="2025" t="s">
        <v>869</v>
      </c>
      <c r="C688" s="2025"/>
      <c r="D688" s="2025"/>
      <c r="E688" s="2025"/>
      <c r="F688" s="2025"/>
      <c r="G688" s="2025"/>
      <c r="H688" s="2025"/>
      <c r="I688" s="2025"/>
      <c r="J688" s="2025"/>
      <c r="K688" s="2031"/>
    </row>
    <row r="689" spans="2:11">
      <c r="B689" s="2017"/>
      <c r="C689" s="2017"/>
      <c r="D689" s="2017"/>
      <c r="E689" s="2017"/>
      <c r="F689" s="2017"/>
      <c r="G689" s="2017"/>
      <c r="H689" s="2017"/>
      <c r="I689" s="2017"/>
      <c r="J689" s="2017"/>
      <c r="K689" s="2017"/>
    </row>
    <row r="690" spans="2:11">
      <c r="B690" s="64"/>
      <c r="C690" s="302"/>
      <c r="D690" s="302"/>
      <c r="E690" s="302"/>
      <c r="F690" s="302"/>
      <c r="G690" s="302"/>
      <c r="H690" s="302"/>
      <c r="I690" s="302"/>
      <c r="J690" s="302"/>
      <c r="K690" s="302"/>
    </row>
    <row r="691" spans="2:11">
      <c r="B691" s="2100" t="s">
        <v>140</v>
      </c>
      <c r="C691" s="2100"/>
      <c r="D691" s="2100"/>
      <c r="E691" s="2100"/>
      <c r="F691" s="2100"/>
      <c r="G691" s="2100"/>
      <c r="H691" s="2100"/>
      <c r="I691" s="2100"/>
      <c r="J691" s="2100"/>
      <c r="K691" s="2100"/>
    </row>
    <row r="692" spans="2:11">
      <c r="B692" s="12" t="s">
        <v>139</v>
      </c>
      <c r="C692" s="302"/>
      <c r="D692" s="302"/>
      <c r="E692" s="302"/>
      <c r="F692" s="302"/>
      <c r="G692" s="302"/>
      <c r="H692" s="302"/>
      <c r="I692" s="302"/>
      <c r="J692" s="302"/>
      <c r="K692" s="302"/>
    </row>
    <row r="693" spans="2:11">
      <c r="B693" s="62" t="s">
        <v>138</v>
      </c>
      <c r="C693" s="302"/>
      <c r="D693" s="302"/>
      <c r="E693" s="302"/>
      <c r="F693" s="302"/>
      <c r="G693" s="302"/>
      <c r="H693" s="302"/>
      <c r="I693" s="302"/>
      <c r="J693" s="302"/>
      <c r="K693" s="302"/>
    </row>
    <row r="694" spans="2:11">
      <c r="B694" s="64"/>
      <c r="C694" s="302"/>
      <c r="D694" s="302"/>
      <c r="E694" s="302"/>
      <c r="F694" s="302"/>
      <c r="G694" s="302"/>
      <c r="H694" s="302"/>
      <c r="I694" s="302"/>
      <c r="J694" s="302"/>
      <c r="K694" s="302"/>
    </row>
    <row r="695" spans="2:11">
      <c r="B695" s="61"/>
      <c r="C695" s="303">
        <v>2014</v>
      </c>
      <c r="D695" s="303">
        <v>2015</v>
      </c>
      <c r="E695" s="303">
        <v>2016</v>
      </c>
      <c r="F695" s="303">
        <v>2017</v>
      </c>
      <c r="G695" s="303">
        <v>2018</v>
      </c>
      <c r="H695" s="303">
        <v>2019</v>
      </c>
      <c r="I695" s="303">
        <v>2020</v>
      </c>
      <c r="J695" s="303">
        <v>2021</v>
      </c>
      <c r="K695" s="413"/>
    </row>
    <row r="696" spans="2:11">
      <c r="B696" s="59" t="s">
        <v>503</v>
      </c>
      <c r="C696" s="302"/>
      <c r="D696" s="302"/>
      <c r="E696" s="302"/>
      <c r="F696" s="302"/>
      <c r="G696" s="302"/>
      <c r="H696" s="302"/>
      <c r="I696" s="302"/>
      <c r="J696" s="302"/>
      <c r="K696" s="302"/>
    </row>
    <row r="697" spans="2:11">
      <c r="B697" s="71" t="s">
        <v>137</v>
      </c>
      <c r="C697" s="305">
        <v>13175.404</v>
      </c>
      <c r="D697" s="305">
        <v>17679.400000000001</v>
      </c>
      <c r="E697" s="305">
        <v>36203.648000000001</v>
      </c>
      <c r="F697" s="305">
        <f t="shared" ref="F697:G697" si="74">SUM(F698,F701:F702)</f>
        <v>20764.01809152</v>
      </c>
      <c r="G697" s="305">
        <f t="shared" si="74"/>
        <v>19739.12469583</v>
      </c>
      <c r="H697" s="305">
        <f>+H698+H701+H702</f>
        <v>20866.763771710015</v>
      </c>
      <c r="I697" s="305">
        <f t="shared" ref="I697" si="75">+I698+I701+I702</f>
        <v>22525.505588360033</v>
      </c>
      <c r="J697" s="305">
        <v>23749.425000000003</v>
      </c>
      <c r="K697" s="305"/>
    </row>
    <row r="698" spans="2:11">
      <c r="B698" s="52" t="s">
        <v>121</v>
      </c>
      <c r="C698" s="305">
        <v>9549.4410000000007</v>
      </c>
      <c r="D698" s="305">
        <v>15502.31</v>
      </c>
      <c r="E698" s="305">
        <v>34399.118999999999</v>
      </c>
      <c r="F698" s="305">
        <v>17474.522921609998</v>
      </c>
      <c r="G698" s="305">
        <v>16507.0001041</v>
      </c>
      <c r="H698" s="305">
        <f>+H699+H700</f>
        <v>17994.638205760013</v>
      </c>
      <c r="I698" s="305">
        <f>+I699+I700</f>
        <v>19514.319906430032</v>
      </c>
      <c r="J698" s="305">
        <v>17840.499</v>
      </c>
      <c r="K698" s="305"/>
    </row>
    <row r="699" spans="2:11">
      <c r="B699" s="53" t="s">
        <v>120</v>
      </c>
      <c r="C699" s="305">
        <v>8050.09</v>
      </c>
      <c r="D699" s="305">
        <v>11710</v>
      </c>
      <c r="E699" s="305">
        <v>26875</v>
      </c>
      <c r="F699" s="305">
        <v>3256.1547392299999</v>
      </c>
      <c r="G699" s="305">
        <v>3224.7964198</v>
      </c>
      <c r="H699" s="305">
        <v>4516.9526678800012</v>
      </c>
      <c r="I699" s="305">
        <v>4417.3255645799973</v>
      </c>
      <c r="J699" s="305">
        <v>2742.2979999999998</v>
      </c>
      <c r="K699" s="305"/>
    </row>
    <row r="700" spans="2:11">
      <c r="B700" s="53" t="s">
        <v>119</v>
      </c>
      <c r="C700" s="305">
        <v>1499.3510000000001</v>
      </c>
      <c r="D700" s="305">
        <v>3792.31</v>
      </c>
      <c r="E700" s="305">
        <v>7524.1189999999997</v>
      </c>
      <c r="F700" s="305">
        <v>14218.36818238</v>
      </c>
      <c r="G700" s="305">
        <v>13282.203684299999</v>
      </c>
      <c r="H700" s="305">
        <v>13477.685537880012</v>
      </c>
      <c r="I700" s="305">
        <v>15096.994341850033</v>
      </c>
      <c r="J700" s="305">
        <v>15098.200999999999</v>
      </c>
      <c r="K700" s="305"/>
    </row>
    <row r="701" spans="2:11">
      <c r="B701" s="52" t="s">
        <v>118</v>
      </c>
      <c r="C701" s="305">
        <v>3.3000000000000002E-2</v>
      </c>
      <c r="D701" s="305">
        <v>30.86</v>
      </c>
      <c r="E701" s="305">
        <v>1.641</v>
      </c>
      <c r="F701" s="305">
        <v>5.5789030000000004</v>
      </c>
      <c r="G701" s="305">
        <v>5.5789030000000004</v>
      </c>
      <c r="H701" s="305">
        <v>5.5789030000000004</v>
      </c>
      <c r="I701" s="305">
        <v>5.5789030000000004</v>
      </c>
      <c r="J701" s="305">
        <v>5.5780000000000003</v>
      </c>
      <c r="K701" s="305"/>
    </row>
    <row r="702" spans="2:11" ht="15" thickBot="1">
      <c r="B702" s="52" t="s">
        <v>117</v>
      </c>
      <c r="C702" s="305">
        <v>3625.93</v>
      </c>
      <c r="D702" s="305">
        <v>2146.23</v>
      </c>
      <c r="E702" s="305">
        <v>1802.8879999999999</v>
      </c>
      <c r="F702" s="305">
        <v>3283.9162669099996</v>
      </c>
      <c r="G702" s="305">
        <v>3226.5456887300002</v>
      </c>
      <c r="H702" s="305">
        <v>2866.5466629500006</v>
      </c>
      <c r="I702" s="305">
        <v>3005.60677893</v>
      </c>
      <c r="J702" s="305">
        <v>5903.348</v>
      </c>
      <c r="K702" s="305"/>
    </row>
    <row r="703" spans="2:11" ht="14.5" customHeight="1" thickTop="1">
      <c r="B703" s="2025" t="s">
        <v>869</v>
      </c>
      <c r="C703" s="2025"/>
      <c r="D703" s="2025"/>
      <c r="E703" s="2025"/>
      <c r="F703" s="2025"/>
      <c r="G703" s="2025"/>
      <c r="H703" s="2025"/>
      <c r="I703" s="2025"/>
      <c r="J703" s="2025"/>
      <c r="K703" s="2031"/>
    </row>
    <row r="704" spans="2:11">
      <c r="B704" s="2017"/>
      <c r="C704" s="2017"/>
      <c r="D704" s="2017"/>
      <c r="E704" s="2017"/>
      <c r="F704" s="2017"/>
      <c r="G704" s="2017"/>
      <c r="H704" s="2017"/>
      <c r="I704" s="2017"/>
      <c r="J704" s="2017"/>
      <c r="K704" s="2017"/>
    </row>
    <row r="705" spans="2:11">
      <c r="B705" s="64"/>
      <c r="C705" s="302"/>
      <c r="D705" s="302"/>
      <c r="E705" s="302"/>
      <c r="F705" s="302"/>
      <c r="G705" s="302"/>
      <c r="H705" s="302"/>
      <c r="I705" s="302"/>
      <c r="J705" s="302"/>
      <c r="K705" s="302"/>
    </row>
    <row r="706" spans="2:11">
      <c r="B706" s="2100" t="s">
        <v>133</v>
      </c>
      <c r="C706" s="2100"/>
      <c r="D706" s="2100"/>
      <c r="E706" s="2100"/>
      <c r="F706" s="2100"/>
      <c r="G706" s="2100"/>
      <c r="H706" s="2100"/>
      <c r="I706" s="2100"/>
      <c r="J706" s="2100"/>
      <c r="K706" s="2100"/>
    </row>
    <row r="707" spans="2:11">
      <c r="B707" s="12" t="s">
        <v>132</v>
      </c>
      <c r="C707" s="302"/>
      <c r="D707" s="302"/>
      <c r="E707" s="302"/>
      <c r="F707" s="302"/>
      <c r="G707" s="302"/>
      <c r="H707" s="302"/>
      <c r="I707" s="302"/>
      <c r="J707" s="302"/>
      <c r="K707" s="302"/>
    </row>
    <row r="708" spans="2:11" ht="14.5" customHeight="1">
      <c r="B708" s="62" t="s">
        <v>131</v>
      </c>
      <c r="C708" s="302"/>
      <c r="D708" s="302"/>
      <c r="E708" s="302"/>
      <c r="F708" s="302"/>
      <c r="G708" s="302"/>
      <c r="H708" s="302"/>
      <c r="I708" s="302"/>
      <c r="J708" s="302"/>
      <c r="K708" s="302"/>
    </row>
    <row r="709" spans="2:11">
      <c r="B709" s="62"/>
      <c r="C709" s="302"/>
      <c r="D709" s="302"/>
      <c r="E709" s="302"/>
      <c r="F709" s="302"/>
      <c r="G709" s="302"/>
      <c r="H709" s="302"/>
      <c r="I709" s="302"/>
      <c r="J709" s="302"/>
      <c r="K709" s="302"/>
    </row>
    <row r="710" spans="2:11">
      <c r="B710" s="61"/>
      <c r="C710" s="303">
        <v>2014</v>
      </c>
      <c r="D710" s="303">
        <v>2015</v>
      </c>
      <c r="E710" s="303">
        <v>2016</v>
      </c>
      <c r="F710" s="303">
        <v>2017</v>
      </c>
      <c r="G710" s="303">
        <v>2018</v>
      </c>
      <c r="H710" s="303">
        <v>2019</v>
      </c>
      <c r="I710" s="303">
        <v>2020</v>
      </c>
      <c r="J710" s="303">
        <v>2021</v>
      </c>
      <c r="K710" s="413"/>
    </row>
    <row r="711" spans="2:11">
      <c r="B711" s="71" t="s">
        <v>130</v>
      </c>
      <c r="C711" s="307">
        <v>3.8839999999999999</v>
      </c>
      <c r="D711" s="307">
        <v>3.9039999999999999</v>
      </c>
      <c r="E711" s="307">
        <v>5.4050000000000002</v>
      </c>
      <c r="F711" s="307">
        <v>6.0839999999999996</v>
      </c>
      <c r="G711" s="307">
        <v>4.0759999999999996</v>
      </c>
      <c r="H711" s="307">
        <v>8.4930000000000003</v>
      </c>
      <c r="I711" s="307">
        <v>7.859</v>
      </c>
      <c r="J711" s="307">
        <v>7.4809999999999999</v>
      </c>
      <c r="K711" s="307"/>
    </row>
    <row r="712" spans="2:11">
      <c r="B712" s="71"/>
      <c r="C712" s="302"/>
      <c r="D712" s="302"/>
      <c r="E712" s="302"/>
      <c r="F712" s="302"/>
      <c r="G712" s="302"/>
      <c r="H712" s="302"/>
      <c r="I712" s="302"/>
      <c r="J712" s="302"/>
      <c r="K712" s="302"/>
    </row>
    <row r="713" spans="2:11">
      <c r="B713" s="59" t="s">
        <v>503</v>
      </c>
      <c r="C713" s="302"/>
      <c r="D713" s="302"/>
      <c r="E713" s="302"/>
      <c r="F713" s="302"/>
      <c r="G713" s="302"/>
      <c r="H713" s="302"/>
      <c r="I713" s="302"/>
      <c r="J713" s="302"/>
      <c r="K713" s="302"/>
    </row>
    <row r="714" spans="2:11">
      <c r="B714" s="54" t="s">
        <v>123</v>
      </c>
      <c r="C714" s="307">
        <v>3.8839999999999999</v>
      </c>
      <c r="D714" s="307">
        <v>3.9039999999999999</v>
      </c>
      <c r="E714" s="307">
        <v>5.4050000000000002</v>
      </c>
      <c r="F714" s="307">
        <v>6.0839999999999996</v>
      </c>
      <c r="G714" s="307">
        <v>4.0759999999999996</v>
      </c>
      <c r="H714" s="307">
        <v>8.4930000000000003</v>
      </c>
      <c r="I714" s="307">
        <v>7.859</v>
      </c>
      <c r="J714" s="307">
        <v>9.7590000000000003</v>
      </c>
      <c r="K714" s="307"/>
    </row>
    <row r="715" spans="2:11">
      <c r="B715" s="52" t="s">
        <v>121</v>
      </c>
      <c r="C715" s="307">
        <v>3.8839999999999999</v>
      </c>
      <c r="D715" s="307">
        <v>3.9039999999999999</v>
      </c>
      <c r="E715" s="307">
        <v>5.4050000000000002</v>
      </c>
      <c r="F715" s="307">
        <v>6.0839999999999996</v>
      </c>
      <c r="G715" s="307">
        <v>4.0759999999999996</v>
      </c>
      <c r="H715" s="307">
        <v>8.4930000000000003</v>
      </c>
      <c r="I715" s="307">
        <v>7.859</v>
      </c>
      <c r="J715" s="307">
        <v>8.004999999999999</v>
      </c>
      <c r="K715" s="307"/>
    </row>
    <row r="716" spans="2:11">
      <c r="B716" s="53" t="s">
        <v>120</v>
      </c>
      <c r="C716" s="306">
        <v>0</v>
      </c>
      <c r="D716" s="306">
        <v>0</v>
      </c>
      <c r="E716" s="306">
        <v>0</v>
      </c>
      <c r="F716" s="306">
        <v>0</v>
      </c>
      <c r="G716" s="306">
        <v>0</v>
      </c>
      <c r="H716" s="306">
        <v>0</v>
      </c>
      <c r="I716" s="306">
        <v>0</v>
      </c>
      <c r="J716" s="306">
        <v>0.64400000000000002</v>
      </c>
      <c r="K716" s="306"/>
    </row>
    <row r="717" spans="2:11">
      <c r="B717" s="53" t="s">
        <v>119</v>
      </c>
      <c r="C717" s="306">
        <v>0</v>
      </c>
      <c r="D717" s="306">
        <v>0</v>
      </c>
      <c r="E717" s="306">
        <v>0</v>
      </c>
      <c r="F717" s="306">
        <v>0</v>
      </c>
      <c r="G717" s="306">
        <v>0</v>
      </c>
      <c r="H717" s="306">
        <v>0</v>
      </c>
      <c r="I717" s="306">
        <v>0</v>
      </c>
      <c r="J717" s="306">
        <v>7.3609999999999998</v>
      </c>
      <c r="K717" s="306"/>
    </row>
    <row r="718" spans="2:11">
      <c r="B718" s="52" t="s">
        <v>118</v>
      </c>
      <c r="C718" s="306">
        <v>0</v>
      </c>
      <c r="D718" s="306">
        <v>0</v>
      </c>
      <c r="E718" s="306">
        <v>0</v>
      </c>
      <c r="F718" s="306">
        <v>0</v>
      </c>
      <c r="G718" s="306">
        <v>0</v>
      </c>
      <c r="H718" s="306">
        <v>0</v>
      </c>
      <c r="I718" s="306">
        <v>0</v>
      </c>
      <c r="J718" s="306">
        <v>0.46</v>
      </c>
      <c r="K718" s="306"/>
    </row>
    <row r="719" spans="2:11">
      <c r="B719" s="52" t="s">
        <v>117</v>
      </c>
      <c r="C719" s="306">
        <v>0</v>
      </c>
      <c r="D719" s="306">
        <v>0</v>
      </c>
      <c r="E719" s="306">
        <v>0</v>
      </c>
      <c r="F719" s="306">
        <v>0</v>
      </c>
      <c r="G719" s="306">
        <v>0</v>
      </c>
      <c r="H719" s="306">
        <v>0</v>
      </c>
      <c r="I719" s="306">
        <v>0</v>
      </c>
      <c r="J719" s="306">
        <v>1.294</v>
      </c>
      <c r="K719" s="306"/>
    </row>
    <row r="720" spans="2:11" ht="14.5" customHeight="1">
      <c r="B720" s="52"/>
      <c r="C720" s="339"/>
      <c r="D720" s="339"/>
      <c r="E720" s="339"/>
      <c r="F720" s="339"/>
      <c r="G720" s="339"/>
      <c r="H720" s="339"/>
      <c r="I720" s="339"/>
      <c r="J720" s="339"/>
      <c r="K720" s="339"/>
    </row>
    <row r="721" spans="2:11">
      <c r="B721" s="54" t="s">
        <v>122</v>
      </c>
      <c r="C721" s="321">
        <v>0</v>
      </c>
      <c r="D721" s="321">
        <v>0</v>
      </c>
      <c r="E721" s="321">
        <v>0</v>
      </c>
      <c r="F721" s="321">
        <v>0</v>
      </c>
      <c r="G721" s="321">
        <v>0</v>
      </c>
      <c r="H721" s="321">
        <v>0</v>
      </c>
      <c r="I721" s="321">
        <v>0</v>
      </c>
      <c r="J721" s="321">
        <v>0</v>
      </c>
      <c r="K721" s="321"/>
    </row>
    <row r="722" spans="2:11">
      <c r="B722" s="52" t="s">
        <v>121</v>
      </c>
      <c r="C722" s="321">
        <v>0</v>
      </c>
      <c r="D722" s="321">
        <v>0</v>
      </c>
      <c r="E722" s="321">
        <v>0</v>
      </c>
      <c r="F722" s="321">
        <v>0</v>
      </c>
      <c r="G722" s="321">
        <v>0</v>
      </c>
      <c r="H722" s="321">
        <v>0</v>
      </c>
      <c r="I722" s="321">
        <v>0</v>
      </c>
      <c r="J722" s="321">
        <v>0</v>
      </c>
      <c r="K722" s="321"/>
    </row>
    <row r="723" spans="2:11">
      <c r="B723" s="53" t="s">
        <v>120</v>
      </c>
      <c r="C723" s="321">
        <v>0</v>
      </c>
      <c r="D723" s="321">
        <v>0</v>
      </c>
      <c r="E723" s="321">
        <v>0</v>
      </c>
      <c r="F723" s="321">
        <v>0</v>
      </c>
      <c r="G723" s="321">
        <v>0</v>
      </c>
      <c r="H723" s="321">
        <v>0</v>
      </c>
      <c r="I723" s="321">
        <v>0</v>
      </c>
      <c r="J723" s="321">
        <v>0</v>
      </c>
      <c r="K723" s="321"/>
    </row>
    <row r="724" spans="2:11">
      <c r="B724" s="53" t="s">
        <v>119</v>
      </c>
      <c r="C724" s="321">
        <v>0</v>
      </c>
      <c r="D724" s="321">
        <v>0</v>
      </c>
      <c r="E724" s="321">
        <v>0</v>
      </c>
      <c r="F724" s="321">
        <v>0</v>
      </c>
      <c r="G724" s="321">
        <v>0</v>
      </c>
      <c r="H724" s="321">
        <v>0</v>
      </c>
      <c r="I724" s="321">
        <v>0</v>
      </c>
      <c r="J724" s="321">
        <v>0</v>
      </c>
      <c r="K724" s="321"/>
    </row>
    <row r="725" spans="2:11" ht="14.5" customHeight="1">
      <c r="B725" s="52" t="s">
        <v>118</v>
      </c>
      <c r="C725" s="321">
        <v>0</v>
      </c>
      <c r="D725" s="321">
        <v>0</v>
      </c>
      <c r="E725" s="321">
        <v>0</v>
      </c>
      <c r="F725" s="321">
        <v>0</v>
      </c>
      <c r="G725" s="321">
        <v>0</v>
      </c>
      <c r="H725" s="321">
        <v>0</v>
      </c>
      <c r="I725" s="321">
        <v>0</v>
      </c>
      <c r="J725" s="321">
        <v>0</v>
      </c>
      <c r="K725" s="321"/>
    </row>
    <row r="726" spans="2:11" ht="15" thickBot="1">
      <c r="B726" s="50" t="s">
        <v>117</v>
      </c>
      <c r="C726" s="498">
        <v>0</v>
      </c>
      <c r="D726" s="498">
        <v>0</v>
      </c>
      <c r="E726" s="498">
        <v>0</v>
      </c>
      <c r="F726" s="498">
        <v>0</v>
      </c>
      <c r="G726" s="498">
        <v>0</v>
      </c>
      <c r="H726" s="498">
        <v>0</v>
      </c>
      <c r="I726" s="498">
        <v>0</v>
      </c>
      <c r="J726" s="498">
        <v>0</v>
      </c>
      <c r="K726" s="321"/>
    </row>
    <row r="727" spans="2:11" ht="15" thickTop="1">
      <c r="B727" s="52" t="s">
        <v>869</v>
      </c>
      <c r="C727" s="52"/>
      <c r="D727" s="52"/>
      <c r="E727" s="52"/>
      <c r="F727" s="52"/>
      <c r="G727" s="52"/>
      <c r="H727" s="52"/>
      <c r="I727" s="52"/>
      <c r="J727" s="52"/>
      <c r="K727" s="52"/>
    </row>
    <row r="728" spans="2:11">
      <c r="B728" s="2017"/>
      <c r="C728" s="2017"/>
      <c r="D728" s="2017"/>
      <c r="E728" s="2017"/>
      <c r="F728" s="2017"/>
      <c r="G728" s="2017"/>
      <c r="H728" s="2017"/>
      <c r="I728" s="2017"/>
      <c r="J728" s="2017"/>
      <c r="K728" s="2017"/>
    </row>
    <row r="729" spans="2:11" ht="14.5" customHeight="1">
      <c r="B729" s="2100" t="s">
        <v>129</v>
      </c>
      <c r="C729" s="2100"/>
      <c r="D729" s="2100"/>
      <c r="E729" s="2100"/>
      <c r="F729" s="2100"/>
      <c r="G729" s="2100"/>
      <c r="H729" s="2100"/>
      <c r="I729" s="2100"/>
      <c r="J729" s="2100"/>
      <c r="K729" s="2100"/>
    </row>
    <row r="730" spans="2:11">
      <c r="B730" s="12" t="s">
        <v>128</v>
      </c>
      <c r="C730" s="302"/>
      <c r="D730" s="302"/>
      <c r="E730" s="302"/>
      <c r="F730" s="302"/>
      <c r="G730" s="302"/>
      <c r="H730" s="302"/>
      <c r="I730" s="302"/>
      <c r="J730" s="302"/>
      <c r="K730" s="302"/>
    </row>
    <row r="731" spans="2:11">
      <c r="B731" s="62" t="s">
        <v>127</v>
      </c>
      <c r="C731" s="302"/>
      <c r="D731" s="302"/>
      <c r="E731" s="302"/>
      <c r="F731" s="302"/>
      <c r="G731" s="302"/>
      <c r="H731" s="302"/>
      <c r="I731" s="302"/>
      <c r="J731" s="302"/>
      <c r="K731" s="302"/>
    </row>
    <row r="732" spans="2:11">
      <c r="B732" s="62"/>
      <c r="C732" s="302"/>
      <c r="D732" s="302"/>
      <c r="E732" s="302"/>
      <c r="F732" s="302"/>
      <c r="G732" s="302"/>
      <c r="H732" s="302"/>
      <c r="I732" s="302"/>
      <c r="J732" s="302"/>
      <c r="K732" s="302"/>
    </row>
    <row r="733" spans="2:11">
      <c r="B733" s="61"/>
      <c r="C733" s="303">
        <v>2014</v>
      </c>
      <c r="D733" s="303">
        <v>2015</v>
      </c>
      <c r="E733" s="303">
        <v>2016</v>
      </c>
      <c r="F733" s="303">
        <v>2017</v>
      </c>
      <c r="G733" s="303">
        <v>2018</v>
      </c>
      <c r="H733" s="303">
        <v>2019</v>
      </c>
      <c r="I733" s="303">
        <v>2020</v>
      </c>
      <c r="J733" s="303">
        <v>2021</v>
      </c>
      <c r="K733" s="413"/>
    </row>
    <row r="734" spans="2:11">
      <c r="B734" s="71" t="s">
        <v>124</v>
      </c>
      <c r="C734" s="306">
        <v>4386.26</v>
      </c>
      <c r="D734" s="306">
        <v>3266.08</v>
      </c>
      <c r="E734" s="306">
        <v>6691.8109999999997</v>
      </c>
      <c r="F734" s="306">
        <v>4918.4180779999997</v>
      </c>
      <c r="G734" s="306">
        <v>5244.9549999999999</v>
      </c>
      <c r="H734" s="306">
        <v>9308.4150000000009</v>
      </c>
      <c r="I734" s="306">
        <v>9872.2900000000009</v>
      </c>
      <c r="J734" s="306">
        <v>19689.828000000001</v>
      </c>
      <c r="K734" s="306"/>
    </row>
    <row r="735" spans="2:11">
      <c r="B735" s="71"/>
      <c r="C735" s="439"/>
      <c r="D735" s="439"/>
      <c r="E735" s="439"/>
      <c r="F735" s="439"/>
      <c r="G735" s="439"/>
      <c r="H735" s="439"/>
      <c r="I735" s="439"/>
      <c r="J735" s="439"/>
      <c r="K735" s="439"/>
    </row>
    <row r="736" spans="2:11" ht="14.5" customHeight="1">
      <c r="B736" s="59" t="s">
        <v>503</v>
      </c>
      <c r="C736" s="439"/>
      <c r="D736" s="439"/>
      <c r="E736" s="439"/>
      <c r="F736" s="439"/>
      <c r="G736" s="439"/>
      <c r="H736" s="439"/>
      <c r="I736" s="439"/>
      <c r="J736" s="439"/>
      <c r="K736" s="439"/>
    </row>
    <row r="737" spans="2:11">
      <c r="B737" s="54" t="s">
        <v>123</v>
      </c>
      <c r="C737" s="306">
        <v>4386.26</v>
      </c>
      <c r="D737" s="306">
        <v>3266.08</v>
      </c>
      <c r="E737" s="306">
        <v>6691.8109999999997</v>
      </c>
      <c r="F737" s="306">
        <v>4918.4180779999997</v>
      </c>
      <c r="G737" s="306">
        <v>5244.9549999999999</v>
      </c>
      <c r="H737" s="306">
        <v>9308.4150000000009</v>
      </c>
      <c r="I737" s="306">
        <v>9872.2900000000009</v>
      </c>
      <c r="J737" s="306">
        <v>23749.425000000003</v>
      </c>
      <c r="K737" s="306"/>
    </row>
    <row r="738" spans="2:11">
      <c r="B738" s="52" t="s">
        <v>121</v>
      </c>
      <c r="C738" s="306">
        <v>4386.26</v>
      </c>
      <c r="D738" s="306">
        <v>3266.08</v>
      </c>
      <c r="E738" s="306">
        <v>6691.8109999999997</v>
      </c>
      <c r="F738" s="306">
        <v>4918.4180779999997</v>
      </c>
      <c r="G738" s="306">
        <v>5244.9549999999999</v>
      </c>
      <c r="H738" s="306">
        <v>9308.4150000000009</v>
      </c>
      <c r="I738" s="306">
        <v>9872.2900000000009</v>
      </c>
      <c r="J738" s="306">
        <v>17840.499</v>
      </c>
      <c r="K738" s="306"/>
    </row>
    <row r="739" spans="2:11">
      <c r="B739" s="53" t="s">
        <v>120</v>
      </c>
      <c r="C739" s="306">
        <v>0</v>
      </c>
      <c r="D739" s="306">
        <v>0</v>
      </c>
      <c r="E739" s="306">
        <v>0</v>
      </c>
      <c r="F739" s="306">
        <v>0</v>
      </c>
      <c r="G739" s="306">
        <v>0</v>
      </c>
      <c r="H739" s="306">
        <v>0</v>
      </c>
      <c r="I739" s="306">
        <v>0</v>
      </c>
      <c r="J739" s="306">
        <v>2742.2979999999998</v>
      </c>
      <c r="K739" s="306"/>
    </row>
    <row r="740" spans="2:11">
      <c r="B740" s="53" t="s">
        <v>119</v>
      </c>
      <c r="C740" s="306">
        <v>0</v>
      </c>
      <c r="D740" s="306">
        <v>0</v>
      </c>
      <c r="E740" s="306">
        <v>0</v>
      </c>
      <c r="F740" s="306">
        <v>0</v>
      </c>
      <c r="G740" s="306">
        <v>0</v>
      </c>
      <c r="H740" s="306">
        <v>0</v>
      </c>
      <c r="I740" s="306">
        <v>0</v>
      </c>
      <c r="J740" s="306">
        <v>15098.200999999999</v>
      </c>
      <c r="K740" s="306"/>
    </row>
    <row r="741" spans="2:11">
      <c r="B741" s="52" t="s">
        <v>118</v>
      </c>
      <c r="C741" s="306">
        <v>0</v>
      </c>
      <c r="D741" s="306">
        <v>0</v>
      </c>
      <c r="E741" s="306">
        <v>0</v>
      </c>
      <c r="F741" s="306">
        <v>0</v>
      </c>
      <c r="G741" s="306">
        <v>0</v>
      </c>
      <c r="H741" s="306">
        <v>0</v>
      </c>
      <c r="I741" s="306">
        <v>0</v>
      </c>
      <c r="J741" s="306">
        <v>5.5780000000000003</v>
      </c>
      <c r="K741" s="306"/>
    </row>
    <row r="742" spans="2:11">
      <c r="B742" s="52" t="s">
        <v>117</v>
      </c>
      <c r="C742" s="306">
        <v>0</v>
      </c>
      <c r="D742" s="306">
        <v>0</v>
      </c>
      <c r="E742" s="306">
        <v>0</v>
      </c>
      <c r="F742" s="306">
        <v>0</v>
      </c>
      <c r="G742" s="306">
        <v>0</v>
      </c>
      <c r="H742" s="306">
        <v>0</v>
      </c>
      <c r="I742" s="306">
        <v>0</v>
      </c>
      <c r="J742" s="306">
        <v>5903.348</v>
      </c>
      <c r="K742" s="306"/>
    </row>
    <row r="743" spans="2:11">
      <c r="B743" s="52"/>
      <c r="C743" s="339"/>
      <c r="D743" s="339"/>
      <c r="E743" s="339"/>
      <c r="F743" s="339"/>
      <c r="G743" s="339"/>
      <c r="H743" s="339"/>
      <c r="I743" s="339"/>
      <c r="J743" s="339"/>
      <c r="K743" s="339"/>
    </row>
    <row r="744" spans="2:11">
      <c r="B744" s="54" t="s">
        <v>122</v>
      </c>
      <c r="C744" s="306">
        <v>0</v>
      </c>
      <c r="D744" s="306">
        <v>0</v>
      </c>
      <c r="E744" s="306">
        <v>0</v>
      </c>
      <c r="F744" s="306">
        <v>0</v>
      </c>
      <c r="G744" s="306">
        <v>0</v>
      </c>
      <c r="H744" s="306">
        <v>0</v>
      </c>
      <c r="I744" s="306">
        <v>0</v>
      </c>
      <c r="J744" s="306">
        <v>0</v>
      </c>
      <c r="K744" s="306"/>
    </row>
    <row r="745" spans="2:11">
      <c r="B745" s="52" t="s">
        <v>121</v>
      </c>
      <c r="C745" s="306">
        <v>0</v>
      </c>
      <c r="D745" s="306">
        <v>0</v>
      </c>
      <c r="E745" s="306">
        <v>0</v>
      </c>
      <c r="F745" s="306">
        <v>0</v>
      </c>
      <c r="G745" s="306">
        <v>0</v>
      </c>
      <c r="H745" s="306">
        <v>0</v>
      </c>
      <c r="I745" s="306">
        <v>0</v>
      </c>
      <c r="J745" s="306">
        <v>0</v>
      </c>
      <c r="K745" s="306"/>
    </row>
    <row r="746" spans="2:11">
      <c r="B746" s="53" t="s">
        <v>120</v>
      </c>
      <c r="C746" s="306">
        <v>0</v>
      </c>
      <c r="D746" s="306">
        <v>0</v>
      </c>
      <c r="E746" s="306">
        <v>0</v>
      </c>
      <c r="F746" s="306">
        <v>0</v>
      </c>
      <c r="G746" s="306">
        <v>0</v>
      </c>
      <c r="H746" s="306">
        <v>0</v>
      </c>
      <c r="I746" s="306">
        <v>0</v>
      </c>
      <c r="J746" s="306">
        <v>0</v>
      </c>
      <c r="K746" s="306"/>
    </row>
    <row r="747" spans="2:11">
      <c r="B747" s="53" t="s">
        <v>119</v>
      </c>
      <c r="C747" s="306">
        <v>0</v>
      </c>
      <c r="D747" s="306">
        <v>0</v>
      </c>
      <c r="E747" s="306">
        <v>0</v>
      </c>
      <c r="F747" s="306">
        <v>0</v>
      </c>
      <c r="G747" s="306">
        <v>0</v>
      </c>
      <c r="H747" s="306">
        <v>0</v>
      </c>
      <c r="I747" s="306">
        <v>0</v>
      </c>
      <c r="J747" s="306">
        <v>0</v>
      </c>
      <c r="K747" s="306"/>
    </row>
    <row r="748" spans="2:11">
      <c r="B748" s="52" t="s">
        <v>118</v>
      </c>
      <c r="C748" s="306">
        <v>0</v>
      </c>
      <c r="D748" s="306">
        <v>0</v>
      </c>
      <c r="E748" s="306">
        <v>0</v>
      </c>
      <c r="F748" s="306">
        <v>0</v>
      </c>
      <c r="G748" s="306">
        <v>0</v>
      </c>
      <c r="H748" s="306">
        <v>0</v>
      </c>
      <c r="I748" s="306">
        <v>0</v>
      </c>
      <c r="J748" s="306">
        <v>0</v>
      </c>
      <c r="K748" s="306"/>
    </row>
    <row r="749" spans="2:11">
      <c r="B749" s="52" t="s">
        <v>117</v>
      </c>
      <c r="C749" s="306">
        <v>0</v>
      </c>
      <c r="D749" s="306">
        <v>0</v>
      </c>
      <c r="E749" s="306">
        <v>0</v>
      </c>
      <c r="F749" s="306">
        <v>0</v>
      </c>
      <c r="G749" s="306">
        <v>0</v>
      </c>
      <c r="H749" s="306">
        <v>0</v>
      </c>
      <c r="I749" s="306">
        <v>0</v>
      </c>
      <c r="J749" s="306">
        <v>0</v>
      </c>
      <c r="K749" s="306"/>
    </row>
    <row r="750" spans="2:11">
      <c r="B750" s="499"/>
      <c r="C750" s="500"/>
      <c r="D750" s="500"/>
      <c r="E750" s="500"/>
      <c r="F750" s="500"/>
      <c r="G750" s="500"/>
      <c r="H750" s="500"/>
      <c r="I750" s="500"/>
      <c r="J750" s="500"/>
    </row>
    <row r="751" spans="2:11">
      <c r="B751" s="499"/>
      <c r="C751" s="501"/>
      <c r="D751" s="501"/>
      <c r="E751" s="501"/>
      <c r="F751" s="501"/>
      <c r="G751" s="501"/>
      <c r="H751" s="501"/>
      <c r="I751" s="502"/>
      <c r="J751" s="502"/>
    </row>
    <row r="752" spans="2:11">
      <c r="B752" s="2100" t="s">
        <v>115</v>
      </c>
      <c r="C752" s="2100"/>
      <c r="D752" s="2100"/>
      <c r="E752" s="2100"/>
      <c r="F752" s="2100"/>
      <c r="G752" s="2100"/>
      <c r="H752" s="2100"/>
      <c r="I752" s="2100"/>
      <c r="J752" s="2100"/>
      <c r="K752" s="2100"/>
    </row>
    <row r="753" spans="2:11">
      <c r="B753" s="12" t="s">
        <v>114</v>
      </c>
      <c r="C753" s="302"/>
      <c r="D753" s="302"/>
      <c r="E753" s="302"/>
      <c r="F753" s="302"/>
      <c r="G753" s="302"/>
      <c r="H753" s="302"/>
      <c r="I753" s="302"/>
      <c r="J753" s="302"/>
      <c r="K753" s="302"/>
    </row>
    <row r="754" spans="2:11">
      <c r="B754" s="302"/>
      <c r="C754" s="302"/>
      <c r="D754" s="302"/>
      <c r="E754" s="302"/>
      <c r="F754" s="302"/>
      <c r="G754" s="302"/>
      <c r="H754" s="302"/>
      <c r="I754" s="302"/>
      <c r="J754" s="302"/>
      <c r="K754" s="302"/>
    </row>
    <row r="755" spans="2:11">
      <c r="B755" s="2109" t="s">
        <v>11</v>
      </c>
      <c r="C755" s="2109" t="s">
        <v>604</v>
      </c>
      <c r="D755" s="2109" t="s">
        <v>113</v>
      </c>
      <c r="E755" s="2111" t="s">
        <v>24</v>
      </c>
      <c r="F755" s="2109" t="s">
        <v>112</v>
      </c>
      <c r="G755" s="2109" t="s">
        <v>111</v>
      </c>
      <c r="H755" s="2111" t="s">
        <v>110</v>
      </c>
      <c r="I755" s="2113"/>
      <c r="J755" s="2113"/>
      <c r="K755" s="2107"/>
    </row>
    <row r="756" spans="2:11">
      <c r="B756" s="2110"/>
      <c r="C756" s="2110"/>
      <c r="D756" s="2110"/>
      <c r="E756" s="2110"/>
      <c r="F756" s="2110"/>
      <c r="G756" s="2110"/>
      <c r="H756" s="2110"/>
      <c r="I756" s="2114"/>
      <c r="J756" s="2114"/>
      <c r="K756" s="2108"/>
    </row>
    <row r="757" spans="2:11">
      <c r="B757" s="242" t="s">
        <v>870</v>
      </c>
      <c r="C757" s="250" t="s">
        <v>871</v>
      </c>
      <c r="D757" s="250" t="s">
        <v>107</v>
      </c>
      <c r="E757" s="250" t="s">
        <v>1</v>
      </c>
      <c r="F757" s="250" t="s">
        <v>489</v>
      </c>
      <c r="G757" s="250" t="s">
        <v>522</v>
      </c>
      <c r="H757" s="250" t="s">
        <v>102</v>
      </c>
      <c r="I757" s="250"/>
      <c r="J757" s="250"/>
      <c r="K757" s="250"/>
    </row>
    <row r="758" spans="2:11">
      <c r="B758" s="242" t="s">
        <v>872</v>
      </c>
      <c r="C758" s="250" t="s">
        <v>871</v>
      </c>
      <c r="D758" s="250" t="s">
        <v>107</v>
      </c>
      <c r="E758" s="250" t="s">
        <v>1</v>
      </c>
      <c r="F758" s="250" t="s">
        <v>489</v>
      </c>
      <c r="G758" s="250" t="s">
        <v>522</v>
      </c>
      <c r="H758" s="250" t="s">
        <v>102</v>
      </c>
      <c r="I758" s="250"/>
      <c r="J758" s="250"/>
      <c r="K758" s="250"/>
    </row>
    <row r="759" spans="2:11">
      <c r="B759" s="242" t="s">
        <v>873</v>
      </c>
      <c r="C759" s="250" t="s">
        <v>871</v>
      </c>
      <c r="D759" s="250" t="s">
        <v>107</v>
      </c>
      <c r="E759" s="250" t="s">
        <v>1</v>
      </c>
      <c r="F759" s="250" t="s">
        <v>489</v>
      </c>
      <c r="G759" s="250" t="s">
        <v>522</v>
      </c>
      <c r="H759" s="250" t="s">
        <v>102</v>
      </c>
      <c r="I759" s="250"/>
      <c r="J759" s="250"/>
      <c r="K759" s="250"/>
    </row>
    <row r="760" spans="2:11">
      <c r="B760" s="242" t="s">
        <v>874</v>
      </c>
      <c r="C760" s="250" t="s">
        <v>103</v>
      </c>
      <c r="D760" s="250" t="s">
        <v>105</v>
      </c>
      <c r="E760" s="250" t="s">
        <v>108</v>
      </c>
      <c r="F760" s="250" t="s">
        <v>875</v>
      </c>
      <c r="G760" s="250" t="s">
        <v>522</v>
      </c>
      <c r="H760" s="250" t="s">
        <v>102</v>
      </c>
      <c r="I760" s="250"/>
      <c r="J760" s="250"/>
      <c r="K760" s="250"/>
    </row>
    <row r="761" spans="2:11">
      <c r="B761" s="242" t="s">
        <v>876</v>
      </c>
      <c r="C761" s="250" t="s">
        <v>103</v>
      </c>
      <c r="D761" s="250" t="s">
        <v>105</v>
      </c>
      <c r="E761" s="250" t="s">
        <v>108</v>
      </c>
      <c r="F761" s="250" t="s">
        <v>875</v>
      </c>
      <c r="G761" s="250" t="s">
        <v>877</v>
      </c>
      <c r="H761" s="250" t="s">
        <v>102</v>
      </c>
    </row>
    <row r="762" spans="2:11">
      <c r="B762" s="242"/>
    </row>
    <row r="763" spans="2:11" ht="14.5" customHeight="1">
      <c r="B763" s="242"/>
    </row>
    <row r="764" spans="2:11" ht="15" thickBot="1">
      <c r="B764" s="244"/>
      <c r="C764" s="245"/>
      <c r="D764" s="245"/>
      <c r="E764" s="245"/>
      <c r="F764" s="245"/>
      <c r="G764" s="245"/>
      <c r="H764" s="245"/>
      <c r="I764" s="239"/>
      <c r="J764" s="239"/>
      <c r="K764" s="239"/>
    </row>
    <row r="765" spans="2:11" ht="15" thickTop="1">
      <c r="B765" s="503"/>
      <c r="C765" s="239"/>
      <c r="D765" s="239"/>
      <c r="E765" s="239"/>
      <c r="F765" s="239"/>
      <c r="G765" s="239"/>
      <c r="H765" s="239"/>
      <c r="I765" s="239"/>
      <c r="J765" s="239"/>
      <c r="K765" s="239"/>
    </row>
    <row r="766" spans="2:11">
      <c r="B766" s="2109" t="s">
        <v>11</v>
      </c>
      <c r="C766" s="340" t="s">
        <v>610</v>
      </c>
      <c r="D766" s="2111" t="s">
        <v>101</v>
      </c>
      <c r="E766" s="2111" t="s">
        <v>100</v>
      </c>
      <c r="F766" s="2111" t="s">
        <v>99</v>
      </c>
      <c r="G766" s="340" t="s">
        <v>98</v>
      </c>
      <c r="H766" s="340"/>
      <c r="I766" s="342"/>
      <c r="J766" s="342"/>
      <c r="K766" s="504"/>
    </row>
    <row r="767" spans="2:11" ht="24.75" customHeight="1">
      <c r="B767" s="2110"/>
      <c r="C767" s="341"/>
      <c r="D767" s="2110"/>
      <c r="E767" s="2110"/>
      <c r="F767" s="2110"/>
      <c r="G767" s="352" t="s">
        <v>97</v>
      </c>
      <c r="H767" s="352" t="s">
        <v>96</v>
      </c>
      <c r="I767" s="44"/>
      <c r="J767" s="44"/>
      <c r="K767" s="505"/>
    </row>
    <row r="768" spans="2:11" ht="37.5">
      <c r="B768" s="242" t="s">
        <v>870</v>
      </c>
      <c r="C768" s="250" t="s">
        <v>611</v>
      </c>
      <c r="D768" s="258" t="s">
        <v>878</v>
      </c>
      <c r="E768" s="506" t="s">
        <v>711</v>
      </c>
      <c r="F768" s="507" t="s">
        <v>878</v>
      </c>
      <c r="G768" s="508" t="s">
        <v>879</v>
      </c>
      <c r="H768" s="508" t="s">
        <v>880</v>
      </c>
    </row>
    <row r="769" spans="2:11">
      <c r="B769" s="242" t="s">
        <v>872</v>
      </c>
      <c r="C769" s="250" t="s">
        <v>611</v>
      </c>
      <c r="D769" s="507">
        <v>0.66666666666666663</v>
      </c>
      <c r="E769" s="506" t="s">
        <v>711</v>
      </c>
      <c r="F769" s="507">
        <v>0.66666666666666663</v>
      </c>
      <c r="G769" s="509">
        <v>0.5</v>
      </c>
      <c r="H769" s="508">
        <v>0.66666666666666663</v>
      </c>
    </row>
    <row r="770" spans="2:11">
      <c r="B770" s="242" t="s">
        <v>873</v>
      </c>
      <c r="C770" s="250"/>
      <c r="D770" s="507">
        <v>0.5</v>
      </c>
      <c r="E770" s="506" t="s">
        <v>711</v>
      </c>
      <c r="F770" s="250">
        <v>0.5</v>
      </c>
      <c r="G770" s="509">
        <v>0.79166666666666663</v>
      </c>
      <c r="H770" s="508">
        <v>0.5</v>
      </c>
      <c r="I770" s="239"/>
      <c r="J770" s="239"/>
      <c r="K770" s="239"/>
    </row>
    <row r="771" spans="2:11">
      <c r="B771" s="242" t="s">
        <v>874</v>
      </c>
      <c r="C771" s="250" t="s">
        <v>611</v>
      </c>
      <c r="D771" s="507" t="s">
        <v>881</v>
      </c>
      <c r="E771" s="506" t="s">
        <v>882</v>
      </c>
      <c r="F771" s="250" t="s">
        <v>883</v>
      </c>
      <c r="G771" s="509" t="s">
        <v>882</v>
      </c>
      <c r="H771" s="508" t="s">
        <v>882</v>
      </c>
      <c r="I771" s="239"/>
      <c r="J771" s="239"/>
      <c r="K771" s="239"/>
    </row>
    <row r="772" spans="2:11">
      <c r="B772" s="242" t="s">
        <v>876</v>
      </c>
      <c r="C772" s="250" t="s">
        <v>611</v>
      </c>
      <c r="D772" s="507" t="s">
        <v>881</v>
      </c>
      <c r="E772" s="506" t="s">
        <v>882</v>
      </c>
      <c r="F772" s="250" t="s">
        <v>883</v>
      </c>
      <c r="G772" s="509" t="s">
        <v>882</v>
      </c>
      <c r="H772" s="508" t="s">
        <v>882</v>
      </c>
      <c r="I772" s="239"/>
      <c r="J772" s="239"/>
      <c r="K772" s="239"/>
    </row>
    <row r="773" spans="2:11">
      <c r="B773" s="503"/>
      <c r="I773" s="239"/>
      <c r="J773" s="239"/>
      <c r="K773" s="239"/>
    </row>
    <row r="774" spans="2:11">
      <c r="B774" s="2112" t="s">
        <v>853</v>
      </c>
      <c r="C774" s="2112"/>
      <c r="D774" s="2112"/>
      <c r="E774" s="302"/>
      <c r="F774" s="302"/>
      <c r="G774" s="302"/>
      <c r="H774" s="302"/>
      <c r="I774" s="302"/>
      <c r="J774" s="302"/>
      <c r="K774" s="302"/>
    </row>
    <row r="775" spans="2:11">
      <c r="B775" s="302"/>
      <c r="C775" s="302"/>
      <c r="D775" s="302"/>
      <c r="E775" s="302"/>
      <c r="F775" s="302"/>
      <c r="G775" s="302"/>
      <c r="H775" s="302"/>
      <c r="I775" s="302"/>
      <c r="J775" s="302"/>
      <c r="K775" s="302"/>
    </row>
    <row r="776" spans="2:11">
      <c r="B776" s="2100" t="s">
        <v>76</v>
      </c>
      <c r="C776" s="2100"/>
      <c r="D776" s="2100"/>
      <c r="E776" s="2100"/>
      <c r="F776" s="2100"/>
      <c r="G776" s="2100"/>
      <c r="H776" s="2100"/>
      <c r="I776" s="2100"/>
      <c r="J776" s="2100"/>
      <c r="K776" s="2100"/>
    </row>
    <row r="777" spans="2:11">
      <c r="B777" s="12" t="s">
        <v>75</v>
      </c>
      <c r="C777" s="302"/>
      <c r="D777" s="302"/>
      <c r="E777" s="302"/>
      <c r="F777" s="302"/>
      <c r="G777" s="302"/>
      <c r="H777" s="302"/>
      <c r="I777" s="302"/>
      <c r="J777" s="302"/>
      <c r="K777" s="302"/>
    </row>
    <row r="778" spans="2:11">
      <c r="B778" s="302"/>
      <c r="C778" s="302"/>
      <c r="D778" s="302"/>
      <c r="E778" s="302"/>
      <c r="F778" s="302"/>
      <c r="G778" s="302"/>
      <c r="H778" s="302"/>
      <c r="I778" s="302"/>
      <c r="J778" s="302"/>
      <c r="K778" s="302"/>
    </row>
    <row r="779" spans="2:11" ht="25">
      <c r="B779" s="358" t="s">
        <v>11</v>
      </c>
      <c r="C779" s="359" t="s">
        <v>24</v>
      </c>
      <c r="D779" s="359" t="s">
        <v>74</v>
      </c>
      <c r="E779" s="359" t="s">
        <v>73</v>
      </c>
      <c r="F779" s="359" t="s">
        <v>72</v>
      </c>
      <c r="G779" s="359" t="s">
        <v>71</v>
      </c>
      <c r="H779" s="302"/>
      <c r="I779" s="302"/>
      <c r="J779" s="302"/>
      <c r="K779" s="302"/>
    </row>
    <row r="780" spans="2:11">
      <c r="B780" s="242" t="s">
        <v>884</v>
      </c>
      <c r="C780" s="510" t="s">
        <v>19</v>
      </c>
      <c r="D780" s="510" t="s">
        <v>885</v>
      </c>
      <c r="E780" s="510" t="s">
        <v>886</v>
      </c>
      <c r="F780" s="510" t="s">
        <v>887</v>
      </c>
      <c r="G780" s="250" t="s">
        <v>41</v>
      </c>
      <c r="H780" s="363"/>
      <c r="I780" s="363"/>
      <c r="J780" s="363"/>
      <c r="K780" s="363"/>
    </row>
    <row r="781" spans="2:11">
      <c r="B781" s="242" t="s">
        <v>888</v>
      </c>
      <c r="C781" s="510" t="s">
        <v>19</v>
      </c>
      <c r="D781" s="510" t="s">
        <v>885</v>
      </c>
      <c r="E781" s="510" t="s">
        <v>886</v>
      </c>
      <c r="F781" s="510" t="s">
        <v>887</v>
      </c>
      <c r="G781" s="250" t="s">
        <v>41</v>
      </c>
      <c r="H781" s="302"/>
      <c r="I781" s="302"/>
      <c r="J781" s="302"/>
      <c r="K781" s="302"/>
    </row>
    <row r="782" spans="2:11">
      <c r="B782" s="511"/>
      <c r="C782" s="302"/>
      <c r="D782" s="302"/>
      <c r="E782" s="302"/>
      <c r="F782" s="302"/>
      <c r="G782" s="302"/>
      <c r="H782" s="302"/>
      <c r="I782" s="302"/>
      <c r="J782" s="302"/>
      <c r="K782" s="302"/>
    </row>
    <row r="783" spans="2:11" ht="14.5" customHeight="1">
      <c r="B783" s="302"/>
      <c r="C783" s="302"/>
      <c r="D783" s="302"/>
      <c r="E783" s="302"/>
      <c r="F783" s="302"/>
      <c r="G783" s="302"/>
      <c r="H783" s="302"/>
      <c r="I783" s="302"/>
      <c r="J783" s="302"/>
      <c r="K783" s="302"/>
    </row>
    <row r="784" spans="2:11">
      <c r="B784" s="2100" t="s">
        <v>52</v>
      </c>
      <c r="C784" s="2100"/>
      <c r="D784" s="2100"/>
      <c r="E784" s="2100"/>
      <c r="F784" s="2100"/>
      <c r="G784" s="2100"/>
      <c r="H784" s="2100"/>
      <c r="I784" s="2100"/>
      <c r="J784" s="2100"/>
      <c r="K784" s="2100"/>
    </row>
    <row r="785" spans="2:11">
      <c r="B785" s="12" t="s">
        <v>51</v>
      </c>
      <c r="C785" s="302"/>
      <c r="D785" s="302"/>
      <c r="E785" s="302"/>
      <c r="F785" s="302"/>
      <c r="G785" s="302"/>
      <c r="H785" s="302"/>
      <c r="I785" s="302"/>
      <c r="J785" s="302"/>
      <c r="K785" s="302"/>
    </row>
    <row r="786" spans="2:11">
      <c r="B786" s="302"/>
      <c r="C786" s="302"/>
      <c r="D786" s="302"/>
      <c r="E786" s="302"/>
      <c r="F786" s="302"/>
      <c r="G786" s="302"/>
      <c r="H786" s="302"/>
      <c r="I786" s="302"/>
      <c r="J786" s="302"/>
      <c r="K786" s="302"/>
    </row>
    <row r="787" spans="2:11">
      <c r="B787" s="2109" t="s">
        <v>38</v>
      </c>
      <c r="C787" s="2111" t="s">
        <v>530</v>
      </c>
      <c r="D787" s="2111" t="s">
        <v>24</v>
      </c>
      <c r="E787" s="2111" t="s">
        <v>50</v>
      </c>
      <c r="F787" s="2111" t="s">
        <v>49</v>
      </c>
      <c r="G787" s="2111" t="s">
        <v>48</v>
      </c>
      <c r="H787" s="2111" t="s">
        <v>47</v>
      </c>
      <c r="I787" s="2113"/>
      <c r="J787" s="2113"/>
      <c r="K787" s="2107"/>
    </row>
    <row r="788" spans="2:11">
      <c r="B788" s="2110"/>
      <c r="C788" s="2110"/>
      <c r="D788" s="2110"/>
      <c r="E788" s="2110"/>
      <c r="F788" s="2110"/>
      <c r="G788" s="2110"/>
      <c r="H788" s="2110"/>
      <c r="I788" s="2114"/>
      <c r="J788" s="2114"/>
      <c r="K788" s="2108"/>
    </row>
    <row r="789" spans="2:11">
      <c r="B789" s="512" t="s">
        <v>889</v>
      </c>
      <c r="C789" s="513" t="s">
        <v>623</v>
      </c>
      <c r="D789" s="513" t="s">
        <v>890</v>
      </c>
      <c r="E789" s="513" t="s">
        <v>41</v>
      </c>
      <c r="F789" s="513" t="s">
        <v>42</v>
      </c>
      <c r="G789" s="513" t="s">
        <v>891</v>
      </c>
      <c r="H789" s="513" t="s">
        <v>892</v>
      </c>
      <c r="I789" s="239"/>
      <c r="J789" s="239"/>
      <c r="K789" s="239"/>
    </row>
    <row r="790" spans="2:11">
      <c r="B790" s="512" t="s">
        <v>893</v>
      </c>
      <c r="C790" s="513">
        <v>0</v>
      </c>
      <c r="D790" s="513">
        <v>0</v>
      </c>
      <c r="E790" s="513">
        <v>0</v>
      </c>
      <c r="F790" s="513">
        <v>0</v>
      </c>
      <c r="G790" s="513">
        <v>0</v>
      </c>
      <c r="H790" s="513">
        <v>0</v>
      </c>
      <c r="I790" s="239"/>
      <c r="J790" s="239"/>
      <c r="K790" s="239"/>
    </row>
    <row r="791" spans="2:11">
      <c r="B791" s="2109" t="s">
        <v>38</v>
      </c>
      <c r="C791" s="2109" t="s">
        <v>538</v>
      </c>
      <c r="D791" s="2111" t="s">
        <v>37</v>
      </c>
      <c r="E791" s="2111" t="s">
        <v>8</v>
      </c>
      <c r="F791" s="2111" t="s">
        <v>36</v>
      </c>
      <c r="G791" s="2113"/>
      <c r="H791" s="2113"/>
      <c r="I791" s="2113"/>
      <c r="J791" s="2113"/>
      <c r="K791" s="2113"/>
    </row>
    <row r="792" spans="2:11">
      <c r="B792" s="2110"/>
      <c r="C792" s="2110"/>
      <c r="D792" s="2110"/>
      <c r="E792" s="2110"/>
      <c r="F792" s="2110"/>
      <c r="G792" s="2114"/>
      <c r="H792" s="2114"/>
      <c r="I792" s="2114"/>
      <c r="J792" s="2114"/>
      <c r="K792" s="2114"/>
    </row>
    <row r="793" spans="2:11">
      <c r="B793" s="512" t="s">
        <v>889</v>
      </c>
      <c r="C793" s="513" t="s">
        <v>659</v>
      </c>
      <c r="D793" s="514" t="s">
        <v>894</v>
      </c>
      <c r="E793" s="513" t="s">
        <v>890</v>
      </c>
      <c r="F793" s="515">
        <v>0</v>
      </c>
      <c r="G793" s="239"/>
      <c r="H793" s="239"/>
      <c r="I793" s="239"/>
      <c r="J793" s="239"/>
      <c r="K793" s="239"/>
    </row>
    <row r="794" spans="2:11">
      <c r="B794" s="512" t="s">
        <v>893</v>
      </c>
      <c r="C794" s="513">
        <v>0</v>
      </c>
      <c r="D794" s="513">
        <v>0</v>
      </c>
      <c r="E794" s="513">
        <v>0</v>
      </c>
      <c r="F794" s="513">
        <v>0</v>
      </c>
      <c r="G794" s="302"/>
      <c r="H794" s="302"/>
      <c r="I794" s="302"/>
      <c r="J794" s="302"/>
      <c r="K794" s="302"/>
    </row>
    <row r="795" spans="2:11">
      <c r="B795" s="367"/>
      <c r="C795" s="302"/>
      <c r="D795" s="302"/>
      <c r="E795" s="302"/>
      <c r="F795" s="302"/>
      <c r="G795" s="302"/>
      <c r="H795" s="302"/>
      <c r="I795" s="302"/>
      <c r="J795" s="302"/>
      <c r="K795" s="302"/>
    </row>
    <row r="796" spans="2:11">
      <c r="B796" s="302"/>
      <c r="C796" s="302"/>
      <c r="D796" s="302"/>
      <c r="E796" s="302"/>
      <c r="F796" s="302"/>
      <c r="G796" s="302"/>
      <c r="H796" s="302"/>
      <c r="I796" s="302"/>
      <c r="J796" s="302"/>
      <c r="K796" s="302"/>
    </row>
    <row r="797" spans="2:11">
      <c r="B797" s="2100" t="s">
        <v>26</v>
      </c>
      <c r="C797" s="2100"/>
      <c r="D797" s="2100"/>
      <c r="E797" s="2100"/>
      <c r="F797" s="2100"/>
      <c r="G797" s="2100"/>
      <c r="H797" s="2100"/>
      <c r="I797" s="2100"/>
      <c r="J797" s="2100"/>
      <c r="K797" s="2100"/>
    </row>
    <row r="798" spans="2:11">
      <c r="B798" s="12" t="s">
        <v>25</v>
      </c>
      <c r="C798" s="302"/>
      <c r="D798" s="302"/>
      <c r="E798" s="302"/>
      <c r="F798" s="302"/>
      <c r="G798" s="302"/>
      <c r="H798" s="302"/>
      <c r="I798" s="302"/>
      <c r="J798" s="302"/>
      <c r="K798" s="302"/>
    </row>
    <row r="799" spans="2:11">
      <c r="B799" s="302"/>
      <c r="C799" s="302"/>
      <c r="D799" s="302"/>
      <c r="E799" s="302"/>
      <c r="F799" s="302"/>
      <c r="G799" s="302"/>
      <c r="H799" s="302"/>
      <c r="I799" s="302"/>
      <c r="J799" s="302"/>
      <c r="K799" s="302"/>
    </row>
    <row r="800" spans="2:11">
      <c r="B800" s="2109" t="s">
        <v>11</v>
      </c>
      <c r="C800" s="2111" t="s">
        <v>541</v>
      </c>
      <c r="D800" s="2111" t="s">
        <v>24</v>
      </c>
      <c r="E800" s="2111" t="s">
        <v>23</v>
      </c>
      <c r="F800" s="2111" t="s">
        <v>22</v>
      </c>
      <c r="G800" s="2111" t="s">
        <v>21</v>
      </c>
      <c r="H800" s="2111" t="s">
        <v>20</v>
      </c>
      <c r="I800" s="2113"/>
      <c r="J800" s="2113"/>
      <c r="K800" s="2107"/>
    </row>
    <row r="801" spans="2:11">
      <c r="B801" s="2110"/>
      <c r="C801" s="2110"/>
      <c r="D801" s="2110"/>
      <c r="E801" s="2110"/>
      <c r="F801" s="2110"/>
      <c r="G801" s="2110"/>
      <c r="H801" s="2110"/>
      <c r="I801" s="2114"/>
      <c r="J801" s="2114"/>
      <c r="K801" s="2108"/>
    </row>
    <row r="802" spans="2:11">
      <c r="B802" s="512" t="s">
        <v>895</v>
      </c>
      <c r="C802" s="513" t="s">
        <v>896</v>
      </c>
      <c r="D802" s="513" t="s">
        <v>890</v>
      </c>
      <c r="E802" s="513" t="s">
        <v>894</v>
      </c>
      <c r="F802" s="516" t="s">
        <v>90</v>
      </c>
      <c r="G802" s="513">
        <v>0</v>
      </c>
      <c r="H802" s="513" t="s">
        <v>897</v>
      </c>
      <c r="I802" s="239"/>
      <c r="J802" s="239"/>
      <c r="K802" s="239"/>
    </row>
    <row r="803" spans="2:11" ht="14.5" customHeight="1">
      <c r="B803" s="512" t="s">
        <v>898</v>
      </c>
      <c r="C803" s="513">
        <v>0</v>
      </c>
      <c r="D803" s="513">
        <v>0</v>
      </c>
      <c r="E803" s="513">
        <v>0</v>
      </c>
      <c r="F803" s="513">
        <v>0</v>
      </c>
      <c r="G803" s="513">
        <v>0</v>
      </c>
      <c r="H803" s="513">
        <v>0</v>
      </c>
      <c r="I803" s="239"/>
      <c r="J803" s="239"/>
      <c r="K803" s="239"/>
    </row>
    <row r="804" spans="2:11">
      <c r="B804" s="2109" t="s">
        <v>11</v>
      </c>
      <c r="C804" s="2109" t="s">
        <v>546</v>
      </c>
      <c r="D804" s="2111" t="s">
        <v>10</v>
      </c>
      <c r="E804" s="2111" t="s">
        <v>9</v>
      </c>
      <c r="F804" s="2111" t="s">
        <v>8</v>
      </c>
      <c r="G804" s="2113"/>
      <c r="H804" s="2113"/>
      <c r="I804" s="2113"/>
      <c r="J804" s="2113"/>
      <c r="K804" s="2113"/>
    </row>
    <row r="805" spans="2:11">
      <c r="B805" s="2110"/>
      <c r="C805" s="2110"/>
      <c r="D805" s="2110"/>
      <c r="E805" s="2110"/>
      <c r="F805" s="2110"/>
      <c r="G805" s="2114"/>
      <c r="H805" s="2114"/>
      <c r="I805" s="2114"/>
      <c r="J805" s="2114"/>
      <c r="K805" s="2114"/>
    </row>
    <row r="806" spans="2:11">
      <c r="B806" s="512" t="s">
        <v>895</v>
      </c>
      <c r="C806" s="513" t="s">
        <v>899</v>
      </c>
      <c r="D806" s="514" t="s">
        <v>900</v>
      </c>
      <c r="E806" s="513" t="s">
        <v>659</v>
      </c>
      <c r="F806" s="515" t="s">
        <v>890</v>
      </c>
      <c r="G806" s="517"/>
      <c r="H806" s="239"/>
      <c r="I806" s="239"/>
      <c r="J806" s="239"/>
      <c r="K806" s="239"/>
    </row>
    <row r="807" spans="2:11">
      <c r="B807" s="512" t="s">
        <v>898</v>
      </c>
      <c r="C807" s="513">
        <v>0</v>
      </c>
      <c r="D807" s="513">
        <v>0</v>
      </c>
      <c r="E807" s="513">
        <v>0</v>
      </c>
      <c r="F807" s="513">
        <v>0</v>
      </c>
      <c r="G807" s="302"/>
      <c r="H807" s="302"/>
      <c r="I807" s="302"/>
      <c r="J807" s="302"/>
      <c r="K807" s="302"/>
    </row>
    <row r="808" spans="2:11">
      <c r="B808" s="367"/>
      <c r="C808" s="302"/>
      <c r="D808" s="302"/>
      <c r="E808" s="302"/>
      <c r="F808" s="302"/>
      <c r="G808" s="302"/>
      <c r="H808" s="302"/>
      <c r="I808" s="302"/>
      <c r="J808" s="302"/>
      <c r="K808" s="302"/>
    </row>
    <row r="809" spans="2:11">
      <c r="B809" s="302"/>
      <c r="C809" s="302"/>
      <c r="D809" s="302"/>
      <c r="E809" s="302"/>
      <c r="F809" s="302"/>
      <c r="G809" s="302"/>
      <c r="H809" s="302"/>
      <c r="I809" s="302"/>
      <c r="J809" s="302"/>
      <c r="K809" s="302"/>
    </row>
  </sheetData>
  <mergeCells count="113">
    <mergeCell ref="I804:I805"/>
    <mergeCell ref="J804:J805"/>
    <mergeCell ref="K804:K805"/>
    <mergeCell ref="I800:I801"/>
    <mergeCell ref="J800:J801"/>
    <mergeCell ref="K800:K801"/>
    <mergeCell ref="B804:B805"/>
    <mergeCell ref="C804:C805"/>
    <mergeCell ref="D804:D805"/>
    <mergeCell ref="E804:E805"/>
    <mergeCell ref="F804:F805"/>
    <mergeCell ref="G804:G805"/>
    <mergeCell ref="H804:H805"/>
    <mergeCell ref="K791:K792"/>
    <mergeCell ref="B797:K797"/>
    <mergeCell ref="B800:B801"/>
    <mergeCell ref="C800:C801"/>
    <mergeCell ref="D800:D801"/>
    <mergeCell ref="E800:E801"/>
    <mergeCell ref="F800:F801"/>
    <mergeCell ref="G800:G801"/>
    <mergeCell ref="H800:H801"/>
    <mergeCell ref="B791:B792"/>
    <mergeCell ref="C791:C792"/>
    <mergeCell ref="D791:D792"/>
    <mergeCell ref="E791:E792"/>
    <mergeCell ref="F791:F792"/>
    <mergeCell ref="G791:G792"/>
    <mergeCell ref="H791:H792"/>
    <mergeCell ref="I791:I792"/>
    <mergeCell ref="J791:J792"/>
    <mergeCell ref="B776:K776"/>
    <mergeCell ref="B784:K784"/>
    <mergeCell ref="B787:B788"/>
    <mergeCell ref="C787:C788"/>
    <mergeCell ref="D787:D788"/>
    <mergeCell ref="E787:E788"/>
    <mergeCell ref="F787:F788"/>
    <mergeCell ref="G787:G788"/>
    <mergeCell ref="H787:H788"/>
    <mergeCell ref="I787:I788"/>
    <mergeCell ref="J787:J788"/>
    <mergeCell ref="K787:K788"/>
    <mergeCell ref="K755:K756"/>
    <mergeCell ref="B766:B767"/>
    <mergeCell ref="D766:D767"/>
    <mergeCell ref="E766:E767"/>
    <mergeCell ref="F766:F767"/>
    <mergeCell ref="B774:D774"/>
    <mergeCell ref="B752:K752"/>
    <mergeCell ref="B755:B756"/>
    <mergeCell ref="C755:C756"/>
    <mergeCell ref="D755:D756"/>
    <mergeCell ref="E755:E756"/>
    <mergeCell ref="F755:F756"/>
    <mergeCell ref="G755:G756"/>
    <mergeCell ref="H755:H756"/>
    <mergeCell ref="I755:I756"/>
    <mergeCell ref="J755:J756"/>
    <mergeCell ref="B691:K691"/>
    <mergeCell ref="B703:K703"/>
    <mergeCell ref="B704:K704"/>
    <mergeCell ref="B706:K706"/>
    <mergeCell ref="B728:K728"/>
    <mergeCell ref="B729:K729"/>
    <mergeCell ref="B598:K598"/>
    <mergeCell ref="B646:K646"/>
    <mergeCell ref="B648:K648"/>
    <mergeCell ref="B676:K676"/>
    <mergeCell ref="B688:K688"/>
    <mergeCell ref="B689:K689"/>
    <mergeCell ref="B464:K464"/>
    <mergeCell ref="B478:K478"/>
    <mergeCell ref="B501:K501"/>
    <mergeCell ref="B524:K524"/>
    <mergeCell ref="B549:K549"/>
    <mergeCell ref="B580:J580"/>
    <mergeCell ref="B384:K384"/>
    <mergeCell ref="B397:J397"/>
    <mergeCell ref="B417:J417"/>
    <mergeCell ref="B418:J418"/>
    <mergeCell ref="B424:K424"/>
    <mergeCell ref="B449:K449"/>
    <mergeCell ref="B276:J276"/>
    <mergeCell ref="B278:K278"/>
    <mergeCell ref="B340:J340"/>
    <mergeCell ref="B342:K342"/>
    <mergeCell ref="B343:K343"/>
    <mergeCell ref="B383:K383"/>
    <mergeCell ref="B142:J142"/>
    <mergeCell ref="B143:J143"/>
    <mergeCell ref="B144:K144"/>
    <mergeCell ref="B208:J208"/>
    <mergeCell ref="B211:K211"/>
    <mergeCell ref="B212:K212"/>
    <mergeCell ref="B83:J83"/>
    <mergeCell ref="B108:J108"/>
    <mergeCell ref="B110:K110"/>
    <mergeCell ref="B33:J33"/>
    <mergeCell ref="B34:J34"/>
    <mergeCell ref="B35:J35"/>
    <mergeCell ref="B48:J48"/>
    <mergeCell ref="B49:J49"/>
    <mergeCell ref="B50:J50"/>
    <mergeCell ref="B2:J2"/>
    <mergeCell ref="B13:J13"/>
    <mergeCell ref="B14:J14"/>
    <mergeCell ref="B15:J15"/>
    <mergeCell ref="B16:J16"/>
    <mergeCell ref="B32:J32"/>
    <mergeCell ref="B51:J51"/>
    <mergeCell ref="B78:J78"/>
    <mergeCell ref="B80:K80"/>
  </mergeCells>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A7A2F-FB75-44FC-88B1-BAD268DB7DE5}">
  <dimension ref="B1:M763"/>
  <sheetViews>
    <sheetView view="pageBreakPreview" topLeftCell="A635" zoomScale="115" zoomScaleNormal="100" zoomScaleSheetLayoutView="115" workbookViewId="0">
      <selection activeCell="B650" sqref="B650"/>
    </sheetView>
  </sheetViews>
  <sheetFormatPr baseColWidth="10" defaultColWidth="11.453125" defaultRowHeight="14.5"/>
  <cols>
    <col min="1" max="1" width="5.7265625" style="383" customWidth="1"/>
    <col min="2" max="2" width="41.453125" customWidth="1"/>
    <col min="4" max="4" width="12.54296875" customWidth="1"/>
    <col min="8" max="8" width="18" customWidth="1"/>
    <col min="11" max="11" width="11.453125" style="383"/>
    <col min="12" max="12" width="12.81640625" style="383" bestFit="1" customWidth="1"/>
    <col min="13" max="16384" width="11.453125" style="383"/>
  </cols>
  <sheetData>
    <row r="1" spans="2:10">
      <c r="B1" s="302"/>
      <c r="C1" s="302"/>
      <c r="D1" s="302"/>
      <c r="E1" s="302"/>
      <c r="F1" s="302"/>
      <c r="G1" s="302"/>
      <c r="H1" s="302"/>
      <c r="I1" s="302"/>
      <c r="J1" s="302"/>
    </row>
    <row r="2" spans="2:10">
      <c r="B2" s="2097" t="s">
        <v>464</v>
      </c>
      <c r="C2" s="2097"/>
      <c r="D2" s="2097"/>
      <c r="E2" s="2097"/>
      <c r="F2" s="2097"/>
      <c r="G2" s="2097"/>
      <c r="H2" s="2097"/>
      <c r="I2" s="2097"/>
      <c r="J2" s="2097"/>
    </row>
    <row r="3" spans="2:10">
      <c r="B3" s="12" t="s">
        <v>463</v>
      </c>
      <c r="C3" s="302"/>
      <c r="D3" s="302"/>
      <c r="E3" s="302"/>
      <c r="F3" s="302"/>
      <c r="G3" s="302"/>
      <c r="H3" s="302"/>
      <c r="I3" s="302"/>
      <c r="J3" s="302"/>
    </row>
    <row r="4" spans="2:10">
      <c r="B4" s="76"/>
      <c r="C4" s="302"/>
      <c r="D4" s="302"/>
      <c r="E4" s="302"/>
      <c r="F4" s="302"/>
      <c r="G4" s="302"/>
      <c r="H4" s="302"/>
      <c r="I4" s="302"/>
      <c r="J4" s="302"/>
    </row>
    <row r="5" spans="2:10">
      <c r="B5" s="61"/>
      <c r="C5" s="850">
        <v>2014</v>
      </c>
      <c r="D5" s="850">
        <v>2015</v>
      </c>
      <c r="E5" s="850">
        <v>2016</v>
      </c>
      <c r="F5" s="850">
        <v>2017</v>
      </c>
      <c r="G5" s="850">
        <v>2018</v>
      </c>
      <c r="H5" s="850">
        <v>2019</v>
      </c>
      <c r="I5" s="850">
        <v>2020</v>
      </c>
      <c r="J5" s="850">
        <v>2021</v>
      </c>
    </row>
    <row r="6" spans="2:10" ht="15.5">
      <c r="B6" s="64" t="s">
        <v>1531</v>
      </c>
      <c r="C6" s="304">
        <v>6.4012399999999996</v>
      </c>
      <c r="D6" s="304">
        <v>6.2599010000000002</v>
      </c>
      <c r="E6" s="304">
        <v>6.2789010000000003</v>
      </c>
      <c r="F6" s="304">
        <v>6.2935939999999997</v>
      </c>
      <c r="G6" s="304">
        <v>6.3054959999999998</v>
      </c>
      <c r="H6" s="304">
        <v>6.3147549999999999</v>
      </c>
      <c r="I6" s="304">
        <v>6.3210420000000003</v>
      </c>
      <c r="J6" s="304">
        <v>6.3258299999999998</v>
      </c>
    </row>
    <row r="7" spans="2:10">
      <c r="B7" s="64" t="s">
        <v>461</v>
      </c>
      <c r="C7" s="304">
        <v>22593.47</v>
      </c>
      <c r="D7" s="304">
        <v>23438.240000000002</v>
      </c>
      <c r="E7" s="304">
        <v>24191.43</v>
      </c>
      <c r="F7" s="304">
        <v>24979.19</v>
      </c>
      <c r="G7" s="304">
        <v>26020.85</v>
      </c>
      <c r="H7" s="304">
        <v>26896.66</v>
      </c>
      <c r="I7" s="304">
        <v>24638.720000000001</v>
      </c>
      <c r="J7" s="304">
        <v>28736.94</v>
      </c>
    </row>
    <row r="8" spans="2:10">
      <c r="B8" s="64" t="s">
        <v>460</v>
      </c>
      <c r="C8" s="304">
        <v>3529.55</v>
      </c>
      <c r="D8" s="304">
        <v>3744.19</v>
      </c>
      <c r="E8" s="304">
        <v>3852.81</v>
      </c>
      <c r="F8" s="304">
        <v>3968.99</v>
      </c>
      <c r="G8" s="304">
        <v>4126.6899999999996</v>
      </c>
      <c r="H8" s="304">
        <v>4259.34</v>
      </c>
      <c r="I8" s="304">
        <v>3897.89</v>
      </c>
      <c r="J8" s="304">
        <v>4542.8</v>
      </c>
    </row>
    <row r="9" spans="2:10">
      <c r="B9" s="64" t="s">
        <v>466</v>
      </c>
      <c r="C9" s="304">
        <v>1.1408333333333334</v>
      </c>
      <c r="D9" s="304">
        <v>-0.72833333333333339</v>
      </c>
      <c r="E9" s="304">
        <v>0.60833333333333328</v>
      </c>
      <c r="F9" s="304">
        <v>1.0141666666666669</v>
      </c>
      <c r="G9" s="304">
        <v>1.0900000000000001</v>
      </c>
      <c r="H9" s="304">
        <v>7.6999999999999999E-2</v>
      </c>
      <c r="I9" s="304">
        <v>-0.09</v>
      </c>
      <c r="J9" s="304">
        <v>3.47</v>
      </c>
    </row>
    <row r="10" spans="2:10" ht="15.5">
      <c r="B10" s="64" t="s">
        <v>1532</v>
      </c>
      <c r="I10" s="302"/>
      <c r="J10" s="304"/>
    </row>
    <row r="11" spans="2:10">
      <c r="B11" s="190" t="s">
        <v>468</v>
      </c>
      <c r="C11" s="302">
        <v>8.75</v>
      </c>
      <c r="D11" s="302">
        <v>8.75</v>
      </c>
      <c r="E11" s="302">
        <v>8.75</v>
      </c>
      <c r="F11" s="302">
        <v>8.75</v>
      </c>
      <c r="G11" s="302">
        <v>8.75</v>
      </c>
      <c r="H11" s="302">
        <v>8.75</v>
      </c>
      <c r="I11" s="867">
        <v>8.75</v>
      </c>
      <c r="J11" s="304">
        <v>8.75</v>
      </c>
    </row>
    <row r="12" spans="2:10" ht="15" thickBot="1">
      <c r="B12" s="196" t="s">
        <v>456</v>
      </c>
      <c r="C12" s="867">
        <v>8.75</v>
      </c>
      <c r="D12" s="867">
        <v>8.75</v>
      </c>
      <c r="E12" s="867">
        <v>8.75</v>
      </c>
      <c r="F12" s="867">
        <v>8.75</v>
      </c>
      <c r="G12" s="867">
        <v>8.75</v>
      </c>
      <c r="H12" s="867">
        <v>8.75</v>
      </c>
      <c r="I12" s="302">
        <v>8.75</v>
      </c>
      <c r="J12" s="304">
        <v>8.75</v>
      </c>
    </row>
    <row r="13" spans="2:10" ht="15" thickTop="1">
      <c r="B13" s="2025" t="s">
        <v>1533</v>
      </c>
      <c r="C13" s="2025"/>
      <c r="D13" s="2025"/>
      <c r="E13" s="2025"/>
      <c r="F13" s="2025"/>
      <c r="G13" s="2025"/>
      <c r="H13" s="2025"/>
      <c r="I13" s="2025"/>
      <c r="J13" s="2025"/>
    </row>
    <row r="14" spans="2:10">
      <c r="B14" s="2066" t="s">
        <v>1534</v>
      </c>
      <c r="C14" s="2066"/>
      <c r="D14" s="2066"/>
      <c r="E14" s="2066"/>
      <c r="F14" s="2066"/>
      <c r="G14" s="2066"/>
      <c r="H14" s="2066"/>
      <c r="I14" s="2066"/>
      <c r="J14" s="2066"/>
    </row>
    <row r="15" spans="2:10">
      <c r="B15" s="64"/>
      <c r="C15" s="302"/>
      <c r="D15" s="302"/>
      <c r="E15" s="302"/>
      <c r="F15" s="302"/>
      <c r="G15" s="302"/>
      <c r="H15" s="302"/>
      <c r="I15" s="302"/>
      <c r="J15" s="302"/>
    </row>
    <row r="16" spans="2:10">
      <c r="B16" s="2097" t="s">
        <v>454</v>
      </c>
      <c r="C16" s="2097"/>
      <c r="D16" s="2097"/>
      <c r="E16" s="2097"/>
      <c r="F16" s="2097"/>
      <c r="G16" s="2097"/>
      <c r="H16" s="2097"/>
      <c r="I16" s="2097"/>
      <c r="J16" s="2097"/>
    </row>
    <row r="17" spans="2:10">
      <c r="B17" s="12" t="s">
        <v>453</v>
      </c>
      <c r="C17" s="302"/>
      <c r="D17" s="302"/>
      <c r="E17" s="302"/>
      <c r="F17" s="302"/>
      <c r="G17" s="302"/>
      <c r="H17" s="302"/>
      <c r="I17" s="302"/>
      <c r="J17" s="302"/>
    </row>
    <row r="18" spans="2:10">
      <c r="B18" s="62" t="s">
        <v>242</v>
      </c>
      <c r="C18" s="302"/>
      <c r="D18" s="302"/>
      <c r="E18" s="302"/>
      <c r="F18" s="302"/>
      <c r="G18" s="302"/>
      <c r="H18" s="302"/>
      <c r="I18" s="302"/>
      <c r="J18" s="302"/>
    </row>
    <row r="19" spans="2:10">
      <c r="B19" s="61"/>
      <c r="C19" s="850">
        <v>2014</v>
      </c>
      <c r="D19" s="850">
        <v>2015</v>
      </c>
      <c r="E19" s="850">
        <v>2016</v>
      </c>
      <c r="F19" s="850">
        <v>2017</v>
      </c>
      <c r="G19" s="850">
        <v>2018</v>
      </c>
      <c r="H19" s="850">
        <v>2019</v>
      </c>
      <c r="I19" s="850">
        <v>2020</v>
      </c>
      <c r="J19" s="850">
        <v>2021</v>
      </c>
    </row>
    <row r="20" spans="2:10" ht="23.25" customHeight="1">
      <c r="B20" s="197" t="s">
        <v>413</v>
      </c>
      <c r="C20" s="1679">
        <v>646.9</v>
      </c>
      <c r="D20" s="1679">
        <v>639.54</v>
      </c>
      <c r="E20" s="1679">
        <v>676.74</v>
      </c>
      <c r="F20" s="1679">
        <v>677.03</v>
      </c>
      <c r="G20" s="1679">
        <v>661.49</v>
      </c>
      <c r="H20" s="1679">
        <v>665.53</v>
      </c>
      <c r="I20" s="1679">
        <v>635.9</v>
      </c>
      <c r="J20" s="1679">
        <v>636.55112236999992</v>
      </c>
    </row>
    <row r="21" spans="2:10">
      <c r="B21" s="197" t="s">
        <v>452</v>
      </c>
      <c r="C21" s="1679">
        <v>2916.3767856899995</v>
      </c>
      <c r="D21" s="1679">
        <v>3249.8906952100001</v>
      </c>
      <c r="E21" s="1679">
        <v>3126.2901272200002</v>
      </c>
      <c r="F21" s="1679">
        <v>3650.5174511199998</v>
      </c>
      <c r="G21" s="1679">
        <v>3799.6193187599993</v>
      </c>
      <c r="H21" s="1679">
        <v>4237.0593879199996</v>
      </c>
      <c r="I21" s="1679">
        <v>4995.4736464000007</v>
      </c>
      <c r="J21" s="1679">
        <v>5137.0318361899999</v>
      </c>
    </row>
    <row r="22" spans="2:10">
      <c r="B22" s="194" t="s">
        <v>379</v>
      </c>
      <c r="C22" s="306"/>
      <c r="D22" s="306"/>
      <c r="E22" s="306"/>
      <c r="F22" s="306"/>
      <c r="G22" s="306"/>
      <c r="H22" s="306"/>
      <c r="I22" s="306"/>
      <c r="J22" s="1679"/>
    </row>
    <row r="23" spans="2:10">
      <c r="B23" s="198" t="s">
        <v>451</v>
      </c>
      <c r="C23" s="1679">
        <v>0</v>
      </c>
      <c r="D23" s="1679">
        <v>0</v>
      </c>
      <c r="E23" s="1679">
        <v>0</v>
      </c>
      <c r="F23" s="1679">
        <v>0</v>
      </c>
      <c r="G23" s="1679">
        <v>0</v>
      </c>
      <c r="H23" s="1679">
        <v>0</v>
      </c>
      <c r="I23" s="1679">
        <v>0</v>
      </c>
      <c r="J23" s="1679">
        <v>0</v>
      </c>
    </row>
    <row r="24" spans="2:10">
      <c r="B24" s="198" t="s">
        <v>450</v>
      </c>
      <c r="C24" s="1679">
        <v>0</v>
      </c>
      <c r="D24" s="1679">
        <v>0</v>
      </c>
      <c r="E24" s="1679">
        <v>0</v>
      </c>
      <c r="F24" s="1679">
        <v>0</v>
      </c>
      <c r="G24" s="1679">
        <v>0</v>
      </c>
      <c r="H24" s="1679">
        <v>0</v>
      </c>
      <c r="I24" s="1679">
        <v>0</v>
      </c>
      <c r="J24" s="1679">
        <v>0</v>
      </c>
    </row>
    <row r="25" spans="2:10">
      <c r="B25" s="197" t="s">
        <v>449</v>
      </c>
      <c r="C25" s="306">
        <v>2920.2</v>
      </c>
      <c r="D25" s="306">
        <v>3253.4</v>
      </c>
      <c r="E25" s="306">
        <v>3129.1</v>
      </c>
      <c r="F25" s="306">
        <v>3653</v>
      </c>
      <c r="G25" s="306">
        <v>3801.8</v>
      </c>
      <c r="H25" s="306">
        <v>4238.9314107099999</v>
      </c>
      <c r="I25" s="306">
        <v>4996.9905203200005</v>
      </c>
      <c r="J25" s="1679">
        <v>5138.58663824</v>
      </c>
    </row>
    <row r="26" spans="2:10">
      <c r="B26" s="197" t="s">
        <v>448</v>
      </c>
      <c r="C26" s="306"/>
      <c r="D26" s="306"/>
      <c r="E26" s="306"/>
      <c r="F26" s="306"/>
      <c r="G26" s="306"/>
      <c r="H26" s="306"/>
      <c r="I26" s="306"/>
      <c r="J26" s="306"/>
    </row>
    <row r="27" spans="2:10">
      <c r="B27" s="195" t="s">
        <v>447</v>
      </c>
      <c r="C27" s="1679">
        <v>0</v>
      </c>
      <c r="D27" s="1679">
        <v>0</v>
      </c>
      <c r="E27" s="1679">
        <v>0</v>
      </c>
      <c r="F27" s="1679">
        <v>0</v>
      </c>
      <c r="G27" s="306">
        <v>9.4042525700000006</v>
      </c>
      <c r="H27" s="306">
        <v>7.0455419500000005</v>
      </c>
      <c r="I27" s="306">
        <v>7.0455419500000005</v>
      </c>
      <c r="J27" s="306">
        <v>7.67</v>
      </c>
    </row>
    <row r="28" spans="2:10">
      <c r="B28" s="195" t="s">
        <v>445</v>
      </c>
      <c r="C28" s="1679">
        <v>0</v>
      </c>
      <c r="D28" s="1679">
        <v>0</v>
      </c>
      <c r="E28" s="1679">
        <v>0</v>
      </c>
      <c r="F28" s="1679">
        <v>0</v>
      </c>
      <c r="G28" s="1679">
        <v>0</v>
      </c>
      <c r="H28" s="1679">
        <v>0</v>
      </c>
      <c r="I28" s="1679">
        <v>0</v>
      </c>
      <c r="J28" s="1679">
        <v>0</v>
      </c>
    </row>
    <row r="29" spans="2:10">
      <c r="B29" s="195" t="s">
        <v>444</v>
      </c>
      <c r="C29" s="1679">
        <v>0</v>
      </c>
      <c r="D29" s="1679">
        <v>0</v>
      </c>
      <c r="E29" s="1679">
        <v>0</v>
      </c>
      <c r="F29" s="1679">
        <v>0</v>
      </c>
      <c r="G29" s="1679">
        <v>0</v>
      </c>
      <c r="H29" s="1679">
        <v>0</v>
      </c>
      <c r="I29" s="1679">
        <v>0</v>
      </c>
      <c r="J29" s="1679">
        <v>0</v>
      </c>
    </row>
    <row r="30" spans="2:10" ht="15" thickBot="1">
      <c r="B30" s="196" t="s">
        <v>443</v>
      </c>
      <c r="C30" s="1679">
        <v>0</v>
      </c>
      <c r="D30" s="1679">
        <v>0</v>
      </c>
      <c r="E30" s="1679">
        <v>0</v>
      </c>
      <c r="F30" s="1679">
        <v>0</v>
      </c>
      <c r="G30" s="1679">
        <v>0</v>
      </c>
      <c r="H30" s="1679">
        <v>0</v>
      </c>
      <c r="I30" s="1679">
        <v>0</v>
      </c>
      <c r="J30" s="1679">
        <v>0</v>
      </c>
    </row>
    <row r="31" spans="2:10" ht="15" thickTop="1">
      <c r="B31" s="2025" t="s">
        <v>1535</v>
      </c>
      <c r="C31" s="2025"/>
      <c r="D31" s="2025"/>
      <c r="E31" s="2025"/>
      <c r="F31" s="2025"/>
      <c r="G31" s="2025"/>
      <c r="H31" s="2025"/>
      <c r="I31" s="2025"/>
      <c r="J31" s="2025"/>
    </row>
    <row r="32" spans="2:10">
      <c r="B32" s="2066" t="s">
        <v>1534</v>
      </c>
      <c r="C32" s="2066"/>
      <c r="D32" s="2066"/>
      <c r="E32" s="2066"/>
      <c r="F32" s="2066"/>
      <c r="G32" s="2066"/>
      <c r="H32" s="2066"/>
      <c r="I32" s="2066"/>
      <c r="J32" s="2066"/>
    </row>
    <row r="33" spans="2:10">
      <c r="B33" s="64"/>
      <c r="C33" s="302"/>
      <c r="D33" s="302"/>
      <c r="E33" s="302"/>
      <c r="F33" s="302"/>
      <c r="G33" s="302"/>
      <c r="H33" s="302"/>
      <c r="I33" s="302"/>
      <c r="J33" s="302"/>
    </row>
    <row r="34" spans="2:10">
      <c r="B34" s="2097" t="s">
        <v>442</v>
      </c>
      <c r="C34" s="2097"/>
      <c r="D34" s="2097"/>
      <c r="E34" s="2097"/>
      <c r="F34" s="2097"/>
      <c r="G34" s="2097"/>
      <c r="H34" s="2097"/>
      <c r="I34" s="2097"/>
      <c r="J34" s="2097"/>
    </row>
    <row r="35" spans="2:10">
      <c r="B35" s="12" t="s">
        <v>441</v>
      </c>
      <c r="C35" s="302"/>
      <c r="D35" s="302"/>
      <c r="E35" s="302"/>
      <c r="F35" s="302"/>
      <c r="G35" s="302"/>
      <c r="H35" s="302"/>
      <c r="I35" s="302"/>
      <c r="J35" s="302"/>
    </row>
    <row r="36" spans="2:10">
      <c r="B36" s="77" t="s">
        <v>242</v>
      </c>
      <c r="C36" s="302"/>
      <c r="D36" s="302"/>
      <c r="E36" s="302"/>
      <c r="F36" s="302"/>
      <c r="G36" s="302"/>
      <c r="H36" s="302"/>
      <c r="I36" s="302"/>
      <c r="J36" s="302"/>
    </row>
    <row r="37" spans="2:10">
      <c r="B37" s="64"/>
      <c r="C37" s="302"/>
      <c r="D37" s="302"/>
      <c r="E37" s="302"/>
      <c r="F37" s="302"/>
      <c r="G37" s="302"/>
      <c r="H37" s="302"/>
      <c r="I37" s="302"/>
      <c r="J37" s="302"/>
    </row>
    <row r="38" spans="2:10">
      <c r="B38" s="61"/>
      <c r="C38" s="850">
        <v>2014</v>
      </c>
      <c r="D38" s="850">
        <v>2015</v>
      </c>
      <c r="E38" s="850">
        <v>2016</v>
      </c>
      <c r="F38" s="850">
        <v>2017</v>
      </c>
      <c r="G38" s="850">
        <v>2018</v>
      </c>
      <c r="H38" s="850">
        <v>2019</v>
      </c>
      <c r="I38" s="850">
        <v>2020</v>
      </c>
      <c r="J38" s="850">
        <v>2021</v>
      </c>
    </row>
    <row r="39" spans="2:10">
      <c r="B39" s="188" t="s">
        <v>440</v>
      </c>
      <c r="C39" s="304">
        <v>2342.0166100000001</v>
      </c>
      <c r="D39" s="304">
        <v>2501.1719419999999</v>
      </c>
      <c r="E39" s="304">
        <v>2589.19924012</v>
      </c>
      <c r="F39" s="304">
        <v>2792.9804116300002</v>
      </c>
      <c r="G39" s="304">
        <v>2924.4088372800002</v>
      </c>
      <c r="H39" s="304">
        <v>3450.7600060700001</v>
      </c>
      <c r="I39" s="304">
        <f>I40+I43</f>
        <v>2565.87558424807</v>
      </c>
      <c r="J39" s="304">
        <v>2671.2432405557142</v>
      </c>
    </row>
    <row r="40" spans="2:10">
      <c r="B40" s="195" t="s">
        <v>470</v>
      </c>
      <c r="C40" s="306">
        <f>2.205359798*1000</f>
        <v>2205.359798</v>
      </c>
      <c r="D40" s="306">
        <f>2.324273871*1000</f>
        <v>2324.2738709999999</v>
      </c>
      <c r="E40" s="306">
        <v>2377.2745647400002</v>
      </c>
      <c r="F40" s="306">
        <v>2609.84083216</v>
      </c>
      <c r="G40" s="306">
        <v>2708.48336982</v>
      </c>
      <c r="H40" s="306">
        <v>3014.4177198399998</v>
      </c>
      <c r="I40" s="306">
        <v>1541.5112659696799</v>
      </c>
      <c r="J40" s="304">
        <v>2243.8436810000003</v>
      </c>
    </row>
    <row r="41" spans="2:10">
      <c r="B41" s="150" t="s">
        <v>352</v>
      </c>
      <c r="C41" s="306">
        <v>2205.359798</v>
      </c>
      <c r="D41" s="306">
        <v>2324.2738709999999</v>
      </c>
      <c r="E41" s="306">
        <v>2377.2745647400002</v>
      </c>
      <c r="F41" s="306">
        <v>2609.84083216</v>
      </c>
      <c r="G41" s="306">
        <v>2708.48336982</v>
      </c>
      <c r="H41" s="306">
        <v>3014.4177198399998</v>
      </c>
      <c r="I41" s="306"/>
      <c r="J41" s="304">
        <v>2243.8436810000003</v>
      </c>
    </row>
    <row r="42" spans="2:10">
      <c r="B42" s="150" t="s">
        <v>351</v>
      </c>
      <c r="C42" s="306"/>
      <c r="D42" s="306"/>
      <c r="E42" s="306"/>
      <c r="F42" s="306"/>
      <c r="G42" s="306"/>
      <c r="H42" s="306"/>
      <c r="I42" s="306"/>
      <c r="J42" s="304"/>
    </row>
    <row r="43" spans="2:10">
      <c r="B43" s="195" t="s">
        <v>471</v>
      </c>
      <c r="C43" s="306">
        <v>136.656812</v>
      </c>
      <c r="D43" s="306">
        <v>176.89807099999999</v>
      </c>
      <c r="E43" s="306">
        <v>211.92467536999999</v>
      </c>
      <c r="F43" s="306">
        <v>183.13957945999999</v>
      </c>
      <c r="G43" s="306">
        <v>215.92546745999999</v>
      </c>
      <c r="H43" s="306">
        <v>436.34228623000001</v>
      </c>
      <c r="I43" s="306">
        <v>1024.3643182783901</v>
      </c>
      <c r="J43" s="304">
        <v>427.39955955571395</v>
      </c>
    </row>
    <row r="44" spans="2:10">
      <c r="B44" s="150" t="s">
        <v>352</v>
      </c>
      <c r="C44" s="306">
        <v>136.656812</v>
      </c>
      <c r="D44" s="306">
        <v>176.89807099999999</v>
      </c>
      <c r="E44" s="306">
        <v>211.92467536999999</v>
      </c>
      <c r="F44" s="306">
        <v>183.13957945999999</v>
      </c>
      <c r="G44" s="306">
        <v>215.92546745999999</v>
      </c>
      <c r="H44" s="306">
        <v>436.34228623000001</v>
      </c>
      <c r="I44" s="306">
        <v>1024.3643182783901</v>
      </c>
      <c r="J44" s="304">
        <v>427.39955955571395</v>
      </c>
    </row>
    <row r="45" spans="2:10">
      <c r="B45" s="150" t="s">
        <v>351</v>
      </c>
      <c r="C45" s="867"/>
      <c r="D45" s="867"/>
      <c r="E45" s="867"/>
      <c r="F45" s="867"/>
      <c r="G45" s="867"/>
      <c r="H45" s="867"/>
      <c r="I45" s="867"/>
      <c r="J45" s="867"/>
    </row>
    <row r="46" spans="2:10">
      <c r="B46" s="150"/>
      <c r="C46" s="867"/>
      <c r="D46" s="867"/>
      <c r="E46" s="867"/>
      <c r="F46" s="867"/>
      <c r="G46" s="867"/>
      <c r="H46" s="867"/>
      <c r="I46" s="867"/>
      <c r="J46" s="867"/>
    </row>
    <row r="47" spans="2:10">
      <c r="B47" s="188" t="s">
        <v>437</v>
      </c>
      <c r="C47" s="1679">
        <v>0</v>
      </c>
      <c r="D47" s="1679">
        <v>0</v>
      </c>
      <c r="E47" s="1679">
        <v>0</v>
      </c>
      <c r="F47" s="1679">
        <v>0</v>
      </c>
      <c r="G47" s="1679">
        <v>0</v>
      </c>
      <c r="H47" s="1679">
        <v>0</v>
      </c>
      <c r="I47" s="1679">
        <v>0</v>
      </c>
      <c r="J47" s="1679">
        <v>0</v>
      </c>
    </row>
    <row r="48" spans="2:10" ht="15" thickBot="1">
      <c r="B48" s="193" t="s">
        <v>436</v>
      </c>
      <c r="C48" s="1679">
        <v>0</v>
      </c>
      <c r="D48" s="1679">
        <v>0</v>
      </c>
      <c r="E48" s="1679">
        <v>0</v>
      </c>
      <c r="F48" s="1679">
        <v>0</v>
      </c>
      <c r="G48" s="1679">
        <v>0</v>
      </c>
      <c r="H48" s="1679">
        <v>0</v>
      </c>
      <c r="I48" s="1679">
        <v>0</v>
      </c>
      <c r="J48" s="1679">
        <v>0</v>
      </c>
    </row>
    <row r="49" spans="2:10" ht="15" thickTop="1">
      <c r="B49" s="2025" t="s">
        <v>1535</v>
      </c>
      <c r="C49" s="2025"/>
      <c r="D49" s="2025"/>
      <c r="E49" s="2025"/>
      <c r="F49" s="2025"/>
      <c r="G49" s="2025"/>
      <c r="H49" s="2025"/>
      <c r="I49" s="2025"/>
      <c r="J49" s="2025"/>
    </row>
    <row r="50" spans="2:10">
      <c r="B50" s="2066" t="s">
        <v>1534</v>
      </c>
      <c r="C50" s="2066"/>
      <c r="D50" s="2066"/>
      <c r="E50" s="2066"/>
      <c r="F50" s="2066"/>
      <c r="G50" s="2066"/>
      <c r="H50" s="2066"/>
      <c r="I50" s="2066"/>
      <c r="J50" s="2066"/>
    </row>
    <row r="51" spans="2:10">
      <c r="B51" s="64"/>
      <c r="C51" s="302"/>
      <c r="D51" s="302"/>
      <c r="E51" s="302"/>
      <c r="F51" s="302"/>
      <c r="G51" s="302"/>
      <c r="H51" s="302"/>
      <c r="I51" s="302"/>
      <c r="J51" s="302"/>
    </row>
    <row r="52" spans="2:10">
      <c r="B52" s="2097" t="s">
        <v>434</v>
      </c>
      <c r="C52" s="2097"/>
      <c r="D52" s="2097"/>
      <c r="E52" s="2097"/>
      <c r="F52" s="2097"/>
      <c r="G52" s="2097"/>
      <c r="H52" s="2097"/>
      <c r="I52" s="2097"/>
      <c r="J52" s="2097"/>
    </row>
    <row r="53" spans="2:10">
      <c r="B53" s="12" t="s">
        <v>433</v>
      </c>
      <c r="C53" s="302"/>
      <c r="D53" s="302"/>
      <c r="E53" s="302"/>
      <c r="F53" s="302"/>
      <c r="G53" s="302"/>
      <c r="H53" s="302"/>
      <c r="I53" s="302"/>
      <c r="J53" s="302"/>
    </row>
    <row r="54" spans="2:10">
      <c r="B54" s="62" t="s">
        <v>242</v>
      </c>
      <c r="C54" s="302"/>
      <c r="D54" s="302"/>
      <c r="E54" s="302"/>
      <c r="F54" s="302"/>
      <c r="G54" s="302"/>
      <c r="H54" s="302"/>
      <c r="I54" s="302"/>
      <c r="J54" s="302"/>
    </row>
    <row r="55" spans="2:10">
      <c r="B55" s="64"/>
      <c r="C55" s="302"/>
      <c r="D55" s="302"/>
      <c r="E55" s="302"/>
      <c r="F55" s="302"/>
      <c r="G55" s="302"/>
      <c r="H55" s="302"/>
      <c r="I55" s="302"/>
      <c r="J55" s="302"/>
    </row>
    <row r="56" spans="2:10">
      <c r="B56" s="61"/>
      <c r="C56" s="850">
        <v>2014</v>
      </c>
      <c r="D56" s="850">
        <v>2015</v>
      </c>
      <c r="E56" s="850">
        <v>2016</v>
      </c>
      <c r="F56" s="850">
        <v>2017</v>
      </c>
      <c r="G56" s="850">
        <v>2018</v>
      </c>
      <c r="H56" s="850">
        <v>2019</v>
      </c>
      <c r="I56" s="850">
        <v>2020</v>
      </c>
      <c r="J56" s="850">
        <v>2021</v>
      </c>
    </row>
    <row r="57" spans="2:10" ht="15.5">
      <c r="B57" s="64" t="s">
        <v>796</v>
      </c>
      <c r="C57" s="323">
        <v>0</v>
      </c>
      <c r="D57" s="323">
        <v>0</v>
      </c>
      <c r="E57" s="323">
        <v>0</v>
      </c>
      <c r="F57" s="323">
        <v>0</v>
      </c>
      <c r="G57" s="323">
        <v>0</v>
      </c>
      <c r="H57" s="323">
        <v>0</v>
      </c>
      <c r="I57" s="323">
        <v>0</v>
      </c>
      <c r="J57" s="323">
        <v>0</v>
      </c>
    </row>
    <row r="58" spans="2:10">
      <c r="B58" s="62"/>
      <c r="C58" s="307"/>
      <c r="D58" s="307"/>
      <c r="E58" s="307"/>
      <c r="F58" s="307"/>
      <c r="G58" s="307"/>
      <c r="H58" s="307"/>
      <c r="I58" s="307"/>
      <c r="J58" s="307"/>
    </row>
    <row r="59" spans="2:10">
      <c r="B59" s="64" t="s">
        <v>431</v>
      </c>
      <c r="C59" s="323">
        <v>0</v>
      </c>
      <c r="D59" s="323">
        <v>0</v>
      </c>
      <c r="E59" s="323">
        <v>0</v>
      </c>
      <c r="F59" s="323">
        <v>0</v>
      </c>
      <c r="G59" s="323">
        <v>0</v>
      </c>
      <c r="H59" s="323">
        <v>0</v>
      </c>
      <c r="I59" s="323">
        <v>0</v>
      </c>
      <c r="J59" s="323">
        <v>0</v>
      </c>
    </row>
    <row r="60" spans="2:10">
      <c r="B60" s="190" t="s">
        <v>277</v>
      </c>
      <c r="C60" s="307"/>
      <c r="D60" s="307"/>
      <c r="E60" s="307"/>
      <c r="F60" s="307"/>
      <c r="G60" s="307"/>
      <c r="H60" s="307"/>
      <c r="I60" s="307"/>
      <c r="J60" s="307"/>
    </row>
    <row r="61" spans="2:10">
      <c r="B61" s="190" t="s">
        <v>797</v>
      </c>
      <c r="C61" s="323">
        <v>0</v>
      </c>
      <c r="D61" s="323">
        <v>0</v>
      </c>
      <c r="E61" s="323">
        <v>0</v>
      </c>
      <c r="F61" s="323">
        <v>0</v>
      </c>
      <c r="G61" s="323">
        <v>0</v>
      </c>
      <c r="H61" s="323">
        <v>0</v>
      </c>
      <c r="I61" s="323">
        <v>0</v>
      </c>
      <c r="J61" s="323">
        <v>0</v>
      </c>
    </row>
    <row r="62" spans="2:10">
      <c r="B62" s="190" t="s">
        <v>798</v>
      </c>
      <c r="C62" s="323">
        <v>0</v>
      </c>
      <c r="D62" s="323">
        <v>0</v>
      </c>
      <c r="E62" s="323">
        <v>0</v>
      </c>
      <c r="F62" s="323">
        <v>0</v>
      </c>
      <c r="G62" s="323">
        <v>0</v>
      </c>
      <c r="H62" s="323">
        <v>0</v>
      </c>
      <c r="I62" s="323">
        <v>0</v>
      </c>
      <c r="J62" s="323">
        <v>0</v>
      </c>
    </row>
    <row r="63" spans="2:10">
      <c r="B63" s="190" t="s">
        <v>799</v>
      </c>
      <c r="C63" s="323">
        <v>0</v>
      </c>
      <c r="D63" s="323">
        <v>0</v>
      </c>
      <c r="E63" s="323">
        <v>0</v>
      </c>
      <c r="F63" s="323">
        <v>0</v>
      </c>
      <c r="G63" s="323">
        <v>0</v>
      </c>
      <c r="H63" s="323">
        <v>0</v>
      </c>
      <c r="I63" s="323">
        <v>0</v>
      </c>
      <c r="J63" s="323">
        <v>0</v>
      </c>
    </row>
    <row r="64" spans="2:10">
      <c r="B64" s="190" t="s">
        <v>800</v>
      </c>
      <c r="C64" s="323">
        <v>0</v>
      </c>
      <c r="D64" s="323">
        <v>0</v>
      </c>
      <c r="E64" s="323">
        <v>0</v>
      </c>
      <c r="F64" s="323">
        <v>0</v>
      </c>
      <c r="G64" s="323">
        <v>0</v>
      </c>
      <c r="H64" s="323">
        <v>0</v>
      </c>
      <c r="I64" s="323">
        <v>0</v>
      </c>
      <c r="J64" s="323">
        <v>0</v>
      </c>
    </row>
    <row r="65" spans="2:10">
      <c r="B65" s="190" t="s">
        <v>801</v>
      </c>
      <c r="C65" s="323">
        <v>0</v>
      </c>
      <c r="D65" s="323">
        <v>0</v>
      </c>
      <c r="E65" s="323">
        <v>0</v>
      </c>
      <c r="F65" s="323">
        <v>0</v>
      </c>
      <c r="G65" s="323">
        <v>0</v>
      </c>
      <c r="H65" s="323">
        <v>0</v>
      </c>
      <c r="I65" s="323">
        <v>0</v>
      </c>
      <c r="J65" s="323">
        <v>0</v>
      </c>
    </row>
    <row r="66" spans="2:10">
      <c r="B66" s="190" t="s">
        <v>803</v>
      </c>
      <c r="C66" s="323">
        <v>0</v>
      </c>
      <c r="D66" s="323">
        <v>0</v>
      </c>
      <c r="E66" s="323">
        <v>0</v>
      </c>
      <c r="F66" s="323">
        <v>0</v>
      </c>
      <c r="G66" s="323">
        <v>0</v>
      </c>
      <c r="H66" s="323">
        <v>0</v>
      </c>
      <c r="I66" s="323">
        <v>0</v>
      </c>
      <c r="J66" s="323">
        <v>0</v>
      </c>
    </row>
    <row r="67" spans="2:10">
      <c r="B67" s="190"/>
      <c r="C67" s="307"/>
      <c r="D67" s="307"/>
      <c r="E67" s="307"/>
      <c r="F67" s="307"/>
      <c r="G67" s="307"/>
      <c r="H67" s="307"/>
      <c r="I67" s="307"/>
      <c r="J67" s="307"/>
    </row>
    <row r="68" spans="2:10">
      <c r="B68" s="64" t="s">
        <v>424</v>
      </c>
      <c r="C68" s="323">
        <v>0</v>
      </c>
      <c r="D68" s="323">
        <v>0</v>
      </c>
      <c r="E68" s="323">
        <v>0</v>
      </c>
      <c r="F68" s="323">
        <v>0</v>
      </c>
      <c r="G68" s="323">
        <v>0</v>
      </c>
      <c r="H68" s="323">
        <v>0</v>
      </c>
      <c r="I68" s="323">
        <v>0</v>
      </c>
      <c r="J68" s="323">
        <v>0</v>
      </c>
    </row>
    <row r="69" spans="2:10">
      <c r="B69" s="190" t="s">
        <v>277</v>
      </c>
      <c r="C69" s="307"/>
      <c r="D69" s="307"/>
      <c r="E69" s="307"/>
      <c r="F69" s="307"/>
      <c r="G69" s="307"/>
      <c r="H69" s="307"/>
      <c r="I69" s="307"/>
      <c r="J69" s="307"/>
    </row>
    <row r="70" spans="2:10">
      <c r="B70" s="189" t="s">
        <v>804</v>
      </c>
      <c r="C70" s="323">
        <v>0</v>
      </c>
      <c r="D70" s="323">
        <v>0</v>
      </c>
      <c r="E70" s="323">
        <v>0</v>
      </c>
      <c r="F70" s="323">
        <v>0</v>
      </c>
      <c r="G70" s="323">
        <v>0</v>
      </c>
      <c r="H70" s="323">
        <v>0</v>
      </c>
      <c r="I70" s="323">
        <v>0</v>
      </c>
      <c r="J70" s="323">
        <v>0</v>
      </c>
    </row>
    <row r="71" spans="2:10">
      <c r="B71" s="189" t="s">
        <v>805</v>
      </c>
      <c r="C71" s="323">
        <v>0</v>
      </c>
      <c r="D71" s="323">
        <v>0</v>
      </c>
      <c r="E71" s="323">
        <v>0</v>
      </c>
      <c r="F71" s="323">
        <v>0</v>
      </c>
      <c r="G71" s="323">
        <v>0</v>
      </c>
      <c r="H71" s="323">
        <v>0</v>
      </c>
      <c r="I71" s="323">
        <v>0</v>
      </c>
      <c r="J71" s="323">
        <v>0</v>
      </c>
    </row>
    <row r="72" spans="2:10">
      <c r="B72" s="189" t="s">
        <v>806</v>
      </c>
      <c r="C72" s="323">
        <v>0</v>
      </c>
      <c r="D72" s="323">
        <v>0</v>
      </c>
      <c r="E72" s="323">
        <v>0</v>
      </c>
      <c r="F72" s="323">
        <v>0</v>
      </c>
      <c r="G72" s="323">
        <v>0</v>
      </c>
      <c r="H72" s="323">
        <v>0</v>
      </c>
      <c r="I72" s="323">
        <v>0</v>
      </c>
      <c r="J72" s="323">
        <v>0</v>
      </c>
    </row>
    <row r="73" spans="2:10">
      <c r="B73" s="189" t="s">
        <v>807</v>
      </c>
      <c r="C73" s="323">
        <v>0</v>
      </c>
      <c r="D73" s="323">
        <v>0</v>
      </c>
      <c r="E73" s="323">
        <v>0</v>
      </c>
      <c r="F73" s="323">
        <v>0</v>
      </c>
      <c r="G73" s="323">
        <v>0</v>
      </c>
      <c r="H73" s="323">
        <v>0</v>
      </c>
      <c r="I73" s="323">
        <v>0</v>
      </c>
      <c r="J73" s="323">
        <v>0</v>
      </c>
    </row>
    <row r="74" spans="2:10">
      <c r="B74" s="189" t="s">
        <v>808</v>
      </c>
      <c r="C74" s="323">
        <v>0</v>
      </c>
      <c r="D74" s="323">
        <v>0</v>
      </c>
      <c r="E74" s="323">
        <v>0</v>
      </c>
      <c r="F74" s="323">
        <v>0</v>
      </c>
      <c r="G74" s="323">
        <v>0</v>
      </c>
      <c r="H74" s="323">
        <v>0</v>
      </c>
      <c r="I74" s="323">
        <v>0</v>
      </c>
      <c r="J74" s="323">
        <v>0</v>
      </c>
    </row>
    <row r="75" spans="2:10">
      <c r="B75" s="62"/>
      <c r="C75" s="307"/>
      <c r="D75" s="307"/>
      <c r="E75" s="307"/>
      <c r="F75" s="307"/>
      <c r="G75" s="307"/>
      <c r="H75" s="307"/>
      <c r="I75" s="307"/>
      <c r="J75" s="307"/>
    </row>
    <row r="76" spans="2:10">
      <c r="B76" s="197" t="s">
        <v>414</v>
      </c>
      <c r="C76" s="323" t="s">
        <v>1536</v>
      </c>
      <c r="D76" s="323" t="s">
        <v>1537</v>
      </c>
      <c r="E76" s="323" t="s">
        <v>1538</v>
      </c>
      <c r="F76" s="323" t="s">
        <v>1539</v>
      </c>
      <c r="G76" s="323" t="s">
        <v>1540</v>
      </c>
      <c r="H76" s="323" t="s">
        <v>1541</v>
      </c>
      <c r="I76" s="323" t="s">
        <v>1542</v>
      </c>
      <c r="J76" s="323" t="s">
        <v>1543</v>
      </c>
    </row>
    <row r="77" spans="2:10" ht="15" thickBot="1">
      <c r="B77" s="208" t="s">
        <v>413</v>
      </c>
      <c r="C77" s="323" t="s">
        <v>1544</v>
      </c>
      <c r="D77" s="323" t="s">
        <v>1545</v>
      </c>
      <c r="E77" s="323" t="s">
        <v>1546</v>
      </c>
      <c r="F77" s="323" t="s">
        <v>1547</v>
      </c>
      <c r="G77" s="323" t="s">
        <v>1548</v>
      </c>
      <c r="H77" s="323" t="s">
        <v>1549</v>
      </c>
      <c r="I77" s="323" t="s">
        <v>1550</v>
      </c>
      <c r="J77" s="323" t="s">
        <v>1551</v>
      </c>
    </row>
    <row r="78" spans="2:10" ht="15" thickTop="1">
      <c r="B78" s="2025" t="s">
        <v>1535</v>
      </c>
      <c r="C78" s="2025"/>
      <c r="D78" s="2025"/>
      <c r="E78" s="2025"/>
      <c r="F78" s="2025"/>
      <c r="G78" s="2025"/>
      <c r="H78" s="2025"/>
      <c r="I78" s="2025"/>
      <c r="J78" s="2025"/>
    </row>
    <row r="79" spans="2:10">
      <c r="B79" s="2066" t="s">
        <v>1534</v>
      </c>
      <c r="C79" s="2066"/>
      <c r="D79" s="2066"/>
      <c r="E79" s="2066"/>
      <c r="F79" s="2066"/>
      <c r="G79" s="2066"/>
      <c r="H79" s="2066"/>
      <c r="I79" s="2066"/>
      <c r="J79" s="2066"/>
    </row>
    <row r="80" spans="2:10">
      <c r="B80" s="64"/>
      <c r="C80" s="302"/>
      <c r="D80" s="302"/>
      <c r="E80" s="302"/>
      <c r="F80" s="302"/>
      <c r="G80" s="302"/>
      <c r="H80" s="302"/>
      <c r="I80" s="302"/>
      <c r="J80" s="302"/>
    </row>
    <row r="81" spans="2:10">
      <c r="B81" s="2097" t="s">
        <v>411</v>
      </c>
      <c r="C81" s="2097"/>
      <c r="D81" s="2097"/>
      <c r="E81" s="2097"/>
      <c r="F81" s="2097"/>
      <c r="G81" s="2097"/>
      <c r="H81" s="2097"/>
      <c r="I81" s="2097"/>
      <c r="J81" s="2097"/>
    </row>
    <row r="82" spans="2:10">
      <c r="B82" s="12" t="s">
        <v>410</v>
      </c>
      <c r="C82" s="302"/>
      <c r="D82" s="302"/>
      <c r="E82" s="302"/>
      <c r="F82" s="302"/>
      <c r="G82" s="302"/>
      <c r="H82" s="302"/>
      <c r="I82" s="302"/>
      <c r="J82" s="302"/>
    </row>
    <row r="83" spans="2:10">
      <c r="B83" s="62" t="s">
        <v>409</v>
      </c>
      <c r="C83" s="302"/>
      <c r="D83" s="302"/>
      <c r="E83" s="302"/>
      <c r="F83" s="302"/>
      <c r="G83" s="302"/>
      <c r="H83" s="302"/>
      <c r="I83" s="302"/>
      <c r="J83" s="302"/>
    </row>
    <row r="84" spans="2:10">
      <c r="B84" s="64"/>
      <c r="C84" s="302"/>
      <c r="D84" s="302"/>
      <c r="E84" s="302"/>
      <c r="F84" s="302"/>
      <c r="G84" s="302"/>
      <c r="H84" s="302"/>
      <c r="I84" s="302"/>
      <c r="J84" s="302"/>
    </row>
    <row r="85" spans="2:10">
      <c r="B85" s="61"/>
      <c r="C85" s="850">
        <v>2014</v>
      </c>
      <c r="D85" s="850">
        <v>2015</v>
      </c>
      <c r="E85" s="850">
        <v>2016</v>
      </c>
      <c r="F85" s="850">
        <v>2017</v>
      </c>
      <c r="G85" s="850">
        <v>2018</v>
      </c>
      <c r="H85" s="850">
        <v>2019</v>
      </c>
      <c r="I85" s="850">
        <v>2020</v>
      </c>
      <c r="J85" s="850">
        <v>2021</v>
      </c>
    </row>
    <row r="86" spans="2:10">
      <c r="B86" s="114" t="s">
        <v>262</v>
      </c>
      <c r="C86" s="302"/>
      <c r="D86" s="302"/>
      <c r="E86" s="302"/>
      <c r="F86" s="302"/>
      <c r="G86" s="302"/>
      <c r="H86" s="302"/>
      <c r="I86" s="302"/>
      <c r="J86" s="302"/>
    </row>
    <row r="87" spans="2:10">
      <c r="B87" s="186" t="s">
        <v>408</v>
      </c>
      <c r="C87" s="158">
        <v>1</v>
      </c>
      <c r="D87" s="158">
        <v>2</v>
      </c>
      <c r="E87" s="158">
        <v>2</v>
      </c>
      <c r="F87" s="158">
        <v>2</v>
      </c>
      <c r="G87" s="158">
        <v>2</v>
      </c>
      <c r="H87" s="158">
        <v>2</v>
      </c>
      <c r="I87" s="158">
        <v>2</v>
      </c>
      <c r="J87" s="158">
        <v>2</v>
      </c>
    </row>
    <row r="88" spans="2:10">
      <c r="B88" s="65" t="s">
        <v>407</v>
      </c>
      <c r="C88" s="158">
        <v>0</v>
      </c>
      <c r="D88" s="158">
        <v>0</v>
      </c>
      <c r="E88" s="158">
        <v>0</v>
      </c>
      <c r="F88" s="158">
        <v>0</v>
      </c>
      <c r="G88" s="158">
        <v>0</v>
      </c>
      <c r="H88" s="158">
        <v>0</v>
      </c>
      <c r="I88" s="158">
        <v>0</v>
      </c>
      <c r="J88" s="158">
        <v>0</v>
      </c>
    </row>
    <row r="89" spans="2:10" ht="15.5">
      <c r="B89" s="65" t="s">
        <v>1552</v>
      </c>
      <c r="C89" s="158">
        <v>0</v>
      </c>
      <c r="D89" s="158">
        <v>0</v>
      </c>
      <c r="E89" s="158">
        <v>0</v>
      </c>
      <c r="F89" s="158">
        <v>0</v>
      </c>
      <c r="G89" s="158">
        <v>0</v>
      </c>
      <c r="H89" s="158">
        <v>0</v>
      </c>
      <c r="I89" s="158">
        <v>0</v>
      </c>
      <c r="J89" s="158">
        <v>0</v>
      </c>
    </row>
    <row r="90" spans="2:10">
      <c r="B90" s="186" t="s">
        <v>401</v>
      </c>
      <c r="C90" s="306">
        <v>0</v>
      </c>
      <c r="D90" s="306">
        <v>0</v>
      </c>
      <c r="E90" s="306">
        <v>0</v>
      </c>
      <c r="F90" s="306">
        <v>0</v>
      </c>
      <c r="G90" s="306">
        <v>0</v>
      </c>
      <c r="H90" s="306">
        <v>0</v>
      </c>
      <c r="I90" s="306">
        <v>0</v>
      </c>
      <c r="J90" s="158">
        <v>0</v>
      </c>
    </row>
    <row r="91" spans="2:10">
      <c r="B91" s="186"/>
      <c r="C91" s="307"/>
      <c r="D91" s="307"/>
      <c r="E91" s="307"/>
      <c r="F91" s="307"/>
      <c r="G91" s="307"/>
      <c r="H91" s="307"/>
      <c r="I91" s="307"/>
      <c r="J91" s="158"/>
    </row>
    <row r="92" spans="2:10">
      <c r="B92" s="114" t="s">
        <v>477</v>
      </c>
      <c r="C92" s="158"/>
      <c r="D92" s="158"/>
      <c r="E92" s="158"/>
      <c r="F92" s="158"/>
      <c r="G92" s="158"/>
      <c r="H92" s="158"/>
      <c r="I92" s="158"/>
      <c r="J92" s="158"/>
    </row>
    <row r="93" spans="2:10">
      <c r="B93" s="186" t="s">
        <v>399</v>
      </c>
      <c r="C93" s="158">
        <v>0</v>
      </c>
      <c r="D93" s="158">
        <v>14</v>
      </c>
      <c r="E93" s="158">
        <v>14</v>
      </c>
      <c r="F93" s="158">
        <v>14</v>
      </c>
      <c r="G93" s="158">
        <v>14</v>
      </c>
      <c r="H93" s="158">
        <v>14</v>
      </c>
      <c r="I93" s="158">
        <v>13</v>
      </c>
      <c r="J93" s="158">
        <v>12</v>
      </c>
    </row>
    <row r="94" spans="2:10">
      <c r="B94" s="186" t="s">
        <v>408</v>
      </c>
      <c r="C94" s="323">
        <v>0</v>
      </c>
      <c r="D94" s="158">
        <v>407</v>
      </c>
      <c r="E94" s="158">
        <v>400</v>
      </c>
      <c r="F94" s="158">
        <v>383</v>
      </c>
      <c r="G94" s="158">
        <v>482</v>
      </c>
      <c r="H94" s="158">
        <v>475</v>
      </c>
      <c r="I94" s="158">
        <v>426</v>
      </c>
      <c r="J94" s="158">
        <v>422</v>
      </c>
    </row>
    <row r="95" spans="2:10">
      <c r="B95" s="186" t="s">
        <v>402</v>
      </c>
      <c r="C95" s="158">
        <v>0</v>
      </c>
      <c r="D95" s="158">
        <v>3889770</v>
      </c>
      <c r="E95" s="158">
        <v>4153037</v>
      </c>
      <c r="F95" s="158">
        <v>4273429</v>
      </c>
      <c r="G95" s="158">
        <v>4412804</v>
      </c>
      <c r="H95" s="158">
        <v>4651705</v>
      </c>
      <c r="I95" s="158">
        <v>4626162</v>
      </c>
      <c r="J95" s="158">
        <v>4925350</v>
      </c>
    </row>
    <row r="96" spans="2:10">
      <c r="B96" s="186" t="s">
        <v>401</v>
      </c>
      <c r="C96" s="306">
        <v>0</v>
      </c>
      <c r="D96" s="306">
        <v>9.2131576033599991</v>
      </c>
      <c r="E96" s="306">
        <v>8.9901542085300008</v>
      </c>
      <c r="F96" s="306">
        <v>10.072536349579901</v>
      </c>
      <c r="G96" s="306">
        <v>11.316013136885701</v>
      </c>
      <c r="H96" s="306">
        <v>12.56751005644</v>
      </c>
      <c r="I96" s="306">
        <v>14.104536438012</v>
      </c>
      <c r="J96" s="306">
        <v>14.911</v>
      </c>
    </row>
    <row r="97" spans="2:10">
      <c r="B97" s="186"/>
      <c r="C97" s="158"/>
      <c r="D97" s="158"/>
      <c r="E97" s="158"/>
      <c r="F97" s="158"/>
      <c r="G97" s="158"/>
      <c r="H97" s="158"/>
      <c r="I97" s="158"/>
      <c r="J97" s="158"/>
    </row>
    <row r="98" spans="2:10" ht="26">
      <c r="B98" s="148" t="s">
        <v>813</v>
      </c>
      <c r="C98" s="307"/>
      <c r="D98" s="307"/>
      <c r="E98" s="307"/>
      <c r="F98" s="307"/>
      <c r="G98" s="307"/>
      <c r="H98" s="307"/>
      <c r="I98" s="307"/>
      <c r="J98" s="307"/>
    </row>
    <row r="99" spans="2:10" ht="15.5">
      <c r="B99" s="186" t="s">
        <v>814</v>
      </c>
      <c r="C99" s="323">
        <v>9</v>
      </c>
      <c r="D99" s="323">
        <v>9</v>
      </c>
      <c r="E99" s="323">
        <v>9</v>
      </c>
      <c r="F99" s="323">
        <v>9</v>
      </c>
      <c r="G99" s="323">
        <v>9</v>
      </c>
      <c r="H99" s="323">
        <v>11</v>
      </c>
      <c r="I99" s="323">
        <v>11</v>
      </c>
      <c r="J99" s="323">
        <v>11</v>
      </c>
    </row>
    <row r="100" spans="2:10">
      <c r="B100" s="186" t="s">
        <v>408</v>
      </c>
      <c r="C100" s="323">
        <v>0</v>
      </c>
      <c r="D100" s="323">
        <v>0</v>
      </c>
      <c r="E100" s="323">
        <v>0</v>
      </c>
      <c r="F100" s="867">
        <v>0</v>
      </c>
      <c r="G100" s="867">
        <v>0</v>
      </c>
      <c r="H100" s="867">
        <v>0</v>
      </c>
      <c r="I100" s="867">
        <v>0</v>
      </c>
      <c r="J100" s="867">
        <v>0</v>
      </c>
    </row>
    <row r="101" spans="2:10">
      <c r="B101" s="186" t="s">
        <v>402</v>
      </c>
      <c r="C101" s="323">
        <v>0</v>
      </c>
      <c r="D101" s="323">
        <v>0</v>
      </c>
      <c r="E101" s="323">
        <v>0</v>
      </c>
      <c r="F101" s="323">
        <v>0</v>
      </c>
      <c r="G101" s="323">
        <v>0</v>
      </c>
      <c r="H101" s="323">
        <v>0</v>
      </c>
      <c r="I101" s="323">
        <v>0</v>
      </c>
      <c r="J101" s="323">
        <v>0</v>
      </c>
    </row>
    <row r="102" spans="2:10">
      <c r="B102" s="186" t="s">
        <v>401</v>
      </c>
      <c r="C102" s="867">
        <v>0</v>
      </c>
      <c r="D102" s="867">
        <v>0</v>
      </c>
      <c r="E102" s="867">
        <v>0</v>
      </c>
      <c r="F102" s="867">
        <v>0</v>
      </c>
      <c r="G102" s="867">
        <v>0</v>
      </c>
      <c r="H102" s="867">
        <v>0</v>
      </c>
      <c r="I102" s="867">
        <v>0</v>
      </c>
      <c r="J102" s="867">
        <v>0</v>
      </c>
    </row>
    <row r="103" spans="2:10">
      <c r="B103" s="186"/>
      <c r="C103" s="158"/>
      <c r="D103" s="158"/>
      <c r="E103" s="158"/>
      <c r="F103" s="158"/>
      <c r="G103" s="158"/>
      <c r="H103" s="158"/>
      <c r="I103" s="158"/>
      <c r="J103" s="158"/>
    </row>
    <row r="104" spans="2:10">
      <c r="B104" s="114" t="s">
        <v>400</v>
      </c>
      <c r="C104" s="158"/>
      <c r="D104" s="158"/>
      <c r="E104" s="158"/>
      <c r="F104" s="158"/>
      <c r="G104" s="158"/>
      <c r="H104" s="158"/>
      <c r="I104" s="158"/>
      <c r="J104" s="158"/>
    </row>
    <row r="105" spans="2:10">
      <c r="B105" s="186" t="s">
        <v>399</v>
      </c>
      <c r="C105" s="323">
        <v>0</v>
      </c>
      <c r="D105" s="323">
        <v>0</v>
      </c>
      <c r="E105" s="323">
        <v>0</v>
      </c>
      <c r="F105" s="323">
        <v>0</v>
      </c>
      <c r="G105" s="323">
        <v>1</v>
      </c>
      <c r="H105" s="158">
        <v>1</v>
      </c>
      <c r="I105" s="158">
        <v>1</v>
      </c>
      <c r="J105" s="158">
        <v>1</v>
      </c>
    </row>
    <row r="106" spans="2:10" ht="15.5">
      <c r="B106" s="186" t="s">
        <v>1553</v>
      </c>
      <c r="C106" s="323">
        <v>0</v>
      </c>
      <c r="D106" s="323">
        <v>0</v>
      </c>
      <c r="E106" s="323">
        <v>0</v>
      </c>
      <c r="F106" s="323">
        <v>0</v>
      </c>
      <c r="G106" s="867">
        <v>9.4042525700000006</v>
      </c>
      <c r="H106" s="158">
        <v>7.0455419500000005</v>
      </c>
      <c r="I106" s="158">
        <v>7.3204705833919999</v>
      </c>
      <c r="J106" s="158">
        <v>7</v>
      </c>
    </row>
    <row r="107" spans="2:10" ht="15" thickBot="1">
      <c r="B107" s="183" t="s">
        <v>395</v>
      </c>
      <c r="C107" s="323">
        <v>0</v>
      </c>
      <c r="D107" s="323">
        <v>0</v>
      </c>
      <c r="E107" s="323">
        <v>0</v>
      </c>
      <c r="F107" s="323">
        <v>0</v>
      </c>
      <c r="G107" s="1607">
        <v>0</v>
      </c>
      <c r="H107" s="1680">
        <v>0</v>
      </c>
      <c r="I107" s="1680">
        <v>0</v>
      </c>
      <c r="J107" s="1680">
        <v>0</v>
      </c>
    </row>
    <row r="108" spans="2:10" ht="15" thickTop="1">
      <c r="B108" s="2025" t="s">
        <v>1535</v>
      </c>
      <c r="C108" s="2025"/>
      <c r="D108" s="2025"/>
      <c r="E108" s="2025"/>
      <c r="F108" s="2025"/>
      <c r="G108" s="2025"/>
      <c r="H108" s="2025"/>
      <c r="I108" s="2025"/>
      <c r="J108" s="2025"/>
    </row>
    <row r="109" spans="2:10">
      <c r="B109" s="2066" t="s">
        <v>1534</v>
      </c>
      <c r="C109" s="2066"/>
      <c r="D109" s="2066"/>
      <c r="E109" s="2066"/>
      <c r="F109" s="2066"/>
      <c r="G109" s="2066"/>
      <c r="H109" s="2066"/>
      <c r="I109" s="2066"/>
      <c r="J109" s="2066"/>
    </row>
    <row r="110" spans="2:10">
      <c r="B110" s="64"/>
      <c r="C110" s="302"/>
      <c r="D110" s="302"/>
      <c r="E110" s="302"/>
      <c r="F110" s="302"/>
      <c r="G110" s="302"/>
      <c r="H110" s="302"/>
      <c r="I110" s="302"/>
      <c r="J110" s="302"/>
    </row>
    <row r="111" spans="2:10">
      <c r="B111" s="2097" t="s">
        <v>393</v>
      </c>
      <c r="C111" s="2097"/>
      <c r="D111" s="2097"/>
      <c r="E111" s="2097"/>
      <c r="F111" s="2097"/>
      <c r="G111" s="2097"/>
      <c r="H111" s="2097"/>
      <c r="I111" s="2097"/>
      <c r="J111" s="2097"/>
    </row>
    <row r="112" spans="2:10">
      <c r="B112" s="12" t="s">
        <v>392</v>
      </c>
      <c r="C112" s="302"/>
      <c r="D112" s="302"/>
      <c r="E112" s="302"/>
      <c r="F112" s="302"/>
      <c r="G112" s="302"/>
      <c r="H112" s="302"/>
      <c r="I112" s="302"/>
      <c r="J112" s="302"/>
    </row>
    <row r="113" spans="2:12">
      <c r="B113" s="62" t="s">
        <v>269</v>
      </c>
      <c r="C113" s="302"/>
      <c r="D113" s="302"/>
      <c r="E113" s="302"/>
      <c r="F113" s="302"/>
      <c r="G113" s="302"/>
      <c r="H113" s="302"/>
      <c r="I113" s="302"/>
      <c r="J113" s="302"/>
    </row>
    <row r="114" spans="2:12">
      <c r="B114" s="64"/>
      <c r="C114" s="302"/>
      <c r="D114" s="302"/>
      <c r="E114" s="302"/>
      <c r="F114" s="302"/>
      <c r="G114" s="302"/>
      <c r="H114" s="302"/>
      <c r="I114" s="302"/>
      <c r="J114" s="302"/>
    </row>
    <row r="115" spans="2:12">
      <c r="B115" s="61"/>
      <c r="C115" s="850">
        <v>2014</v>
      </c>
      <c r="D115" s="850">
        <v>2015</v>
      </c>
      <c r="E115" s="850">
        <v>2016</v>
      </c>
      <c r="F115" s="850">
        <v>2017</v>
      </c>
      <c r="G115" s="850">
        <v>2018</v>
      </c>
      <c r="H115" s="850">
        <v>2019</v>
      </c>
      <c r="I115" s="850">
        <v>2020</v>
      </c>
      <c r="J115" s="850">
        <v>2021</v>
      </c>
    </row>
    <row r="116" spans="2:12">
      <c r="B116" s="179" t="s">
        <v>391</v>
      </c>
      <c r="C116" s="302"/>
      <c r="D116" s="302"/>
      <c r="E116" s="302"/>
      <c r="F116" s="302"/>
      <c r="G116" s="302"/>
      <c r="H116" s="302"/>
      <c r="I116" s="302"/>
      <c r="J116" s="302"/>
    </row>
    <row r="117" spans="2:12">
      <c r="B117" s="149" t="s">
        <v>390</v>
      </c>
      <c r="C117" s="158">
        <v>0</v>
      </c>
      <c r="D117" s="158">
        <v>0</v>
      </c>
      <c r="E117" s="158">
        <v>0</v>
      </c>
      <c r="F117" s="158">
        <v>0</v>
      </c>
      <c r="G117" s="158">
        <v>0</v>
      </c>
      <c r="H117" s="158">
        <v>0</v>
      </c>
      <c r="I117" s="158">
        <v>0</v>
      </c>
      <c r="J117" s="158">
        <v>0</v>
      </c>
    </row>
    <row r="118" spans="2:12">
      <c r="B118" s="149" t="s">
        <v>1425</v>
      </c>
      <c r="C118" s="158">
        <v>0</v>
      </c>
      <c r="D118" s="158">
        <v>1708047</v>
      </c>
      <c r="E118" s="158">
        <v>1877295</v>
      </c>
      <c r="F118" s="158">
        <v>1910242</v>
      </c>
      <c r="G118" s="158">
        <v>2041457</v>
      </c>
      <c r="H118" s="158">
        <v>2135350</v>
      </c>
      <c r="I118" s="158">
        <v>2093845</v>
      </c>
      <c r="J118" s="158">
        <v>2390406</v>
      </c>
    </row>
    <row r="119" spans="2:12">
      <c r="B119" s="149" t="s">
        <v>388</v>
      </c>
      <c r="C119" s="158">
        <v>0</v>
      </c>
      <c r="D119" s="158">
        <v>0</v>
      </c>
      <c r="E119" s="158">
        <v>0</v>
      </c>
      <c r="F119" s="158">
        <v>0</v>
      </c>
      <c r="G119" s="158">
        <v>0</v>
      </c>
      <c r="H119" s="158">
        <v>0</v>
      </c>
      <c r="I119" s="158">
        <v>0</v>
      </c>
      <c r="J119" s="158">
        <v>0</v>
      </c>
    </row>
    <row r="120" spans="2:12">
      <c r="B120" s="149" t="s">
        <v>387</v>
      </c>
      <c r="C120" s="158">
        <v>0</v>
      </c>
      <c r="D120" s="158">
        <v>765595</v>
      </c>
      <c r="E120" s="158">
        <v>852923</v>
      </c>
      <c r="F120" s="158">
        <v>900240</v>
      </c>
      <c r="G120" s="158">
        <v>953470</v>
      </c>
      <c r="H120" s="158">
        <v>1054146</v>
      </c>
      <c r="I120" s="158">
        <v>992156</v>
      </c>
      <c r="J120" s="158">
        <v>996348</v>
      </c>
    </row>
    <row r="121" spans="2:12">
      <c r="B121" s="149" t="s">
        <v>386</v>
      </c>
      <c r="C121" s="158">
        <v>0</v>
      </c>
      <c r="D121" s="158">
        <v>0</v>
      </c>
      <c r="E121" s="158">
        <v>0</v>
      </c>
      <c r="F121" s="158">
        <v>0</v>
      </c>
      <c r="G121" s="158">
        <v>0</v>
      </c>
      <c r="H121" s="158">
        <v>0</v>
      </c>
      <c r="I121" s="158">
        <v>0</v>
      </c>
      <c r="J121" s="158">
        <v>0</v>
      </c>
    </row>
    <row r="122" spans="2:12" ht="26">
      <c r="B122" s="147" t="s">
        <v>385</v>
      </c>
      <c r="C122" s="158">
        <v>0</v>
      </c>
      <c r="D122" s="158">
        <v>0</v>
      </c>
      <c r="E122" s="158">
        <v>0</v>
      </c>
      <c r="F122" s="158">
        <v>0</v>
      </c>
      <c r="G122" s="158">
        <v>0</v>
      </c>
      <c r="H122" s="158">
        <v>0</v>
      </c>
      <c r="I122" s="158">
        <v>0</v>
      </c>
      <c r="J122" s="158">
        <v>0</v>
      </c>
    </row>
    <row r="123" spans="2:12">
      <c r="B123" s="54" t="s">
        <v>384</v>
      </c>
      <c r="C123" s="158">
        <v>0</v>
      </c>
      <c r="D123" s="158">
        <v>2473642</v>
      </c>
      <c r="E123" s="1681">
        <v>2730218</v>
      </c>
      <c r="F123" s="1681">
        <v>2810482</v>
      </c>
      <c r="G123" s="1681">
        <v>2994927</v>
      </c>
      <c r="H123" s="1681">
        <v>3189496</v>
      </c>
      <c r="I123" s="1681">
        <v>3086001</v>
      </c>
      <c r="J123" s="1681">
        <f>+J120+J118</f>
        <v>3386754</v>
      </c>
      <c r="L123" s="974"/>
    </row>
    <row r="124" spans="2:12" ht="26">
      <c r="B124" s="147" t="s">
        <v>383</v>
      </c>
      <c r="C124" s="158">
        <v>0</v>
      </c>
      <c r="D124" s="158">
        <v>0</v>
      </c>
      <c r="E124" s="158">
        <v>0</v>
      </c>
      <c r="F124" s="158">
        <v>0</v>
      </c>
      <c r="G124" s="158">
        <v>0</v>
      </c>
      <c r="H124" s="158">
        <v>0</v>
      </c>
      <c r="I124" s="158">
        <v>0</v>
      </c>
      <c r="J124" s="158">
        <v>0</v>
      </c>
    </row>
    <row r="125" spans="2:12">
      <c r="B125" s="149" t="s">
        <v>382</v>
      </c>
      <c r="C125" s="158">
        <v>0</v>
      </c>
      <c r="D125" s="158">
        <v>0</v>
      </c>
      <c r="E125" s="158">
        <v>0</v>
      </c>
      <c r="F125" s="158">
        <v>0</v>
      </c>
      <c r="G125" s="158">
        <v>0</v>
      </c>
      <c r="H125" s="158">
        <v>0</v>
      </c>
      <c r="I125" s="158">
        <v>0</v>
      </c>
      <c r="J125" s="158">
        <v>0</v>
      </c>
    </row>
    <row r="126" spans="2:12">
      <c r="B126" s="149"/>
      <c r="C126" s="158"/>
      <c r="D126" s="158"/>
      <c r="E126" s="158"/>
      <c r="F126" s="158"/>
      <c r="G126" s="158"/>
      <c r="H126" s="158"/>
      <c r="I126" s="158"/>
      <c r="J126" s="158"/>
    </row>
    <row r="127" spans="2:12">
      <c r="B127" s="175" t="s">
        <v>381</v>
      </c>
      <c r="C127" s="158"/>
      <c r="D127" s="158"/>
      <c r="E127" s="158"/>
      <c r="F127" s="158"/>
      <c r="G127" s="158"/>
      <c r="H127" s="158"/>
      <c r="I127" s="158"/>
      <c r="J127" s="158"/>
    </row>
    <row r="128" spans="2:12">
      <c r="B128" s="149" t="s">
        <v>1554</v>
      </c>
      <c r="C128" s="996">
        <v>1631</v>
      </c>
      <c r="D128" s="996">
        <v>1449</v>
      </c>
      <c r="E128" s="996">
        <v>1510</v>
      </c>
      <c r="F128" s="996">
        <v>1590</v>
      </c>
      <c r="G128" s="996">
        <v>1649</v>
      </c>
      <c r="H128" s="996">
        <v>1684</v>
      </c>
      <c r="I128" s="996">
        <v>1739</v>
      </c>
      <c r="J128" s="996">
        <v>1739</v>
      </c>
    </row>
    <row r="129" spans="2:10">
      <c r="B129" s="172" t="s">
        <v>379</v>
      </c>
      <c r="C129" s="996"/>
      <c r="D129" s="996"/>
      <c r="E129" s="996"/>
      <c r="F129" s="996"/>
      <c r="G129" s="996"/>
      <c r="H129" s="996"/>
      <c r="I129" s="996"/>
      <c r="J129" s="996"/>
    </row>
    <row r="130" spans="2:10">
      <c r="B130" s="168" t="s">
        <v>378</v>
      </c>
      <c r="C130" s="158">
        <v>1631</v>
      </c>
      <c r="D130" s="158">
        <v>1449</v>
      </c>
      <c r="E130" s="158">
        <v>1510</v>
      </c>
      <c r="F130" s="158">
        <v>1590</v>
      </c>
      <c r="G130" s="158">
        <v>1649</v>
      </c>
      <c r="H130" s="158">
        <v>1684</v>
      </c>
      <c r="I130" s="158">
        <v>1739</v>
      </c>
      <c r="J130" s="158">
        <v>1739</v>
      </c>
    </row>
    <row r="131" spans="2:10">
      <c r="B131" s="168" t="s">
        <v>377</v>
      </c>
      <c r="C131" s="867">
        <v>0</v>
      </c>
      <c r="D131" s="867">
        <v>0</v>
      </c>
      <c r="E131" s="867">
        <v>0</v>
      </c>
      <c r="F131" s="867">
        <v>0</v>
      </c>
      <c r="G131" s="867">
        <v>0</v>
      </c>
      <c r="H131" s="867">
        <v>0</v>
      </c>
      <c r="I131" s="867">
        <v>0</v>
      </c>
      <c r="J131" s="867">
        <v>0</v>
      </c>
    </row>
    <row r="132" spans="2:10">
      <c r="B132" s="149" t="s">
        <v>376</v>
      </c>
      <c r="C132" s="323">
        <v>12</v>
      </c>
      <c r="D132" s="323">
        <v>12</v>
      </c>
      <c r="E132" s="323">
        <v>12</v>
      </c>
      <c r="F132" s="323">
        <v>12</v>
      </c>
      <c r="G132" s="323">
        <v>12</v>
      </c>
      <c r="H132" s="323">
        <v>12</v>
      </c>
      <c r="I132" s="323">
        <v>12</v>
      </c>
      <c r="J132" s="323">
        <v>12</v>
      </c>
    </row>
    <row r="133" spans="2:10">
      <c r="B133" s="149"/>
      <c r="C133" s="158"/>
      <c r="D133" s="158"/>
      <c r="E133" s="158"/>
      <c r="F133" s="158"/>
      <c r="G133" s="158"/>
      <c r="H133" s="158"/>
      <c r="I133" s="158"/>
      <c r="J133" s="158"/>
    </row>
    <row r="134" spans="2:10">
      <c r="B134" s="149" t="s">
        <v>823</v>
      </c>
      <c r="C134" s="158">
        <v>17382</v>
      </c>
      <c r="D134" s="158">
        <v>22795</v>
      </c>
      <c r="E134" s="158">
        <v>23459</v>
      </c>
      <c r="F134" s="158">
        <v>25342</v>
      </c>
      <c r="G134" s="158">
        <v>29786</v>
      </c>
      <c r="H134" s="158">
        <v>37235</v>
      </c>
      <c r="I134" s="158">
        <v>48970</v>
      </c>
      <c r="J134" s="158">
        <v>60801</v>
      </c>
    </row>
    <row r="135" spans="2:10">
      <c r="B135" s="168" t="s">
        <v>374</v>
      </c>
      <c r="C135" s="158">
        <v>0</v>
      </c>
      <c r="D135" s="158">
        <v>0</v>
      </c>
      <c r="E135" s="158">
        <v>0</v>
      </c>
      <c r="F135" s="158">
        <v>0</v>
      </c>
      <c r="G135" s="158">
        <v>0</v>
      </c>
      <c r="H135" s="158">
        <v>0</v>
      </c>
      <c r="I135" s="158">
        <v>0</v>
      </c>
      <c r="J135" s="158">
        <v>0</v>
      </c>
    </row>
    <row r="136" spans="2:10">
      <c r="B136" s="149" t="s">
        <v>478</v>
      </c>
      <c r="C136" s="867">
        <v>0</v>
      </c>
      <c r="D136" s="867">
        <v>0</v>
      </c>
      <c r="E136" s="867">
        <v>0</v>
      </c>
      <c r="F136" s="867">
        <v>0</v>
      </c>
      <c r="G136" s="867">
        <v>0</v>
      </c>
      <c r="H136" s="867">
        <v>0</v>
      </c>
      <c r="I136" s="867">
        <v>0</v>
      </c>
      <c r="J136" s="867">
        <v>0</v>
      </c>
    </row>
    <row r="137" spans="2:10">
      <c r="B137" s="165" t="s">
        <v>373</v>
      </c>
      <c r="C137" s="867">
        <v>0</v>
      </c>
      <c r="D137" s="867">
        <v>0</v>
      </c>
      <c r="E137" s="867">
        <v>0</v>
      </c>
      <c r="F137" s="867">
        <v>0</v>
      </c>
      <c r="G137" s="867">
        <v>0</v>
      </c>
      <c r="H137" s="867">
        <v>0</v>
      </c>
      <c r="I137" s="867">
        <v>0</v>
      </c>
      <c r="J137" s="867">
        <v>0</v>
      </c>
    </row>
    <row r="138" spans="2:10">
      <c r="B138" s="149" t="s">
        <v>372</v>
      </c>
      <c r="C138" s="867">
        <v>0</v>
      </c>
      <c r="D138" s="867">
        <v>0</v>
      </c>
      <c r="E138" s="867">
        <v>0</v>
      </c>
      <c r="F138" s="867">
        <v>0</v>
      </c>
      <c r="G138" s="867">
        <v>0</v>
      </c>
      <c r="H138" s="867">
        <v>0</v>
      </c>
      <c r="I138" s="867">
        <v>0</v>
      </c>
      <c r="J138" s="867">
        <v>0</v>
      </c>
    </row>
    <row r="139" spans="2:10">
      <c r="B139" s="149" t="s">
        <v>371</v>
      </c>
      <c r="C139" s="323">
        <v>0</v>
      </c>
      <c r="D139" s="323">
        <v>0</v>
      </c>
      <c r="E139" s="323">
        <v>0</v>
      </c>
      <c r="F139" s="323">
        <v>0</v>
      </c>
      <c r="G139" s="323">
        <v>0</v>
      </c>
      <c r="H139" s="323">
        <v>0</v>
      </c>
      <c r="I139" s="323">
        <v>0</v>
      </c>
      <c r="J139" s="323">
        <v>0</v>
      </c>
    </row>
    <row r="140" spans="2:10">
      <c r="B140" s="147" t="s">
        <v>370</v>
      </c>
      <c r="C140" s="323">
        <v>0</v>
      </c>
      <c r="D140" s="323">
        <v>0</v>
      </c>
      <c r="E140" s="323">
        <v>0</v>
      </c>
      <c r="F140" s="323">
        <v>0</v>
      </c>
      <c r="G140" s="323">
        <v>0</v>
      </c>
      <c r="H140" s="323">
        <v>0</v>
      </c>
      <c r="I140" s="323">
        <v>0</v>
      </c>
      <c r="J140" s="323">
        <v>0</v>
      </c>
    </row>
    <row r="141" spans="2:10" ht="15" thickBot="1">
      <c r="B141" s="209" t="s">
        <v>369</v>
      </c>
      <c r="C141" s="867">
        <v>0</v>
      </c>
      <c r="D141" s="867">
        <v>0</v>
      </c>
      <c r="E141" s="867">
        <v>0</v>
      </c>
      <c r="F141" s="867">
        <v>0</v>
      </c>
      <c r="G141" s="867">
        <v>0</v>
      </c>
      <c r="H141" s="867">
        <v>0</v>
      </c>
      <c r="I141" s="867">
        <v>0</v>
      </c>
      <c r="J141" s="867">
        <v>0</v>
      </c>
    </row>
    <row r="142" spans="2:10" ht="24" customHeight="1" thickTop="1">
      <c r="B142" s="2025" t="s">
        <v>1535</v>
      </c>
      <c r="C142" s="2025"/>
      <c r="D142" s="2025"/>
      <c r="E142" s="2025"/>
      <c r="F142" s="2025"/>
      <c r="G142" s="2025"/>
      <c r="H142" s="2025"/>
      <c r="I142" s="2025"/>
      <c r="J142" s="2025"/>
    </row>
    <row r="143" spans="2:10" ht="24" customHeight="1">
      <c r="B143" s="2066" t="s">
        <v>1555</v>
      </c>
      <c r="C143" s="2066"/>
      <c r="D143" s="2066"/>
      <c r="E143" s="2066"/>
      <c r="F143" s="2066"/>
      <c r="G143" s="2066"/>
      <c r="H143" s="2066"/>
      <c r="I143" s="2066"/>
      <c r="J143" s="2066"/>
    </row>
    <row r="144" spans="2:10">
      <c r="B144" s="64"/>
      <c r="C144" s="302"/>
      <c r="D144" s="302"/>
      <c r="E144" s="302"/>
      <c r="F144" s="302"/>
      <c r="G144" s="302"/>
      <c r="H144" s="302"/>
      <c r="I144" s="302"/>
      <c r="J144" s="302"/>
    </row>
    <row r="145" spans="2:10">
      <c r="B145" s="2097" t="s">
        <v>367</v>
      </c>
      <c r="C145" s="2097"/>
      <c r="D145" s="2097"/>
      <c r="E145" s="2097"/>
      <c r="F145" s="2097"/>
      <c r="G145" s="2097"/>
      <c r="H145" s="2097"/>
      <c r="I145" s="2097"/>
      <c r="J145" s="2097"/>
    </row>
    <row r="147" spans="2:10">
      <c r="B147" s="62" t="s">
        <v>210</v>
      </c>
      <c r="C147" s="302"/>
      <c r="D147" s="302"/>
      <c r="E147" s="302"/>
      <c r="F147" s="302"/>
      <c r="G147" s="302"/>
      <c r="H147" s="302"/>
      <c r="I147" s="302"/>
      <c r="J147" s="302"/>
    </row>
    <row r="148" spans="2:10">
      <c r="B148" s="64"/>
      <c r="C148" s="302"/>
      <c r="D148" s="302"/>
      <c r="E148" s="302"/>
      <c r="F148" s="302"/>
      <c r="G148" s="302"/>
      <c r="H148" s="302"/>
      <c r="I148" s="302"/>
      <c r="J148" s="302"/>
    </row>
    <row r="149" spans="2:10">
      <c r="B149" s="61"/>
      <c r="C149" s="850">
        <v>2014</v>
      </c>
      <c r="D149" s="850">
        <v>2015</v>
      </c>
      <c r="E149" s="850">
        <v>2016</v>
      </c>
      <c r="F149" s="850">
        <v>2017</v>
      </c>
      <c r="G149" s="850">
        <v>2018</v>
      </c>
      <c r="H149" s="850">
        <v>2019</v>
      </c>
      <c r="I149" s="850">
        <v>2020</v>
      </c>
      <c r="J149" s="850">
        <v>2021</v>
      </c>
    </row>
    <row r="150" spans="2:10">
      <c r="B150" s="114" t="s">
        <v>362</v>
      </c>
      <c r="C150" s="302"/>
      <c r="D150" s="302"/>
      <c r="E150" s="302"/>
      <c r="F150" s="302"/>
      <c r="G150" s="302"/>
      <c r="H150" s="302"/>
      <c r="I150" s="302"/>
      <c r="J150" s="302"/>
    </row>
    <row r="151" spans="2:10">
      <c r="B151" s="545" t="s">
        <v>361</v>
      </c>
      <c r="C151" s="306">
        <v>0</v>
      </c>
      <c r="D151" s="1682">
        <f>D152+D153</f>
        <v>13409.675999999999</v>
      </c>
      <c r="E151" s="1682">
        <f t="shared" ref="E151:I151" si="0">E152+E153</f>
        <v>18639.32</v>
      </c>
      <c r="F151" s="1682">
        <f t="shared" si="0"/>
        <v>16705.794580416183</v>
      </c>
      <c r="G151" s="1682">
        <f t="shared" si="0"/>
        <v>17977.640312600775</v>
      </c>
      <c r="H151" s="1682">
        <f t="shared" si="0"/>
        <v>28516.296999999999</v>
      </c>
      <c r="I151" s="1682">
        <f t="shared" si="0"/>
        <v>32946.660000000003</v>
      </c>
      <c r="J151" s="1682">
        <f>+J152+J153</f>
        <v>42588.781999999999</v>
      </c>
    </row>
    <row r="152" spans="2:10" ht="15">
      <c r="B152" s="1683" t="s">
        <v>1556</v>
      </c>
      <c r="C152" s="306">
        <v>0</v>
      </c>
      <c r="D152" s="306">
        <v>147.71199999999999</v>
      </c>
      <c r="E152" s="306">
        <v>217.7</v>
      </c>
      <c r="F152" s="306">
        <v>163.96899999999999</v>
      </c>
      <c r="G152" s="306">
        <v>208.8775</v>
      </c>
      <c r="H152" s="306">
        <v>140.08699999999999</v>
      </c>
      <c r="I152" s="306">
        <v>276.77999999999997</v>
      </c>
      <c r="J152" s="306">
        <v>84.762</v>
      </c>
    </row>
    <row r="153" spans="2:10" ht="15">
      <c r="B153" s="1683" t="s">
        <v>1557</v>
      </c>
      <c r="C153" s="306">
        <v>0</v>
      </c>
      <c r="D153" s="306">
        <v>13261.964</v>
      </c>
      <c r="E153" s="306">
        <v>18421.62</v>
      </c>
      <c r="F153" s="306">
        <v>16541.825580416182</v>
      </c>
      <c r="G153" s="306">
        <v>17768.762812600777</v>
      </c>
      <c r="H153" s="306">
        <v>28376.21</v>
      </c>
      <c r="I153" s="306">
        <v>32669.88</v>
      </c>
      <c r="J153" s="306">
        <v>42504.02</v>
      </c>
    </row>
    <row r="154" spans="2:10">
      <c r="B154" s="1684" t="s">
        <v>358</v>
      </c>
      <c r="C154" s="306">
        <v>0</v>
      </c>
      <c r="D154" s="306">
        <v>2621.76467</v>
      </c>
      <c r="E154" s="306">
        <v>2756.31</v>
      </c>
      <c r="F154" s="306">
        <v>2742.06</v>
      </c>
      <c r="G154" s="306">
        <v>1700.07</v>
      </c>
      <c r="H154" s="306">
        <v>2648.85</v>
      </c>
      <c r="I154" s="306">
        <v>3072.9110000000001</v>
      </c>
      <c r="J154" s="306">
        <v>2221.25</v>
      </c>
    </row>
    <row r="155" spans="2:10">
      <c r="B155" s="545" t="s">
        <v>1437</v>
      </c>
      <c r="C155" s="306"/>
      <c r="D155" s="1682">
        <f>D156+D158</f>
        <v>39921.607000000004</v>
      </c>
      <c r="E155" s="1682">
        <f t="shared" ref="E155:I155" si="1">E156+E158</f>
        <v>51617.36</v>
      </c>
      <c r="F155" s="1682">
        <f t="shared" si="1"/>
        <v>57408.240000000005</v>
      </c>
      <c r="G155" s="1682">
        <f t="shared" si="1"/>
        <v>62223.33</v>
      </c>
      <c r="H155" s="1682">
        <f t="shared" si="1"/>
        <v>70907.350000000006</v>
      </c>
      <c r="I155" s="1682">
        <f t="shared" si="1"/>
        <v>65176.679999999993</v>
      </c>
      <c r="J155" s="1682">
        <f>+J156+J158</f>
        <v>69151.06</v>
      </c>
    </row>
    <row r="156" spans="2:10">
      <c r="B156" s="1683" t="s">
        <v>356</v>
      </c>
      <c r="C156" s="306">
        <v>0</v>
      </c>
      <c r="D156" s="306">
        <v>18174.897000000001</v>
      </c>
      <c r="E156" s="306">
        <v>24240.68</v>
      </c>
      <c r="F156" s="306">
        <v>26310.18</v>
      </c>
      <c r="G156" s="306">
        <v>28566.6</v>
      </c>
      <c r="H156" s="306">
        <v>33465.79</v>
      </c>
      <c r="I156" s="306">
        <v>33769.629999999997</v>
      </c>
      <c r="J156" s="306">
        <v>36114.720000000001</v>
      </c>
    </row>
    <row r="157" spans="2:10" ht="26">
      <c r="B157" s="1683" t="s">
        <v>355</v>
      </c>
      <c r="C157" s="306"/>
      <c r="D157" s="306"/>
      <c r="E157" s="306"/>
      <c r="F157" s="306"/>
      <c r="G157" s="306"/>
      <c r="H157" s="306"/>
      <c r="I157" s="306"/>
      <c r="J157" s="306"/>
    </row>
    <row r="158" spans="2:10">
      <c r="B158" s="1683" t="s">
        <v>354</v>
      </c>
      <c r="C158" s="306">
        <v>0</v>
      </c>
      <c r="D158" s="306">
        <v>21746.71</v>
      </c>
      <c r="E158" s="306">
        <v>27376.68</v>
      </c>
      <c r="F158" s="306">
        <v>31098.06</v>
      </c>
      <c r="G158" s="306">
        <v>33656.730000000003</v>
      </c>
      <c r="H158" s="306">
        <v>37441.56</v>
      </c>
      <c r="I158" s="306">
        <v>31407.05</v>
      </c>
      <c r="J158" s="306">
        <v>33036.339999999997</v>
      </c>
    </row>
    <row r="159" spans="2:10">
      <c r="B159" s="545" t="s">
        <v>1558</v>
      </c>
      <c r="C159" s="306"/>
      <c r="D159" s="306"/>
      <c r="E159" s="306"/>
      <c r="F159" s="306"/>
      <c r="G159" s="306"/>
      <c r="H159" s="306"/>
      <c r="I159" s="306"/>
      <c r="J159" s="306"/>
    </row>
    <row r="160" spans="2:10">
      <c r="B160" s="545" t="s">
        <v>353</v>
      </c>
      <c r="C160" s="306">
        <v>0</v>
      </c>
      <c r="D160" s="1682">
        <v>14914.743</v>
      </c>
      <c r="E160" s="1682">
        <v>16776.500666666667</v>
      </c>
      <c r="F160" s="1682">
        <v>15676.955</v>
      </c>
      <c r="G160" s="1682">
        <v>14658.415499999999</v>
      </c>
      <c r="H160" s="1682">
        <v>13957.5265</v>
      </c>
      <c r="I160" s="1682">
        <v>9258.5789999999997</v>
      </c>
      <c r="J160" s="1682">
        <v>9005.4699999999993</v>
      </c>
    </row>
    <row r="161" spans="2:13">
      <c r="B161" s="1685" t="s">
        <v>352</v>
      </c>
      <c r="C161" s="306"/>
      <c r="D161" s="306"/>
      <c r="E161" s="306"/>
      <c r="F161" s="306"/>
      <c r="G161" s="306"/>
      <c r="H161" s="306"/>
      <c r="I161" s="306"/>
      <c r="J161" s="306"/>
    </row>
    <row r="162" spans="2:13">
      <c r="B162" s="1685" t="s">
        <v>351</v>
      </c>
      <c r="C162" s="306"/>
      <c r="D162" s="306"/>
      <c r="E162" s="306"/>
      <c r="F162" s="306"/>
      <c r="G162" s="306"/>
      <c r="H162" s="306"/>
      <c r="I162" s="306"/>
      <c r="J162" s="306"/>
    </row>
    <row r="163" spans="2:13">
      <c r="B163" s="545" t="s">
        <v>1559</v>
      </c>
      <c r="C163" s="306">
        <v>0</v>
      </c>
      <c r="D163" s="306">
        <v>461.01600000000002</v>
      </c>
      <c r="E163" s="306">
        <v>1879.68</v>
      </c>
      <c r="F163" s="306">
        <v>1272.125</v>
      </c>
      <c r="G163" s="306">
        <v>2962.85</v>
      </c>
      <c r="H163" s="306">
        <v>3670.056</v>
      </c>
      <c r="I163" s="306">
        <v>0</v>
      </c>
      <c r="J163" s="306">
        <v>0</v>
      </c>
    </row>
    <row r="164" spans="2:13">
      <c r="B164" s="545"/>
      <c r="C164" s="439"/>
      <c r="D164" s="439"/>
      <c r="E164" s="439"/>
      <c r="F164" s="439"/>
      <c r="G164" s="439"/>
      <c r="H164" s="439"/>
      <c r="I164" s="439"/>
      <c r="J164" s="439"/>
    </row>
    <row r="165" spans="2:13" ht="25">
      <c r="B165" s="545" t="s">
        <v>365</v>
      </c>
      <c r="C165" s="306">
        <v>0</v>
      </c>
      <c r="D165" s="306">
        <f>D151+D154+D155+D160+D163</f>
        <v>71328.806670000005</v>
      </c>
      <c r="E165" s="306">
        <f t="shared" ref="E165:H165" si="2">E151+E154+E155+E160+E163</f>
        <v>91669.170666666672</v>
      </c>
      <c r="F165" s="306">
        <f t="shared" si="2"/>
        <v>93805.174580416191</v>
      </c>
      <c r="G165" s="306">
        <f t="shared" si="2"/>
        <v>99522.305812600782</v>
      </c>
      <c r="H165" s="306">
        <f t="shared" si="2"/>
        <v>119700.07950000001</v>
      </c>
      <c r="I165" s="306">
        <f>I151+I154+I155+I160+IF(ISNUMBER(I163),I163,0)</f>
        <v>110454.82999999999</v>
      </c>
      <c r="J165" s="306">
        <f>J151+J154+J155+J160+IF(ISNUMBER(J163),J163,0)</f>
        <v>122966.56200000001</v>
      </c>
      <c r="L165" s="975"/>
      <c r="M165" s="976"/>
    </row>
    <row r="166" spans="2:13">
      <c r="B166" s="1567" t="s">
        <v>348</v>
      </c>
      <c r="C166" s="306"/>
      <c r="D166" s="306"/>
      <c r="E166" s="306"/>
      <c r="F166" s="306"/>
      <c r="G166" s="306"/>
      <c r="H166" s="306"/>
      <c r="I166" s="306"/>
      <c r="J166" s="306"/>
    </row>
    <row r="167" spans="2:13">
      <c r="B167" s="1567"/>
      <c r="C167" s="986"/>
      <c r="D167" s="986"/>
      <c r="E167" s="986"/>
      <c r="F167" s="986"/>
      <c r="G167" s="200"/>
      <c r="H167" s="986"/>
      <c r="I167" s="986"/>
      <c r="J167" s="986"/>
    </row>
    <row r="168" spans="2:13">
      <c r="B168" s="545" t="s">
        <v>347</v>
      </c>
      <c r="C168" s="986">
        <v>0</v>
      </c>
      <c r="D168" s="986">
        <v>0</v>
      </c>
      <c r="E168" s="986">
        <v>0</v>
      </c>
      <c r="F168" s="986">
        <v>0</v>
      </c>
      <c r="G168" s="986">
        <v>0</v>
      </c>
      <c r="H168" s="986">
        <v>0</v>
      </c>
      <c r="I168" s="986">
        <v>0</v>
      </c>
      <c r="J168" s="986">
        <v>0</v>
      </c>
    </row>
    <row r="169" spans="2:13">
      <c r="B169" s="545"/>
      <c r="C169" s="306"/>
      <c r="D169" s="306"/>
      <c r="E169" s="306"/>
      <c r="F169" s="306"/>
      <c r="G169" s="306"/>
      <c r="H169" s="306"/>
      <c r="I169" s="306"/>
      <c r="J169" s="306"/>
    </row>
    <row r="170" spans="2:13">
      <c r="B170" s="1686" t="s">
        <v>346</v>
      </c>
      <c r="C170" s="306"/>
      <c r="D170" s="306"/>
      <c r="E170" s="306"/>
      <c r="F170" s="306"/>
      <c r="G170" s="306"/>
      <c r="H170" s="306"/>
      <c r="I170" s="306"/>
      <c r="J170" s="306"/>
    </row>
    <row r="171" spans="2:13">
      <c r="B171" s="545" t="s">
        <v>342</v>
      </c>
      <c r="C171" s="306"/>
      <c r="D171" s="306"/>
      <c r="E171" s="306"/>
      <c r="F171" s="306"/>
      <c r="G171" s="306"/>
      <c r="H171" s="306"/>
      <c r="I171" s="306"/>
      <c r="J171" s="306"/>
    </row>
    <row r="172" spans="2:13">
      <c r="B172" s="1567" t="s">
        <v>341</v>
      </c>
      <c r="C172" s="306">
        <v>0</v>
      </c>
      <c r="D172" s="306">
        <v>38679.769999999997</v>
      </c>
      <c r="E172" s="306">
        <v>46812.97</v>
      </c>
      <c r="F172" s="306">
        <v>46148.53</v>
      </c>
      <c r="G172" s="306">
        <v>47824.29</v>
      </c>
      <c r="H172" s="306">
        <v>48401.57</v>
      </c>
      <c r="I172" s="306">
        <v>46921.296999999999</v>
      </c>
      <c r="J172" s="306">
        <v>54482</v>
      </c>
    </row>
    <row r="173" spans="2:13">
      <c r="B173" s="1567" t="s">
        <v>340</v>
      </c>
      <c r="C173" s="306"/>
      <c r="D173" s="306"/>
      <c r="E173" s="321"/>
      <c r="F173" s="321"/>
      <c r="G173" s="321"/>
      <c r="H173" s="321"/>
    </row>
    <row r="174" spans="2:13">
      <c r="B174" s="545" t="s">
        <v>339</v>
      </c>
      <c r="C174" s="306">
        <v>0</v>
      </c>
      <c r="D174" s="306">
        <v>14284.511</v>
      </c>
      <c r="E174" s="306">
        <v>51211.281000000003</v>
      </c>
      <c r="F174" s="306">
        <v>55076.551220000001</v>
      </c>
      <c r="G174" s="306">
        <v>60304.572999999997</v>
      </c>
      <c r="H174" s="306">
        <v>67177.813966666668</v>
      </c>
      <c r="I174" s="306">
        <v>58458.112999999998</v>
      </c>
      <c r="J174" s="306">
        <v>86644</v>
      </c>
    </row>
    <row r="175" spans="2:13">
      <c r="B175" s="545" t="s">
        <v>338</v>
      </c>
      <c r="C175" s="306"/>
      <c r="D175" s="306"/>
      <c r="E175" s="306"/>
      <c r="F175" s="306"/>
      <c r="G175" s="306"/>
      <c r="H175" s="306"/>
      <c r="I175" s="306"/>
      <c r="J175" s="306"/>
    </row>
    <row r="176" spans="2:13">
      <c r="B176" s="1567" t="s">
        <v>337</v>
      </c>
      <c r="C176" s="306">
        <v>0</v>
      </c>
      <c r="D176" s="306">
        <v>0</v>
      </c>
      <c r="E176" s="306">
        <v>0</v>
      </c>
      <c r="F176" s="306">
        <v>0</v>
      </c>
      <c r="G176" s="306">
        <v>0</v>
      </c>
      <c r="H176" s="306">
        <v>0</v>
      </c>
      <c r="I176" s="306">
        <v>0</v>
      </c>
      <c r="J176" s="306">
        <v>0</v>
      </c>
    </row>
    <row r="177" spans="2:10">
      <c r="B177" s="1567" t="s">
        <v>336</v>
      </c>
      <c r="C177" s="306">
        <v>0</v>
      </c>
      <c r="D177" s="306">
        <v>0</v>
      </c>
      <c r="E177" s="306">
        <v>0</v>
      </c>
      <c r="F177" s="306">
        <v>0</v>
      </c>
      <c r="G177" s="306">
        <v>0</v>
      </c>
      <c r="H177" s="306">
        <v>0</v>
      </c>
      <c r="I177" s="306">
        <v>0</v>
      </c>
      <c r="J177" s="306">
        <v>0</v>
      </c>
    </row>
    <row r="178" spans="2:10">
      <c r="B178" s="1567" t="s">
        <v>335</v>
      </c>
      <c r="C178" s="306">
        <v>0</v>
      </c>
      <c r="D178" s="306">
        <v>0</v>
      </c>
      <c r="E178" s="306">
        <v>0</v>
      </c>
      <c r="F178" s="306">
        <v>0</v>
      </c>
      <c r="G178" s="306">
        <v>0</v>
      </c>
      <c r="H178" s="306">
        <v>0</v>
      </c>
      <c r="I178" s="306">
        <v>0</v>
      </c>
      <c r="J178" s="306">
        <v>0</v>
      </c>
    </row>
    <row r="179" spans="2:10">
      <c r="B179" s="1567"/>
      <c r="C179" s="306"/>
      <c r="D179" s="306"/>
      <c r="E179" s="306"/>
      <c r="F179" s="306"/>
      <c r="G179" s="306"/>
      <c r="H179" s="306"/>
      <c r="I179" s="306"/>
      <c r="J179" s="306"/>
    </row>
    <row r="180" spans="2:10" ht="26">
      <c r="B180" s="1687" t="s">
        <v>345</v>
      </c>
      <c r="C180" s="306">
        <v>0</v>
      </c>
      <c r="D180" s="306">
        <v>0</v>
      </c>
      <c r="E180" s="306">
        <v>0</v>
      </c>
      <c r="F180" s="306">
        <v>0</v>
      </c>
      <c r="G180" s="306">
        <v>0</v>
      </c>
      <c r="H180" s="306">
        <v>0</v>
      </c>
      <c r="I180" s="306">
        <v>0</v>
      </c>
      <c r="J180" s="306">
        <v>0</v>
      </c>
    </row>
    <row r="181" spans="2:10">
      <c r="B181" s="545" t="s">
        <v>342</v>
      </c>
      <c r="C181" s="306"/>
      <c r="D181" s="306"/>
      <c r="E181" s="306"/>
      <c r="F181" s="306"/>
      <c r="G181" s="306"/>
      <c r="H181" s="306"/>
      <c r="I181" s="306"/>
      <c r="J181" s="306"/>
    </row>
    <row r="182" spans="2:10">
      <c r="B182" s="1567" t="s">
        <v>341</v>
      </c>
      <c r="C182" s="306"/>
      <c r="D182" s="306"/>
      <c r="E182" s="306"/>
      <c r="F182" s="306"/>
      <c r="G182" s="306"/>
      <c r="H182" s="306"/>
      <c r="I182" s="306"/>
      <c r="J182" s="306"/>
    </row>
    <row r="183" spans="2:10">
      <c r="B183" s="1567" t="s">
        <v>340</v>
      </c>
      <c r="C183" s="306"/>
      <c r="D183" s="306"/>
      <c r="E183" s="306"/>
      <c r="F183" s="306"/>
      <c r="G183" s="306"/>
      <c r="H183" s="306"/>
      <c r="I183" s="306"/>
      <c r="J183" s="306"/>
    </row>
    <row r="184" spans="2:10">
      <c r="B184" s="545" t="s">
        <v>339</v>
      </c>
      <c r="C184" s="306"/>
      <c r="D184" s="306"/>
      <c r="E184" s="306"/>
      <c r="F184" s="306"/>
      <c r="G184" s="306"/>
      <c r="H184" s="306"/>
      <c r="I184" s="306"/>
      <c r="J184" s="306"/>
    </row>
    <row r="185" spans="2:10">
      <c r="B185" s="545" t="s">
        <v>338</v>
      </c>
      <c r="C185" s="306"/>
      <c r="D185" s="306"/>
      <c r="E185" s="306"/>
      <c r="F185" s="306"/>
      <c r="G185" s="306"/>
      <c r="H185" s="306"/>
      <c r="I185" s="306"/>
      <c r="J185" s="306"/>
    </row>
    <row r="186" spans="2:10">
      <c r="B186" s="1567" t="s">
        <v>337</v>
      </c>
      <c r="C186" s="306"/>
      <c r="D186" s="306"/>
      <c r="E186" s="306"/>
      <c r="F186" s="306"/>
      <c r="G186" s="306"/>
      <c r="H186" s="306"/>
      <c r="I186" s="306"/>
      <c r="J186" s="306"/>
    </row>
    <row r="187" spans="2:10">
      <c r="B187" s="1567" t="s">
        <v>336</v>
      </c>
      <c r="C187" s="306"/>
      <c r="D187" s="306"/>
      <c r="E187" s="306"/>
      <c r="F187" s="306"/>
      <c r="G187" s="306"/>
      <c r="H187" s="306"/>
      <c r="I187" s="306"/>
      <c r="J187" s="306"/>
    </row>
    <row r="188" spans="2:10">
      <c r="B188" s="1567" t="s">
        <v>335</v>
      </c>
      <c r="C188" s="306"/>
      <c r="D188" s="306"/>
      <c r="E188" s="306"/>
      <c r="F188" s="306"/>
      <c r="G188" s="306"/>
      <c r="H188" s="306"/>
      <c r="I188" s="306"/>
      <c r="J188" s="306"/>
    </row>
    <row r="189" spans="2:10">
      <c r="B189" s="1567"/>
      <c r="C189" s="306"/>
      <c r="D189" s="306"/>
      <c r="E189" s="306"/>
      <c r="F189" s="306"/>
      <c r="G189" s="306"/>
      <c r="H189" s="306"/>
      <c r="I189" s="306"/>
      <c r="J189" s="306"/>
    </row>
    <row r="190" spans="2:10" ht="26">
      <c r="B190" s="1687" t="s">
        <v>344</v>
      </c>
      <c r="C190" s="306">
        <v>0</v>
      </c>
      <c r="D190" s="306">
        <v>0</v>
      </c>
      <c r="E190" s="306">
        <v>0</v>
      </c>
      <c r="F190" s="306">
        <v>0</v>
      </c>
      <c r="G190" s="306">
        <v>0</v>
      </c>
      <c r="H190" s="306">
        <v>0</v>
      </c>
      <c r="I190" s="306">
        <v>0</v>
      </c>
      <c r="J190" s="306">
        <v>0</v>
      </c>
    </row>
    <row r="191" spans="2:10">
      <c r="B191" s="545" t="s">
        <v>342</v>
      </c>
      <c r="C191" s="306"/>
      <c r="D191" s="306"/>
      <c r="E191" s="306"/>
      <c r="F191" s="306"/>
      <c r="G191" s="306"/>
      <c r="H191" s="306"/>
      <c r="I191" s="306"/>
      <c r="J191" s="306"/>
    </row>
    <row r="192" spans="2:10">
      <c r="B192" s="1567" t="s">
        <v>341</v>
      </c>
      <c r="C192" s="306"/>
      <c r="D192" s="306"/>
      <c r="E192" s="306"/>
      <c r="F192" s="306"/>
      <c r="G192" s="306"/>
      <c r="H192" s="306"/>
      <c r="I192" s="306"/>
      <c r="J192" s="306"/>
    </row>
    <row r="193" spans="2:10">
      <c r="B193" s="1567" t="s">
        <v>340</v>
      </c>
      <c r="C193" s="306"/>
      <c r="D193" s="306"/>
      <c r="E193" s="306"/>
      <c r="F193" s="306"/>
      <c r="G193" s="306"/>
      <c r="H193" s="306"/>
      <c r="I193" s="306"/>
      <c r="J193" s="306"/>
    </row>
    <row r="194" spans="2:10">
      <c r="B194" s="545" t="s">
        <v>339</v>
      </c>
      <c r="C194" s="306"/>
      <c r="D194" s="306"/>
      <c r="E194" s="306"/>
      <c r="F194" s="306"/>
      <c r="G194" s="306"/>
      <c r="H194" s="306"/>
      <c r="I194" s="306"/>
      <c r="J194" s="306"/>
    </row>
    <row r="195" spans="2:10">
      <c r="B195" s="545" t="s">
        <v>338</v>
      </c>
      <c r="C195" s="306"/>
      <c r="D195" s="306"/>
      <c r="E195" s="306"/>
      <c r="F195" s="306"/>
      <c r="G195" s="306"/>
      <c r="H195" s="306"/>
      <c r="I195" s="306"/>
      <c r="J195" s="306"/>
    </row>
    <row r="196" spans="2:10">
      <c r="B196" s="1567" t="s">
        <v>337</v>
      </c>
      <c r="C196" s="306"/>
      <c r="D196" s="306"/>
      <c r="E196" s="306"/>
      <c r="F196" s="306"/>
      <c r="G196" s="306"/>
      <c r="H196" s="306"/>
      <c r="I196" s="306"/>
      <c r="J196" s="306"/>
    </row>
    <row r="197" spans="2:10">
      <c r="B197" s="1567" t="s">
        <v>336</v>
      </c>
      <c r="C197" s="306"/>
      <c r="D197" s="306"/>
      <c r="E197" s="306"/>
      <c r="F197" s="306"/>
      <c r="G197" s="306"/>
      <c r="H197" s="306"/>
      <c r="I197" s="306"/>
      <c r="J197" s="306"/>
    </row>
    <row r="198" spans="2:10">
      <c r="B198" s="1567" t="s">
        <v>335</v>
      </c>
      <c r="C198" s="306"/>
      <c r="D198" s="306"/>
      <c r="E198" s="306"/>
      <c r="F198" s="306"/>
      <c r="G198" s="306"/>
      <c r="H198" s="306"/>
      <c r="I198" s="306"/>
      <c r="J198" s="306"/>
    </row>
    <row r="199" spans="2:10">
      <c r="B199" s="1567"/>
      <c r="C199" s="306"/>
      <c r="D199" s="306"/>
      <c r="E199" s="306"/>
      <c r="F199" s="306"/>
      <c r="G199" s="306"/>
      <c r="H199" s="306"/>
      <c r="I199" s="306"/>
      <c r="J199" s="306"/>
    </row>
    <row r="200" spans="2:10" ht="26">
      <c r="B200" s="1687" t="s">
        <v>343</v>
      </c>
      <c r="C200" s="306">
        <v>0</v>
      </c>
      <c r="D200" s="306">
        <v>0</v>
      </c>
      <c r="E200" s="306">
        <v>0</v>
      </c>
      <c r="F200" s="306">
        <v>0</v>
      </c>
      <c r="G200" s="306">
        <v>0</v>
      </c>
      <c r="H200" s="306">
        <v>0</v>
      </c>
      <c r="I200" s="306">
        <v>0</v>
      </c>
      <c r="J200" s="306">
        <v>0</v>
      </c>
    </row>
    <row r="201" spans="2:10">
      <c r="B201" s="545" t="s">
        <v>342</v>
      </c>
      <c r="C201" s="306"/>
      <c r="D201" s="306"/>
      <c r="E201" s="306"/>
      <c r="F201" s="306"/>
      <c r="G201" s="306"/>
      <c r="H201" s="306"/>
      <c r="I201" s="306"/>
      <c r="J201" s="306"/>
    </row>
    <row r="202" spans="2:10">
      <c r="B202" s="1567" t="s">
        <v>341</v>
      </c>
      <c r="C202" s="306"/>
      <c r="D202" s="306"/>
      <c r="E202" s="306"/>
      <c r="F202" s="306"/>
      <c r="G202" s="306"/>
      <c r="H202" s="306"/>
      <c r="I202" s="306"/>
      <c r="J202" s="306"/>
    </row>
    <row r="203" spans="2:10">
      <c r="B203" s="1567" t="s">
        <v>340</v>
      </c>
      <c r="C203" s="306"/>
      <c r="D203" s="306"/>
      <c r="E203" s="306"/>
      <c r="F203" s="306"/>
      <c r="G203" s="306"/>
      <c r="H203" s="306"/>
      <c r="I203" s="306"/>
      <c r="J203" s="306"/>
    </row>
    <row r="204" spans="2:10">
      <c r="B204" s="545" t="s">
        <v>339</v>
      </c>
      <c r="C204" s="306"/>
      <c r="D204" s="306"/>
      <c r="E204" s="306"/>
      <c r="F204" s="306"/>
      <c r="G204" s="306"/>
      <c r="H204" s="306"/>
      <c r="I204" s="306"/>
      <c r="J204" s="306"/>
    </row>
    <row r="205" spans="2:10">
      <c r="B205" s="545" t="s">
        <v>338</v>
      </c>
      <c r="C205" s="306"/>
      <c r="D205" s="306"/>
      <c r="E205" s="306"/>
      <c r="F205" s="306"/>
      <c r="G205" s="306"/>
      <c r="H205" s="306"/>
      <c r="I205" s="306"/>
      <c r="J205" s="306"/>
    </row>
    <row r="206" spans="2:10">
      <c r="B206" s="1567" t="s">
        <v>337</v>
      </c>
      <c r="C206" s="306"/>
      <c r="D206" s="306"/>
      <c r="E206" s="306"/>
      <c r="F206" s="306"/>
      <c r="G206" s="306"/>
      <c r="H206" s="306"/>
      <c r="I206" s="306"/>
      <c r="J206" s="306"/>
    </row>
    <row r="207" spans="2:10">
      <c r="B207" s="1567" t="s">
        <v>336</v>
      </c>
      <c r="C207" s="306"/>
      <c r="D207" s="306"/>
      <c r="E207" s="306"/>
      <c r="F207" s="306"/>
      <c r="G207" s="306"/>
      <c r="H207" s="306"/>
      <c r="I207" s="306"/>
      <c r="J207" s="306"/>
    </row>
    <row r="208" spans="2:10" ht="15" thickBot="1">
      <c r="B208" s="1688" t="s">
        <v>335</v>
      </c>
      <c r="C208" s="306" t="s">
        <v>1560</v>
      </c>
      <c r="D208" s="306" t="s">
        <v>1560</v>
      </c>
      <c r="E208" s="306" t="s">
        <v>1560</v>
      </c>
      <c r="F208" s="306" t="s">
        <v>1560</v>
      </c>
      <c r="G208" s="306" t="s">
        <v>1560</v>
      </c>
      <c r="H208" s="306" t="s">
        <v>1560</v>
      </c>
      <c r="I208" s="306" t="s">
        <v>1560</v>
      </c>
      <c r="J208" s="306" t="s">
        <v>1560</v>
      </c>
    </row>
    <row r="209" spans="2:10" ht="15" thickTop="1">
      <c r="B209" s="2025" t="s">
        <v>1535</v>
      </c>
      <c r="C209" s="2025"/>
      <c r="D209" s="2025"/>
      <c r="E209" s="2025"/>
      <c r="F209" s="2025"/>
      <c r="G209" s="2025"/>
      <c r="H209" s="2025"/>
      <c r="I209" s="2025"/>
      <c r="J209" s="2025"/>
    </row>
    <row r="210" spans="2:10" ht="24.75" customHeight="1">
      <c r="B210" s="2119" t="s">
        <v>1561</v>
      </c>
      <c r="C210" s="2119"/>
      <c r="D210" s="2119"/>
      <c r="E210" s="2119"/>
      <c r="F210" s="2119"/>
      <c r="G210" s="2119"/>
      <c r="H210" s="2119"/>
      <c r="I210" s="2119"/>
      <c r="J210" s="2119"/>
    </row>
    <row r="211" spans="2:10">
      <c r="B211" s="69"/>
      <c r="C211" s="69"/>
      <c r="D211" s="69"/>
      <c r="E211" s="69"/>
      <c r="F211" s="69"/>
      <c r="G211" s="69"/>
      <c r="H211" s="69"/>
      <c r="I211" s="69"/>
      <c r="J211" s="69"/>
    </row>
    <row r="212" spans="2:10">
      <c r="B212" s="440"/>
      <c r="C212" s="439"/>
      <c r="D212" s="439"/>
      <c r="E212" s="439"/>
      <c r="F212" s="439"/>
      <c r="G212" s="439"/>
      <c r="H212" s="439"/>
      <c r="I212" s="439"/>
      <c r="J212" s="439"/>
    </row>
    <row r="213" spans="2:10">
      <c r="B213" s="2120" t="s">
        <v>364</v>
      </c>
      <c r="C213" s="2120"/>
      <c r="D213" s="2120"/>
      <c r="E213" s="2120"/>
      <c r="F213" s="2120"/>
      <c r="G213" s="2120"/>
      <c r="H213" s="2120"/>
      <c r="I213" s="2120"/>
      <c r="J213" s="2120"/>
    </row>
    <row r="214" spans="2:10">
      <c r="B214" s="2104" t="s">
        <v>363</v>
      </c>
      <c r="C214" s="2105"/>
      <c r="D214" s="2105"/>
      <c r="E214" s="2105"/>
      <c r="F214" s="2105"/>
      <c r="G214" s="2105"/>
      <c r="H214" s="2105"/>
      <c r="I214" s="2105"/>
      <c r="J214" s="2105"/>
    </row>
    <row r="215" spans="2:10">
      <c r="B215" s="438" t="s">
        <v>311</v>
      </c>
      <c r="C215" s="439"/>
      <c r="D215" s="439"/>
      <c r="E215" s="439"/>
      <c r="F215" s="439"/>
      <c r="G215" s="439"/>
      <c r="H215" s="439"/>
      <c r="I215" s="439"/>
      <c r="J215" s="439"/>
    </row>
    <row r="216" spans="2:10">
      <c r="B216" s="440"/>
      <c r="C216" s="439"/>
      <c r="D216" s="439"/>
      <c r="E216" s="439"/>
      <c r="F216" s="439"/>
      <c r="G216" s="439"/>
      <c r="H216" s="439"/>
      <c r="I216" s="439"/>
      <c r="J216" s="439"/>
    </row>
    <row r="217" spans="2:10">
      <c r="B217" s="441"/>
      <c r="C217" s="850">
        <v>2014</v>
      </c>
      <c r="D217" s="850">
        <v>2015</v>
      </c>
      <c r="E217" s="850">
        <v>2016</v>
      </c>
      <c r="F217" s="850">
        <v>2017</v>
      </c>
      <c r="G217" s="850">
        <v>2018</v>
      </c>
      <c r="H217" s="850">
        <v>2019</v>
      </c>
      <c r="I217" s="850">
        <v>2020</v>
      </c>
      <c r="J217" s="850">
        <v>2021</v>
      </c>
    </row>
    <row r="218" spans="2:10">
      <c r="B218" s="1686" t="s">
        <v>362</v>
      </c>
      <c r="C218" s="302"/>
      <c r="D218" s="302"/>
      <c r="E218" s="302"/>
      <c r="F218" s="302"/>
      <c r="G218" s="302"/>
      <c r="H218" s="302"/>
      <c r="I218" s="302"/>
      <c r="J218" s="302"/>
    </row>
    <row r="219" spans="2:10">
      <c r="B219" s="545" t="s">
        <v>361</v>
      </c>
      <c r="C219" s="1559"/>
      <c r="D219" s="1689">
        <f>D220+D221</f>
        <v>19520.686000000002</v>
      </c>
      <c r="E219" s="1689">
        <f t="shared" ref="E219:I219" si="3">E220+E221</f>
        <v>33571.161</v>
      </c>
      <c r="F219" s="1689">
        <f t="shared" si="3"/>
        <v>35028.576999999997</v>
      </c>
      <c r="G219" s="1689">
        <f t="shared" si="3"/>
        <v>39929.912000000004</v>
      </c>
      <c r="H219" s="1689">
        <f t="shared" si="3"/>
        <v>50938.216</v>
      </c>
      <c r="I219" s="1689">
        <f t="shared" si="3"/>
        <v>52054.631633276476</v>
      </c>
      <c r="J219" s="1689">
        <f>+SUM(J220:J221)</f>
        <v>57176.800000000003</v>
      </c>
    </row>
    <row r="220" spans="2:10" ht="15">
      <c r="B220" s="1683" t="s">
        <v>1556</v>
      </c>
      <c r="C220" s="1559">
        <v>0</v>
      </c>
      <c r="D220" s="1559">
        <v>1951.7850000000001</v>
      </c>
      <c r="E220" s="1559">
        <v>2480.0189999999998</v>
      </c>
      <c r="F220" s="1559">
        <v>2040.0450000000001</v>
      </c>
      <c r="G220" s="1559">
        <v>3838.2069999999999</v>
      </c>
      <c r="H220" s="1559">
        <v>4960.6360000000004</v>
      </c>
      <c r="I220" s="1559">
        <v>4091.4319192184839</v>
      </c>
      <c r="J220" s="1559">
        <v>1690.19</v>
      </c>
    </row>
    <row r="221" spans="2:10" ht="15">
      <c r="B221" s="1683" t="s">
        <v>1557</v>
      </c>
      <c r="C221" s="1559">
        <v>0</v>
      </c>
      <c r="D221" s="1559">
        <v>17568.901000000002</v>
      </c>
      <c r="E221" s="1559">
        <v>31091.142</v>
      </c>
      <c r="F221" s="1559">
        <v>32988.531999999999</v>
      </c>
      <c r="G221" s="1559">
        <v>36091.705000000002</v>
      </c>
      <c r="H221" s="1559">
        <v>45977.58</v>
      </c>
      <c r="I221" s="1559">
        <v>47963.199714057992</v>
      </c>
      <c r="J221" s="1559">
        <v>55486.61</v>
      </c>
    </row>
    <row r="222" spans="2:10">
      <c r="B222" s="1684" t="s">
        <v>358</v>
      </c>
      <c r="C222" s="1559">
        <v>0</v>
      </c>
      <c r="D222" s="1559">
        <v>553.07799999999997</v>
      </c>
      <c r="E222" s="1559">
        <v>633.25</v>
      </c>
      <c r="F222" s="1559">
        <v>573.03</v>
      </c>
      <c r="G222" s="1559">
        <v>672.24</v>
      </c>
      <c r="H222" s="1559">
        <v>729.94</v>
      </c>
      <c r="I222" s="1559">
        <v>618.23260082799993</v>
      </c>
      <c r="J222" s="1559">
        <v>214.93</v>
      </c>
    </row>
    <row r="223" spans="2:10">
      <c r="B223" s="545" t="s">
        <v>357</v>
      </c>
      <c r="C223" s="1559"/>
      <c r="D223" s="1682">
        <f>D224+D226</f>
        <v>1854.1100000000001</v>
      </c>
      <c r="E223" s="1682">
        <f t="shared" ref="E223:I223" si="4">E224+E226</f>
        <v>2464.0099999999998</v>
      </c>
      <c r="F223" s="1682">
        <f t="shared" si="4"/>
        <v>2783.83</v>
      </c>
      <c r="G223" s="1682">
        <f t="shared" si="4"/>
        <v>2979.7200000000003</v>
      </c>
      <c r="H223" s="1682">
        <f t="shared" si="4"/>
        <v>3423.3999999999996</v>
      </c>
      <c r="I223" s="1682">
        <f t="shared" si="4"/>
        <v>3210.6798390100003</v>
      </c>
      <c r="J223" s="1682">
        <f>+J224+J226</f>
        <v>3632.4</v>
      </c>
    </row>
    <row r="224" spans="2:10">
      <c r="B224" s="1683" t="s">
        <v>356</v>
      </c>
      <c r="C224" s="1559">
        <v>0</v>
      </c>
      <c r="D224" s="1559">
        <v>516.47</v>
      </c>
      <c r="E224" s="1559">
        <v>678.41</v>
      </c>
      <c r="F224" s="1559">
        <v>729.19</v>
      </c>
      <c r="G224" s="1559">
        <v>798.34</v>
      </c>
      <c r="H224" s="1559">
        <v>922.24</v>
      </c>
      <c r="I224" s="1690">
        <v>1046.1298390099998</v>
      </c>
      <c r="J224" s="1690">
        <v>1080.54</v>
      </c>
    </row>
    <row r="225" spans="2:10" ht="26">
      <c r="B225" s="1683" t="s">
        <v>355</v>
      </c>
      <c r="C225" s="1559"/>
      <c r="D225" s="1559" t="s">
        <v>1560</v>
      </c>
      <c r="E225" s="1559" t="s">
        <v>1560</v>
      </c>
      <c r="F225" s="1559" t="s">
        <v>1560</v>
      </c>
      <c r="G225" s="1559"/>
      <c r="H225" s="1559"/>
      <c r="I225" s="1559"/>
      <c r="J225" s="1559"/>
    </row>
    <row r="226" spans="2:10">
      <c r="B226" s="1683" t="s">
        <v>354</v>
      </c>
      <c r="C226" s="1559">
        <v>0</v>
      </c>
      <c r="D226" s="1559">
        <v>1337.64</v>
      </c>
      <c r="E226" s="1559">
        <v>1785.6</v>
      </c>
      <c r="F226" s="1559">
        <v>2054.64</v>
      </c>
      <c r="G226" s="1559">
        <v>2181.38</v>
      </c>
      <c r="H226" s="1559">
        <v>2501.16</v>
      </c>
      <c r="I226" s="1559">
        <v>2164.5500000000002</v>
      </c>
      <c r="J226" s="1559">
        <v>2551.86</v>
      </c>
    </row>
    <row r="227" spans="2:10">
      <c r="B227" s="545" t="s">
        <v>338</v>
      </c>
      <c r="C227" s="1559"/>
      <c r="D227" s="1682"/>
      <c r="E227" s="1691"/>
      <c r="F227" s="1682"/>
      <c r="G227" s="1682"/>
      <c r="H227" s="1682"/>
      <c r="I227" s="1682"/>
      <c r="J227" s="1682"/>
    </row>
    <row r="228" spans="2:10">
      <c r="B228" s="545" t="s">
        <v>353</v>
      </c>
      <c r="C228" s="222">
        <v>0</v>
      </c>
      <c r="D228" s="222">
        <v>35709.423000000003</v>
      </c>
      <c r="E228" s="222">
        <v>35261.506999999998</v>
      </c>
      <c r="F228" s="222">
        <v>34967.107000000004</v>
      </c>
      <c r="G228" s="222">
        <v>34081.978000000003</v>
      </c>
      <c r="H228" s="222">
        <v>34065.410000000003</v>
      </c>
      <c r="I228" s="1692">
        <v>25764.921797149997</v>
      </c>
      <c r="J228" s="1692">
        <v>27174.55</v>
      </c>
    </row>
    <row r="229" spans="2:10">
      <c r="B229" s="1685" t="s">
        <v>352</v>
      </c>
      <c r="C229" s="222"/>
      <c r="D229" s="1682"/>
      <c r="E229" s="1691"/>
      <c r="F229" s="1682"/>
      <c r="G229" s="1682"/>
      <c r="H229" s="1682"/>
      <c r="I229" s="1682"/>
      <c r="J229" s="1682"/>
    </row>
    <row r="230" spans="2:10">
      <c r="B230" s="1685" t="s">
        <v>351</v>
      </c>
      <c r="C230" s="1559"/>
      <c r="D230" s="232"/>
      <c r="E230" s="232"/>
      <c r="F230" s="232"/>
      <c r="G230" s="232"/>
      <c r="H230" s="232"/>
      <c r="I230" s="232"/>
      <c r="J230" s="232"/>
    </row>
    <row r="231" spans="2:10">
      <c r="B231" s="545" t="s">
        <v>1559</v>
      </c>
      <c r="C231" s="1559">
        <v>0</v>
      </c>
      <c r="D231" s="1559">
        <v>50249.976999999999</v>
      </c>
      <c r="E231" s="1559">
        <v>13197.27</v>
      </c>
      <c r="F231" s="1559">
        <v>12659.38</v>
      </c>
      <c r="G231" s="1559">
        <v>14479.23</v>
      </c>
      <c r="H231" s="1559">
        <v>16194.5</v>
      </c>
      <c r="I231" s="306">
        <v>0</v>
      </c>
      <c r="J231" s="306">
        <v>0</v>
      </c>
    </row>
    <row r="232" spans="2:10">
      <c r="B232" s="545"/>
      <c r="C232" s="1559"/>
      <c r="D232" s="232"/>
      <c r="E232" s="232"/>
      <c r="F232" s="232"/>
      <c r="G232" s="232"/>
      <c r="H232" s="232"/>
      <c r="I232" s="232"/>
      <c r="J232" s="232"/>
    </row>
    <row r="233" spans="2:10">
      <c r="B233" s="545" t="s">
        <v>349</v>
      </c>
      <c r="C233" s="1693">
        <v>0</v>
      </c>
      <c r="D233" s="1694">
        <f>D219+D222+D223+D228+D231</f>
        <v>107887.274</v>
      </c>
      <c r="E233" s="1694">
        <f>E219+E222+E223+E228+E231</f>
        <v>85127.198000000004</v>
      </c>
      <c r="F233" s="1694">
        <f>F219+F222+F223+F228+F231</f>
        <v>86011.923999999999</v>
      </c>
      <c r="G233" s="1694">
        <f>G219+G222+G223+G228+G231</f>
        <v>92143.08</v>
      </c>
      <c r="H233" s="1694">
        <f>H219+H222+H223+H228+H231</f>
        <v>105351.46600000001</v>
      </c>
      <c r="I233" s="1694">
        <f>I219+I222+I223+I228+I2</f>
        <v>81648.465870264481</v>
      </c>
      <c r="J233" s="1694">
        <f>J219+J222+J223+J228+J2</f>
        <v>88198.680000000008</v>
      </c>
    </row>
    <row r="234" spans="2:10">
      <c r="B234" s="1567" t="s">
        <v>348</v>
      </c>
      <c r="C234" s="1559"/>
      <c r="D234" s="1694">
        <f t="shared" ref="D234:H234" si="5">D233/1000</f>
        <v>107.88727400000001</v>
      </c>
      <c r="E234" s="1694">
        <f t="shared" si="5"/>
        <v>85.127198000000007</v>
      </c>
      <c r="F234" s="1694">
        <f t="shared" si="5"/>
        <v>86.011923999999993</v>
      </c>
      <c r="G234" s="1694">
        <f t="shared" si="5"/>
        <v>92.143079999999998</v>
      </c>
      <c r="H234" s="1694">
        <f t="shared" si="5"/>
        <v>105.35146600000002</v>
      </c>
      <c r="I234" s="1694">
        <f>I233/1000</f>
        <v>81.648465870264488</v>
      </c>
      <c r="J234" s="1694">
        <f>J233/1000</f>
        <v>88.19868000000001</v>
      </c>
    </row>
    <row r="235" spans="2:10">
      <c r="B235" s="1567"/>
      <c r="C235" s="1559"/>
      <c r="D235" s="232"/>
      <c r="E235" s="232"/>
      <c r="F235" s="232"/>
      <c r="G235" s="232"/>
      <c r="H235" s="232"/>
      <c r="I235" s="232"/>
      <c r="J235" s="232"/>
    </row>
    <row r="236" spans="2:10">
      <c r="B236" s="545" t="s">
        <v>347</v>
      </c>
      <c r="C236" s="1559">
        <v>0</v>
      </c>
      <c r="D236" s="232"/>
      <c r="E236" s="232"/>
      <c r="F236" s="232"/>
      <c r="G236" s="232"/>
      <c r="H236" s="232"/>
      <c r="I236" s="232"/>
      <c r="J236" s="232"/>
    </row>
    <row r="237" spans="2:10">
      <c r="B237" s="545"/>
      <c r="C237" s="1559"/>
      <c r="D237" s="232"/>
      <c r="E237" s="232"/>
      <c r="F237" s="232"/>
      <c r="G237" s="232"/>
      <c r="H237" s="232"/>
      <c r="I237" s="232"/>
      <c r="J237" s="232"/>
    </row>
    <row r="238" spans="2:10">
      <c r="B238" s="1686" t="s">
        <v>346</v>
      </c>
      <c r="C238" s="1559"/>
      <c r="D238" s="232"/>
      <c r="E238" s="232"/>
      <c r="F238" s="232"/>
      <c r="G238" s="232"/>
      <c r="H238" s="232"/>
      <c r="I238" s="232"/>
      <c r="J238" s="232"/>
    </row>
    <row r="239" spans="2:10">
      <c r="B239" s="545" t="s">
        <v>342</v>
      </c>
      <c r="C239" s="1559"/>
      <c r="D239" s="1695">
        <f>D240</f>
        <v>3930.0340000000001</v>
      </c>
      <c r="E239" s="1695">
        <f t="shared" ref="E239:J239" si="6">E240</f>
        <v>4521.8396924799999</v>
      </c>
      <c r="F239" s="1695">
        <f t="shared" si="6"/>
        <v>4828.82050703</v>
      </c>
      <c r="G239" s="1695">
        <f t="shared" si="6"/>
        <v>5181.9981462939995</v>
      </c>
      <c r="H239" s="1695">
        <f t="shared" si="6"/>
        <v>5308.8399047783323</v>
      </c>
      <c r="I239" s="1695">
        <f t="shared" si="6"/>
        <v>5691.0739585699985</v>
      </c>
      <c r="J239" s="1695">
        <f t="shared" si="6"/>
        <v>6600</v>
      </c>
    </row>
    <row r="240" spans="2:10">
      <c r="B240" s="1567" t="s">
        <v>341</v>
      </c>
      <c r="C240" s="1559">
        <v>0</v>
      </c>
      <c r="D240" s="232">
        <v>3930.0340000000001</v>
      </c>
      <c r="E240" s="232">
        <v>4521.8396924799999</v>
      </c>
      <c r="F240" s="232">
        <v>4828.82050703</v>
      </c>
      <c r="G240" s="232">
        <v>5181.9981462939995</v>
      </c>
      <c r="H240" s="232">
        <v>5308.8399047783323</v>
      </c>
      <c r="I240" s="232">
        <v>5691.0739585699985</v>
      </c>
      <c r="J240" s="1695">
        <v>6600</v>
      </c>
    </row>
    <row r="241" spans="2:10">
      <c r="B241" s="1567" t="s">
        <v>340</v>
      </c>
      <c r="C241" s="1559"/>
      <c r="D241" s="232"/>
      <c r="E241" s="232"/>
      <c r="F241" s="232"/>
      <c r="G241" s="232"/>
      <c r="H241" s="232"/>
      <c r="I241" s="232"/>
      <c r="J241" s="1695"/>
    </row>
    <row r="242" spans="2:10">
      <c r="B242" s="545" t="s">
        <v>339</v>
      </c>
      <c r="C242" s="1559">
        <v>0</v>
      </c>
      <c r="D242" s="1695">
        <v>618.83399999999995</v>
      </c>
      <c r="E242" s="1695">
        <v>2108.797</v>
      </c>
      <c r="F242" s="1695">
        <v>2271.7069999999999</v>
      </c>
      <c r="G242" s="1695">
        <v>2559.7350000000001</v>
      </c>
      <c r="H242" s="1695">
        <v>2825.0610000000001</v>
      </c>
      <c r="I242" s="1695">
        <v>2579.3021974399899</v>
      </c>
      <c r="J242" s="1695">
        <v>3920.9669170000002</v>
      </c>
    </row>
    <row r="243" spans="2:10">
      <c r="B243" s="545" t="s">
        <v>338</v>
      </c>
      <c r="C243" s="1559"/>
      <c r="D243" s="1559"/>
      <c r="E243" s="1559"/>
      <c r="F243" s="1559"/>
      <c r="G243" s="1559"/>
      <c r="H243" s="1559"/>
      <c r="I243" s="1559"/>
      <c r="J243" s="1559"/>
    </row>
    <row r="244" spans="2:10">
      <c r="B244" s="1567" t="s">
        <v>337</v>
      </c>
      <c r="C244" s="1559">
        <v>0</v>
      </c>
      <c r="D244" s="1559">
        <v>0</v>
      </c>
      <c r="E244" s="1559">
        <v>0</v>
      </c>
      <c r="F244" s="1559">
        <v>0</v>
      </c>
      <c r="G244" s="1559">
        <v>0</v>
      </c>
      <c r="H244" s="1559">
        <v>0</v>
      </c>
      <c r="I244" s="1559">
        <v>0</v>
      </c>
      <c r="J244" s="1559">
        <v>0</v>
      </c>
    </row>
    <row r="245" spans="2:10">
      <c r="B245" s="1567" t="s">
        <v>336</v>
      </c>
      <c r="C245" s="1559">
        <v>0</v>
      </c>
      <c r="D245" s="1559">
        <v>0</v>
      </c>
      <c r="E245" s="1559">
        <v>0</v>
      </c>
      <c r="F245" s="1559">
        <v>0</v>
      </c>
      <c r="G245" s="1559">
        <v>0</v>
      </c>
      <c r="H245" s="1559">
        <v>0</v>
      </c>
      <c r="I245" s="1559">
        <v>0</v>
      </c>
      <c r="J245" s="1559">
        <v>0</v>
      </c>
    </row>
    <row r="246" spans="2:10">
      <c r="B246" s="1567" t="s">
        <v>335</v>
      </c>
      <c r="C246" s="1559">
        <v>0</v>
      </c>
      <c r="D246" s="1559">
        <v>0</v>
      </c>
      <c r="E246" s="1559">
        <v>0</v>
      </c>
      <c r="F246" s="1559">
        <v>0</v>
      </c>
      <c r="G246" s="1559">
        <v>0</v>
      </c>
      <c r="H246" s="1559">
        <v>0</v>
      </c>
      <c r="I246" s="1559">
        <v>0</v>
      </c>
      <c r="J246" s="1559">
        <v>0</v>
      </c>
    </row>
    <row r="247" spans="2:10">
      <c r="B247" s="1567"/>
      <c r="C247" s="1559"/>
      <c r="D247" s="1559"/>
      <c r="E247" s="1559"/>
      <c r="F247" s="1559"/>
      <c r="G247" s="1559"/>
      <c r="H247" s="1559"/>
      <c r="I247" s="1559"/>
      <c r="J247" s="1559"/>
    </row>
    <row r="248" spans="2:10" ht="26">
      <c r="B248" s="1687" t="s">
        <v>345</v>
      </c>
      <c r="C248" s="1559">
        <v>0</v>
      </c>
      <c r="D248" s="1559">
        <v>0</v>
      </c>
      <c r="E248" s="1559">
        <v>0</v>
      </c>
      <c r="F248" s="1559">
        <v>0</v>
      </c>
      <c r="G248" s="1559">
        <v>0</v>
      </c>
      <c r="H248" s="1559">
        <v>0</v>
      </c>
      <c r="I248" s="1559">
        <v>0</v>
      </c>
      <c r="J248" s="1559">
        <v>0</v>
      </c>
    </row>
    <row r="249" spans="2:10">
      <c r="B249" s="545" t="s">
        <v>342</v>
      </c>
      <c r="C249" s="1559"/>
      <c r="D249" s="1559"/>
      <c r="E249" s="1559"/>
      <c r="F249" s="1559"/>
      <c r="G249" s="1559"/>
      <c r="H249" s="1559"/>
      <c r="I249" s="1559"/>
      <c r="J249" s="1559"/>
    </row>
    <row r="250" spans="2:10">
      <c r="B250" s="1567" t="s">
        <v>341</v>
      </c>
      <c r="C250" s="1559"/>
      <c r="D250" s="1559"/>
      <c r="E250" s="1559"/>
      <c r="F250" s="1559"/>
      <c r="G250" s="1559"/>
      <c r="H250" s="1559"/>
      <c r="I250" s="1559"/>
      <c r="J250" s="1559"/>
    </row>
    <row r="251" spans="2:10">
      <c r="B251" s="1567" t="s">
        <v>340</v>
      </c>
      <c r="C251" s="1559"/>
      <c r="D251" s="1559"/>
      <c r="E251" s="1559"/>
      <c r="F251" s="1559"/>
      <c r="G251" s="1559"/>
      <c r="H251" s="1559"/>
      <c r="I251" s="1559"/>
      <c r="J251" s="1559"/>
    </row>
    <row r="252" spans="2:10">
      <c r="B252" s="545" t="s">
        <v>339</v>
      </c>
      <c r="C252" s="1559"/>
      <c r="D252" s="1559"/>
      <c r="E252" s="1559"/>
      <c r="F252" s="1559"/>
      <c r="G252" s="1559"/>
      <c r="H252" s="1559"/>
      <c r="I252" s="1559"/>
      <c r="J252" s="1559"/>
    </row>
    <row r="253" spans="2:10">
      <c r="B253" s="545" t="s">
        <v>338</v>
      </c>
      <c r="C253" s="1559"/>
      <c r="D253" s="1559"/>
      <c r="E253" s="1559"/>
      <c r="F253" s="1559"/>
      <c r="G253" s="1559"/>
      <c r="H253" s="1559"/>
      <c r="I253" s="1559"/>
      <c r="J253" s="1559"/>
    </row>
    <row r="254" spans="2:10">
      <c r="B254" s="1567" t="s">
        <v>337</v>
      </c>
      <c r="C254" s="1559"/>
      <c r="D254" s="1559"/>
      <c r="E254" s="1559"/>
      <c r="F254" s="1559"/>
      <c r="G254" s="1559"/>
      <c r="H254" s="1559"/>
      <c r="I254" s="1559"/>
      <c r="J254" s="1559"/>
    </row>
    <row r="255" spans="2:10">
      <c r="B255" s="1567" t="s">
        <v>336</v>
      </c>
      <c r="C255" s="1559"/>
      <c r="D255" s="1559"/>
      <c r="E255" s="1559"/>
      <c r="F255" s="1559"/>
      <c r="G255" s="1559"/>
      <c r="H255" s="1559"/>
      <c r="I255" s="1559"/>
      <c r="J255" s="1559"/>
    </row>
    <row r="256" spans="2:10">
      <c r="B256" s="1567" t="s">
        <v>335</v>
      </c>
      <c r="C256" s="1559"/>
      <c r="D256" s="1559"/>
      <c r="E256" s="1559"/>
      <c r="F256" s="1559"/>
      <c r="G256" s="1559"/>
      <c r="H256" s="1559"/>
      <c r="I256" s="1559"/>
      <c r="J256" s="1559"/>
    </row>
    <row r="257" spans="2:10">
      <c r="B257" s="1567"/>
      <c r="C257" s="1559"/>
      <c r="D257" s="1559"/>
      <c r="E257" s="1559"/>
      <c r="F257" s="1559"/>
      <c r="G257" s="1559"/>
      <c r="H257" s="1559"/>
      <c r="I257" s="1559"/>
      <c r="J257" s="1559"/>
    </row>
    <row r="258" spans="2:10" ht="26">
      <c r="B258" s="1687" t="s">
        <v>344</v>
      </c>
      <c r="C258" s="1559">
        <v>0</v>
      </c>
      <c r="D258" s="1559">
        <v>0</v>
      </c>
      <c r="E258" s="1559">
        <v>0</v>
      </c>
      <c r="F258" s="1559">
        <v>0</v>
      </c>
      <c r="G258" s="1559">
        <v>0</v>
      </c>
      <c r="H258" s="1559">
        <v>0</v>
      </c>
      <c r="I258" s="1559">
        <v>0</v>
      </c>
      <c r="J258" s="1559">
        <v>0</v>
      </c>
    </row>
    <row r="259" spans="2:10">
      <c r="B259" s="545" t="s">
        <v>342</v>
      </c>
      <c r="C259" s="306"/>
      <c r="D259" s="306"/>
      <c r="E259" s="306"/>
      <c r="F259" s="306"/>
      <c r="G259" s="306"/>
      <c r="H259" s="306"/>
      <c r="I259" s="306"/>
      <c r="J259" s="306"/>
    </row>
    <row r="260" spans="2:10">
      <c r="B260" s="1567" t="s">
        <v>341</v>
      </c>
      <c r="C260" s="306"/>
      <c r="D260" s="306"/>
      <c r="E260" s="306"/>
      <c r="F260" s="306"/>
      <c r="G260" s="306"/>
      <c r="H260" s="306"/>
      <c r="I260" s="306"/>
      <c r="J260" s="306"/>
    </row>
    <row r="261" spans="2:10">
      <c r="B261" s="1567" t="s">
        <v>340</v>
      </c>
      <c r="C261" s="306"/>
      <c r="D261" s="306"/>
      <c r="E261" s="306"/>
      <c r="F261" s="306"/>
      <c r="G261" s="306"/>
      <c r="H261" s="306"/>
      <c r="I261" s="306"/>
      <c r="J261" s="306"/>
    </row>
    <row r="262" spans="2:10">
      <c r="B262" s="545" t="s">
        <v>339</v>
      </c>
      <c r="C262" s="306"/>
      <c r="D262" s="306"/>
      <c r="E262" s="306"/>
      <c r="F262" s="306"/>
      <c r="G262" s="306"/>
      <c r="H262" s="306"/>
      <c r="I262" s="306"/>
      <c r="J262" s="306"/>
    </row>
    <row r="263" spans="2:10">
      <c r="B263" s="545" t="s">
        <v>338</v>
      </c>
      <c r="C263" s="306"/>
      <c r="D263" s="306"/>
      <c r="E263" s="306"/>
      <c r="F263" s="306"/>
      <c r="G263" s="306"/>
      <c r="H263" s="306"/>
      <c r="I263" s="306"/>
      <c r="J263" s="306"/>
    </row>
    <row r="264" spans="2:10">
      <c r="B264" s="1567" t="s">
        <v>337</v>
      </c>
      <c r="C264" s="306"/>
      <c r="D264" s="306"/>
      <c r="E264" s="306"/>
      <c r="F264" s="306"/>
      <c r="G264" s="306"/>
      <c r="H264" s="306"/>
      <c r="I264" s="306"/>
      <c r="J264" s="306"/>
    </row>
    <row r="265" spans="2:10">
      <c r="B265" s="1567" t="s">
        <v>336</v>
      </c>
      <c r="C265" s="306"/>
      <c r="D265" s="306"/>
      <c r="E265" s="306"/>
      <c r="F265" s="306"/>
      <c r="G265" s="306"/>
      <c r="H265" s="306"/>
      <c r="I265" s="306"/>
      <c r="J265" s="306"/>
    </row>
    <row r="266" spans="2:10">
      <c r="B266" s="1567" t="s">
        <v>335</v>
      </c>
      <c r="C266" s="306"/>
      <c r="D266" s="306"/>
      <c r="E266" s="306"/>
      <c r="F266" s="306"/>
      <c r="G266" s="306"/>
      <c r="H266" s="306"/>
      <c r="I266" s="306"/>
      <c r="J266" s="306"/>
    </row>
    <row r="267" spans="2:10">
      <c r="B267" s="1567"/>
      <c r="C267" s="306"/>
      <c r="D267" s="306"/>
      <c r="E267" s="306"/>
      <c r="F267" s="306"/>
      <c r="G267" s="306"/>
      <c r="H267" s="306"/>
      <c r="I267" s="306"/>
      <c r="J267" s="306"/>
    </row>
    <row r="268" spans="2:10" ht="26">
      <c r="B268" s="1687" t="s">
        <v>343</v>
      </c>
      <c r="C268" s="1559">
        <v>0</v>
      </c>
      <c r="D268" s="1559">
        <v>0</v>
      </c>
      <c r="E268" s="1559">
        <v>0</v>
      </c>
      <c r="F268" s="1559">
        <v>0</v>
      </c>
      <c r="G268" s="1559">
        <v>0</v>
      </c>
      <c r="H268" s="1559">
        <v>0</v>
      </c>
      <c r="I268" s="1559">
        <v>0</v>
      </c>
      <c r="J268" s="1559">
        <v>0</v>
      </c>
    </row>
    <row r="269" spans="2:10">
      <c r="B269" s="545" t="s">
        <v>342</v>
      </c>
      <c r="C269" s="306"/>
      <c r="D269" s="306"/>
      <c r="E269" s="306"/>
      <c r="F269" s="306"/>
      <c r="G269" s="306"/>
      <c r="H269" s="306"/>
      <c r="I269" s="306"/>
      <c r="J269" s="306"/>
    </row>
    <row r="270" spans="2:10">
      <c r="B270" s="1567" t="s">
        <v>341</v>
      </c>
      <c r="C270" s="306"/>
      <c r="D270" s="306"/>
      <c r="E270" s="306"/>
      <c r="F270" s="306"/>
      <c r="G270" s="306"/>
      <c r="H270" s="306"/>
      <c r="I270" s="306"/>
      <c r="J270" s="306"/>
    </row>
    <row r="271" spans="2:10">
      <c r="B271" s="1567" t="s">
        <v>340</v>
      </c>
      <c r="C271" s="306"/>
      <c r="D271" s="306"/>
      <c r="E271" s="306"/>
      <c r="F271" s="306"/>
      <c r="G271" s="306"/>
      <c r="H271" s="306"/>
      <c r="I271" s="306"/>
      <c r="J271" s="306"/>
    </row>
    <row r="272" spans="2:10">
      <c r="B272" s="545" t="s">
        <v>339</v>
      </c>
      <c r="C272" s="306"/>
      <c r="D272" s="306"/>
      <c r="E272" s="306"/>
      <c r="F272" s="306"/>
      <c r="G272" s="306"/>
      <c r="H272" s="306"/>
      <c r="I272" s="306"/>
      <c r="J272" s="306"/>
    </row>
    <row r="273" spans="2:10">
      <c r="B273" s="545" t="s">
        <v>338</v>
      </c>
      <c r="C273" s="306"/>
      <c r="D273" s="306"/>
      <c r="E273" s="306"/>
      <c r="F273" s="306"/>
      <c r="G273" s="306"/>
      <c r="H273" s="306"/>
      <c r="I273" s="306"/>
      <c r="J273" s="306"/>
    </row>
    <row r="274" spans="2:10">
      <c r="B274" s="1567" t="s">
        <v>337</v>
      </c>
      <c r="C274" s="306"/>
      <c r="D274" s="306"/>
      <c r="E274" s="306"/>
      <c r="F274" s="306"/>
      <c r="G274" s="306"/>
      <c r="H274" s="306"/>
      <c r="I274" s="306"/>
      <c r="J274" s="306"/>
    </row>
    <row r="275" spans="2:10">
      <c r="B275" s="1567" t="s">
        <v>336</v>
      </c>
      <c r="C275" s="306"/>
      <c r="D275" s="306"/>
      <c r="E275" s="306"/>
      <c r="F275" s="306"/>
      <c r="G275" s="306"/>
      <c r="H275" s="306"/>
      <c r="I275" s="306"/>
      <c r="J275" s="306"/>
    </row>
    <row r="276" spans="2:10" ht="15" thickBot="1">
      <c r="B276" s="1688" t="s">
        <v>335</v>
      </c>
      <c r="C276" s="306" t="s">
        <v>1560</v>
      </c>
      <c r="D276" s="306" t="s">
        <v>1560</v>
      </c>
      <c r="E276" s="306" t="s">
        <v>1560</v>
      </c>
      <c r="F276" s="306" t="s">
        <v>1560</v>
      </c>
      <c r="G276" s="306" t="s">
        <v>1560</v>
      </c>
      <c r="H276" s="306"/>
      <c r="I276" s="306"/>
      <c r="J276" s="306"/>
    </row>
    <row r="277" spans="2:10" ht="15" thickTop="1">
      <c r="B277" s="2025" t="s">
        <v>1535</v>
      </c>
      <c r="C277" s="2025"/>
      <c r="D277" s="2025"/>
      <c r="E277" s="2025"/>
      <c r="F277" s="2025"/>
      <c r="G277" s="2025"/>
      <c r="H277" s="2025"/>
      <c r="I277" s="2025"/>
      <c r="J277" s="2025"/>
    </row>
    <row r="278" spans="2:10">
      <c r="B278" s="2119" t="s">
        <v>1562</v>
      </c>
      <c r="C278" s="2119"/>
      <c r="D278" s="2119"/>
      <c r="E278" s="2119"/>
      <c r="F278" s="2119"/>
      <c r="G278" s="2119"/>
      <c r="H278" s="2119"/>
      <c r="I278" s="2119"/>
      <c r="J278" s="2119"/>
    </row>
    <row r="279" spans="2:10">
      <c r="B279" s="64"/>
      <c r="C279" s="302"/>
      <c r="D279" s="302"/>
      <c r="E279" s="302"/>
      <c r="F279" s="302"/>
      <c r="G279" s="302"/>
      <c r="H279" s="302"/>
      <c r="I279" s="302"/>
      <c r="J279" s="302"/>
    </row>
    <row r="280" spans="2:10">
      <c r="B280" s="2097" t="s">
        <v>333</v>
      </c>
      <c r="C280" s="2097"/>
      <c r="D280" s="2097"/>
      <c r="E280" s="2097"/>
      <c r="F280" s="2097"/>
      <c r="G280" s="2097"/>
      <c r="H280" s="2097"/>
      <c r="I280" s="2097"/>
      <c r="J280" s="2097"/>
    </row>
    <row r="281" spans="2:10">
      <c r="B281" s="12" t="s">
        <v>332</v>
      </c>
      <c r="C281" s="302"/>
      <c r="D281" s="302"/>
      <c r="E281" s="302"/>
      <c r="F281" s="302"/>
      <c r="G281" s="302"/>
      <c r="H281" s="302"/>
      <c r="I281" s="302"/>
      <c r="J281" s="302"/>
    </row>
    <row r="282" spans="2:10">
      <c r="B282" s="62" t="s">
        <v>269</v>
      </c>
      <c r="C282" s="302"/>
      <c r="D282" s="302"/>
      <c r="E282" s="302"/>
      <c r="F282" s="302"/>
      <c r="G282" s="302"/>
      <c r="H282" s="302"/>
      <c r="I282" s="302"/>
      <c r="J282" s="302"/>
    </row>
    <row r="283" spans="2:10">
      <c r="B283" s="64"/>
      <c r="C283" s="302"/>
      <c r="D283" s="302"/>
      <c r="E283" s="302"/>
      <c r="F283" s="302"/>
      <c r="G283" s="302"/>
      <c r="H283" s="302"/>
      <c r="I283" s="302"/>
      <c r="J283" s="302"/>
    </row>
    <row r="284" spans="2:10">
      <c r="B284" s="61"/>
      <c r="C284" s="850">
        <v>2014</v>
      </c>
      <c r="D284" s="850">
        <v>2015</v>
      </c>
      <c r="E284" s="850">
        <v>2016</v>
      </c>
      <c r="F284" s="850">
        <v>2017</v>
      </c>
      <c r="G284" s="850">
        <v>2018</v>
      </c>
      <c r="H284" s="850">
        <v>2019</v>
      </c>
      <c r="I284" s="850">
        <v>2020</v>
      </c>
      <c r="J284" s="850">
        <v>2021</v>
      </c>
    </row>
    <row r="285" spans="2:10">
      <c r="B285" s="114" t="s">
        <v>310</v>
      </c>
      <c r="C285" s="449"/>
      <c r="D285" s="449"/>
      <c r="E285" s="449"/>
      <c r="F285" s="449"/>
      <c r="G285" s="449"/>
      <c r="H285" s="449"/>
      <c r="I285" s="449"/>
      <c r="J285" s="449"/>
    </row>
    <row r="286" spans="2:10">
      <c r="B286" s="114"/>
      <c r="C286" s="449"/>
      <c r="D286" s="449"/>
      <c r="E286" s="449"/>
      <c r="F286" s="449"/>
      <c r="G286" s="449"/>
      <c r="H286" s="449"/>
      <c r="I286" s="449"/>
      <c r="J286" s="449"/>
    </row>
    <row r="287" spans="2:10">
      <c r="B287" s="59" t="s">
        <v>94</v>
      </c>
      <c r="C287" s="449"/>
      <c r="D287" s="449"/>
      <c r="E287" s="449"/>
      <c r="F287" s="449"/>
      <c r="G287" s="449"/>
      <c r="H287" s="449"/>
      <c r="I287" s="449"/>
      <c r="J287" s="449"/>
    </row>
    <row r="288" spans="2:10">
      <c r="B288" s="71" t="s">
        <v>331</v>
      </c>
      <c r="C288" s="323">
        <v>46</v>
      </c>
      <c r="D288" s="323">
        <v>47</v>
      </c>
      <c r="E288" s="323">
        <v>47</v>
      </c>
      <c r="F288" s="323">
        <v>49</v>
      </c>
      <c r="G288" s="323">
        <v>48</v>
      </c>
      <c r="H288" s="321">
        <v>48</v>
      </c>
      <c r="I288" s="321">
        <v>48</v>
      </c>
      <c r="J288" s="321">
        <v>106</v>
      </c>
    </row>
    <row r="289" spans="2:10">
      <c r="B289" s="133" t="s">
        <v>330</v>
      </c>
      <c r="C289" s="323">
        <v>15</v>
      </c>
      <c r="D289" s="323">
        <v>16</v>
      </c>
      <c r="E289" s="323">
        <v>16</v>
      </c>
      <c r="F289" s="323">
        <v>16</v>
      </c>
      <c r="G289" s="323">
        <v>16</v>
      </c>
      <c r="H289" s="323">
        <v>16</v>
      </c>
      <c r="I289" s="323">
        <v>16</v>
      </c>
      <c r="J289" s="321">
        <v>37</v>
      </c>
    </row>
    <row r="290" spans="2:10">
      <c r="B290" s="52" t="s">
        <v>260</v>
      </c>
      <c r="C290" s="323">
        <v>14</v>
      </c>
      <c r="D290" s="323">
        <v>15</v>
      </c>
      <c r="E290" s="323">
        <v>15</v>
      </c>
      <c r="F290" s="323">
        <v>15</v>
      </c>
      <c r="G290" s="323">
        <v>15</v>
      </c>
      <c r="H290" s="321">
        <v>15</v>
      </c>
      <c r="I290" s="321">
        <v>15</v>
      </c>
      <c r="J290" s="321">
        <v>12</v>
      </c>
    </row>
    <row r="291" spans="2:10">
      <c r="B291" s="52" t="s">
        <v>329</v>
      </c>
      <c r="C291" s="323">
        <v>1</v>
      </c>
      <c r="D291" s="323">
        <v>1</v>
      </c>
      <c r="E291" s="323">
        <v>1</v>
      </c>
      <c r="F291" s="323">
        <v>1</v>
      </c>
      <c r="G291" s="323">
        <v>1</v>
      </c>
      <c r="H291" s="321">
        <v>1</v>
      </c>
      <c r="I291" s="321">
        <v>1</v>
      </c>
      <c r="J291" s="321">
        <v>1</v>
      </c>
    </row>
    <row r="292" spans="2:10">
      <c r="B292" s="52" t="s">
        <v>328</v>
      </c>
      <c r="C292" s="323">
        <v>31</v>
      </c>
      <c r="D292" s="323">
        <v>31</v>
      </c>
      <c r="E292" s="323">
        <v>31</v>
      </c>
      <c r="F292" s="323">
        <v>33</v>
      </c>
      <c r="G292" s="323">
        <v>32</v>
      </c>
      <c r="H292" s="323">
        <v>32</v>
      </c>
      <c r="I292" s="323">
        <v>32</v>
      </c>
      <c r="J292" s="321">
        <v>24</v>
      </c>
    </row>
    <row r="293" spans="2:10">
      <c r="B293" s="136" t="s">
        <v>327</v>
      </c>
      <c r="C293" s="323">
        <v>10</v>
      </c>
      <c r="D293" s="323">
        <v>10</v>
      </c>
      <c r="E293" s="323">
        <v>10</v>
      </c>
      <c r="F293" s="323">
        <v>10</v>
      </c>
      <c r="G293" s="323">
        <v>10</v>
      </c>
      <c r="H293" s="321">
        <v>10</v>
      </c>
      <c r="I293" s="321">
        <v>10</v>
      </c>
      <c r="J293" s="321">
        <v>10</v>
      </c>
    </row>
    <row r="294" spans="2:10">
      <c r="B294" s="136" t="s">
        <v>326</v>
      </c>
      <c r="C294" s="323">
        <v>0</v>
      </c>
      <c r="D294" s="323">
        <v>0</v>
      </c>
      <c r="E294" s="323">
        <v>0</v>
      </c>
      <c r="F294" s="323">
        <v>0</v>
      </c>
      <c r="G294" s="323">
        <v>0</v>
      </c>
      <c r="H294" s="323">
        <v>0</v>
      </c>
      <c r="I294" s="323">
        <v>0</v>
      </c>
      <c r="J294" s="323">
        <v>0</v>
      </c>
    </row>
    <row r="295" spans="2:10">
      <c r="B295" s="136" t="s">
        <v>325</v>
      </c>
      <c r="C295" s="323">
        <v>2</v>
      </c>
      <c r="D295" s="323">
        <v>2</v>
      </c>
      <c r="E295" s="323">
        <v>2</v>
      </c>
      <c r="F295" s="323">
        <v>3</v>
      </c>
      <c r="G295" s="323">
        <v>3</v>
      </c>
      <c r="H295" s="321">
        <v>3</v>
      </c>
      <c r="I295" s="321">
        <v>3</v>
      </c>
      <c r="J295" s="321">
        <v>3</v>
      </c>
    </row>
    <row r="296" spans="2:10">
      <c r="B296" s="136" t="s">
        <v>323</v>
      </c>
      <c r="C296" s="323">
        <v>12</v>
      </c>
      <c r="D296" s="323">
        <v>12</v>
      </c>
      <c r="E296" s="323">
        <v>12</v>
      </c>
      <c r="F296" s="323">
        <v>12</v>
      </c>
      <c r="G296" s="323">
        <v>12</v>
      </c>
      <c r="H296" s="321">
        <v>12</v>
      </c>
      <c r="I296" s="321">
        <v>12</v>
      </c>
      <c r="J296" s="321">
        <v>12</v>
      </c>
    </row>
    <row r="297" spans="2:10">
      <c r="B297" s="136" t="s">
        <v>117</v>
      </c>
      <c r="C297" s="323">
        <v>7</v>
      </c>
      <c r="D297" s="323">
        <v>7</v>
      </c>
      <c r="E297" s="323">
        <v>7</v>
      </c>
      <c r="F297" s="323">
        <v>8</v>
      </c>
      <c r="G297" s="323">
        <v>7</v>
      </c>
      <c r="H297" s="321">
        <v>7</v>
      </c>
      <c r="I297" s="321">
        <v>7</v>
      </c>
      <c r="J297" s="321">
        <v>7</v>
      </c>
    </row>
    <row r="298" spans="2:10">
      <c r="B298" s="133" t="s">
        <v>322</v>
      </c>
      <c r="C298" s="867"/>
      <c r="D298" s="867"/>
      <c r="E298" s="867"/>
      <c r="F298" s="867"/>
      <c r="G298" s="867"/>
      <c r="H298" s="867"/>
      <c r="I298" s="867"/>
      <c r="J298" s="867"/>
    </row>
    <row r="299" spans="2:10">
      <c r="B299" s="133"/>
      <c r="C299" s="867"/>
      <c r="D299" s="867"/>
      <c r="E299" s="867"/>
      <c r="F299" s="867"/>
      <c r="G299" s="867"/>
      <c r="H299" s="321"/>
      <c r="I299" s="321"/>
      <c r="J299" s="321"/>
    </row>
    <row r="300" spans="2:10">
      <c r="B300" s="59" t="s">
        <v>302</v>
      </c>
      <c r="C300" s="449"/>
      <c r="D300" s="449"/>
      <c r="E300" s="449"/>
      <c r="F300" s="449"/>
      <c r="G300" s="449"/>
      <c r="H300" s="449"/>
      <c r="I300" s="449"/>
      <c r="J300" s="449"/>
    </row>
    <row r="301" spans="2:10">
      <c r="B301" s="59"/>
      <c r="C301" s="449"/>
      <c r="D301" s="449"/>
      <c r="E301" s="449"/>
      <c r="F301" s="449"/>
      <c r="G301" s="449"/>
      <c r="H301" s="449"/>
      <c r="I301" s="449"/>
      <c r="J301" s="449"/>
    </row>
    <row r="302" spans="2:10" ht="26">
      <c r="B302" s="59" t="s">
        <v>1563</v>
      </c>
      <c r="C302" s="449"/>
      <c r="D302" s="449"/>
      <c r="E302" s="449"/>
      <c r="F302" s="449"/>
      <c r="G302" s="449"/>
      <c r="H302" s="449"/>
      <c r="I302" s="449"/>
      <c r="J302" s="449"/>
    </row>
    <row r="303" spans="2:10">
      <c r="B303" s="71" t="s">
        <v>331</v>
      </c>
      <c r="C303" s="645">
        <v>17</v>
      </c>
      <c r="D303" s="645">
        <v>19</v>
      </c>
      <c r="E303" s="645">
        <v>19</v>
      </c>
      <c r="F303" s="645">
        <v>19</v>
      </c>
      <c r="G303" s="645">
        <v>23</v>
      </c>
      <c r="H303" s="645">
        <v>23</v>
      </c>
      <c r="I303" s="645">
        <v>23</v>
      </c>
      <c r="J303" s="645">
        <v>24</v>
      </c>
    </row>
    <row r="304" spans="2:10">
      <c r="B304" s="133" t="s">
        <v>330</v>
      </c>
      <c r="C304" s="645">
        <v>14</v>
      </c>
      <c r="D304" s="645">
        <v>15</v>
      </c>
      <c r="E304" s="645">
        <v>15</v>
      </c>
      <c r="F304" s="645">
        <v>15</v>
      </c>
      <c r="G304" s="645">
        <v>17</v>
      </c>
      <c r="H304" s="645">
        <v>17</v>
      </c>
      <c r="I304" s="645">
        <v>17</v>
      </c>
      <c r="J304" s="645">
        <v>23</v>
      </c>
    </row>
    <row r="305" spans="2:10">
      <c r="B305" s="52" t="s">
        <v>260</v>
      </c>
      <c r="C305" s="645">
        <v>13</v>
      </c>
      <c r="D305" s="645">
        <v>14</v>
      </c>
      <c r="E305" s="645">
        <v>14</v>
      </c>
      <c r="F305" s="645">
        <v>14</v>
      </c>
      <c r="G305" s="645">
        <v>16</v>
      </c>
      <c r="H305" s="645">
        <v>16</v>
      </c>
      <c r="I305" s="645">
        <v>16</v>
      </c>
      <c r="J305" s="645">
        <v>12</v>
      </c>
    </row>
    <row r="306" spans="2:10">
      <c r="B306" s="52" t="s">
        <v>329</v>
      </c>
      <c r="C306" s="645">
        <v>1</v>
      </c>
      <c r="D306" s="645">
        <v>1</v>
      </c>
      <c r="E306" s="645">
        <v>1</v>
      </c>
      <c r="F306" s="645">
        <v>1</v>
      </c>
      <c r="G306" s="645">
        <v>1</v>
      </c>
      <c r="H306" s="645">
        <v>1</v>
      </c>
      <c r="I306" s="645">
        <v>1</v>
      </c>
      <c r="J306" s="645">
        <v>1</v>
      </c>
    </row>
    <row r="307" spans="2:10">
      <c r="B307" s="52" t="s">
        <v>328</v>
      </c>
      <c r="C307" s="645">
        <v>3</v>
      </c>
      <c r="D307" s="645">
        <v>4</v>
      </c>
      <c r="E307" s="645">
        <v>4</v>
      </c>
      <c r="F307" s="645">
        <v>4</v>
      </c>
      <c r="G307" s="645">
        <v>6</v>
      </c>
      <c r="H307" s="645">
        <v>6</v>
      </c>
      <c r="I307" s="645">
        <v>6</v>
      </c>
      <c r="J307" s="645">
        <v>11</v>
      </c>
    </row>
    <row r="308" spans="2:10">
      <c r="B308" s="136" t="s">
        <v>327</v>
      </c>
      <c r="C308" s="323">
        <v>0</v>
      </c>
      <c r="D308" s="323">
        <v>0</v>
      </c>
      <c r="E308" s="323">
        <v>0</v>
      </c>
      <c r="F308" s="323">
        <v>0</v>
      </c>
      <c r="G308" s="323">
        <v>0</v>
      </c>
      <c r="H308" s="323">
        <v>0</v>
      </c>
      <c r="I308" s="323">
        <v>0</v>
      </c>
      <c r="J308" s="323">
        <v>0</v>
      </c>
    </row>
    <row r="309" spans="2:10">
      <c r="B309" s="136" t="s">
        <v>326</v>
      </c>
      <c r="C309" s="323">
        <v>0</v>
      </c>
      <c r="D309" s="323">
        <v>0</v>
      </c>
      <c r="E309" s="323">
        <v>0</v>
      </c>
      <c r="F309" s="323">
        <v>0</v>
      </c>
      <c r="G309" s="323">
        <v>0</v>
      </c>
      <c r="H309" s="323">
        <v>0</v>
      </c>
      <c r="I309" s="323">
        <v>0</v>
      </c>
      <c r="J309" s="323">
        <v>0</v>
      </c>
    </row>
    <row r="310" spans="2:10">
      <c r="B310" s="136" t="s">
        <v>325</v>
      </c>
      <c r="C310" s="302">
        <v>0</v>
      </c>
      <c r="D310" s="302">
        <v>0</v>
      </c>
      <c r="E310" s="302">
        <v>0</v>
      </c>
      <c r="F310" s="302">
        <v>0</v>
      </c>
      <c r="G310" s="302">
        <v>0</v>
      </c>
      <c r="H310" s="302">
        <v>0</v>
      </c>
      <c r="I310" s="302">
        <v>0</v>
      </c>
      <c r="J310" s="645">
        <v>0</v>
      </c>
    </row>
    <row r="311" spans="2:10">
      <c r="B311" s="136" t="s">
        <v>323</v>
      </c>
      <c r="C311" s="645">
        <v>3</v>
      </c>
      <c r="D311" s="645">
        <v>4</v>
      </c>
      <c r="E311" s="645">
        <v>4</v>
      </c>
      <c r="F311" s="645">
        <v>4</v>
      </c>
      <c r="G311" s="645">
        <v>6</v>
      </c>
      <c r="H311" s="645">
        <v>6</v>
      </c>
      <c r="I311" s="645">
        <v>6</v>
      </c>
      <c r="J311" s="645">
        <v>7</v>
      </c>
    </row>
    <row r="312" spans="2:10">
      <c r="B312" s="136" t="s">
        <v>117</v>
      </c>
      <c r="C312" s="323">
        <v>0</v>
      </c>
      <c r="D312" s="323">
        <v>0</v>
      </c>
      <c r="E312" s="323">
        <v>0</v>
      </c>
      <c r="F312" s="323">
        <v>0</v>
      </c>
      <c r="G312" s="323">
        <v>0</v>
      </c>
      <c r="H312" s="321">
        <v>0</v>
      </c>
      <c r="I312" s="321">
        <v>0</v>
      </c>
      <c r="J312" s="645">
        <v>0</v>
      </c>
    </row>
    <row r="313" spans="2:10" ht="15" thickBot="1">
      <c r="B313" s="133" t="s">
        <v>322</v>
      </c>
      <c r="C313" s="867">
        <v>0</v>
      </c>
      <c r="D313" s="867">
        <v>0</v>
      </c>
      <c r="E313" s="867">
        <v>0</v>
      </c>
      <c r="F313" s="867">
        <v>0</v>
      </c>
      <c r="G313" s="867">
        <v>0</v>
      </c>
      <c r="H313" s="321">
        <v>0</v>
      </c>
      <c r="I313" s="321">
        <v>0</v>
      </c>
      <c r="J313" s="645">
        <v>0</v>
      </c>
    </row>
    <row r="314" spans="2:10" ht="15" thickTop="1">
      <c r="B314" s="2025" t="s">
        <v>1535</v>
      </c>
      <c r="C314" s="2025"/>
      <c r="D314" s="2025"/>
      <c r="E314" s="2025"/>
      <c r="F314" s="2025"/>
      <c r="G314" s="2025"/>
      <c r="H314" s="2025"/>
      <c r="I314" s="2025"/>
      <c r="J314" s="2025"/>
    </row>
    <row r="315" spans="2:10">
      <c r="B315" s="2066"/>
      <c r="C315" s="2066"/>
      <c r="D315" s="2066"/>
      <c r="E315" s="2066"/>
      <c r="F315" s="2066"/>
      <c r="G315" s="2066"/>
      <c r="H315" s="2066"/>
      <c r="I315" s="2066"/>
      <c r="J315" s="2066"/>
    </row>
    <row r="316" spans="2:10">
      <c r="B316" s="64"/>
      <c r="C316" s="302"/>
      <c r="D316" s="302"/>
      <c r="E316" s="302"/>
      <c r="F316" s="302"/>
      <c r="G316" s="302"/>
      <c r="H316" s="302"/>
      <c r="I316" s="302"/>
      <c r="J316" s="302"/>
    </row>
    <row r="317" spans="2:10">
      <c r="B317" s="2097" t="s">
        <v>320</v>
      </c>
      <c r="C317" s="2097"/>
      <c r="D317" s="2097"/>
      <c r="E317" s="2097"/>
      <c r="F317" s="2097"/>
      <c r="G317" s="2097"/>
      <c r="H317" s="2097"/>
      <c r="I317" s="2097"/>
      <c r="J317" s="2097"/>
    </row>
    <row r="318" spans="2:10">
      <c r="B318" s="2102" t="s">
        <v>319</v>
      </c>
      <c r="C318" s="2105"/>
      <c r="D318" s="2105"/>
      <c r="E318" s="2105"/>
      <c r="F318" s="2105"/>
      <c r="G318" s="2105"/>
      <c r="H318" s="2105"/>
      <c r="I318" s="2105"/>
      <c r="J318" s="2105"/>
    </row>
    <row r="319" spans="2:10">
      <c r="B319" s="62" t="s">
        <v>242</v>
      </c>
      <c r="C319" s="302"/>
      <c r="D319" s="302"/>
      <c r="E319" s="302"/>
      <c r="F319" s="302"/>
      <c r="G319" s="302"/>
      <c r="H319" s="302"/>
      <c r="I319" s="302"/>
      <c r="J319" s="302"/>
    </row>
    <row r="320" spans="2:10">
      <c r="B320" s="64"/>
      <c r="C320" s="302"/>
      <c r="D320" s="302"/>
      <c r="E320" s="302"/>
      <c r="F320" s="302"/>
      <c r="G320" s="302"/>
      <c r="H320" s="302"/>
      <c r="I320" s="302"/>
      <c r="J320" s="302"/>
    </row>
    <row r="321" spans="2:11">
      <c r="B321" s="61"/>
      <c r="C321" s="850">
        <v>2014</v>
      </c>
      <c r="D321" s="850">
        <v>2015</v>
      </c>
      <c r="E321" s="850">
        <v>2016</v>
      </c>
      <c r="F321" s="850">
        <v>2017</v>
      </c>
      <c r="G321" s="850">
        <v>2018</v>
      </c>
      <c r="H321" s="850">
        <v>2019</v>
      </c>
      <c r="I321" s="850">
        <v>2020</v>
      </c>
      <c r="J321" s="850">
        <v>2021</v>
      </c>
    </row>
    <row r="322" spans="2:11">
      <c r="B322" s="114" t="s">
        <v>310</v>
      </c>
      <c r="C322" s="217"/>
      <c r="D322" s="217"/>
      <c r="E322" s="217"/>
      <c r="F322" s="217"/>
      <c r="G322" s="217"/>
      <c r="H322" s="217"/>
      <c r="I322" s="217"/>
      <c r="J322" s="217"/>
    </row>
    <row r="323" spans="2:11">
      <c r="B323" s="114"/>
      <c r="C323" s="217"/>
      <c r="D323" s="217"/>
      <c r="E323" s="217"/>
      <c r="F323" s="217"/>
      <c r="G323" s="217"/>
      <c r="H323" s="217"/>
      <c r="I323" s="217"/>
      <c r="J323" s="217"/>
    </row>
    <row r="324" spans="2:11">
      <c r="B324" s="59" t="s">
        <v>94</v>
      </c>
      <c r="C324" s="217"/>
      <c r="D324" s="217"/>
      <c r="E324" s="217"/>
      <c r="F324" s="217"/>
      <c r="G324" s="217"/>
      <c r="H324" s="217"/>
      <c r="I324" s="217"/>
      <c r="J324" s="217"/>
    </row>
    <row r="325" spans="2:11">
      <c r="B325" s="71" t="s">
        <v>297</v>
      </c>
      <c r="C325" s="102">
        <v>56491</v>
      </c>
      <c r="D325" s="102">
        <v>70238</v>
      </c>
      <c r="E325" s="102">
        <v>81608</v>
      </c>
      <c r="F325" s="102">
        <v>86254</v>
      </c>
      <c r="G325" s="102">
        <v>91872</v>
      </c>
      <c r="H325" s="102">
        <v>96757</v>
      </c>
      <c r="I325" s="102">
        <v>108472</v>
      </c>
      <c r="J325" s="102">
        <v>1347691</v>
      </c>
    </row>
    <row r="326" spans="2:11">
      <c r="B326" s="133" t="s">
        <v>296</v>
      </c>
      <c r="C326" s="102">
        <v>52502</v>
      </c>
      <c r="D326" s="102">
        <v>66596</v>
      </c>
      <c r="E326" s="102">
        <v>77462</v>
      </c>
      <c r="F326" s="102">
        <v>81798</v>
      </c>
      <c r="G326" s="102">
        <v>87175</v>
      </c>
      <c r="H326" s="102">
        <v>91840</v>
      </c>
      <c r="I326" s="102">
        <v>104282</v>
      </c>
      <c r="J326" s="102">
        <v>1343722</v>
      </c>
    </row>
    <row r="327" spans="2:11">
      <c r="B327" s="132" t="s">
        <v>295</v>
      </c>
      <c r="C327" s="214">
        <v>2134</v>
      </c>
      <c r="D327" s="214">
        <v>2240</v>
      </c>
      <c r="E327" s="214">
        <v>2619</v>
      </c>
      <c r="F327" s="214">
        <v>2581</v>
      </c>
      <c r="G327" s="214">
        <v>2717</v>
      </c>
      <c r="H327" s="214">
        <v>2964</v>
      </c>
      <c r="I327" s="214">
        <v>2639</v>
      </c>
      <c r="J327" s="102">
        <v>1831</v>
      </c>
    </row>
    <row r="328" spans="2:11">
      <c r="B328" s="132" t="s">
        <v>303</v>
      </c>
      <c r="C328" s="214">
        <v>1855</v>
      </c>
      <c r="D328" s="214">
        <v>1402</v>
      </c>
      <c r="E328" s="214">
        <v>1527</v>
      </c>
      <c r="F328" s="214">
        <v>1875</v>
      </c>
      <c r="G328" s="214">
        <v>1980</v>
      </c>
      <c r="H328" s="214">
        <v>1953</v>
      </c>
      <c r="I328" s="214">
        <v>1551</v>
      </c>
      <c r="J328" s="102">
        <v>1448</v>
      </c>
    </row>
    <row r="329" spans="2:11">
      <c r="B329" s="65" t="s">
        <v>287</v>
      </c>
      <c r="C329" s="1696">
        <v>1</v>
      </c>
      <c r="D329" s="1696">
        <v>0.99999999999999989</v>
      </c>
      <c r="E329" s="1696">
        <v>1</v>
      </c>
      <c r="F329" s="1696">
        <v>1</v>
      </c>
      <c r="G329" s="1696">
        <v>1</v>
      </c>
      <c r="H329" s="1696">
        <v>1</v>
      </c>
      <c r="I329" s="1696">
        <v>1</v>
      </c>
      <c r="J329" s="102">
        <v>1</v>
      </c>
    </row>
    <row r="330" spans="2:11">
      <c r="B330" s="136"/>
      <c r="C330" s="129"/>
      <c r="D330" s="129"/>
      <c r="E330" s="129"/>
      <c r="F330" s="129"/>
      <c r="G330" s="129"/>
      <c r="H330" s="129"/>
      <c r="I330" s="129"/>
      <c r="J330" s="129"/>
    </row>
    <row r="331" spans="2:11">
      <c r="B331" s="114" t="s">
        <v>302</v>
      </c>
      <c r="C331" s="241"/>
      <c r="D331" s="241"/>
      <c r="E331" s="241"/>
      <c r="F331" s="241"/>
      <c r="G331" s="241"/>
      <c r="H331" s="241"/>
      <c r="I331" s="241"/>
      <c r="J331" s="241"/>
    </row>
    <row r="332" spans="2:11">
      <c r="B332" s="114"/>
      <c r="C332" s="241"/>
      <c r="D332" s="241"/>
      <c r="E332" s="241"/>
      <c r="F332" s="241"/>
      <c r="G332" s="241"/>
      <c r="H332" s="241"/>
      <c r="I332" s="241"/>
      <c r="J332" s="241"/>
    </row>
    <row r="333" spans="2:11">
      <c r="B333" s="2118" t="s">
        <v>1564</v>
      </c>
      <c r="C333" s="2105"/>
      <c r="D333" s="2105"/>
      <c r="E333" s="2105"/>
      <c r="F333" s="2105"/>
      <c r="G333" s="2105"/>
      <c r="H333" s="2105"/>
      <c r="I333" s="2105"/>
      <c r="J333" s="2105"/>
    </row>
    <row r="334" spans="2:11">
      <c r="B334" s="71" t="s">
        <v>297</v>
      </c>
      <c r="C334" s="139">
        <f>+C336+C341</f>
        <v>6.0835779999999993</v>
      </c>
      <c r="D334" s="139">
        <f t="shared" ref="D334:J334" si="7">+D336+D341</f>
        <v>5.9242574680000004</v>
      </c>
      <c r="E334" s="139">
        <f t="shared" si="7"/>
        <v>5.9332080000000005</v>
      </c>
      <c r="F334" s="139">
        <f t="shared" si="7"/>
        <v>5.8288060000000002</v>
      </c>
      <c r="G334" s="139">
        <f t="shared" si="7"/>
        <v>5.6962530000000005</v>
      </c>
      <c r="H334" s="139">
        <f t="shared" si="7"/>
        <v>5.3676560000000002</v>
      </c>
      <c r="I334" s="139">
        <f t="shared" si="7"/>
        <v>3.7566130000000002</v>
      </c>
      <c r="J334" s="139">
        <f t="shared" si="7"/>
        <v>5.7114029330000005</v>
      </c>
    </row>
    <row r="335" spans="2:11">
      <c r="B335" s="133" t="s">
        <v>296</v>
      </c>
      <c r="C335" s="139"/>
      <c r="D335" s="139"/>
      <c r="E335" s="139"/>
      <c r="F335" s="139"/>
      <c r="G335" s="139"/>
      <c r="H335" s="139"/>
      <c r="I335" s="139"/>
      <c r="J335" s="139"/>
      <c r="K335" s="978"/>
    </row>
    <row r="336" spans="2:11">
      <c r="B336" s="131" t="s">
        <v>1565</v>
      </c>
      <c r="C336" s="102">
        <v>6.7028000000000004E-2</v>
      </c>
      <c r="D336" s="102">
        <v>8.746800000000001E-5</v>
      </c>
      <c r="E336" s="102">
        <v>8.0579999999999992E-3</v>
      </c>
      <c r="F336" s="102">
        <v>7.8376000000000001E-2</v>
      </c>
      <c r="G336" s="102">
        <v>8.3252999999999994E-2</v>
      </c>
      <c r="H336" s="102">
        <v>0.13126599999999999</v>
      </c>
      <c r="I336" s="102">
        <v>0.13744300000000001</v>
      </c>
      <c r="J336" s="102">
        <v>2.000642933</v>
      </c>
    </row>
    <row r="337" spans="2:10">
      <c r="B337" s="131" t="s">
        <v>293</v>
      </c>
      <c r="C337" s="139">
        <v>0</v>
      </c>
      <c r="D337" s="139">
        <v>0</v>
      </c>
      <c r="E337" s="139">
        <v>0</v>
      </c>
      <c r="F337" s="139">
        <v>0</v>
      </c>
      <c r="G337" s="139">
        <v>0</v>
      </c>
      <c r="H337" s="139">
        <v>0</v>
      </c>
      <c r="I337" s="139">
        <v>0</v>
      </c>
      <c r="J337" s="139">
        <v>0</v>
      </c>
    </row>
    <row r="338" spans="2:10">
      <c r="B338" s="131" t="s">
        <v>292</v>
      </c>
      <c r="C338" s="139">
        <v>0</v>
      </c>
      <c r="D338" s="139">
        <v>0</v>
      </c>
      <c r="E338" s="139">
        <v>0</v>
      </c>
      <c r="F338" s="139">
        <v>0</v>
      </c>
      <c r="G338" s="139">
        <v>0</v>
      </c>
      <c r="H338" s="139">
        <v>0</v>
      </c>
      <c r="I338" s="139">
        <v>0</v>
      </c>
      <c r="J338" s="139">
        <v>0</v>
      </c>
    </row>
    <row r="339" spans="2:10">
      <c r="B339" s="131" t="s">
        <v>291</v>
      </c>
      <c r="C339" s="139">
        <v>0</v>
      </c>
      <c r="D339" s="139">
        <v>0</v>
      </c>
      <c r="E339" s="139">
        <v>0</v>
      </c>
      <c r="F339" s="139">
        <v>0</v>
      </c>
      <c r="G339" s="139">
        <v>0</v>
      </c>
      <c r="H339" s="139">
        <v>0</v>
      </c>
      <c r="I339" s="139">
        <v>0</v>
      </c>
      <c r="J339" s="139">
        <v>0</v>
      </c>
    </row>
    <row r="340" spans="2:10">
      <c r="B340" s="131" t="s">
        <v>290</v>
      </c>
      <c r="C340" s="139">
        <v>0</v>
      </c>
      <c r="D340" s="139">
        <v>0</v>
      </c>
      <c r="E340" s="139">
        <v>0</v>
      </c>
      <c r="F340" s="139">
        <v>0</v>
      </c>
      <c r="G340" s="139">
        <v>0</v>
      </c>
      <c r="H340" s="139">
        <v>0</v>
      </c>
      <c r="I340" s="139">
        <v>0</v>
      </c>
      <c r="J340" s="139">
        <v>0</v>
      </c>
    </row>
    <row r="341" spans="2:10">
      <c r="B341" s="131" t="s">
        <v>289</v>
      </c>
      <c r="C341" s="139">
        <v>6.0165499999999996</v>
      </c>
      <c r="D341" s="139">
        <v>5.9241700000000002</v>
      </c>
      <c r="E341" s="139">
        <v>5.9251500000000004</v>
      </c>
      <c r="F341" s="139">
        <v>5.7504299999999997</v>
      </c>
      <c r="G341" s="139">
        <v>5.6130000000000004</v>
      </c>
      <c r="H341" s="139">
        <v>5.2363900000000001</v>
      </c>
      <c r="I341" s="139">
        <v>3.61917</v>
      </c>
      <c r="J341" s="139">
        <v>3.7107600000000001</v>
      </c>
    </row>
    <row r="342" spans="2:10">
      <c r="B342" s="131" t="s">
        <v>288</v>
      </c>
      <c r="C342" s="139">
        <v>0</v>
      </c>
      <c r="D342" s="139">
        <v>0</v>
      </c>
      <c r="E342" s="139">
        <v>0</v>
      </c>
      <c r="F342" s="139">
        <v>0</v>
      </c>
      <c r="G342" s="139">
        <v>0</v>
      </c>
      <c r="H342" s="139">
        <v>0</v>
      </c>
      <c r="I342" s="139">
        <v>0</v>
      </c>
      <c r="J342" s="139">
        <v>0</v>
      </c>
    </row>
    <row r="343" spans="2:10">
      <c r="B343" s="132" t="s">
        <v>295</v>
      </c>
      <c r="C343" s="139">
        <v>0</v>
      </c>
      <c r="D343" s="139">
        <v>0</v>
      </c>
      <c r="E343" s="139">
        <v>0</v>
      </c>
      <c r="F343" s="139">
        <v>0</v>
      </c>
      <c r="G343" s="139">
        <v>0</v>
      </c>
      <c r="H343" s="139">
        <v>0</v>
      </c>
      <c r="I343" s="139">
        <v>0</v>
      </c>
      <c r="J343" s="139">
        <v>0</v>
      </c>
    </row>
    <row r="344" spans="2:10">
      <c r="B344" s="131" t="s">
        <v>294</v>
      </c>
      <c r="C344" s="139">
        <v>0</v>
      </c>
      <c r="D344" s="139">
        <v>0</v>
      </c>
      <c r="E344" s="139">
        <v>0</v>
      </c>
      <c r="F344" s="139">
        <v>0</v>
      </c>
      <c r="G344" s="139">
        <v>0</v>
      </c>
      <c r="H344" s="139">
        <v>0</v>
      </c>
      <c r="I344" s="139">
        <v>0</v>
      </c>
      <c r="J344" s="139">
        <v>0</v>
      </c>
    </row>
    <row r="345" spans="2:10">
      <c r="B345" s="131" t="s">
        <v>293</v>
      </c>
      <c r="C345" s="139">
        <v>0</v>
      </c>
      <c r="D345" s="139">
        <v>0</v>
      </c>
      <c r="E345" s="139">
        <v>0</v>
      </c>
      <c r="F345" s="139">
        <v>0</v>
      </c>
      <c r="G345" s="139">
        <v>0</v>
      </c>
      <c r="H345" s="139">
        <v>0</v>
      </c>
      <c r="I345" s="139">
        <v>0</v>
      </c>
      <c r="J345" s="139">
        <v>0</v>
      </c>
    </row>
    <row r="346" spans="2:10">
      <c r="B346" s="131" t="s">
        <v>292</v>
      </c>
      <c r="C346" s="139">
        <v>0</v>
      </c>
      <c r="D346" s="139">
        <v>0</v>
      </c>
      <c r="E346" s="139">
        <v>0</v>
      </c>
      <c r="F346" s="139">
        <v>0</v>
      </c>
      <c r="G346" s="139">
        <v>0</v>
      </c>
      <c r="H346" s="139">
        <v>0</v>
      </c>
      <c r="I346" s="139">
        <v>0</v>
      </c>
      <c r="J346" s="139">
        <v>0</v>
      </c>
    </row>
    <row r="347" spans="2:10">
      <c r="B347" s="131" t="s">
        <v>291</v>
      </c>
      <c r="C347" s="139">
        <v>0</v>
      </c>
      <c r="D347" s="139">
        <v>0</v>
      </c>
      <c r="E347" s="139">
        <v>0</v>
      </c>
      <c r="F347" s="139">
        <v>0</v>
      </c>
      <c r="G347" s="139">
        <v>0</v>
      </c>
      <c r="H347" s="139">
        <v>0</v>
      </c>
      <c r="I347" s="139">
        <v>0</v>
      </c>
      <c r="J347" s="139">
        <v>0</v>
      </c>
    </row>
    <row r="348" spans="2:10">
      <c r="B348" s="131" t="s">
        <v>290</v>
      </c>
      <c r="C348" s="139">
        <v>0</v>
      </c>
      <c r="D348" s="139">
        <v>0</v>
      </c>
      <c r="E348" s="139">
        <v>0</v>
      </c>
      <c r="F348" s="139">
        <v>0</v>
      </c>
      <c r="G348" s="139">
        <v>0</v>
      </c>
      <c r="H348" s="139">
        <v>0</v>
      </c>
      <c r="I348" s="139">
        <v>0</v>
      </c>
      <c r="J348" s="139">
        <v>0</v>
      </c>
    </row>
    <row r="349" spans="2:10">
      <c r="B349" s="131" t="s">
        <v>289</v>
      </c>
      <c r="C349" s="139">
        <v>0</v>
      </c>
      <c r="D349" s="139">
        <v>0</v>
      </c>
      <c r="E349" s="139">
        <v>0</v>
      </c>
      <c r="F349" s="139">
        <v>0</v>
      </c>
      <c r="G349" s="139">
        <v>0</v>
      </c>
      <c r="H349" s="139">
        <v>0</v>
      </c>
      <c r="I349" s="139">
        <v>0</v>
      </c>
      <c r="J349" s="139">
        <v>0</v>
      </c>
    </row>
    <row r="350" spans="2:10">
      <c r="B350" s="131" t="s">
        <v>288</v>
      </c>
      <c r="C350" s="139">
        <v>0</v>
      </c>
      <c r="D350" s="139">
        <v>0</v>
      </c>
      <c r="E350" s="139">
        <v>0</v>
      </c>
      <c r="F350" s="139">
        <v>0</v>
      </c>
      <c r="G350" s="139">
        <v>0</v>
      </c>
      <c r="H350" s="139">
        <v>0</v>
      </c>
      <c r="I350" s="139">
        <v>0</v>
      </c>
      <c r="J350" s="139">
        <v>0</v>
      </c>
    </row>
    <row r="351" spans="2:10" ht="15" thickBot="1">
      <c r="B351" s="65" t="s">
        <v>287</v>
      </c>
      <c r="C351" s="102">
        <v>0</v>
      </c>
      <c r="D351" s="102">
        <v>0</v>
      </c>
      <c r="E351" s="102">
        <v>0</v>
      </c>
      <c r="F351" s="102">
        <v>0</v>
      </c>
      <c r="G351" s="102">
        <v>0</v>
      </c>
      <c r="H351" s="102">
        <v>0</v>
      </c>
      <c r="I351" s="102">
        <v>0</v>
      </c>
      <c r="J351" s="102">
        <v>0</v>
      </c>
    </row>
    <row r="352" spans="2:10" ht="15" thickTop="1">
      <c r="B352" s="2025" t="s">
        <v>1535</v>
      </c>
      <c r="C352" s="2025"/>
      <c r="D352" s="2025"/>
      <c r="E352" s="2025"/>
      <c r="F352" s="2025"/>
      <c r="G352" s="2025"/>
      <c r="H352" s="2025"/>
      <c r="I352" s="2025"/>
      <c r="J352" s="2025"/>
    </row>
    <row r="353" spans="2:10">
      <c r="B353" s="2066"/>
      <c r="C353" s="2066"/>
      <c r="D353" s="2066"/>
      <c r="E353" s="2066"/>
      <c r="F353" s="2066"/>
      <c r="G353" s="2066"/>
      <c r="H353" s="2066"/>
      <c r="I353" s="2066"/>
      <c r="J353" s="2066"/>
    </row>
    <row r="354" spans="2:10">
      <c r="B354" s="64"/>
      <c r="C354" s="302"/>
      <c r="D354" s="302"/>
      <c r="E354" s="302"/>
      <c r="F354" s="302"/>
      <c r="G354" s="302"/>
      <c r="H354" s="302"/>
      <c r="I354" s="302"/>
      <c r="J354" s="302"/>
    </row>
    <row r="355" spans="2:10">
      <c r="B355" s="2097" t="s">
        <v>313</v>
      </c>
      <c r="C355" s="2097"/>
      <c r="D355" s="2097"/>
      <c r="E355" s="2097"/>
      <c r="F355" s="2097"/>
      <c r="G355" s="2097"/>
      <c r="H355" s="2097"/>
      <c r="I355" s="2097"/>
      <c r="J355" s="2097"/>
    </row>
    <row r="356" spans="2:10">
      <c r="B356" s="2102" t="s">
        <v>312</v>
      </c>
      <c r="C356" s="2105"/>
      <c r="D356" s="2105"/>
      <c r="E356" s="2105"/>
      <c r="F356" s="2105"/>
      <c r="G356" s="2105"/>
      <c r="H356" s="2105"/>
      <c r="I356" s="2105"/>
      <c r="J356" s="2105"/>
    </row>
    <row r="357" spans="2:10">
      <c r="B357" s="62" t="s">
        <v>311</v>
      </c>
      <c r="C357" s="302"/>
      <c r="D357" s="302"/>
      <c r="E357" s="302"/>
      <c r="F357" s="302"/>
      <c r="G357" s="302"/>
      <c r="H357" s="302"/>
      <c r="I357" s="302"/>
      <c r="J357" s="302"/>
    </row>
    <row r="358" spans="2:10">
      <c r="B358" s="64"/>
      <c r="C358" s="302"/>
      <c r="D358" s="302"/>
      <c r="E358" s="302"/>
      <c r="F358" s="302"/>
      <c r="G358" s="302"/>
      <c r="H358" s="302"/>
      <c r="I358" s="302"/>
      <c r="J358" s="302"/>
    </row>
    <row r="359" spans="2:10">
      <c r="B359" s="61"/>
      <c r="C359" s="850">
        <v>2014</v>
      </c>
      <c r="D359" s="850">
        <v>2015</v>
      </c>
      <c r="E359" s="850">
        <v>2016</v>
      </c>
      <c r="F359" s="850">
        <v>2017</v>
      </c>
      <c r="G359" s="850">
        <v>2018</v>
      </c>
      <c r="H359" s="850">
        <v>2019</v>
      </c>
      <c r="I359" s="850">
        <v>2020</v>
      </c>
      <c r="J359" s="850">
        <v>2021</v>
      </c>
    </row>
    <row r="360" spans="2:10">
      <c r="B360" s="114" t="s">
        <v>310</v>
      </c>
      <c r="C360" s="217"/>
      <c r="D360" s="217"/>
      <c r="E360" s="217"/>
      <c r="F360" s="217"/>
      <c r="G360" s="217"/>
      <c r="H360" s="217"/>
      <c r="I360" s="217"/>
      <c r="J360" s="217"/>
    </row>
    <row r="361" spans="2:10">
      <c r="B361" s="114"/>
      <c r="C361" s="217"/>
      <c r="D361" s="217"/>
      <c r="E361" s="217"/>
      <c r="F361" s="217"/>
      <c r="G361" s="217"/>
      <c r="H361" s="217"/>
      <c r="I361" s="217"/>
      <c r="J361" s="217"/>
    </row>
    <row r="362" spans="2:10">
      <c r="B362" s="71" t="s">
        <v>297</v>
      </c>
      <c r="C362" s="214">
        <v>82385.425235680013</v>
      </c>
      <c r="D362" s="214">
        <v>44242.292580699992</v>
      </c>
      <c r="E362" s="214">
        <v>51867.062172799997</v>
      </c>
      <c r="F362" s="214">
        <v>52822.694535260001</v>
      </c>
      <c r="G362" s="214">
        <v>58442.951032870005</v>
      </c>
      <c r="H362" s="214">
        <v>65830.727987850012</v>
      </c>
      <c r="I362" s="214">
        <v>69205.105368930002</v>
      </c>
      <c r="J362" s="214">
        <v>86751.77</v>
      </c>
    </row>
    <row r="363" spans="2:10">
      <c r="B363" s="133" t="s">
        <v>296</v>
      </c>
      <c r="C363" s="214">
        <v>69334.58489530001</v>
      </c>
      <c r="D363" s="214">
        <v>34579.982401479996</v>
      </c>
      <c r="E363" s="214">
        <v>39764.220723999999</v>
      </c>
      <c r="F363" s="214">
        <v>39718.113328830004</v>
      </c>
      <c r="G363" s="214">
        <v>45359.355052710001</v>
      </c>
      <c r="H363" s="214">
        <v>50834.413641600004</v>
      </c>
      <c r="I363" s="214">
        <v>55871.260680519998</v>
      </c>
      <c r="J363" s="214">
        <v>71525.33</v>
      </c>
    </row>
    <row r="364" spans="2:10">
      <c r="B364" s="132" t="s">
        <v>295</v>
      </c>
      <c r="C364" s="214">
        <v>6764.98187942</v>
      </c>
      <c r="D364" s="214">
        <v>4945.3903449499994</v>
      </c>
      <c r="E364" s="214">
        <v>6113.3241088500008</v>
      </c>
      <c r="F364" s="214">
        <v>6568.4286808400002</v>
      </c>
      <c r="G364" s="214">
        <v>6756.5049371899995</v>
      </c>
      <c r="H364" s="214">
        <v>7520.1104092799997</v>
      </c>
      <c r="I364" s="214">
        <v>7013.5850356299998</v>
      </c>
      <c r="J364" s="214">
        <v>7686.03</v>
      </c>
    </row>
    <row r="365" spans="2:10">
      <c r="B365" s="132" t="s">
        <v>303</v>
      </c>
      <c r="C365" s="214">
        <v>6285.8584609600002</v>
      </c>
      <c r="D365" s="214">
        <v>4716.9198342699992</v>
      </c>
      <c r="E365" s="214">
        <v>5989.51733995</v>
      </c>
      <c r="F365" s="214">
        <v>6536.1525255899996</v>
      </c>
      <c r="G365" s="214">
        <v>6327.0910429700007</v>
      </c>
      <c r="H365" s="214">
        <v>7476.2039369700005</v>
      </c>
      <c r="I365" s="214">
        <v>6320.2596527799997</v>
      </c>
      <c r="J365" s="214">
        <v>7344.72</v>
      </c>
    </row>
    <row r="366" spans="2:10">
      <c r="B366" s="65" t="s">
        <v>287</v>
      </c>
      <c r="C366" s="1696">
        <v>1</v>
      </c>
      <c r="D366" s="1696">
        <v>1</v>
      </c>
      <c r="E366" s="1696">
        <v>1.0000000000000002</v>
      </c>
      <c r="F366" s="1696">
        <v>1</v>
      </c>
      <c r="G366" s="1696">
        <v>0.99999999999999989</v>
      </c>
      <c r="H366" s="1696">
        <v>0.99999999999999978</v>
      </c>
      <c r="I366" s="1696">
        <v>0.99999999999999978</v>
      </c>
      <c r="J366" s="1696">
        <v>0.99999999999999978</v>
      </c>
    </row>
    <row r="367" spans="2:10">
      <c r="B367" s="136"/>
      <c r="C367" s="129"/>
      <c r="D367" s="129"/>
      <c r="E367" s="129"/>
      <c r="F367" s="129"/>
      <c r="G367" s="129"/>
      <c r="H367" s="129"/>
      <c r="I367" s="129"/>
      <c r="J367" s="129"/>
    </row>
    <row r="368" spans="2:10">
      <c r="B368" s="114" t="s">
        <v>302</v>
      </c>
      <c r="C368" s="241"/>
      <c r="D368" s="241"/>
      <c r="E368" s="241"/>
      <c r="F368" s="241"/>
      <c r="G368" s="241"/>
      <c r="H368" s="241"/>
      <c r="I368" s="241"/>
      <c r="J368" s="241"/>
    </row>
    <row r="369" spans="2:12">
      <c r="B369" s="114"/>
      <c r="C369" s="241"/>
      <c r="D369" s="241"/>
      <c r="E369" s="241"/>
      <c r="F369" s="241"/>
      <c r="G369" s="241"/>
      <c r="H369" s="241"/>
      <c r="I369" s="241"/>
      <c r="J369" s="241"/>
    </row>
    <row r="370" spans="2:12">
      <c r="B370" s="59" t="s">
        <v>1564</v>
      </c>
      <c r="C370" s="302"/>
      <c r="D370" s="302"/>
      <c r="E370" s="302"/>
      <c r="F370" s="302"/>
      <c r="G370" s="302"/>
      <c r="H370" s="302"/>
      <c r="I370" s="302"/>
      <c r="J370" s="302"/>
    </row>
    <row r="371" spans="2:12">
      <c r="B371" s="71" t="s">
        <v>297</v>
      </c>
      <c r="C371" s="102">
        <f>+C373+C378</f>
        <v>28691.228139999999</v>
      </c>
      <c r="D371" s="102">
        <f t="shared" ref="D371:J371" si="8">+D373+D378</f>
        <v>27475.611666999997</v>
      </c>
      <c r="E371" s="102">
        <f t="shared" si="8"/>
        <v>26692.941897000001</v>
      </c>
      <c r="F371" s="102">
        <f t="shared" si="8"/>
        <v>26903.484468999999</v>
      </c>
      <c r="G371" s="102">
        <f t="shared" si="8"/>
        <v>27133.309515000001</v>
      </c>
      <c r="H371" s="102">
        <f t="shared" si="8"/>
        <v>27683.230004000001</v>
      </c>
      <c r="I371" s="102">
        <f t="shared" si="8"/>
        <v>22790.804095</v>
      </c>
      <c r="J371" s="102">
        <f t="shared" si="8"/>
        <v>26543.189083000001</v>
      </c>
    </row>
    <row r="372" spans="2:12">
      <c r="B372" s="133" t="s">
        <v>296</v>
      </c>
      <c r="C372" s="102"/>
      <c r="D372" s="102"/>
      <c r="E372" s="102"/>
      <c r="F372" s="102"/>
      <c r="G372" s="102"/>
      <c r="H372" s="102"/>
      <c r="I372" s="102"/>
      <c r="J372" s="102"/>
    </row>
    <row r="373" spans="2:12">
      <c r="B373" s="131" t="s">
        <v>1565</v>
      </c>
      <c r="C373" s="214">
        <v>2872.4681399999999</v>
      </c>
      <c r="D373" s="214">
        <v>3774.1016669999999</v>
      </c>
      <c r="E373" s="214">
        <v>3787.2218969999999</v>
      </c>
      <c r="F373" s="214">
        <v>4136.8144689999999</v>
      </c>
      <c r="G373" s="214">
        <v>4481.4995150000004</v>
      </c>
      <c r="H373" s="214">
        <v>4724.0100039999998</v>
      </c>
      <c r="I373" s="214">
        <v>5119.4440949999998</v>
      </c>
      <c r="J373" s="214">
        <v>6054.8590830000003</v>
      </c>
    </row>
    <row r="374" spans="2:12">
      <c r="B374" s="131" t="s">
        <v>293</v>
      </c>
      <c r="C374" s="102">
        <v>0</v>
      </c>
      <c r="D374" s="102">
        <v>0</v>
      </c>
      <c r="E374" s="102">
        <v>0</v>
      </c>
      <c r="F374" s="102">
        <v>0</v>
      </c>
      <c r="G374" s="102">
        <v>0</v>
      </c>
      <c r="H374" s="102">
        <v>0</v>
      </c>
      <c r="I374" s="102">
        <v>0</v>
      </c>
      <c r="J374" s="102">
        <v>0</v>
      </c>
    </row>
    <row r="375" spans="2:12">
      <c r="B375" s="131" t="s">
        <v>292</v>
      </c>
      <c r="C375" s="102">
        <v>0</v>
      </c>
      <c r="D375" s="102">
        <v>0</v>
      </c>
      <c r="E375" s="102">
        <v>0</v>
      </c>
      <c r="F375" s="102">
        <v>0</v>
      </c>
      <c r="G375" s="102">
        <v>0</v>
      </c>
      <c r="H375" s="102">
        <v>0</v>
      </c>
      <c r="I375" s="102">
        <v>0</v>
      </c>
      <c r="J375" s="102">
        <v>0</v>
      </c>
    </row>
    <row r="376" spans="2:12">
      <c r="B376" s="131" t="s">
        <v>291</v>
      </c>
      <c r="C376" s="102">
        <v>0</v>
      </c>
      <c r="D376" s="102">
        <v>0</v>
      </c>
      <c r="E376" s="102">
        <v>0</v>
      </c>
      <c r="F376" s="102">
        <v>0</v>
      </c>
      <c r="G376" s="102">
        <v>0</v>
      </c>
      <c r="H376" s="102">
        <v>0</v>
      </c>
      <c r="I376" s="102">
        <v>0</v>
      </c>
      <c r="J376" s="102">
        <v>0</v>
      </c>
    </row>
    <row r="377" spans="2:12">
      <c r="B377" s="131" t="s">
        <v>290</v>
      </c>
      <c r="C377" s="102">
        <v>0</v>
      </c>
      <c r="D377" s="102">
        <v>0</v>
      </c>
      <c r="E377" s="102">
        <v>0</v>
      </c>
      <c r="F377" s="102">
        <v>0</v>
      </c>
      <c r="G377" s="102">
        <v>0</v>
      </c>
      <c r="H377" s="102">
        <v>0</v>
      </c>
      <c r="I377" s="102">
        <v>0</v>
      </c>
      <c r="J377" s="102">
        <v>0</v>
      </c>
      <c r="K377" s="977"/>
      <c r="L377" s="977"/>
    </row>
    <row r="378" spans="2:12">
      <c r="B378" s="131" t="s">
        <v>289</v>
      </c>
      <c r="C378" s="214">
        <v>25818.76</v>
      </c>
      <c r="D378" s="214">
        <v>23701.51</v>
      </c>
      <c r="E378" s="214">
        <v>22905.72</v>
      </c>
      <c r="F378" s="214">
        <v>22766.67</v>
      </c>
      <c r="G378" s="214">
        <v>22651.81</v>
      </c>
      <c r="H378" s="214">
        <v>22959.22</v>
      </c>
      <c r="I378" s="214">
        <v>17671.36</v>
      </c>
      <c r="J378" s="214">
        <v>20488.330000000002</v>
      </c>
      <c r="K378" s="977"/>
    </row>
    <row r="379" spans="2:12">
      <c r="B379" s="131" t="s">
        <v>288</v>
      </c>
      <c r="C379" s="102">
        <v>0</v>
      </c>
      <c r="D379" s="102">
        <v>0</v>
      </c>
      <c r="E379" s="102">
        <v>0</v>
      </c>
      <c r="F379" s="102">
        <v>0</v>
      </c>
      <c r="G379" s="102">
        <v>0</v>
      </c>
      <c r="H379" s="102">
        <v>0</v>
      </c>
      <c r="I379" s="102">
        <v>0</v>
      </c>
      <c r="J379" s="102">
        <v>0</v>
      </c>
    </row>
    <row r="380" spans="2:12">
      <c r="B380" s="132" t="s">
        <v>295</v>
      </c>
      <c r="C380" s="102">
        <v>0</v>
      </c>
      <c r="D380" s="102">
        <v>0</v>
      </c>
      <c r="E380" s="102">
        <v>0</v>
      </c>
      <c r="F380" s="102">
        <v>0</v>
      </c>
      <c r="G380" s="102">
        <v>0</v>
      </c>
      <c r="H380" s="102">
        <v>0</v>
      </c>
      <c r="I380" s="102">
        <v>0</v>
      </c>
      <c r="J380" s="102">
        <v>0</v>
      </c>
    </row>
    <row r="381" spans="2:12">
      <c r="B381" s="131" t="s">
        <v>294</v>
      </c>
      <c r="C381" s="102">
        <v>0</v>
      </c>
      <c r="D381" s="102">
        <v>0</v>
      </c>
      <c r="E381" s="102">
        <v>0</v>
      </c>
      <c r="F381" s="102">
        <v>0</v>
      </c>
      <c r="G381" s="102">
        <v>0</v>
      </c>
      <c r="H381" s="102">
        <v>0</v>
      </c>
      <c r="I381" s="102">
        <v>0</v>
      </c>
      <c r="J381" s="102">
        <v>0</v>
      </c>
    </row>
    <row r="382" spans="2:12">
      <c r="B382" s="131" t="s">
        <v>293</v>
      </c>
      <c r="C382" s="102">
        <v>0</v>
      </c>
      <c r="D382" s="102">
        <v>0</v>
      </c>
      <c r="E382" s="102">
        <v>0</v>
      </c>
      <c r="F382" s="102">
        <v>0</v>
      </c>
      <c r="G382" s="102">
        <v>0</v>
      </c>
      <c r="H382" s="102">
        <v>0</v>
      </c>
      <c r="I382" s="102">
        <v>0</v>
      </c>
      <c r="J382" s="102">
        <v>0</v>
      </c>
    </row>
    <row r="383" spans="2:12">
      <c r="B383" s="131" t="s">
        <v>292</v>
      </c>
      <c r="C383" s="102">
        <v>0</v>
      </c>
      <c r="D383" s="102">
        <v>0</v>
      </c>
      <c r="E383" s="102">
        <v>0</v>
      </c>
      <c r="F383" s="102">
        <v>0</v>
      </c>
      <c r="G383" s="102">
        <v>0</v>
      </c>
      <c r="H383" s="102">
        <v>0</v>
      </c>
      <c r="I383" s="102">
        <v>0</v>
      </c>
      <c r="J383" s="102">
        <v>0</v>
      </c>
    </row>
    <row r="384" spans="2:12">
      <c r="B384" s="131" t="s">
        <v>291</v>
      </c>
      <c r="C384" s="102">
        <v>0</v>
      </c>
      <c r="D384" s="102">
        <v>0</v>
      </c>
      <c r="E384" s="102">
        <v>0</v>
      </c>
      <c r="F384" s="102">
        <v>0</v>
      </c>
      <c r="G384" s="102">
        <v>0</v>
      </c>
      <c r="H384" s="102">
        <v>0</v>
      </c>
      <c r="I384" s="102">
        <v>0</v>
      </c>
      <c r="J384" s="102">
        <v>0</v>
      </c>
    </row>
    <row r="385" spans="2:10">
      <c r="B385" s="131" t="s">
        <v>290</v>
      </c>
      <c r="C385" s="102">
        <v>0</v>
      </c>
      <c r="D385" s="102">
        <v>0</v>
      </c>
      <c r="E385" s="102">
        <v>0</v>
      </c>
      <c r="F385" s="102">
        <v>0</v>
      </c>
      <c r="G385" s="102">
        <v>0</v>
      </c>
      <c r="H385" s="102">
        <v>0</v>
      </c>
      <c r="I385" s="102">
        <v>0</v>
      </c>
      <c r="J385" s="102">
        <v>0</v>
      </c>
    </row>
    <row r="386" spans="2:10">
      <c r="B386" s="131" t="s">
        <v>289</v>
      </c>
      <c r="C386" s="102">
        <v>0</v>
      </c>
      <c r="D386" s="102">
        <v>0</v>
      </c>
      <c r="E386" s="102">
        <v>0</v>
      </c>
      <c r="F386" s="102">
        <v>0</v>
      </c>
      <c r="G386" s="102">
        <v>0</v>
      </c>
      <c r="H386" s="102">
        <v>0</v>
      </c>
      <c r="I386" s="102">
        <v>0</v>
      </c>
      <c r="J386" s="102">
        <v>0</v>
      </c>
    </row>
    <row r="387" spans="2:10">
      <c r="B387" s="131" t="s">
        <v>288</v>
      </c>
      <c r="C387" s="102">
        <v>0</v>
      </c>
      <c r="D387" s="102">
        <v>0</v>
      </c>
      <c r="E387" s="102">
        <v>0</v>
      </c>
      <c r="F387" s="102">
        <v>0</v>
      </c>
      <c r="G387" s="102">
        <v>0</v>
      </c>
      <c r="H387" s="102">
        <v>0</v>
      </c>
      <c r="I387" s="102">
        <v>0</v>
      </c>
      <c r="J387" s="102">
        <v>0</v>
      </c>
    </row>
    <row r="388" spans="2:10" ht="15" thickBot="1">
      <c r="B388" s="65" t="s">
        <v>301</v>
      </c>
      <c r="C388" s="102">
        <v>0</v>
      </c>
      <c r="D388" s="102">
        <v>0</v>
      </c>
      <c r="E388" s="102">
        <v>0</v>
      </c>
      <c r="F388" s="102">
        <v>0</v>
      </c>
      <c r="G388" s="102">
        <v>0</v>
      </c>
      <c r="H388" s="102">
        <v>0</v>
      </c>
      <c r="I388" s="102">
        <v>0</v>
      </c>
      <c r="J388" s="102">
        <v>0</v>
      </c>
    </row>
    <row r="389" spans="2:10" ht="15" thickTop="1">
      <c r="B389" s="2025" t="s">
        <v>1535</v>
      </c>
      <c r="C389" s="2025"/>
      <c r="D389" s="2025"/>
      <c r="E389" s="2025"/>
      <c r="F389" s="2025"/>
      <c r="G389" s="2025"/>
      <c r="H389" s="2025"/>
      <c r="I389" s="2025"/>
      <c r="J389" s="2025"/>
    </row>
    <row r="390" spans="2:10">
      <c r="B390" s="2066"/>
      <c r="C390" s="2066"/>
      <c r="D390" s="2066"/>
      <c r="E390" s="2066"/>
      <c r="F390" s="2066"/>
      <c r="G390" s="2066"/>
      <c r="H390" s="2066"/>
      <c r="I390" s="2066"/>
      <c r="J390" s="2066"/>
    </row>
    <row r="391" spans="2:10">
      <c r="B391" s="2097" t="s">
        <v>271</v>
      </c>
      <c r="C391" s="2097"/>
      <c r="D391" s="2097"/>
      <c r="E391" s="2097"/>
      <c r="F391" s="2097"/>
      <c r="G391" s="2097"/>
      <c r="H391" s="2097"/>
      <c r="I391" s="2097"/>
      <c r="J391" s="2097"/>
    </row>
    <row r="392" spans="2:10">
      <c r="B392" s="12" t="s">
        <v>270</v>
      </c>
      <c r="C392" s="302"/>
      <c r="D392" s="302"/>
      <c r="E392" s="302"/>
      <c r="F392" s="302"/>
      <c r="G392" s="302"/>
      <c r="H392" s="302"/>
      <c r="I392" s="302"/>
      <c r="J392" s="302"/>
    </row>
    <row r="393" spans="2:10">
      <c r="B393" s="77" t="s">
        <v>269</v>
      </c>
      <c r="C393" s="302"/>
      <c r="D393" s="302"/>
      <c r="E393" s="302"/>
      <c r="F393" s="302"/>
      <c r="G393" s="302"/>
      <c r="H393" s="302"/>
      <c r="I393" s="302"/>
      <c r="J393" s="302"/>
    </row>
    <row r="394" spans="2:10">
      <c r="B394" s="76"/>
      <c r="C394" s="302"/>
      <c r="D394" s="302"/>
      <c r="E394" s="302"/>
      <c r="F394" s="302"/>
      <c r="G394" s="302"/>
      <c r="H394" s="302"/>
      <c r="I394" s="302"/>
      <c r="J394" s="302"/>
    </row>
    <row r="395" spans="2:10">
      <c r="B395" s="61"/>
      <c r="C395" s="850">
        <v>2014</v>
      </c>
      <c r="D395" s="850">
        <v>2015</v>
      </c>
      <c r="E395" s="850">
        <v>2016</v>
      </c>
      <c r="F395" s="850">
        <v>2017</v>
      </c>
      <c r="G395" s="850">
        <v>2018</v>
      </c>
      <c r="H395" s="850">
        <v>2019</v>
      </c>
      <c r="I395" s="850">
        <v>2020</v>
      </c>
      <c r="J395" s="850">
        <v>2021</v>
      </c>
    </row>
    <row r="396" spans="2:10">
      <c r="B396" s="76" t="s">
        <v>1566</v>
      </c>
      <c r="C396" s="302"/>
      <c r="D396" s="302"/>
      <c r="E396" s="302"/>
      <c r="F396" s="302"/>
      <c r="G396" s="302"/>
      <c r="H396" s="302"/>
      <c r="I396" s="302"/>
      <c r="J396" s="302"/>
    </row>
    <row r="397" spans="2:10">
      <c r="B397" s="71" t="s">
        <v>265</v>
      </c>
      <c r="C397" s="302">
        <f>SUM(C398:C401)</f>
        <v>25</v>
      </c>
      <c r="D397" s="302">
        <f t="shared" ref="D397:H397" si="9">SUM(D398:D401)</f>
        <v>25</v>
      </c>
      <c r="E397" s="302">
        <f t="shared" si="9"/>
        <v>25</v>
      </c>
      <c r="F397" s="302">
        <f t="shared" si="9"/>
        <v>27</v>
      </c>
      <c r="G397" s="302">
        <f t="shared" si="9"/>
        <v>29</v>
      </c>
      <c r="H397" s="302">
        <f t="shared" si="9"/>
        <v>29</v>
      </c>
      <c r="I397" s="302">
        <f>SUM(I398:I401)</f>
        <v>29</v>
      </c>
      <c r="J397" s="302">
        <f>SUM(J398:J401)</f>
        <v>24</v>
      </c>
    </row>
    <row r="398" spans="2:10">
      <c r="B398" s="52" t="s">
        <v>262</v>
      </c>
      <c r="C398" s="1697">
        <v>1</v>
      </c>
      <c r="D398" s="1697">
        <v>1</v>
      </c>
      <c r="E398" s="1697">
        <v>1</v>
      </c>
      <c r="F398" s="1697">
        <v>1</v>
      </c>
      <c r="G398" s="1697">
        <v>1</v>
      </c>
      <c r="H398" s="1697">
        <v>1</v>
      </c>
      <c r="I398" s="1697">
        <v>1</v>
      </c>
      <c r="J398" s="1697">
        <v>1</v>
      </c>
    </row>
    <row r="399" spans="2:10">
      <c r="B399" s="52" t="s">
        <v>261</v>
      </c>
      <c r="C399" s="321">
        <v>0</v>
      </c>
      <c r="D399" s="321">
        <v>0</v>
      </c>
      <c r="E399" s="321">
        <v>0</v>
      </c>
      <c r="F399" s="321">
        <v>0</v>
      </c>
      <c r="G399" s="321">
        <v>0</v>
      </c>
      <c r="H399" s="321">
        <v>0</v>
      </c>
      <c r="I399" s="321">
        <v>1</v>
      </c>
      <c r="J399" s="321">
        <v>1</v>
      </c>
    </row>
    <row r="400" spans="2:10">
      <c r="B400" s="52" t="s">
        <v>260</v>
      </c>
      <c r="C400" s="321">
        <v>14</v>
      </c>
      <c r="D400" s="321">
        <v>14</v>
      </c>
      <c r="E400" s="321">
        <v>14</v>
      </c>
      <c r="F400" s="321">
        <v>14</v>
      </c>
      <c r="G400" s="321">
        <v>14</v>
      </c>
      <c r="H400" s="321">
        <v>14</v>
      </c>
      <c r="I400" s="321">
        <v>12</v>
      </c>
      <c r="J400" s="321">
        <v>12</v>
      </c>
    </row>
    <row r="401" spans="2:10">
      <c r="B401" s="52" t="s">
        <v>859</v>
      </c>
      <c r="C401" s="321">
        <v>10</v>
      </c>
      <c r="D401" s="321">
        <v>10</v>
      </c>
      <c r="E401" s="321">
        <v>10</v>
      </c>
      <c r="F401" s="321">
        <v>12</v>
      </c>
      <c r="G401" s="321">
        <v>14</v>
      </c>
      <c r="H401" s="321">
        <v>14</v>
      </c>
      <c r="I401" s="321">
        <v>15</v>
      </c>
      <c r="J401" s="321">
        <v>10</v>
      </c>
    </row>
    <row r="402" spans="2:10">
      <c r="B402" s="52"/>
      <c r="C402" s="321"/>
      <c r="D402" s="321"/>
      <c r="E402" s="321"/>
      <c r="F402" s="321"/>
      <c r="G402" s="321"/>
      <c r="H402" s="321"/>
      <c r="I402" s="321"/>
      <c r="J402" s="321"/>
    </row>
    <row r="403" spans="2:10">
      <c r="B403" s="71" t="s">
        <v>264</v>
      </c>
      <c r="C403" s="302"/>
      <c r="D403" s="302"/>
      <c r="E403" s="302"/>
      <c r="F403" s="302"/>
      <c r="G403" s="302"/>
      <c r="H403" s="302"/>
      <c r="I403" s="302"/>
      <c r="J403" s="302"/>
    </row>
    <row r="404" spans="2:10">
      <c r="B404" s="52" t="s">
        <v>262</v>
      </c>
      <c r="C404" s="226">
        <v>1</v>
      </c>
      <c r="D404" s="226">
        <v>1</v>
      </c>
      <c r="E404" s="226">
        <v>1</v>
      </c>
      <c r="F404" s="226">
        <v>1</v>
      </c>
      <c r="G404" s="226">
        <v>1</v>
      </c>
      <c r="H404" s="226">
        <v>1</v>
      </c>
      <c r="I404" s="226">
        <v>1</v>
      </c>
      <c r="J404" s="226">
        <v>1</v>
      </c>
    </row>
    <row r="405" spans="2:10">
      <c r="B405" s="52" t="s">
        <v>261</v>
      </c>
      <c r="C405" s="321">
        <v>0</v>
      </c>
      <c r="D405" s="321">
        <v>0</v>
      </c>
      <c r="E405" s="321">
        <v>0</v>
      </c>
      <c r="F405" s="321">
        <v>0</v>
      </c>
      <c r="G405" s="321">
        <v>0</v>
      </c>
      <c r="H405" s="321">
        <v>0</v>
      </c>
      <c r="I405" s="321">
        <v>0</v>
      </c>
      <c r="J405" s="321">
        <v>0</v>
      </c>
    </row>
    <row r="406" spans="2:10">
      <c r="B406" s="52" t="s">
        <v>260</v>
      </c>
      <c r="C406" s="321">
        <v>14</v>
      </c>
      <c r="D406" s="321">
        <v>14</v>
      </c>
      <c r="E406" s="321">
        <v>14</v>
      </c>
      <c r="F406" s="321">
        <v>14</v>
      </c>
      <c r="G406" s="321">
        <v>14</v>
      </c>
      <c r="H406" s="321">
        <v>14</v>
      </c>
      <c r="I406" s="321">
        <f>I400</f>
        <v>12</v>
      </c>
      <c r="J406" s="321">
        <v>12</v>
      </c>
    </row>
    <row r="407" spans="2:10">
      <c r="B407" s="52" t="s">
        <v>859</v>
      </c>
      <c r="C407" s="321">
        <v>10</v>
      </c>
      <c r="D407" s="321">
        <v>10</v>
      </c>
      <c r="E407" s="321">
        <v>10</v>
      </c>
      <c r="F407" s="321">
        <v>10</v>
      </c>
      <c r="G407" s="321">
        <v>10</v>
      </c>
      <c r="H407" s="321">
        <v>10</v>
      </c>
      <c r="I407" s="321"/>
      <c r="J407" s="321">
        <v>10</v>
      </c>
    </row>
    <row r="408" spans="2:10">
      <c r="B408" s="52"/>
      <c r="C408" s="321"/>
      <c r="D408" s="321"/>
      <c r="E408" s="321"/>
      <c r="F408" s="321"/>
      <c r="G408" s="321"/>
      <c r="H408" s="321"/>
      <c r="I408" s="321"/>
      <c r="J408" s="321"/>
    </row>
    <row r="409" spans="2:10">
      <c r="B409" s="71" t="s">
        <v>263</v>
      </c>
      <c r="C409" s="102">
        <v>0</v>
      </c>
      <c r="D409" s="102">
        <v>0</v>
      </c>
      <c r="E409" s="102">
        <v>0</v>
      </c>
      <c r="F409" s="102">
        <v>0</v>
      </c>
      <c r="G409" s="102">
        <v>0</v>
      </c>
      <c r="H409" s="102">
        <v>0</v>
      </c>
      <c r="I409" s="102">
        <v>0</v>
      </c>
      <c r="J409" s="102">
        <v>0</v>
      </c>
    </row>
    <row r="410" spans="2:10">
      <c r="B410" s="52" t="s">
        <v>262</v>
      </c>
      <c r="C410" s="102">
        <v>0</v>
      </c>
      <c r="D410" s="102">
        <v>0</v>
      </c>
      <c r="E410" s="102">
        <v>0</v>
      </c>
      <c r="F410" s="102">
        <v>0</v>
      </c>
      <c r="G410" s="102">
        <v>0</v>
      </c>
      <c r="H410" s="102">
        <v>0</v>
      </c>
      <c r="I410" s="102">
        <v>0</v>
      </c>
      <c r="J410" s="102">
        <v>0</v>
      </c>
    </row>
    <row r="411" spans="2:10">
      <c r="B411" s="52" t="s">
        <v>261</v>
      </c>
      <c r="C411" s="102">
        <v>0</v>
      </c>
      <c r="D411" s="102">
        <v>0</v>
      </c>
      <c r="E411" s="102">
        <v>0</v>
      </c>
      <c r="F411" s="102">
        <v>0</v>
      </c>
      <c r="G411" s="102">
        <v>0</v>
      </c>
      <c r="H411" s="102">
        <v>0</v>
      </c>
      <c r="I411" s="102">
        <v>0</v>
      </c>
      <c r="J411" s="102">
        <v>0</v>
      </c>
    </row>
    <row r="412" spans="2:10">
      <c r="B412" s="52" t="s">
        <v>260</v>
      </c>
      <c r="C412" s="102">
        <v>0</v>
      </c>
      <c r="D412" s="102">
        <v>0</v>
      </c>
      <c r="E412" s="102">
        <v>0</v>
      </c>
      <c r="F412" s="102">
        <v>0</v>
      </c>
      <c r="G412" s="102">
        <v>0</v>
      </c>
      <c r="H412" s="102">
        <v>0</v>
      </c>
      <c r="I412" s="102">
        <v>0</v>
      </c>
      <c r="J412" s="102">
        <v>0</v>
      </c>
    </row>
    <row r="413" spans="2:10" ht="15" thickBot="1">
      <c r="B413" s="52" t="s">
        <v>859</v>
      </c>
      <c r="C413" s="321">
        <v>0</v>
      </c>
      <c r="D413" s="321">
        <v>0</v>
      </c>
      <c r="E413" s="321">
        <v>0</v>
      </c>
      <c r="F413" s="321">
        <v>2</v>
      </c>
      <c r="G413" s="321">
        <v>4</v>
      </c>
      <c r="H413" s="321">
        <v>4</v>
      </c>
      <c r="I413" s="321">
        <v>4</v>
      </c>
      <c r="J413" s="321">
        <v>4</v>
      </c>
    </row>
    <row r="414" spans="2:10" ht="15" thickTop="1">
      <c r="B414" s="2025" t="s">
        <v>1567</v>
      </c>
      <c r="C414" s="2025"/>
      <c r="D414" s="2025"/>
      <c r="E414" s="2025"/>
      <c r="F414" s="2025"/>
      <c r="G414" s="2025"/>
      <c r="H414" s="2025"/>
      <c r="I414" s="2025"/>
      <c r="J414" s="2025"/>
    </row>
    <row r="415" spans="2:10">
      <c r="B415" s="2017"/>
      <c r="C415" s="2017"/>
      <c r="D415" s="2017"/>
      <c r="E415" s="2017"/>
      <c r="F415" s="2017"/>
      <c r="G415" s="2017"/>
      <c r="H415" s="2017"/>
      <c r="I415" s="2017"/>
      <c r="J415" s="2017"/>
    </row>
    <row r="416" spans="2:10">
      <c r="B416" s="62"/>
      <c r="C416" s="302"/>
      <c r="D416" s="302"/>
      <c r="E416" s="302"/>
      <c r="F416" s="302"/>
      <c r="G416" s="302"/>
      <c r="H416" s="302"/>
      <c r="I416" s="302"/>
      <c r="J416" s="302"/>
    </row>
    <row r="417" spans="2:10">
      <c r="B417" s="2097" t="s">
        <v>258</v>
      </c>
      <c r="C417" s="2097"/>
      <c r="D417" s="2097"/>
      <c r="E417" s="2097"/>
      <c r="F417" s="2097"/>
      <c r="G417" s="2097"/>
      <c r="H417" s="2097"/>
      <c r="I417" s="2097"/>
      <c r="J417" s="2097"/>
    </row>
    <row r="418" spans="2:10">
      <c r="B418" s="12" t="s">
        <v>257</v>
      </c>
      <c r="C418" s="302"/>
      <c r="D418" s="302"/>
      <c r="E418" s="302"/>
      <c r="F418" s="302"/>
      <c r="G418" s="302"/>
      <c r="H418" s="302"/>
      <c r="I418" s="302"/>
      <c r="J418" s="302"/>
    </row>
    <row r="419" spans="2:10">
      <c r="B419" s="77" t="s">
        <v>256</v>
      </c>
      <c r="C419" s="302"/>
      <c r="D419" s="302"/>
      <c r="E419" s="302"/>
      <c r="F419" s="302"/>
      <c r="G419" s="302"/>
      <c r="H419" s="302"/>
      <c r="I419" s="302"/>
      <c r="J419" s="302"/>
    </row>
    <row r="420" spans="2:10">
      <c r="B420" s="62"/>
      <c r="C420" s="302"/>
      <c r="D420" s="302"/>
      <c r="E420" s="302"/>
      <c r="F420" s="302"/>
      <c r="G420" s="302"/>
      <c r="H420" s="302"/>
      <c r="I420" s="302"/>
      <c r="J420" s="302"/>
    </row>
    <row r="421" spans="2:10">
      <c r="B421" s="61"/>
      <c r="C421" s="850">
        <v>2014</v>
      </c>
      <c r="D421" s="850">
        <v>2015</v>
      </c>
      <c r="E421" s="850">
        <v>2016</v>
      </c>
      <c r="F421" s="850">
        <v>2017</v>
      </c>
      <c r="G421" s="850">
        <v>2018</v>
      </c>
      <c r="H421" s="850">
        <v>2019</v>
      </c>
      <c r="I421" s="850">
        <v>2020</v>
      </c>
      <c r="J421" s="850">
        <v>2021</v>
      </c>
    </row>
    <row r="422" spans="2:10">
      <c r="B422" s="76" t="s">
        <v>1566</v>
      </c>
      <c r="C422" s="302"/>
      <c r="D422" s="302"/>
      <c r="E422" s="302"/>
      <c r="F422" s="302"/>
      <c r="G422" s="302"/>
      <c r="H422" s="302"/>
      <c r="I422" s="302"/>
      <c r="J422" s="302"/>
    </row>
    <row r="423" spans="2:10">
      <c r="B423" s="71" t="s">
        <v>862</v>
      </c>
      <c r="C423" s="1698">
        <f>C424+C427</f>
        <v>755</v>
      </c>
      <c r="D423" s="1698">
        <f t="shared" ref="D423:I423" si="10">D424+D427</f>
        <v>691</v>
      </c>
      <c r="E423" s="1698">
        <f t="shared" si="10"/>
        <v>607</v>
      </c>
      <c r="F423" s="1698">
        <f t="shared" si="10"/>
        <v>513</v>
      </c>
      <c r="G423" s="1698">
        <f t="shared" si="10"/>
        <v>408</v>
      </c>
      <c r="H423" s="1698">
        <f t="shared" si="10"/>
        <v>305</v>
      </c>
      <c r="I423" s="1698">
        <f t="shared" si="10"/>
        <v>329</v>
      </c>
      <c r="J423" s="1698">
        <v>70</v>
      </c>
    </row>
    <row r="424" spans="2:10">
      <c r="B424" s="52" t="s">
        <v>121</v>
      </c>
      <c r="C424" s="1698">
        <v>617</v>
      </c>
      <c r="D424" s="1698">
        <v>553</v>
      </c>
      <c r="E424" s="1698">
        <v>471</v>
      </c>
      <c r="F424" s="1698">
        <v>378</v>
      </c>
      <c r="G424" s="1698">
        <v>276</v>
      </c>
      <c r="H424" s="1698">
        <v>179</v>
      </c>
      <c r="I424" s="1698">
        <v>194</v>
      </c>
      <c r="J424" s="102">
        <v>0</v>
      </c>
    </row>
    <row r="425" spans="2:10">
      <c r="B425" s="53" t="s">
        <v>120</v>
      </c>
      <c r="C425" s="139">
        <v>490</v>
      </c>
      <c r="D425" s="139">
        <v>456</v>
      </c>
      <c r="E425" s="139">
        <v>404</v>
      </c>
      <c r="F425" s="139">
        <v>369</v>
      </c>
      <c r="G425" s="139">
        <v>344</v>
      </c>
      <c r="H425" s="139">
        <v>311</v>
      </c>
      <c r="I425" s="139">
        <v>241</v>
      </c>
      <c r="J425" s="102">
        <v>0</v>
      </c>
    </row>
    <row r="426" spans="2:10">
      <c r="B426" s="53" t="s">
        <v>119</v>
      </c>
      <c r="C426" s="139">
        <v>44</v>
      </c>
      <c r="D426" s="139">
        <v>45</v>
      </c>
      <c r="E426" s="139">
        <v>47</v>
      </c>
      <c r="F426" s="139">
        <v>49</v>
      </c>
      <c r="G426" s="139">
        <v>49</v>
      </c>
      <c r="H426" s="139">
        <v>50</v>
      </c>
      <c r="I426" s="139">
        <v>109</v>
      </c>
      <c r="J426" s="102">
        <v>0</v>
      </c>
    </row>
    <row r="427" spans="2:10">
      <c r="B427" s="52" t="s">
        <v>118</v>
      </c>
      <c r="C427" s="139">
        <v>138</v>
      </c>
      <c r="D427" s="139">
        <v>138</v>
      </c>
      <c r="E427" s="139">
        <v>136</v>
      </c>
      <c r="F427" s="139">
        <v>135</v>
      </c>
      <c r="G427" s="139">
        <v>132</v>
      </c>
      <c r="H427" s="139">
        <v>126</v>
      </c>
      <c r="I427" s="139">
        <v>135</v>
      </c>
      <c r="J427" s="102">
        <v>0</v>
      </c>
    </row>
    <row r="428" spans="2:10" ht="15" thickBot="1">
      <c r="B428" s="52" t="s">
        <v>117</v>
      </c>
      <c r="C428" s="139"/>
      <c r="D428" s="139"/>
      <c r="E428" s="139"/>
      <c r="F428" s="139"/>
      <c r="G428" s="139"/>
      <c r="H428" s="139"/>
      <c r="I428" s="139"/>
      <c r="J428" s="139"/>
    </row>
    <row r="429" spans="2:10" ht="15" thickTop="1">
      <c r="B429" s="2025" t="s">
        <v>1568</v>
      </c>
      <c r="C429" s="2025"/>
      <c r="D429" s="2025"/>
      <c r="E429" s="2025"/>
      <c r="F429" s="2025"/>
      <c r="G429" s="2025"/>
      <c r="H429" s="2025"/>
      <c r="I429" s="2025"/>
      <c r="J429" s="2025"/>
    </row>
    <row r="430" spans="2:10">
      <c r="B430" s="108" t="s">
        <v>1569</v>
      </c>
      <c r="C430" s="302"/>
      <c r="D430" s="302"/>
      <c r="E430" s="302"/>
      <c r="F430" s="302"/>
      <c r="G430" s="302"/>
      <c r="H430" s="302"/>
      <c r="I430" s="302"/>
      <c r="J430" s="302"/>
    </row>
    <row r="431" spans="2:10">
      <c r="B431" s="108"/>
      <c r="C431" s="302"/>
      <c r="D431" s="302"/>
      <c r="E431" s="302"/>
      <c r="F431" s="302"/>
      <c r="G431" s="302"/>
      <c r="H431" s="302"/>
      <c r="I431" s="302"/>
      <c r="J431" s="302"/>
    </row>
    <row r="432" spans="2:10">
      <c r="B432" s="2097" t="s">
        <v>244</v>
      </c>
      <c r="C432" s="2097"/>
      <c r="D432" s="2097"/>
      <c r="E432" s="2097"/>
      <c r="F432" s="2097"/>
      <c r="G432" s="2097"/>
      <c r="H432" s="2097"/>
      <c r="I432" s="2097"/>
      <c r="J432" s="2097"/>
    </row>
    <row r="433" spans="2:10">
      <c r="B433" s="12" t="s">
        <v>243</v>
      </c>
      <c r="C433" s="302"/>
      <c r="D433" s="302"/>
      <c r="E433" s="302"/>
      <c r="F433" s="302"/>
      <c r="G433" s="302"/>
      <c r="H433" s="302"/>
      <c r="I433" s="302"/>
      <c r="J433" s="302"/>
    </row>
    <row r="434" spans="2:10">
      <c r="B434" s="62" t="s">
        <v>242</v>
      </c>
      <c r="C434" s="302"/>
      <c r="D434" s="302"/>
      <c r="E434" s="302"/>
      <c r="F434" s="302"/>
      <c r="G434" s="302"/>
      <c r="H434" s="302"/>
      <c r="I434" s="302"/>
      <c r="J434" s="302"/>
    </row>
    <row r="435" spans="2:10">
      <c r="B435" s="64"/>
      <c r="C435" s="302"/>
      <c r="D435" s="302"/>
      <c r="E435" s="302"/>
      <c r="F435" s="302"/>
      <c r="G435" s="302"/>
      <c r="H435" s="302"/>
      <c r="I435" s="302"/>
      <c r="J435" s="302"/>
    </row>
    <row r="436" spans="2:10">
      <c r="B436" s="61"/>
      <c r="C436" s="850">
        <v>2014</v>
      </c>
      <c r="D436" s="850">
        <v>2015</v>
      </c>
      <c r="E436" s="850">
        <v>2016</v>
      </c>
      <c r="F436" s="850">
        <v>2017</v>
      </c>
      <c r="G436" s="850">
        <v>2018</v>
      </c>
      <c r="H436" s="850">
        <v>2019</v>
      </c>
      <c r="I436" s="850">
        <v>2020</v>
      </c>
      <c r="J436" s="850">
        <v>2021</v>
      </c>
    </row>
    <row r="437" spans="2:10">
      <c r="B437" s="76" t="s">
        <v>1566</v>
      </c>
      <c r="C437" s="217"/>
      <c r="D437" s="217"/>
      <c r="E437" s="217"/>
      <c r="F437" s="217"/>
      <c r="G437" s="217"/>
      <c r="H437" s="217"/>
      <c r="I437" s="217"/>
      <c r="J437" s="217"/>
    </row>
    <row r="438" spans="2:10" ht="15" thickBot="1">
      <c r="B438" s="71" t="s">
        <v>239</v>
      </c>
      <c r="C438" s="214">
        <v>10291.213</v>
      </c>
      <c r="D438" s="214">
        <v>10490.084000000001</v>
      </c>
      <c r="E438" s="214">
        <v>10555.07</v>
      </c>
      <c r="F438" s="214">
        <v>4595.1239999999998</v>
      </c>
      <c r="G438" s="214">
        <v>4492.8919999999998</v>
      </c>
      <c r="H438" s="214">
        <v>4813.6059999999998</v>
      </c>
      <c r="I438" s="214">
        <v>4781.8670000000002</v>
      </c>
      <c r="J438" s="214">
        <v>3927</v>
      </c>
    </row>
    <row r="439" spans="2:10" ht="15" thickTop="1">
      <c r="B439" s="2025" t="s">
        <v>1568</v>
      </c>
      <c r="C439" s="2025"/>
      <c r="D439" s="2025"/>
      <c r="E439" s="2025"/>
      <c r="F439" s="2025"/>
      <c r="G439" s="2025"/>
      <c r="H439" s="2025"/>
      <c r="I439" s="2025"/>
      <c r="J439" s="2025"/>
    </row>
    <row r="440" spans="2:10">
      <c r="B440" s="2017"/>
      <c r="C440" s="2017"/>
      <c r="D440" s="2017"/>
      <c r="E440" s="2017"/>
      <c r="F440" s="2017"/>
      <c r="G440" s="2017"/>
      <c r="H440" s="2017"/>
      <c r="I440" s="2017"/>
      <c r="J440" s="2017"/>
    </row>
    <row r="441" spans="2:10">
      <c r="B441" s="64"/>
      <c r="C441" s="302"/>
      <c r="D441" s="302"/>
      <c r="E441" s="302"/>
      <c r="F441" s="302"/>
      <c r="G441" s="302"/>
      <c r="H441" s="302"/>
      <c r="I441" s="302"/>
      <c r="J441" s="302"/>
    </row>
    <row r="442" spans="2:10">
      <c r="B442" s="2097" t="s">
        <v>238</v>
      </c>
      <c r="C442" s="2097"/>
      <c r="D442" s="2097"/>
      <c r="E442" s="2097"/>
      <c r="F442" s="2097"/>
      <c r="G442" s="2097"/>
      <c r="H442" s="2097"/>
      <c r="I442" s="2097"/>
      <c r="J442" s="2097"/>
    </row>
    <row r="443" spans="2:10">
      <c r="B443" s="12" t="s">
        <v>237</v>
      </c>
      <c r="C443" s="302"/>
      <c r="D443" s="302"/>
      <c r="E443" s="302"/>
      <c r="F443" s="302"/>
      <c r="G443" s="302"/>
      <c r="H443" s="302"/>
      <c r="I443" s="302"/>
      <c r="J443" s="302"/>
    </row>
    <row r="444" spans="2:10">
      <c r="B444" s="62" t="s">
        <v>236</v>
      </c>
      <c r="C444" s="302"/>
      <c r="D444" s="302"/>
      <c r="E444" s="302"/>
      <c r="F444" s="302"/>
      <c r="G444" s="302"/>
      <c r="H444" s="302"/>
      <c r="I444" s="302"/>
      <c r="J444" s="302"/>
    </row>
    <row r="445" spans="2:10">
      <c r="B445" s="64"/>
      <c r="C445" s="302"/>
      <c r="D445" s="302"/>
      <c r="E445" s="302"/>
      <c r="F445" s="302"/>
      <c r="G445" s="302"/>
      <c r="H445" s="302"/>
      <c r="I445" s="302"/>
      <c r="J445" s="302"/>
    </row>
    <row r="446" spans="2:10">
      <c r="B446" s="61"/>
      <c r="C446" s="850">
        <v>2014</v>
      </c>
      <c r="D446" s="850">
        <v>2015</v>
      </c>
      <c r="E446" s="850">
        <v>2016</v>
      </c>
      <c r="F446" s="850">
        <v>2017</v>
      </c>
      <c r="G446" s="850">
        <v>2018</v>
      </c>
      <c r="H446" s="850">
        <v>2019</v>
      </c>
      <c r="I446" s="850">
        <v>2020</v>
      </c>
      <c r="J446" s="850">
        <v>2021</v>
      </c>
    </row>
    <row r="447" spans="2:10">
      <c r="B447" s="76" t="s">
        <v>1566</v>
      </c>
      <c r="C447" s="302"/>
      <c r="D447" s="302"/>
      <c r="E447" s="302"/>
      <c r="F447" s="302"/>
      <c r="G447" s="302"/>
      <c r="H447" s="302"/>
      <c r="I447" s="302"/>
      <c r="J447" s="302"/>
    </row>
    <row r="448" spans="2:10">
      <c r="B448" s="71" t="s">
        <v>231</v>
      </c>
      <c r="C448" s="158">
        <v>16</v>
      </c>
      <c r="D448" s="158">
        <v>19</v>
      </c>
      <c r="E448" s="158">
        <v>22</v>
      </c>
      <c r="F448" s="158">
        <v>16</v>
      </c>
      <c r="G448" s="158">
        <v>18</v>
      </c>
      <c r="H448" s="158">
        <v>17</v>
      </c>
      <c r="I448" s="158">
        <v>7.3810000000000002</v>
      </c>
      <c r="J448" s="158">
        <f>+J450+J451+J453</f>
        <v>11</v>
      </c>
    </row>
    <row r="449" spans="2:10">
      <c r="B449" s="52" t="s">
        <v>121</v>
      </c>
      <c r="C449" s="158">
        <v>15</v>
      </c>
      <c r="D449" s="158">
        <v>18</v>
      </c>
      <c r="E449" s="158">
        <v>21</v>
      </c>
      <c r="F449" s="158">
        <v>15</v>
      </c>
      <c r="G449" s="158">
        <v>17</v>
      </c>
      <c r="H449" s="158">
        <v>16</v>
      </c>
      <c r="I449" s="306">
        <v>0</v>
      </c>
      <c r="J449" s="306">
        <v>0</v>
      </c>
    </row>
    <row r="450" spans="2:10">
      <c r="B450" s="53" t="s">
        <v>120</v>
      </c>
      <c r="C450" s="158">
        <v>4</v>
      </c>
      <c r="D450" s="158">
        <v>5</v>
      </c>
      <c r="E450" s="158">
        <v>7</v>
      </c>
      <c r="F450" s="158">
        <v>5</v>
      </c>
      <c r="G450" s="158">
        <v>8</v>
      </c>
      <c r="H450" s="158">
        <v>7</v>
      </c>
      <c r="I450" s="306">
        <v>0</v>
      </c>
      <c r="J450" s="158">
        <v>5</v>
      </c>
    </row>
    <row r="451" spans="2:10">
      <c r="B451" s="53" t="s">
        <v>119</v>
      </c>
      <c r="C451" s="158">
        <v>11</v>
      </c>
      <c r="D451" s="158">
        <v>13</v>
      </c>
      <c r="E451" s="158">
        <v>14</v>
      </c>
      <c r="F451" s="158">
        <v>10</v>
      </c>
      <c r="G451" s="158">
        <v>9</v>
      </c>
      <c r="H451" s="158">
        <v>9</v>
      </c>
      <c r="I451" s="306">
        <v>0</v>
      </c>
      <c r="J451" s="158">
        <v>4</v>
      </c>
    </row>
    <row r="452" spans="2:10">
      <c r="B452" s="52" t="s">
        <v>118</v>
      </c>
      <c r="C452" s="158" t="s">
        <v>191</v>
      </c>
      <c r="D452" s="158" t="s">
        <v>191</v>
      </c>
      <c r="E452" s="158" t="s">
        <v>191</v>
      </c>
      <c r="F452" s="158" t="s">
        <v>191</v>
      </c>
      <c r="G452" s="158" t="s">
        <v>191</v>
      </c>
      <c r="H452" s="158" t="s">
        <v>191</v>
      </c>
      <c r="I452" s="306">
        <v>0</v>
      </c>
      <c r="J452" s="158" t="s">
        <v>191</v>
      </c>
    </row>
    <row r="453" spans="2:10">
      <c r="B453" s="52" t="s">
        <v>117</v>
      </c>
      <c r="C453" s="158">
        <v>1</v>
      </c>
      <c r="D453" s="158">
        <v>1</v>
      </c>
      <c r="E453" s="158">
        <v>1</v>
      </c>
      <c r="F453" s="158">
        <v>1</v>
      </c>
      <c r="G453" s="158">
        <v>1</v>
      </c>
      <c r="H453" s="158">
        <v>1</v>
      </c>
      <c r="I453" s="306">
        <v>0</v>
      </c>
      <c r="J453" s="158">
        <v>2</v>
      </c>
    </row>
    <row r="454" spans="2:10">
      <c r="B454" s="52"/>
      <c r="C454" s="306"/>
      <c r="D454" s="306"/>
      <c r="E454" s="306"/>
      <c r="F454" s="306"/>
      <c r="G454" s="306"/>
      <c r="H454" s="306"/>
      <c r="I454" s="306"/>
      <c r="J454" s="306"/>
    </row>
    <row r="455" spans="2:10">
      <c r="B455" s="71" t="s">
        <v>230</v>
      </c>
      <c r="C455" s="306">
        <v>0</v>
      </c>
      <c r="D455" s="306">
        <v>0</v>
      </c>
      <c r="E455" s="306">
        <v>0</v>
      </c>
      <c r="F455" s="306">
        <v>0</v>
      </c>
      <c r="G455" s="306">
        <v>0</v>
      </c>
      <c r="H455" s="306">
        <v>0</v>
      </c>
      <c r="I455" s="306">
        <v>0</v>
      </c>
      <c r="J455" s="306">
        <v>0</v>
      </c>
    </row>
    <row r="456" spans="2:10">
      <c r="B456" s="52" t="s">
        <v>169</v>
      </c>
      <c r="C456" s="306">
        <v>0</v>
      </c>
      <c r="D456" s="306">
        <v>0</v>
      </c>
      <c r="E456" s="306">
        <v>0</v>
      </c>
      <c r="F456" s="306">
        <v>0</v>
      </c>
      <c r="G456" s="306">
        <v>0</v>
      </c>
      <c r="H456" s="306">
        <v>0</v>
      </c>
      <c r="I456" s="306">
        <v>0</v>
      </c>
      <c r="J456" s="306">
        <v>0</v>
      </c>
    </row>
    <row r="457" spans="2:10">
      <c r="B457" s="52" t="s">
        <v>168</v>
      </c>
      <c r="C457" s="306">
        <v>0</v>
      </c>
      <c r="D457" s="306">
        <v>0</v>
      </c>
      <c r="E457" s="306">
        <v>0</v>
      </c>
      <c r="F457" s="306">
        <v>0</v>
      </c>
      <c r="G457" s="306">
        <v>0</v>
      </c>
      <c r="H457" s="306">
        <v>0</v>
      </c>
      <c r="I457" s="306">
        <v>0</v>
      </c>
      <c r="J457" s="306">
        <v>0</v>
      </c>
    </row>
    <row r="458" spans="2:10">
      <c r="B458" s="52" t="s">
        <v>167</v>
      </c>
      <c r="C458" s="306">
        <v>0</v>
      </c>
      <c r="D458" s="306">
        <v>0</v>
      </c>
      <c r="E458" s="306">
        <v>0</v>
      </c>
      <c r="F458" s="306">
        <v>0</v>
      </c>
      <c r="G458" s="306">
        <v>0</v>
      </c>
      <c r="H458" s="306">
        <v>0</v>
      </c>
      <c r="I458" s="306">
        <v>0</v>
      </c>
      <c r="J458" s="306">
        <v>0</v>
      </c>
    </row>
    <row r="459" spans="2:10">
      <c r="B459" s="52" t="s">
        <v>166</v>
      </c>
      <c r="C459" s="306">
        <v>0</v>
      </c>
      <c r="D459" s="306">
        <v>0</v>
      </c>
      <c r="E459" s="306">
        <v>0</v>
      </c>
      <c r="F459" s="306">
        <v>0</v>
      </c>
      <c r="G459" s="306">
        <v>0</v>
      </c>
      <c r="H459" s="306">
        <v>0</v>
      </c>
      <c r="I459" s="306">
        <v>0</v>
      </c>
      <c r="J459" s="306">
        <v>0</v>
      </c>
    </row>
    <row r="460" spans="2:10">
      <c r="B460" s="52" t="s">
        <v>165</v>
      </c>
      <c r="C460" s="306">
        <v>0</v>
      </c>
      <c r="D460" s="306">
        <v>0</v>
      </c>
      <c r="E460" s="306">
        <v>0</v>
      </c>
      <c r="F460" s="306">
        <v>0</v>
      </c>
      <c r="G460" s="306">
        <v>0</v>
      </c>
      <c r="H460" s="306">
        <v>0</v>
      </c>
      <c r="I460" s="306">
        <v>0</v>
      </c>
      <c r="J460" s="306">
        <v>0</v>
      </c>
    </row>
    <row r="461" spans="2:10" ht="15" thickBot="1">
      <c r="B461" s="52" t="s">
        <v>164</v>
      </c>
      <c r="C461" s="306">
        <v>0</v>
      </c>
      <c r="D461" s="306">
        <v>0</v>
      </c>
      <c r="E461" s="306">
        <v>0</v>
      </c>
      <c r="F461" s="306">
        <v>0</v>
      </c>
      <c r="G461" s="306">
        <v>0</v>
      </c>
      <c r="H461" s="306">
        <v>0</v>
      </c>
      <c r="I461" s="306">
        <v>0</v>
      </c>
      <c r="J461" s="306">
        <v>0</v>
      </c>
    </row>
    <row r="462" spans="2:10" ht="15" thickTop="1">
      <c r="B462" s="2025" t="s">
        <v>1567</v>
      </c>
      <c r="C462" s="2025"/>
      <c r="D462" s="2025"/>
      <c r="E462" s="2025"/>
      <c r="F462" s="2025"/>
      <c r="G462" s="2025"/>
      <c r="H462" s="2025"/>
      <c r="I462" s="2025"/>
      <c r="J462" s="2025"/>
    </row>
    <row r="463" spans="2:10">
      <c r="B463" s="2017"/>
      <c r="C463" s="2017"/>
      <c r="D463" s="2017"/>
      <c r="E463" s="2017"/>
      <c r="F463" s="2017"/>
      <c r="G463" s="2017"/>
      <c r="H463" s="2017"/>
      <c r="I463" s="2017"/>
      <c r="J463" s="2017"/>
    </row>
    <row r="464" spans="2:10">
      <c r="B464" s="64"/>
      <c r="C464" s="302"/>
      <c r="D464" s="302"/>
      <c r="E464" s="302"/>
      <c r="F464" s="302"/>
      <c r="G464" s="302"/>
      <c r="H464" s="302"/>
      <c r="I464" s="302"/>
      <c r="J464" s="302"/>
    </row>
    <row r="465" spans="2:10">
      <c r="B465" s="2097" t="s">
        <v>228</v>
      </c>
      <c r="C465" s="2097"/>
      <c r="D465" s="2097"/>
      <c r="E465" s="2097"/>
      <c r="F465" s="2097"/>
      <c r="G465" s="2097"/>
      <c r="H465" s="2097"/>
      <c r="I465" s="2097"/>
      <c r="J465" s="2097"/>
    </row>
    <row r="466" spans="2:10">
      <c r="B466" s="12" t="s">
        <v>227</v>
      </c>
      <c r="C466" s="302"/>
      <c r="D466" s="302"/>
      <c r="E466" s="302"/>
      <c r="F466" s="302"/>
      <c r="G466" s="302"/>
      <c r="H466" s="302"/>
      <c r="I466" s="302"/>
      <c r="J466" s="302"/>
    </row>
    <row r="467" spans="2:10">
      <c r="B467" s="62" t="s">
        <v>127</v>
      </c>
      <c r="C467" s="302"/>
      <c r="D467" s="302"/>
      <c r="E467" s="302"/>
      <c r="F467" s="302"/>
      <c r="G467" s="302"/>
      <c r="H467" s="302"/>
      <c r="I467" s="302"/>
      <c r="J467" s="302"/>
    </row>
    <row r="468" spans="2:10">
      <c r="B468" s="62"/>
      <c r="C468" s="302"/>
      <c r="D468" s="302"/>
      <c r="E468" s="302"/>
      <c r="F468" s="302"/>
      <c r="G468" s="302"/>
      <c r="H468" s="302"/>
      <c r="I468" s="302"/>
      <c r="J468" s="302"/>
    </row>
    <row r="469" spans="2:10">
      <c r="B469" s="61"/>
      <c r="C469" s="850">
        <v>2014</v>
      </c>
      <c r="D469" s="850">
        <v>2015</v>
      </c>
      <c r="E469" s="850">
        <v>2016</v>
      </c>
      <c r="F469" s="850">
        <v>2017</v>
      </c>
      <c r="G469" s="850">
        <v>2018</v>
      </c>
      <c r="H469" s="850">
        <v>2019</v>
      </c>
      <c r="I469" s="850">
        <v>2020</v>
      </c>
      <c r="J469" s="850">
        <v>2021</v>
      </c>
    </row>
    <row r="470" spans="2:10">
      <c r="B470" s="59" t="s">
        <v>486</v>
      </c>
      <c r="C470" s="302"/>
      <c r="D470" s="302"/>
      <c r="E470" s="302"/>
      <c r="F470" s="302"/>
      <c r="G470" s="302"/>
      <c r="H470" s="302"/>
      <c r="I470" s="302"/>
      <c r="J470" s="302"/>
    </row>
    <row r="471" spans="2:10">
      <c r="B471" s="71" t="s">
        <v>222</v>
      </c>
      <c r="C471" s="306">
        <v>5545</v>
      </c>
      <c r="D471" s="306">
        <v>7158</v>
      </c>
      <c r="E471" s="306">
        <v>8411</v>
      </c>
      <c r="F471" s="306">
        <v>4692</v>
      </c>
      <c r="G471" s="306">
        <v>6413</v>
      </c>
      <c r="H471" s="306">
        <v>8094</v>
      </c>
      <c r="I471" s="306">
        <v>3474.71</v>
      </c>
      <c r="J471" s="306">
        <f>+SUM(J472:J476)</f>
        <v>2828129</v>
      </c>
    </row>
    <row r="472" spans="2:10">
      <c r="B472" s="52" t="s">
        <v>121</v>
      </c>
      <c r="C472" s="306">
        <v>5486</v>
      </c>
      <c r="D472" s="306">
        <v>7091</v>
      </c>
      <c r="E472" s="306">
        <v>8390</v>
      </c>
      <c r="F472" s="306">
        <v>4668</v>
      </c>
      <c r="G472" s="306">
        <v>6385</v>
      </c>
      <c r="H472" s="306">
        <v>8017</v>
      </c>
      <c r="I472" s="306">
        <v>0</v>
      </c>
      <c r="J472" s="306">
        <f>+J473+J474</f>
        <v>1024685</v>
      </c>
    </row>
    <row r="473" spans="2:10">
      <c r="B473" s="53" t="s">
        <v>120</v>
      </c>
      <c r="C473" s="306">
        <v>1781</v>
      </c>
      <c r="D473" s="306">
        <v>1892</v>
      </c>
      <c r="E473" s="306">
        <v>2384</v>
      </c>
      <c r="F473" s="306">
        <v>707</v>
      </c>
      <c r="G473" s="306">
        <v>2258</v>
      </c>
      <c r="H473" s="306">
        <v>4141</v>
      </c>
      <c r="I473" s="306">
        <v>0</v>
      </c>
      <c r="J473" s="306">
        <v>648710</v>
      </c>
    </row>
    <row r="474" spans="2:10">
      <c r="B474" s="53" t="s">
        <v>119</v>
      </c>
      <c r="C474" s="306">
        <v>3705</v>
      </c>
      <c r="D474" s="306">
        <v>5199</v>
      </c>
      <c r="E474" s="306">
        <v>6006</v>
      </c>
      <c r="F474" s="306">
        <v>3961</v>
      </c>
      <c r="G474" s="306">
        <v>4127</v>
      </c>
      <c r="H474" s="306">
        <v>3876</v>
      </c>
      <c r="I474" s="306">
        <v>0</v>
      </c>
      <c r="J474" s="306">
        <v>375975</v>
      </c>
    </row>
    <row r="475" spans="2:10">
      <c r="B475" s="52" t="s">
        <v>118</v>
      </c>
      <c r="C475" s="306" t="s">
        <v>191</v>
      </c>
      <c r="D475" s="306" t="s">
        <v>191</v>
      </c>
      <c r="E475" s="306" t="s">
        <v>191</v>
      </c>
      <c r="F475" s="306" t="s">
        <v>191</v>
      </c>
      <c r="G475" s="306" t="s">
        <v>191</v>
      </c>
      <c r="H475" s="306" t="s">
        <v>191</v>
      </c>
      <c r="I475" s="306">
        <v>0</v>
      </c>
      <c r="J475" s="306">
        <v>477057</v>
      </c>
    </row>
    <row r="476" spans="2:10">
      <c r="B476" s="52" t="s">
        <v>117</v>
      </c>
      <c r="C476" s="306">
        <v>59</v>
      </c>
      <c r="D476" s="306">
        <v>67</v>
      </c>
      <c r="E476" s="306">
        <v>21</v>
      </c>
      <c r="F476" s="306">
        <v>24</v>
      </c>
      <c r="G476" s="306">
        <v>28</v>
      </c>
      <c r="H476" s="306">
        <v>77</v>
      </c>
      <c r="I476" s="306">
        <v>0</v>
      </c>
      <c r="J476" s="306">
        <v>301702</v>
      </c>
    </row>
    <row r="477" spans="2:10">
      <c r="B477" s="52"/>
      <c r="C477" s="306"/>
      <c r="D477" s="306"/>
      <c r="E477" s="306"/>
      <c r="F477" s="306"/>
      <c r="G477" s="306"/>
      <c r="H477" s="306"/>
      <c r="I477" s="306"/>
      <c r="J477" s="306"/>
    </row>
    <row r="478" spans="2:10">
      <c r="B478" s="71" t="s">
        <v>221</v>
      </c>
      <c r="C478" s="306">
        <v>0</v>
      </c>
      <c r="D478" s="306">
        <v>0</v>
      </c>
      <c r="E478" s="306">
        <v>0</v>
      </c>
      <c r="F478" s="306">
        <v>0</v>
      </c>
      <c r="G478" s="306">
        <v>0</v>
      </c>
      <c r="H478" s="306">
        <v>0</v>
      </c>
      <c r="I478" s="306">
        <v>0</v>
      </c>
      <c r="J478" s="306">
        <v>0</v>
      </c>
    </row>
    <row r="479" spans="2:10">
      <c r="B479" s="52" t="s">
        <v>169</v>
      </c>
      <c r="C479" s="306">
        <v>0</v>
      </c>
      <c r="D479" s="306">
        <v>0</v>
      </c>
      <c r="E479" s="306">
        <v>0</v>
      </c>
      <c r="F479" s="306">
        <v>0</v>
      </c>
      <c r="G479" s="306">
        <v>0</v>
      </c>
      <c r="H479" s="306">
        <v>0</v>
      </c>
      <c r="I479" s="306">
        <v>0</v>
      </c>
      <c r="J479" s="306">
        <v>0</v>
      </c>
    </row>
    <row r="480" spans="2:10">
      <c r="B480" s="52" t="s">
        <v>168</v>
      </c>
      <c r="C480" s="306">
        <v>0</v>
      </c>
      <c r="D480" s="306">
        <v>0</v>
      </c>
      <c r="E480" s="306">
        <v>0</v>
      </c>
      <c r="F480" s="306">
        <v>0</v>
      </c>
      <c r="G480" s="306">
        <v>0</v>
      </c>
      <c r="H480" s="306">
        <v>0</v>
      </c>
      <c r="I480" s="306">
        <v>0</v>
      </c>
      <c r="J480" s="306">
        <v>0</v>
      </c>
    </row>
    <row r="481" spans="2:10">
      <c r="B481" s="52" t="s">
        <v>167</v>
      </c>
      <c r="C481" s="306">
        <v>0</v>
      </c>
      <c r="D481" s="306">
        <v>0</v>
      </c>
      <c r="E481" s="306">
        <v>0</v>
      </c>
      <c r="F481" s="306">
        <v>0</v>
      </c>
      <c r="G481" s="306">
        <v>0</v>
      </c>
      <c r="H481" s="306">
        <v>0</v>
      </c>
      <c r="I481" s="306">
        <v>0</v>
      </c>
      <c r="J481" s="306">
        <v>0</v>
      </c>
    </row>
    <row r="482" spans="2:10">
      <c r="B482" s="52" t="s">
        <v>166</v>
      </c>
      <c r="C482" s="306">
        <v>0</v>
      </c>
      <c r="D482" s="306">
        <v>0</v>
      </c>
      <c r="E482" s="306">
        <v>0</v>
      </c>
      <c r="F482" s="306">
        <v>0</v>
      </c>
      <c r="G482" s="306">
        <v>0</v>
      </c>
      <c r="H482" s="306">
        <v>0</v>
      </c>
      <c r="I482" s="306">
        <v>0</v>
      </c>
      <c r="J482" s="306">
        <v>0</v>
      </c>
    </row>
    <row r="483" spans="2:10">
      <c r="B483" s="52" t="s">
        <v>165</v>
      </c>
      <c r="C483" s="306">
        <v>0</v>
      </c>
      <c r="D483" s="306">
        <v>0</v>
      </c>
      <c r="E483" s="306">
        <v>0</v>
      </c>
      <c r="F483" s="306">
        <v>0</v>
      </c>
      <c r="G483" s="306">
        <v>0</v>
      </c>
      <c r="H483" s="306">
        <v>0</v>
      </c>
      <c r="I483" s="306">
        <v>0</v>
      </c>
      <c r="J483" s="306">
        <v>0</v>
      </c>
    </row>
    <row r="484" spans="2:10" ht="15" thickBot="1">
      <c r="B484" s="52" t="s">
        <v>164</v>
      </c>
      <c r="C484" s="306">
        <v>0</v>
      </c>
      <c r="D484" s="306">
        <v>0</v>
      </c>
      <c r="E484" s="306">
        <v>0</v>
      </c>
      <c r="F484" s="306">
        <v>0</v>
      </c>
      <c r="G484" s="306">
        <v>0</v>
      </c>
      <c r="H484" s="306">
        <v>0</v>
      </c>
      <c r="I484" s="306">
        <v>0</v>
      </c>
      <c r="J484" s="306">
        <v>0</v>
      </c>
    </row>
    <row r="485" spans="2:10" ht="15" thickTop="1">
      <c r="B485" s="2025" t="s">
        <v>1570</v>
      </c>
      <c r="C485" s="2025"/>
      <c r="D485" s="2025"/>
      <c r="E485" s="2025"/>
      <c r="F485" s="2025"/>
      <c r="G485" s="2025"/>
      <c r="H485" s="2025"/>
      <c r="I485" s="2025"/>
      <c r="J485" s="2025"/>
    </row>
    <row r="486" spans="2:10">
      <c r="B486" s="2017"/>
      <c r="C486" s="2017"/>
      <c r="D486" s="2017"/>
      <c r="E486" s="2017"/>
      <c r="F486" s="2017"/>
      <c r="G486" s="2017"/>
      <c r="H486" s="2017"/>
      <c r="I486" s="2017"/>
      <c r="J486" s="2017"/>
    </row>
    <row r="487" spans="2:10">
      <c r="B487" s="64"/>
      <c r="C487" s="302"/>
      <c r="D487" s="302"/>
      <c r="E487" s="302"/>
      <c r="F487" s="302"/>
      <c r="G487" s="302"/>
      <c r="H487" s="302"/>
      <c r="I487" s="302"/>
      <c r="J487" s="302"/>
    </row>
    <row r="488" spans="2:10">
      <c r="B488" s="2097" t="s">
        <v>219</v>
      </c>
      <c r="C488" s="2097"/>
      <c r="D488" s="2097"/>
      <c r="E488" s="2097"/>
      <c r="F488" s="2097"/>
      <c r="G488" s="2097"/>
      <c r="H488" s="2097"/>
      <c r="I488" s="2097"/>
      <c r="J488" s="2097"/>
    </row>
    <row r="489" spans="2:10">
      <c r="B489" s="12" t="s">
        <v>218</v>
      </c>
      <c r="C489" s="302"/>
      <c r="D489" s="302"/>
      <c r="E489" s="302"/>
      <c r="F489" s="302"/>
      <c r="G489" s="302"/>
      <c r="H489" s="302"/>
      <c r="I489" s="302"/>
      <c r="J489" s="302"/>
    </row>
    <row r="490" spans="2:10">
      <c r="B490" s="77" t="s">
        <v>269</v>
      </c>
      <c r="C490" s="302"/>
      <c r="D490" s="302"/>
      <c r="E490" s="302"/>
      <c r="F490" s="302"/>
      <c r="G490" s="302"/>
      <c r="H490" s="302"/>
      <c r="I490" s="302"/>
      <c r="J490" s="302"/>
    </row>
    <row r="491" spans="2:10">
      <c r="B491" s="76"/>
      <c r="C491" s="302"/>
      <c r="D491" s="302"/>
      <c r="E491" s="302"/>
      <c r="F491" s="302"/>
      <c r="G491" s="302"/>
      <c r="H491" s="302"/>
      <c r="I491" s="302"/>
      <c r="J491" s="302"/>
    </row>
    <row r="492" spans="2:10">
      <c r="B492" s="61"/>
      <c r="C492" s="850">
        <v>2014</v>
      </c>
      <c r="D492" s="850">
        <v>2015</v>
      </c>
      <c r="E492" s="850">
        <v>2016</v>
      </c>
      <c r="F492" s="850">
        <v>2017</v>
      </c>
      <c r="G492" s="850">
        <v>2018</v>
      </c>
      <c r="H492" s="850">
        <v>2019</v>
      </c>
      <c r="I492" s="850">
        <v>2020</v>
      </c>
      <c r="J492" s="850">
        <v>2021</v>
      </c>
    </row>
    <row r="493" spans="2:10">
      <c r="B493" s="59" t="s">
        <v>697</v>
      </c>
      <c r="C493" s="302"/>
      <c r="D493" s="302"/>
      <c r="E493" s="302"/>
      <c r="F493" s="302"/>
      <c r="G493" s="302"/>
      <c r="H493" s="302"/>
      <c r="I493" s="302"/>
      <c r="J493" s="302"/>
    </row>
    <row r="494" spans="2:10">
      <c r="B494" s="71" t="s">
        <v>217</v>
      </c>
      <c r="C494" s="306">
        <v>0</v>
      </c>
      <c r="D494" s="306">
        <v>0</v>
      </c>
      <c r="E494" s="306">
        <v>0</v>
      </c>
      <c r="F494" s="306">
        <v>0</v>
      </c>
      <c r="G494" s="306">
        <v>0</v>
      </c>
      <c r="H494" s="306">
        <v>0</v>
      </c>
      <c r="I494" s="306">
        <v>0</v>
      </c>
      <c r="J494" s="306">
        <v>0</v>
      </c>
    </row>
    <row r="495" spans="2:10">
      <c r="B495" s="52" t="s">
        <v>150</v>
      </c>
      <c r="C495" s="306">
        <v>0</v>
      </c>
      <c r="D495" s="306">
        <v>0</v>
      </c>
      <c r="E495" s="306">
        <v>0</v>
      </c>
      <c r="F495" s="306">
        <v>0</v>
      </c>
      <c r="G495" s="306">
        <v>0</v>
      </c>
      <c r="H495" s="306">
        <v>0</v>
      </c>
      <c r="I495" s="306">
        <v>0</v>
      </c>
      <c r="J495" s="306">
        <v>0</v>
      </c>
    </row>
    <row r="496" spans="2:10">
      <c r="B496" s="52" t="s">
        <v>214</v>
      </c>
      <c r="C496" s="306">
        <v>0</v>
      </c>
      <c r="D496" s="306">
        <v>0</v>
      </c>
      <c r="E496" s="306">
        <v>0</v>
      </c>
      <c r="F496" s="306">
        <v>0</v>
      </c>
      <c r="G496" s="306">
        <v>0</v>
      </c>
      <c r="H496" s="306">
        <v>0</v>
      </c>
      <c r="I496" s="306">
        <v>0</v>
      </c>
      <c r="J496" s="306">
        <v>0</v>
      </c>
    </row>
    <row r="497" spans="2:10">
      <c r="B497" s="52" t="s">
        <v>147</v>
      </c>
      <c r="C497" s="306">
        <v>0</v>
      </c>
      <c r="D497" s="306">
        <v>0</v>
      </c>
      <c r="E497" s="306">
        <v>0</v>
      </c>
      <c r="F497" s="306">
        <v>0</v>
      </c>
      <c r="G497" s="306">
        <v>0</v>
      </c>
      <c r="H497" s="306">
        <v>0</v>
      </c>
      <c r="I497" s="306">
        <v>0</v>
      </c>
      <c r="J497" s="306">
        <v>0</v>
      </c>
    </row>
    <row r="498" spans="2:10">
      <c r="B498" s="52" t="s">
        <v>146</v>
      </c>
      <c r="C498" s="306">
        <v>0</v>
      </c>
      <c r="D498" s="306">
        <v>0</v>
      </c>
      <c r="E498" s="306">
        <v>0</v>
      </c>
      <c r="F498" s="306">
        <v>0</v>
      </c>
      <c r="G498" s="306">
        <v>0</v>
      </c>
      <c r="H498" s="306">
        <v>0</v>
      </c>
      <c r="I498" s="306">
        <v>0</v>
      </c>
      <c r="J498" s="306">
        <v>0</v>
      </c>
    </row>
    <row r="499" spans="2:10">
      <c r="B499" s="52"/>
      <c r="C499" s="235"/>
      <c r="D499" s="235"/>
      <c r="E499" s="235"/>
      <c r="F499" s="235"/>
      <c r="G499" s="235"/>
      <c r="H499" s="235"/>
      <c r="I499" s="235"/>
      <c r="J499" s="235"/>
    </row>
    <row r="500" spans="2:10">
      <c r="B500" s="71" t="s">
        <v>216</v>
      </c>
      <c r="C500" s="306">
        <v>0</v>
      </c>
      <c r="D500" s="306">
        <v>0</v>
      </c>
      <c r="E500" s="306">
        <v>0</v>
      </c>
      <c r="F500" s="306">
        <v>0</v>
      </c>
      <c r="G500" s="306">
        <v>0</v>
      </c>
      <c r="H500" s="306">
        <v>0</v>
      </c>
      <c r="I500" s="306">
        <v>0</v>
      </c>
      <c r="J500" s="306">
        <v>0</v>
      </c>
    </row>
    <row r="501" spans="2:10">
      <c r="B501" s="52" t="s">
        <v>150</v>
      </c>
      <c r="C501" s="306">
        <v>0</v>
      </c>
      <c r="D501" s="306">
        <v>0</v>
      </c>
      <c r="E501" s="306">
        <v>0</v>
      </c>
      <c r="F501" s="306">
        <v>0</v>
      </c>
      <c r="G501" s="306">
        <v>0</v>
      </c>
      <c r="H501" s="306">
        <v>0</v>
      </c>
      <c r="I501" s="306">
        <v>0</v>
      </c>
      <c r="J501" s="306">
        <v>0</v>
      </c>
    </row>
    <row r="502" spans="2:10">
      <c r="B502" s="52" t="s">
        <v>214</v>
      </c>
      <c r="C502" s="306">
        <v>0</v>
      </c>
      <c r="D502" s="306">
        <v>0</v>
      </c>
      <c r="E502" s="306">
        <v>0</v>
      </c>
      <c r="F502" s="306">
        <v>0</v>
      </c>
      <c r="G502" s="306">
        <v>0</v>
      </c>
      <c r="H502" s="306">
        <v>0</v>
      </c>
      <c r="I502" s="306">
        <v>0</v>
      </c>
      <c r="J502" s="306">
        <v>0</v>
      </c>
    </row>
    <row r="503" spans="2:10">
      <c r="B503" s="52" t="s">
        <v>147</v>
      </c>
      <c r="C503" s="306">
        <v>0</v>
      </c>
      <c r="D503" s="306">
        <v>0</v>
      </c>
      <c r="E503" s="306">
        <v>0</v>
      </c>
      <c r="F503" s="306">
        <v>0</v>
      </c>
      <c r="G503" s="306">
        <v>0</v>
      </c>
      <c r="H503" s="306">
        <v>0</v>
      </c>
      <c r="I503" s="306">
        <v>0</v>
      </c>
      <c r="J503" s="306">
        <v>0</v>
      </c>
    </row>
    <row r="504" spans="2:10">
      <c r="B504" s="52" t="s">
        <v>146</v>
      </c>
      <c r="C504" s="306">
        <v>0</v>
      </c>
      <c r="D504" s="306">
        <v>0</v>
      </c>
      <c r="E504" s="306">
        <v>0</v>
      </c>
      <c r="F504" s="306">
        <v>0</v>
      </c>
      <c r="G504" s="306">
        <v>0</v>
      </c>
      <c r="H504" s="306">
        <v>0</v>
      </c>
      <c r="I504" s="306">
        <v>0</v>
      </c>
      <c r="J504" s="306">
        <v>0</v>
      </c>
    </row>
    <row r="505" spans="2:10">
      <c r="B505" s="52"/>
      <c r="C505" s="235"/>
      <c r="D505" s="235"/>
      <c r="E505" s="235"/>
      <c r="F505" s="235"/>
      <c r="G505" s="235"/>
      <c r="H505" s="235"/>
      <c r="I505" s="235"/>
      <c r="J505" s="235"/>
    </row>
    <row r="506" spans="2:10">
      <c r="B506" s="71" t="s">
        <v>215</v>
      </c>
      <c r="C506" s="306">
        <v>0</v>
      </c>
      <c r="D506" s="306">
        <v>0</v>
      </c>
      <c r="E506" s="306">
        <v>0</v>
      </c>
      <c r="F506" s="306">
        <v>0</v>
      </c>
      <c r="G506" s="306">
        <v>0</v>
      </c>
      <c r="H506" s="306">
        <v>0</v>
      </c>
      <c r="I506" s="306">
        <v>0</v>
      </c>
      <c r="J506" s="306">
        <v>0</v>
      </c>
    </row>
    <row r="507" spans="2:10">
      <c r="B507" s="52" t="s">
        <v>150</v>
      </c>
      <c r="C507" s="306">
        <v>0</v>
      </c>
      <c r="D507" s="306">
        <v>0</v>
      </c>
      <c r="E507" s="306">
        <v>0</v>
      </c>
      <c r="F507" s="306">
        <v>0</v>
      </c>
      <c r="G507" s="306">
        <v>0</v>
      </c>
      <c r="H507" s="306">
        <v>0</v>
      </c>
      <c r="I507" s="306">
        <v>0</v>
      </c>
      <c r="J507" s="306">
        <v>0</v>
      </c>
    </row>
    <row r="508" spans="2:10">
      <c r="B508" s="52" t="s">
        <v>214</v>
      </c>
      <c r="C508" s="306">
        <v>0</v>
      </c>
      <c r="D508" s="306">
        <v>0</v>
      </c>
      <c r="E508" s="306">
        <v>0</v>
      </c>
      <c r="F508" s="306">
        <v>0</v>
      </c>
      <c r="G508" s="306">
        <v>0</v>
      </c>
      <c r="H508" s="306">
        <v>0</v>
      </c>
      <c r="I508" s="306">
        <v>0</v>
      </c>
      <c r="J508" s="306">
        <v>0</v>
      </c>
    </row>
    <row r="509" spans="2:10">
      <c r="B509" s="52" t="s">
        <v>147</v>
      </c>
      <c r="C509" s="306">
        <v>0</v>
      </c>
      <c r="D509" s="306">
        <v>0</v>
      </c>
      <c r="E509" s="306">
        <v>0</v>
      </c>
      <c r="F509" s="306">
        <v>0</v>
      </c>
      <c r="G509" s="306">
        <v>0</v>
      </c>
      <c r="H509" s="306">
        <v>0</v>
      </c>
      <c r="I509" s="306">
        <v>0</v>
      </c>
      <c r="J509" s="306">
        <v>0</v>
      </c>
    </row>
    <row r="510" spans="2:10" ht="15" thickBot="1">
      <c r="B510" s="52" t="s">
        <v>146</v>
      </c>
      <c r="C510" s="306">
        <v>0</v>
      </c>
      <c r="D510" s="306">
        <v>0</v>
      </c>
      <c r="E510" s="306">
        <v>0</v>
      </c>
      <c r="F510" s="306">
        <v>0</v>
      </c>
      <c r="G510" s="306">
        <v>0</v>
      </c>
      <c r="H510" s="306">
        <v>0</v>
      </c>
      <c r="I510" s="306">
        <v>0</v>
      </c>
      <c r="J510" s="306">
        <v>0</v>
      </c>
    </row>
    <row r="511" spans="2:10" ht="15" thickTop="1">
      <c r="B511" s="2025" t="s">
        <v>1570</v>
      </c>
      <c r="C511" s="2025"/>
      <c r="D511" s="2025"/>
      <c r="E511" s="2025"/>
      <c r="F511" s="2025"/>
      <c r="G511" s="2025"/>
      <c r="H511" s="2025"/>
      <c r="I511" s="2025"/>
      <c r="J511" s="2025"/>
    </row>
    <row r="512" spans="2:10">
      <c r="B512" s="62"/>
      <c r="C512" s="302"/>
      <c r="D512" s="302"/>
      <c r="E512" s="302"/>
      <c r="F512" s="302"/>
      <c r="G512" s="302"/>
      <c r="H512" s="302"/>
      <c r="I512" s="302"/>
      <c r="J512" s="302"/>
    </row>
    <row r="513" spans="2:10">
      <c r="B513" s="2097" t="s">
        <v>212</v>
      </c>
      <c r="C513" s="2097"/>
      <c r="D513" s="2097"/>
      <c r="E513" s="2097"/>
      <c r="F513" s="2097"/>
      <c r="G513" s="2097"/>
      <c r="H513" s="2097"/>
      <c r="I513" s="2097"/>
      <c r="J513" s="2097"/>
    </row>
    <row r="514" spans="2:10">
      <c r="B514" s="12" t="s">
        <v>211</v>
      </c>
      <c r="C514" s="302"/>
      <c r="D514" s="302"/>
      <c r="E514" s="302"/>
      <c r="F514" s="302"/>
      <c r="G514" s="302"/>
      <c r="H514" s="302"/>
      <c r="I514" s="302"/>
      <c r="J514" s="302"/>
    </row>
    <row r="515" spans="2:10">
      <c r="B515" s="64" t="s">
        <v>210</v>
      </c>
      <c r="C515" s="302"/>
      <c r="D515" s="302"/>
      <c r="E515" s="302"/>
      <c r="F515" s="302"/>
      <c r="G515" s="302"/>
      <c r="H515" s="302"/>
      <c r="I515" s="302"/>
      <c r="J515" s="302"/>
    </row>
    <row r="516" spans="2:10">
      <c r="B516" s="64"/>
      <c r="C516" s="302"/>
      <c r="D516" s="302"/>
      <c r="E516" s="302"/>
      <c r="F516" s="302"/>
      <c r="G516" s="302"/>
      <c r="H516" s="302"/>
      <c r="I516" s="302"/>
      <c r="J516" s="302"/>
    </row>
    <row r="517" spans="2:10">
      <c r="B517" s="61"/>
      <c r="C517" s="850">
        <v>2014</v>
      </c>
      <c r="D517" s="850">
        <v>2015</v>
      </c>
      <c r="E517" s="850">
        <v>2016</v>
      </c>
      <c r="F517" s="850">
        <v>2017</v>
      </c>
      <c r="G517" s="850">
        <v>2018</v>
      </c>
      <c r="H517" s="850">
        <v>2019</v>
      </c>
      <c r="I517" s="850">
        <v>2020</v>
      </c>
      <c r="J517" s="850">
        <v>2021</v>
      </c>
    </row>
    <row r="518" spans="2:10">
      <c r="B518" s="59" t="s">
        <v>697</v>
      </c>
      <c r="C518" s="302"/>
      <c r="D518" s="302"/>
      <c r="E518" s="302"/>
      <c r="F518" s="302"/>
      <c r="G518" s="302"/>
      <c r="H518" s="302"/>
      <c r="I518" s="302"/>
      <c r="J518" s="302"/>
    </row>
    <row r="519" spans="2:10" ht="25">
      <c r="B519" s="71" t="s">
        <v>209</v>
      </c>
      <c r="C519" s="306">
        <v>0</v>
      </c>
      <c r="D519" s="306">
        <v>0</v>
      </c>
      <c r="E519" s="306">
        <v>0</v>
      </c>
      <c r="F519" s="306">
        <v>0</v>
      </c>
      <c r="G519" s="306">
        <v>0</v>
      </c>
      <c r="H519" s="306">
        <v>0</v>
      </c>
      <c r="I519" s="306">
        <v>0</v>
      </c>
      <c r="J519" s="306">
        <v>0</v>
      </c>
    </row>
    <row r="520" spans="2:10">
      <c r="B520" s="71"/>
      <c r="C520" s="867"/>
      <c r="D520" s="867"/>
      <c r="E520" s="867"/>
      <c r="F520" s="867"/>
      <c r="G520" s="867"/>
      <c r="H520" s="867"/>
      <c r="I520" s="867"/>
      <c r="J520" s="867"/>
    </row>
    <row r="521" spans="2:10">
      <c r="B521" s="71" t="s">
        <v>208</v>
      </c>
      <c r="C521" s="306">
        <v>0</v>
      </c>
      <c r="D521" s="306">
        <v>0</v>
      </c>
      <c r="E521" s="306">
        <v>0</v>
      </c>
      <c r="F521" s="306">
        <v>0</v>
      </c>
      <c r="G521" s="306">
        <v>0</v>
      </c>
      <c r="H521" s="306">
        <v>0</v>
      </c>
      <c r="I521" s="306">
        <v>0</v>
      </c>
      <c r="J521" s="306">
        <v>0</v>
      </c>
    </row>
    <row r="522" spans="2:10">
      <c r="B522" s="52" t="s">
        <v>121</v>
      </c>
      <c r="C522" s="306">
        <v>0</v>
      </c>
      <c r="D522" s="306">
        <v>0</v>
      </c>
      <c r="E522" s="306">
        <v>0</v>
      </c>
      <c r="F522" s="306">
        <v>0</v>
      </c>
      <c r="G522" s="306">
        <v>0</v>
      </c>
      <c r="H522" s="306">
        <v>0</v>
      </c>
      <c r="I522" s="306">
        <v>0</v>
      </c>
      <c r="J522" s="306">
        <v>0</v>
      </c>
    </row>
    <row r="523" spans="2:10">
      <c r="B523" s="53" t="s">
        <v>120</v>
      </c>
      <c r="C523" s="306">
        <v>0</v>
      </c>
      <c r="D523" s="306">
        <v>0</v>
      </c>
      <c r="E523" s="306">
        <v>0</v>
      </c>
      <c r="F523" s="306">
        <v>0</v>
      </c>
      <c r="G523" s="306">
        <v>0</v>
      </c>
      <c r="H523" s="306">
        <v>0</v>
      </c>
      <c r="I523" s="306">
        <v>0</v>
      </c>
      <c r="J523" s="306">
        <v>0</v>
      </c>
    </row>
    <row r="524" spans="2:10">
      <c r="B524" s="53" t="s">
        <v>119</v>
      </c>
      <c r="C524" s="306">
        <v>0</v>
      </c>
      <c r="D524" s="306">
        <v>0</v>
      </c>
      <c r="E524" s="306">
        <v>0</v>
      </c>
      <c r="F524" s="306">
        <v>0</v>
      </c>
      <c r="G524" s="306">
        <v>0</v>
      </c>
      <c r="H524" s="306">
        <v>0</v>
      </c>
      <c r="I524" s="306">
        <v>0</v>
      </c>
      <c r="J524" s="306">
        <v>0</v>
      </c>
    </row>
    <row r="525" spans="2:10">
      <c r="B525" s="53" t="s">
        <v>172</v>
      </c>
      <c r="C525" s="306">
        <v>0</v>
      </c>
      <c r="D525" s="306">
        <v>0</v>
      </c>
      <c r="E525" s="306">
        <v>0</v>
      </c>
      <c r="F525" s="306">
        <v>0</v>
      </c>
      <c r="G525" s="306">
        <v>0</v>
      </c>
      <c r="H525" s="306">
        <v>0</v>
      </c>
      <c r="I525" s="306">
        <v>0</v>
      </c>
      <c r="J525" s="306">
        <v>0</v>
      </c>
    </row>
    <row r="526" spans="2:10">
      <c r="B526" s="52" t="s">
        <v>118</v>
      </c>
      <c r="C526" s="306">
        <v>0</v>
      </c>
      <c r="D526" s="306">
        <v>0</v>
      </c>
      <c r="E526" s="306">
        <v>0</v>
      </c>
      <c r="F526" s="306">
        <v>0</v>
      </c>
      <c r="G526" s="306">
        <v>0</v>
      </c>
      <c r="H526" s="306">
        <v>0</v>
      </c>
      <c r="I526" s="306">
        <v>0</v>
      </c>
      <c r="J526" s="306">
        <v>0</v>
      </c>
    </row>
    <row r="527" spans="2:10">
      <c r="B527" s="52" t="s">
        <v>117</v>
      </c>
      <c r="C527" s="306">
        <v>0</v>
      </c>
      <c r="D527" s="306">
        <v>0</v>
      </c>
      <c r="E527" s="306">
        <v>0</v>
      </c>
      <c r="F527" s="306">
        <v>0</v>
      </c>
      <c r="G527" s="306">
        <v>0</v>
      </c>
      <c r="H527" s="306">
        <v>0</v>
      </c>
      <c r="I527" s="306">
        <v>0</v>
      </c>
      <c r="J527" s="306">
        <v>0</v>
      </c>
    </row>
    <row r="528" spans="2:10">
      <c r="B528" s="52"/>
      <c r="C528" s="867"/>
      <c r="D528" s="867"/>
      <c r="E528" s="867"/>
      <c r="F528" s="867"/>
      <c r="G528" s="867"/>
      <c r="H528" s="867"/>
      <c r="I528" s="867"/>
      <c r="J528" s="867"/>
    </row>
    <row r="529" spans="2:10" ht="26">
      <c r="B529" s="83" t="s">
        <v>205</v>
      </c>
      <c r="C529" s="306">
        <v>0</v>
      </c>
      <c r="D529" s="306">
        <v>0</v>
      </c>
      <c r="E529" s="306">
        <v>0</v>
      </c>
      <c r="F529" s="306">
        <v>0</v>
      </c>
      <c r="G529" s="306">
        <v>0</v>
      </c>
      <c r="H529" s="306">
        <v>0</v>
      </c>
      <c r="I529" s="306">
        <v>0</v>
      </c>
      <c r="J529" s="306">
        <v>0</v>
      </c>
    </row>
    <row r="530" spans="2:10">
      <c r="B530" s="81" t="s">
        <v>121</v>
      </c>
      <c r="C530" s="306">
        <v>0</v>
      </c>
      <c r="D530" s="306">
        <v>0</v>
      </c>
      <c r="E530" s="306">
        <v>0</v>
      </c>
      <c r="F530" s="306">
        <v>0</v>
      </c>
      <c r="G530" s="306">
        <v>0</v>
      </c>
      <c r="H530" s="306">
        <v>0</v>
      </c>
      <c r="I530" s="306">
        <v>0</v>
      </c>
      <c r="J530" s="306">
        <v>0</v>
      </c>
    </row>
    <row r="531" spans="2:10">
      <c r="B531" s="82" t="s">
        <v>120</v>
      </c>
      <c r="C531" s="306">
        <v>0</v>
      </c>
      <c r="D531" s="306">
        <v>0</v>
      </c>
      <c r="E531" s="306">
        <v>0</v>
      </c>
      <c r="F531" s="306">
        <v>0</v>
      </c>
      <c r="G531" s="306">
        <v>0</v>
      </c>
      <c r="H531" s="306">
        <v>0</v>
      </c>
      <c r="I531" s="306">
        <v>0</v>
      </c>
      <c r="J531" s="306">
        <v>0</v>
      </c>
    </row>
    <row r="532" spans="2:10">
      <c r="B532" s="82" t="s">
        <v>119</v>
      </c>
      <c r="C532" s="306">
        <v>0</v>
      </c>
      <c r="D532" s="306">
        <v>0</v>
      </c>
      <c r="E532" s="306">
        <v>0</v>
      </c>
      <c r="F532" s="306">
        <v>0</v>
      </c>
      <c r="G532" s="306">
        <v>0</v>
      </c>
      <c r="H532" s="306">
        <v>0</v>
      </c>
      <c r="I532" s="306">
        <v>0</v>
      </c>
      <c r="J532" s="306">
        <v>0</v>
      </c>
    </row>
    <row r="533" spans="2:10">
      <c r="B533" s="82" t="s">
        <v>172</v>
      </c>
      <c r="C533" s="306">
        <v>0</v>
      </c>
      <c r="D533" s="306">
        <v>0</v>
      </c>
      <c r="E533" s="306">
        <v>0</v>
      </c>
      <c r="F533" s="306">
        <v>0</v>
      </c>
      <c r="G533" s="306">
        <v>0</v>
      </c>
      <c r="H533" s="306">
        <v>0</v>
      </c>
      <c r="I533" s="306">
        <v>0</v>
      </c>
      <c r="J533" s="306">
        <v>0</v>
      </c>
    </row>
    <row r="534" spans="2:10">
      <c r="B534" s="81" t="s">
        <v>118</v>
      </c>
      <c r="C534" s="306">
        <v>0</v>
      </c>
      <c r="D534" s="306">
        <v>0</v>
      </c>
      <c r="E534" s="306">
        <v>0</v>
      </c>
      <c r="F534" s="306">
        <v>0</v>
      </c>
      <c r="G534" s="306">
        <v>0</v>
      </c>
      <c r="H534" s="306">
        <v>0</v>
      </c>
      <c r="I534" s="306">
        <v>0</v>
      </c>
      <c r="J534" s="306">
        <v>0</v>
      </c>
    </row>
    <row r="535" spans="2:10">
      <c r="B535" s="81" t="s">
        <v>117</v>
      </c>
      <c r="C535" s="306">
        <v>0</v>
      </c>
      <c r="D535" s="306">
        <v>0</v>
      </c>
      <c r="E535" s="306">
        <v>0</v>
      </c>
      <c r="F535" s="306">
        <v>0</v>
      </c>
      <c r="G535" s="306">
        <v>0</v>
      </c>
      <c r="H535" s="306">
        <v>0</v>
      </c>
      <c r="I535" s="306">
        <v>0</v>
      </c>
      <c r="J535" s="306">
        <v>0</v>
      </c>
    </row>
    <row r="536" spans="2:10">
      <c r="B536" s="81"/>
      <c r="C536" s="867"/>
      <c r="D536" s="867"/>
      <c r="E536" s="867"/>
      <c r="F536" s="867"/>
      <c r="G536" s="867"/>
      <c r="H536" s="867"/>
      <c r="I536" s="867"/>
      <c r="J536" s="867"/>
    </row>
    <row r="537" spans="2:10" ht="26">
      <c r="B537" s="83" t="s">
        <v>204</v>
      </c>
      <c r="C537" s="306">
        <v>0</v>
      </c>
      <c r="D537" s="306">
        <v>0</v>
      </c>
      <c r="E537" s="306">
        <v>0</v>
      </c>
      <c r="F537" s="306">
        <v>0</v>
      </c>
      <c r="G537" s="306">
        <v>0</v>
      </c>
      <c r="H537" s="306">
        <v>0</v>
      </c>
      <c r="I537" s="306">
        <v>0</v>
      </c>
      <c r="J537" s="306">
        <v>0</v>
      </c>
    </row>
    <row r="538" spans="2:10">
      <c r="B538" s="81" t="s">
        <v>121</v>
      </c>
      <c r="C538" s="306">
        <v>0</v>
      </c>
      <c r="D538" s="306">
        <v>0</v>
      </c>
      <c r="E538" s="306">
        <v>0</v>
      </c>
      <c r="F538" s="306">
        <v>0</v>
      </c>
      <c r="G538" s="306">
        <v>0</v>
      </c>
      <c r="H538" s="306">
        <v>0</v>
      </c>
      <c r="I538" s="306">
        <v>0</v>
      </c>
      <c r="J538" s="306">
        <v>0</v>
      </c>
    </row>
    <row r="539" spans="2:10">
      <c r="B539" s="82" t="s">
        <v>120</v>
      </c>
      <c r="C539" s="306">
        <v>0</v>
      </c>
      <c r="D539" s="306">
        <v>0</v>
      </c>
      <c r="E539" s="306">
        <v>0</v>
      </c>
      <c r="F539" s="306">
        <v>0</v>
      </c>
      <c r="G539" s="306">
        <v>0</v>
      </c>
      <c r="H539" s="306">
        <v>0</v>
      </c>
      <c r="I539" s="306">
        <v>0</v>
      </c>
      <c r="J539" s="306">
        <v>0</v>
      </c>
    </row>
    <row r="540" spans="2:10">
      <c r="B540" s="82" t="s">
        <v>119</v>
      </c>
      <c r="C540" s="306">
        <v>0</v>
      </c>
      <c r="D540" s="306">
        <v>0</v>
      </c>
      <c r="E540" s="306">
        <v>0</v>
      </c>
      <c r="F540" s="306">
        <v>0</v>
      </c>
      <c r="G540" s="306">
        <v>0</v>
      </c>
      <c r="H540" s="306">
        <v>0</v>
      </c>
      <c r="I540" s="306">
        <v>0</v>
      </c>
      <c r="J540" s="306">
        <v>0</v>
      </c>
    </row>
    <row r="541" spans="2:10">
      <c r="B541" s="82" t="s">
        <v>172</v>
      </c>
      <c r="C541" s="306">
        <v>0</v>
      </c>
      <c r="D541" s="306">
        <v>0</v>
      </c>
      <c r="E541" s="306">
        <v>0</v>
      </c>
      <c r="F541" s="306">
        <v>0</v>
      </c>
      <c r="G541" s="306">
        <v>0</v>
      </c>
      <c r="H541" s="306">
        <v>0</v>
      </c>
      <c r="I541" s="306">
        <v>0</v>
      </c>
      <c r="J541" s="306">
        <v>0</v>
      </c>
    </row>
    <row r="542" spans="2:10">
      <c r="B542" s="81" t="s">
        <v>118</v>
      </c>
      <c r="C542" s="306">
        <v>0</v>
      </c>
      <c r="D542" s="306">
        <v>0</v>
      </c>
      <c r="E542" s="306">
        <v>0</v>
      </c>
      <c r="F542" s="306">
        <v>0</v>
      </c>
      <c r="G542" s="306">
        <v>0</v>
      </c>
      <c r="H542" s="306">
        <v>0</v>
      </c>
      <c r="I542" s="306">
        <v>0</v>
      </c>
      <c r="J542" s="306">
        <v>0</v>
      </c>
    </row>
    <row r="543" spans="2:10">
      <c r="B543" s="81" t="s">
        <v>117</v>
      </c>
      <c r="C543" s="306">
        <v>0</v>
      </c>
      <c r="D543" s="306">
        <v>0</v>
      </c>
      <c r="E543" s="306">
        <v>0</v>
      </c>
      <c r="F543" s="306">
        <v>0</v>
      </c>
      <c r="G543" s="306">
        <v>0</v>
      </c>
      <c r="H543" s="306">
        <v>0</v>
      </c>
      <c r="I543" s="306">
        <v>0</v>
      </c>
      <c r="J543" s="306">
        <v>0</v>
      </c>
    </row>
    <row r="544" spans="2:10">
      <c r="B544" s="81"/>
      <c r="C544" s="321"/>
      <c r="D544" s="321"/>
      <c r="E544" s="321"/>
      <c r="F544" s="321"/>
      <c r="G544" s="321"/>
      <c r="H544" s="321"/>
      <c r="I544" s="321"/>
      <c r="J544" s="321"/>
    </row>
    <row r="545" spans="2:10" ht="25">
      <c r="B545" s="71" t="s">
        <v>203</v>
      </c>
      <c r="C545" s="306">
        <v>0</v>
      </c>
      <c r="D545" s="306">
        <v>0</v>
      </c>
      <c r="E545" s="306">
        <v>0</v>
      </c>
      <c r="F545" s="306">
        <v>0</v>
      </c>
      <c r="G545" s="306">
        <v>0</v>
      </c>
      <c r="H545" s="306">
        <v>0</v>
      </c>
      <c r="I545" s="306">
        <v>0</v>
      </c>
      <c r="J545" s="306">
        <v>0</v>
      </c>
    </row>
    <row r="546" spans="2:10">
      <c r="B546" s="52" t="s">
        <v>169</v>
      </c>
      <c r="C546" s="306">
        <v>0</v>
      </c>
      <c r="D546" s="306">
        <v>0</v>
      </c>
      <c r="E546" s="306">
        <v>0</v>
      </c>
      <c r="F546" s="306">
        <v>0</v>
      </c>
      <c r="G546" s="306">
        <v>0</v>
      </c>
      <c r="H546" s="306">
        <v>0</v>
      </c>
      <c r="I546" s="306">
        <v>0</v>
      </c>
      <c r="J546" s="306">
        <v>0</v>
      </c>
    </row>
    <row r="547" spans="2:10">
      <c r="B547" s="52" t="s">
        <v>168</v>
      </c>
      <c r="C547" s="306">
        <v>0</v>
      </c>
      <c r="D547" s="306">
        <v>0</v>
      </c>
      <c r="E547" s="306">
        <v>0</v>
      </c>
      <c r="F547" s="306">
        <v>0</v>
      </c>
      <c r="G547" s="306">
        <v>0</v>
      </c>
      <c r="H547" s="306">
        <v>0</v>
      </c>
      <c r="I547" s="306">
        <v>0</v>
      </c>
      <c r="J547" s="306">
        <v>0</v>
      </c>
    </row>
    <row r="548" spans="2:10">
      <c r="B548" s="52" t="s">
        <v>167</v>
      </c>
      <c r="C548" s="306">
        <v>0</v>
      </c>
      <c r="D548" s="306">
        <v>0</v>
      </c>
      <c r="E548" s="306">
        <v>0</v>
      </c>
      <c r="F548" s="306">
        <v>0</v>
      </c>
      <c r="G548" s="306">
        <v>0</v>
      </c>
      <c r="H548" s="306">
        <v>0</v>
      </c>
      <c r="I548" s="306">
        <v>0</v>
      </c>
      <c r="J548" s="306">
        <v>0</v>
      </c>
    </row>
    <row r="549" spans="2:10">
      <c r="B549" s="52" t="s">
        <v>166</v>
      </c>
      <c r="C549" s="306">
        <v>0</v>
      </c>
      <c r="D549" s="306">
        <v>0</v>
      </c>
      <c r="E549" s="306">
        <v>0</v>
      </c>
      <c r="F549" s="306">
        <v>0</v>
      </c>
      <c r="G549" s="306">
        <v>0</v>
      </c>
      <c r="H549" s="306">
        <v>0</v>
      </c>
      <c r="I549" s="306">
        <v>0</v>
      </c>
      <c r="J549" s="306">
        <v>0</v>
      </c>
    </row>
    <row r="550" spans="2:10">
      <c r="B550" s="52" t="s">
        <v>165</v>
      </c>
      <c r="C550" s="306">
        <v>0</v>
      </c>
      <c r="D550" s="306">
        <v>0</v>
      </c>
      <c r="E550" s="306">
        <v>0</v>
      </c>
      <c r="F550" s="306">
        <v>0</v>
      </c>
      <c r="G550" s="306">
        <v>0</v>
      </c>
      <c r="H550" s="306">
        <v>0</v>
      </c>
      <c r="I550" s="306">
        <v>0</v>
      </c>
      <c r="J550" s="306">
        <v>0</v>
      </c>
    </row>
    <row r="551" spans="2:10">
      <c r="B551" s="52" t="s">
        <v>164</v>
      </c>
      <c r="C551" s="306">
        <v>0</v>
      </c>
      <c r="D551" s="306">
        <v>0</v>
      </c>
      <c r="E551" s="306">
        <v>0</v>
      </c>
      <c r="F551" s="306">
        <v>0</v>
      </c>
      <c r="G551" s="306">
        <v>0</v>
      </c>
      <c r="H551" s="306">
        <v>0</v>
      </c>
      <c r="I551" s="306">
        <v>0</v>
      </c>
      <c r="J551" s="306">
        <v>0</v>
      </c>
    </row>
    <row r="552" spans="2:10">
      <c r="B552" s="52"/>
      <c r="C552" s="321"/>
      <c r="D552" s="321"/>
      <c r="E552" s="321"/>
      <c r="F552" s="321"/>
      <c r="G552" s="321"/>
      <c r="H552" s="321"/>
      <c r="I552" s="321"/>
      <c r="J552" s="321"/>
    </row>
    <row r="553" spans="2:10">
      <c r="B553" s="80" t="s">
        <v>202</v>
      </c>
      <c r="C553" s="306">
        <v>0</v>
      </c>
      <c r="D553" s="306">
        <v>0</v>
      </c>
      <c r="E553" s="306">
        <v>0</v>
      </c>
      <c r="F553" s="306">
        <v>0</v>
      </c>
      <c r="G553" s="306">
        <v>0</v>
      </c>
      <c r="H553" s="306">
        <v>0</v>
      </c>
      <c r="I553" s="306">
        <v>0</v>
      </c>
      <c r="J553" s="306">
        <v>0</v>
      </c>
    </row>
    <row r="554" spans="2:10">
      <c r="B554" s="52" t="s">
        <v>169</v>
      </c>
      <c r="C554" s="306">
        <v>0</v>
      </c>
      <c r="D554" s="306">
        <v>0</v>
      </c>
      <c r="E554" s="306">
        <v>0</v>
      </c>
      <c r="F554" s="306">
        <v>0</v>
      </c>
      <c r="G554" s="306">
        <v>0</v>
      </c>
      <c r="H554" s="306">
        <v>0</v>
      </c>
      <c r="I554" s="306">
        <v>0</v>
      </c>
      <c r="J554" s="306">
        <v>0</v>
      </c>
    </row>
    <row r="555" spans="2:10">
      <c r="B555" s="52" t="s">
        <v>168</v>
      </c>
      <c r="C555" s="306">
        <v>0</v>
      </c>
      <c r="D555" s="306">
        <v>0</v>
      </c>
      <c r="E555" s="306">
        <v>0</v>
      </c>
      <c r="F555" s="306">
        <v>0</v>
      </c>
      <c r="G555" s="306">
        <v>0</v>
      </c>
      <c r="H555" s="306">
        <v>0</v>
      </c>
      <c r="I555" s="306">
        <v>0</v>
      </c>
      <c r="J555" s="306">
        <v>0</v>
      </c>
    </row>
    <row r="556" spans="2:10">
      <c r="B556" s="52" t="s">
        <v>167</v>
      </c>
      <c r="C556" s="306">
        <v>0</v>
      </c>
      <c r="D556" s="306">
        <v>0</v>
      </c>
      <c r="E556" s="306">
        <v>0</v>
      </c>
      <c r="F556" s="306">
        <v>0</v>
      </c>
      <c r="G556" s="306">
        <v>0</v>
      </c>
      <c r="H556" s="306">
        <v>0</v>
      </c>
      <c r="I556" s="306">
        <v>0</v>
      </c>
      <c r="J556" s="306">
        <v>0</v>
      </c>
    </row>
    <row r="557" spans="2:10">
      <c r="B557" s="52" t="s">
        <v>166</v>
      </c>
      <c r="C557" s="306">
        <v>0</v>
      </c>
      <c r="D557" s="306">
        <v>0</v>
      </c>
      <c r="E557" s="306">
        <v>0</v>
      </c>
      <c r="F557" s="306">
        <v>0</v>
      </c>
      <c r="G557" s="306">
        <v>0</v>
      </c>
      <c r="H557" s="306">
        <v>0</v>
      </c>
      <c r="I557" s="306">
        <v>0</v>
      </c>
      <c r="J557" s="306">
        <v>0</v>
      </c>
    </row>
    <row r="558" spans="2:10">
      <c r="B558" s="52" t="s">
        <v>165</v>
      </c>
      <c r="C558" s="306">
        <v>0</v>
      </c>
      <c r="D558" s="306">
        <v>0</v>
      </c>
      <c r="E558" s="306">
        <v>0</v>
      </c>
      <c r="F558" s="306">
        <v>0</v>
      </c>
      <c r="G558" s="306">
        <v>0</v>
      </c>
      <c r="H558" s="306">
        <v>0</v>
      </c>
      <c r="I558" s="306">
        <v>0</v>
      </c>
      <c r="J558" s="306">
        <v>0</v>
      </c>
    </row>
    <row r="559" spans="2:10">
      <c r="B559" s="52" t="s">
        <v>164</v>
      </c>
      <c r="C559" s="306">
        <v>0</v>
      </c>
      <c r="D559" s="306">
        <v>0</v>
      </c>
      <c r="E559" s="306">
        <v>0</v>
      </c>
      <c r="F559" s="306">
        <v>0</v>
      </c>
      <c r="G559" s="306">
        <v>0</v>
      </c>
      <c r="H559" s="306">
        <v>0</v>
      </c>
      <c r="I559" s="306">
        <v>0</v>
      </c>
      <c r="J559" s="306">
        <v>0</v>
      </c>
    </row>
    <row r="560" spans="2:10" ht="15" thickBot="1">
      <c r="B560" s="52"/>
      <c r="C560" s="1699"/>
      <c r="D560" s="1699"/>
      <c r="E560" s="1699"/>
      <c r="F560" s="1699"/>
      <c r="G560" s="1699"/>
      <c r="H560" s="1699"/>
      <c r="I560" s="1699"/>
      <c r="J560" s="1699"/>
    </row>
    <row r="561" spans="2:10" ht="15" thickTop="1">
      <c r="B561" s="181" t="s">
        <v>1570</v>
      </c>
      <c r="C561" s="181"/>
      <c r="D561" s="181"/>
      <c r="E561" s="181"/>
      <c r="F561" s="181"/>
      <c r="G561" s="181"/>
      <c r="H561" s="181"/>
      <c r="I561" s="181"/>
      <c r="J561" s="181"/>
    </row>
    <row r="562" spans="2:10">
      <c r="B562" s="2017"/>
      <c r="C562" s="2017"/>
      <c r="D562" s="2017"/>
      <c r="E562" s="2017"/>
      <c r="F562" s="2017"/>
      <c r="G562" s="2017"/>
      <c r="H562" s="2017"/>
      <c r="I562" s="2017"/>
      <c r="J562" s="2017"/>
    </row>
    <row r="563" spans="2:10">
      <c r="B563" s="2097" t="s">
        <v>199</v>
      </c>
      <c r="C563" s="2097"/>
      <c r="D563" s="2097"/>
      <c r="E563" s="2097"/>
      <c r="F563" s="2097"/>
      <c r="G563" s="2097"/>
      <c r="H563" s="2097"/>
      <c r="I563" s="2097"/>
      <c r="J563" s="2097"/>
    </row>
    <row r="564" spans="2:10">
      <c r="B564" s="12" t="s">
        <v>198</v>
      </c>
      <c r="C564" s="302"/>
      <c r="D564" s="302"/>
      <c r="E564" s="302"/>
      <c r="F564" s="302"/>
      <c r="G564" s="302"/>
      <c r="H564" s="302"/>
      <c r="I564" s="302"/>
      <c r="J564" s="302"/>
    </row>
    <row r="565" spans="2:10">
      <c r="B565" s="62" t="s">
        <v>127</v>
      </c>
      <c r="C565" s="302"/>
      <c r="D565" s="302"/>
      <c r="E565" s="302"/>
      <c r="F565" s="302"/>
      <c r="G565" s="302"/>
      <c r="H565" s="302"/>
      <c r="I565" s="302"/>
      <c r="J565" s="302"/>
    </row>
    <row r="566" spans="2:10">
      <c r="B566" s="62"/>
      <c r="C566" s="302"/>
      <c r="D566" s="302"/>
      <c r="E566" s="302"/>
      <c r="F566" s="302"/>
      <c r="G566" s="302"/>
      <c r="H566" s="302"/>
      <c r="I566" s="302"/>
      <c r="J566" s="302"/>
    </row>
    <row r="567" spans="2:10">
      <c r="B567" s="61"/>
      <c r="C567" s="850">
        <v>2014</v>
      </c>
      <c r="D567" s="850">
        <v>2015</v>
      </c>
      <c r="E567" s="850">
        <v>2016</v>
      </c>
      <c r="F567" s="850">
        <v>2017</v>
      </c>
      <c r="G567" s="850">
        <v>2018</v>
      </c>
      <c r="H567" s="850">
        <v>2019</v>
      </c>
      <c r="I567" s="850">
        <v>2020</v>
      </c>
      <c r="J567" s="850">
        <v>2021</v>
      </c>
    </row>
    <row r="568" spans="2:10">
      <c r="B568" s="59" t="s">
        <v>503</v>
      </c>
      <c r="C568" s="302"/>
      <c r="D568" s="302"/>
      <c r="E568" s="302"/>
      <c r="F568" s="302"/>
      <c r="G568" s="302"/>
      <c r="H568" s="302"/>
      <c r="I568" s="302"/>
      <c r="J568" s="302"/>
    </row>
    <row r="569" spans="2:10">
      <c r="B569" s="71" t="s">
        <v>186</v>
      </c>
      <c r="C569" s="306">
        <v>0</v>
      </c>
      <c r="D569" s="306">
        <v>0</v>
      </c>
      <c r="E569" s="306">
        <v>0</v>
      </c>
      <c r="F569" s="306">
        <v>0</v>
      </c>
      <c r="G569" s="306">
        <v>0</v>
      </c>
      <c r="H569" s="306">
        <v>0</v>
      </c>
      <c r="I569" s="306">
        <v>0</v>
      </c>
      <c r="J569" s="306">
        <v>0</v>
      </c>
    </row>
    <row r="570" spans="2:10">
      <c r="B570" s="71"/>
      <c r="C570" s="306"/>
      <c r="D570" s="306"/>
      <c r="E570" s="306"/>
      <c r="F570" s="306"/>
      <c r="G570" s="306"/>
      <c r="H570" s="306"/>
      <c r="I570" s="306"/>
      <c r="J570" s="306"/>
    </row>
    <row r="571" spans="2:10">
      <c r="B571" s="71" t="s">
        <v>190</v>
      </c>
      <c r="C571" s="306">
        <v>0</v>
      </c>
      <c r="D571" s="306">
        <v>0</v>
      </c>
      <c r="E571" s="306">
        <v>0</v>
      </c>
      <c r="F571" s="306">
        <v>0</v>
      </c>
      <c r="G571" s="306">
        <v>0</v>
      </c>
      <c r="H571" s="306">
        <v>0</v>
      </c>
      <c r="I571" s="306">
        <v>0</v>
      </c>
      <c r="J571" s="306">
        <v>0</v>
      </c>
    </row>
    <row r="572" spans="2:10">
      <c r="B572" s="52" t="s">
        <v>121</v>
      </c>
      <c r="C572" s="306">
        <v>0</v>
      </c>
      <c r="D572" s="306">
        <v>0</v>
      </c>
      <c r="E572" s="306">
        <v>0</v>
      </c>
      <c r="F572" s="306">
        <v>0</v>
      </c>
      <c r="G572" s="306">
        <v>0</v>
      </c>
      <c r="H572" s="306">
        <v>0</v>
      </c>
      <c r="I572" s="306">
        <v>0</v>
      </c>
      <c r="J572" s="306">
        <v>0</v>
      </c>
    </row>
    <row r="573" spans="2:10">
      <c r="B573" s="53" t="s">
        <v>120</v>
      </c>
      <c r="C573" s="306">
        <v>0</v>
      </c>
      <c r="D573" s="306">
        <v>0</v>
      </c>
      <c r="E573" s="306">
        <v>0</v>
      </c>
      <c r="F573" s="306">
        <v>0</v>
      </c>
      <c r="G573" s="306">
        <v>0</v>
      </c>
      <c r="H573" s="306">
        <v>0</v>
      </c>
      <c r="I573" s="306">
        <v>0</v>
      </c>
      <c r="J573" s="306">
        <v>0</v>
      </c>
    </row>
    <row r="574" spans="2:10">
      <c r="B574" s="53" t="s">
        <v>119</v>
      </c>
      <c r="C574" s="306">
        <v>0</v>
      </c>
      <c r="D574" s="306">
        <v>0</v>
      </c>
      <c r="E574" s="306">
        <v>0</v>
      </c>
      <c r="F574" s="306">
        <v>0</v>
      </c>
      <c r="G574" s="306">
        <v>0</v>
      </c>
      <c r="H574" s="306">
        <v>0</v>
      </c>
      <c r="I574" s="306">
        <v>0</v>
      </c>
      <c r="J574" s="306">
        <v>0</v>
      </c>
    </row>
    <row r="575" spans="2:10">
      <c r="B575" s="53" t="s">
        <v>197</v>
      </c>
      <c r="C575" s="306">
        <v>0</v>
      </c>
      <c r="D575" s="306">
        <v>0</v>
      </c>
      <c r="E575" s="306">
        <v>0</v>
      </c>
      <c r="F575" s="306">
        <v>0</v>
      </c>
      <c r="G575" s="306">
        <v>0</v>
      </c>
      <c r="H575" s="306">
        <v>0</v>
      </c>
      <c r="I575" s="306">
        <v>0</v>
      </c>
      <c r="J575" s="306">
        <v>0</v>
      </c>
    </row>
    <row r="576" spans="2:10">
      <c r="B576" s="52" t="s">
        <v>118</v>
      </c>
      <c r="C576" s="306">
        <v>0</v>
      </c>
      <c r="D576" s="306">
        <v>0</v>
      </c>
      <c r="E576" s="306">
        <v>0</v>
      </c>
      <c r="F576" s="306">
        <v>0</v>
      </c>
      <c r="G576" s="306">
        <v>0</v>
      </c>
      <c r="H576" s="306">
        <v>0</v>
      </c>
      <c r="I576" s="306">
        <v>0</v>
      </c>
      <c r="J576" s="306">
        <v>0</v>
      </c>
    </row>
    <row r="577" spans="2:10">
      <c r="B577" s="52" t="s">
        <v>117</v>
      </c>
      <c r="C577" s="306">
        <v>0</v>
      </c>
      <c r="D577" s="306">
        <v>0</v>
      </c>
      <c r="E577" s="306">
        <v>0</v>
      </c>
      <c r="F577" s="306">
        <v>0</v>
      </c>
      <c r="G577" s="306">
        <v>0</v>
      </c>
      <c r="H577" s="306">
        <v>0</v>
      </c>
      <c r="I577" s="306">
        <v>0</v>
      </c>
      <c r="J577" s="306">
        <v>0</v>
      </c>
    </row>
    <row r="578" spans="2:10">
      <c r="B578" s="52"/>
      <c r="C578" s="306"/>
      <c r="D578" s="306"/>
      <c r="E578" s="306"/>
      <c r="F578" s="306"/>
      <c r="G578" s="306"/>
      <c r="H578" s="306"/>
      <c r="I578" s="306"/>
      <c r="J578" s="306"/>
    </row>
    <row r="579" spans="2:10">
      <c r="B579" s="83" t="s">
        <v>187</v>
      </c>
      <c r="C579" s="306"/>
      <c r="D579" s="306"/>
      <c r="E579" s="306"/>
      <c r="F579" s="306"/>
      <c r="G579" s="306"/>
      <c r="H579" s="306"/>
      <c r="I579" s="306"/>
      <c r="J579" s="306"/>
    </row>
    <row r="580" spans="2:10">
      <c r="B580" s="81" t="s">
        <v>121</v>
      </c>
      <c r="C580" s="306">
        <v>0</v>
      </c>
      <c r="D580" s="306">
        <v>0</v>
      </c>
      <c r="E580" s="306">
        <v>0</v>
      </c>
      <c r="F580" s="306">
        <v>0</v>
      </c>
      <c r="G580" s="306">
        <v>0</v>
      </c>
      <c r="H580" s="306">
        <v>0</v>
      </c>
      <c r="I580" s="306">
        <v>0</v>
      </c>
      <c r="J580" s="306">
        <v>0</v>
      </c>
    </row>
    <row r="581" spans="2:10">
      <c r="B581" s="82" t="s">
        <v>120</v>
      </c>
      <c r="C581" s="306">
        <v>0</v>
      </c>
      <c r="D581" s="306">
        <v>0</v>
      </c>
      <c r="E581" s="306">
        <v>0</v>
      </c>
      <c r="F581" s="306">
        <v>0</v>
      </c>
      <c r="G581" s="306">
        <v>0</v>
      </c>
      <c r="H581" s="306">
        <v>0</v>
      </c>
      <c r="I581" s="306">
        <v>0</v>
      </c>
      <c r="J581" s="306">
        <v>0</v>
      </c>
    </row>
    <row r="582" spans="2:10">
      <c r="B582" s="82" t="s">
        <v>119</v>
      </c>
      <c r="C582" s="306">
        <v>0</v>
      </c>
      <c r="D582" s="306">
        <v>0</v>
      </c>
      <c r="E582" s="306">
        <v>0</v>
      </c>
      <c r="F582" s="306">
        <v>0</v>
      </c>
      <c r="G582" s="306">
        <v>0</v>
      </c>
      <c r="H582" s="306">
        <v>0</v>
      </c>
      <c r="I582" s="306">
        <v>0</v>
      </c>
      <c r="J582" s="306">
        <v>0</v>
      </c>
    </row>
    <row r="583" spans="2:10">
      <c r="B583" s="82" t="s">
        <v>172</v>
      </c>
      <c r="C583" s="306">
        <v>0</v>
      </c>
      <c r="D583" s="306">
        <v>0</v>
      </c>
      <c r="E583" s="306">
        <v>0</v>
      </c>
      <c r="F583" s="306">
        <v>0</v>
      </c>
      <c r="G583" s="306">
        <v>0</v>
      </c>
      <c r="H583" s="306">
        <v>0</v>
      </c>
      <c r="I583" s="306">
        <v>0</v>
      </c>
      <c r="J583" s="306">
        <v>0</v>
      </c>
    </row>
    <row r="584" spans="2:10">
      <c r="B584" s="81" t="s">
        <v>118</v>
      </c>
      <c r="C584" s="306">
        <v>0</v>
      </c>
      <c r="D584" s="306">
        <v>0</v>
      </c>
      <c r="E584" s="306">
        <v>0</v>
      </c>
      <c r="F584" s="306">
        <v>0</v>
      </c>
      <c r="G584" s="306">
        <v>0</v>
      </c>
      <c r="H584" s="306">
        <v>0</v>
      </c>
      <c r="I584" s="306">
        <v>0</v>
      </c>
      <c r="J584" s="306">
        <v>0</v>
      </c>
    </row>
    <row r="585" spans="2:10">
      <c r="B585" s="81" t="s">
        <v>117</v>
      </c>
      <c r="C585" s="306">
        <v>0</v>
      </c>
      <c r="D585" s="306">
        <v>0</v>
      </c>
      <c r="E585" s="306">
        <v>0</v>
      </c>
      <c r="F585" s="306">
        <v>0</v>
      </c>
      <c r="G585" s="306">
        <v>0</v>
      </c>
      <c r="H585" s="306">
        <v>0</v>
      </c>
      <c r="I585" s="306">
        <v>0</v>
      </c>
      <c r="J585" s="306">
        <v>0</v>
      </c>
    </row>
    <row r="586" spans="2:10">
      <c r="B586" s="81"/>
      <c r="C586" s="306"/>
      <c r="D586" s="306"/>
      <c r="E586" s="306"/>
      <c r="F586" s="306"/>
      <c r="G586" s="306"/>
      <c r="H586" s="306"/>
      <c r="I586" s="306"/>
      <c r="J586" s="306"/>
    </row>
    <row r="587" spans="2:10" ht="26">
      <c r="B587" s="83" t="s">
        <v>173</v>
      </c>
      <c r="C587" s="306"/>
      <c r="D587" s="306"/>
      <c r="E587" s="306"/>
      <c r="F587" s="306"/>
      <c r="G587" s="306"/>
      <c r="H587" s="306"/>
      <c r="I587" s="306"/>
      <c r="J587" s="306"/>
    </row>
    <row r="588" spans="2:10">
      <c r="B588" s="81" t="s">
        <v>121</v>
      </c>
      <c r="C588" s="306">
        <v>0</v>
      </c>
      <c r="D588" s="306">
        <v>0</v>
      </c>
      <c r="E588" s="306">
        <v>0</v>
      </c>
      <c r="F588" s="306">
        <v>0</v>
      </c>
      <c r="G588" s="306">
        <v>0</v>
      </c>
      <c r="H588" s="306">
        <v>0</v>
      </c>
      <c r="I588" s="306">
        <v>0</v>
      </c>
      <c r="J588" s="306">
        <v>0</v>
      </c>
    </row>
    <row r="589" spans="2:10">
      <c r="B589" s="82" t="s">
        <v>120</v>
      </c>
      <c r="C589" s="306">
        <v>0</v>
      </c>
      <c r="D589" s="306">
        <v>0</v>
      </c>
      <c r="E589" s="306">
        <v>0</v>
      </c>
      <c r="F589" s="306">
        <v>0</v>
      </c>
      <c r="G589" s="306">
        <v>0</v>
      </c>
      <c r="H589" s="306">
        <v>0</v>
      </c>
      <c r="I589" s="306">
        <v>0</v>
      </c>
      <c r="J589" s="306">
        <v>0</v>
      </c>
    </row>
    <row r="590" spans="2:10">
      <c r="B590" s="82" t="s">
        <v>119</v>
      </c>
      <c r="C590" s="306">
        <v>0</v>
      </c>
      <c r="D590" s="306">
        <v>0</v>
      </c>
      <c r="E590" s="306">
        <v>0</v>
      </c>
      <c r="F590" s="306">
        <v>0</v>
      </c>
      <c r="G590" s="306">
        <v>0</v>
      </c>
      <c r="H590" s="306">
        <v>0</v>
      </c>
      <c r="I590" s="306">
        <v>0</v>
      </c>
      <c r="J590" s="306">
        <v>0</v>
      </c>
    </row>
    <row r="591" spans="2:10">
      <c r="B591" s="82" t="s">
        <v>197</v>
      </c>
      <c r="C591" s="306">
        <v>0</v>
      </c>
      <c r="D591" s="306">
        <v>0</v>
      </c>
      <c r="E591" s="306">
        <v>0</v>
      </c>
      <c r="F591" s="306">
        <v>0</v>
      </c>
      <c r="G591" s="306">
        <v>0</v>
      </c>
      <c r="H591" s="306">
        <v>0</v>
      </c>
      <c r="I591" s="306">
        <v>0</v>
      </c>
      <c r="J591" s="306">
        <v>0</v>
      </c>
    </row>
    <row r="592" spans="2:10">
      <c r="B592" s="81" t="s">
        <v>118</v>
      </c>
      <c r="C592" s="306">
        <v>0</v>
      </c>
      <c r="D592" s="306">
        <v>0</v>
      </c>
      <c r="E592" s="306">
        <v>0</v>
      </c>
      <c r="F592" s="306">
        <v>0</v>
      </c>
      <c r="G592" s="306">
        <v>0</v>
      </c>
      <c r="H592" s="306">
        <v>0</v>
      </c>
      <c r="I592" s="306">
        <v>0</v>
      </c>
      <c r="J592" s="306">
        <v>0</v>
      </c>
    </row>
    <row r="593" spans="2:10">
      <c r="B593" s="81" t="s">
        <v>117</v>
      </c>
      <c r="C593" s="306">
        <v>0</v>
      </c>
      <c r="D593" s="306">
        <v>0</v>
      </c>
      <c r="E593" s="306">
        <v>0</v>
      </c>
      <c r="F593" s="306">
        <v>0</v>
      </c>
      <c r="G593" s="306">
        <v>0</v>
      </c>
      <c r="H593" s="306">
        <v>0</v>
      </c>
      <c r="I593" s="306">
        <v>0</v>
      </c>
      <c r="J593" s="306">
        <v>0</v>
      </c>
    </row>
    <row r="594" spans="2:10">
      <c r="B594" s="81"/>
      <c r="C594" s="306"/>
      <c r="D594" s="306"/>
      <c r="E594" s="306"/>
      <c r="F594" s="306"/>
      <c r="G594" s="306"/>
      <c r="H594" s="306"/>
      <c r="I594" s="306"/>
      <c r="J594" s="306"/>
    </row>
    <row r="595" spans="2:10" ht="25">
      <c r="B595" s="71" t="s">
        <v>171</v>
      </c>
      <c r="C595" s="306">
        <v>0</v>
      </c>
      <c r="D595" s="306">
        <v>0</v>
      </c>
      <c r="E595" s="306">
        <v>0</v>
      </c>
      <c r="F595" s="306">
        <v>0</v>
      </c>
      <c r="G595" s="306">
        <v>0</v>
      </c>
      <c r="H595" s="306">
        <v>0</v>
      </c>
      <c r="I595" s="306">
        <v>0</v>
      </c>
      <c r="J595" s="306">
        <v>0</v>
      </c>
    </row>
    <row r="596" spans="2:10">
      <c r="B596" s="52" t="s">
        <v>169</v>
      </c>
      <c r="C596" s="306">
        <v>0</v>
      </c>
      <c r="D596" s="306">
        <v>0</v>
      </c>
      <c r="E596" s="306">
        <v>0</v>
      </c>
      <c r="F596" s="306">
        <v>0</v>
      </c>
      <c r="G596" s="306">
        <v>0</v>
      </c>
      <c r="H596" s="306">
        <v>0</v>
      </c>
      <c r="I596" s="306">
        <v>0</v>
      </c>
      <c r="J596" s="306">
        <v>0</v>
      </c>
    </row>
    <row r="597" spans="2:10">
      <c r="B597" s="52" t="s">
        <v>168</v>
      </c>
      <c r="C597" s="306">
        <v>0</v>
      </c>
      <c r="D597" s="306">
        <v>0</v>
      </c>
      <c r="E597" s="306">
        <v>0</v>
      </c>
      <c r="F597" s="306">
        <v>0</v>
      </c>
      <c r="G597" s="306">
        <v>0</v>
      </c>
      <c r="H597" s="306">
        <v>0</v>
      </c>
      <c r="I597" s="306">
        <v>0</v>
      </c>
      <c r="J597" s="306">
        <v>0</v>
      </c>
    </row>
    <row r="598" spans="2:10">
      <c r="B598" s="52" t="s">
        <v>167</v>
      </c>
      <c r="C598" s="306">
        <v>0</v>
      </c>
      <c r="D598" s="306">
        <v>0</v>
      </c>
      <c r="E598" s="306">
        <v>0</v>
      </c>
      <c r="F598" s="306">
        <v>0</v>
      </c>
      <c r="G598" s="306">
        <v>0</v>
      </c>
      <c r="H598" s="306">
        <v>0</v>
      </c>
      <c r="I598" s="306">
        <v>0</v>
      </c>
      <c r="J598" s="306">
        <v>0</v>
      </c>
    </row>
    <row r="599" spans="2:10">
      <c r="B599" s="52" t="s">
        <v>166</v>
      </c>
      <c r="C599" s="306">
        <v>0</v>
      </c>
      <c r="D599" s="306">
        <v>0</v>
      </c>
      <c r="E599" s="306">
        <v>0</v>
      </c>
      <c r="F599" s="306">
        <v>0</v>
      </c>
      <c r="G599" s="306">
        <v>0</v>
      </c>
      <c r="H599" s="306">
        <v>0</v>
      </c>
      <c r="I599" s="306">
        <v>0</v>
      </c>
      <c r="J599" s="306">
        <v>0</v>
      </c>
    </row>
    <row r="600" spans="2:10">
      <c r="B600" s="52" t="s">
        <v>165</v>
      </c>
      <c r="C600" s="306">
        <v>0</v>
      </c>
      <c r="D600" s="306">
        <v>0</v>
      </c>
      <c r="E600" s="306">
        <v>0</v>
      </c>
      <c r="F600" s="306">
        <v>0</v>
      </c>
      <c r="G600" s="306">
        <v>0</v>
      </c>
      <c r="H600" s="306">
        <v>0</v>
      </c>
      <c r="I600" s="306">
        <v>0</v>
      </c>
      <c r="J600" s="306">
        <v>0</v>
      </c>
    </row>
    <row r="601" spans="2:10">
      <c r="B601" s="52" t="s">
        <v>164</v>
      </c>
      <c r="C601" s="306">
        <v>0</v>
      </c>
      <c r="D601" s="306">
        <v>0</v>
      </c>
      <c r="E601" s="306">
        <v>0</v>
      </c>
      <c r="F601" s="306">
        <v>0</v>
      </c>
      <c r="G601" s="306">
        <v>0</v>
      </c>
      <c r="H601" s="306">
        <v>0</v>
      </c>
      <c r="I601" s="306">
        <v>0</v>
      </c>
      <c r="J601" s="306">
        <v>0</v>
      </c>
    </row>
    <row r="602" spans="2:10">
      <c r="B602" s="52"/>
      <c r="C602" s="306"/>
      <c r="D602" s="306"/>
      <c r="E602" s="306"/>
      <c r="F602" s="306"/>
      <c r="G602" s="306"/>
      <c r="H602" s="306"/>
      <c r="I602" s="306"/>
      <c r="J602" s="306"/>
    </row>
    <row r="603" spans="2:10">
      <c r="B603" s="80" t="s">
        <v>170</v>
      </c>
      <c r="C603" s="306">
        <v>0</v>
      </c>
      <c r="D603" s="306">
        <v>0</v>
      </c>
      <c r="E603" s="306">
        <v>0</v>
      </c>
      <c r="F603" s="306">
        <v>0</v>
      </c>
      <c r="G603" s="306">
        <v>0</v>
      </c>
      <c r="H603" s="306">
        <v>0</v>
      </c>
      <c r="I603" s="306">
        <v>0</v>
      </c>
      <c r="J603" s="306">
        <v>0</v>
      </c>
    </row>
    <row r="604" spans="2:10">
      <c r="B604" s="52" t="s">
        <v>169</v>
      </c>
      <c r="C604" s="306">
        <v>0</v>
      </c>
      <c r="D604" s="306">
        <v>0</v>
      </c>
      <c r="E604" s="306">
        <v>0</v>
      </c>
      <c r="F604" s="306">
        <v>0</v>
      </c>
      <c r="G604" s="306">
        <v>0</v>
      </c>
      <c r="H604" s="306">
        <v>0</v>
      </c>
      <c r="I604" s="306">
        <v>0</v>
      </c>
      <c r="J604" s="306">
        <v>0</v>
      </c>
    </row>
    <row r="605" spans="2:10">
      <c r="B605" s="52" t="s">
        <v>168</v>
      </c>
      <c r="C605" s="306">
        <v>0</v>
      </c>
      <c r="D605" s="306">
        <v>0</v>
      </c>
      <c r="E605" s="306">
        <v>0</v>
      </c>
      <c r="F605" s="306">
        <v>0</v>
      </c>
      <c r="G605" s="306">
        <v>0</v>
      </c>
      <c r="H605" s="306">
        <v>0</v>
      </c>
      <c r="I605" s="306">
        <v>0</v>
      </c>
      <c r="J605" s="306">
        <v>0</v>
      </c>
    </row>
    <row r="606" spans="2:10">
      <c r="B606" s="52" t="s">
        <v>167</v>
      </c>
      <c r="C606" s="306">
        <v>0</v>
      </c>
      <c r="D606" s="306">
        <v>0</v>
      </c>
      <c r="E606" s="306">
        <v>0</v>
      </c>
      <c r="F606" s="306">
        <v>0</v>
      </c>
      <c r="G606" s="306">
        <v>0</v>
      </c>
      <c r="H606" s="306">
        <v>0</v>
      </c>
      <c r="I606" s="306">
        <v>0</v>
      </c>
      <c r="J606" s="306">
        <v>0</v>
      </c>
    </row>
    <row r="607" spans="2:10">
      <c r="B607" s="52" t="s">
        <v>166</v>
      </c>
      <c r="C607" s="306">
        <v>0</v>
      </c>
      <c r="D607" s="306">
        <v>0</v>
      </c>
      <c r="E607" s="306">
        <v>0</v>
      </c>
      <c r="F607" s="306">
        <v>0</v>
      </c>
      <c r="G607" s="306">
        <v>0</v>
      </c>
      <c r="H607" s="306">
        <v>0</v>
      </c>
      <c r="I607" s="306">
        <v>0</v>
      </c>
      <c r="J607" s="306">
        <v>0</v>
      </c>
    </row>
    <row r="608" spans="2:10">
      <c r="B608" s="52" t="s">
        <v>165</v>
      </c>
      <c r="C608" s="306">
        <v>0</v>
      </c>
      <c r="D608" s="306">
        <v>0</v>
      </c>
      <c r="E608" s="306">
        <v>0</v>
      </c>
      <c r="F608" s="306">
        <v>0</v>
      </c>
      <c r="G608" s="306">
        <v>0</v>
      </c>
      <c r="H608" s="306">
        <v>0</v>
      </c>
      <c r="I608" s="306">
        <v>0</v>
      </c>
      <c r="J608" s="306">
        <v>0</v>
      </c>
    </row>
    <row r="609" spans="2:10" ht="15" thickBot="1">
      <c r="B609" s="52" t="s">
        <v>164</v>
      </c>
      <c r="C609" s="306">
        <v>0</v>
      </c>
      <c r="D609" s="306">
        <v>0</v>
      </c>
      <c r="E609" s="306">
        <v>0</v>
      </c>
      <c r="F609" s="306">
        <v>0</v>
      </c>
      <c r="G609" s="306">
        <v>0</v>
      </c>
      <c r="H609" s="306">
        <v>0</v>
      </c>
      <c r="I609" s="306">
        <v>0</v>
      </c>
      <c r="J609" s="306">
        <v>0</v>
      </c>
    </row>
    <row r="610" spans="2:10" ht="15" thickTop="1">
      <c r="B610" s="181" t="s">
        <v>1570</v>
      </c>
      <c r="C610" s="181"/>
      <c r="D610" s="181"/>
      <c r="E610" s="181"/>
      <c r="F610" s="181"/>
      <c r="G610" s="181"/>
      <c r="H610" s="181"/>
      <c r="I610" s="181"/>
      <c r="J610" s="181"/>
    </row>
    <row r="611" spans="2:10">
      <c r="B611" s="2017"/>
      <c r="C611" s="2017"/>
      <c r="D611" s="2017"/>
      <c r="E611" s="2017"/>
      <c r="F611" s="2017"/>
      <c r="G611" s="2017"/>
      <c r="H611" s="2017"/>
      <c r="I611" s="2017"/>
      <c r="J611" s="2017"/>
    </row>
    <row r="612" spans="2:10">
      <c r="B612" s="64"/>
      <c r="C612" s="302"/>
      <c r="D612" s="302"/>
      <c r="E612" s="302"/>
      <c r="F612" s="302"/>
      <c r="G612" s="302"/>
      <c r="H612" s="302"/>
      <c r="I612" s="302"/>
      <c r="J612" s="302"/>
    </row>
    <row r="613" spans="2:10">
      <c r="B613" s="2097" t="s">
        <v>161</v>
      </c>
      <c r="C613" s="2097"/>
      <c r="D613" s="2097"/>
      <c r="E613" s="2097"/>
      <c r="F613" s="2097"/>
      <c r="G613" s="2097"/>
      <c r="H613" s="2097"/>
      <c r="I613" s="2097"/>
      <c r="J613" s="2097"/>
    </row>
    <row r="614" spans="2:10">
      <c r="B614" s="12" t="s">
        <v>160</v>
      </c>
      <c r="C614" s="302"/>
      <c r="D614" s="302"/>
      <c r="E614" s="302"/>
      <c r="F614" s="302"/>
      <c r="G614" s="302"/>
      <c r="H614" s="302"/>
      <c r="I614" s="302"/>
      <c r="J614" s="302"/>
    </row>
    <row r="615" spans="2:10">
      <c r="B615" s="77" t="s">
        <v>269</v>
      </c>
      <c r="C615" s="302"/>
      <c r="D615" s="302"/>
      <c r="E615" s="302"/>
      <c r="F615" s="302"/>
      <c r="G615" s="302"/>
      <c r="H615" s="302"/>
      <c r="I615" s="302"/>
      <c r="J615" s="302"/>
    </row>
    <row r="616" spans="2:10">
      <c r="B616" s="76"/>
      <c r="C616" s="302"/>
      <c r="D616" s="302"/>
      <c r="E616" s="302"/>
      <c r="F616" s="302"/>
      <c r="G616" s="302"/>
      <c r="H616" s="302"/>
      <c r="I616" s="302"/>
      <c r="J616" s="302"/>
    </row>
    <row r="617" spans="2:10">
      <c r="B617" s="61"/>
      <c r="C617" s="850">
        <v>2014</v>
      </c>
      <c r="D617" s="850">
        <v>2015</v>
      </c>
      <c r="E617" s="850">
        <v>2016</v>
      </c>
      <c r="F617" s="850">
        <v>2017</v>
      </c>
      <c r="G617" s="850">
        <v>2018</v>
      </c>
      <c r="H617" s="850">
        <v>2019</v>
      </c>
      <c r="I617" s="850">
        <v>2020</v>
      </c>
      <c r="J617" s="850">
        <v>2021</v>
      </c>
    </row>
    <row r="618" spans="2:10">
      <c r="B618" s="59" t="s">
        <v>503</v>
      </c>
      <c r="C618" s="302"/>
      <c r="D618" s="302"/>
      <c r="E618" s="302"/>
      <c r="F618" s="302"/>
      <c r="G618" s="302"/>
      <c r="H618" s="302"/>
      <c r="I618" s="302"/>
      <c r="J618" s="302"/>
    </row>
    <row r="619" spans="2:10">
      <c r="B619" s="71" t="s">
        <v>516</v>
      </c>
      <c r="C619" s="321">
        <v>35</v>
      </c>
      <c r="D619" s="321">
        <v>33</v>
      </c>
      <c r="E619" s="321">
        <v>38</v>
      </c>
      <c r="F619" s="321">
        <v>35</v>
      </c>
      <c r="G619" s="321">
        <v>35</v>
      </c>
      <c r="H619" s="321">
        <v>27</v>
      </c>
      <c r="I619" s="321">
        <v>27</v>
      </c>
      <c r="J619" s="321">
        <v>7</v>
      </c>
    </row>
    <row r="620" spans="2:10">
      <c r="B620" s="52" t="s">
        <v>150</v>
      </c>
      <c r="C620" s="306">
        <v>0</v>
      </c>
      <c r="D620" s="306">
        <v>0</v>
      </c>
      <c r="E620" s="306">
        <v>0</v>
      </c>
      <c r="F620" s="306">
        <v>0</v>
      </c>
      <c r="G620" s="306">
        <v>0</v>
      </c>
      <c r="H620" s="306">
        <v>0</v>
      </c>
      <c r="I620" s="306">
        <v>0</v>
      </c>
      <c r="J620" s="306">
        <v>0</v>
      </c>
    </row>
    <row r="621" spans="2:10">
      <c r="B621" s="52" t="s">
        <v>149</v>
      </c>
      <c r="C621" s="306">
        <v>0</v>
      </c>
      <c r="D621" s="306">
        <v>0</v>
      </c>
      <c r="E621" s="306">
        <v>0</v>
      </c>
      <c r="F621" s="306">
        <v>0</v>
      </c>
      <c r="G621" s="306">
        <v>0</v>
      </c>
      <c r="H621" s="306">
        <v>0</v>
      </c>
      <c r="I621" s="306">
        <v>0</v>
      </c>
      <c r="J621" s="306">
        <v>0</v>
      </c>
    </row>
    <row r="622" spans="2:10">
      <c r="B622" s="52" t="s">
        <v>148</v>
      </c>
      <c r="C622" s="306">
        <v>0</v>
      </c>
      <c r="D622" s="306">
        <v>0</v>
      </c>
      <c r="E622" s="306">
        <v>0</v>
      </c>
      <c r="F622" s="306">
        <v>0</v>
      </c>
      <c r="G622" s="306">
        <v>0</v>
      </c>
      <c r="H622" s="306">
        <v>0</v>
      </c>
      <c r="I622" s="306">
        <v>0</v>
      </c>
      <c r="J622" s="306">
        <v>0</v>
      </c>
    </row>
    <row r="623" spans="2:10">
      <c r="B623" s="52" t="s">
        <v>147</v>
      </c>
      <c r="C623" s="306">
        <v>0</v>
      </c>
      <c r="D623" s="306">
        <v>0</v>
      </c>
      <c r="E623" s="306">
        <v>0</v>
      </c>
      <c r="F623" s="306">
        <v>0</v>
      </c>
      <c r="G623" s="306">
        <v>0</v>
      </c>
      <c r="H623" s="306">
        <v>0</v>
      </c>
      <c r="I623" s="306">
        <v>0</v>
      </c>
      <c r="J623" s="306">
        <v>0</v>
      </c>
    </row>
    <row r="624" spans="2:10">
      <c r="B624" s="52" t="s">
        <v>146</v>
      </c>
      <c r="C624" s="306">
        <v>0</v>
      </c>
      <c r="D624" s="306">
        <v>0</v>
      </c>
      <c r="E624" s="306">
        <v>0</v>
      </c>
      <c r="F624" s="306">
        <v>0</v>
      </c>
      <c r="G624" s="306">
        <v>0</v>
      </c>
      <c r="H624" s="306">
        <v>0</v>
      </c>
      <c r="I624" s="306">
        <v>0</v>
      </c>
      <c r="J624" s="306">
        <v>0</v>
      </c>
    </row>
    <row r="625" spans="2:10">
      <c r="B625" s="52"/>
      <c r="C625" s="321"/>
      <c r="D625" s="321"/>
      <c r="E625" s="321"/>
      <c r="F625" s="321"/>
      <c r="G625" s="321"/>
      <c r="H625" s="321"/>
      <c r="I625" s="321"/>
      <c r="J625" s="321"/>
    </row>
    <row r="626" spans="2:10">
      <c r="B626" s="71" t="s">
        <v>152</v>
      </c>
      <c r="C626" s="321">
        <v>30</v>
      </c>
      <c r="D626" s="321">
        <v>27</v>
      </c>
      <c r="E626" s="321">
        <v>32</v>
      </c>
      <c r="F626" s="321">
        <v>30</v>
      </c>
      <c r="G626" s="321">
        <v>29</v>
      </c>
      <c r="H626" s="321">
        <v>23</v>
      </c>
      <c r="I626" s="321">
        <v>24</v>
      </c>
      <c r="J626" s="321">
        <v>15</v>
      </c>
    </row>
    <row r="627" spans="2:10">
      <c r="B627" s="52" t="s">
        <v>150</v>
      </c>
      <c r="C627" s="306">
        <v>0</v>
      </c>
      <c r="D627" s="306">
        <v>0</v>
      </c>
      <c r="E627" s="306">
        <v>0</v>
      </c>
      <c r="F627" s="306">
        <v>0</v>
      </c>
      <c r="G627" s="306">
        <v>0</v>
      </c>
      <c r="H627" s="306">
        <v>0</v>
      </c>
      <c r="I627" s="306">
        <v>0</v>
      </c>
      <c r="J627" s="321">
        <v>1</v>
      </c>
    </row>
    <row r="628" spans="2:10">
      <c r="B628" s="52" t="s">
        <v>149</v>
      </c>
      <c r="C628" s="306">
        <v>0</v>
      </c>
      <c r="D628" s="306">
        <v>0</v>
      </c>
      <c r="E628" s="306">
        <v>0</v>
      </c>
      <c r="F628" s="306">
        <v>0</v>
      </c>
      <c r="G628" s="306">
        <v>0</v>
      </c>
      <c r="H628" s="306">
        <v>0</v>
      </c>
      <c r="I628" s="306">
        <v>0</v>
      </c>
      <c r="J628" s="306">
        <v>0</v>
      </c>
    </row>
    <row r="629" spans="2:10">
      <c r="B629" s="52" t="s">
        <v>148</v>
      </c>
      <c r="C629" s="306">
        <v>0</v>
      </c>
      <c r="D629" s="306">
        <v>0</v>
      </c>
      <c r="E629" s="306">
        <v>0</v>
      </c>
      <c r="F629" s="306">
        <v>0</v>
      </c>
      <c r="G629" s="306">
        <v>0</v>
      </c>
      <c r="H629" s="306">
        <v>0</v>
      </c>
      <c r="I629" s="306">
        <v>0</v>
      </c>
      <c r="J629" s="306">
        <v>0</v>
      </c>
    </row>
    <row r="630" spans="2:10">
      <c r="B630" s="52" t="s">
        <v>147</v>
      </c>
      <c r="C630" s="306">
        <v>0</v>
      </c>
      <c r="D630" s="306">
        <v>0</v>
      </c>
      <c r="E630" s="306">
        <v>0</v>
      </c>
      <c r="F630" s="306">
        <v>0</v>
      </c>
      <c r="G630" s="306">
        <v>0</v>
      </c>
      <c r="H630" s="306">
        <v>0</v>
      </c>
      <c r="I630" s="306">
        <v>0</v>
      </c>
      <c r="J630" s="321">
        <v>2</v>
      </c>
    </row>
    <row r="631" spans="2:10">
      <c r="B631" s="52" t="s">
        <v>146</v>
      </c>
      <c r="C631" s="306">
        <v>0</v>
      </c>
      <c r="D631" s="306">
        <v>0</v>
      </c>
      <c r="E631" s="306">
        <v>0</v>
      </c>
      <c r="F631" s="306">
        <v>0</v>
      </c>
      <c r="G631" s="306">
        <v>0</v>
      </c>
      <c r="H631" s="306">
        <v>0</v>
      </c>
      <c r="I631" s="306">
        <v>0</v>
      </c>
      <c r="J631" s="321">
        <v>12</v>
      </c>
    </row>
    <row r="632" spans="2:10">
      <c r="B632" s="52"/>
      <c r="C632" s="321"/>
      <c r="D632" s="321"/>
      <c r="E632" s="321"/>
      <c r="F632" s="321"/>
      <c r="G632" s="321"/>
      <c r="H632" s="321"/>
      <c r="I632" s="321"/>
      <c r="J632" s="321"/>
    </row>
    <row r="633" spans="2:10">
      <c r="B633" s="71" t="s">
        <v>151</v>
      </c>
      <c r="C633" s="321">
        <v>5</v>
      </c>
      <c r="D633" s="321">
        <v>6</v>
      </c>
      <c r="E633" s="321">
        <v>6</v>
      </c>
      <c r="F633" s="321">
        <v>5</v>
      </c>
      <c r="G633" s="321">
        <v>6</v>
      </c>
      <c r="H633" s="321">
        <v>4</v>
      </c>
      <c r="I633" s="321">
        <v>3</v>
      </c>
      <c r="J633" s="321">
        <v>3</v>
      </c>
    </row>
    <row r="634" spans="2:10">
      <c r="B634" s="52" t="s">
        <v>150</v>
      </c>
      <c r="C634" s="321">
        <v>0</v>
      </c>
      <c r="D634" s="321">
        <v>0</v>
      </c>
      <c r="E634" s="321">
        <v>0</v>
      </c>
      <c r="F634" s="321">
        <v>0</v>
      </c>
      <c r="G634" s="321">
        <v>0</v>
      </c>
      <c r="H634" s="321">
        <v>0</v>
      </c>
      <c r="I634" s="321">
        <v>0</v>
      </c>
      <c r="J634" s="321">
        <v>0</v>
      </c>
    </row>
    <row r="635" spans="2:10">
      <c r="B635" s="52" t="s">
        <v>149</v>
      </c>
      <c r="C635" s="321">
        <v>0</v>
      </c>
      <c r="D635" s="321">
        <v>0</v>
      </c>
      <c r="E635" s="321">
        <v>0</v>
      </c>
      <c r="F635" s="321">
        <v>0</v>
      </c>
      <c r="G635" s="321">
        <v>0</v>
      </c>
      <c r="H635" s="321">
        <v>0</v>
      </c>
      <c r="I635" s="321">
        <v>0</v>
      </c>
      <c r="J635" s="321">
        <v>2</v>
      </c>
    </row>
    <row r="636" spans="2:10">
      <c r="B636" s="52" t="s">
        <v>148</v>
      </c>
      <c r="C636" s="321">
        <v>0</v>
      </c>
      <c r="D636" s="321">
        <v>0</v>
      </c>
      <c r="E636" s="321">
        <v>0</v>
      </c>
      <c r="F636" s="321">
        <v>0</v>
      </c>
      <c r="G636" s="321">
        <v>0</v>
      </c>
      <c r="H636" s="321">
        <v>0</v>
      </c>
      <c r="I636" s="321">
        <v>0</v>
      </c>
      <c r="J636" s="321">
        <v>0</v>
      </c>
    </row>
    <row r="637" spans="2:10">
      <c r="B637" s="52" t="s">
        <v>147</v>
      </c>
      <c r="C637" s="321">
        <v>0</v>
      </c>
      <c r="D637" s="321">
        <v>0</v>
      </c>
      <c r="E637" s="321">
        <v>0</v>
      </c>
      <c r="F637" s="321">
        <v>0</v>
      </c>
      <c r="G637" s="321">
        <v>0</v>
      </c>
      <c r="H637" s="321">
        <v>0</v>
      </c>
      <c r="I637" s="321">
        <v>0</v>
      </c>
      <c r="J637" s="321">
        <v>1</v>
      </c>
    </row>
    <row r="638" spans="2:10" ht="15" thickBot="1">
      <c r="B638" s="52" t="s">
        <v>146</v>
      </c>
      <c r="C638" s="321">
        <v>0</v>
      </c>
      <c r="D638" s="321">
        <v>0</v>
      </c>
      <c r="E638" s="321">
        <v>0</v>
      </c>
      <c r="F638" s="321">
        <v>0</v>
      </c>
      <c r="G638" s="321">
        <v>0</v>
      </c>
      <c r="H638" s="321">
        <v>0</v>
      </c>
      <c r="I638" s="321">
        <v>0</v>
      </c>
      <c r="J638" s="321">
        <v>0</v>
      </c>
    </row>
    <row r="639" spans="2:10" ht="15" thickTop="1">
      <c r="B639" s="181" t="s">
        <v>1570</v>
      </c>
      <c r="C639" s="181"/>
      <c r="D639" s="181"/>
      <c r="E639" s="181"/>
      <c r="F639" s="181"/>
      <c r="G639" s="181"/>
      <c r="H639" s="181"/>
      <c r="I639" s="181"/>
      <c r="J639" s="181"/>
    </row>
    <row r="640" spans="2:10">
      <c r="B640" s="62"/>
      <c r="C640" s="302"/>
      <c r="D640" s="302"/>
      <c r="E640" s="302"/>
      <c r="F640" s="302"/>
      <c r="G640" s="302"/>
      <c r="H640" s="302"/>
      <c r="I640" s="302"/>
      <c r="J640" s="302"/>
    </row>
    <row r="641" spans="2:10">
      <c r="B641" s="2097" t="s">
        <v>144</v>
      </c>
      <c r="C641" s="2097"/>
      <c r="D641" s="2097"/>
      <c r="E641" s="2097"/>
      <c r="F641" s="2097"/>
      <c r="G641" s="2097"/>
      <c r="H641" s="2097"/>
      <c r="I641" s="2097"/>
      <c r="J641" s="2097"/>
    </row>
    <row r="642" spans="2:10">
      <c r="B642" s="12" t="s">
        <v>143</v>
      </c>
      <c r="C642" s="302"/>
      <c r="D642" s="302"/>
      <c r="E642" s="302"/>
      <c r="F642" s="302"/>
      <c r="G642" s="302"/>
      <c r="H642" s="302"/>
      <c r="I642" s="302"/>
      <c r="J642" s="302"/>
    </row>
    <row r="643" spans="2:10">
      <c r="B643" s="62" t="s">
        <v>142</v>
      </c>
      <c r="C643" s="302"/>
      <c r="D643" s="302"/>
      <c r="E643" s="302"/>
      <c r="F643" s="302"/>
      <c r="G643" s="302"/>
      <c r="H643" s="302"/>
      <c r="I643" s="302"/>
      <c r="J643" s="302"/>
    </row>
    <row r="644" spans="2:10">
      <c r="B644" s="62"/>
      <c r="C644" s="302"/>
      <c r="D644" s="302"/>
      <c r="E644" s="302"/>
      <c r="F644" s="302"/>
      <c r="G644" s="302"/>
      <c r="H644" s="302"/>
      <c r="I644" s="302"/>
      <c r="J644" s="302"/>
    </row>
    <row r="645" spans="2:10">
      <c r="B645" s="61"/>
      <c r="C645" s="850">
        <v>2014</v>
      </c>
      <c r="D645" s="850">
        <v>2015</v>
      </c>
      <c r="E645" s="850">
        <v>2016</v>
      </c>
      <c r="F645" s="850">
        <v>2017</v>
      </c>
      <c r="G645" s="850">
        <v>2018</v>
      </c>
      <c r="H645" s="850">
        <v>2019</v>
      </c>
      <c r="I645" s="850">
        <v>2020</v>
      </c>
      <c r="J645" s="850">
        <v>2021</v>
      </c>
    </row>
    <row r="646" spans="2:10">
      <c r="B646" s="59" t="s">
        <v>503</v>
      </c>
      <c r="C646" s="302"/>
      <c r="D646" s="302"/>
      <c r="E646" s="302"/>
      <c r="F646" s="302"/>
      <c r="G646" s="302"/>
      <c r="H646" s="302"/>
      <c r="I646" s="302"/>
      <c r="J646" s="302"/>
    </row>
    <row r="647" spans="2:10">
      <c r="B647" s="71" t="s">
        <v>141</v>
      </c>
      <c r="C647" s="304">
        <v>0.247</v>
      </c>
      <c r="D647" s="304">
        <v>0.22800000000000001</v>
      </c>
      <c r="E647" s="304">
        <v>0.216</v>
      </c>
      <c r="F647" s="304">
        <v>0.23100000000000001</v>
      </c>
      <c r="G647" s="304">
        <v>0.247</v>
      </c>
      <c r="H647" s="304">
        <v>0.28700000000000003</v>
      </c>
      <c r="I647" s="304">
        <v>0.28699999999999998</v>
      </c>
      <c r="J647" s="304">
        <f>SUM(J652,J651,J648)</f>
        <v>0.29399999999999998</v>
      </c>
    </row>
    <row r="648" spans="2:10">
      <c r="B648" s="52" t="s">
        <v>121</v>
      </c>
      <c r="C648" s="304">
        <v>0.13800000000000001</v>
      </c>
      <c r="D648" s="304">
        <v>0.126</v>
      </c>
      <c r="E648" s="304">
        <v>0.126</v>
      </c>
      <c r="F648" s="304">
        <v>0.14099999999999999</v>
      </c>
      <c r="G648" s="304">
        <v>0.157</v>
      </c>
      <c r="H648" s="304">
        <v>0.182</v>
      </c>
      <c r="I648" s="304">
        <v>0.16199999999999998</v>
      </c>
      <c r="J648" s="304">
        <f>SUM(J649:J650)</f>
        <v>0.17199999999999999</v>
      </c>
    </row>
    <row r="649" spans="2:10">
      <c r="B649" s="53" t="s">
        <v>120</v>
      </c>
      <c r="C649" s="306">
        <v>5.0000000000000001E-3</v>
      </c>
      <c r="D649" s="306">
        <v>6.0000000000000001E-3</v>
      </c>
      <c r="E649" s="306">
        <v>8.0000000000000002E-3</v>
      </c>
      <c r="F649" s="306">
        <v>7.0000000000000001E-3</v>
      </c>
      <c r="G649" s="306">
        <v>8.9999999999999993E-3</v>
      </c>
      <c r="H649" s="306">
        <v>1.4999999999999999E-2</v>
      </c>
      <c r="I649" s="306">
        <v>1.6E-2</v>
      </c>
      <c r="J649" s="306">
        <v>2.1999999999999999E-2</v>
      </c>
    </row>
    <row r="650" spans="2:10">
      <c r="B650" s="53" t="s">
        <v>119</v>
      </c>
      <c r="C650" s="306">
        <v>0.13300000000000001</v>
      </c>
      <c r="D650" s="306">
        <v>0.12</v>
      </c>
      <c r="E650" s="306">
        <v>0.11799999999999999</v>
      </c>
      <c r="F650" s="306">
        <v>0.13400000000000001</v>
      </c>
      <c r="G650" s="306">
        <v>0.14799999999999999</v>
      </c>
      <c r="H650" s="306">
        <v>0.16700000000000001</v>
      </c>
      <c r="I650" s="306">
        <v>0.14599999999999999</v>
      </c>
      <c r="J650" s="306">
        <v>0.15</v>
      </c>
    </row>
    <row r="651" spans="2:10">
      <c r="B651" s="52" t="s">
        <v>118</v>
      </c>
      <c r="C651" s="306">
        <v>0.108</v>
      </c>
      <c r="D651" s="306">
        <v>0.10100000000000001</v>
      </c>
      <c r="E651" s="306">
        <v>8.8999999999999996E-2</v>
      </c>
      <c r="F651" s="306">
        <v>8.8999999999999996E-2</v>
      </c>
      <c r="G651" s="306">
        <v>8.8999999999999996E-2</v>
      </c>
      <c r="H651" s="306">
        <v>9.1999999999999998E-2</v>
      </c>
      <c r="I651" s="306">
        <v>0.11</v>
      </c>
      <c r="J651" s="306">
        <v>0.10199999999999999</v>
      </c>
    </row>
    <row r="652" spans="2:10" ht="15" thickBot="1">
      <c r="B652" s="52" t="s">
        <v>117</v>
      </c>
      <c r="C652" s="306">
        <v>1E-3</v>
      </c>
      <c r="D652" s="306">
        <v>1E-3</v>
      </c>
      <c r="E652" s="306">
        <v>1E-3</v>
      </c>
      <c r="F652" s="306">
        <v>1E-3</v>
      </c>
      <c r="G652" s="306">
        <v>1E-3</v>
      </c>
      <c r="H652" s="306">
        <v>1.2999999999999999E-2</v>
      </c>
      <c r="I652" s="306">
        <v>1.4999999999999999E-2</v>
      </c>
      <c r="J652" s="306">
        <v>0.02</v>
      </c>
    </row>
    <row r="653" spans="2:10" ht="15" thickTop="1">
      <c r="B653" s="2025" t="s">
        <v>1570</v>
      </c>
      <c r="C653" s="2025"/>
      <c r="D653" s="2025"/>
      <c r="E653" s="2025"/>
      <c r="F653" s="2025"/>
      <c r="G653" s="2025"/>
      <c r="H653" s="2025"/>
      <c r="I653" s="2025"/>
      <c r="J653" s="2025"/>
    </row>
    <row r="654" spans="2:10">
      <c r="B654" s="2017"/>
      <c r="C654" s="2017"/>
      <c r="D654" s="2017"/>
      <c r="E654" s="2017"/>
      <c r="F654" s="2017"/>
      <c r="G654" s="2017"/>
      <c r="H654" s="2017"/>
      <c r="I654" s="2017"/>
      <c r="J654" s="2017"/>
    </row>
    <row r="655" spans="2:10">
      <c r="B655" s="64"/>
      <c r="C655" s="302"/>
      <c r="D655" s="302"/>
      <c r="E655" s="302"/>
      <c r="F655" s="302"/>
      <c r="G655" s="302"/>
      <c r="H655" s="302"/>
      <c r="I655" s="302"/>
      <c r="J655" s="302"/>
    </row>
    <row r="656" spans="2:10">
      <c r="B656" s="2097" t="s">
        <v>140</v>
      </c>
      <c r="C656" s="2097"/>
      <c r="D656" s="2097"/>
      <c r="E656" s="2097"/>
      <c r="F656" s="2097"/>
      <c r="G656" s="2097"/>
      <c r="H656" s="2097"/>
      <c r="I656" s="2097"/>
      <c r="J656" s="2097"/>
    </row>
    <row r="657" spans="2:10">
      <c r="B657" s="12" t="s">
        <v>139</v>
      </c>
      <c r="C657" s="302"/>
      <c r="D657" s="302"/>
      <c r="E657" s="302"/>
      <c r="F657" s="302"/>
      <c r="G657" s="302"/>
      <c r="H657" s="302"/>
      <c r="I657" s="302"/>
      <c r="J657" s="302"/>
    </row>
    <row r="658" spans="2:10">
      <c r="B658" s="62" t="s">
        <v>138</v>
      </c>
      <c r="C658" s="302"/>
      <c r="D658" s="302"/>
      <c r="E658" s="302"/>
      <c r="F658" s="302"/>
      <c r="G658" s="302"/>
      <c r="H658" s="302"/>
      <c r="I658" s="302"/>
      <c r="J658" s="302"/>
    </row>
    <row r="659" spans="2:10">
      <c r="B659" s="64"/>
      <c r="C659" s="302"/>
      <c r="D659" s="302"/>
      <c r="E659" s="302"/>
      <c r="F659" s="302"/>
      <c r="G659" s="302"/>
      <c r="H659" s="302"/>
      <c r="I659" s="302"/>
      <c r="J659" s="302"/>
    </row>
    <row r="660" spans="2:10">
      <c r="B660" s="61"/>
      <c r="C660" s="850">
        <v>2014</v>
      </c>
      <c r="D660" s="850">
        <v>2015</v>
      </c>
      <c r="E660" s="850">
        <v>2016</v>
      </c>
      <c r="F660" s="850">
        <v>2017</v>
      </c>
      <c r="G660" s="850">
        <v>2018</v>
      </c>
      <c r="H660" s="850">
        <v>2019</v>
      </c>
      <c r="I660" s="850">
        <v>2020</v>
      </c>
      <c r="J660" s="850">
        <v>2021</v>
      </c>
    </row>
    <row r="661" spans="2:10">
      <c r="B661" s="59" t="s">
        <v>503</v>
      </c>
      <c r="C661" s="302"/>
      <c r="D661" s="302"/>
      <c r="E661" s="302"/>
      <c r="F661" s="302"/>
      <c r="G661" s="302"/>
      <c r="H661" s="302"/>
      <c r="I661" s="302"/>
      <c r="J661" s="302"/>
    </row>
    <row r="662" spans="2:10">
      <c r="B662" s="71" t="s">
        <v>137</v>
      </c>
      <c r="C662" s="1681">
        <v>5740</v>
      </c>
      <c r="D662" s="1681">
        <v>6344</v>
      </c>
      <c r="E662" s="1681">
        <v>6193</v>
      </c>
      <c r="F662" s="1681">
        <v>6246</v>
      </c>
      <c r="G662" s="1681">
        <v>6580</v>
      </c>
      <c r="H662" s="1681">
        <v>6761</v>
      </c>
      <c r="I662" s="1681">
        <v>7973</v>
      </c>
      <c r="J662" s="1681">
        <f>SUM(J663,J666,J667)</f>
        <v>7576</v>
      </c>
    </row>
    <row r="663" spans="2:10">
      <c r="B663" s="52" t="s">
        <v>121</v>
      </c>
      <c r="C663" s="1681">
        <v>4949</v>
      </c>
      <c r="D663" s="1681">
        <v>5441</v>
      </c>
      <c r="E663" s="1681">
        <v>5476</v>
      </c>
      <c r="F663" s="1681">
        <v>5326</v>
      </c>
      <c r="G663" s="1681">
        <v>5710</v>
      </c>
      <c r="H663" s="1681">
        <v>5831</v>
      </c>
      <c r="I663" s="1681">
        <v>6999</v>
      </c>
      <c r="J663" s="1681">
        <f>SUM(J664:J665)</f>
        <v>6291</v>
      </c>
    </row>
    <row r="664" spans="2:10">
      <c r="B664" s="53" t="s">
        <v>120</v>
      </c>
      <c r="C664" s="158">
        <v>367</v>
      </c>
      <c r="D664" s="158">
        <v>912</v>
      </c>
      <c r="E664" s="158">
        <v>1154</v>
      </c>
      <c r="F664" s="158">
        <v>830</v>
      </c>
      <c r="G664" s="158">
        <v>910</v>
      </c>
      <c r="H664" s="158">
        <v>1161</v>
      </c>
      <c r="I664" s="158">
        <v>2171</v>
      </c>
      <c r="J664" s="158">
        <v>2795</v>
      </c>
    </row>
    <row r="665" spans="2:10">
      <c r="B665" s="53" t="s">
        <v>119</v>
      </c>
      <c r="C665" s="158">
        <v>4582</v>
      </c>
      <c r="D665" s="158">
        <v>4529</v>
      </c>
      <c r="E665" s="158">
        <v>4322</v>
      </c>
      <c r="F665" s="158">
        <v>4496</v>
      </c>
      <c r="G665" s="158">
        <v>4800</v>
      </c>
      <c r="H665" s="158">
        <v>4670</v>
      </c>
      <c r="I665" s="158">
        <v>4828</v>
      </c>
      <c r="J665" s="158">
        <v>3496</v>
      </c>
    </row>
    <row r="666" spans="2:10">
      <c r="B666" s="52" t="s">
        <v>118</v>
      </c>
      <c r="C666" s="158">
        <v>789</v>
      </c>
      <c r="D666" s="158">
        <v>903</v>
      </c>
      <c r="E666" s="158">
        <v>715</v>
      </c>
      <c r="F666" s="158">
        <v>915</v>
      </c>
      <c r="G666" s="158">
        <v>869</v>
      </c>
      <c r="H666" s="158">
        <v>875</v>
      </c>
      <c r="I666" s="158">
        <v>921</v>
      </c>
      <c r="J666" s="158">
        <v>950</v>
      </c>
    </row>
    <row r="667" spans="2:10" ht="15" thickBot="1">
      <c r="B667" s="52" t="s">
        <v>117</v>
      </c>
      <c r="C667" s="158">
        <v>2</v>
      </c>
      <c r="D667" s="158" t="s">
        <v>191</v>
      </c>
      <c r="E667" s="158">
        <v>2</v>
      </c>
      <c r="F667" s="158">
        <v>5</v>
      </c>
      <c r="G667" s="158">
        <v>1</v>
      </c>
      <c r="H667" s="158">
        <v>55</v>
      </c>
      <c r="I667" s="158">
        <v>53</v>
      </c>
      <c r="J667" s="158">
        <v>335</v>
      </c>
    </row>
    <row r="668" spans="2:10" ht="15" thickTop="1">
      <c r="B668" s="2025" t="s">
        <v>1570</v>
      </c>
      <c r="C668" s="2025"/>
      <c r="D668" s="2025"/>
      <c r="E668" s="2025"/>
      <c r="F668" s="2025"/>
      <c r="G668" s="2025"/>
      <c r="H668" s="2025"/>
      <c r="I668" s="2025"/>
      <c r="J668" s="2025"/>
    </row>
    <row r="669" spans="2:10">
      <c r="B669" s="2017"/>
      <c r="C669" s="2017"/>
      <c r="D669" s="2017"/>
      <c r="E669" s="2017"/>
      <c r="F669" s="2017"/>
      <c r="G669" s="2017"/>
      <c r="H669" s="2017"/>
      <c r="I669" s="2017"/>
      <c r="J669" s="2017"/>
    </row>
    <row r="670" spans="2:10">
      <c r="B670" s="64"/>
      <c r="C670" s="302"/>
      <c r="D670" s="302"/>
      <c r="E670" s="302"/>
      <c r="F670" s="302"/>
      <c r="G670" s="302"/>
      <c r="H670" s="302"/>
      <c r="I670" s="302"/>
      <c r="J670" s="302"/>
    </row>
    <row r="671" spans="2:10">
      <c r="B671" s="2097" t="s">
        <v>133</v>
      </c>
      <c r="C671" s="2097"/>
      <c r="D671" s="2097"/>
      <c r="E671" s="2097"/>
      <c r="F671" s="2097"/>
      <c r="G671" s="2097"/>
      <c r="H671" s="2097"/>
      <c r="I671" s="2097"/>
      <c r="J671" s="2097"/>
    </row>
    <row r="672" spans="2:10">
      <c r="B672" s="12" t="s">
        <v>132</v>
      </c>
      <c r="C672" s="302"/>
      <c r="D672" s="302"/>
      <c r="E672" s="302"/>
      <c r="F672" s="302"/>
      <c r="G672" s="302"/>
      <c r="H672" s="302"/>
      <c r="I672" s="302"/>
      <c r="J672" s="302"/>
    </row>
    <row r="673" spans="2:10">
      <c r="B673" s="62" t="s">
        <v>131</v>
      </c>
      <c r="C673" s="302"/>
      <c r="D673" s="302"/>
      <c r="E673" s="302"/>
      <c r="F673" s="302"/>
      <c r="G673" s="302"/>
      <c r="H673" s="302"/>
      <c r="I673" s="302"/>
      <c r="J673" s="302"/>
    </row>
    <row r="674" spans="2:10">
      <c r="B674" s="62"/>
      <c r="C674" s="302"/>
      <c r="D674" s="302"/>
      <c r="E674" s="302"/>
      <c r="F674" s="302"/>
      <c r="G674" s="302"/>
      <c r="H674" s="302"/>
      <c r="I674" s="302"/>
      <c r="J674" s="302"/>
    </row>
    <row r="675" spans="2:10">
      <c r="B675" s="61"/>
      <c r="C675" s="850">
        <v>2014</v>
      </c>
      <c r="D675" s="850">
        <v>2015</v>
      </c>
      <c r="E675" s="850">
        <v>2016</v>
      </c>
      <c r="F675" s="850">
        <v>2017</v>
      </c>
      <c r="G675" s="850">
        <v>2018</v>
      </c>
      <c r="H675" s="850">
        <v>2019</v>
      </c>
      <c r="I675" s="850">
        <v>2020</v>
      </c>
      <c r="J675" s="850">
        <v>2021</v>
      </c>
    </row>
    <row r="676" spans="2:10">
      <c r="B676" s="71" t="s">
        <v>130</v>
      </c>
      <c r="C676" s="307">
        <v>1.8000000000000002E-2</v>
      </c>
      <c r="D676" s="307">
        <v>2.3E-2</v>
      </c>
      <c r="E676" s="307">
        <v>2.5999999999999999E-2</v>
      </c>
      <c r="F676" s="307">
        <v>1.7000000000000001E-2</v>
      </c>
      <c r="G676" s="307">
        <v>1.9999999999999997E-2</v>
      </c>
      <c r="H676" s="307">
        <v>1.8000000000000002E-2</v>
      </c>
      <c r="I676" s="307">
        <v>1.3000000000000001E-2</v>
      </c>
      <c r="J676" s="307">
        <f>J679+J686</f>
        <v>13.254</v>
      </c>
    </row>
    <row r="677" spans="2:10">
      <c r="B677" s="71"/>
      <c r="C677" s="302"/>
      <c r="D677" s="302"/>
      <c r="E677" s="302"/>
      <c r="F677" s="302"/>
      <c r="G677" s="302"/>
      <c r="H677" s="302"/>
      <c r="I677" s="302"/>
      <c r="J677" s="302"/>
    </row>
    <row r="678" spans="2:10">
      <c r="B678" s="59" t="s">
        <v>503</v>
      </c>
      <c r="C678" s="302"/>
      <c r="D678" s="302"/>
      <c r="E678" s="302"/>
      <c r="F678" s="302"/>
      <c r="G678" s="302"/>
      <c r="H678" s="302"/>
      <c r="I678" s="302"/>
      <c r="J678" s="302"/>
    </row>
    <row r="679" spans="2:10">
      <c r="B679" s="54" t="s">
        <v>123</v>
      </c>
      <c r="C679" s="307">
        <v>1.7000000000000001E-2</v>
      </c>
      <c r="D679" s="307">
        <v>1.9E-2</v>
      </c>
      <c r="E679" s="307">
        <v>2.1999999999999999E-2</v>
      </c>
      <c r="F679" s="307">
        <v>1.4999999999999999E-2</v>
      </c>
      <c r="G679" s="307">
        <v>1.7999999999999999E-2</v>
      </c>
      <c r="H679" s="307">
        <v>1.7000000000000001E-2</v>
      </c>
      <c r="I679" s="307">
        <v>1.2E-2</v>
      </c>
      <c r="J679" s="307">
        <f>J680+J683+J684</f>
        <v>6.4849999999999994</v>
      </c>
    </row>
    <row r="680" spans="2:10">
      <c r="B680" s="52" t="s">
        <v>121</v>
      </c>
      <c r="C680" s="307">
        <v>0</v>
      </c>
      <c r="D680" s="307">
        <v>0</v>
      </c>
      <c r="E680" s="307">
        <v>0</v>
      </c>
      <c r="F680" s="307">
        <v>0</v>
      </c>
      <c r="G680" s="307">
        <v>0</v>
      </c>
      <c r="H680" s="307">
        <v>0</v>
      </c>
      <c r="I680" s="307">
        <v>0</v>
      </c>
      <c r="J680" s="307">
        <f>J681+J682</f>
        <v>6.0289999999999999</v>
      </c>
    </row>
    <row r="681" spans="2:10">
      <c r="B681" s="53" t="s">
        <v>120</v>
      </c>
      <c r="C681" s="307">
        <v>0</v>
      </c>
      <c r="D681" s="307">
        <v>0</v>
      </c>
      <c r="E681" s="307">
        <v>0</v>
      </c>
      <c r="F681" s="307">
        <v>0</v>
      </c>
      <c r="G681" s="307">
        <v>0</v>
      </c>
      <c r="H681" s="307">
        <v>0</v>
      </c>
      <c r="I681" s="307">
        <v>0</v>
      </c>
      <c r="J681" s="307">
        <v>3.3559999999999999</v>
      </c>
    </row>
    <row r="682" spans="2:10">
      <c r="B682" s="53" t="s">
        <v>119</v>
      </c>
      <c r="C682" s="307">
        <v>0</v>
      </c>
      <c r="D682" s="307">
        <v>0</v>
      </c>
      <c r="E682" s="307">
        <v>0</v>
      </c>
      <c r="F682" s="307">
        <v>0</v>
      </c>
      <c r="G682" s="307">
        <v>0</v>
      </c>
      <c r="H682" s="307">
        <v>0</v>
      </c>
      <c r="I682" s="307">
        <v>0</v>
      </c>
      <c r="J682" s="307">
        <v>2.673</v>
      </c>
    </row>
    <row r="683" spans="2:10">
      <c r="B683" s="52" t="s">
        <v>118</v>
      </c>
      <c r="C683" s="307">
        <v>0</v>
      </c>
      <c r="D683" s="307">
        <v>0</v>
      </c>
      <c r="E683" s="307">
        <v>0</v>
      </c>
      <c r="F683" s="307">
        <v>0</v>
      </c>
      <c r="G683" s="307">
        <v>0</v>
      </c>
      <c r="H683" s="307">
        <v>0</v>
      </c>
      <c r="I683" s="307">
        <v>0</v>
      </c>
      <c r="J683" s="307">
        <v>0.151</v>
      </c>
    </row>
    <row r="684" spans="2:10">
      <c r="B684" s="52" t="s">
        <v>117</v>
      </c>
      <c r="C684" s="307"/>
      <c r="D684" s="307"/>
      <c r="E684" s="307"/>
      <c r="F684" s="307"/>
      <c r="G684" s="307"/>
      <c r="H684" s="307"/>
      <c r="I684" s="307"/>
      <c r="J684" s="307">
        <v>0.30499999999999999</v>
      </c>
    </row>
    <row r="685" spans="2:10">
      <c r="B685" s="52"/>
      <c r="C685" s="339"/>
      <c r="D685" s="339"/>
      <c r="E685" s="339"/>
      <c r="F685" s="339"/>
      <c r="G685" s="339"/>
      <c r="H685" s="339"/>
      <c r="I685" s="339"/>
      <c r="J685" s="339"/>
    </row>
    <row r="686" spans="2:10">
      <c r="B686" s="54" t="s">
        <v>122</v>
      </c>
      <c r="C686" s="321">
        <v>1E-3</v>
      </c>
      <c r="D686" s="321">
        <v>4.0000000000000001E-3</v>
      </c>
      <c r="E686" s="321">
        <v>4.0000000000000001E-3</v>
      </c>
      <c r="F686" s="321">
        <v>2E-3</v>
      </c>
      <c r="G686" s="321">
        <v>2E-3</v>
      </c>
      <c r="H686" s="321">
        <v>1E-3</v>
      </c>
      <c r="I686" s="321">
        <v>1E-3</v>
      </c>
      <c r="J686" s="307">
        <f>J687+J690</f>
        <v>6.7690000000000001</v>
      </c>
    </row>
    <row r="687" spans="2:10">
      <c r="B687" s="52" t="s">
        <v>121</v>
      </c>
      <c r="C687" s="307">
        <v>0</v>
      </c>
      <c r="D687" s="307">
        <v>0</v>
      </c>
      <c r="E687" s="307">
        <v>0</v>
      </c>
      <c r="F687" s="307">
        <v>0</v>
      </c>
      <c r="G687" s="307">
        <v>0</v>
      </c>
      <c r="H687" s="307">
        <v>0</v>
      </c>
      <c r="I687" s="307">
        <v>0</v>
      </c>
      <c r="J687" s="307">
        <f>J688+J689</f>
        <v>6.7060000000000004</v>
      </c>
    </row>
    <row r="688" spans="2:10">
      <c r="B688" s="53" t="s">
        <v>120</v>
      </c>
      <c r="C688" s="307">
        <v>0</v>
      </c>
      <c r="D688" s="307">
        <v>0</v>
      </c>
      <c r="E688" s="307">
        <v>0</v>
      </c>
      <c r="F688" s="307">
        <v>0</v>
      </c>
      <c r="G688" s="307">
        <v>0</v>
      </c>
      <c r="H688" s="307">
        <v>0</v>
      </c>
      <c r="I688" s="307">
        <v>0</v>
      </c>
      <c r="J688" s="307">
        <v>2.8730000000000002</v>
      </c>
    </row>
    <row r="689" spans="2:10">
      <c r="B689" s="53" t="s">
        <v>119</v>
      </c>
      <c r="C689" s="307">
        <v>0</v>
      </c>
      <c r="D689" s="307">
        <v>0</v>
      </c>
      <c r="E689" s="307">
        <v>0</v>
      </c>
      <c r="F689" s="307">
        <v>0</v>
      </c>
      <c r="G689" s="307">
        <v>0</v>
      </c>
      <c r="H689" s="307">
        <v>0</v>
      </c>
      <c r="I689" s="307">
        <v>0</v>
      </c>
      <c r="J689" s="307">
        <v>3.8330000000000002</v>
      </c>
    </row>
    <row r="690" spans="2:10">
      <c r="B690" s="52" t="s">
        <v>118</v>
      </c>
      <c r="C690" s="307">
        <v>0</v>
      </c>
      <c r="D690" s="307">
        <v>0</v>
      </c>
      <c r="E690" s="307">
        <v>0</v>
      </c>
      <c r="F690" s="307">
        <v>0</v>
      </c>
      <c r="G690" s="307">
        <v>0</v>
      </c>
      <c r="H690" s="307">
        <v>0</v>
      </c>
      <c r="I690" s="307">
        <v>0</v>
      </c>
      <c r="J690" s="307">
        <v>6.3E-2</v>
      </c>
    </row>
    <row r="691" spans="2:10" ht="15" thickBot="1">
      <c r="B691" s="52" t="s">
        <v>117</v>
      </c>
      <c r="C691" s="307">
        <v>0</v>
      </c>
      <c r="D691" s="307">
        <v>0</v>
      </c>
      <c r="E691" s="307">
        <v>0</v>
      </c>
      <c r="F691" s="307">
        <v>0</v>
      </c>
      <c r="G691" s="307">
        <v>0</v>
      </c>
      <c r="H691" s="307">
        <v>0</v>
      </c>
      <c r="I691" s="307">
        <v>0</v>
      </c>
      <c r="J691" s="307">
        <v>0</v>
      </c>
    </row>
    <row r="692" spans="2:10" ht="15" thickTop="1">
      <c r="B692" s="2025" t="s">
        <v>1570</v>
      </c>
      <c r="C692" s="2025"/>
      <c r="D692" s="2025"/>
      <c r="E692" s="2025"/>
      <c r="F692" s="2025"/>
      <c r="G692" s="2025"/>
      <c r="H692" s="2025"/>
      <c r="I692" s="2025"/>
      <c r="J692" s="2025"/>
    </row>
    <row r="693" spans="2:10">
      <c r="B693" s="2017"/>
      <c r="C693" s="2017"/>
      <c r="D693" s="2017"/>
      <c r="E693" s="2017"/>
      <c r="F693" s="2017"/>
      <c r="G693" s="2017"/>
      <c r="H693" s="2017"/>
      <c r="I693" s="2017"/>
      <c r="J693" s="2017"/>
    </row>
    <row r="694" spans="2:10">
      <c r="B694" s="2097" t="s">
        <v>129</v>
      </c>
      <c r="C694" s="2097"/>
      <c r="D694" s="2097"/>
      <c r="E694" s="2097"/>
      <c r="F694" s="2097"/>
      <c r="G694" s="2097"/>
      <c r="H694" s="2097"/>
      <c r="I694" s="2097"/>
      <c r="J694" s="2097"/>
    </row>
    <row r="695" spans="2:10">
      <c r="B695" s="12" t="s">
        <v>128</v>
      </c>
      <c r="C695" s="302"/>
      <c r="D695" s="302"/>
      <c r="E695" s="302"/>
      <c r="F695" s="302"/>
      <c r="G695" s="302"/>
      <c r="H695" s="302"/>
      <c r="I695" s="302"/>
      <c r="J695" s="302"/>
    </row>
    <row r="696" spans="2:10">
      <c r="B696" s="62" t="s">
        <v>127</v>
      </c>
      <c r="C696" s="302"/>
      <c r="D696" s="302"/>
      <c r="E696" s="302"/>
      <c r="F696" s="302"/>
      <c r="G696" s="302"/>
      <c r="H696" s="302"/>
      <c r="I696" s="302"/>
      <c r="J696" s="302"/>
    </row>
    <row r="697" spans="2:10">
      <c r="B697" s="62"/>
      <c r="C697" s="302"/>
      <c r="D697" s="302"/>
      <c r="E697" s="302"/>
      <c r="F697" s="302"/>
      <c r="G697" s="302"/>
      <c r="H697" s="302"/>
      <c r="I697" s="302"/>
      <c r="J697" s="302"/>
    </row>
    <row r="698" spans="2:10">
      <c r="B698" s="61"/>
      <c r="C698" s="850">
        <v>2014</v>
      </c>
      <c r="D698" s="850">
        <v>2015</v>
      </c>
      <c r="E698" s="850">
        <v>2016</v>
      </c>
      <c r="F698" s="850">
        <v>2017</v>
      </c>
      <c r="G698" s="850">
        <v>2018</v>
      </c>
      <c r="H698" s="850">
        <v>2019</v>
      </c>
      <c r="I698" s="850">
        <v>2020</v>
      </c>
      <c r="J698" s="850">
        <v>2021</v>
      </c>
    </row>
    <row r="699" spans="2:10">
      <c r="B699" s="71" t="s">
        <v>124</v>
      </c>
      <c r="C699" s="158">
        <v>7039</v>
      </c>
      <c r="D699" s="158">
        <v>8485</v>
      </c>
      <c r="E699" s="158">
        <v>9906</v>
      </c>
      <c r="F699" s="158">
        <v>5782</v>
      </c>
      <c r="G699" s="158">
        <v>7474</v>
      </c>
      <c r="H699" s="158">
        <v>8239</v>
      </c>
      <c r="I699" s="158">
        <v>6163</v>
      </c>
      <c r="J699" s="307">
        <f>J702+J709</f>
        <v>7737.777</v>
      </c>
    </row>
    <row r="700" spans="2:10">
      <c r="B700" s="71"/>
      <c r="C700" s="439"/>
      <c r="D700" s="439"/>
      <c r="E700" s="439"/>
      <c r="F700" s="439"/>
      <c r="G700" s="439"/>
      <c r="H700" s="439"/>
      <c r="I700" s="439"/>
      <c r="J700" s="439"/>
    </row>
    <row r="701" spans="2:10">
      <c r="B701" s="59" t="s">
        <v>503</v>
      </c>
      <c r="C701" s="439"/>
      <c r="D701" s="439"/>
      <c r="E701" s="439"/>
      <c r="F701" s="439"/>
      <c r="G701" s="439"/>
      <c r="H701" s="439"/>
      <c r="I701" s="439"/>
      <c r="J701" s="439"/>
    </row>
    <row r="702" spans="2:10">
      <c r="B702" s="54" t="s">
        <v>123</v>
      </c>
      <c r="C702" s="158">
        <v>5545</v>
      </c>
      <c r="D702" s="158">
        <v>7158</v>
      </c>
      <c r="E702" s="158">
        <v>8408</v>
      </c>
      <c r="F702" s="158">
        <v>4692</v>
      </c>
      <c r="G702" s="158">
        <v>6415</v>
      </c>
      <c r="H702" s="158">
        <v>6828</v>
      </c>
      <c r="I702" s="158">
        <v>3528</v>
      </c>
      <c r="J702" s="307">
        <f>J703+J706+J707</f>
        <v>2864.5969999999998</v>
      </c>
    </row>
    <row r="703" spans="2:10">
      <c r="B703" s="52" t="s">
        <v>121</v>
      </c>
      <c r="C703" s="307">
        <v>0</v>
      </c>
      <c r="D703" s="307">
        <v>0</v>
      </c>
      <c r="E703" s="307">
        <v>0</v>
      </c>
      <c r="F703" s="307">
        <v>0</v>
      </c>
      <c r="G703" s="307">
        <v>0</v>
      </c>
      <c r="H703" s="307">
        <v>0</v>
      </c>
      <c r="I703" s="307">
        <v>0</v>
      </c>
      <c r="J703" s="307">
        <f>J704+J705</f>
        <v>2848.5070000000001</v>
      </c>
    </row>
    <row r="704" spans="2:10">
      <c r="B704" s="53" t="s">
        <v>120</v>
      </c>
      <c r="C704" s="307">
        <v>0</v>
      </c>
      <c r="D704" s="307">
        <v>0</v>
      </c>
      <c r="E704" s="307">
        <v>0</v>
      </c>
      <c r="F704" s="307">
        <v>0</v>
      </c>
      <c r="G704" s="307">
        <v>0</v>
      </c>
      <c r="H704" s="307">
        <v>0</v>
      </c>
      <c r="I704" s="307">
        <v>0</v>
      </c>
      <c r="J704" s="307">
        <v>1698.905</v>
      </c>
    </row>
    <row r="705" spans="2:10">
      <c r="B705" s="53" t="s">
        <v>119</v>
      </c>
      <c r="C705" s="307">
        <v>0</v>
      </c>
      <c r="D705" s="307">
        <v>0</v>
      </c>
      <c r="E705" s="307">
        <v>0</v>
      </c>
      <c r="F705" s="307">
        <v>0</v>
      </c>
      <c r="G705" s="307">
        <v>0</v>
      </c>
      <c r="H705" s="307">
        <v>0</v>
      </c>
      <c r="I705" s="307">
        <v>0</v>
      </c>
      <c r="J705" s="307">
        <v>1149.6020000000001</v>
      </c>
    </row>
    <row r="706" spans="2:10">
      <c r="B706" s="52" t="s">
        <v>118</v>
      </c>
      <c r="C706" s="307">
        <v>0</v>
      </c>
      <c r="D706" s="307">
        <v>0</v>
      </c>
      <c r="E706" s="307">
        <v>0</v>
      </c>
      <c r="F706" s="307">
        <v>0</v>
      </c>
      <c r="G706" s="307">
        <v>0</v>
      </c>
      <c r="H706" s="307">
        <v>0</v>
      </c>
      <c r="I706" s="307">
        <v>0</v>
      </c>
      <c r="J706" s="307">
        <v>6.4370000000000003</v>
      </c>
    </row>
    <row r="707" spans="2:10">
      <c r="B707" s="52" t="s">
        <v>117</v>
      </c>
      <c r="C707" s="306"/>
      <c r="D707" s="306"/>
      <c r="E707" s="306"/>
      <c r="F707" s="306"/>
      <c r="G707" s="306"/>
      <c r="H707" s="306"/>
      <c r="I707" s="306"/>
      <c r="J707" s="307">
        <v>9.6530000000000005</v>
      </c>
    </row>
    <row r="708" spans="2:10">
      <c r="B708" s="52"/>
      <c r="C708" s="339"/>
      <c r="D708" s="339"/>
      <c r="E708" s="339"/>
      <c r="F708" s="339"/>
      <c r="G708" s="339"/>
      <c r="H708" s="339"/>
      <c r="I708" s="339"/>
      <c r="J708" s="339"/>
    </row>
    <row r="709" spans="2:10">
      <c r="B709" s="54" t="s">
        <v>122</v>
      </c>
      <c r="C709" s="321">
        <v>1494</v>
      </c>
      <c r="D709" s="321">
        <v>1327</v>
      </c>
      <c r="E709" s="321">
        <v>1498</v>
      </c>
      <c r="F709" s="321">
        <v>1090</v>
      </c>
      <c r="G709" s="321">
        <v>1059</v>
      </c>
      <c r="H709" s="321">
        <v>1411</v>
      </c>
      <c r="I709" s="321">
        <v>2635</v>
      </c>
      <c r="J709" s="307">
        <f>J710+J713</f>
        <v>4873.18</v>
      </c>
    </row>
    <row r="710" spans="2:10">
      <c r="B710" s="52" t="s">
        <v>121</v>
      </c>
      <c r="C710" s="307">
        <v>0</v>
      </c>
      <c r="D710" s="307">
        <v>0</v>
      </c>
      <c r="E710" s="307">
        <v>0</v>
      </c>
      <c r="F710" s="307">
        <v>0</v>
      </c>
      <c r="G710" s="307">
        <v>0</v>
      </c>
      <c r="H710" s="307">
        <v>0</v>
      </c>
      <c r="I710" s="307">
        <v>0</v>
      </c>
      <c r="J710" s="307">
        <f>J711+J712</f>
        <v>4561.5550000000003</v>
      </c>
    </row>
    <row r="711" spans="2:10">
      <c r="B711" s="53" t="s">
        <v>120</v>
      </c>
      <c r="C711" s="307">
        <v>0</v>
      </c>
      <c r="D711" s="307">
        <v>0</v>
      </c>
      <c r="E711" s="307">
        <v>0</v>
      </c>
      <c r="F711" s="307">
        <v>0</v>
      </c>
      <c r="G711" s="307">
        <v>0</v>
      </c>
      <c r="H711" s="307">
        <v>0</v>
      </c>
      <c r="I711" s="307">
        <v>0</v>
      </c>
      <c r="J711" s="307">
        <v>3954.6590000000001</v>
      </c>
    </row>
    <row r="712" spans="2:10">
      <c r="B712" s="53" t="s">
        <v>119</v>
      </c>
      <c r="C712" s="307">
        <v>0</v>
      </c>
      <c r="D712" s="307">
        <v>0</v>
      </c>
      <c r="E712" s="307">
        <v>0</v>
      </c>
      <c r="F712" s="307">
        <v>0</v>
      </c>
      <c r="G712" s="307">
        <v>0</v>
      </c>
      <c r="H712" s="307">
        <v>0</v>
      </c>
      <c r="I712" s="307">
        <v>0</v>
      </c>
      <c r="J712" s="307">
        <v>606.89599999999996</v>
      </c>
    </row>
    <row r="713" spans="2:10">
      <c r="B713" s="52" t="s">
        <v>118</v>
      </c>
      <c r="C713" s="307">
        <v>0</v>
      </c>
      <c r="D713" s="307">
        <v>0</v>
      </c>
      <c r="E713" s="307">
        <v>0</v>
      </c>
      <c r="F713" s="307">
        <v>0</v>
      </c>
      <c r="G713" s="307">
        <v>0</v>
      </c>
      <c r="H713" s="307">
        <v>0</v>
      </c>
      <c r="I713" s="307">
        <v>0</v>
      </c>
      <c r="J713" s="307">
        <v>311.625</v>
      </c>
    </row>
    <row r="714" spans="2:10" ht="15" thickBot="1">
      <c r="B714" s="52" t="s">
        <v>117</v>
      </c>
      <c r="C714" s="307">
        <v>0</v>
      </c>
      <c r="D714" s="307">
        <v>0</v>
      </c>
      <c r="E714" s="307">
        <v>0</v>
      </c>
      <c r="F714" s="307">
        <v>0</v>
      </c>
      <c r="G714" s="307">
        <v>0</v>
      </c>
      <c r="H714" s="307">
        <v>0</v>
      </c>
      <c r="I714" s="307">
        <v>0</v>
      </c>
      <c r="J714" s="307">
        <v>0</v>
      </c>
    </row>
    <row r="715" spans="2:10" ht="15" thickTop="1">
      <c r="B715" s="2025" t="s">
        <v>1570</v>
      </c>
      <c r="C715" s="2025"/>
      <c r="D715" s="2025"/>
      <c r="E715" s="2025"/>
      <c r="F715" s="2025"/>
      <c r="G715" s="2025"/>
      <c r="H715" s="2025"/>
      <c r="I715" s="2025"/>
      <c r="J715" s="2025"/>
    </row>
    <row r="716" spans="2:10">
      <c r="B716" s="2017" t="s">
        <v>1571</v>
      </c>
      <c r="C716" s="2017"/>
      <c r="D716" s="2017"/>
      <c r="E716" s="2017"/>
      <c r="F716" s="2017"/>
      <c r="G716" s="2017"/>
      <c r="H716" s="2017"/>
      <c r="I716" s="2017"/>
      <c r="J716" s="2017"/>
    </row>
    <row r="717" spans="2:10">
      <c r="B717" s="2097" t="s">
        <v>115</v>
      </c>
      <c r="C717" s="2097"/>
      <c r="D717" s="2097"/>
      <c r="E717" s="2097"/>
      <c r="F717" s="2097"/>
      <c r="G717" s="2097"/>
      <c r="H717" s="2097"/>
      <c r="I717" s="2097"/>
      <c r="J717" s="2097"/>
    </row>
    <row r="718" spans="2:10">
      <c r="B718" s="12" t="s">
        <v>114</v>
      </c>
      <c r="C718" s="302"/>
      <c r="D718" s="302"/>
      <c r="E718" s="302"/>
      <c r="F718" s="302"/>
      <c r="G718" s="302"/>
      <c r="H718" s="302"/>
      <c r="I718" s="302"/>
      <c r="J718" s="302"/>
    </row>
    <row r="719" spans="2:10">
      <c r="B719" s="302"/>
      <c r="C719" s="302"/>
      <c r="D719" s="302"/>
      <c r="E719" s="302"/>
      <c r="F719" s="302"/>
      <c r="G719" s="302"/>
      <c r="H719" s="302"/>
      <c r="I719" s="302"/>
      <c r="J719" s="302"/>
    </row>
    <row r="720" spans="2:10">
      <c r="B720" s="2117" t="s">
        <v>11</v>
      </c>
      <c r="C720" s="2117" t="s">
        <v>604</v>
      </c>
      <c r="D720" s="2117" t="s">
        <v>113</v>
      </c>
      <c r="E720" s="2115" t="s">
        <v>24</v>
      </c>
      <c r="F720" s="2117" t="s">
        <v>112</v>
      </c>
      <c r="G720" s="2117" t="s">
        <v>111</v>
      </c>
      <c r="H720" s="2115" t="s">
        <v>110</v>
      </c>
      <c r="I720" s="2113"/>
      <c r="J720" s="2113"/>
    </row>
    <row r="721" spans="2:10">
      <c r="B721" s="2116"/>
      <c r="C721" s="2116"/>
      <c r="D721" s="2116"/>
      <c r="E721" s="2116"/>
      <c r="F721" s="2116"/>
      <c r="G721" s="2116"/>
      <c r="H721" s="2116"/>
      <c r="I721" s="2114"/>
      <c r="J721" s="2114"/>
    </row>
    <row r="722" spans="2:10" ht="15" thickBot="1">
      <c r="B722" s="244" t="s">
        <v>94</v>
      </c>
      <c r="C722" s="245">
        <v>0</v>
      </c>
      <c r="D722" s="245">
        <v>0</v>
      </c>
      <c r="E722" s="245">
        <v>0</v>
      </c>
      <c r="F722" s="245">
        <v>0</v>
      </c>
      <c r="G722" s="245">
        <v>0</v>
      </c>
      <c r="H722" s="245">
        <v>0</v>
      </c>
      <c r="I722" s="239"/>
      <c r="J722" s="239"/>
    </row>
    <row r="723" spans="2:10" ht="15" thickTop="1">
      <c r="B723" s="503"/>
      <c r="C723" s="239"/>
      <c r="D723" s="239"/>
      <c r="E723" s="239"/>
      <c r="F723" s="239"/>
      <c r="G723" s="239"/>
      <c r="H723" s="239"/>
      <c r="I723" s="239"/>
      <c r="J723" s="239"/>
    </row>
    <row r="724" spans="2:10">
      <c r="B724" s="2117" t="s">
        <v>11</v>
      </c>
      <c r="C724" s="907" t="s">
        <v>610</v>
      </c>
      <c r="D724" s="2115" t="s">
        <v>101</v>
      </c>
      <c r="E724" s="2115" t="s">
        <v>100</v>
      </c>
      <c r="F724" s="2115" t="s">
        <v>99</v>
      </c>
      <c r="G724" s="907" t="s">
        <v>98</v>
      </c>
      <c r="H724" s="907"/>
      <c r="I724" s="342"/>
      <c r="J724" s="342"/>
    </row>
    <row r="725" spans="2:10">
      <c r="B725" s="2116"/>
      <c r="C725" s="903"/>
      <c r="D725" s="2116"/>
      <c r="E725" s="2116"/>
      <c r="F725" s="2116"/>
      <c r="G725" s="896" t="s">
        <v>97</v>
      </c>
      <c r="H725" s="896" t="s">
        <v>96</v>
      </c>
      <c r="I725" s="44"/>
      <c r="J725" s="44"/>
    </row>
    <row r="726" spans="2:10" ht="15" thickBot="1">
      <c r="B726" s="244" t="s">
        <v>94</v>
      </c>
      <c r="C726" s="245">
        <v>0</v>
      </c>
      <c r="D726" s="245">
        <v>0</v>
      </c>
      <c r="E726" s="245">
        <v>0</v>
      </c>
      <c r="F726" s="245">
        <v>0</v>
      </c>
      <c r="G726" s="245">
        <v>0</v>
      </c>
      <c r="H726" s="245">
        <v>0</v>
      </c>
      <c r="I726" s="239"/>
      <c r="J726" s="239"/>
    </row>
    <row r="727" spans="2:10" ht="15" thickTop="1">
      <c r="B727" s="2112" t="s">
        <v>1570</v>
      </c>
      <c r="C727" s="2112"/>
      <c r="D727" s="2112"/>
      <c r="E727" s="302"/>
      <c r="F727" s="302"/>
      <c r="G727" s="302"/>
      <c r="H727" s="302"/>
      <c r="I727" s="302"/>
      <c r="J727" s="302"/>
    </row>
    <row r="728" spans="2:10">
      <c r="B728" s="302"/>
      <c r="C728" s="302"/>
      <c r="D728" s="302"/>
      <c r="E728" s="302"/>
      <c r="F728" s="302"/>
      <c r="G728" s="302"/>
      <c r="H728" s="302"/>
      <c r="I728" s="302"/>
      <c r="J728" s="302"/>
    </row>
    <row r="729" spans="2:10">
      <c r="B729" s="2097" t="s">
        <v>76</v>
      </c>
      <c r="C729" s="2097"/>
      <c r="D729" s="2097"/>
      <c r="E729" s="2097"/>
      <c r="F729" s="2097"/>
      <c r="G729" s="2097"/>
      <c r="H729" s="2097"/>
      <c r="I729" s="2097"/>
      <c r="J729" s="2097"/>
    </row>
    <row r="730" spans="2:10">
      <c r="B730" s="12" t="s">
        <v>75</v>
      </c>
      <c r="C730" s="302"/>
      <c r="D730" s="302"/>
      <c r="E730" s="302"/>
      <c r="F730" s="302"/>
      <c r="G730" s="302"/>
      <c r="H730" s="302"/>
      <c r="I730" s="302"/>
      <c r="J730" s="302"/>
    </row>
    <row r="731" spans="2:10">
      <c r="B731" s="302"/>
      <c r="C731" s="302"/>
      <c r="D731" s="302"/>
      <c r="E731" s="302"/>
      <c r="F731" s="302"/>
      <c r="G731" s="302"/>
      <c r="H731" s="302"/>
      <c r="I731" s="302"/>
      <c r="J731" s="302"/>
    </row>
    <row r="732" spans="2:10" ht="25">
      <c r="B732" s="900" t="s">
        <v>11</v>
      </c>
      <c r="C732" s="901" t="s">
        <v>24</v>
      </c>
      <c r="D732" s="901" t="s">
        <v>74</v>
      </c>
      <c r="E732" s="901" t="s">
        <v>73</v>
      </c>
      <c r="F732" s="901" t="s">
        <v>72</v>
      </c>
      <c r="G732" s="901" t="s">
        <v>71</v>
      </c>
      <c r="H732" s="302"/>
      <c r="I732" s="302"/>
      <c r="J732" s="302"/>
    </row>
    <row r="733" spans="2:10" ht="15" thickBot="1">
      <c r="B733" s="244" t="s">
        <v>1566</v>
      </c>
      <c r="C733" s="245">
        <v>0</v>
      </c>
      <c r="D733" s="245">
        <v>0</v>
      </c>
      <c r="E733" s="245">
        <v>0</v>
      </c>
      <c r="F733" s="245">
        <v>0</v>
      </c>
      <c r="G733" s="245">
        <v>0</v>
      </c>
      <c r="H733" s="363"/>
      <c r="I733" s="363"/>
      <c r="J733" s="363"/>
    </row>
    <row r="734" spans="2:10" ht="15" thickTop="1">
      <c r="B734" s="2112" t="s">
        <v>1570</v>
      </c>
      <c r="C734" s="2112"/>
      <c r="D734" s="2112"/>
      <c r="E734" s="302"/>
      <c r="F734" s="302"/>
      <c r="G734" s="302"/>
      <c r="H734" s="302"/>
      <c r="I734" s="302"/>
      <c r="J734" s="302"/>
    </row>
    <row r="735" spans="2:10">
      <c r="B735" s="511"/>
      <c r="C735" s="302"/>
      <c r="D735" s="302"/>
      <c r="E735" s="302"/>
      <c r="F735" s="302"/>
      <c r="G735" s="302"/>
      <c r="H735" s="302"/>
      <c r="I735" s="302"/>
      <c r="J735" s="302"/>
    </row>
    <row r="736" spans="2:10">
      <c r="B736" s="302"/>
      <c r="C736" s="302"/>
      <c r="D736" s="302"/>
      <c r="E736" s="302"/>
      <c r="F736" s="302"/>
      <c r="G736" s="302"/>
      <c r="H736" s="302"/>
      <c r="I736" s="302"/>
      <c r="J736" s="302"/>
    </row>
    <row r="737" spans="2:10">
      <c r="B737" s="2097" t="s">
        <v>52</v>
      </c>
      <c r="C737" s="2097"/>
      <c r="D737" s="2097"/>
      <c r="E737" s="2097"/>
      <c r="F737" s="2097"/>
      <c r="G737" s="2097"/>
      <c r="H737" s="2097"/>
      <c r="I737" s="2097"/>
      <c r="J737" s="2097"/>
    </row>
    <row r="738" spans="2:10">
      <c r="B738" s="12" t="s">
        <v>51</v>
      </c>
      <c r="C738" s="302"/>
      <c r="D738" s="302"/>
      <c r="E738" s="302"/>
      <c r="F738" s="302"/>
      <c r="G738" s="302"/>
      <c r="H738" s="302"/>
      <c r="I738" s="302"/>
      <c r="J738" s="302"/>
    </row>
    <row r="739" spans="2:10">
      <c r="B739" s="302"/>
      <c r="C739" s="302"/>
      <c r="D739" s="302"/>
      <c r="E739" s="302"/>
      <c r="F739" s="302"/>
      <c r="G739" s="302"/>
      <c r="H739" s="302"/>
      <c r="I739" s="302"/>
      <c r="J739" s="302"/>
    </row>
    <row r="740" spans="2:10">
      <c r="B740" s="2117" t="s">
        <v>38</v>
      </c>
      <c r="C740" s="2115" t="s">
        <v>530</v>
      </c>
      <c r="D740" s="2115" t="s">
        <v>24</v>
      </c>
      <c r="E740" s="2115" t="s">
        <v>50</v>
      </c>
      <c r="F740" s="2115" t="s">
        <v>49</v>
      </c>
      <c r="G740" s="2115" t="s">
        <v>48</v>
      </c>
      <c r="H740" s="2115" t="s">
        <v>47</v>
      </c>
      <c r="I740" s="2113"/>
      <c r="J740" s="2113"/>
    </row>
    <row r="741" spans="2:10">
      <c r="B741" s="2116"/>
      <c r="C741" s="2116"/>
      <c r="D741" s="2116"/>
      <c r="E741" s="2116"/>
      <c r="F741" s="2116"/>
      <c r="G741" s="2116"/>
      <c r="H741" s="2116"/>
      <c r="I741" s="2114"/>
      <c r="J741" s="2114"/>
    </row>
    <row r="742" spans="2:10" ht="15" thickBot="1">
      <c r="B742" s="244" t="s">
        <v>486</v>
      </c>
      <c r="C742" s="245">
        <v>0</v>
      </c>
      <c r="D742" s="245">
        <v>0</v>
      </c>
      <c r="E742" s="245">
        <v>0</v>
      </c>
      <c r="F742" s="245">
        <v>0</v>
      </c>
      <c r="G742" s="245">
        <v>0</v>
      </c>
      <c r="H742" s="245">
        <v>0</v>
      </c>
      <c r="I742" s="239"/>
      <c r="J742" s="239"/>
    </row>
    <row r="743" spans="2:10" ht="15" thickTop="1">
      <c r="B743" s="503"/>
      <c r="C743" s="239"/>
      <c r="D743" s="239"/>
      <c r="E743" s="239"/>
      <c r="F743" s="239"/>
      <c r="G743" s="239"/>
      <c r="H743" s="239"/>
      <c r="I743" s="239"/>
      <c r="J743" s="239"/>
    </row>
    <row r="744" spans="2:10">
      <c r="B744" s="2117" t="s">
        <v>38</v>
      </c>
      <c r="C744" s="2117" t="s">
        <v>538</v>
      </c>
      <c r="D744" s="2115" t="s">
        <v>37</v>
      </c>
      <c r="E744" s="2115" t="s">
        <v>8</v>
      </c>
      <c r="F744" s="2115" t="s">
        <v>36</v>
      </c>
      <c r="G744" s="2113"/>
      <c r="H744" s="2113"/>
      <c r="I744" s="2113"/>
      <c r="J744" s="2113"/>
    </row>
    <row r="745" spans="2:10">
      <c r="B745" s="2116"/>
      <c r="C745" s="2116"/>
      <c r="D745" s="2116"/>
      <c r="E745" s="2116"/>
      <c r="F745" s="2116"/>
      <c r="G745" s="2114"/>
      <c r="H745" s="2114"/>
      <c r="I745" s="2114"/>
      <c r="J745" s="2114"/>
    </row>
    <row r="746" spans="2:10" ht="15" thickBot="1">
      <c r="B746" s="244" t="s">
        <v>486</v>
      </c>
      <c r="C746" s="245">
        <v>0</v>
      </c>
      <c r="D746" s="245">
        <v>0</v>
      </c>
      <c r="E746" s="245">
        <v>0</v>
      </c>
      <c r="F746" s="252">
        <v>0</v>
      </c>
      <c r="G746" s="239"/>
      <c r="H746" s="239"/>
      <c r="I746" s="239"/>
      <c r="J746" s="239"/>
    </row>
    <row r="747" spans="2:10" ht="15" thickTop="1">
      <c r="B747" s="2112" t="s">
        <v>1570</v>
      </c>
      <c r="C747" s="2112"/>
      <c r="D747" s="2112"/>
      <c r="E747" s="302"/>
      <c r="F747" s="302"/>
      <c r="G747" s="302"/>
      <c r="H747" s="302"/>
      <c r="I747" s="302"/>
      <c r="J747" s="302"/>
    </row>
    <row r="748" spans="2:10">
      <c r="B748" s="367"/>
      <c r="C748" s="302"/>
      <c r="D748" s="302"/>
      <c r="E748" s="302"/>
      <c r="F748" s="302"/>
      <c r="G748" s="302"/>
      <c r="H748" s="302"/>
      <c r="I748" s="302"/>
      <c r="J748" s="302"/>
    </row>
    <row r="749" spans="2:10">
      <c r="B749" s="302"/>
      <c r="C749" s="302"/>
      <c r="D749" s="302"/>
      <c r="E749" s="302"/>
      <c r="F749" s="302"/>
      <c r="G749" s="302"/>
      <c r="H749" s="302"/>
      <c r="I749" s="302"/>
      <c r="J749" s="302"/>
    </row>
    <row r="750" spans="2:10">
      <c r="B750" s="2097" t="s">
        <v>26</v>
      </c>
      <c r="C750" s="2097"/>
      <c r="D750" s="2097"/>
      <c r="E750" s="2097"/>
      <c r="F750" s="2097"/>
      <c r="G750" s="2097"/>
      <c r="H750" s="2097"/>
      <c r="I750" s="2097"/>
      <c r="J750" s="2097"/>
    </row>
    <row r="751" spans="2:10">
      <c r="B751" s="12" t="s">
        <v>25</v>
      </c>
      <c r="C751" s="302"/>
      <c r="D751" s="302"/>
      <c r="E751" s="302"/>
      <c r="F751" s="302"/>
      <c r="G751" s="302"/>
      <c r="H751" s="302"/>
      <c r="I751" s="302"/>
      <c r="J751" s="302"/>
    </row>
    <row r="752" spans="2:10">
      <c r="B752" s="302"/>
      <c r="C752" s="302"/>
      <c r="D752" s="302"/>
      <c r="E752" s="302"/>
      <c r="F752" s="302"/>
      <c r="G752" s="302"/>
      <c r="H752" s="302"/>
      <c r="I752" s="302"/>
      <c r="J752" s="302"/>
    </row>
    <row r="753" spans="2:10">
      <c r="B753" s="2117" t="s">
        <v>11</v>
      </c>
      <c r="C753" s="2115" t="s">
        <v>541</v>
      </c>
      <c r="D753" s="2115" t="s">
        <v>24</v>
      </c>
      <c r="E753" s="2115" t="s">
        <v>23</v>
      </c>
      <c r="F753" s="2115" t="s">
        <v>22</v>
      </c>
      <c r="G753" s="2115" t="s">
        <v>21</v>
      </c>
      <c r="H753" s="2115" t="s">
        <v>20</v>
      </c>
      <c r="I753" s="2113"/>
      <c r="J753" s="2113"/>
    </row>
    <row r="754" spans="2:10">
      <c r="B754" s="2116"/>
      <c r="C754" s="2116"/>
      <c r="D754" s="2116"/>
      <c r="E754" s="2116"/>
      <c r="F754" s="2116"/>
      <c r="G754" s="2116"/>
      <c r="H754" s="2116"/>
      <c r="I754" s="2114"/>
      <c r="J754" s="2114"/>
    </row>
    <row r="755" spans="2:10" ht="15" thickBot="1">
      <c r="B755" s="244" t="s">
        <v>503</v>
      </c>
      <c r="C755" s="245">
        <v>0</v>
      </c>
      <c r="D755" s="245">
        <v>0</v>
      </c>
      <c r="E755" s="245">
        <v>0</v>
      </c>
      <c r="F755" s="245">
        <v>0</v>
      </c>
      <c r="G755" s="245">
        <v>0</v>
      </c>
      <c r="H755" s="245">
        <v>0</v>
      </c>
      <c r="I755" s="239"/>
      <c r="J755" s="239"/>
    </row>
    <row r="756" spans="2:10" ht="15" thickTop="1">
      <c r="B756" s="503"/>
      <c r="C756" s="239"/>
      <c r="D756" s="239"/>
      <c r="E756" s="239"/>
      <c r="F756" s="574"/>
      <c r="G756" s="517"/>
      <c r="H756" s="239"/>
      <c r="I756" s="239"/>
      <c r="J756" s="239"/>
    </row>
    <row r="757" spans="2:10">
      <c r="B757" s="2117" t="s">
        <v>11</v>
      </c>
      <c r="C757" s="2117" t="s">
        <v>546</v>
      </c>
      <c r="D757" s="2115" t="s">
        <v>10</v>
      </c>
      <c r="E757" s="2115" t="s">
        <v>9</v>
      </c>
      <c r="F757" s="2115" t="s">
        <v>8</v>
      </c>
      <c r="G757" s="2113"/>
      <c r="H757" s="2113"/>
      <c r="I757" s="2113"/>
      <c r="J757" s="2113"/>
    </row>
    <row r="758" spans="2:10">
      <c r="B758" s="2116"/>
      <c r="C758" s="2116"/>
      <c r="D758" s="2116"/>
      <c r="E758" s="2116"/>
      <c r="F758" s="2116"/>
      <c r="G758" s="2114"/>
      <c r="H758" s="2114"/>
      <c r="I758" s="2114"/>
      <c r="J758" s="2114"/>
    </row>
    <row r="759" spans="2:10" ht="15" thickBot="1">
      <c r="B759" s="244" t="s">
        <v>503</v>
      </c>
      <c r="C759" s="245">
        <v>0</v>
      </c>
      <c r="D759" s="245">
        <v>0</v>
      </c>
      <c r="E759" s="245">
        <v>0</v>
      </c>
      <c r="F759" s="245">
        <v>0</v>
      </c>
      <c r="G759" s="517"/>
      <c r="H759" s="239"/>
      <c r="I759" s="239"/>
      <c r="J759" s="239"/>
    </row>
    <row r="760" spans="2:10" ht="15" thickTop="1">
      <c r="B760" s="2112" t="s">
        <v>1570</v>
      </c>
      <c r="C760" s="2112"/>
      <c r="D760" s="2112"/>
      <c r="E760" s="302"/>
      <c r="F760" s="302"/>
      <c r="G760" s="302"/>
      <c r="H760" s="302"/>
      <c r="I760" s="302"/>
      <c r="J760" s="302"/>
    </row>
    <row r="761" spans="2:10">
      <c r="B761" s="367"/>
      <c r="C761" s="302"/>
      <c r="D761" s="302"/>
      <c r="E761" s="302"/>
      <c r="F761" s="302"/>
      <c r="G761" s="302"/>
      <c r="H761" s="302"/>
      <c r="I761" s="302"/>
      <c r="J761" s="302"/>
    </row>
    <row r="762" spans="2:10">
      <c r="B762" s="302"/>
      <c r="C762" s="302"/>
      <c r="D762" s="302"/>
      <c r="E762" s="302"/>
      <c r="F762" s="302"/>
      <c r="G762" s="302"/>
      <c r="H762" s="302"/>
      <c r="I762" s="302"/>
      <c r="J762" s="302"/>
    </row>
    <row r="763" spans="2:10">
      <c r="B763" s="302"/>
      <c r="C763" s="302"/>
      <c r="D763" s="302"/>
      <c r="E763" s="302"/>
      <c r="F763" s="302"/>
      <c r="G763" s="302"/>
      <c r="H763" s="302"/>
      <c r="I763" s="302"/>
      <c r="J763" s="302"/>
    </row>
  </sheetData>
  <mergeCells count="127">
    <mergeCell ref="B2:J2"/>
    <mergeCell ref="B13:J13"/>
    <mergeCell ref="B14:J14"/>
    <mergeCell ref="B16:J16"/>
    <mergeCell ref="B31:J31"/>
    <mergeCell ref="B32:J32"/>
    <mergeCell ref="B81:J81"/>
    <mergeCell ref="B108:J108"/>
    <mergeCell ref="B109:J109"/>
    <mergeCell ref="B111:J111"/>
    <mergeCell ref="B142:J142"/>
    <mergeCell ref="B143:J143"/>
    <mergeCell ref="B34:J34"/>
    <mergeCell ref="B49:J49"/>
    <mergeCell ref="B50:J50"/>
    <mergeCell ref="B52:J52"/>
    <mergeCell ref="B78:J78"/>
    <mergeCell ref="B79:J79"/>
    <mergeCell ref="B278:J278"/>
    <mergeCell ref="B280:J280"/>
    <mergeCell ref="B314:J314"/>
    <mergeCell ref="B315:J315"/>
    <mergeCell ref="B317:J317"/>
    <mergeCell ref="B318:J318"/>
    <mergeCell ref="B145:J145"/>
    <mergeCell ref="B209:J209"/>
    <mergeCell ref="B210:J210"/>
    <mergeCell ref="B213:J213"/>
    <mergeCell ref="B214:J214"/>
    <mergeCell ref="B277:J277"/>
    <mergeCell ref="B390:J390"/>
    <mergeCell ref="B391:J391"/>
    <mergeCell ref="B414:J414"/>
    <mergeCell ref="B415:J415"/>
    <mergeCell ref="B417:J417"/>
    <mergeCell ref="B429:J429"/>
    <mergeCell ref="B333:J333"/>
    <mergeCell ref="B352:J352"/>
    <mergeCell ref="B353:J353"/>
    <mergeCell ref="B355:J355"/>
    <mergeCell ref="B356:J356"/>
    <mergeCell ref="B389:J389"/>
    <mergeCell ref="B465:J465"/>
    <mergeCell ref="B485:J485"/>
    <mergeCell ref="B486:J486"/>
    <mergeCell ref="B488:J488"/>
    <mergeCell ref="B511:J511"/>
    <mergeCell ref="B513:J513"/>
    <mergeCell ref="B432:J432"/>
    <mergeCell ref="B439:J439"/>
    <mergeCell ref="B440:J440"/>
    <mergeCell ref="B442:J442"/>
    <mergeCell ref="B462:J462"/>
    <mergeCell ref="B463:J463"/>
    <mergeCell ref="B654:J654"/>
    <mergeCell ref="B656:J656"/>
    <mergeCell ref="B668:J668"/>
    <mergeCell ref="B669:J669"/>
    <mergeCell ref="B671:J671"/>
    <mergeCell ref="B692:J692"/>
    <mergeCell ref="B562:J562"/>
    <mergeCell ref="B563:J563"/>
    <mergeCell ref="B611:J611"/>
    <mergeCell ref="B613:J613"/>
    <mergeCell ref="B641:J641"/>
    <mergeCell ref="B653:J653"/>
    <mergeCell ref="G720:G721"/>
    <mergeCell ref="H720:H721"/>
    <mergeCell ref="I720:I721"/>
    <mergeCell ref="J720:J721"/>
    <mergeCell ref="B724:B725"/>
    <mergeCell ref="D724:D725"/>
    <mergeCell ref="E724:E725"/>
    <mergeCell ref="F724:F725"/>
    <mergeCell ref="B693:J693"/>
    <mergeCell ref="B694:J694"/>
    <mergeCell ref="B715:J715"/>
    <mergeCell ref="B716:J716"/>
    <mergeCell ref="B717:J717"/>
    <mergeCell ref="B720:B721"/>
    <mergeCell ref="C720:C721"/>
    <mergeCell ref="D720:D721"/>
    <mergeCell ref="E720:E721"/>
    <mergeCell ref="F720:F721"/>
    <mergeCell ref="B727:D727"/>
    <mergeCell ref="B729:J729"/>
    <mergeCell ref="B734:D734"/>
    <mergeCell ref="B737:J737"/>
    <mergeCell ref="B740:B741"/>
    <mergeCell ref="C740:C741"/>
    <mergeCell ref="D740:D741"/>
    <mergeCell ref="E740:E741"/>
    <mergeCell ref="F740:F741"/>
    <mergeCell ref="G740:G741"/>
    <mergeCell ref="H740:H741"/>
    <mergeCell ref="I740:I741"/>
    <mergeCell ref="J740:J741"/>
    <mergeCell ref="B744:B745"/>
    <mergeCell ref="C744:C745"/>
    <mergeCell ref="D744:D745"/>
    <mergeCell ref="E744:E745"/>
    <mergeCell ref="F744:F745"/>
    <mergeCell ref="G744:G745"/>
    <mergeCell ref="H744:H745"/>
    <mergeCell ref="I744:I745"/>
    <mergeCell ref="J744:J745"/>
    <mergeCell ref="B747:D747"/>
    <mergeCell ref="B750:J750"/>
    <mergeCell ref="B753:B754"/>
    <mergeCell ref="C753:C754"/>
    <mergeCell ref="D753:D754"/>
    <mergeCell ref="E753:E754"/>
    <mergeCell ref="F753:F754"/>
    <mergeCell ref="G753:G754"/>
    <mergeCell ref="I757:I758"/>
    <mergeCell ref="J757:J758"/>
    <mergeCell ref="B760:D760"/>
    <mergeCell ref="H753:H754"/>
    <mergeCell ref="I753:I754"/>
    <mergeCell ref="J753:J754"/>
    <mergeCell ref="B757:B758"/>
    <mergeCell ref="C757:C758"/>
    <mergeCell ref="D757:D758"/>
    <mergeCell ref="E757:E758"/>
    <mergeCell ref="F757:F758"/>
    <mergeCell ref="G757:G758"/>
    <mergeCell ref="H757:H758"/>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995A1-2C08-4858-9435-42A5F56A5F89}">
  <dimension ref="B1:O1028"/>
  <sheetViews>
    <sheetView topLeftCell="A892" zoomScaleNormal="100" zoomScaleSheetLayoutView="115" workbookViewId="0">
      <selection activeCell="B907" sqref="B907"/>
    </sheetView>
  </sheetViews>
  <sheetFormatPr baseColWidth="10" defaultColWidth="11.453125" defaultRowHeight="14.5"/>
  <cols>
    <col min="1" max="1" width="5.7265625" customWidth="1"/>
    <col min="2" max="2" width="41.54296875" customWidth="1"/>
    <col min="3" max="3" width="15.26953125" customWidth="1"/>
    <col min="4" max="4" width="14.26953125" customWidth="1"/>
    <col min="5" max="5" width="13.26953125" customWidth="1"/>
    <col min="6" max="6" width="15.7265625" customWidth="1"/>
    <col min="7" max="7" width="16.453125" customWidth="1"/>
    <col min="8" max="8" width="13" customWidth="1"/>
    <col min="11" max="11" width="31.26953125" customWidth="1"/>
  </cols>
  <sheetData>
    <row r="1" spans="2:13">
      <c r="B1" s="302"/>
      <c r="C1" s="302"/>
      <c r="D1" s="302"/>
      <c r="E1" s="302"/>
      <c r="F1" s="302"/>
      <c r="G1" s="302"/>
      <c r="H1" s="302"/>
      <c r="I1" s="302"/>
      <c r="J1" s="302"/>
    </row>
    <row r="2" spans="2:13">
      <c r="B2" s="2097" t="s">
        <v>464</v>
      </c>
      <c r="C2" s="2097"/>
      <c r="D2" s="2097"/>
      <c r="E2" s="2097"/>
      <c r="F2" s="2097"/>
      <c r="G2" s="2097"/>
      <c r="H2" s="2097"/>
      <c r="I2" s="2097"/>
      <c r="J2" s="2097"/>
      <c r="K2" s="849"/>
    </row>
    <row r="3" spans="2:13">
      <c r="B3" s="12" t="s">
        <v>463</v>
      </c>
      <c r="C3" s="302"/>
      <c r="D3" s="302"/>
      <c r="E3" s="302"/>
      <c r="F3" s="302"/>
      <c r="G3" s="302"/>
      <c r="H3" s="302"/>
      <c r="I3" s="302"/>
      <c r="J3" s="302"/>
    </row>
    <row r="4" spans="2:13">
      <c r="B4" s="76"/>
      <c r="C4" s="302"/>
      <c r="D4" s="302"/>
      <c r="E4" s="302"/>
      <c r="F4" s="302"/>
      <c r="G4" s="302"/>
      <c r="H4" s="302"/>
      <c r="I4" s="302"/>
      <c r="J4" s="302"/>
    </row>
    <row r="5" spans="2:13">
      <c r="B5" s="61"/>
      <c r="C5" s="850">
        <v>2014</v>
      </c>
      <c r="D5" s="850">
        <v>2015</v>
      </c>
      <c r="E5" s="850">
        <v>2016</v>
      </c>
      <c r="F5" s="850">
        <v>2017</v>
      </c>
      <c r="G5" s="850">
        <v>2018</v>
      </c>
      <c r="H5" s="850">
        <v>2019</v>
      </c>
      <c r="I5" s="850">
        <v>2020</v>
      </c>
      <c r="J5" s="850">
        <v>2021</v>
      </c>
    </row>
    <row r="6" spans="2:13">
      <c r="B6" s="64" t="s">
        <v>465</v>
      </c>
      <c r="C6" s="307">
        <v>15306.316000000001</v>
      </c>
      <c r="D6" s="307">
        <v>15567.419</v>
      </c>
      <c r="E6" s="307">
        <v>15827.69</v>
      </c>
      <c r="F6" s="307">
        <v>16087.418</v>
      </c>
      <c r="G6" s="307">
        <v>16346.95</v>
      </c>
      <c r="H6" s="307">
        <v>16604.026000000002</v>
      </c>
      <c r="I6" s="307">
        <v>16858.332999999999</v>
      </c>
      <c r="J6" s="307">
        <v>17109.745999999999</v>
      </c>
    </row>
    <row r="7" spans="2:13">
      <c r="B7" s="64" t="s">
        <v>461</v>
      </c>
      <c r="C7" s="307">
        <v>57831.831647472573</v>
      </c>
      <c r="D7" s="307">
        <v>62179.362999999998</v>
      </c>
      <c r="E7" s="307">
        <v>66034.956999999995</v>
      </c>
      <c r="F7" s="307">
        <v>71625.281000000003</v>
      </c>
      <c r="G7" s="307">
        <v>73329.195000000007</v>
      </c>
      <c r="H7" s="307">
        <v>77153.880999999994</v>
      </c>
      <c r="I7" s="307">
        <v>77620.259999999995</v>
      </c>
      <c r="J7" s="307">
        <v>85970.524000000005</v>
      </c>
      <c r="K7" s="849"/>
    </row>
    <row r="8" spans="2:13">
      <c r="B8" s="64" t="s">
        <v>550</v>
      </c>
      <c r="C8" s="307">
        <v>3780.3</v>
      </c>
      <c r="D8" s="307">
        <v>3994.2</v>
      </c>
      <c r="E8" s="307">
        <v>4172.1000000000004</v>
      </c>
      <c r="F8" s="307">
        <v>4452.3</v>
      </c>
      <c r="G8" s="307">
        <v>4485.8</v>
      </c>
      <c r="H8" s="307">
        <v>4646.7</v>
      </c>
      <c r="I8" s="307">
        <v>4604.3</v>
      </c>
      <c r="J8" s="307">
        <v>5024.7</v>
      </c>
      <c r="K8" s="849"/>
    </row>
    <row r="9" spans="2:13">
      <c r="B9" s="64" t="s">
        <v>466</v>
      </c>
      <c r="C9" s="307">
        <v>3.42</v>
      </c>
      <c r="D9" s="307">
        <v>2.39</v>
      </c>
      <c r="E9" s="307">
        <v>4.45</v>
      </c>
      <c r="F9" s="307">
        <v>4.42</v>
      </c>
      <c r="G9" s="307">
        <v>3.75</v>
      </c>
      <c r="H9" s="307">
        <v>3.7</v>
      </c>
      <c r="I9" s="307">
        <v>3.21</v>
      </c>
      <c r="J9" s="307">
        <v>4.26</v>
      </c>
      <c r="K9" s="849"/>
    </row>
    <row r="10" spans="2:13">
      <c r="B10" s="64" t="s">
        <v>467</v>
      </c>
      <c r="C10" s="307"/>
      <c r="D10" s="307"/>
      <c r="E10" s="307"/>
      <c r="F10" s="307"/>
      <c r="G10" s="307"/>
      <c r="H10" s="307"/>
      <c r="I10" s="307"/>
      <c r="J10" s="307"/>
      <c r="K10" s="849"/>
    </row>
    <row r="11" spans="2:13">
      <c r="B11" s="64" t="s">
        <v>468</v>
      </c>
      <c r="C11" s="307">
        <v>7.5967500000000001</v>
      </c>
      <c r="D11" s="307">
        <v>7.6323699999999999</v>
      </c>
      <c r="E11" s="307">
        <v>7.5221299999999998</v>
      </c>
      <c r="F11" s="307">
        <v>7.3447699999999996</v>
      </c>
      <c r="G11" s="307">
        <v>7.7369500000000002</v>
      </c>
      <c r="H11" s="307">
        <v>7.6988399999999997</v>
      </c>
      <c r="I11" s="307">
        <v>7.7938200000000002</v>
      </c>
      <c r="J11" s="307">
        <v>7.7191200000000002</v>
      </c>
      <c r="K11" s="849"/>
    </row>
    <row r="12" spans="2:13" ht="15" thickBot="1">
      <c r="B12" s="64" t="s">
        <v>456</v>
      </c>
      <c r="C12" s="307">
        <v>7.7349500000000004</v>
      </c>
      <c r="D12" s="307">
        <v>7.65564</v>
      </c>
      <c r="E12" s="307">
        <v>7.6020599999999998</v>
      </c>
      <c r="F12" s="307">
        <v>7.3508599999999999</v>
      </c>
      <c r="G12" s="307">
        <v>7.5190799999999998</v>
      </c>
      <c r="H12" s="307">
        <v>7.6983499999999996</v>
      </c>
      <c r="I12" s="307">
        <v>7.7222200000000001</v>
      </c>
      <c r="J12" s="307">
        <v>7.7357700273972601</v>
      </c>
      <c r="K12" s="849"/>
    </row>
    <row r="13" spans="2:13" ht="15" thickTop="1">
      <c r="B13" s="2025" t="s">
        <v>1405</v>
      </c>
      <c r="C13" s="2025"/>
      <c r="D13" s="2025"/>
      <c r="E13" s="2025"/>
      <c r="F13" s="2025"/>
      <c r="G13" s="2025"/>
      <c r="H13" s="2025"/>
      <c r="I13" s="2025"/>
      <c r="J13" s="2025"/>
    </row>
    <row r="14" spans="2:13" ht="32.25" customHeight="1">
      <c r="B14" s="2017" t="s">
        <v>1406</v>
      </c>
      <c r="C14" s="2017"/>
      <c r="D14" s="2017"/>
      <c r="E14" s="2017"/>
      <c r="F14" s="2017"/>
      <c r="G14" s="2017"/>
      <c r="H14" s="2017"/>
      <c r="I14" s="2017"/>
      <c r="J14" s="2017"/>
    </row>
    <row r="15" spans="2:13">
      <c r="B15" s="64"/>
      <c r="C15" s="302"/>
      <c r="D15" s="302"/>
      <c r="E15" s="302"/>
      <c r="F15" s="302"/>
      <c r="G15" s="302"/>
      <c r="H15" s="302"/>
      <c r="I15" s="302"/>
      <c r="J15" s="302"/>
      <c r="M15" s="95"/>
    </row>
    <row r="16" spans="2:13">
      <c r="B16" s="2097" t="s">
        <v>454</v>
      </c>
      <c r="C16" s="2097"/>
      <c r="D16" s="2097"/>
      <c r="E16" s="2097"/>
      <c r="F16" s="2097"/>
      <c r="G16" s="2097"/>
      <c r="H16" s="2097"/>
      <c r="I16" s="2097"/>
      <c r="J16" s="2097"/>
      <c r="M16" s="95"/>
    </row>
    <row r="17" spans="2:13">
      <c r="B17" s="12" t="s">
        <v>453</v>
      </c>
      <c r="C17" s="302"/>
      <c r="D17" s="302"/>
      <c r="E17" s="302"/>
      <c r="F17" s="302"/>
      <c r="G17" s="302"/>
      <c r="H17" s="302"/>
      <c r="I17" s="302"/>
      <c r="J17" s="302"/>
      <c r="M17" s="95"/>
    </row>
    <row r="18" spans="2:13">
      <c r="B18" s="62" t="s">
        <v>242</v>
      </c>
      <c r="C18" s="302"/>
      <c r="D18" s="302"/>
      <c r="E18" s="302"/>
      <c r="F18" s="302"/>
      <c r="G18" s="302"/>
      <c r="H18" s="302"/>
      <c r="I18" s="302"/>
      <c r="J18" s="302"/>
      <c r="M18" s="95"/>
    </row>
    <row r="19" spans="2:13">
      <c r="B19" s="61"/>
      <c r="C19" s="850">
        <v>2014</v>
      </c>
      <c r="D19" s="850">
        <v>2015</v>
      </c>
      <c r="E19" s="850">
        <v>2016</v>
      </c>
      <c r="F19" s="850">
        <v>2017</v>
      </c>
      <c r="G19" s="850">
        <v>2018</v>
      </c>
      <c r="H19" s="850">
        <v>2019</v>
      </c>
      <c r="I19" s="850">
        <v>2020</v>
      </c>
      <c r="J19" s="850">
        <v>2021</v>
      </c>
      <c r="M19" s="95"/>
    </row>
    <row r="20" spans="2:13">
      <c r="B20" s="188" t="s">
        <v>413</v>
      </c>
      <c r="C20" s="260">
        <v>3176.7660000000001</v>
      </c>
      <c r="D20" s="260">
        <v>3556.8110000000001</v>
      </c>
      <c r="E20" s="260">
        <v>3908.0819999999999</v>
      </c>
      <c r="F20" s="260">
        <v>4573.9080000000004</v>
      </c>
      <c r="G20" s="260">
        <v>4914.4430000000002</v>
      </c>
      <c r="H20" s="260">
        <v>5717.0039999999999</v>
      </c>
      <c r="I20" s="260">
        <v>7216.3590000000004</v>
      </c>
      <c r="J20" s="260">
        <v>8215.5609999999997</v>
      </c>
      <c r="K20" s="851"/>
      <c r="M20" s="95"/>
    </row>
    <row r="21" spans="2:13">
      <c r="B21" s="197" t="s">
        <v>452</v>
      </c>
      <c r="C21" s="260">
        <v>0</v>
      </c>
      <c r="D21" s="260"/>
      <c r="E21" s="260"/>
      <c r="F21" s="260"/>
      <c r="G21" s="260"/>
      <c r="H21" s="260"/>
      <c r="I21" s="260"/>
      <c r="J21" s="260"/>
      <c r="K21" s="851"/>
    </row>
    <row r="22" spans="2:13">
      <c r="B22" s="194" t="s">
        <v>379</v>
      </c>
      <c r="C22" s="260">
        <v>0</v>
      </c>
      <c r="D22" s="260"/>
      <c r="E22" s="260"/>
      <c r="F22" s="260"/>
      <c r="G22" s="260"/>
      <c r="H22" s="260"/>
      <c r="I22" s="260"/>
      <c r="J22" s="260"/>
      <c r="K22" s="851"/>
    </row>
    <row r="23" spans="2:13">
      <c r="B23" s="198" t="s">
        <v>451</v>
      </c>
      <c r="C23" s="260">
        <v>5712.6270000000004</v>
      </c>
      <c r="D23" s="260">
        <v>6276.0720000000001</v>
      </c>
      <c r="E23" s="260">
        <v>6663.0730000000003</v>
      </c>
      <c r="F23" s="260">
        <v>7193.3360000000002</v>
      </c>
      <c r="G23" s="260">
        <v>7177.5309999999999</v>
      </c>
      <c r="H23" s="260">
        <v>8072.6189999999997</v>
      </c>
      <c r="I23" s="260">
        <v>9844.4920000000002</v>
      </c>
      <c r="J23" s="260">
        <v>11001.953590564726</v>
      </c>
      <c r="K23" s="851"/>
    </row>
    <row r="24" spans="2:13">
      <c r="B24" s="198" t="s">
        <v>450</v>
      </c>
      <c r="C24" s="260">
        <v>2143.614</v>
      </c>
      <c r="D24" s="260">
        <v>2119.944</v>
      </c>
      <c r="E24" s="260">
        <v>2339.8960000000002</v>
      </c>
      <c r="F24" s="260">
        <v>2555.2199999999998</v>
      </c>
      <c r="G24" s="260">
        <v>2561.0740000000001</v>
      </c>
      <c r="H24" s="260">
        <v>2492.973</v>
      </c>
      <c r="I24" s="260">
        <v>3282.511</v>
      </c>
      <c r="J24" s="260">
        <v>3577.1823731202521</v>
      </c>
      <c r="K24" s="851"/>
    </row>
    <row r="25" spans="2:13">
      <c r="B25" s="197" t="s">
        <v>449</v>
      </c>
      <c r="C25" s="260">
        <v>8889.393</v>
      </c>
      <c r="D25" s="260">
        <v>9833.36</v>
      </c>
      <c r="E25" s="260">
        <v>10571.337</v>
      </c>
      <c r="F25" s="260">
        <v>11767.244000000001</v>
      </c>
      <c r="G25" s="260">
        <v>12091.974</v>
      </c>
      <c r="H25" s="260">
        <v>13789.623</v>
      </c>
      <c r="I25" s="260">
        <v>17060.838</v>
      </c>
      <c r="J25" s="260">
        <v>19217.501476852285</v>
      </c>
      <c r="K25" s="851"/>
    </row>
    <row r="26" spans="2:13">
      <c r="B26" s="197" t="s">
        <v>448</v>
      </c>
      <c r="C26" s="260"/>
      <c r="D26" s="260"/>
      <c r="E26" s="260"/>
      <c r="F26" s="260"/>
      <c r="G26" s="260"/>
      <c r="H26" s="260"/>
      <c r="I26" s="260"/>
      <c r="J26" s="260"/>
      <c r="K26" s="851"/>
    </row>
    <row r="27" spans="2:13">
      <c r="B27" s="195" t="s">
        <v>447</v>
      </c>
      <c r="C27" s="852">
        <v>0</v>
      </c>
      <c r="D27" s="260">
        <v>0</v>
      </c>
      <c r="E27" s="260">
        <v>0</v>
      </c>
      <c r="F27" s="260">
        <v>0</v>
      </c>
      <c r="G27" s="260">
        <v>0</v>
      </c>
      <c r="H27" s="260">
        <v>0</v>
      </c>
      <c r="I27" s="260">
        <v>0</v>
      </c>
      <c r="J27" s="260">
        <v>0</v>
      </c>
      <c r="K27" s="851"/>
    </row>
    <row r="28" spans="2:13">
      <c r="B28" s="195" t="s">
        <v>445</v>
      </c>
      <c r="C28" s="852">
        <v>0</v>
      </c>
      <c r="D28" s="260">
        <v>0</v>
      </c>
      <c r="E28" s="260">
        <v>0</v>
      </c>
      <c r="F28" s="260">
        <v>0</v>
      </c>
      <c r="G28" s="260">
        <v>0</v>
      </c>
      <c r="H28" s="260">
        <v>0</v>
      </c>
      <c r="I28" s="260">
        <v>0</v>
      </c>
      <c r="J28" s="260">
        <v>0</v>
      </c>
      <c r="K28" s="851"/>
    </row>
    <row r="29" spans="2:13">
      <c r="B29" s="195" t="s">
        <v>444</v>
      </c>
      <c r="C29" s="853">
        <v>0</v>
      </c>
      <c r="D29" s="307">
        <v>0</v>
      </c>
      <c r="E29" s="307">
        <v>0</v>
      </c>
      <c r="F29" s="307">
        <v>0</v>
      </c>
      <c r="G29" s="307">
        <v>0</v>
      </c>
      <c r="H29" s="307">
        <v>0</v>
      </c>
      <c r="I29" s="307">
        <v>0</v>
      </c>
      <c r="J29" s="307">
        <v>0</v>
      </c>
      <c r="K29" s="851"/>
    </row>
    <row r="30" spans="2:13" ht="15" thickBot="1">
      <c r="B30" s="196" t="s">
        <v>443</v>
      </c>
      <c r="C30" s="853">
        <v>0</v>
      </c>
      <c r="D30" s="853">
        <v>0</v>
      </c>
      <c r="E30" s="853">
        <v>0</v>
      </c>
      <c r="F30" s="853">
        <v>0</v>
      </c>
      <c r="G30" s="853">
        <v>0</v>
      </c>
      <c r="H30" s="853">
        <v>0</v>
      </c>
      <c r="I30" s="853">
        <v>0</v>
      </c>
      <c r="J30" s="853">
        <v>0</v>
      </c>
      <c r="K30" s="851"/>
    </row>
    <row r="31" spans="2:13" ht="15" thickTop="1">
      <c r="B31" s="2025" t="s">
        <v>1405</v>
      </c>
      <c r="C31" s="2025"/>
      <c r="D31" s="2025"/>
      <c r="E31" s="2025"/>
      <c r="F31" s="2025"/>
      <c r="G31" s="2025"/>
      <c r="H31" s="2025"/>
      <c r="I31" s="2025"/>
      <c r="J31" s="2025"/>
    </row>
    <row r="32" spans="2:13">
      <c r="B32" s="2017"/>
      <c r="C32" s="2017"/>
      <c r="D32" s="2017"/>
      <c r="E32" s="2017"/>
      <c r="F32" s="2017"/>
      <c r="G32" s="2017"/>
      <c r="H32" s="2017"/>
      <c r="I32" s="2017"/>
      <c r="J32" s="2017"/>
    </row>
    <row r="33" spans="2:11">
      <c r="B33" s="64"/>
      <c r="C33" s="302"/>
      <c r="D33" s="302"/>
      <c r="E33" s="302"/>
      <c r="F33" s="302"/>
      <c r="G33" s="302"/>
      <c r="H33" s="302"/>
      <c r="I33" s="302"/>
      <c r="J33" s="302"/>
    </row>
    <row r="34" spans="2:11">
      <c r="B34" s="2097" t="s">
        <v>442</v>
      </c>
      <c r="C34" s="2097"/>
      <c r="D34" s="2097"/>
      <c r="E34" s="2097"/>
      <c r="F34" s="2097"/>
      <c r="G34" s="2097"/>
      <c r="H34" s="2097"/>
      <c r="I34" s="2097"/>
      <c r="J34" s="2097"/>
    </row>
    <row r="35" spans="2:11">
      <c r="B35" s="12" t="s">
        <v>441</v>
      </c>
      <c r="C35" s="302"/>
      <c r="D35" s="302"/>
      <c r="E35" s="302"/>
      <c r="F35" s="302"/>
      <c r="G35" s="302"/>
      <c r="H35" s="302"/>
      <c r="I35" s="302"/>
      <c r="J35" s="302"/>
    </row>
    <row r="36" spans="2:11">
      <c r="B36" s="77" t="s">
        <v>242</v>
      </c>
      <c r="C36" s="302"/>
      <c r="D36" s="302"/>
      <c r="E36" s="302"/>
      <c r="F36" s="302"/>
      <c r="G36" s="302"/>
      <c r="H36" s="302"/>
      <c r="I36" s="302"/>
      <c r="J36" s="302"/>
    </row>
    <row r="37" spans="2:11">
      <c r="B37" s="64"/>
      <c r="C37" s="302"/>
      <c r="D37" s="302"/>
      <c r="E37" s="302"/>
      <c r="F37" s="302"/>
      <c r="G37" s="302"/>
      <c r="H37" s="302"/>
      <c r="I37" s="302"/>
      <c r="J37" s="302"/>
    </row>
    <row r="38" spans="2:11">
      <c r="B38" s="61"/>
      <c r="C38" s="850">
        <v>2014</v>
      </c>
      <c r="D38" s="850">
        <v>2015</v>
      </c>
      <c r="E38" s="850">
        <v>2016</v>
      </c>
      <c r="F38" s="850">
        <v>2017</v>
      </c>
      <c r="G38" s="850">
        <v>2018</v>
      </c>
      <c r="H38" s="850">
        <v>2019</v>
      </c>
      <c r="I38" s="850">
        <v>2020</v>
      </c>
      <c r="J38" s="850">
        <v>2021</v>
      </c>
    </row>
    <row r="39" spans="2:11">
      <c r="B39" s="188" t="s">
        <v>440</v>
      </c>
      <c r="C39" s="307">
        <v>3644.6287671817822</v>
      </c>
      <c r="D39" s="307">
        <v>3706.9707178485328</v>
      </c>
      <c r="E39" s="307">
        <v>5224.0370000000003</v>
      </c>
      <c r="F39" s="307">
        <v>6284.0621285622292</v>
      </c>
      <c r="G39" s="307">
        <v>6315.2739774717429</v>
      </c>
      <c r="H39" s="307">
        <v>6105.8472375981319</v>
      </c>
      <c r="I39" s="307">
        <v>8187.9331382954697</v>
      </c>
      <c r="J39" s="307">
        <v>10493.75236888272</v>
      </c>
      <c r="K39" s="851"/>
    </row>
    <row r="40" spans="2:11">
      <c r="B40" s="195" t="s">
        <v>470</v>
      </c>
      <c r="C40" s="307"/>
      <c r="D40" s="307"/>
      <c r="E40" s="307"/>
      <c r="F40" s="307"/>
      <c r="G40" s="307"/>
      <c r="H40" s="307"/>
      <c r="I40" s="307"/>
      <c r="J40" s="307"/>
      <c r="K40" s="851"/>
    </row>
    <row r="41" spans="2:11">
      <c r="B41" s="150" t="s">
        <v>352</v>
      </c>
      <c r="C41" s="307">
        <v>2733.5527181782281</v>
      </c>
      <c r="D41" s="307">
        <v>3016.3240000000001</v>
      </c>
      <c r="E41" s="307">
        <v>3343.1849999999999</v>
      </c>
      <c r="F41" s="307">
        <v>3665.3666486493116</v>
      </c>
      <c r="G41" s="307">
        <v>3734.9421929830232</v>
      </c>
      <c r="H41" s="307">
        <v>4107.969512290163</v>
      </c>
      <c r="I41" s="307">
        <v>4679.2450941900124</v>
      </c>
      <c r="J41" s="307">
        <v>5195.1517789592599</v>
      </c>
      <c r="K41" s="851"/>
    </row>
    <row r="42" spans="2:11">
      <c r="B42" s="150" t="s">
        <v>351</v>
      </c>
      <c r="C42" s="445">
        <v>599.5</v>
      </c>
      <c r="D42" s="445">
        <v>639.5</v>
      </c>
      <c r="E42" s="445">
        <v>668.58799999999997</v>
      </c>
      <c r="F42" s="445">
        <v>717.3</v>
      </c>
      <c r="G42" s="445">
        <v>789.61099999999999</v>
      </c>
      <c r="H42" s="445">
        <v>815.7</v>
      </c>
      <c r="I42" s="445">
        <v>993.90800000000002</v>
      </c>
      <c r="J42" s="445">
        <v>1157.5530000000001</v>
      </c>
      <c r="K42" s="851"/>
    </row>
    <row r="43" spans="2:11">
      <c r="B43" s="195" t="s">
        <v>471</v>
      </c>
      <c r="C43" s="307"/>
      <c r="D43" s="307"/>
      <c r="E43" s="307"/>
      <c r="F43" s="307"/>
      <c r="G43" s="307"/>
      <c r="H43" s="307"/>
      <c r="I43" s="307"/>
      <c r="J43" s="307"/>
      <c r="K43" s="851"/>
    </row>
    <row r="44" spans="2:11">
      <c r="B44" s="150" t="s">
        <v>352</v>
      </c>
      <c r="C44" s="307">
        <v>30.696327497696455</v>
      </c>
      <c r="D44" s="307">
        <v>51.871000000000002</v>
      </c>
      <c r="E44" s="307">
        <v>50.292999999999999</v>
      </c>
      <c r="F44" s="307">
        <v>100.48401787938892</v>
      </c>
      <c r="G44" s="307">
        <v>78.498762432224154</v>
      </c>
      <c r="H44" s="307">
        <v>75.23211288973414</v>
      </c>
      <c r="I44" s="307">
        <v>89.355412365181422</v>
      </c>
      <c r="J44" s="307">
        <v>103.95511405445215</v>
      </c>
      <c r="K44" s="851"/>
    </row>
    <row r="45" spans="2:11">
      <c r="B45" s="150" t="s">
        <v>351</v>
      </c>
      <c r="C45" s="445">
        <v>110.1</v>
      </c>
      <c r="D45" s="445">
        <v>52.1</v>
      </c>
      <c r="E45" s="445">
        <v>94.876000000000005</v>
      </c>
      <c r="F45" s="445">
        <v>83.746000000000095</v>
      </c>
      <c r="G45" s="445">
        <v>86.65300000000002</v>
      </c>
      <c r="H45" s="445">
        <v>74.399999999999977</v>
      </c>
      <c r="I45" s="445">
        <v>82.050000000000068</v>
      </c>
      <c r="J45" s="445">
        <v>86.092999999999847</v>
      </c>
      <c r="K45" s="851"/>
    </row>
    <row r="46" spans="2:11">
      <c r="B46" s="150"/>
      <c r="C46" s="445"/>
      <c r="D46" s="445"/>
      <c r="E46" s="445"/>
      <c r="F46" s="445"/>
      <c r="G46" s="445"/>
      <c r="H46" s="445"/>
      <c r="I46" s="445"/>
      <c r="J46" s="445"/>
      <c r="K46" s="851"/>
    </row>
    <row r="47" spans="2:11">
      <c r="B47" s="188" t="s">
        <v>437</v>
      </c>
      <c r="C47" s="307">
        <v>0</v>
      </c>
      <c r="D47" s="307">
        <v>0</v>
      </c>
      <c r="E47" s="307">
        <v>0</v>
      </c>
      <c r="F47" s="307">
        <v>0</v>
      </c>
      <c r="G47" s="307">
        <v>0</v>
      </c>
      <c r="H47" s="307">
        <v>0</v>
      </c>
      <c r="I47" s="307">
        <v>0</v>
      </c>
      <c r="J47" s="307">
        <v>0</v>
      </c>
      <c r="K47" s="851"/>
    </row>
    <row r="48" spans="2:11" ht="15" thickBot="1">
      <c r="B48" s="193" t="s">
        <v>436</v>
      </c>
      <c r="C48" s="854">
        <v>270.05396867184413</v>
      </c>
      <c r="D48" s="854">
        <v>268.86799999999999</v>
      </c>
      <c r="E48" s="854">
        <v>272.74200000000002</v>
      </c>
      <c r="F48" s="854">
        <v>279.28716624210159</v>
      </c>
      <c r="G48" s="854">
        <v>265.13031620987601</v>
      </c>
      <c r="H48" s="854">
        <v>266.41675888835204</v>
      </c>
      <c r="I48" s="854">
        <v>263.17005011663088</v>
      </c>
      <c r="J48" s="854">
        <v>265.7168174610577</v>
      </c>
      <c r="K48" s="851"/>
    </row>
    <row r="49" spans="2:11" ht="15" thickTop="1">
      <c r="B49" s="2025" t="s">
        <v>1405</v>
      </c>
      <c r="C49" s="2025"/>
      <c r="D49" s="2025"/>
      <c r="E49" s="2025"/>
      <c r="F49" s="2025"/>
      <c r="G49" s="2025"/>
      <c r="H49" s="2025"/>
      <c r="I49" s="2025"/>
      <c r="J49" s="2025"/>
    </row>
    <row r="50" spans="2:11">
      <c r="B50" s="108"/>
      <c r="C50" s="108"/>
      <c r="D50" s="108"/>
      <c r="E50" s="108"/>
      <c r="F50" s="108"/>
      <c r="G50" s="108"/>
      <c r="H50" s="108"/>
      <c r="I50" s="108"/>
      <c r="J50" s="108"/>
    </row>
    <row r="51" spans="2:11">
      <c r="B51" s="2017"/>
      <c r="C51" s="2017"/>
      <c r="D51" s="2017"/>
      <c r="E51" s="2017"/>
      <c r="F51" s="2017"/>
      <c r="G51" s="2017"/>
      <c r="H51" s="2017"/>
      <c r="I51" s="2017"/>
      <c r="J51" s="2017"/>
    </row>
    <row r="52" spans="2:11">
      <c r="B52" s="64"/>
      <c r="C52" s="302"/>
      <c r="D52" s="302"/>
      <c r="E52" s="302"/>
      <c r="F52" s="302"/>
      <c r="G52" s="302"/>
      <c r="H52" s="302"/>
      <c r="I52" s="302"/>
      <c r="J52" s="302"/>
    </row>
    <row r="53" spans="2:11">
      <c r="B53" s="2097" t="s">
        <v>434</v>
      </c>
      <c r="C53" s="2097"/>
      <c r="D53" s="2097"/>
      <c r="E53" s="2097"/>
      <c r="F53" s="2097"/>
      <c r="G53" s="2097"/>
      <c r="H53" s="2097"/>
      <c r="I53" s="2097"/>
      <c r="J53" s="2097"/>
    </row>
    <row r="54" spans="2:11">
      <c r="B54" s="12" t="s">
        <v>433</v>
      </c>
      <c r="C54" s="302"/>
      <c r="D54" s="302"/>
      <c r="E54" s="302"/>
      <c r="F54" s="302"/>
      <c r="G54" s="302"/>
      <c r="H54" s="302"/>
      <c r="I54" s="302"/>
      <c r="J54" s="302"/>
    </row>
    <row r="55" spans="2:11">
      <c r="B55" s="62" t="s">
        <v>242</v>
      </c>
      <c r="C55" s="302"/>
      <c r="D55" s="302"/>
      <c r="E55" s="302"/>
      <c r="F55" s="302"/>
      <c r="G55" s="302"/>
      <c r="H55" s="302"/>
      <c r="I55" s="302"/>
      <c r="J55" s="302"/>
    </row>
    <row r="56" spans="2:11">
      <c r="B56" s="64"/>
      <c r="C56" s="302"/>
      <c r="D56" s="302"/>
      <c r="E56" s="302"/>
      <c r="F56" s="302"/>
      <c r="G56" s="302"/>
      <c r="H56" s="302"/>
      <c r="I56" s="302"/>
      <c r="J56" s="302"/>
    </row>
    <row r="57" spans="2:11">
      <c r="B57" s="61"/>
      <c r="C57" s="850">
        <v>2014</v>
      </c>
      <c r="D57" s="850">
        <v>2015</v>
      </c>
      <c r="E57" s="850">
        <v>2016</v>
      </c>
      <c r="F57" s="850">
        <v>2017</v>
      </c>
      <c r="G57" s="850">
        <v>2018</v>
      </c>
      <c r="H57" s="850">
        <v>2019</v>
      </c>
      <c r="I57" s="850">
        <v>2020</v>
      </c>
      <c r="J57" s="850">
        <v>2021</v>
      </c>
    </row>
    <row r="58" spans="2:11">
      <c r="B58" s="64" t="s">
        <v>432</v>
      </c>
      <c r="C58" s="305">
        <v>3839.0630000000001</v>
      </c>
      <c r="D58" s="305">
        <v>4364.0569999999998</v>
      </c>
      <c r="E58" s="305">
        <v>4715.9210000000003</v>
      </c>
      <c r="F58" s="305">
        <v>5422.0787732291137</v>
      </c>
      <c r="G58" s="305">
        <v>5713.150143144263</v>
      </c>
      <c r="H58" s="305">
        <v>6622.7738595463743</v>
      </c>
      <c r="I58" s="305">
        <v>8237.4371774072279</v>
      </c>
      <c r="J58" s="305">
        <v>9321.6759999999995</v>
      </c>
      <c r="K58" s="851"/>
    </row>
    <row r="59" spans="2:11">
      <c r="B59" s="62"/>
      <c r="C59" s="305"/>
      <c r="D59" s="305"/>
      <c r="E59" s="305"/>
      <c r="F59" s="305"/>
      <c r="G59" s="305"/>
      <c r="H59" s="305"/>
      <c r="I59" s="305"/>
      <c r="J59" s="305"/>
      <c r="K59" s="851"/>
    </row>
    <row r="60" spans="2:11">
      <c r="B60" s="64" t="s">
        <v>431</v>
      </c>
      <c r="C60" s="326">
        <v>3737.2150000000001</v>
      </c>
      <c r="D60" s="326">
        <v>4252.3270000000002</v>
      </c>
      <c r="E60" s="326">
        <v>4587.53</v>
      </c>
      <c r="F60" s="326">
        <v>5269.361764017116</v>
      </c>
      <c r="G60" s="326">
        <v>5549.1039750806194</v>
      </c>
      <c r="H60" s="326">
        <v>6440.7824296257622</v>
      </c>
      <c r="I60" s="326">
        <v>8039.6417120231163</v>
      </c>
      <c r="J60" s="326">
        <v>9098.2430000000004</v>
      </c>
      <c r="K60" s="851"/>
    </row>
    <row r="61" spans="2:11">
      <c r="B61" s="190" t="s">
        <v>379</v>
      </c>
      <c r="D61" s="305"/>
      <c r="E61" s="305"/>
      <c r="F61" s="305"/>
      <c r="G61" s="305"/>
      <c r="H61" s="305"/>
      <c r="I61" s="305"/>
      <c r="J61" s="305"/>
      <c r="K61" s="851"/>
    </row>
    <row r="62" spans="2:11">
      <c r="B62" s="189" t="s">
        <v>1407</v>
      </c>
      <c r="C62" s="305">
        <v>495.54</v>
      </c>
      <c r="D62" s="305">
        <v>527.91399999999999</v>
      </c>
      <c r="E62" s="305">
        <v>515.70899999999995</v>
      </c>
      <c r="F62" s="305">
        <v>636.65029674176321</v>
      </c>
      <c r="G62" s="305">
        <v>624.99900000000002</v>
      </c>
      <c r="H62" s="305">
        <v>755.78487148713316</v>
      </c>
      <c r="I62" s="305">
        <v>849.17600000000004</v>
      </c>
      <c r="J62" s="305">
        <v>889.00199999999995</v>
      </c>
      <c r="K62" s="851"/>
    </row>
    <row r="63" spans="2:11">
      <c r="B63" s="189" t="s">
        <v>1408</v>
      </c>
      <c r="C63" s="305">
        <v>2833.1439999999998</v>
      </c>
      <c r="D63" s="305">
        <v>3284.5039999999999</v>
      </c>
      <c r="E63" s="305">
        <v>3616.799</v>
      </c>
      <c r="F63" s="305">
        <v>4142.034236606456</v>
      </c>
      <c r="G63" s="305">
        <v>4447.4652156211423</v>
      </c>
      <c r="H63" s="305">
        <v>5160.912682949639</v>
      </c>
      <c r="I63" s="305">
        <v>6626.9328775876274</v>
      </c>
      <c r="J63" s="305">
        <v>7599.56</v>
      </c>
      <c r="K63" s="851"/>
    </row>
    <row r="64" spans="2:11">
      <c r="B64" s="189" t="s">
        <v>1409</v>
      </c>
      <c r="C64" s="305">
        <v>134.27699999999999</v>
      </c>
      <c r="D64" s="305">
        <v>141.208</v>
      </c>
      <c r="E64" s="305">
        <v>143.518</v>
      </c>
      <c r="F64" s="305">
        <v>149.47382967744394</v>
      </c>
      <c r="G64" s="305">
        <v>139.01020427946415</v>
      </c>
      <c r="H64" s="305">
        <v>163.97034488312528</v>
      </c>
      <c r="I64" s="305">
        <v>183.62195944992314</v>
      </c>
      <c r="J64" s="305">
        <v>183.08799999999999</v>
      </c>
      <c r="K64" s="851"/>
    </row>
    <row r="65" spans="2:15">
      <c r="B65" s="189" t="s">
        <v>1410</v>
      </c>
      <c r="C65" s="305">
        <v>106.053</v>
      </c>
      <c r="D65" s="305">
        <v>116.009</v>
      </c>
      <c r="E65" s="305">
        <v>121.678</v>
      </c>
      <c r="F65" s="305">
        <v>134.79891405721349</v>
      </c>
      <c r="G65" s="305">
        <v>136.48996051415611</v>
      </c>
      <c r="H65" s="305">
        <v>146.76</v>
      </c>
      <c r="I65" s="305">
        <v>153.53809043575546</v>
      </c>
      <c r="J65" s="305">
        <v>180.334</v>
      </c>
      <c r="K65" s="851"/>
    </row>
    <row r="66" spans="2:15">
      <c r="B66" s="189" t="s">
        <v>1411</v>
      </c>
      <c r="C66" s="305">
        <v>76.596000000000004</v>
      </c>
      <c r="D66" s="305">
        <v>84.326999999999998</v>
      </c>
      <c r="E66" s="305">
        <v>89.846999999999994</v>
      </c>
      <c r="F66" s="305">
        <v>103.624</v>
      </c>
      <c r="G66" s="305">
        <v>102.21870375277079</v>
      </c>
      <c r="H66" s="305">
        <v>111.175</v>
      </c>
      <c r="I66" s="305">
        <v>120.7418518775132</v>
      </c>
      <c r="J66" s="305">
        <v>131.89699999999999</v>
      </c>
      <c r="K66" s="851"/>
    </row>
    <row r="67" spans="2:15">
      <c r="B67" s="189" t="s">
        <v>1412</v>
      </c>
      <c r="C67" s="305">
        <v>63.234000000000002</v>
      </c>
      <c r="D67" s="305">
        <v>68.790000000000006</v>
      </c>
      <c r="E67" s="305">
        <v>71.962000000000003</v>
      </c>
      <c r="F67" s="305">
        <v>76.362684604146907</v>
      </c>
      <c r="G67" s="305">
        <v>76.177692760066961</v>
      </c>
      <c r="H67" s="305">
        <v>80.605108691699016</v>
      </c>
      <c r="I67" s="305">
        <v>85.070315968292832</v>
      </c>
      <c r="J67" s="305">
        <v>93.900999999999996</v>
      </c>
      <c r="K67" s="851"/>
    </row>
    <row r="68" spans="2:15">
      <c r="B68" s="189" t="s">
        <v>1413</v>
      </c>
      <c r="C68" s="305">
        <v>3.0000000000000001E-3</v>
      </c>
      <c r="D68" s="305">
        <v>3.0000000000000001E-3</v>
      </c>
      <c r="E68" s="305">
        <v>3.0000000000000001E-3</v>
      </c>
      <c r="F68" s="305">
        <v>2.6544057880641598E-3</v>
      </c>
      <c r="G68" s="305">
        <v>2.4557480660983978E-3</v>
      </c>
      <c r="H68" s="305">
        <v>2.5323295457497495E-3</v>
      </c>
      <c r="I68" s="305">
        <v>2.5014691127072473E-3</v>
      </c>
      <c r="J68" s="305">
        <v>2E-3</v>
      </c>
      <c r="K68" s="851"/>
      <c r="N68" s="855"/>
    </row>
    <row r="69" spans="2:15">
      <c r="B69" s="189" t="s">
        <v>1414</v>
      </c>
      <c r="C69" s="305">
        <v>26.39</v>
      </c>
      <c r="D69" s="305">
        <v>27.602</v>
      </c>
      <c r="E69" s="305">
        <v>26.016999999999999</v>
      </c>
      <c r="F69" s="305">
        <v>24.375921778353849</v>
      </c>
      <c r="G69" s="305">
        <v>20.807036364458863</v>
      </c>
      <c r="H69" s="305">
        <v>19.628513516321938</v>
      </c>
      <c r="I69" s="305">
        <v>18.639623188628939</v>
      </c>
      <c r="J69" s="305">
        <v>18.523</v>
      </c>
      <c r="K69" s="851"/>
      <c r="O69" s="855"/>
    </row>
    <row r="70" spans="2:15">
      <c r="B70" s="189" t="s">
        <v>1415</v>
      </c>
      <c r="C70" s="305">
        <v>1.978</v>
      </c>
      <c r="D70" s="305">
        <v>1.97</v>
      </c>
      <c r="E70" s="305">
        <v>1.9970000000000001</v>
      </c>
      <c r="F70" s="305">
        <v>2.0387259914197449</v>
      </c>
      <c r="G70" s="305">
        <v>1.934095476899812</v>
      </c>
      <c r="H70" s="305">
        <v>1.9422698094777915</v>
      </c>
      <c r="I70" s="305">
        <v>1.9179906643982025</v>
      </c>
      <c r="J70" s="305">
        <v>1.9359999999999999</v>
      </c>
      <c r="K70" s="851"/>
    </row>
    <row r="71" spans="2:15">
      <c r="B71" s="190"/>
      <c r="D71" s="326"/>
      <c r="E71" s="326"/>
      <c r="F71" s="326"/>
      <c r="G71" s="326"/>
      <c r="H71" s="326"/>
      <c r="I71" s="326"/>
      <c r="J71" s="326"/>
      <c r="K71" s="851"/>
    </row>
    <row r="72" spans="2:15">
      <c r="B72" s="64" t="s">
        <v>424</v>
      </c>
      <c r="C72" s="326">
        <v>101.848</v>
      </c>
      <c r="D72" s="326">
        <v>111.73</v>
      </c>
      <c r="E72" s="326">
        <v>128.39099999999999</v>
      </c>
      <c r="F72" s="326">
        <v>152.71700921199712</v>
      </c>
      <c r="G72" s="326">
        <v>164.04616806364265</v>
      </c>
      <c r="H72" s="326">
        <v>181.99199999999999</v>
      </c>
      <c r="I72" s="326">
        <v>197.79546538411205</v>
      </c>
      <c r="J72" s="326">
        <v>223.43299999999999</v>
      </c>
      <c r="K72" s="851"/>
    </row>
    <row r="73" spans="2:15">
      <c r="B73" s="190" t="s">
        <v>379</v>
      </c>
      <c r="D73" s="326"/>
      <c r="E73" s="326"/>
      <c r="F73" s="326"/>
      <c r="G73" s="326"/>
      <c r="H73" s="326"/>
      <c r="I73" s="326"/>
      <c r="J73" s="326"/>
      <c r="K73" s="851"/>
    </row>
    <row r="74" spans="2:15">
      <c r="B74" s="189" t="s">
        <v>1416</v>
      </c>
      <c r="C74" s="326">
        <v>52.530999999999999</v>
      </c>
      <c r="D74" s="305">
        <v>59.113</v>
      </c>
      <c r="E74" s="305">
        <v>70.328999999999994</v>
      </c>
      <c r="F74" s="305">
        <v>89.786319925606932</v>
      </c>
      <c r="G74" s="305">
        <v>102.22813899534053</v>
      </c>
      <c r="H74" s="305">
        <v>117.027</v>
      </c>
      <c r="I74" s="305">
        <v>130.32499999999999</v>
      </c>
      <c r="J74" s="305">
        <v>151.4</v>
      </c>
      <c r="K74" s="851"/>
    </row>
    <row r="75" spans="2:15">
      <c r="B75" s="189" t="s">
        <v>1417</v>
      </c>
      <c r="C75" s="305">
        <v>13.451000000000001</v>
      </c>
      <c r="D75" s="326">
        <v>14.387</v>
      </c>
      <c r="E75" s="326">
        <v>16.931999999999999</v>
      </c>
      <c r="F75" s="326">
        <v>18.51956678017147</v>
      </c>
      <c r="G75" s="326">
        <v>18.108169239816725</v>
      </c>
      <c r="H75" s="326">
        <v>18.784109619111454</v>
      </c>
      <c r="I75" s="326">
        <v>19.277000000000001</v>
      </c>
      <c r="J75" s="326">
        <v>20.391999999999999</v>
      </c>
      <c r="K75" s="851"/>
    </row>
    <row r="76" spans="2:15">
      <c r="B76" s="189" t="s">
        <v>1418</v>
      </c>
      <c r="C76" s="326">
        <v>12.191000000000001</v>
      </c>
      <c r="D76" s="305">
        <v>13.092000000000001</v>
      </c>
      <c r="E76" s="305">
        <v>14.552</v>
      </c>
      <c r="F76" s="305">
        <v>16.221307168229909</v>
      </c>
      <c r="G76" s="305">
        <v>15.961328430453861</v>
      </c>
      <c r="H76" s="305">
        <v>17.234000000000002</v>
      </c>
      <c r="I76" s="305">
        <v>18.674157633868887</v>
      </c>
      <c r="J76" s="305">
        <v>20.695</v>
      </c>
      <c r="K76" s="851"/>
    </row>
    <row r="77" spans="2:15">
      <c r="B77" s="189" t="s">
        <v>1419</v>
      </c>
      <c r="C77" s="305">
        <v>12.826000000000001</v>
      </c>
      <c r="D77" s="305">
        <v>13.753</v>
      </c>
      <c r="E77" s="305">
        <v>14.613</v>
      </c>
      <c r="F77" s="305">
        <v>15.523678154659711</v>
      </c>
      <c r="G77" s="305">
        <v>15.300732200673391</v>
      </c>
      <c r="H77" s="305">
        <v>16.003721287882328</v>
      </c>
      <c r="I77" s="305">
        <v>16.380650027842574</v>
      </c>
      <c r="J77" s="305">
        <v>17.222000000000001</v>
      </c>
      <c r="K77" s="851"/>
    </row>
    <row r="78" spans="2:15">
      <c r="B78" s="189" t="s">
        <v>1420</v>
      </c>
      <c r="C78" s="305">
        <v>9.2590000000000003</v>
      </c>
      <c r="D78" s="305">
        <v>9.8030000000000008</v>
      </c>
      <c r="E78" s="305">
        <v>10.36</v>
      </c>
      <c r="F78" s="305">
        <v>11.021919753783985</v>
      </c>
      <c r="G78" s="305">
        <v>10.886977426505275</v>
      </c>
      <c r="H78" s="305">
        <v>11.373904373905681</v>
      </c>
      <c r="I78" s="305">
        <v>11.587849514102199</v>
      </c>
      <c r="J78" s="305">
        <v>12.16</v>
      </c>
      <c r="K78" s="851"/>
    </row>
    <row r="79" spans="2:15">
      <c r="B79" s="189" t="s">
        <v>1421</v>
      </c>
      <c r="C79" s="305">
        <v>8.0000000000000002E-3</v>
      </c>
      <c r="D79" s="305">
        <v>8.0000000000000002E-3</v>
      </c>
      <c r="E79" s="305">
        <v>8.0000000000000002E-3</v>
      </c>
      <c r="F79" s="305">
        <v>8.4211187007898133E-3</v>
      </c>
      <c r="G79" s="305">
        <v>8.0134936893737196E-3</v>
      </c>
      <c r="H79" s="305">
        <v>8.0338310706547997E-3</v>
      </c>
      <c r="I79" s="305">
        <v>7.9359261568781418E-3</v>
      </c>
      <c r="J79" s="305">
        <v>8.0000000000000002E-3</v>
      </c>
      <c r="K79" s="851"/>
    </row>
    <row r="80" spans="2:15">
      <c r="B80" s="189" t="s">
        <v>1422</v>
      </c>
      <c r="C80" s="305">
        <v>1.5780000000000001</v>
      </c>
      <c r="D80" s="305">
        <v>1.57</v>
      </c>
      <c r="E80" s="305">
        <v>1.593</v>
      </c>
      <c r="F80" s="305">
        <v>1.6316723110458191</v>
      </c>
      <c r="G80" s="305">
        <v>1.5489307802170105</v>
      </c>
      <c r="H80" s="305">
        <v>1.5566073616285052</v>
      </c>
      <c r="I80" s="305">
        <v>1.5376340690444481</v>
      </c>
      <c r="J80" s="305">
        <v>1.552</v>
      </c>
      <c r="K80" s="851"/>
    </row>
    <row r="81" spans="2:11">
      <c r="B81" s="189" t="s">
        <v>1423</v>
      </c>
      <c r="C81" s="305">
        <v>4.0000000000000001E-3</v>
      </c>
      <c r="D81" s="305">
        <v>4.0000000000000001E-3</v>
      </c>
      <c r="E81" s="305">
        <v>4.0000000000000001E-3</v>
      </c>
      <c r="F81" s="305">
        <v>4.1239997984960728E-3</v>
      </c>
      <c r="G81" s="305">
        <v>3.8774969464711543E-3</v>
      </c>
      <c r="H81" s="305">
        <v>3.9343368611375225E-3</v>
      </c>
      <c r="I81" s="305">
        <v>3.8863907557526345E-3</v>
      </c>
      <c r="J81" s="305">
        <v>4.0000000000000001E-3</v>
      </c>
      <c r="K81" s="851"/>
    </row>
    <row r="82" spans="2:11">
      <c r="B82" s="62"/>
      <c r="C82" s="305"/>
      <c r="D82" s="305"/>
      <c r="E82" s="305"/>
      <c r="F82" s="305"/>
      <c r="G82" s="305"/>
      <c r="H82" s="305"/>
      <c r="I82" s="305"/>
      <c r="J82" s="305"/>
      <c r="K82" s="851"/>
    </row>
    <row r="83" spans="2:11">
      <c r="B83" s="197" t="s">
        <v>414</v>
      </c>
      <c r="C83" s="307">
        <v>0</v>
      </c>
      <c r="D83" s="307">
        <v>0</v>
      </c>
      <c r="E83" s="307">
        <v>0</v>
      </c>
      <c r="F83" s="307">
        <v>0</v>
      </c>
      <c r="G83" s="307">
        <v>0</v>
      </c>
      <c r="H83" s="307">
        <v>0</v>
      </c>
      <c r="I83" s="307">
        <v>0</v>
      </c>
      <c r="J83" s="307">
        <v>0</v>
      </c>
      <c r="K83" s="851"/>
    </row>
    <row r="84" spans="2:11" ht="15" thickBot="1">
      <c r="B84" s="208" t="s">
        <v>413</v>
      </c>
      <c r="C84" s="307">
        <v>0</v>
      </c>
      <c r="D84" s="307">
        <v>0</v>
      </c>
      <c r="E84" s="307">
        <v>0</v>
      </c>
      <c r="F84" s="307">
        <v>0</v>
      </c>
      <c r="G84" s="307">
        <v>0</v>
      </c>
      <c r="H84" s="307">
        <v>0</v>
      </c>
      <c r="I84" s="307">
        <v>0</v>
      </c>
      <c r="J84" s="307">
        <v>0</v>
      </c>
      <c r="K84" s="851"/>
    </row>
    <row r="85" spans="2:11" ht="15" thickTop="1">
      <c r="B85" s="2025" t="s">
        <v>1405</v>
      </c>
      <c r="C85" s="2025"/>
      <c r="D85" s="2025"/>
      <c r="E85" s="2025"/>
      <c r="F85" s="2025"/>
      <c r="G85" s="2025"/>
      <c r="H85" s="2025"/>
      <c r="I85" s="2025"/>
      <c r="J85" s="2025"/>
    </row>
    <row r="86" spans="2:11">
      <c r="B86" s="2017"/>
      <c r="C86" s="2017"/>
      <c r="D86" s="2017"/>
      <c r="E86" s="2017"/>
      <c r="F86" s="2017"/>
      <c r="G86" s="2017"/>
      <c r="H86" s="2017"/>
      <c r="I86" s="2017"/>
      <c r="J86" s="2017"/>
    </row>
    <row r="87" spans="2:11">
      <c r="B87" s="64"/>
      <c r="C87" s="302"/>
      <c r="D87" s="302"/>
      <c r="E87" s="302"/>
      <c r="F87" s="302"/>
      <c r="G87" s="302"/>
      <c r="H87" s="302"/>
      <c r="I87" s="302"/>
      <c r="J87" s="302"/>
    </row>
    <row r="88" spans="2:11">
      <c r="B88" s="2097" t="s">
        <v>411</v>
      </c>
      <c r="C88" s="2097"/>
      <c r="D88" s="2097"/>
      <c r="E88" s="2097"/>
      <c r="F88" s="2097"/>
      <c r="G88" s="2097"/>
      <c r="H88" s="2097"/>
      <c r="I88" s="2097"/>
      <c r="J88" s="2097"/>
    </row>
    <row r="89" spans="2:11">
      <c r="B89" s="12" t="s">
        <v>410</v>
      </c>
      <c r="C89" s="302"/>
      <c r="D89" s="302"/>
      <c r="E89" s="302"/>
      <c r="F89" s="302"/>
      <c r="G89" s="302"/>
      <c r="H89" s="302"/>
      <c r="I89" s="302"/>
      <c r="J89" s="302"/>
    </row>
    <row r="90" spans="2:11">
      <c r="B90" s="62" t="s">
        <v>409</v>
      </c>
      <c r="C90" s="302"/>
      <c r="D90" s="302"/>
      <c r="E90" s="302"/>
      <c r="F90" s="302"/>
      <c r="G90" s="302"/>
      <c r="H90" s="302"/>
      <c r="I90" s="302"/>
      <c r="J90" s="302"/>
    </row>
    <row r="91" spans="2:11">
      <c r="B91" s="64"/>
      <c r="C91" s="302"/>
      <c r="D91" s="302"/>
      <c r="E91" s="302"/>
      <c r="F91" s="302"/>
      <c r="G91" s="302"/>
      <c r="H91" s="302"/>
      <c r="I91" s="302"/>
      <c r="J91" s="302"/>
    </row>
    <row r="92" spans="2:11">
      <c r="B92" s="61"/>
      <c r="C92" s="850">
        <v>2014</v>
      </c>
      <c r="D92" s="850">
        <v>2015</v>
      </c>
      <c r="E92" s="850">
        <v>2016</v>
      </c>
      <c r="F92" s="850">
        <v>2017</v>
      </c>
      <c r="G92" s="850">
        <v>2018</v>
      </c>
      <c r="H92" s="850">
        <v>2019</v>
      </c>
      <c r="I92" s="850">
        <v>2020</v>
      </c>
      <c r="J92" s="850">
        <v>2021</v>
      </c>
    </row>
    <row r="93" spans="2:11">
      <c r="B93" s="114" t="s">
        <v>262</v>
      </c>
      <c r="C93" s="302"/>
      <c r="D93" s="302"/>
      <c r="E93" s="302"/>
      <c r="F93" s="302"/>
      <c r="G93" s="302"/>
      <c r="H93" s="302"/>
      <c r="I93" s="302"/>
      <c r="J93" s="302"/>
    </row>
    <row r="94" spans="2:11">
      <c r="B94" s="186" t="s">
        <v>408</v>
      </c>
      <c r="C94" s="158">
        <v>1</v>
      </c>
      <c r="D94" s="158">
        <v>1</v>
      </c>
      <c r="E94" s="158">
        <v>1</v>
      </c>
      <c r="F94" s="158">
        <v>1</v>
      </c>
      <c r="G94" s="158">
        <v>1</v>
      </c>
      <c r="H94" s="158">
        <v>1</v>
      </c>
      <c r="I94" s="158">
        <v>1</v>
      </c>
      <c r="J94" s="158">
        <v>1</v>
      </c>
    </row>
    <row r="95" spans="2:11">
      <c r="B95" s="65" t="s">
        <v>407</v>
      </c>
      <c r="C95" s="158">
        <v>146</v>
      </c>
      <c r="D95" s="158">
        <v>143</v>
      </c>
      <c r="E95" s="158">
        <v>143</v>
      </c>
      <c r="F95" s="158">
        <v>144</v>
      </c>
      <c r="G95" s="158">
        <v>137</v>
      </c>
      <c r="H95" s="158">
        <v>138</v>
      </c>
      <c r="I95" s="158">
        <v>132</v>
      </c>
      <c r="J95" s="158">
        <v>132</v>
      </c>
    </row>
    <row r="96" spans="2:11">
      <c r="B96" s="65" t="s">
        <v>406</v>
      </c>
      <c r="C96" s="158">
        <v>170</v>
      </c>
      <c r="D96" s="158">
        <v>169</v>
      </c>
      <c r="E96" s="158">
        <v>171</v>
      </c>
      <c r="F96" s="158">
        <v>154</v>
      </c>
      <c r="G96" s="158">
        <v>152</v>
      </c>
      <c r="H96" s="158">
        <v>154</v>
      </c>
      <c r="I96" s="158">
        <v>153</v>
      </c>
      <c r="J96" s="158">
        <v>154</v>
      </c>
    </row>
    <row r="97" spans="2:11">
      <c r="B97" s="186" t="s">
        <v>401</v>
      </c>
      <c r="C97" s="307">
        <v>3.6445965512702378</v>
      </c>
      <c r="D97" s="307">
        <v>3.7070230607966459</v>
      </c>
      <c r="E97" s="307">
        <v>5.2241425152884871</v>
      </c>
      <c r="F97" s="307">
        <v>6.2840633539239494</v>
      </c>
      <c r="G97" s="307">
        <v>6.3152792767175692</v>
      </c>
      <c r="H97" s="307">
        <v>6.1058549080121169</v>
      </c>
      <c r="I97" s="307">
        <v>8.187933138294186</v>
      </c>
      <c r="J97" s="307">
        <v>10.493752239335574</v>
      </c>
    </row>
    <row r="98" spans="2:11">
      <c r="B98" s="186"/>
      <c r="C98" s="158"/>
      <c r="D98" s="158"/>
      <c r="E98" s="158"/>
      <c r="F98" s="158"/>
      <c r="G98" s="158"/>
      <c r="H98" s="158"/>
      <c r="I98" s="158"/>
      <c r="J98" s="158"/>
    </row>
    <row r="99" spans="2:11">
      <c r="B99" s="114" t="s">
        <v>477</v>
      </c>
      <c r="C99" s="158"/>
      <c r="D99" s="158"/>
      <c r="E99" s="158"/>
      <c r="F99" s="158"/>
      <c r="G99" s="158"/>
      <c r="H99" s="158"/>
      <c r="I99" s="158"/>
      <c r="J99" s="158"/>
    </row>
    <row r="100" spans="2:11">
      <c r="B100" s="186" t="s">
        <v>399</v>
      </c>
      <c r="C100" s="158">
        <v>18</v>
      </c>
      <c r="D100" s="158">
        <v>17</v>
      </c>
      <c r="E100" s="158">
        <v>18</v>
      </c>
      <c r="F100" s="158">
        <v>18</v>
      </c>
      <c r="G100" s="158">
        <v>17</v>
      </c>
      <c r="H100" s="158">
        <v>16</v>
      </c>
      <c r="I100" s="158">
        <v>17</v>
      </c>
      <c r="J100" s="158">
        <v>17</v>
      </c>
    </row>
    <row r="101" spans="2:11">
      <c r="B101" s="186" t="s">
        <v>408</v>
      </c>
      <c r="C101" s="158">
        <v>3474</v>
      </c>
      <c r="D101" s="158">
        <v>3564</v>
      </c>
      <c r="E101" s="158">
        <v>3558</v>
      </c>
      <c r="F101" s="158">
        <v>3572</v>
      </c>
      <c r="G101" s="158">
        <v>2968</v>
      </c>
      <c r="H101" s="158">
        <v>2807</v>
      </c>
      <c r="I101" s="158">
        <v>2731</v>
      </c>
      <c r="J101" s="158">
        <v>2759</v>
      </c>
    </row>
    <row r="102" spans="2:11">
      <c r="B102" s="186" t="s">
        <v>402</v>
      </c>
      <c r="C102" s="158">
        <v>15434814</v>
      </c>
      <c r="D102" s="158">
        <v>16100719</v>
      </c>
      <c r="E102" s="158">
        <v>15823052</v>
      </c>
      <c r="F102" s="158">
        <v>14898875</v>
      </c>
      <c r="G102" s="158">
        <v>13319217</v>
      </c>
      <c r="H102" s="158">
        <v>13102783</v>
      </c>
      <c r="I102" s="158">
        <v>14969473</v>
      </c>
      <c r="J102" s="158">
        <v>13354302</v>
      </c>
    </row>
    <row r="103" spans="2:11">
      <c r="B103" s="186" t="s">
        <v>401</v>
      </c>
      <c r="C103" s="307">
        <v>13.662000000000001</v>
      </c>
      <c r="D103" s="307">
        <v>14.355</v>
      </c>
      <c r="E103" s="307">
        <v>15.747999999999999</v>
      </c>
      <c r="F103" s="307">
        <v>17.474</v>
      </c>
      <c r="G103" s="307">
        <v>18.088999999999999</v>
      </c>
      <c r="H103" s="307">
        <v>19.673999999999999</v>
      </c>
      <c r="I103" s="307">
        <v>23.91</v>
      </c>
      <c r="J103" s="307">
        <v>27.004999999999999</v>
      </c>
      <c r="K103" s="849"/>
    </row>
    <row r="104" spans="2:11">
      <c r="B104" s="186"/>
      <c r="C104" s="158"/>
      <c r="D104" s="158"/>
      <c r="E104" s="158"/>
      <c r="F104" s="158"/>
      <c r="G104" s="158"/>
      <c r="H104" s="158"/>
      <c r="I104" s="158"/>
      <c r="J104" s="158"/>
    </row>
    <row r="105" spans="2:11" ht="26">
      <c r="B105" s="148" t="s">
        <v>404</v>
      </c>
      <c r="C105" s="158"/>
      <c r="D105" s="158"/>
      <c r="E105" s="158"/>
      <c r="F105" s="158"/>
      <c r="G105" s="158"/>
      <c r="H105" s="158"/>
      <c r="I105" s="158"/>
      <c r="J105" s="158"/>
    </row>
    <row r="106" spans="2:11">
      <c r="B106" s="186" t="s">
        <v>399</v>
      </c>
      <c r="C106" s="158">
        <v>0</v>
      </c>
      <c r="D106" s="158">
        <v>0</v>
      </c>
      <c r="E106" s="158">
        <v>0</v>
      </c>
      <c r="F106" s="158">
        <v>0</v>
      </c>
      <c r="G106" s="158">
        <v>0</v>
      </c>
      <c r="H106" s="158">
        <v>0</v>
      </c>
      <c r="I106" s="158">
        <v>0</v>
      </c>
      <c r="J106" s="158">
        <v>0</v>
      </c>
    </row>
    <row r="107" spans="2:11">
      <c r="B107" s="186" t="s">
        <v>408</v>
      </c>
      <c r="C107" s="158">
        <v>0</v>
      </c>
      <c r="D107" s="158">
        <v>0</v>
      </c>
      <c r="E107" s="158">
        <v>0</v>
      </c>
      <c r="F107" s="158">
        <v>0</v>
      </c>
      <c r="G107" s="158">
        <v>0</v>
      </c>
      <c r="H107" s="158">
        <v>0</v>
      </c>
      <c r="I107" s="158">
        <v>0</v>
      </c>
      <c r="J107" s="158">
        <v>0</v>
      </c>
    </row>
    <row r="108" spans="2:11">
      <c r="B108" s="186" t="s">
        <v>402</v>
      </c>
      <c r="C108" s="158">
        <v>0</v>
      </c>
      <c r="D108" s="158">
        <v>0</v>
      </c>
      <c r="E108" s="158">
        <v>0</v>
      </c>
      <c r="F108" s="158">
        <v>0</v>
      </c>
      <c r="G108" s="158">
        <v>0</v>
      </c>
      <c r="H108" s="158">
        <v>0</v>
      </c>
      <c r="I108" s="158">
        <v>0</v>
      </c>
      <c r="J108" s="158">
        <v>0</v>
      </c>
    </row>
    <row r="109" spans="2:11">
      <c r="B109" s="186" t="s">
        <v>401</v>
      </c>
      <c r="C109" s="158">
        <v>0</v>
      </c>
      <c r="D109" s="158">
        <v>0</v>
      </c>
      <c r="E109" s="158">
        <v>0</v>
      </c>
      <c r="F109" s="158">
        <v>0</v>
      </c>
      <c r="G109" s="158">
        <v>0</v>
      </c>
      <c r="H109" s="158">
        <v>0</v>
      </c>
      <c r="I109" s="158">
        <v>0</v>
      </c>
      <c r="J109" s="158">
        <v>0</v>
      </c>
    </row>
    <row r="110" spans="2:11">
      <c r="B110" s="186"/>
      <c r="C110" s="158"/>
      <c r="D110" s="158"/>
      <c r="E110" s="158"/>
      <c r="F110" s="158"/>
      <c r="G110" s="158"/>
      <c r="H110" s="158"/>
      <c r="I110" s="158"/>
      <c r="J110" s="158"/>
    </row>
    <row r="111" spans="2:11">
      <c r="B111" s="114" t="s">
        <v>400</v>
      </c>
      <c r="C111" s="158"/>
      <c r="D111" s="158"/>
      <c r="E111" s="158"/>
      <c r="F111" s="158"/>
      <c r="G111" s="158"/>
      <c r="H111" s="158"/>
      <c r="I111" s="158"/>
      <c r="J111" s="158"/>
    </row>
    <row r="112" spans="2:11">
      <c r="B112" s="186" t="s">
        <v>399</v>
      </c>
      <c r="C112" s="158">
        <v>0</v>
      </c>
      <c r="D112" s="158">
        <v>0</v>
      </c>
      <c r="E112" s="158">
        <v>0</v>
      </c>
      <c r="F112" s="158">
        <v>0</v>
      </c>
      <c r="G112" s="158">
        <v>0</v>
      </c>
      <c r="H112" s="158">
        <v>0</v>
      </c>
      <c r="I112" s="158">
        <v>0</v>
      </c>
      <c r="J112" s="158">
        <v>0</v>
      </c>
    </row>
    <row r="113" spans="2:10">
      <c r="B113" s="186" t="s">
        <v>401</v>
      </c>
      <c r="C113" s="158">
        <v>0</v>
      </c>
      <c r="D113" s="158">
        <v>0</v>
      </c>
      <c r="E113" s="158">
        <v>0</v>
      </c>
      <c r="F113" s="158">
        <v>0</v>
      </c>
      <c r="G113" s="158">
        <v>0</v>
      </c>
      <c r="H113" s="158">
        <v>0</v>
      </c>
      <c r="I113" s="158">
        <v>0</v>
      </c>
      <c r="J113" s="158">
        <v>0</v>
      </c>
    </row>
    <row r="114" spans="2:10" ht="15" thickBot="1">
      <c r="B114" s="183" t="s">
        <v>395</v>
      </c>
      <c r="C114" s="856">
        <v>0</v>
      </c>
      <c r="D114" s="856">
        <v>0</v>
      </c>
      <c r="E114" s="856">
        <v>0</v>
      </c>
      <c r="F114" s="856">
        <v>0</v>
      </c>
      <c r="G114" s="856">
        <v>0</v>
      </c>
      <c r="H114" s="856">
        <v>0</v>
      </c>
      <c r="I114" s="856">
        <v>0</v>
      </c>
      <c r="J114" s="856">
        <v>0</v>
      </c>
    </row>
    <row r="115" spans="2:10" ht="15" thickTop="1">
      <c r="B115" s="2025" t="s">
        <v>1424</v>
      </c>
      <c r="C115" s="2025"/>
      <c r="D115" s="2025"/>
      <c r="E115" s="2025"/>
      <c r="F115" s="2025"/>
      <c r="G115" s="2025"/>
      <c r="H115" s="2025"/>
      <c r="I115" s="2025"/>
      <c r="J115" s="2025"/>
    </row>
    <row r="116" spans="2:10">
      <c r="B116" s="2017"/>
      <c r="C116" s="2017"/>
      <c r="D116" s="2017"/>
      <c r="E116" s="2017"/>
      <c r="F116" s="2017"/>
      <c r="G116" s="2017"/>
      <c r="H116" s="2017"/>
      <c r="I116" s="2017"/>
      <c r="J116" s="2017"/>
    </row>
    <row r="117" spans="2:10">
      <c r="B117" s="64"/>
      <c r="C117" s="302"/>
      <c r="D117" s="302"/>
      <c r="E117" s="302"/>
      <c r="F117" s="302"/>
      <c r="G117" s="302"/>
      <c r="H117" s="302"/>
      <c r="I117" s="302"/>
      <c r="J117" s="302"/>
    </row>
    <row r="118" spans="2:10">
      <c r="B118" s="2097" t="s">
        <v>393</v>
      </c>
      <c r="C118" s="2097"/>
      <c r="D118" s="2097"/>
      <c r="E118" s="2097"/>
      <c r="F118" s="2097"/>
      <c r="G118" s="2097"/>
      <c r="H118" s="2097"/>
      <c r="I118" s="2097"/>
      <c r="J118" s="2097"/>
    </row>
    <row r="119" spans="2:10">
      <c r="B119" s="12" t="s">
        <v>392</v>
      </c>
      <c r="C119" s="302"/>
      <c r="D119" s="302"/>
      <c r="E119" s="302"/>
      <c r="F119" s="302"/>
      <c r="G119" s="302"/>
      <c r="H119" s="302"/>
      <c r="I119" s="302"/>
      <c r="J119" s="302"/>
    </row>
    <row r="120" spans="2:10">
      <c r="B120" s="62" t="s">
        <v>269</v>
      </c>
      <c r="C120" s="302"/>
      <c r="D120" s="302"/>
      <c r="E120" s="302"/>
      <c r="F120" s="302"/>
      <c r="G120" s="302"/>
      <c r="H120" s="302"/>
      <c r="I120" s="302"/>
      <c r="J120" s="302"/>
    </row>
    <row r="121" spans="2:10">
      <c r="B121" s="64"/>
      <c r="C121" s="302"/>
      <c r="D121" s="302"/>
      <c r="E121" s="302"/>
      <c r="F121" s="302"/>
      <c r="G121" s="302"/>
      <c r="H121" s="302"/>
      <c r="I121" s="302"/>
      <c r="J121" s="302"/>
    </row>
    <row r="122" spans="2:10">
      <c r="B122" s="61"/>
      <c r="C122" s="850">
        <v>2014</v>
      </c>
      <c r="D122" s="850">
        <v>2015</v>
      </c>
      <c r="E122" s="850">
        <v>2016</v>
      </c>
      <c r="F122" s="850">
        <v>2017</v>
      </c>
      <c r="G122" s="850">
        <v>2018</v>
      </c>
      <c r="H122" s="850">
        <v>2019</v>
      </c>
      <c r="I122" s="850">
        <v>2020</v>
      </c>
      <c r="J122" s="850">
        <v>2021</v>
      </c>
    </row>
    <row r="123" spans="2:10">
      <c r="B123" s="179" t="s">
        <v>391</v>
      </c>
      <c r="C123" s="302"/>
      <c r="D123" s="302"/>
      <c r="E123" s="302"/>
      <c r="F123" s="302"/>
      <c r="G123" s="302"/>
      <c r="H123" s="302"/>
      <c r="I123" s="302"/>
      <c r="J123" s="302"/>
    </row>
    <row r="124" spans="2:10">
      <c r="B124" s="149" t="s">
        <v>390</v>
      </c>
      <c r="C124" s="158">
        <v>0</v>
      </c>
      <c r="D124" s="158">
        <v>0</v>
      </c>
      <c r="E124" s="158">
        <v>0</v>
      </c>
      <c r="F124" s="158">
        <v>0</v>
      </c>
      <c r="G124" s="158">
        <v>0</v>
      </c>
      <c r="H124" s="158">
        <v>0</v>
      </c>
      <c r="I124" s="158">
        <v>0</v>
      </c>
      <c r="J124" s="158">
        <v>0</v>
      </c>
    </row>
    <row r="125" spans="2:10">
      <c r="B125" s="149" t="s">
        <v>1425</v>
      </c>
      <c r="C125" s="158">
        <v>3041161</v>
      </c>
      <c r="D125" s="158">
        <v>774342</v>
      </c>
      <c r="E125" s="158">
        <v>3482000</v>
      </c>
      <c r="F125" s="158">
        <v>3860000</v>
      </c>
      <c r="G125" s="158">
        <v>4308310</v>
      </c>
      <c r="H125" s="158">
        <v>6035374</v>
      </c>
      <c r="I125" s="158">
        <v>5226964</v>
      </c>
      <c r="J125" s="158">
        <v>3109292</v>
      </c>
    </row>
    <row r="126" spans="2:10">
      <c r="B126" s="149" t="s">
        <v>388</v>
      </c>
      <c r="C126" s="158">
        <v>0</v>
      </c>
      <c r="D126" s="158">
        <v>0</v>
      </c>
      <c r="E126" s="158">
        <v>0</v>
      </c>
      <c r="F126" s="158">
        <v>0</v>
      </c>
      <c r="G126" s="158">
        <v>0</v>
      </c>
      <c r="H126" s="158">
        <v>0</v>
      </c>
      <c r="I126" s="158">
        <v>0</v>
      </c>
      <c r="J126" s="158">
        <v>0</v>
      </c>
    </row>
    <row r="127" spans="2:10">
      <c r="B127" s="149" t="s">
        <v>928</v>
      </c>
      <c r="C127" s="158">
        <v>240199</v>
      </c>
      <c r="D127" s="158">
        <v>177881</v>
      </c>
      <c r="E127" s="158">
        <v>94000</v>
      </c>
      <c r="F127" s="158">
        <v>287000</v>
      </c>
      <c r="G127" s="158">
        <v>705079</v>
      </c>
      <c r="H127" s="158">
        <v>822414</v>
      </c>
      <c r="I127" s="158">
        <v>934563</v>
      </c>
      <c r="J127" s="158">
        <v>988172</v>
      </c>
    </row>
    <row r="128" spans="2:10">
      <c r="B128" s="149" t="s">
        <v>386</v>
      </c>
      <c r="C128" s="158"/>
      <c r="D128" s="158"/>
      <c r="E128" s="158"/>
      <c r="F128" s="158"/>
      <c r="G128" s="158"/>
      <c r="H128" s="158"/>
      <c r="I128" s="158"/>
      <c r="J128" s="158"/>
    </row>
    <row r="129" spans="2:10" ht="26">
      <c r="B129" s="147" t="s">
        <v>385</v>
      </c>
      <c r="C129" s="158">
        <v>0</v>
      </c>
      <c r="D129" s="158">
        <v>0</v>
      </c>
      <c r="E129" s="158">
        <v>0</v>
      </c>
      <c r="F129" s="158">
        <v>0</v>
      </c>
      <c r="G129" s="158">
        <v>0</v>
      </c>
      <c r="H129" s="158">
        <v>0</v>
      </c>
      <c r="I129" s="158">
        <v>0</v>
      </c>
      <c r="J129" s="158">
        <v>0</v>
      </c>
    </row>
    <row r="130" spans="2:10">
      <c r="B130" s="54" t="s">
        <v>384</v>
      </c>
      <c r="C130" s="158"/>
      <c r="D130" s="158"/>
      <c r="E130" s="158"/>
      <c r="F130" s="158"/>
      <c r="G130" s="158"/>
      <c r="H130" s="158"/>
      <c r="I130" s="158"/>
      <c r="J130" s="158"/>
    </row>
    <row r="131" spans="2:10" ht="26">
      <c r="B131" s="147" t="s">
        <v>383</v>
      </c>
      <c r="C131" s="158">
        <v>0</v>
      </c>
      <c r="D131" s="158">
        <v>0</v>
      </c>
      <c r="E131" s="158">
        <v>0</v>
      </c>
      <c r="F131" s="158">
        <v>0</v>
      </c>
      <c r="G131" s="158">
        <v>0</v>
      </c>
      <c r="H131" s="158">
        <v>0</v>
      </c>
      <c r="I131" s="158">
        <v>0</v>
      </c>
      <c r="J131" s="158">
        <v>0</v>
      </c>
    </row>
    <row r="132" spans="2:10">
      <c r="B132" s="149" t="s">
        <v>382</v>
      </c>
      <c r="C132" s="158"/>
      <c r="D132" s="158"/>
      <c r="E132" s="158"/>
      <c r="F132" s="158"/>
      <c r="G132" s="158"/>
      <c r="H132" s="158"/>
      <c r="I132" s="158"/>
      <c r="J132" s="158"/>
    </row>
    <row r="133" spans="2:10">
      <c r="B133" s="149"/>
      <c r="C133" s="158"/>
      <c r="D133" s="158"/>
      <c r="E133" s="158"/>
      <c r="F133" s="158"/>
      <c r="G133" s="158"/>
      <c r="H133" s="158"/>
      <c r="I133" s="158"/>
      <c r="J133" s="158"/>
    </row>
    <row r="134" spans="2:10">
      <c r="B134" s="175" t="s">
        <v>381</v>
      </c>
      <c r="C134" s="158"/>
      <c r="D134" s="158"/>
      <c r="E134" s="158"/>
      <c r="F134" s="158"/>
      <c r="G134" s="158"/>
      <c r="H134" s="158"/>
      <c r="I134" s="158"/>
      <c r="J134" s="158"/>
    </row>
    <row r="135" spans="2:10">
      <c r="B135" s="149" t="s">
        <v>380</v>
      </c>
      <c r="C135" s="158"/>
      <c r="D135" s="158"/>
      <c r="E135" s="158"/>
      <c r="F135" s="158"/>
      <c r="G135" s="158"/>
      <c r="H135" s="158"/>
      <c r="I135" s="158"/>
      <c r="J135" s="158"/>
    </row>
    <row r="136" spans="2:10">
      <c r="B136" s="172" t="s">
        <v>379</v>
      </c>
      <c r="C136" s="158"/>
      <c r="D136" s="158"/>
      <c r="E136" s="158"/>
      <c r="F136" s="158"/>
      <c r="G136" s="158"/>
      <c r="H136" s="158"/>
      <c r="I136" s="158"/>
      <c r="J136" s="158"/>
    </row>
    <row r="137" spans="2:10">
      <c r="B137" s="168" t="s">
        <v>1426</v>
      </c>
      <c r="C137" s="158">
        <v>3407</v>
      </c>
      <c r="D137" s="158">
        <v>3581</v>
      </c>
      <c r="E137" s="158">
        <v>3824</v>
      </c>
      <c r="F137" s="158">
        <v>3961</v>
      </c>
      <c r="G137" s="158">
        <v>3948</v>
      </c>
      <c r="H137" s="158">
        <v>4056</v>
      </c>
      <c r="I137" s="158">
        <v>4055</v>
      </c>
      <c r="J137" s="158">
        <v>4238</v>
      </c>
    </row>
    <row r="138" spans="2:10">
      <c r="B138" s="168" t="s">
        <v>377</v>
      </c>
      <c r="C138" s="158">
        <v>0</v>
      </c>
      <c r="D138" s="158">
        <v>0</v>
      </c>
      <c r="E138" s="158">
        <v>0</v>
      </c>
      <c r="F138" s="158">
        <v>0</v>
      </c>
      <c r="G138" s="158">
        <v>0</v>
      </c>
      <c r="H138" s="158">
        <v>0</v>
      </c>
      <c r="I138" s="158">
        <v>0</v>
      </c>
      <c r="J138" s="158">
        <v>0</v>
      </c>
    </row>
    <row r="139" spans="2:10">
      <c r="B139" s="149" t="s">
        <v>376</v>
      </c>
      <c r="C139" s="158">
        <v>3</v>
      </c>
      <c r="D139" s="158">
        <v>3</v>
      </c>
      <c r="E139" s="158">
        <v>3</v>
      </c>
      <c r="F139" s="158">
        <v>3</v>
      </c>
      <c r="G139" s="158">
        <v>3</v>
      </c>
      <c r="H139" s="158">
        <v>3</v>
      </c>
      <c r="I139" s="158">
        <v>3</v>
      </c>
      <c r="J139" s="158">
        <v>3</v>
      </c>
    </row>
    <row r="140" spans="2:10">
      <c r="B140" s="149"/>
      <c r="C140" s="158"/>
      <c r="D140" s="158"/>
      <c r="E140" s="158"/>
      <c r="F140" s="158"/>
      <c r="G140" s="158"/>
      <c r="H140" s="158"/>
      <c r="I140" s="158"/>
      <c r="J140" s="158"/>
    </row>
    <row r="141" spans="2:10">
      <c r="B141" s="149" t="s">
        <v>375</v>
      </c>
      <c r="C141" s="158">
        <v>0</v>
      </c>
      <c r="D141" s="158">
        <v>0</v>
      </c>
      <c r="E141" s="158">
        <v>0</v>
      </c>
      <c r="F141" s="158">
        <v>0</v>
      </c>
      <c r="G141" s="158">
        <v>0</v>
      </c>
      <c r="H141" s="158">
        <v>0</v>
      </c>
      <c r="I141" s="158">
        <v>0</v>
      </c>
      <c r="J141" s="158">
        <v>0</v>
      </c>
    </row>
    <row r="142" spans="2:10">
      <c r="B142" s="168" t="s">
        <v>374</v>
      </c>
      <c r="C142" s="158"/>
      <c r="D142" s="158"/>
      <c r="E142" s="158"/>
      <c r="F142" s="158"/>
      <c r="G142" s="158"/>
      <c r="H142" s="158"/>
      <c r="I142" s="158"/>
      <c r="J142" s="158"/>
    </row>
    <row r="143" spans="2:10">
      <c r="B143" s="149" t="s">
        <v>478</v>
      </c>
      <c r="C143" s="158">
        <v>0</v>
      </c>
      <c r="D143" s="158">
        <v>0</v>
      </c>
      <c r="E143" s="158">
        <v>0</v>
      </c>
      <c r="F143" s="158">
        <v>0</v>
      </c>
      <c r="G143" s="158">
        <v>0</v>
      </c>
      <c r="H143" s="158">
        <v>0</v>
      </c>
      <c r="I143" s="158">
        <v>0</v>
      </c>
      <c r="J143" s="158">
        <v>0</v>
      </c>
    </row>
    <row r="144" spans="2:10">
      <c r="B144" s="165" t="s">
        <v>373</v>
      </c>
      <c r="C144" s="158">
        <v>0</v>
      </c>
      <c r="D144" s="158">
        <v>0</v>
      </c>
      <c r="E144" s="158">
        <v>0</v>
      </c>
      <c r="F144" s="158">
        <v>0</v>
      </c>
      <c r="G144" s="158">
        <v>0</v>
      </c>
      <c r="H144" s="158">
        <v>0</v>
      </c>
      <c r="I144" s="158">
        <v>0</v>
      </c>
      <c r="J144" s="158">
        <v>0</v>
      </c>
    </row>
    <row r="145" spans="2:10">
      <c r="B145" s="149" t="s">
        <v>372</v>
      </c>
      <c r="C145" s="158">
        <v>0</v>
      </c>
      <c r="D145" s="158">
        <v>0</v>
      </c>
      <c r="E145" s="158">
        <v>0</v>
      </c>
      <c r="F145" s="158">
        <v>0</v>
      </c>
      <c r="G145" s="158">
        <v>0</v>
      </c>
      <c r="H145" s="158">
        <v>0</v>
      </c>
      <c r="I145" s="158">
        <v>0</v>
      </c>
      <c r="J145" s="158">
        <v>0</v>
      </c>
    </row>
    <row r="146" spans="2:10">
      <c r="B146" s="149" t="s">
        <v>371</v>
      </c>
      <c r="C146" s="158">
        <v>0</v>
      </c>
      <c r="D146" s="158">
        <v>0</v>
      </c>
      <c r="E146" s="158">
        <v>0</v>
      </c>
      <c r="F146" s="158">
        <v>0</v>
      </c>
      <c r="G146" s="158">
        <v>0</v>
      </c>
      <c r="H146" s="158">
        <v>0</v>
      </c>
      <c r="I146" s="158">
        <v>0</v>
      </c>
      <c r="J146" s="158">
        <v>0</v>
      </c>
    </row>
    <row r="147" spans="2:10">
      <c r="B147" s="147" t="s">
        <v>370</v>
      </c>
      <c r="C147" s="158">
        <v>0</v>
      </c>
      <c r="D147" s="158">
        <v>0</v>
      </c>
      <c r="E147" s="158">
        <v>0</v>
      </c>
      <c r="F147" s="158">
        <v>0</v>
      </c>
      <c r="G147" s="158">
        <v>0</v>
      </c>
      <c r="H147" s="158">
        <v>0</v>
      </c>
      <c r="I147" s="158">
        <v>0</v>
      </c>
      <c r="J147" s="158">
        <v>0</v>
      </c>
    </row>
    <row r="148" spans="2:10" ht="15" thickBot="1">
      <c r="B148" s="209" t="s">
        <v>369</v>
      </c>
      <c r="C148" s="856">
        <v>0</v>
      </c>
      <c r="D148" s="856">
        <v>0</v>
      </c>
      <c r="E148" s="856">
        <v>0</v>
      </c>
      <c r="F148" s="856">
        <v>0</v>
      </c>
      <c r="G148" s="856">
        <v>0</v>
      </c>
      <c r="H148" s="856">
        <v>0</v>
      </c>
      <c r="I148" s="856">
        <v>0</v>
      </c>
      <c r="J148" s="856">
        <v>0</v>
      </c>
    </row>
    <row r="149" spans="2:10" ht="15" thickTop="1">
      <c r="B149" s="2025" t="s">
        <v>1427</v>
      </c>
      <c r="C149" s="2025"/>
      <c r="D149" s="2025"/>
      <c r="E149" s="2025"/>
      <c r="F149" s="2025"/>
      <c r="G149" s="2025"/>
      <c r="H149" s="2025"/>
      <c r="I149" s="2025"/>
      <c r="J149" s="2025"/>
    </row>
    <row r="150" spans="2:10" ht="45.75" customHeight="1">
      <c r="B150" s="2066" t="s">
        <v>1428</v>
      </c>
      <c r="C150" s="2066"/>
      <c r="D150" s="2066"/>
      <c r="E150" s="2066"/>
      <c r="F150" s="2066"/>
      <c r="G150" s="2066"/>
      <c r="H150" s="2066"/>
      <c r="I150" s="2066"/>
      <c r="J150" s="2066"/>
    </row>
    <row r="151" spans="2:10">
      <c r="B151" s="64"/>
      <c r="C151" s="302"/>
      <c r="D151" s="302"/>
      <c r="E151" s="302"/>
      <c r="F151" s="302"/>
      <c r="G151" s="302"/>
      <c r="H151" s="302"/>
      <c r="I151" s="302"/>
      <c r="J151" s="302"/>
    </row>
    <row r="152" spans="2:10">
      <c r="B152" s="2097" t="s">
        <v>367</v>
      </c>
      <c r="C152" s="2097"/>
      <c r="D152" s="2097"/>
      <c r="E152" s="2097"/>
      <c r="F152" s="2097"/>
      <c r="G152" s="2097"/>
      <c r="H152" s="2097"/>
      <c r="I152" s="2097"/>
      <c r="J152" s="2097"/>
    </row>
    <row r="153" spans="2:10">
      <c r="B153" s="12" t="s">
        <v>366</v>
      </c>
      <c r="C153" s="302"/>
      <c r="D153" s="302"/>
      <c r="E153" s="302"/>
      <c r="F153" s="302"/>
      <c r="G153" s="302"/>
      <c r="H153" s="302"/>
      <c r="I153" s="302"/>
      <c r="J153" s="302"/>
    </row>
    <row r="154" spans="2:10">
      <c r="B154" s="62" t="s">
        <v>210</v>
      </c>
      <c r="C154" s="302"/>
      <c r="D154" s="302"/>
      <c r="E154" s="302"/>
      <c r="F154" s="302"/>
      <c r="G154" s="302"/>
      <c r="H154" s="302"/>
      <c r="I154" s="302"/>
      <c r="J154" s="302"/>
    </row>
    <row r="155" spans="2:10">
      <c r="B155" s="64"/>
      <c r="C155" s="302"/>
      <c r="D155" s="302"/>
      <c r="E155" s="302"/>
      <c r="F155" s="302"/>
      <c r="G155" s="302"/>
      <c r="H155" s="302"/>
      <c r="I155" s="302"/>
      <c r="J155" s="302"/>
    </row>
    <row r="156" spans="2:10">
      <c r="B156" s="61"/>
      <c r="C156" s="850">
        <v>2014</v>
      </c>
      <c r="D156" s="850">
        <v>2015</v>
      </c>
      <c r="E156" s="850">
        <v>2016</v>
      </c>
      <c r="F156" s="850">
        <v>2017</v>
      </c>
      <c r="G156" s="850">
        <v>2018</v>
      </c>
      <c r="H156" s="850">
        <v>2019</v>
      </c>
      <c r="I156" s="850">
        <v>2020</v>
      </c>
      <c r="J156" s="850">
        <v>2021</v>
      </c>
    </row>
    <row r="157" spans="2:10">
      <c r="B157" s="114" t="s">
        <v>362</v>
      </c>
      <c r="C157" s="307"/>
      <c r="D157" s="307"/>
      <c r="E157" s="307"/>
      <c r="F157" s="307"/>
      <c r="G157" s="307"/>
      <c r="H157" s="307"/>
      <c r="I157" s="307"/>
      <c r="J157" s="307"/>
    </row>
    <row r="158" spans="2:10">
      <c r="B158" s="54" t="s">
        <v>361</v>
      </c>
      <c r="C158" s="307">
        <f>C160</f>
        <v>73.819999999999993</v>
      </c>
      <c r="D158" s="307">
        <f t="shared" ref="D158:J158" si="0">D160</f>
        <v>76.134</v>
      </c>
      <c r="E158" s="307">
        <f t="shared" si="0"/>
        <v>83.753</v>
      </c>
      <c r="F158" s="307">
        <f t="shared" si="0"/>
        <v>90.594999999999999</v>
      </c>
      <c r="G158" s="307">
        <f t="shared" si="0"/>
        <v>112.742</v>
      </c>
      <c r="H158" s="307">
        <f t="shared" si="0"/>
        <v>112.815</v>
      </c>
      <c r="I158" s="307">
        <f t="shared" si="0"/>
        <v>100.02200000000001</v>
      </c>
      <c r="J158" s="307">
        <f t="shared" si="0"/>
        <v>80.846000000000004</v>
      </c>
    </row>
    <row r="159" spans="2:10">
      <c r="B159" s="151" t="s">
        <v>360</v>
      </c>
      <c r="C159" s="307">
        <v>0</v>
      </c>
      <c r="D159" s="307">
        <v>0</v>
      </c>
      <c r="E159" s="307">
        <v>0</v>
      </c>
      <c r="F159" s="307">
        <v>0</v>
      </c>
      <c r="G159" s="307">
        <v>0</v>
      </c>
      <c r="H159" s="307">
        <v>0</v>
      </c>
      <c r="I159" s="307">
        <v>0</v>
      </c>
      <c r="J159" s="307">
        <v>0</v>
      </c>
    </row>
    <row r="160" spans="2:10" ht="15">
      <c r="B160" s="151" t="s">
        <v>1429</v>
      </c>
      <c r="C160" s="307">
        <v>73.819999999999993</v>
      </c>
      <c r="D160" s="307">
        <v>76.134</v>
      </c>
      <c r="E160" s="307">
        <v>83.753</v>
      </c>
      <c r="F160" s="307">
        <v>90.594999999999999</v>
      </c>
      <c r="G160" s="307">
        <v>112.742</v>
      </c>
      <c r="H160" s="307">
        <v>112.815</v>
      </c>
      <c r="I160" s="307">
        <v>100.02200000000001</v>
      </c>
      <c r="J160" s="307">
        <v>80.846000000000004</v>
      </c>
    </row>
    <row r="161" spans="2:12">
      <c r="B161" s="152" t="s">
        <v>358</v>
      </c>
      <c r="C161" s="307">
        <v>0</v>
      </c>
      <c r="D161" s="307">
        <v>0</v>
      </c>
      <c r="E161" s="307">
        <v>0</v>
      </c>
      <c r="F161" s="307">
        <v>0</v>
      </c>
      <c r="G161" s="307">
        <v>0</v>
      </c>
      <c r="H161" s="307">
        <v>0</v>
      </c>
      <c r="I161" s="307">
        <v>0</v>
      </c>
      <c r="J161" s="307">
        <v>0</v>
      </c>
    </row>
    <row r="162" spans="2:12">
      <c r="B162" s="71" t="s">
        <v>357</v>
      </c>
      <c r="C162" s="307">
        <f>C163+C165</f>
        <v>97.385999999999996</v>
      </c>
      <c r="D162" s="307">
        <f t="shared" ref="D162:I162" si="1">D163+D165</f>
        <v>113.977</v>
      </c>
      <c r="E162" s="307">
        <f t="shared" si="1"/>
        <v>141.554</v>
      </c>
      <c r="F162" s="307">
        <f t="shared" si="1"/>
        <v>182.31899999999999</v>
      </c>
      <c r="G162" s="307">
        <f t="shared" si="1"/>
        <v>219.19499999999999</v>
      </c>
      <c r="H162" s="307">
        <f t="shared" si="1"/>
        <v>254.625</v>
      </c>
      <c r="I162" s="307">
        <f t="shared" si="1"/>
        <v>231.46700000000001</v>
      </c>
      <c r="J162" s="307">
        <f>J163+J165</f>
        <v>169.25399999999999</v>
      </c>
    </row>
    <row r="163" spans="2:12" ht="15">
      <c r="B163" s="151" t="s">
        <v>1430</v>
      </c>
      <c r="C163" s="307">
        <v>95.542000000000002</v>
      </c>
      <c r="D163" s="307">
        <v>112.524</v>
      </c>
      <c r="E163" s="307">
        <v>140.09800000000001</v>
      </c>
      <c r="F163" s="307">
        <v>180.06899999999999</v>
      </c>
      <c r="G163" s="307">
        <v>216.989</v>
      </c>
      <c r="H163" s="307">
        <v>251.65299999999999</v>
      </c>
      <c r="I163" s="307">
        <v>227.21700000000001</v>
      </c>
      <c r="J163" s="307">
        <v>166.60599999999999</v>
      </c>
    </row>
    <row r="164" spans="2:12" ht="26">
      <c r="B164" s="151" t="s">
        <v>355</v>
      </c>
      <c r="C164" s="307">
        <v>0</v>
      </c>
      <c r="D164" s="307">
        <v>0</v>
      </c>
      <c r="E164" s="307">
        <v>0</v>
      </c>
      <c r="F164" s="307">
        <v>0</v>
      </c>
      <c r="G164" s="307">
        <v>0</v>
      </c>
      <c r="H164" s="307">
        <v>0</v>
      </c>
      <c r="I164" s="307">
        <v>0</v>
      </c>
      <c r="J164" s="307">
        <v>0</v>
      </c>
    </row>
    <row r="165" spans="2:12" ht="15">
      <c r="B165" s="151" t="s">
        <v>1431</v>
      </c>
      <c r="C165" s="307">
        <v>1.8440000000000001</v>
      </c>
      <c r="D165" s="307">
        <v>1.4530000000000001</v>
      </c>
      <c r="E165" s="307">
        <v>1.456</v>
      </c>
      <c r="F165" s="307">
        <v>2.25</v>
      </c>
      <c r="G165" s="307">
        <v>2.206</v>
      </c>
      <c r="H165" s="307">
        <v>2.972</v>
      </c>
      <c r="I165" s="307">
        <v>4.25</v>
      </c>
      <c r="J165" s="307">
        <v>2.6480000000000001</v>
      </c>
    </row>
    <row r="166" spans="2:12">
      <c r="B166" s="71" t="s">
        <v>338</v>
      </c>
      <c r="C166" s="307">
        <v>0</v>
      </c>
      <c r="D166" s="307">
        <v>0</v>
      </c>
      <c r="E166" s="307">
        <v>0</v>
      </c>
      <c r="F166" s="307">
        <v>0</v>
      </c>
      <c r="G166" s="307">
        <v>0</v>
      </c>
      <c r="H166" s="307">
        <v>0</v>
      </c>
      <c r="I166" s="307">
        <v>0</v>
      </c>
      <c r="J166" s="307">
        <v>0</v>
      </c>
    </row>
    <row r="167" spans="2:12">
      <c r="B167" s="71" t="s">
        <v>353</v>
      </c>
      <c r="C167" s="307">
        <f>C168+C169</f>
        <v>21033.563000000002</v>
      </c>
      <c r="D167" s="307">
        <f t="shared" ref="D167:J167" si="2">D168+D169</f>
        <v>20112.550999999999</v>
      </c>
      <c r="E167" s="307">
        <f t="shared" si="2"/>
        <v>18973.442000000003</v>
      </c>
      <c r="F167" s="307">
        <f t="shared" si="2"/>
        <v>17494.065999999999</v>
      </c>
      <c r="G167" s="307">
        <f t="shared" si="2"/>
        <v>16637.524000000001</v>
      </c>
      <c r="H167" s="307">
        <f t="shared" si="2"/>
        <v>15752.826999999999</v>
      </c>
      <c r="I167" s="307">
        <f t="shared" si="2"/>
        <v>11717.408000000001</v>
      </c>
      <c r="J167" s="307">
        <f t="shared" si="2"/>
        <v>11064.026</v>
      </c>
    </row>
    <row r="168" spans="2:12">
      <c r="B168" s="150" t="s">
        <v>352</v>
      </c>
      <c r="C168" s="307">
        <v>20294.060000000001</v>
      </c>
      <c r="D168" s="307">
        <v>19349.181</v>
      </c>
      <c r="E168" s="307">
        <v>18221.758000000002</v>
      </c>
      <c r="F168" s="307">
        <v>16778.196</v>
      </c>
      <c r="G168" s="307">
        <v>15939.53</v>
      </c>
      <c r="H168" s="307">
        <v>15080.829</v>
      </c>
      <c r="I168" s="307">
        <v>11264.289000000001</v>
      </c>
      <c r="J168" s="307">
        <v>10633.573</v>
      </c>
    </row>
    <row r="169" spans="2:12">
      <c r="B169" s="150" t="s">
        <v>351</v>
      </c>
      <c r="C169" s="307">
        <v>739.50300000000004</v>
      </c>
      <c r="D169" s="307">
        <v>763.37</v>
      </c>
      <c r="E169" s="307">
        <v>751.68399999999997</v>
      </c>
      <c r="F169" s="307">
        <v>715.87</v>
      </c>
      <c r="G169" s="307">
        <v>697.99400000000003</v>
      </c>
      <c r="H169" s="307">
        <v>671.99800000000005</v>
      </c>
      <c r="I169" s="307">
        <v>453.11900000000003</v>
      </c>
      <c r="J169" s="307">
        <v>430.45299999999997</v>
      </c>
    </row>
    <row r="170" spans="2:12">
      <c r="B170" s="54" t="s">
        <v>350</v>
      </c>
      <c r="C170" s="307"/>
      <c r="D170" s="307"/>
      <c r="E170" s="307"/>
      <c r="F170" s="307"/>
      <c r="G170" s="307"/>
      <c r="H170" s="307"/>
      <c r="I170" s="307"/>
      <c r="J170" s="307"/>
    </row>
    <row r="171" spans="2:12">
      <c r="B171" s="54"/>
      <c r="C171" s="307"/>
      <c r="D171" s="307"/>
      <c r="E171" s="307"/>
      <c r="F171" s="307"/>
      <c r="G171" s="307"/>
      <c r="H171" s="307"/>
      <c r="I171" s="307"/>
      <c r="J171" s="307"/>
    </row>
    <row r="172" spans="2:12" ht="25">
      <c r="B172" s="54" t="s">
        <v>365</v>
      </c>
      <c r="C172" s="307">
        <f>C158+C162+C167</f>
        <v>21204.769</v>
      </c>
      <c r="D172" s="307">
        <f t="shared" ref="D172:J172" si="3">D158+D162+D167</f>
        <v>20302.662</v>
      </c>
      <c r="E172" s="307">
        <f t="shared" si="3"/>
        <v>19198.749000000003</v>
      </c>
      <c r="F172" s="307">
        <f t="shared" si="3"/>
        <v>17766.98</v>
      </c>
      <c r="G172" s="307">
        <f t="shared" si="3"/>
        <v>16969.461000000003</v>
      </c>
      <c r="H172" s="307">
        <f t="shared" si="3"/>
        <v>16120.267</v>
      </c>
      <c r="I172" s="307">
        <f t="shared" si="3"/>
        <v>12048.897000000001</v>
      </c>
      <c r="J172" s="307">
        <f t="shared" si="3"/>
        <v>11314.126</v>
      </c>
      <c r="L172" s="306"/>
    </row>
    <row r="173" spans="2:12">
      <c r="B173" s="147" t="s">
        <v>348</v>
      </c>
      <c r="C173" s="307"/>
      <c r="D173" s="307"/>
      <c r="E173" s="307"/>
      <c r="F173" s="307"/>
      <c r="G173" s="307"/>
      <c r="H173" s="307"/>
      <c r="I173" s="307"/>
      <c r="J173" s="307"/>
    </row>
    <row r="174" spans="2:12">
      <c r="B174" s="147"/>
      <c r="C174" s="307"/>
      <c r="D174" s="307"/>
      <c r="E174" s="307"/>
      <c r="F174" s="307"/>
      <c r="G174" s="307"/>
      <c r="H174" s="307"/>
      <c r="I174" s="307"/>
      <c r="J174" s="307"/>
    </row>
    <row r="175" spans="2:12">
      <c r="B175" s="54" t="s">
        <v>347</v>
      </c>
      <c r="C175" s="307">
        <v>0</v>
      </c>
      <c r="D175" s="307">
        <v>0</v>
      </c>
      <c r="E175" s="307">
        <v>0</v>
      </c>
      <c r="F175" s="307">
        <v>0</v>
      </c>
      <c r="G175" s="307">
        <v>0</v>
      </c>
      <c r="H175" s="307">
        <v>0</v>
      </c>
      <c r="I175" s="307">
        <v>0</v>
      </c>
      <c r="J175" s="307">
        <v>0</v>
      </c>
    </row>
    <row r="176" spans="2:12">
      <c r="B176" s="54"/>
      <c r="C176" s="307"/>
      <c r="D176" s="307"/>
      <c r="E176" s="307"/>
      <c r="F176" s="307"/>
      <c r="G176" s="307"/>
      <c r="H176" s="307"/>
      <c r="I176" s="307"/>
      <c r="J176" s="307"/>
    </row>
    <row r="177" spans="2:10">
      <c r="B177" s="114" t="s">
        <v>346</v>
      </c>
      <c r="C177" s="307"/>
      <c r="D177" s="307"/>
      <c r="E177" s="307"/>
      <c r="F177" s="307"/>
      <c r="G177" s="307"/>
      <c r="H177" s="307"/>
      <c r="I177" s="307"/>
      <c r="J177" s="307"/>
    </row>
    <row r="178" spans="2:10">
      <c r="B178" s="54" t="s">
        <v>342</v>
      </c>
      <c r="C178" s="307"/>
      <c r="D178" s="307"/>
      <c r="E178" s="307"/>
      <c r="F178" s="307"/>
      <c r="G178" s="307"/>
      <c r="H178" s="307"/>
      <c r="I178" s="307"/>
      <c r="J178" s="307"/>
    </row>
    <row r="179" spans="2:10" ht="15">
      <c r="B179" s="147" t="s">
        <v>1432</v>
      </c>
      <c r="C179" s="307">
        <v>71917.112999999998</v>
      </c>
      <c r="D179" s="307">
        <v>76275.400999999998</v>
      </c>
      <c r="E179" s="307">
        <v>80805.798999999999</v>
      </c>
      <c r="F179" s="307">
        <v>82652.294999999998</v>
      </c>
      <c r="G179" s="307">
        <v>86562.635999999999</v>
      </c>
      <c r="H179" s="307">
        <v>91827.531000000003</v>
      </c>
      <c r="I179" s="307">
        <v>86574.031000000003</v>
      </c>
      <c r="J179" s="307">
        <v>91227.994000000006</v>
      </c>
    </row>
    <row r="180" spans="2:10" ht="15">
      <c r="B180" s="147" t="s">
        <v>1433</v>
      </c>
      <c r="C180" s="307">
        <v>61.713999999999999</v>
      </c>
      <c r="D180" s="307">
        <v>80.087999999999994</v>
      </c>
      <c r="E180" s="307">
        <v>142.93899999999999</v>
      </c>
      <c r="F180" s="307">
        <v>158.70500000000001</v>
      </c>
      <c r="G180" s="307">
        <v>142.36799999999999</v>
      </c>
      <c r="H180" s="307">
        <v>125.997</v>
      </c>
      <c r="I180" s="307">
        <v>96.331000000000003</v>
      </c>
      <c r="J180" s="307">
        <v>86.554000000000002</v>
      </c>
    </row>
    <row r="181" spans="2:10">
      <c r="B181" s="54" t="s">
        <v>339</v>
      </c>
      <c r="C181" s="307"/>
      <c r="D181" s="307"/>
      <c r="E181" s="307"/>
      <c r="F181" s="307"/>
      <c r="G181" s="307"/>
      <c r="H181" s="307"/>
      <c r="I181" s="307"/>
      <c r="J181" s="307"/>
    </row>
    <row r="182" spans="2:10">
      <c r="B182" s="54" t="s">
        <v>338</v>
      </c>
      <c r="C182" s="307"/>
      <c r="D182" s="307"/>
      <c r="E182" s="307"/>
      <c r="F182" s="307"/>
      <c r="G182" s="307"/>
      <c r="H182" s="307"/>
      <c r="I182" s="307"/>
      <c r="J182" s="307"/>
    </row>
    <row r="183" spans="2:10">
      <c r="B183" s="147" t="s">
        <v>337</v>
      </c>
      <c r="C183" s="307">
        <v>0</v>
      </c>
      <c r="D183" s="307">
        <v>0</v>
      </c>
      <c r="E183" s="307">
        <v>0</v>
      </c>
      <c r="F183" s="307">
        <v>0</v>
      </c>
      <c r="G183" s="307">
        <v>0</v>
      </c>
      <c r="H183" s="307">
        <v>0</v>
      </c>
      <c r="I183" s="307">
        <v>0</v>
      </c>
      <c r="J183" s="307">
        <v>0</v>
      </c>
    </row>
    <row r="184" spans="2:10">
      <c r="B184" s="147" t="s">
        <v>336</v>
      </c>
      <c r="C184" s="307">
        <v>0</v>
      </c>
      <c r="D184" s="307">
        <v>0</v>
      </c>
      <c r="E184" s="307">
        <v>0</v>
      </c>
      <c r="F184" s="307">
        <v>0</v>
      </c>
      <c r="G184" s="307">
        <v>0</v>
      </c>
      <c r="H184" s="307">
        <v>0</v>
      </c>
      <c r="I184" s="307">
        <v>0</v>
      </c>
      <c r="J184" s="307">
        <v>0</v>
      </c>
    </row>
    <row r="185" spans="2:10">
      <c r="B185" s="147" t="s">
        <v>335</v>
      </c>
      <c r="C185" s="307">
        <v>0</v>
      </c>
      <c r="D185" s="307">
        <v>0</v>
      </c>
      <c r="E185" s="307">
        <v>0</v>
      </c>
      <c r="F185" s="307">
        <v>0</v>
      </c>
      <c r="G185" s="307">
        <v>0</v>
      </c>
      <c r="H185" s="307">
        <v>0</v>
      </c>
      <c r="I185" s="307">
        <v>0</v>
      </c>
      <c r="J185" s="307">
        <v>0</v>
      </c>
    </row>
    <row r="186" spans="2:10">
      <c r="B186" s="147"/>
      <c r="C186" s="307"/>
      <c r="D186" s="307"/>
      <c r="E186" s="307"/>
      <c r="F186" s="307"/>
      <c r="G186" s="307"/>
      <c r="H186" s="307"/>
      <c r="I186" s="307"/>
      <c r="J186" s="307"/>
    </row>
    <row r="187" spans="2:10" ht="26">
      <c r="B187" s="148" t="s">
        <v>345</v>
      </c>
      <c r="C187" s="307"/>
      <c r="D187" s="307"/>
      <c r="E187" s="307"/>
      <c r="F187" s="307"/>
      <c r="G187" s="307"/>
      <c r="H187" s="307"/>
      <c r="I187" s="307"/>
      <c r="J187" s="307"/>
    </row>
    <row r="188" spans="2:10">
      <c r="B188" s="54" t="s">
        <v>342</v>
      </c>
      <c r="C188" s="307"/>
      <c r="D188" s="307"/>
      <c r="E188" s="307"/>
      <c r="F188" s="307"/>
      <c r="G188" s="307"/>
      <c r="H188" s="307"/>
      <c r="I188" s="307"/>
      <c r="J188" s="307"/>
    </row>
    <row r="189" spans="2:10" ht="15">
      <c r="B189" s="147" t="s">
        <v>1434</v>
      </c>
      <c r="C189" s="307">
        <v>70749.368000000002</v>
      </c>
      <c r="D189" s="307">
        <v>75071.217000000004</v>
      </c>
      <c r="E189" s="307">
        <v>79562.888000000006</v>
      </c>
      <c r="F189" s="307">
        <v>81879.679999999993</v>
      </c>
      <c r="G189" s="307">
        <v>85594.771999999997</v>
      </c>
      <c r="H189" s="307">
        <v>90443.38</v>
      </c>
      <c r="I189" s="307">
        <v>84389.334000000003</v>
      </c>
      <c r="J189" s="307">
        <v>90460.857999999993</v>
      </c>
    </row>
    <row r="190" spans="2:10">
      <c r="B190" s="147" t="s">
        <v>340</v>
      </c>
      <c r="C190" s="307">
        <v>0</v>
      </c>
      <c r="D190" s="307">
        <v>0</v>
      </c>
      <c r="E190" s="307">
        <v>0</v>
      </c>
      <c r="F190" s="307">
        <v>0</v>
      </c>
      <c r="G190" s="307">
        <v>0</v>
      </c>
      <c r="H190" s="307">
        <v>0</v>
      </c>
      <c r="I190" s="307">
        <v>0</v>
      </c>
      <c r="J190" s="307">
        <v>0</v>
      </c>
    </row>
    <row r="191" spans="2:10">
      <c r="B191" s="54" t="s">
        <v>339</v>
      </c>
      <c r="C191" s="307"/>
      <c r="D191" s="307"/>
      <c r="E191" s="307"/>
      <c r="F191" s="307"/>
      <c r="G191" s="307"/>
      <c r="H191" s="307"/>
      <c r="I191" s="307"/>
      <c r="J191" s="307"/>
    </row>
    <row r="192" spans="2:10">
      <c r="B192" s="54" t="s">
        <v>338</v>
      </c>
      <c r="C192" s="307"/>
      <c r="D192" s="307"/>
      <c r="E192" s="307"/>
      <c r="F192" s="307"/>
      <c r="G192" s="307"/>
      <c r="H192" s="307"/>
      <c r="I192" s="307"/>
      <c r="J192" s="307"/>
    </row>
    <row r="193" spans="2:10">
      <c r="B193" s="147" t="s">
        <v>337</v>
      </c>
      <c r="C193" s="307">
        <v>0</v>
      </c>
      <c r="D193" s="307">
        <v>0</v>
      </c>
      <c r="E193" s="307">
        <v>0</v>
      </c>
      <c r="F193" s="307">
        <v>0</v>
      </c>
      <c r="G193" s="307">
        <v>0</v>
      </c>
      <c r="H193" s="307">
        <v>0</v>
      </c>
      <c r="I193" s="307">
        <v>0</v>
      </c>
      <c r="J193" s="307">
        <v>0</v>
      </c>
    </row>
    <row r="194" spans="2:10">
      <c r="B194" s="147" t="s">
        <v>336</v>
      </c>
      <c r="C194" s="307">
        <v>0</v>
      </c>
      <c r="D194" s="307">
        <v>0</v>
      </c>
      <c r="E194" s="307">
        <v>0</v>
      </c>
      <c r="F194" s="307">
        <v>0</v>
      </c>
      <c r="G194" s="307">
        <v>0</v>
      </c>
      <c r="H194" s="307">
        <v>0</v>
      </c>
      <c r="I194" s="307">
        <v>0</v>
      </c>
      <c r="J194" s="307">
        <v>0</v>
      </c>
    </row>
    <row r="195" spans="2:10">
      <c r="B195" s="147" t="s">
        <v>335</v>
      </c>
      <c r="C195" s="307">
        <v>0</v>
      </c>
      <c r="D195" s="307">
        <v>0</v>
      </c>
      <c r="E195" s="307">
        <v>0</v>
      </c>
      <c r="F195" s="307">
        <v>0</v>
      </c>
      <c r="G195" s="307">
        <v>0</v>
      </c>
      <c r="H195" s="307">
        <v>0</v>
      </c>
      <c r="I195" s="307">
        <v>0</v>
      </c>
      <c r="J195" s="307">
        <v>0</v>
      </c>
    </row>
    <row r="196" spans="2:10">
      <c r="B196" s="147"/>
      <c r="C196" s="307"/>
      <c r="D196" s="307"/>
      <c r="E196" s="307"/>
      <c r="F196" s="307"/>
      <c r="G196" s="307"/>
      <c r="H196" s="307"/>
      <c r="I196" s="307"/>
      <c r="J196" s="307"/>
    </row>
    <row r="197" spans="2:10" ht="26">
      <c r="B197" s="148" t="s">
        <v>344</v>
      </c>
      <c r="C197" s="307"/>
      <c r="D197" s="307"/>
      <c r="E197" s="307"/>
      <c r="F197" s="307"/>
      <c r="G197" s="307"/>
      <c r="H197" s="307"/>
      <c r="I197" s="307"/>
      <c r="J197" s="307"/>
    </row>
    <row r="198" spans="2:10">
      <c r="B198" s="54" t="s">
        <v>342</v>
      </c>
      <c r="C198" s="307"/>
      <c r="D198" s="307"/>
      <c r="E198" s="307"/>
      <c r="F198" s="307"/>
      <c r="G198" s="307"/>
      <c r="H198" s="307"/>
      <c r="I198" s="307"/>
      <c r="J198" s="307"/>
    </row>
    <row r="199" spans="2:10">
      <c r="B199" s="147" t="s">
        <v>341</v>
      </c>
      <c r="C199" s="307">
        <v>982.32299999999998</v>
      </c>
      <c r="D199" s="307">
        <v>964.70299999999997</v>
      </c>
      <c r="E199" s="307">
        <v>922.22199999999998</v>
      </c>
      <c r="F199" s="307">
        <v>722.61699999999996</v>
      </c>
      <c r="G199" s="307">
        <v>967.86400000000003</v>
      </c>
      <c r="H199" s="307">
        <v>962.75099999999998</v>
      </c>
      <c r="I199" s="307">
        <v>559.33500000000004</v>
      </c>
      <c r="J199" s="307">
        <v>749.46900000000005</v>
      </c>
    </row>
    <row r="200" spans="2:10">
      <c r="B200" s="147" t="s">
        <v>340</v>
      </c>
      <c r="C200" s="307">
        <v>0</v>
      </c>
      <c r="D200" s="307">
        <v>0</v>
      </c>
      <c r="E200" s="307">
        <v>0</v>
      </c>
      <c r="F200" s="307">
        <v>0</v>
      </c>
      <c r="G200" s="307">
        <v>0</v>
      </c>
      <c r="H200" s="307">
        <v>0</v>
      </c>
      <c r="I200" s="307">
        <v>0</v>
      </c>
      <c r="J200" s="307">
        <v>0</v>
      </c>
    </row>
    <row r="201" spans="2:10">
      <c r="B201" s="54" t="s">
        <v>339</v>
      </c>
      <c r="C201" s="307"/>
      <c r="D201" s="307"/>
      <c r="E201" s="307"/>
      <c r="F201" s="307"/>
      <c r="G201" s="307"/>
      <c r="H201" s="307"/>
      <c r="I201" s="307"/>
      <c r="J201" s="307"/>
    </row>
    <row r="202" spans="2:10">
      <c r="B202" s="54" t="s">
        <v>338</v>
      </c>
      <c r="C202" s="307"/>
      <c r="D202" s="307"/>
      <c r="E202" s="307"/>
      <c r="F202" s="307"/>
      <c r="G202" s="307"/>
      <c r="H202" s="307"/>
      <c r="I202" s="307"/>
      <c r="J202" s="307"/>
    </row>
    <row r="203" spans="2:10">
      <c r="B203" s="147" t="s">
        <v>337</v>
      </c>
      <c r="C203" s="307">
        <v>0</v>
      </c>
      <c r="D203" s="307">
        <v>0</v>
      </c>
      <c r="E203" s="307">
        <v>0</v>
      </c>
      <c r="F203" s="307">
        <v>0</v>
      </c>
      <c r="G203" s="307">
        <v>0</v>
      </c>
      <c r="H203" s="307">
        <v>0</v>
      </c>
      <c r="I203" s="307">
        <v>0</v>
      </c>
      <c r="J203" s="307">
        <v>0</v>
      </c>
    </row>
    <row r="204" spans="2:10">
      <c r="B204" s="147" t="s">
        <v>336</v>
      </c>
      <c r="C204" s="307">
        <v>0</v>
      </c>
      <c r="D204" s="307">
        <v>0</v>
      </c>
      <c r="E204" s="307">
        <v>0</v>
      </c>
      <c r="F204" s="307">
        <v>0</v>
      </c>
      <c r="G204" s="307">
        <v>0</v>
      </c>
      <c r="H204" s="307">
        <v>0</v>
      </c>
      <c r="I204" s="307">
        <v>0</v>
      </c>
      <c r="J204" s="307">
        <v>0</v>
      </c>
    </row>
    <row r="205" spans="2:10">
      <c r="B205" s="147" t="s">
        <v>335</v>
      </c>
      <c r="C205" s="307">
        <v>0</v>
      </c>
      <c r="D205" s="307">
        <v>0</v>
      </c>
      <c r="E205" s="307">
        <v>0</v>
      </c>
      <c r="F205" s="307">
        <v>0</v>
      </c>
      <c r="G205" s="307">
        <v>0</v>
      </c>
      <c r="H205" s="307">
        <v>0</v>
      </c>
      <c r="I205" s="307">
        <v>0</v>
      </c>
      <c r="J205" s="307">
        <v>0</v>
      </c>
    </row>
    <row r="206" spans="2:10">
      <c r="B206" s="147"/>
      <c r="C206" s="307"/>
      <c r="D206" s="307"/>
      <c r="E206" s="307"/>
      <c r="F206" s="307"/>
      <c r="G206" s="307"/>
      <c r="H206" s="307"/>
      <c r="I206" s="307"/>
      <c r="J206" s="307"/>
    </row>
    <row r="207" spans="2:10" ht="26">
      <c r="B207" s="148" t="s">
        <v>343</v>
      </c>
      <c r="C207" s="326"/>
      <c r="D207" s="326"/>
      <c r="E207" s="326"/>
      <c r="F207" s="326"/>
      <c r="G207" s="326"/>
      <c r="H207" s="326"/>
      <c r="I207" s="326"/>
      <c r="J207" s="326"/>
    </row>
    <row r="208" spans="2:10">
      <c r="B208" s="54" t="s">
        <v>342</v>
      </c>
      <c r="C208" s="307"/>
      <c r="D208" s="307"/>
      <c r="E208" s="307"/>
      <c r="F208" s="307"/>
      <c r="G208" s="307"/>
      <c r="H208" s="307"/>
      <c r="I208" s="307"/>
      <c r="J208" s="307"/>
    </row>
    <row r="209" spans="2:11">
      <c r="B209" s="147" t="s">
        <v>341</v>
      </c>
      <c r="C209" s="307">
        <v>204.67699999999999</v>
      </c>
      <c r="D209" s="307">
        <v>239.48099999999999</v>
      </c>
      <c r="E209" s="307">
        <v>320.68900000000002</v>
      </c>
      <c r="F209" s="307">
        <v>282.572</v>
      </c>
      <c r="G209" s="307">
        <v>392.45</v>
      </c>
      <c r="H209" s="307">
        <v>421.4</v>
      </c>
      <c r="I209" s="307">
        <v>1625.3620000000001</v>
      </c>
      <c r="J209" s="307">
        <v>565.06200000000001</v>
      </c>
    </row>
    <row r="210" spans="2:11">
      <c r="B210" s="147" t="s">
        <v>340</v>
      </c>
      <c r="C210" s="307">
        <v>0</v>
      </c>
      <c r="D210" s="306">
        <v>0</v>
      </c>
      <c r="E210" s="306">
        <v>0</v>
      </c>
      <c r="F210" s="306">
        <v>0</v>
      </c>
      <c r="G210" s="306">
        <v>0</v>
      </c>
      <c r="H210" s="306">
        <v>0</v>
      </c>
      <c r="I210" s="306">
        <v>0</v>
      </c>
      <c r="J210" s="306">
        <v>0</v>
      </c>
    </row>
    <row r="211" spans="2:11">
      <c r="B211" s="54" t="s">
        <v>339</v>
      </c>
      <c r="C211" s="307"/>
      <c r="D211" s="306"/>
      <c r="E211" s="306"/>
      <c r="F211" s="306"/>
      <c r="G211" s="306"/>
      <c r="H211" s="306"/>
      <c r="I211" s="306"/>
      <c r="J211" s="306"/>
    </row>
    <row r="212" spans="2:11">
      <c r="B212" s="54" t="s">
        <v>338</v>
      </c>
      <c r="C212" s="307"/>
      <c r="D212" s="306"/>
      <c r="E212" s="306"/>
      <c r="F212" s="306"/>
      <c r="G212" s="306"/>
      <c r="H212" s="306"/>
      <c r="I212" s="306"/>
      <c r="J212" s="306"/>
    </row>
    <row r="213" spans="2:11">
      <c r="B213" s="147" t="s">
        <v>337</v>
      </c>
      <c r="C213" s="307">
        <v>0</v>
      </c>
      <c r="D213" s="306">
        <v>0</v>
      </c>
      <c r="E213" s="306">
        <v>0</v>
      </c>
      <c r="F213" s="306">
        <v>0</v>
      </c>
      <c r="G213" s="306">
        <v>0</v>
      </c>
      <c r="H213" s="306">
        <v>0</v>
      </c>
      <c r="I213" s="306">
        <v>0</v>
      </c>
      <c r="J213" s="306">
        <v>0</v>
      </c>
    </row>
    <row r="214" spans="2:11">
      <c r="B214" s="147" t="s">
        <v>336</v>
      </c>
      <c r="C214" s="307">
        <v>0</v>
      </c>
      <c r="D214" s="306">
        <v>0</v>
      </c>
      <c r="E214" s="306">
        <v>0</v>
      </c>
      <c r="F214" s="306">
        <v>0</v>
      </c>
      <c r="G214" s="306">
        <v>0</v>
      </c>
      <c r="H214" s="306">
        <v>0</v>
      </c>
      <c r="I214" s="306">
        <v>0</v>
      </c>
      <c r="J214" s="306">
        <v>0</v>
      </c>
    </row>
    <row r="215" spans="2:11" ht="15" thickBot="1">
      <c r="B215" s="146" t="s">
        <v>335</v>
      </c>
      <c r="C215" s="857">
        <v>0</v>
      </c>
      <c r="D215" s="312">
        <v>0</v>
      </c>
      <c r="E215" s="312">
        <v>0</v>
      </c>
      <c r="F215" s="312">
        <v>0</v>
      </c>
      <c r="G215" s="312">
        <v>0</v>
      </c>
      <c r="H215" s="312">
        <v>0</v>
      </c>
      <c r="I215" s="312">
        <v>0</v>
      </c>
      <c r="J215" s="312">
        <v>0</v>
      </c>
    </row>
    <row r="216" spans="2:11" ht="15" thickTop="1">
      <c r="B216" s="2025" t="s">
        <v>1435</v>
      </c>
      <c r="C216" s="2025"/>
      <c r="D216" s="2025"/>
      <c r="E216" s="2025"/>
      <c r="F216" s="2025"/>
      <c r="G216" s="2025"/>
      <c r="H216" s="2025"/>
      <c r="I216" s="2025"/>
      <c r="J216" s="2025"/>
    </row>
    <row r="217" spans="2:11" ht="42" customHeight="1">
      <c r="B217" s="2066" t="s">
        <v>1436</v>
      </c>
      <c r="C217" s="2066"/>
      <c r="D217" s="2066"/>
      <c r="E217" s="2066"/>
      <c r="F217" s="2066"/>
      <c r="G217" s="2066"/>
      <c r="H217" s="2066"/>
      <c r="I217" s="2066"/>
      <c r="J217" s="2066"/>
    </row>
    <row r="218" spans="2:11">
      <c r="B218" s="64"/>
      <c r="C218" s="302"/>
      <c r="D218" s="302"/>
      <c r="E218" s="302"/>
      <c r="F218" s="302"/>
      <c r="G218" s="302"/>
      <c r="H218" s="302"/>
      <c r="I218" s="302"/>
      <c r="J218" s="302"/>
    </row>
    <row r="219" spans="2:11">
      <c r="B219" s="2097" t="s">
        <v>364</v>
      </c>
      <c r="C219" s="2097"/>
      <c r="D219" s="2097"/>
      <c r="E219" s="2097"/>
      <c r="F219" s="2097"/>
      <c r="G219" s="2097"/>
      <c r="H219" s="2097"/>
      <c r="I219" s="2097"/>
      <c r="J219" s="2097"/>
    </row>
    <row r="220" spans="2:11">
      <c r="B220" s="12" t="s">
        <v>363</v>
      </c>
      <c r="C220" s="302"/>
      <c r="D220" s="302"/>
      <c r="E220" s="302"/>
      <c r="F220" s="302"/>
      <c r="G220" s="302"/>
      <c r="H220" s="302"/>
      <c r="I220" s="302"/>
      <c r="J220" s="302"/>
    </row>
    <row r="221" spans="2:11">
      <c r="B221" s="62" t="s">
        <v>311</v>
      </c>
      <c r="C221" s="302"/>
      <c r="D221" s="302"/>
      <c r="E221" s="302"/>
      <c r="F221" s="302"/>
      <c r="G221" s="302"/>
      <c r="H221" s="302"/>
      <c r="I221" s="302"/>
      <c r="J221" s="302"/>
      <c r="K221" s="849"/>
    </row>
    <row r="222" spans="2:11">
      <c r="B222" s="64"/>
      <c r="C222" s="302"/>
      <c r="D222" s="302"/>
      <c r="E222" s="302"/>
      <c r="F222" s="302"/>
      <c r="G222" s="302"/>
      <c r="H222" s="302"/>
      <c r="I222" s="302"/>
      <c r="J222" s="302"/>
    </row>
    <row r="223" spans="2:11">
      <c r="B223" s="61"/>
      <c r="C223" s="850">
        <v>2014</v>
      </c>
      <c r="D223" s="850">
        <v>2015</v>
      </c>
      <c r="E223" s="850">
        <v>2016</v>
      </c>
      <c r="F223" s="850">
        <v>2017</v>
      </c>
      <c r="G223" s="850">
        <v>2018</v>
      </c>
      <c r="H223" s="850">
        <v>2019</v>
      </c>
      <c r="I223" s="850">
        <v>2020</v>
      </c>
      <c r="J223" s="850">
        <v>2021</v>
      </c>
    </row>
    <row r="224" spans="2:11">
      <c r="B224" s="114" t="s">
        <v>362</v>
      </c>
      <c r="C224" s="307"/>
      <c r="D224" s="307"/>
      <c r="E224" s="307"/>
      <c r="F224" s="307"/>
      <c r="G224" s="307"/>
      <c r="H224" s="307"/>
      <c r="I224" s="307"/>
      <c r="J224" s="307"/>
    </row>
    <row r="225" spans="2:10">
      <c r="B225" s="54" t="s">
        <v>361</v>
      </c>
      <c r="C225" s="307">
        <f>C227</f>
        <v>13.85</v>
      </c>
      <c r="D225" s="307">
        <f>D227</f>
        <v>7.8860000000000001</v>
      </c>
      <c r="E225" s="307">
        <f t="shared" ref="E225:J225" si="4">E227</f>
        <v>9.0310000000000006</v>
      </c>
      <c r="F225" s="307">
        <f t="shared" si="4"/>
        <v>19.8</v>
      </c>
      <c r="G225" s="307">
        <f t="shared" si="4"/>
        <v>23.625</v>
      </c>
      <c r="H225" s="307">
        <f t="shared" si="4"/>
        <v>25.163</v>
      </c>
      <c r="I225" s="307">
        <f t="shared" si="4"/>
        <v>24.012</v>
      </c>
      <c r="J225" s="307">
        <f t="shared" si="4"/>
        <v>21.015000000000001</v>
      </c>
    </row>
    <row r="226" spans="2:10">
      <c r="B226" s="151" t="s">
        <v>360</v>
      </c>
      <c r="C226" s="307">
        <v>0</v>
      </c>
      <c r="D226" s="307">
        <v>0</v>
      </c>
      <c r="E226" s="307">
        <v>0</v>
      </c>
      <c r="F226" s="307">
        <v>0</v>
      </c>
      <c r="G226" s="307">
        <v>0</v>
      </c>
      <c r="H226" s="307">
        <v>0</v>
      </c>
      <c r="I226" s="307">
        <v>0</v>
      </c>
      <c r="J226" s="307">
        <v>0</v>
      </c>
    </row>
    <row r="227" spans="2:10" ht="15">
      <c r="B227" s="151" t="s">
        <v>1429</v>
      </c>
      <c r="C227" s="307">
        <v>13.85</v>
      </c>
      <c r="D227" s="307">
        <v>7.8860000000000001</v>
      </c>
      <c r="E227" s="307">
        <v>9.0310000000000006</v>
      </c>
      <c r="F227" s="307">
        <v>19.8</v>
      </c>
      <c r="G227" s="307">
        <v>23.625</v>
      </c>
      <c r="H227" s="307">
        <v>25.163</v>
      </c>
      <c r="I227" s="307">
        <v>24.012</v>
      </c>
      <c r="J227" s="307">
        <v>21.015000000000001</v>
      </c>
    </row>
    <row r="228" spans="2:10">
      <c r="B228" s="152" t="s">
        <v>358</v>
      </c>
      <c r="C228" s="307"/>
      <c r="D228" s="307"/>
      <c r="E228" s="307"/>
      <c r="F228" s="307"/>
      <c r="G228" s="307"/>
      <c r="H228" s="307"/>
      <c r="I228" s="307"/>
      <c r="J228" s="307"/>
    </row>
    <row r="229" spans="2:10">
      <c r="B229" s="71" t="s">
        <v>1437</v>
      </c>
      <c r="C229" s="307">
        <v>4.2450000000000001</v>
      </c>
      <c r="D229" s="307">
        <v>4.8360000000000003</v>
      </c>
      <c r="E229" s="307">
        <v>5.7590000000000003</v>
      </c>
      <c r="F229" s="307">
        <v>7.5090000000000003</v>
      </c>
      <c r="G229" s="307">
        <v>8.65</v>
      </c>
      <c r="H229" s="307">
        <v>9.7639999999999993</v>
      </c>
      <c r="I229" s="307">
        <v>8.3710000000000004</v>
      </c>
      <c r="J229" s="307">
        <v>6.2220000000000004</v>
      </c>
    </row>
    <row r="230" spans="2:10">
      <c r="B230" s="151" t="s">
        <v>356</v>
      </c>
      <c r="C230" s="307">
        <v>0</v>
      </c>
      <c r="D230" s="307">
        <v>0</v>
      </c>
      <c r="E230" s="307">
        <v>0</v>
      </c>
      <c r="F230" s="307">
        <v>0</v>
      </c>
      <c r="G230" s="307">
        <v>8.548</v>
      </c>
      <c r="H230" s="307">
        <v>9.6340000000000003</v>
      </c>
      <c r="I230" s="307">
        <v>8.2739999999999991</v>
      </c>
      <c r="J230" s="307">
        <v>6.1609999999999996</v>
      </c>
    </row>
    <row r="231" spans="2:10" ht="26">
      <c r="B231" s="151" t="s">
        <v>355</v>
      </c>
      <c r="C231" s="307">
        <v>0</v>
      </c>
      <c r="D231" s="307">
        <v>0</v>
      </c>
      <c r="E231" s="307">
        <v>0</v>
      </c>
      <c r="F231" s="307">
        <v>0</v>
      </c>
      <c r="G231" s="307">
        <v>0</v>
      </c>
      <c r="H231" s="307">
        <v>0</v>
      </c>
      <c r="I231" s="307">
        <v>0</v>
      </c>
      <c r="J231" s="307">
        <v>0</v>
      </c>
    </row>
    <row r="232" spans="2:10">
      <c r="B232" s="151" t="s">
        <v>354</v>
      </c>
      <c r="C232" s="307">
        <v>0</v>
      </c>
      <c r="D232" s="307">
        <v>0</v>
      </c>
      <c r="E232" s="307">
        <v>0</v>
      </c>
      <c r="F232" s="307">
        <v>0</v>
      </c>
      <c r="G232" s="307">
        <v>0.10199999999999999</v>
      </c>
      <c r="H232" s="307">
        <v>0.13</v>
      </c>
      <c r="I232" s="307">
        <v>9.7000000000000003E-2</v>
      </c>
      <c r="J232" s="307">
        <v>6.0999999999999999E-2</v>
      </c>
    </row>
    <row r="233" spans="2:10">
      <c r="B233" s="71" t="s">
        <v>338</v>
      </c>
      <c r="C233" s="307"/>
      <c r="D233" s="307"/>
      <c r="E233" s="307"/>
      <c r="F233" s="307"/>
      <c r="G233" s="307"/>
      <c r="H233" s="307"/>
      <c r="I233" s="307"/>
      <c r="J233" s="307"/>
    </row>
    <row r="234" spans="2:10">
      <c r="B234" s="71" t="s">
        <v>353</v>
      </c>
      <c r="C234" s="307">
        <f>C235+C236</f>
        <v>75068.868999999992</v>
      </c>
      <c r="D234" s="307">
        <f t="shared" ref="D234:J234" si="5">D235+D236</f>
        <v>71961.062999999995</v>
      </c>
      <c r="E234" s="307">
        <f t="shared" si="5"/>
        <v>54035.882999999994</v>
      </c>
      <c r="F234" s="307">
        <f t="shared" si="5"/>
        <v>43913.281999999999</v>
      </c>
      <c r="G234" s="307">
        <f t="shared" si="5"/>
        <v>43523.259081749995</v>
      </c>
      <c r="H234" s="307">
        <f t="shared" si="5"/>
        <v>41389.392037650003</v>
      </c>
      <c r="I234" s="307">
        <f t="shared" si="5"/>
        <v>33628.423000000003</v>
      </c>
      <c r="J234" s="307">
        <f t="shared" si="5"/>
        <v>37092.202038229996</v>
      </c>
    </row>
    <row r="235" spans="2:10">
      <c r="B235" s="150" t="s">
        <v>352</v>
      </c>
      <c r="C235" s="307">
        <v>60071.023999999998</v>
      </c>
      <c r="D235" s="307">
        <v>53704.116000000002</v>
      </c>
      <c r="E235" s="307">
        <v>38513.252999999997</v>
      </c>
      <c r="F235" s="307">
        <v>36223.343000000001</v>
      </c>
      <c r="G235" s="307">
        <v>35054.074999999997</v>
      </c>
      <c r="H235" s="307">
        <v>33416.131000000001</v>
      </c>
      <c r="I235" s="307">
        <v>27319.89</v>
      </c>
      <c r="J235" s="307">
        <v>30395.391</v>
      </c>
    </row>
    <row r="236" spans="2:10" ht="15">
      <c r="B236" s="150" t="s">
        <v>1438</v>
      </c>
      <c r="C236" s="307">
        <v>14997.844999999999</v>
      </c>
      <c r="D236" s="307">
        <v>18256.947</v>
      </c>
      <c r="E236" s="307">
        <v>15522.63</v>
      </c>
      <c r="F236" s="307">
        <v>7689.9390000000003</v>
      </c>
      <c r="G236" s="307">
        <v>8469.1840817499997</v>
      </c>
      <c r="H236" s="307">
        <v>7973.2610376499997</v>
      </c>
      <c r="I236" s="307">
        <v>6308.5330000000004</v>
      </c>
      <c r="J236" s="307">
        <v>6696.8110382299983</v>
      </c>
    </row>
    <row r="237" spans="2:10">
      <c r="B237" s="54" t="s">
        <v>350</v>
      </c>
      <c r="C237" s="307">
        <v>0</v>
      </c>
      <c r="D237" s="307">
        <v>0</v>
      </c>
      <c r="E237" s="307">
        <v>0</v>
      </c>
      <c r="F237" s="307">
        <v>0</v>
      </c>
      <c r="G237" s="307">
        <v>0</v>
      </c>
      <c r="H237" s="307">
        <v>0</v>
      </c>
      <c r="I237" s="307">
        <v>0</v>
      </c>
      <c r="J237" s="307">
        <v>0</v>
      </c>
    </row>
    <row r="238" spans="2:10">
      <c r="B238" s="54"/>
      <c r="C238" s="307"/>
      <c r="D238" s="307"/>
      <c r="E238" s="307"/>
      <c r="F238" s="307"/>
      <c r="G238" s="307"/>
      <c r="H238" s="307"/>
      <c r="I238" s="307"/>
      <c r="J238" s="307"/>
    </row>
    <row r="239" spans="2:10">
      <c r="B239" s="54" t="s">
        <v>349</v>
      </c>
      <c r="C239" s="307">
        <f>C225+C229+C234</f>
        <v>75086.963999999993</v>
      </c>
      <c r="D239" s="307">
        <f t="shared" ref="D239:J239" si="6">D225+D229+D234</f>
        <v>71973.784999999989</v>
      </c>
      <c r="E239" s="307">
        <f t="shared" si="6"/>
        <v>54050.672999999995</v>
      </c>
      <c r="F239" s="307">
        <f t="shared" si="6"/>
        <v>43940.591</v>
      </c>
      <c r="G239" s="307">
        <f t="shared" si="6"/>
        <v>43555.534081749996</v>
      </c>
      <c r="H239" s="307">
        <f t="shared" si="6"/>
        <v>41424.319037650006</v>
      </c>
      <c r="I239" s="307">
        <f t="shared" si="6"/>
        <v>33660.806000000004</v>
      </c>
      <c r="J239" s="307">
        <f t="shared" si="6"/>
        <v>37119.439038229997</v>
      </c>
    </row>
    <row r="240" spans="2:10">
      <c r="B240" s="147" t="s">
        <v>348</v>
      </c>
      <c r="C240" s="307">
        <v>0</v>
      </c>
      <c r="D240" s="307">
        <v>0</v>
      </c>
      <c r="E240" s="307">
        <v>0</v>
      </c>
      <c r="F240" s="307">
        <v>0</v>
      </c>
      <c r="G240" s="307">
        <v>0</v>
      </c>
      <c r="H240" s="307">
        <v>0</v>
      </c>
      <c r="I240" s="307">
        <v>0</v>
      </c>
      <c r="J240" s="307">
        <v>0</v>
      </c>
    </row>
    <row r="241" spans="2:10">
      <c r="B241" s="147"/>
      <c r="C241" s="307"/>
      <c r="D241" s="307"/>
      <c r="E241" s="307"/>
      <c r="F241" s="307"/>
      <c r="G241" s="307"/>
      <c r="H241" s="307"/>
      <c r="I241" s="307"/>
      <c r="J241" s="307"/>
    </row>
    <row r="242" spans="2:10">
      <c r="B242" s="54" t="s">
        <v>347</v>
      </c>
      <c r="C242" s="307">
        <v>0</v>
      </c>
      <c r="D242" s="307">
        <v>0</v>
      </c>
      <c r="E242" s="307">
        <v>0</v>
      </c>
      <c r="F242" s="307">
        <v>0</v>
      </c>
      <c r="G242" s="307">
        <v>0</v>
      </c>
      <c r="H242" s="307">
        <v>0</v>
      </c>
      <c r="I242" s="307">
        <v>0</v>
      </c>
      <c r="J242" s="307">
        <v>0</v>
      </c>
    </row>
    <row r="243" spans="2:10">
      <c r="B243" s="54"/>
      <c r="C243" s="307"/>
      <c r="D243" s="307"/>
      <c r="E243" s="307"/>
      <c r="F243" s="307"/>
      <c r="G243" s="307"/>
      <c r="H243" s="307"/>
      <c r="I243" s="307"/>
      <c r="J243" s="307"/>
    </row>
    <row r="244" spans="2:10">
      <c r="B244" s="114" t="s">
        <v>346</v>
      </c>
      <c r="C244" s="307"/>
      <c r="D244" s="307"/>
      <c r="E244" s="307"/>
      <c r="F244" s="307"/>
      <c r="G244" s="307"/>
      <c r="H244" s="307"/>
      <c r="I244" s="307"/>
      <c r="J244" s="307"/>
    </row>
    <row r="245" spans="2:10">
      <c r="B245" s="54" t="s">
        <v>342</v>
      </c>
      <c r="C245" s="307"/>
      <c r="D245" s="307"/>
      <c r="E245" s="307"/>
      <c r="F245" s="307"/>
      <c r="G245" s="307"/>
      <c r="H245" s="307"/>
      <c r="I245" s="307"/>
      <c r="J245" s="307"/>
    </row>
    <row r="246" spans="2:10" ht="15">
      <c r="B246" s="147" t="s">
        <v>1434</v>
      </c>
      <c r="C246" s="307">
        <v>4315.55</v>
      </c>
      <c r="D246" s="307">
        <v>4834.4449999999997</v>
      </c>
      <c r="E246" s="307">
        <v>5258.183</v>
      </c>
      <c r="F246" s="307">
        <v>5701.1760000000004</v>
      </c>
      <c r="G246" s="307">
        <v>6033.759</v>
      </c>
      <c r="H246" s="307">
        <v>6536.7879999999996</v>
      </c>
      <c r="I246" s="307">
        <v>7066.52</v>
      </c>
      <c r="J246" s="307">
        <v>7257.6660000000002</v>
      </c>
    </row>
    <row r="247" spans="2:10" ht="15">
      <c r="B247" s="147" t="s">
        <v>1433</v>
      </c>
      <c r="C247" s="307">
        <v>4.5369999999999999</v>
      </c>
      <c r="D247" s="307">
        <v>6.7370000000000001</v>
      </c>
      <c r="E247" s="307">
        <v>13.039</v>
      </c>
      <c r="F247" s="307">
        <v>14.785</v>
      </c>
      <c r="G247" s="307">
        <v>12.565</v>
      </c>
      <c r="H247" s="307">
        <v>10.763</v>
      </c>
      <c r="I247" s="307">
        <v>8.4589999999999996</v>
      </c>
      <c r="J247" s="307">
        <v>8.282</v>
      </c>
    </row>
    <row r="248" spans="2:10">
      <c r="B248" s="54" t="s">
        <v>339</v>
      </c>
      <c r="C248" s="307">
        <v>0</v>
      </c>
      <c r="D248" s="307">
        <v>0</v>
      </c>
      <c r="E248" s="307">
        <v>0</v>
      </c>
      <c r="F248" s="307">
        <v>0</v>
      </c>
      <c r="G248" s="307">
        <v>0</v>
      </c>
      <c r="H248" s="307">
        <v>0</v>
      </c>
      <c r="I248" s="307">
        <v>0</v>
      </c>
      <c r="J248" s="307">
        <v>0</v>
      </c>
    </row>
    <row r="249" spans="2:10">
      <c r="B249" s="54" t="s">
        <v>338</v>
      </c>
      <c r="C249" s="307"/>
      <c r="D249" s="307"/>
      <c r="E249" s="307"/>
      <c r="F249" s="307"/>
      <c r="G249" s="307"/>
      <c r="H249" s="307"/>
      <c r="I249" s="307"/>
      <c r="J249" s="307"/>
    </row>
    <row r="250" spans="2:10">
      <c r="B250" s="147" t="s">
        <v>337</v>
      </c>
      <c r="C250" s="307">
        <v>0</v>
      </c>
      <c r="D250" s="307">
        <v>0</v>
      </c>
      <c r="E250" s="307">
        <v>0</v>
      </c>
      <c r="F250" s="307">
        <v>0</v>
      </c>
      <c r="G250" s="307">
        <v>0</v>
      </c>
      <c r="H250" s="307">
        <v>0</v>
      </c>
      <c r="I250" s="307">
        <v>0</v>
      </c>
      <c r="J250" s="307">
        <v>0</v>
      </c>
    </row>
    <row r="251" spans="2:10">
      <c r="B251" s="147" t="s">
        <v>336</v>
      </c>
      <c r="C251" s="307">
        <v>0</v>
      </c>
      <c r="D251" s="307">
        <v>0</v>
      </c>
      <c r="E251" s="307">
        <v>0</v>
      </c>
      <c r="F251" s="307">
        <v>0</v>
      </c>
      <c r="G251" s="307">
        <v>0</v>
      </c>
      <c r="H251" s="307">
        <v>0</v>
      </c>
      <c r="I251" s="307">
        <v>0</v>
      </c>
      <c r="J251" s="307">
        <v>0</v>
      </c>
    </row>
    <row r="252" spans="2:10">
      <c r="B252" s="147" t="s">
        <v>335</v>
      </c>
      <c r="C252" s="307">
        <v>0</v>
      </c>
      <c r="D252" s="307">
        <v>0</v>
      </c>
      <c r="E252" s="307">
        <v>0</v>
      </c>
      <c r="F252" s="307">
        <v>0</v>
      </c>
      <c r="G252" s="307">
        <v>0</v>
      </c>
      <c r="H252" s="307">
        <v>0</v>
      </c>
      <c r="I252" s="307">
        <v>0</v>
      </c>
      <c r="J252" s="307">
        <v>0</v>
      </c>
    </row>
    <row r="253" spans="2:10">
      <c r="B253" s="147"/>
      <c r="C253" s="307"/>
      <c r="D253" s="307"/>
      <c r="E253" s="307"/>
      <c r="F253" s="307"/>
      <c r="G253" s="307"/>
      <c r="H253" s="307"/>
      <c r="I253" s="307"/>
      <c r="J253" s="307"/>
    </row>
    <row r="254" spans="2:10" ht="26">
      <c r="B254" s="148" t="s">
        <v>345</v>
      </c>
      <c r="C254" s="307"/>
      <c r="D254" s="307"/>
      <c r="E254" s="307"/>
      <c r="F254" s="307"/>
      <c r="G254" s="307"/>
      <c r="H254" s="307"/>
      <c r="I254" s="307"/>
      <c r="J254" s="307"/>
    </row>
    <row r="255" spans="2:10">
      <c r="B255" s="54" t="s">
        <v>342</v>
      </c>
      <c r="C255" s="307"/>
      <c r="D255" s="307"/>
      <c r="E255" s="307"/>
      <c r="F255" s="307"/>
      <c r="G255" s="307"/>
      <c r="H255" s="307"/>
      <c r="I255" s="307"/>
      <c r="J255" s="307"/>
    </row>
    <row r="256" spans="2:10" ht="15">
      <c r="B256" s="147" t="s">
        <v>1439</v>
      </c>
      <c r="C256" s="307">
        <v>4204.7910000000002</v>
      </c>
      <c r="D256" s="307">
        <v>4709.915</v>
      </c>
      <c r="E256" s="307">
        <v>5120.8090000000002</v>
      </c>
      <c r="F256" s="307">
        <v>5607.4459999999999</v>
      </c>
      <c r="G256" s="307">
        <v>5907.44</v>
      </c>
      <c r="H256" s="307">
        <v>6342.3689999999997</v>
      </c>
      <c r="I256" s="307">
        <v>6847.31</v>
      </c>
      <c r="J256" s="307">
        <v>7160.7060000000001</v>
      </c>
    </row>
    <row r="257" spans="2:10">
      <c r="B257" s="147" t="s">
        <v>340</v>
      </c>
      <c r="C257" s="307">
        <v>0</v>
      </c>
      <c r="D257" s="307">
        <v>0</v>
      </c>
      <c r="E257" s="307">
        <v>0</v>
      </c>
      <c r="F257" s="307">
        <v>0</v>
      </c>
      <c r="G257" s="307">
        <v>0</v>
      </c>
      <c r="H257" s="307">
        <v>0</v>
      </c>
      <c r="I257" s="307">
        <v>0</v>
      </c>
      <c r="J257" s="307">
        <v>0</v>
      </c>
    </row>
    <row r="258" spans="2:10">
      <c r="B258" s="54" t="s">
        <v>339</v>
      </c>
      <c r="C258" s="307"/>
      <c r="D258" s="307"/>
      <c r="E258" s="307"/>
      <c r="F258" s="307"/>
      <c r="G258" s="307"/>
      <c r="H258" s="307"/>
      <c r="I258" s="307"/>
      <c r="J258" s="307"/>
    </row>
    <row r="259" spans="2:10">
      <c r="B259" s="54" t="s">
        <v>338</v>
      </c>
      <c r="C259" s="307"/>
      <c r="D259" s="307"/>
      <c r="E259" s="307"/>
      <c r="F259" s="307"/>
      <c r="G259" s="307"/>
      <c r="H259" s="307"/>
      <c r="I259" s="307"/>
      <c r="J259" s="307"/>
    </row>
    <row r="260" spans="2:10">
      <c r="B260" s="147" t="s">
        <v>337</v>
      </c>
      <c r="C260" s="307">
        <v>0</v>
      </c>
      <c r="D260" s="307">
        <v>0</v>
      </c>
      <c r="E260" s="307">
        <v>0</v>
      </c>
      <c r="F260" s="307">
        <v>0</v>
      </c>
      <c r="G260" s="307">
        <v>0</v>
      </c>
      <c r="H260" s="307">
        <v>0</v>
      </c>
      <c r="I260" s="307">
        <v>0</v>
      </c>
      <c r="J260" s="307">
        <v>0</v>
      </c>
    </row>
    <row r="261" spans="2:10">
      <c r="B261" s="147" t="s">
        <v>336</v>
      </c>
      <c r="C261" s="307">
        <v>0</v>
      </c>
      <c r="D261" s="307">
        <v>0</v>
      </c>
      <c r="E261" s="307">
        <v>0</v>
      </c>
      <c r="F261" s="307">
        <v>0</v>
      </c>
      <c r="G261" s="307">
        <v>0</v>
      </c>
      <c r="H261" s="307">
        <v>0</v>
      </c>
      <c r="I261" s="307">
        <v>0</v>
      </c>
      <c r="J261" s="307">
        <v>0</v>
      </c>
    </row>
    <row r="262" spans="2:10">
      <c r="B262" s="147" t="s">
        <v>335</v>
      </c>
      <c r="C262" s="307">
        <v>0</v>
      </c>
      <c r="D262" s="307">
        <v>0</v>
      </c>
      <c r="E262" s="307">
        <v>0</v>
      </c>
      <c r="F262" s="307">
        <v>0</v>
      </c>
      <c r="G262" s="307">
        <v>0</v>
      </c>
      <c r="H262" s="307">
        <v>0</v>
      </c>
      <c r="I262" s="307">
        <v>0</v>
      </c>
      <c r="J262" s="307">
        <v>0</v>
      </c>
    </row>
    <row r="263" spans="2:10">
      <c r="B263" s="147"/>
      <c r="C263" s="307"/>
      <c r="D263" s="307"/>
      <c r="E263" s="307"/>
      <c r="F263" s="307"/>
      <c r="G263" s="307"/>
      <c r="H263" s="307"/>
      <c r="I263" s="307"/>
      <c r="J263" s="307"/>
    </row>
    <row r="264" spans="2:10" ht="26">
      <c r="B264" s="148" t="s">
        <v>344</v>
      </c>
      <c r="C264" s="307"/>
      <c r="D264" s="307"/>
      <c r="E264" s="307"/>
      <c r="F264" s="307"/>
      <c r="G264" s="307"/>
      <c r="H264" s="307"/>
      <c r="I264" s="307"/>
      <c r="J264" s="307"/>
    </row>
    <row r="265" spans="2:10">
      <c r="B265" s="54" t="s">
        <v>342</v>
      </c>
      <c r="C265" s="307"/>
      <c r="D265" s="307"/>
      <c r="E265" s="307"/>
      <c r="F265" s="307"/>
      <c r="G265" s="307"/>
      <c r="H265" s="307"/>
      <c r="I265" s="307"/>
      <c r="J265" s="307"/>
    </row>
    <row r="266" spans="2:10">
      <c r="B266" s="147" t="s">
        <v>341</v>
      </c>
      <c r="C266" s="307">
        <v>85.4</v>
      </c>
      <c r="D266" s="307">
        <v>93.924999999999997</v>
      </c>
      <c r="E266" s="307">
        <v>92.730999999999995</v>
      </c>
      <c r="F266" s="307">
        <v>93.73</v>
      </c>
      <c r="G266" s="307">
        <v>126.319</v>
      </c>
      <c r="H266" s="307">
        <v>122.04900000000001</v>
      </c>
      <c r="I266" s="307">
        <v>69.423000000000002</v>
      </c>
      <c r="J266" s="307">
        <v>94.483999999999995</v>
      </c>
    </row>
    <row r="267" spans="2:10">
      <c r="B267" s="147" t="s">
        <v>340</v>
      </c>
      <c r="C267" s="307">
        <v>0</v>
      </c>
      <c r="D267" s="307">
        <v>0</v>
      </c>
      <c r="E267" s="307">
        <v>0</v>
      </c>
      <c r="F267" s="307">
        <v>0</v>
      </c>
      <c r="G267" s="307">
        <v>0</v>
      </c>
      <c r="H267" s="307">
        <v>0</v>
      </c>
      <c r="I267" s="307">
        <v>0</v>
      </c>
      <c r="J267" s="307">
        <v>0</v>
      </c>
    </row>
    <row r="268" spans="2:10">
      <c r="B268" s="54" t="s">
        <v>339</v>
      </c>
      <c r="C268" s="307"/>
      <c r="D268" s="307"/>
      <c r="E268" s="307"/>
      <c r="F268" s="307"/>
      <c r="G268" s="307"/>
      <c r="H268" s="307"/>
      <c r="I268" s="307"/>
      <c r="J268" s="307"/>
    </row>
    <row r="269" spans="2:10">
      <c r="B269" s="54" t="s">
        <v>338</v>
      </c>
      <c r="C269" s="307"/>
      <c r="D269" s="307"/>
      <c r="E269" s="307"/>
      <c r="F269" s="307"/>
      <c r="G269" s="307"/>
      <c r="H269" s="307"/>
      <c r="I269" s="307"/>
      <c r="J269" s="307"/>
    </row>
    <row r="270" spans="2:10">
      <c r="B270" s="147" t="s">
        <v>337</v>
      </c>
      <c r="C270" s="307">
        <v>0</v>
      </c>
      <c r="D270" s="307">
        <v>0</v>
      </c>
      <c r="E270" s="307">
        <v>0</v>
      </c>
      <c r="F270" s="307">
        <v>0</v>
      </c>
      <c r="G270" s="307">
        <v>0</v>
      </c>
      <c r="H270" s="307">
        <v>0</v>
      </c>
      <c r="I270" s="307">
        <v>0</v>
      </c>
      <c r="J270" s="307">
        <v>0</v>
      </c>
    </row>
    <row r="271" spans="2:10">
      <c r="B271" s="147" t="s">
        <v>336</v>
      </c>
      <c r="C271" s="307">
        <v>0</v>
      </c>
      <c r="D271" s="307">
        <v>0</v>
      </c>
      <c r="E271" s="307">
        <v>0</v>
      </c>
      <c r="F271" s="307">
        <v>0</v>
      </c>
      <c r="G271" s="307">
        <v>0</v>
      </c>
      <c r="H271" s="307">
        <v>0</v>
      </c>
      <c r="I271" s="307">
        <v>0</v>
      </c>
      <c r="J271" s="307">
        <v>0</v>
      </c>
    </row>
    <row r="272" spans="2:10">
      <c r="B272" s="147" t="s">
        <v>335</v>
      </c>
      <c r="C272" s="307">
        <v>0</v>
      </c>
      <c r="D272" s="307">
        <v>0</v>
      </c>
      <c r="E272" s="307">
        <v>0</v>
      </c>
      <c r="F272" s="307">
        <v>0</v>
      </c>
      <c r="G272" s="307">
        <v>0</v>
      </c>
      <c r="H272" s="307">
        <v>0</v>
      </c>
      <c r="I272" s="307">
        <v>0</v>
      </c>
      <c r="J272" s="307">
        <v>0</v>
      </c>
    </row>
    <row r="273" spans="2:10">
      <c r="B273" s="147"/>
      <c r="C273" s="307"/>
      <c r="D273" s="307"/>
      <c r="E273" s="307"/>
      <c r="F273" s="307"/>
      <c r="G273" s="307"/>
      <c r="H273" s="307"/>
      <c r="I273" s="307"/>
      <c r="J273" s="307"/>
    </row>
    <row r="274" spans="2:10" ht="26">
      <c r="B274" s="148" t="s">
        <v>343</v>
      </c>
      <c r="C274" s="307"/>
      <c r="D274" s="307"/>
      <c r="E274" s="307"/>
      <c r="F274" s="307"/>
      <c r="G274" s="307"/>
      <c r="H274" s="307"/>
      <c r="I274" s="307"/>
      <c r="J274" s="307"/>
    </row>
    <row r="275" spans="2:10">
      <c r="B275" s="54" t="s">
        <v>342</v>
      </c>
      <c r="C275" s="307"/>
      <c r="D275" s="307"/>
      <c r="E275" s="307"/>
      <c r="F275" s="307"/>
      <c r="G275" s="307"/>
      <c r="H275" s="307"/>
      <c r="I275" s="307"/>
      <c r="J275" s="307"/>
    </row>
    <row r="276" spans="2:10">
      <c r="B276" s="147" t="s">
        <v>341</v>
      </c>
      <c r="C276" s="307">
        <v>24.658000000000001</v>
      </c>
      <c r="D276" s="307">
        <v>30.605</v>
      </c>
      <c r="E276" s="307">
        <v>44.642000000000003</v>
      </c>
      <c r="F276" s="307">
        <v>38.783000000000001</v>
      </c>
      <c r="G276" s="307">
        <v>68.855000000000004</v>
      </c>
      <c r="H276" s="307">
        <v>72.370999999999995</v>
      </c>
      <c r="I276" s="307">
        <v>149.78100000000001</v>
      </c>
      <c r="J276" s="307">
        <v>90.947000000000003</v>
      </c>
    </row>
    <row r="277" spans="2:10">
      <c r="B277" s="147" t="s">
        <v>340</v>
      </c>
      <c r="C277" s="307">
        <v>0</v>
      </c>
      <c r="D277" s="307">
        <v>0</v>
      </c>
      <c r="E277" s="307">
        <v>0</v>
      </c>
      <c r="F277" s="307">
        <v>0</v>
      </c>
      <c r="G277" s="307">
        <v>0</v>
      </c>
      <c r="H277" s="307">
        <v>0</v>
      </c>
      <c r="I277" s="307">
        <v>0</v>
      </c>
      <c r="J277" s="307">
        <v>0</v>
      </c>
    </row>
    <row r="278" spans="2:10">
      <c r="B278" s="54" t="s">
        <v>339</v>
      </c>
      <c r="C278" s="307"/>
      <c r="D278" s="307"/>
      <c r="E278" s="307"/>
      <c r="F278" s="307"/>
      <c r="G278" s="307"/>
      <c r="H278" s="307"/>
      <c r="I278" s="307"/>
      <c r="J278" s="307"/>
    </row>
    <row r="279" spans="2:10">
      <c r="B279" s="54" t="s">
        <v>338</v>
      </c>
      <c r="C279" s="307"/>
      <c r="D279" s="307"/>
      <c r="E279" s="307"/>
      <c r="F279" s="307"/>
      <c r="G279" s="307"/>
      <c r="H279" s="307"/>
      <c r="I279" s="307"/>
      <c r="J279" s="307"/>
    </row>
    <row r="280" spans="2:10">
      <c r="B280" s="147" t="s">
        <v>337</v>
      </c>
      <c r="C280" s="307">
        <v>0</v>
      </c>
      <c r="D280" s="307">
        <v>0</v>
      </c>
      <c r="E280" s="307">
        <v>0</v>
      </c>
      <c r="F280" s="307">
        <v>0</v>
      </c>
      <c r="G280" s="307">
        <v>0</v>
      </c>
      <c r="H280" s="307">
        <v>0</v>
      </c>
      <c r="I280" s="307">
        <v>0</v>
      </c>
      <c r="J280" s="307">
        <v>0</v>
      </c>
    </row>
    <row r="281" spans="2:10">
      <c r="B281" s="147" t="s">
        <v>336</v>
      </c>
      <c r="C281" s="307">
        <v>0</v>
      </c>
      <c r="D281" s="307">
        <v>0</v>
      </c>
      <c r="E281" s="307">
        <v>0</v>
      </c>
      <c r="F281" s="307">
        <v>0</v>
      </c>
      <c r="G281" s="307">
        <v>0</v>
      </c>
      <c r="H281" s="307">
        <v>0</v>
      </c>
      <c r="I281" s="307">
        <v>0</v>
      </c>
      <c r="J281" s="307">
        <v>0</v>
      </c>
    </row>
    <row r="282" spans="2:10" ht="15" thickBot="1">
      <c r="B282" s="146" t="s">
        <v>335</v>
      </c>
      <c r="C282" s="307">
        <v>0</v>
      </c>
      <c r="D282" s="307">
        <v>0</v>
      </c>
      <c r="E282" s="307">
        <v>0</v>
      </c>
      <c r="F282" s="307">
        <v>0</v>
      </c>
      <c r="G282" s="307">
        <v>0</v>
      </c>
      <c r="H282" s="307">
        <v>0</v>
      </c>
      <c r="I282" s="307">
        <v>0</v>
      </c>
      <c r="J282" s="307">
        <v>0</v>
      </c>
    </row>
    <row r="283" spans="2:10" ht="15" thickTop="1">
      <c r="B283" s="2025" t="s">
        <v>1440</v>
      </c>
      <c r="C283" s="2025"/>
      <c r="D283" s="2025"/>
      <c r="E283" s="2025"/>
      <c r="F283" s="2025"/>
      <c r="G283" s="2025"/>
      <c r="H283" s="2025"/>
      <c r="I283" s="2025"/>
      <c r="J283" s="2025"/>
    </row>
    <row r="284" spans="2:10" ht="48" customHeight="1">
      <c r="B284" s="2066" t="s">
        <v>1441</v>
      </c>
      <c r="C284" s="2066"/>
      <c r="D284" s="2066"/>
      <c r="E284" s="2066"/>
      <c r="F284" s="2066"/>
      <c r="G284" s="2066"/>
      <c r="H284" s="2066"/>
      <c r="I284" s="2066"/>
      <c r="J284" s="2066"/>
    </row>
    <row r="285" spans="2:10">
      <c r="B285" s="64"/>
      <c r="C285" s="302"/>
      <c r="D285" s="302"/>
      <c r="E285" s="302"/>
      <c r="F285" s="302"/>
      <c r="G285" s="302"/>
      <c r="H285" s="302"/>
      <c r="I285" s="302"/>
      <c r="J285" s="302"/>
    </row>
    <row r="286" spans="2:10">
      <c r="B286" s="2097" t="s">
        <v>333</v>
      </c>
      <c r="C286" s="2097"/>
      <c r="D286" s="2097"/>
      <c r="E286" s="2097"/>
      <c r="F286" s="2097"/>
      <c r="G286" s="2097"/>
      <c r="H286" s="2097"/>
      <c r="I286" s="2097"/>
      <c r="J286" s="2097"/>
    </row>
    <row r="287" spans="2:10">
      <c r="B287" s="12" t="s">
        <v>332</v>
      </c>
      <c r="C287" s="302"/>
      <c r="D287" s="302"/>
      <c r="E287" s="302"/>
      <c r="F287" s="302"/>
      <c r="G287" s="302"/>
      <c r="H287" s="302"/>
      <c r="I287" s="302"/>
      <c r="J287" s="302"/>
    </row>
    <row r="288" spans="2:10">
      <c r="B288" s="62" t="s">
        <v>269</v>
      </c>
      <c r="C288" s="302"/>
      <c r="D288" s="302"/>
      <c r="E288" s="302"/>
      <c r="F288" s="302"/>
      <c r="G288" s="302"/>
      <c r="H288" s="302"/>
      <c r="I288" s="302"/>
      <c r="J288" s="302"/>
    </row>
    <row r="289" spans="2:10">
      <c r="B289" s="64"/>
      <c r="C289" s="302"/>
      <c r="D289" s="302"/>
      <c r="E289" s="302"/>
      <c r="F289" s="302"/>
      <c r="G289" s="302"/>
      <c r="H289" s="302"/>
      <c r="I289" s="302"/>
      <c r="J289" s="302"/>
    </row>
    <row r="290" spans="2:10">
      <c r="B290" s="61"/>
      <c r="C290" s="850">
        <v>2014</v>
      </c>
      <c r="D290" s="850">
        <v>2015</v>
      </c>
      <c r="E290" s="850">
        <v>2016</v>
      </c>
      <c r="F290" s="850">
        <v>2017</v>
      </c>
      <c r="G290" s="850">
        <v>2018</v>
      </c>
      <c r="H290" s="850">
        <v>2019</v>
      </c>
      <c r="I290" s="850">
        <v>2020</v>
      </c>
      <c r="J290" s="850">
        <v>2021</v>
      </c>
    </row>
    <row r="291" spans="2:10">
      <c r="B291" s="114" t="s">
        <v>310</v>
      </c>
      <c r="C291" s="321"/>
      <c r="D291" s="321"/>
      <c r="E291" s="321"/>
      <c r="F291" s="321"/>
      <c r="G291" s="321"/>
      <c r="H291" s="321"/>
      <c r="I291" s="321"/>
      <c r="J291" s="321"/>
    </row>
    <row r="292" spans="2:10">
      <c r="B292" s="114"/>
      <c r="C292" s="321"/>
      <c r="D292" s="321"/>
      <c r="E292" s="321"/>
      <c r="F292" s="321"/>
      <c r="G292" s="321"/>
      <c r="H292" s="321"/>
      <c r="I292" s="321"/>
      <c r="J292" s="321"/>
    </row>
    <row r="293" spans="2:10">
      <c r="B293" s="59" t="s">
        <v>1442</v>
      </c>
      <c r="C293" s="321"/>
      <c r="D293" s="321"/>
      <c r="E293" s="321"/>
      <c r="F293" s="321"/>
      <c r="G293" s="321"/>
      <c r="H293" s="321"/>
      <c r="I293" s="321"/>
      <c r="J293" s="321"/>
    </row>
    <row r="294" spans="2:10">
      <c r="B294" s="71" t="s">
        <v>331</v>
      </c>
      <c r="C294" s="321">
        <v>26</v>
      </c>
      <c r="D294" s="321">
        <v>26</v>
      </c>
      <c r="E294" s="321">
        <v>27</v>
      </c>
      <c r="F294" s="321">
        <v>28</v>
      </c>
      <c r="G294" s="321">
        <v>26</v>
      </c>
      <c r="H294" s="321">
        <v>24</v>
      </c>
      <c r="I294" s="321">
        <v>25</v>
      </c>
      <c r="J294" s="321">
        <v>25</v>
      </c>
    </row>
    <row r="295" spans="2:10">
      <c r="B295" s="133" t="s">
        <v>330</v>
      </c>
      <c r="C295" s="321"/>
      <c r="D295" s="321"/>
      <c r="E295" s="321"/>
      <c r="F295" s="321"/>
      <c r="G295" s="321"/>
      <c r="H295" s="321"/>
      <c r="I295" s="321"/>
      <c r="J295" s="321"/>
    </row>
    <row r="296" spans="2:10">
      <c r="B296" s="52" t="s">
        <v>260</v>
      </c>
      <c r="C296" s="321">
        <v>18</v>
      </c>
      <c r="D296" s="321">
        <v>17</v>
      </c>
      <c r="E296" s="321">
        <v>18</v>
      </c>
      <c r="F296" s="321">
        <v>18</v>
      </c>
      <c r="G296" s="321">
        <v>17</v>
      </c>
      <c r="H296" s="321">
        <v>16</v>
      </c>
      <c r="I296" s="321">
        <v>17</v>
      </c>
      <c r="J296" s="321">
        <v>17</v>
      </c>
    </row>
    <row r="297" spans="2:10">
      <c r="B297" s="52" t="s">
        <v>329</v>
      </c>
      <c r="C297" s="321">
        <v>1</v>
      </c>
      <c r="D297" s="321">
        <v>1</v>
      </c>
      <c r="E297" s="321">
        <v>1</v>
      </c>
      <c r="F297" s="321">
        <v>1</v>
      </c>
      <c r="G297" s="321">
        <v>1</v>
      </c>
      <c r="H297" s="321">
        <v>1</v>
      </c>
      <c r="I297" s="321">
        <v>1</v>
      </c>
      <c r="J297" s="321">
        <v>1</v>
      </c>
    </row>
    <row r="298" spans="2:10">
      <c r="B298" s="52" t="s">
        <v>328</v>
      </c>
      <c r="C298" s="321"/>
      <c r="D298" s="321"/>
      <c r="E298" s="321"/>
      <c r="F298" s="321"/>
      <c r="G298" s="321"/>
      <c r="H298" s="321"/>
      <c r="I298" s="321"/>
      <c r="J298" s="321"/>
    </row>
    <row r="299" spans="2:10">
      <c r="B299" s="136" t="s">
        <v>327</v>
      </c>
      <c r="C299" s="321">
        <v>2</v>
      </c>
      <c r="D299" s="321">
        <v>3</v>
      </c>
      <c r="E299" s="321">
        <v>3</v>
      </c>
      <c r="F299" s="321">
        <v>3</v>
      </c>
      <c r="G299" s="321">
        <v>3</v>
      </c>
      <c r="H299" s="321">
        <v>3</v>
      </c>
      <c r="I299" s="321">
        <v>3</v>
      </c>
      <c r="J299" s="321">
        <v>3</v>
      </c>
    </row>
    <row r="300" spans="2:10">
      <c r="B300" s="136" t="s">
        <v>326</v>
      </c>
      <c r="C300" s="321"/>
      <c r="D300" s="321"/>
      <c r="E300" s="321"/>
      <c r="F300" s="321"/>
      <c r="G300" s="321"/>
      <c r="H300" s="321"/>
      <c r="I300" s="321"/>
      <c r="J300" s="321"/>
    </row>
    <row r="301" spans="2:10" ht="15.5">
      <c r="B301" s="136" t="s">
        <v>1443</v>
      </c>
      <c r="C301" s="321">
        <v>2</v>
      </c>
      <c r="D301" s="321">
        <v>2</v>
      </c>
      <c r="E301" s="321">
        <v>2</v>
      </c>
      <c r="F301" s="321">
        <v>2</v>
      </c>
      <c r="G301" s="321">
        <v>2</v>
      </c>
      <c r="H301" s="321">
        <v>2</v>
      </c>
      <c r="I301" s="321">
        <v>2</v>
      </c>
      <c r="J301" s="321">
        <v>2</v>
      </c>
    </row>
    <row r="302" spans="2:10">
      <c r="B302" s="136" t="s">
        <v>323</v>
      </c>
      <c r="C302" s="321">
        <v>3</v>
      </c>
      <c r="D302" s="321">
        <v>3</v>
      </c>
      <c r="E302" s="321">
        <v>3</v>
      </c>
      <c r="F302" s="321">
        <v>4</v>
      </c>
      <c r="G302" s="321">
        <v>3</v>
      </c>
      <c r="H302" s="321">
        <v>2</v>
      </c>
      <c r="I302" s="321">
        <v>2</v>
      </c>
      <c r="J302" s="321">
        <v>2</v>
      </c>
    </row>
    <row r="303" spans="2:10">
      <c r="B303" s="136" t="s">
        <v>117</v>
      </c>
      <c r="C303" s="321"/>
      <c r="D303" s="321"/>
      <c r="E303" s="321"/>
      <c r="F303" s="321"/>
      <c r="G303" s="321"/>
      <c r="H303" s="321"/>
      <c r="I303" s="321"/>
      <c r="J303" s="321"/>
    </row>
    <row r="304" spans="2:10">
      <c r="B304" s="133" t="s">
        <v>322</v>
      </c>
      <c r="C304" s="321"/>
      <c r="D304" s="321"/>
      <c r="E304" s="321"/>
      <c r="F304" s="321"/>
      <c r="G304" s="321"/>
      <c r="H304" s="321"/>
      <c r="I304" s="321"/>
      <c r="J304" s="321"/>
    </row>
    <row r="305" spans="2:10">
      <c r="B305" s="133"/>
      <c r="C305" s="321"/>
      <c r="D305" s="321"/>
      <c r="E305" s="321"/>
      <c r="F305" s="321"/>
      <c r="G305" s="321"/>
      <c r="H305" s="321"/>
      <c r="I305" s="321"/>
      <c r="J305" s="321"/>
    </row>
    <row r="306" spans="2:10">
      <c r="B306" s="114" t="s">
        <v>302</v>
      </c>
      <c r="C306" s="321"/>
      <c r="D306" s="321"/>
      <c r="E306" s="321"/>
      <c r="F306" s="321"/>
      <c r="G306" s="321"/>
      <c r="H306" s="321"/>
      <c r="I306" s="321"/>
      <c r="J306" s="321"/>
    </row>
    <row r="307" spans="2:10">
      <c r="B307" s="114"/>
      <c r="C307" s="321"/>
      <c r="D307" s="321"/>
      <c r="E307" s="321"/>
      <c r="F307" s="321"/>
      <c r="G307" s="321"/>
      <c r="H307" s="321"/>
      <c r="I307" s="321"/>
      <c r="J307" s="321"/>
    </row>
    <row r="308" spans="2:10">
      <c r="B308" s="59" t="s">
        <v>1247</v>
      </c>
      <c r="C308" s="321"/>
      <c r="D308" s="321"/>
      <c r="E308" s="321"/>
      <c r="F308" s="321"/>
      <c r="G308" s="321"/>
      <c r="H308" s="321"/>
      <c r="I308" s="321"/>
      <c r="J308" s="321"/>
    </row>
    <row r="309" spans="2:10">
      <c r="B309" s="71" t="s">
        <v>331</v>
      </c>
      <c r="C309" s="232">
        <v>19</v>
      </c>
      <c r="D309" s="232">
        <v>18</v>
      </c>
      <c r="E309" s="232">
        <v>19</v>
      </c>
      <c r="F309" s="232">
        <v>19</v>
      </c>
      <c r="G309" s="232">
        <v>18</v>
      </c>
      <c r="H309" s="232">
        <v>17</v>
      </c>
      <c r="I309" s="232">
        <v>18</v>
      </c>
      <c r="J309" s="232">
        <v>18</v>
      </c>
    </row>
    <row r="310" spans="2:10">
      <c r="B310" s="133" t="s">
        <v>330</v>
      </c>
      <c r="C310" s="232"/>
      <c r="D310" s="232"/>
      <c r="E310" s="232"/>
      <c r="F310" s="232"/>
      <c r="G310" s="232"/>
      <c r="H310" s="232"/>
      <c r="I310" s="232"/>
      <c r="J310" s="232"/>
    </row>
    <row r="311" spans="2:10">
      <c r="B311" s="52" t="s">
        <v>260</v>
      </c>
      <c r="C311" s="232">
        <v>18</v>
      </c>
      <c r="D311" s="232">
        <v>17</v>
      </c>
      <c r="E311" s="232">
        <v>18</v>
      </c>
      <c r="F311" s="232">
        <v>18</v>
      </c>
      <c r="G311" s="232">
        <v>17</v>
      </c>
      <c r="H311" s="232">
        <v>16</v>
      </c>
      <c r="I311" s="232">
        <v>17</v>
      </c>
      <c r="J311" s="232">
        <v>17</v>
      </c>
    </row>
    <row r="312" spans="2:10">
      <c r="B312" s="52" t="s">
        <v>329</v>
      </c>
      <c r="C312" s="232">
        <v>1</v>
      </c>
      <c r="D312" s="232">
        <v>1</v>
      </c>
      <c r="E312" s="232">
        <v>1</v>
      </c>
      <c r="F312" s="232">
        <v>1</v>
      </c>
      <c r="G312" s="232">
        <v>1</v>
      </c>
      <c r="H312" s="232">
        <v>1</v>
      </c>
      <c r="I312" s="232">
        <v>1</v>
      </c>
      <c r="J312" s="232">
        <v>1</v>
      </c>
    </row>
    <row r="313" spans="2:10">
      <c r="B313" s="52" t="s">
        <v>328</v>
      </c>
      <c r="C313" s="232"/>
      <c r="D313" s="232"/>
      <c r="E313" s="232"/>
      <c r="F313" s="232"/>
      <c r="G313" s="232"/>
      <c r="H313" s="232"/>
    </row>
    <row r="314" spans="2:10">
      <c r="B314" s="136" t="s">
        <v>327</v>
      </c>
      <c r="C314" s="232"/>
      <c r="D314" s="232"/>
      <c r="E314" s="232"/>
      <c r="F314" s="232"/>
      <c r="G314" s="232"/>
      <c r="H314" s="232"/>
      <c r="I314" s="232"/>
      <c r="J314" s="232"/>
    </row>
    <row r="315" spans="2:10">
      <c r="B315" s="136" t="s">
        <v>326</v>
      </c>
      <c r="C315" s="232"/>
      <c r="D315" s="232"/>
      <c r="E315" s="232"/>
      <c r="F315" s="232"/>
      <c r="G315" s="232"/>
      <c r="H315" s="232"/>
      <c r="I315" s="232"/>
      <c r="J315" s="232"/>
    </row>
    <row r="316" spans="2:10">
      <c r="B316" s="136" t="s">
        <v>325</v>
      </c>
      <c r="C316" s="232"/>
      <c r="D316" s="232"/>
      <c r="E316" s="232"/>
      <c r="F316" s="232"/>
      <c r="G316" s="232"/>
      <c r="H316" s="232"/>
      <c r="I316" s="232"/>
      <c r="J316" s="232"/>
    </row>
    <row r="317" spans="2:10">
      <c r="B317" s="136" t="s">
        <v>323</v>
      </c>
      <c r="C317" s="232"/>
      <c r="D317" s="232"/>
      <c r="E317" s="232"/>
      <c r="F317" s="232"/>
      <c r="G317" s="232"/>
      <c r="H317" s="232"/>
      <c r="I317" s="232"/>
      <c r="J317" s="232"/>
    </row>
    <row r="318" spans="2:10">
      <c r="B318" s="136" t="s">
        <v>117</v>
      </c>
      <c r="C318" s="232"/>
      <c r="D318" s="232"/>
      <c r="E318" s="232"/>
      <c r="F318" s="232"/>
      <c r="G318" s="232"/>
      <c r="H318" s="232"/>
      <c r="I318" s="232"/>
      <c r="J318" s="232"/>
    </row>
    <row r="319" spans="2:10">
      <c r="B319" s="133" t="s">
        <v>322</v>
      </c>
      <c r="C319" s="232"/>
      <c r="D319" s="232"/>
      <c r="E319" s="232"/>
      <c r="F319" s="232"/>
      <c r="G319" s="232"/>
      <c r="H319" s="232"/>
      <c r="I319" s="232"/>
      <c r="J319" s="232"/>
    </row>
    <row r="320" spans="2:10">
      <c r="B320" s="133"/>
      <c r="C320" s="321"/>
      <c r="D320" s="321"/>
      <c r="E320" s="321"/>
      <c r="F320" s="321"/>
      <c r="G320" s="321"/>
      <c r="H320" s="321"/>
      <c r="I320" s="321"/>
      <c r="J320" s="321"/>
    </row>
    <row r="321" spans="2:10">
      <c r="B321" s="59" t="s">
        <v>1249</v>
      </c>
      <c r="C321" s="321"/>
      <c r="D321" s="321"/>
      <c r="E321" s="321"/>
      <c r="F321" s="321"/>
      <c r="G321" s="321"/>
      <c r="H321" s="321"/>
      <c r="I321" s="321"/>
      <c r="J321" s="321"/>
    </row>
    <row r="322" spans="2:10">
      <c r="B322" s="71" t="s">
        <v>331</v>
      </c>
      <c r="C322" s="232">
        <v>19</v>
      </c>
      <c r="D322" s="232">
        <v>18</v>
      </c>
      <c r="E322" s="232">
        <v>19</v>
      </c>
      <c r="F322" s="232">
        <v>20</v>
      </c>
      <c r="G322" s="232">
        <v>19</v>
      </c>
      <c r="H322" s="232">
        <v>18</v>
      </c>
      <c r="I322" s="232">
        <v>18</v>
      </c>
      <c r="J322" s="232">
        <v>19</v>
      </c>
    </row>
    <row r="323" spans="2:10">
      <c r="B323" s="133" t="s">
        <v>330</v>
      </c>
      <c r="C323" s="232"/>
      <c r="D323" s="232"/>
      <c r="E323" s="232"/>
      <c r="F323" s="232"/>
      <c r="G323" s="232"/>
      <c r="H323" s="232"/>
      <c r="I323" s="232"/>
      <c r="J323" s="232"/>
    </row>
    <row r="324" spans="2:10">
      <c r="B324" s="52" t="s">
        <v>260</v>
      </c>
      <c r="C324" s="232">
        <v>17</v>
      </c>
      <c r="D324" s="232">
        <v>16</v>
      </c>
      <c r="E324" s="232">
        <v>16</v>
      </c>
      <c r="F324" s="232">
        <v>17</v>
      </c>
      <c r="G324" s="232">
        <v>16</v>
      </c>
      <c r="H324" s="232">
        <v>16</v>
      </c>
      <c r="I324" s="232">
        <v>16</v>
      </c>
      <c r="J324" s="232">
        <v>17</v>
      </c>
    </row>
    <row r="325" spans="2:10">
      <c r="B325" s="52" t="s">
        <v>329</v>
      </c>
      <c r="C325" s="232">
        <v>1</v>
      </c>
      <c r="D325" s="232">
        <v>1</v>
      </c>
      <c r="E325" s="232">
        <v>1</v>
      </c>
      <c r="F325" s="232">
        <v>1</v>
      </c>
      <c r="G325" s="232">
        <v>1</v>
      </c>
      <c r="H325" s="232">
        <v>1</v>
      </c>
      <c r="I325" s="232">
        <v>1</v>
      </c>
      <c r="J325" s="232">
        <v>1</v>
      </c>
    </row>
    <row r="326" spans="2:10">
      <c r="B326" s="52" t="s">
        <v>328</v>
      </c>
      <c r="C326" s="232"/>
      <c r="D326" s="232"/>
      <c r="E326" s="232"/>
      <c r="F326" s="232"/>
      <c r="G326" s="232"/>
      <c r="H326" s="232"/>
      <c r="I326" s="232"/>
      <c r="J326" s="232"/>
    </row>
    <row r="327" spans="2:10">
      <c r="B327" s="136" t="s">
        <v>327</v>
      </c>
      <c r="C327" s="232"/>
      <c r="D327" s="232"/>
      <c r="E327" s="232"/>
      <c r="F327" s="232"/>
      <c r="G327" s="232"/>
      <c r="H327" s="232"/>
      <c r="I327" s="232"/>
      <c r="J327" s="232"/>
    </row>
    <row r="328" spans="2:10">
      <c r="B328" s="136" t="s">
        <v>326</v>
      </c>
      <c r="C328" s="232"/>
      <c r="D328" s="232"/>
      <c r="E328" s="232"/>
      <c r="F328" s="232"/>
      <c r="G328" s="232"/>
      <c r="H328" s="232"/>
      <c r="I328" s="232"/>
      <c r="J328" s="232"/>
    </row>
    <row r="329" spans="2:10">
      <c r="B329" s="136" t="s">
        <v>325</v>
      </c>
      <c r="C329" s="232"/>
      <c r="D329" s="232"/>
      <c r="E329" s="232"/>
      <c r="F329" s="232"/>
      <c r="G329" s="232"/>
      <c r="H329" s="232"/>
      <c r="I329" s="232"/>
      <c r="J329" s="232"/>
    </row>
    <row r="330" spans="2:10">
      <c r="B330" s="136" t="s">
        <v>323</v>
      </c>
      <c r="C330" s="232">
        <v>1</v>
      </c>
      <c r="D330" s="232">
        <v>1</v>
      </c>
      <c r="E330" s="232">
        <v>2</v>
      </c>
      <c r="F330" s="232">
        <v>2</v>
      </c>
      <c r="G330" s="232">
        <v>2</v>
      </c>
      <c r="H330" s="232">
        <v>1</v>
      </c>
      <c r="I330" s="232">
        <v>1</v>
      </c>
      <c r="J330" s="232">
        <v>1</v>
      </c>
    </row>
    <row r="331" spans="2:10">
      <c r="B331" s="136" t="s">
        <v>117</v>
      </c>
      <c r="C331" s="232"/>
      <c r="D331" s="232"/>
      <c r="E331" s="232"/>
      <c r="F331" s="232"/>
      <c r="G331" s="232"/>
      <c r="H331" s="232"/>
    </row>
    <row r="332" spans="2:10" ht="15" thickBot="1">
      <c r="B332" s="133" t="s">
        <v>322</v>
      </c>
      <c r="C332" s="232"/>
      <c r="D332" s="232"/>
      <c r="E332" s="232"/>
      <c r="F332" s="232"/>
      <c r="G332" s="232"/>
      <c r="H332" s="232"/>
      <c r="I332" s="232"/>
      <c r="J332" s="232"/>
    </row>
    <row r="333" spans="2:10" ht="15" thickTop="1">
      <c r="B333" s="2025" t="s">
        <v>1405</v>
      </c>
      <c r="C333" s="2025"/>
      <c r="D333" s="2025"/>
      <c r="E333" s="2025"/>
      <c r="F333" s="2025"/>
      <c r="G333" s="2025"/>
      <c r="H333" s="2025"/>
      <c r="I333" s="2025"/>
      <c r="J333" s="2025"/>
    </row>
    <row r="334" spans="2:10">
      <c r="B334" s="64"/>
      <c r="C334" s="302"/>
      <c r="D334" s="302"/>
      <c r="E334" s="302"/>
      <c r="F334" s="302"/>
      <c r="G334" s="302"/>
      <c r="H334" s="302"/>
      <c r="I334" s="302"/>
      <c r="J334" s="302"/>
    </row>
    <row r="335" spans="2:10">
      <c r="B335" s="2097" t="s">
        <v>320</v>
      </c>
      <c r="C335" s="2097"/>
      <c r="D335" s="2097"/>
      <c r="E335" s="2097"/>
      <c r="F335" s="2097"/>
      <c r="G335" s="2097"/>
      <c r="H335" s="2097"/>
      <c r="I335" s="2097"/>
      <c r="J335" s="2097"/>
    </row>
    <row r="336" spans="2:10">
      <c r="B336" s="12" t="s">
        <v>319</v>
      </c>
      <c r="C336" s="302"/>
      <c r="D336" s="302"/>
      <c r="E336" s="302"/>
      <c r="F336" s="302"/>
      <c r="G336" s="302"/>
      <c r="H336" s="302"/>
      <c r="I336" s="302"/>
      <c r="J336" s="302"/>
    </row>
    <row r="337" spans="2:10">
      <c r="B337" s="62" t="s">
        <v>242</v>
      </c>
      <c r="C337" s="302"/>
      <c r="D337" s="302"/>
      <c r="E337" s="302"/>
      <c r="F337" s="302"/>
      <c r="G337" s="302"/>
      <c r="H337" s="302"/>
      <c r="I337" s="302"/>
      <c r="J337" s="302"/>
    </row>
    <row r="338" spans="2:10">
      <c r="B338" s="64"/>
      <c r="C338" s="302"/>
      <c r="D338" s="302"/>
      <c r="E338" s="302"/>
      <c r="F338" s="302"/>
      <c r="G338" s="302"/>
      <c r="H338" s="302"/>
      <c r="I338" s="302"/>
      <c r="J338" s="302"/>
    </row>
    <row r="339" spans="2:10">
      <c r="B339" s="61"/>
      <c r="C339" s="850">
        <v>2014</v>
      </c>
      <c r="D339" s="850">
        <v>2015</v>
      </c>
      <c r="E339" s="850">
        <v>2016</v>
      </c>
      <c r="F339" s="850">
        <v>2017</v>
      </c>
      <c r="G339" s="850">
        <v>2018</v>
      </c>
      <c r="H339" s="850">
        <v>2019</v>
      </c>
      <c r="I339" s="850">
        <v>2020</v>
      </c>
      <c r="J339" s="850">
        <v>2021</v>
      </c>
    </row>
    <row r="340" spans="2:10">
      <c r="B340" s="114" t="s">
        <v>310</v>
      </c>
      <c r="C340" s="107"/>
      <c r="D340" s="107"/>
      <c r="E340" s="107"/>
      <c r="F340" s="107"/>
      <c r="G340" s="107"/>
      <c r="H340" s="107"/>
      <c r="I340" s="107"/>
      <c r="J340" s="107"/>
    </row>
    <row r="341" spans="2:10">
      <c r="B341" s="114"/>
      <c r="C341" s="107"/>
      <c r="D341" s="107"/>
      <c r="E341" s="107"/>
      <c r="F341" s="107"/>
      <c r="G341" s="107"/>
      <c r="H341" s="107"/>
      <c r="I341" s="107"/>
      <c r="J341" s="107"/>
    </row>
    <row r="342" spans="2:10">
      <c r="B342" s="59" t="s">
        <v>1442</v>
      </c>
      <c r="C342" s="129">
        <f>C344+C351</f>
        <v>9.9000000000000005E-2</v>
      </c>
      <c r="D342" s="129">
        <f>D344+D351</f>
        <v>0.10100000000000001</v>
      </c>
      <c r="E342" s="129">
        <f t="shared" ref="E342:J342" si="7">E344+E351</f>
        <v>9.9000000000000005E-2</v>
      </c>
      <c r="F342" s="129">
        <f t="shared" si="7"/>
        <v>0.10100000000000001</v>
      </c>
      <c r="G342" s="129">
        <f t="shared" si="7"/>
        <v>0.109</v>
      </c>
      <c r="H342" s="129">
        <f t="shared" si="7"/>
        <v>0.11299999999999999</v>
      </c>
      <c r="I342" s="129">
        <f t="shared" si="7"/>
        <v>0.106254</v>
      </c>
      <c r="J342" s="129">
        <f t="shared" si="7"/>
        <v>0.120034</v>
      </c>
    </row>
    <row r="343" spans="2:10">
      <c r="B343" s="59" t="s">
        <v>1444</v>
      </c>
      <c r="D343" s="129"/>
      <c r="E343" s="129"/>
      <c r="F343" s="129"/>
      <c r="G343" s="129"/>
      <c r="H343" s="129"/>
      <c r="I343" s="129"/>
      <c r="J343" s="129"/>
    </row>
    <row r="344" spans="2:10">
      <c r="B344" s="71" t="s">
        <v>297</v>
      </c>
      <c r="C344" s="462">
        <v>9.0999999999999998E-2</v>
      </c>
      <c r="D344" s="858">
        <v>9.1999999999999998E-2</v>
      </c>
      <c r="E344" s="858">
        <v>9.1999999999999998E-2</v>
      </c>
      <c r="F344" s="859">
        <v>9.2999999999999999E-2</v>
      </c>
      <c r="G344" s="859">
        <v>0.1</v>
      </c>
      <c r="H344" s="859">
        <v>0.105</v>
      </c>
      <c r="I344" s="859">
        <v>9.9253999999999995E-2</v>
      </c>
      <c r="J344" s="859">
        <v>0.111485</v>
      </c>
    </row>
    <row r="345" spans="2:10">
      <c r="B345" s="133" t="s">
        <v>296</v>
      </c>
      <c r="C345" s="462">
        <v>9.0999999999999998E-2</v>
      </c>
      <c r="D345" s="858">
        <v>9.1999999999999998E-2</v>
      </c>
      <c r="E345" s="858">
        <v>9.1999999999999998E-2</v>
      </c>
      <c r="F345" s="859">
        <v>9.2999999999999999E-2</v>
      </c>
      <c r="G345" s="859">
        <v>0.1</v>
      </c>
      <c r="H345" s="859">
        <v>0.105</v>
      </c>
      <c r="I345" s="859">
        <v>9.9253999999999995E-2</v>
      </c>
      <c r="J345" s="859">
        <v>0.111485</v>
      </c>
    </row>
    <row r="346" spans="2:10">
      <c r="B346" s="132" t="s">
        <v>295</v>
      </c>
      <c r="C346" s="860"/>
      <c r="D346" s="858"/>
      <c r="E346" s="858"/>
      <c r="F346" s="858"/>
      <c r="G346" s="858"/>
      <c r="H346" s="858"/>
      <c r="I346" s="858"/>
      <c r="J346" s="858"/>
    </row>
    <row r="347" spans="2:10">
      <c r="B347" s="132" t="s">
        <v>303</v>
      </c>
      <c r="C347" s="860"/>
      <c r="D347" s="860"/>
      <c r="E347" s="860"/>
      <c r="F347" s="860"/>
      <c r="G347" s="860"/>
      <c r="H347" s="860"/>
      <c r="I347" s="860"/>
      <c r="J347" s="860"/>
    </row>
    <row r="348" spans="2:10">
      <c r="B348" s="65" t="s">
        <v>287</v>
      </c>
      <c r="C348" s="861">
        <v>0.52029999999999998</v>
      </c>
      <c r="D348" s="861">
        <v>0.50729999999999997</v>
      </c>
      <c r="E348" s="861">
        <v>0.51049999999999995</v>
      </c>
      <c r="F348" s="861">
        <v>0.54479999999999995</v>
      </c>
      <c r="G348" s="862">
        <v>0.5716</v>
      </c>
      <c r="H348" s="862">
        <v>0.57879999999999998</v>
      </c>
      <c r="I348" s="862">
        <v>0.59096862594958388</v>
      </c>
      <c r="J348" s="862">
        <v>0.62011929856034442</v>
      </c>
    </row>
    <row r="349" spans="2:10">
      <c r="B349" s="302"/>
      <c r="C349" s="129"/>
      <c r="D349" s="129"/>
      <c r="E349" s="129"/>
      <c r="F349" s="129"/>
      <c r="G349" s="129"/>
      <c r="H349" s="129"/>
      <c r="I349" s="129"/>
      <c r="J349" s="129"/>
    </row>
    <row r="350" spans="2:10">
      <c r="B350" s="59" t="s">
        <v>1445</v>
      </c>
      <c r="C350" s="129"/>
      <c r="D350" s="129"/>
      <c r="E350" s="129"/>
      <c r="F350" s="129"/>
      <c r="G350" s="129"/>
      <c r="H350" s="129"/>
      <c r="I350" s="129"/>
      <c r="J350" s="129"/>
    </row>
    <row r="351" spans="2:10">
      <c r="B351" s="71" t="s">
        <v>297</v>
      </c>
      <c r="C351" s="129">
        <v>8.0000000000000002E-3</v>
      </c>
      <c r="D351" s="129">
        <v>9.0000000000000011E-3</v>
      </c>
      <c r="E351" s="129">
        <v>7.0000000000000001E-3</v>
      </c>
      <c r="F351" s="129">
        <v>8.0000000000000002E-3</v>
      </c>
      <c r="G351" s="129">
        <v>8.9999999999999993E-3</v>
      </c>
      <c r="H351" s="129">
        <v>8.0000000000000002E-3</v>
      </c>
      <c r="I351" s="129">
        <v>7.0000000000000001E-3</v>
      </c>
      <c r="J351" s="129">
        <v>8.5489999999999993E-3</v>
      </c>
    </row>
    <row r="352" spans="2:10">
      <c r="B352" s="133" t="s">
        <v>296</v>
      </c>
      <c r="C352" s="129">
        <v>7.0000000000000001E-3</v>
      </c>
      <c r="D352" s="129">
        <v>8.0000000000000002E-3</v>
      </c>
      <c r="E352" s="129">
        <v>6.0000000000000001E-3</v>
      </c>
      <c r="F352" s="129">
        <v>7.0000000000000001E-3</v>
      </c>
      <c r="G352" s="129">
        <v>7.0000000000000001E-3</v>
      </c>
      <c r="H352" s="129">
        <v>6.0000000000000001E-3</v>
      </c>
      <c r="I352" s="129">
        <v>5.0000000000000001E-3</v>
      </c>
      <c r="J352" s="129">
        <v>5.9549999999999994E-3</v>
      </c>
    </row>
    <row r="353" spans="2:10">
      <c r="B353" s="132" t="s">
        <v>295</v>
      </c>
      <c r="C353" s="129" t="s">
        <v>1446</v>
      </c>
      <c r="D353" s="129" t="s">
        <v>1446</v>
      </c>
      <c r="E353" s="129" t="s">
        <v>1446</v>
      </c>
      <c r="F353" s="129" t="s">
        <v>1446</v>
      </c>
      <c r="G353" s="129" t="s">
        <v>1446</v>
      </c>
      <c r="H353" s="129" t="s">
        <v>1446</v>
      </c>
      <c r="I353" s="129" t="s">
        <v>1446</v>
      </c>
      <c r="J353" s="129" t="s">
        <v>1446</v>
      </c>
    </row>
    <row r="354" spans="2:10">
      <c r="B354" s="132" t="s">
        <v>303</v>
      </c>
      <c r="C354" s="129">
        <v>1E-3</v>
      </c>
      <c r="D354" s="129">
        <v>1E-3</v>
      </c>
      <c r="E354" s="129">
        <v>1E-3</v>
      </c>
      <c r="F354" s="129">
        <v>1E-3</v>
      </c>
      <c r="G354" s="129">
        <v>2E-3</v>
      </c>
      <c r="H354" s="129">
        <v>2E-3</v>
      </c>
      <c r="I354" s="129">
        <v>2E-3</v>
      </c>
      <c r="J354" s="129">
        <v>2.594E-3</v>
      </c>
    </row>
    <row r="355" spans="2:10">
      <c r="B355" s="65" t="s">
        <v>287</v>
      </c>
      <c r="C355" s="137">
        <v>0.57750000000000001</v>
      </c>
      <c r="D355" s="137">
        <v>0.56999999999999995</v>
      </c>
      <c r="E355" s="137">
        <v>0.59140000000000004</v>
      </c>
      <c r="F355" s="137">
        <v>0.57299999999999995</v>
      </c>
      <c r="G355" s="137">
        <v>0.56879999999999997</v>
      </c>
      <c r="H355" s="137">
        <v>0.61419999999999997</v>
      </c>
      <c r="I355" s="137">
        <v>0.65148406510737245</v>
      </c>
      <c r="J355" s="137">
        <v>0.6874488244239092</v>
      </c>
    </row>
    <row r="356" spans="2:10">
      <c r="B356" s="65"/>
      <c r="C356" s="536"/>
      <c r="D356" s="536"/>
      <c r="E356" s="536"/>
      <c r="F356" s="536"/>
      <c r="G356" s="536"/>
      <c r="H356" s="536"/>
      <c r="I356" s="536"/>
      <c r="J356" s="536"/>
    </row>
    <row r="357" spans="2:10">
      <c r="B357" s="114" t="s">
        <v>302</v>
      </c>
      <c r="C357" s="129"/>
      <c r="D357" s="129"/>
      <c r="E357" s="129"/>
      <c r="F357" s="129"/>
      <c r="G357" s="129"/>
      <c r="H357" s="129"/>
      <c r="I357" s="129"/>
      <c r="J357" s="129"/>
    </row>
    <row r="358" spans="2:10">
      <c r="B358" s="114"/>
      <c r="C358" s="129"/>
      <c r="D358" s="129"/>
      <c r="E358" s="129"/>
      <c r="F358" s="129"/>
      <c r="G358" s="129"/>
      <c r="H358" s="129"/>
      <c r="I358" s="129"/>
      <c r="J358" s="129"/>
    </row>
    <row r="359" spans="2:10">
      <c r="B359" s="59" t="s">
        <v>1247</v>
      </c>
      <c r="C359" s="129">
        <f>C361+C381</f>
        <v>21.033999999999999</v>
      </c>
      <c r="D359" s="129">
        <f t="shared" ref="D359:G359" si="8">D361+D381</f>
        <v>20.112000000000002</v>
      </c>
      <c r="E359" s="129">
        <f t="shared" si="8"/>
        <v>18.974</v>
      </c>
      <c r="F359" s="129">
        <f t="shared" si="8"/>
        <v>17.494</v>
      </c>
      <c r="G359" s="129">
        <f t="shared" si="8"/>
        <v>16.637</v>
      </c>
      <c r="H359" s="129">
        <f>H361+H381</f>
        <v>15.753</v>
      </c>
      <c r="I359" s="129">
        <f>I361+I381</f>
        <v>11.717118999999999</v>
      </c>
      <c r="J359" s="129">
        <f>J361+J381</f>
        <v>11.064026</v>
      </c>
    </row>
    <row r="360" spans="2:10">
      <c r="B360" s="59" t="s">
        <v>1444</v>
      </c>
      <c r="C360" s="129"/>
      <c r="D360" s="129"/>
      <c r="E360" s="129"/>
      <c r="F360" s="129"/>
      <c r="G360" s="129"/>
      <c r="H360" s="129"/>
      <c r="I360" s="129"/>
      <c r="J360" s="129"/>
    </row>
    <row r="361" spans="2:10">
      <c r="B361" s="71" t="s">
        <v>297</v>
      </c>
      <c r="C361" s="129">
        <v>20.294</v>
      </c>
      <c r="D361" s="129">
        <v>19.349</v>
      </c>
      <c r="E361" s="129">
        <v>18.222000000000001</v>
      </c>
      <c r="F361" s="129">
        <v>16.777999999999999</v>
      </c>
      <c r="G361" s="129">
        <v>15.939</v>
      </c>
      <c r="H361" s="129">
        <v>15.081</v>
      </c>
      <c r="I361" s="129">
        <v>11.263999999999999</v>
      </c>
      <c r="J361" s="129">
        <v>10.633573</v>
      </c>
    </row>
    <row r="362" spans="2:10">
      <c r="B362" s="133" t="s">
        <v>296</v>
      </c>
      <c r="C362" s="129"/>
      <c r="D362" s="129"/>
      <c r="E362" s="129"/>
      <c r="F362" s="129"/>
      <c r="G362" s="129"/>
      <c r="H362" s="129"/>
      <c r="I362" s="129"/>
      <c r="J362" s="129"/>
    </row>
    <row r="363" spans="2:10">
      <c r="B363" s="131" t="s">
        <v>294</v>
      </c>
      <c r="C363" s="129"/>
      <c r="D363" s="129"/>
      <c r="E363" s="129"/>
      <c r="F363" s="129"/>
      <c r="G363" s="129"/>
      <c r="H363" s="129"/>
      <c r="I363" s="129"/>
      <c r="J363" s="129"/>
    </row>
    <row r="364" spans="2:10">
      <c r="B364" s="131" t="s">
        <v>293</v>
      </c>
      <c r="C364" s="129"/>
      <c r="D364" s="129"/>
      <c r="E364" s="129"/>
      <c r="F364" s="129"/>
      <c r="G364" s="129"/>
      <c r="H364" s="129"/>
      <c r="I364" s="129"/>
      <c r="J364" s="129"/>
    </row>
    <row r="365" spans="2:10">
      <c r="B365" s="131" t="s">
        <v>292</v>
      </c>
      <c r="C365" s="129"/>
      <c r="D365" s="129"/>
      <c r="E365" s="129"/>
      <c r="F365" s="129"/>
      <c r="G365" s="129"/>
      <c r="H365" s="129"/>
      <c r="I365" s="129"/>
      <c r="J365" s="129"/>
    </row>
    <row r="366" spans="2:10">
      <c r="B366" s="131" t="s">
        <v>291</v>
      </c>
      <c r="C366" s="129"/>
      <c r="D366" s="129"/>
      <c r="E366" s="129"/>
      <c r="F366" s="129"/>
      <c r="G366" s="129"/>
      <c r="H366" s="129"/>
      <c r="I366" s="129"/>
      <c r="J366" s="129"/>
    </row>
    <row r="367" spans="2:10">
      <c r="B367" s="131" t="s">
        <v>290</v>
      </c>
      <c r="C367" s="129"/>
      <c r="D367" s="129"/>
      <c r="E367" s="129"/>
      <c r="F367" s="129"/>
      <c r="G367" s="129"/>
      <c r="H367" s="129"/>
      <c r="I367" s="129"/>
      <c r="J367" s="129"/>
    </row>
    <row r="368" spans="2:10">
      <c r="B368" s="131" t="s">
        <v>289</v>
      </c>
      <c r="C368" s="129">
        <v>20.294</v>
      </c>
      <c r="D368" s="129">
        <v>19.349</v>
      </c>
      <c r="E368" s="129">
        <v>18.222000000000001</v>
      </c>
      <c r="F368" s="129">
        <v>16.777999999999999</v>
      </c>
      <c r="G368" s="129">
        <v>15.939</v>
      </c>
      <c r="H368" s="129">
        <v>15.081</v>
      </c>
      <c r="I368" s="129">
        <v>11.263999999999999</v>
      </c>
      <c r="J368" s="129">
        <v>10.633573</v>
      </c>
    </row>
    <row r="369" spans="2:10">
      <c r="B369" s="131" t="s">
        <v>288</v>
      </c>
      <c r="C369" s="129"/>
      <c r="D369" s="129"/>
      <c r="E369" s="129"/>
      <c r="F369" s="129"/>
      <c r="G369" s="129"/>
      <c r="H369" s="129"/>
      <c r="I369" s="129"/>
      <c r="J369" s="129"/>
    </row>
    <row r="370" spans="2:10">
      <c r="B370" s="132" t="s">
        <v>295</v>
      </c>
      <c r="C370" s="129"/>
      <c r="D370" s="129"/>
      <c r="E370" s="129"/>
      <c r="F370" s="129"/>
      <c r="G370" s="129"/>
      <c r="H370" s="129"/>
      <c r="I370" s="129"/>
      <c r="J370" s="129"/>
    </row>
    <row r="371" spans="2:10">
      <c r="B371" s="131" t="s">
        <v>294</v>
      </c>
      <c r="C371" s="129"/>
      <c r="D371" s="129"/>
      <c r="E371" s="129"/>
      <c r="F371" s="129"/>
      <c r="G371" s="129"/>
      <c r="H371" s="129"/>
      <c r="I371" s="129"/>
      <c r="J371" s="129"/>
    </row>
    <row r="372" spans="2:10">
      <c r="B372" s="131" t="s">
        <v>293</v>
      </c>
      <c r="C372" s="129"/>
      <c r="D372" s="129"/>
      <c r="E372" s="129"/>
      <c r="F372" s="129"/>
      <c r="G372" s="129"/>
      <c r="H372" s="129"/>
      <c r="I372" s="129"/>
      <c r="J372" s="129"/>
    </row>
    <row r="373" spans="2:10">
      <c r="B373" s="131" t="s">
        <v>292</v>
      </c>
      <c r="C373" s="129"/>
      <c r="D373" s="129"/>
      <c r="E373" s="129"/>
      <c r="F373" s="129"/>
      <c r="G373" s="129"/>
      <c r="H373" s="129"/>
      <c r="I373" s="129"/>
      <c r="J373" s="129"/>
    </row>
    <row r="374" spans="2:10">
      <c r="B374" s="131" t="s">
        <v>291</v>
      </c>
      <c r="C374" s="129"/>
      <c r="D374" s="129"/>
      <c r="E374" s="129"/>
      <c r="F374" s="129"/>
      <c r="G374" s="129"/>
      <c r="H374" s="129"/>
      <c r="I374" s="129"/>
      <c r="J374" s="129"/>
    </row>
    <row r="375" spans="2:10">
      <c r="B375" s="131" t="s">
        <v>290</v>
      </c>
      <c r="C375" s="129"/>
      <c r="D375" s="129"/>
      <c r="E375" s="129"/>
      <c r="F375" s="129"/>
      <c r="G375" s="129"/>
      <c r="H375" s="129"/>
      <c r="I375" s="129"/>
      <c r="J375" s="129"/>
    </row>
    <row r="376" spans="2:10">
      <c r="B376" s="131" t="s">
        <v>289</v>
      </c>
      <c r="C376" s="129"/>
      <c r="D376" s="129"/>
      <c r="E376" s="129"/>
      <c r="F376" s="129"/>
      <c r="G376" s="129"/>
      <c r="H376" s="129"/>
      <c r="I376" s="129"/>
      <c r="J376" s="129"/>
    </row>
    <row r="377" spans="2:10">
      <c r="B377" s="131" t="s">
        <v>288</v>
      </c>
      <c r="C377" s="129"/>
      <c r="D377" s="129"/>
      <c r="E377" s="129"/>
      <c r="F377" s="129"/>
      <c r="G377" s="129"/>
      <c r="H377" s="129"/>
      <c r="I377" s="129"/>
      <c r="J377" s="129"/>
    </row>
    <row r="378" spans="2:10">
      <c r="B378" s="65" t="s">
        <v>287</v>
      </c>
      <c r="C378" s="137">
        <v>0.82950000000000002</v>
      </c>
      <c r="D378" s="137">
        <v>0.82750000000000001</v>
      </c>
      <c r="E378" s="137">
        <v>0.87949999999999995</v>
      </c>
      <c r="F378" s="137">
        <v>0.88056999999999996</v>
      </c>
      <c r="G378" s="137">
        <v>0.88</v>
      </c>
      <c r="H378" s="137">
        <v>0.87619999999999998</v>
      </c>
      <c r="I378" s="137">
        <v>0.87160000000000004</v>
      </c>
      <c r="J378" s="137">
        <v>0.86338627665414058</v>
      </c>
    </row>
    <row r="379" spans="2:10">
      <c r="B379" s="133"/>
      <c r="C379" s="536"/>
      <c r="D379" s="536"/>
      <c r="E379" s="536"/>
      <c r="F379" s="536"/>
      <c r="G379" s="536"/>
      <c r="H379" s="536"/>
      <c r="I379" s="536"/>
      <c r="J379" s="536"/>
    </row>
    <row r="380" spans="2:10">
      <c r="B380" s="59" t="s">
        <v>1445</v>
      </c>
      <c r="C380" s="129"/>
      <c r="D380" s="129"/>
      <c r="E380" s="129"/>
      <c r="F380" s="129"/>
      <c r="G380" s="129"/>
      <c r="H380" s="129"/>
      <c r="I380" s="129"/>
      <c r="J380" s="129"/>
    </row>
    <row r="381" spans="2:10">
      <c r="B381" s="71" t="s">
        <v>297</v>
      </c>
      <c r="C381" s="129">
        <v>0.74</v>
      </c>
      <c r="D381" s="129">
        <v>0.76300000000000001</v>
      </c>
      <c r="E381" s="129">
        <v>0.752</v>
      </c>
      <c r="F381" s="129">
        <v>0.71599999999999997</v>
      </c>
      <c r="G381" s="129">
        <v>0.69799999999999995</v>
      </c>
      <c r="H381" s="129">
        <v>0.67200000000000004</v>
      </c>
      <c r="I381" s="129">
        <v>0.45311899999999999</v>
      </c>
      <c r="J381" s="129">
        <v>0.43045299999999997</v>
      </c>
    </row>
    <row r="382" spans="2:10">
      <c r="B382" s="133" t="s">
        <v>296</v>
      </c>
      <c r="C382" s="102"/>
      <c r="D382" s="129"/>
      <c r="E382" s="129"/>
      <c r="F382" s="129"/>
      <c r="G382" s="129"/>
      <c r="H382" s="129"/>
      <c r="I382" s="129"/>
      <c r="J382" s="129"/>
    </row>
    <row r="383" spans="2:10">
      <c r="B383" s="131" t="s">
        <v>294</v>
      </c>
      <c r="C383" s="102"/>
      <c r="D383" s="129"/>
      <c r="E383" s="129"/>
      <c r="F383" s="129"/>
      <c r="G383" s="129"/>
      <c r="H383" s="129"/>
      <c r="I383" s="129"/>
      <c r="J383" s="129"/>
    </row>
    <row r="384" spans="2:10">
      <c r="B384" s="131" t="s">
        <v>293</v>
      </c>
      <c r="C384" s="102"/>
      <c r="D384" s="129"/>
      <c r="E384" s="129"/>
      <c r="F384" s="129"/>
      <c r="G384" s="129"/>
      <c r="H384" s="129"/>
      <c r="I384" s="129"/>
      <c r="J384" s="129"/>
    </row>
    <row r="385" spans="2:10">
      <c r="B385" s="131" t="s">
        <v>292</v>
      </c>
      <c r="C385" s="102"/>
      <c r="D385" s="129"/>
      <c r="E385" s="129"/>
      <c r="F385" s="129"/>
      <c r="G385" s="129"/>
      <c r="H385" s="129"/>
      <c r="I385" s="129"/>
      <c r="J385" s="129"/>
    </row>
    <row r="386" spans="2:10">
      <c r="B386" s="131" t="s">
        <v>291</v>
      </c>
      <c r="C386" s="102"/>
      <c r="D386" s="129"/>
      <c r="E386" s="129"/>
      <c r="F386" s="129"/>
      <c r="G386" s="129"/>
      <c r="H386" s="129"/>
      <c r="I386" s="129"/>
      <c r="J386" s="129"/>
    </row>
    <row r="387" spans="2:10">
      <c r="B387" s="131" t="s">
        <v>290</v>
      </c>
      <c r="C387" s="102"/>
      <c r="D387" s="129"/>
      <c r="E387" s="129"/>
      <c r="F387" s="129"/>
      <c r="G387" s="129"/>
      <c r="H387" s="129"/>
      <c r="I387" s="129"/>
      <c r="J387" s="129"/>
    </row>
    <row r="388" spans="2:10">
      <c r="B388" s="131" t="s">
        <v>289</v>
      </c>
      <c r="C388" s="129">
        <v>0.74</v>
      </c>
      <c r="D388" s="129">
        <v>0.76300000000000001</v>
      </c>
      <c r="E388" s="129">
        <v>0.752</v>
      </c>
      <c r="F388" s="129">
        <v>0.71599999999999997</v>
      </c>
      <c r="G388" s="129">
        <v>0.69799999999999995</v>
      </c>
      <c r="H388" s="129">
        <v>0.67200000000000004</v>
      </c>
      <c r="I388" s="129">
        <v>0.45311899999999999</v>
      </c>
      <c r="J388" s="129">
        <v>0.43045299999999997</v>
      </c>
    </row>
    <row r="389" spans="2:10">
      <c r="B389" s="131" t="s">
        <v>288</v>
      </c>
      <c r="C389" s="129"/>
      <c r="D389" s="129"/>
      <c r="E389" s="129"/>
      <c r="F389" s="129"/>
      <c r="G389" s="129"/>
      <c r="H389" s="129"/>
      <c r="I389" s="129"/>
      <c r="J389" s="129"/>
    </row>
    <row r="390" spans="2:10">
      <c r="B390" s="132" t="s">
        <v>295</v>
      </c>
      <c r="C390" s="129"/>
      <c r="D390" s="129"/>
      <c r="E390" s="129"/>
      <c r="F390" s="129"/>
      <c r="G390" s="129"/>
      <c r="H390" s="129"/>
      <c r="I390" s="129"/>
      <c r="J390" s="129"/>
    </row>
    <row r="391" spans="2:10">
      <c r="B391" s="131" t="s">
        <v>294</v>
      </c>
      <c r="C391" s="129"/>
      <c r="D391" s="129"/>
      <c r="E391" s="129"/>
      <c r="F391" s="129"/>
      <c r="G391" s="129"/>
      <c r="H391" s="129"/>
      <c r="I391" s="129"/>
      <c r="J391" s="129"/>
    </row>
    <row r="392" spans="2:10">
      <c r="B392" s="131" t="s">
        <v>293</v>
      </c>
      <c r="C392" s="129"/>
      <c r="D392" s="129"/>
      <c r="E392" s="129"/>
      <c r="F392" s="129"/>
      <c r="G392" s="129"/>
      <c r="H392" s="129"/>
      <c r="I392" s="129"/>
      <c r="J392" s="129"/>
    </row>
    <row r="393" spans="2:10">
      <c r="B393" s="131" t="s">
        <v>292</v>
      </c>
      <c r="C393" s="129"/>
      <c r="D393" s="129"/>
      <c r="E393" s="129"/>
      <c r="F393" s="129"/>
      <c r="G393" s="129"/>
      <c r="H393" s="129"/>
      <c r="I393" s="129"/>
      <c r="J393" s="129"/>
    </row>
    <row r="394" spans="2:10">
      <c r="B394" s="131" t="s">
        <v>291</v>
      </c>
      <c r="C394" s="129"/>
      <c r="D394" s="129"/>
      <c r="E394" s="129"/>
      <c r="F394" s="129"/>
      <c r="G394" s="129"/>
      <c r="H394" s="129"/>
      <c r="I394" s="129"/>
      <c r="J394" s="129"/>
    </row>
    <row r="395" spans="2:10">
      <c r="B395" s="131" t="s">
        <v>290</v>
      </c>
      <c r="C395" s="129"/>
      <c r="D395" s="129"/>
      <c r="E395" s="129"/>
      <c r="F395" s="129"/>
      <c r="G395" s="129"/>
      <c r="H395" s="129"/>
      <c r="I395" s="129"/>
      <c r="J395" s="129"/>
    </row>
    <row r="396" spans="2:10">
      <c r="B396" s="131" t="s">
        <v>289</v>
      </c>
      <c r="C396" s="129"/>
      <c r="D396" s="129"/>
      <c r="E396" s="129"/>
      <c r="F396" s="129"/>
      <c r="G396" s="129"/>
      <c r="H396" s="129"/>
      <c r="I396" s="129"/>
      <c r="J396" s="129"/>
    </row>
    <row r="397" spans="2:10">
      <c r="B397" s="131" t="s">
        <v>288</v>
      </c>
      <c r="C397" s="129"/>
      <c r="D397" s="129"/>
      <c r="E397" s="129"/>
      <c r="F397" s="129"/>
      <c r="G397" s="129"/>
      <c r="H397" s="129"/>
      <c r="I397" s="129"/>
      <c r="J397" s="129"/>
    </row>
    <row r="398" spans="2:10">
      <c r="B398" s="65" t="s">
        <v>287</v>
      </c>
      <c r="C398" s="137">
        <v>0.77510000000000001</v>
      </c>
      <c r="D398" s="137">
        <v>0.78959999999999997</v>
      </c>
      <c r="E398" s="137">
        <v>0.83209999999999995</v>
      </c>
      <c r="F398" s="137">
        <v>0.83565999999999996</v>
      </c>
      <c r="G398" s="137">
        <v>0.87529999999999997</v>
      </c>
      <c r="H398" s="137">
        <v>0.86060000000000003</v>
      </c>
      <c r="I398" s="137">
        <v>0.85540000000000005</v>
      </c>
      <c r="J398" s="137">
        <v>0.8537424527184152</v>
      </c>
    </row>
    <row r="399" spans="2:10">
      <c r="B399" s="133"/>
      <c r="C399" s="536"/>
      <c r="D399" s="536"/>
      <c r="E399" s="536"/>
      <c r="F399" s="536"/>
      <c r="G399" s="536"/>
      <c r="H399" s="536"/>
      <c r="I399" s="536"/>
      <c r="J399" s="536"/>
    </row>
    <row r="400" spans="2:10">
      <c r="B400" s="59" t="s">
        <v>1249</v>
      </c>
      <c r="C400" s="129">
        <f>C402+C422</f>
        <v>1.46</v>
      </c>
      <c r="D400" s="129">
        <f t="shared" ref="D400:J400" si="9">D402+D422</f>
        <v>2.157</v>
      </c>
      <c r="E400" s="129">
        <f t="shared" si="9"/>
        <v>2.976</v>
      </c>
      <c r="F400" s="129">
        <f t="shared" si="9"/>
        <v>4.1040000000000001</v>
      </c>
      <c r="G400" s="129">
        <f t="shared" si="9"/>
        <v>5.79</v>
      </c>
      <c r="H400" s="129">
        <f t="shared" si="9"/>
        <v>7.9339999999999993</v>
      </c>
      <c r="I400" s="129">
        <f t="shared" si="9"/>
        <v>16.179041000000002</v>
      </c>
      <c r="J400" s="129">
        <f t="shared" si="9"/>
        <v>33.453817000000001</v>
      </c>
    </row>
    <row r="401" spans="2:10">
      <c r="B401" s="59" t="s">
        <v>1444</v>
      </c>
      <c r="C401" s="129"/>
      <c r="D401" s="129"/>
      <c r="E401" s="129"/>
      <c r="F401" s="129"/>
      <c r="G401" s="129"/>
      <c r="H401" s="129"/>
      <c r="I401" s="129"/>
      <c r="J401" s="129"/>
    </row>
    <row r="402" spans="2:10">
      <c r="B402" s="71" t="s">
        <v>297</v>
      </c>
      <c r="C402" s="129">
        <v>1.401</v>
      </c>
      <c r="D402" s="129">
        <v>2.0710000000000002</v>
      </c>
      <c r="E402" s="129">
        <v>2.8609999999999998</v>
      </c>
      <c r="F402" s="129">
        <v>3.948</v>
      </c>
      <c r="G402" s="129">
        <v>5.5830000000000002</v>
      </c>
      <c r="H402" s="129">
        <v>7.6639999999999997</v>
      </c>
      <c r="I402" s="129">
        <v>15.766681</v>
      </c>
      <c r="J402" s="129">
        <v>32.808143999999999</v>
      </c>
    </row>
    <row r="403" spans="2:10">
      <c r="B403" s="133" t="s">
        <v>296</v>
      </c>
      <c r="C403" s="129">
        <v>1.401</v>
      </c>
      <c r="D403" s="129">
        <v>2.0710000000000002</v>
      </c>
      <c r="E403" s="129">
        <v>2.8609999999999998</v>
      </c>
      <c r="F403" s="129">
        <v>3.948</v>
      </c>
      <c r="G403" s="129">
        <v>5.5830000000000002</v>
      </c>
      <c r="H403" s="129">
        <v>7.6639999999999997</v>
      </c>
      <c r="I403" s="129">
        <v>15.766681</v>
      </c>
      <c r="J403" s="129">
        <v>32.808143999999999</v>
      </c>
    </row>
    <row r="404" spans="2:10">
      <c r="B404" s="131" t="s">
        <v>294</v>
      </c>
      <c r="C404" s="129">
        <v>1.282</v>
      </c>
      <c r="D404" s="129">
        <v>1.915</v>
      </c>
      <c r="E404" s="129">
        <v>2.6619999999999999</v>
      </c>
      <c r="F404" s="129">
        <v>3.7389999999999999</v>
      </c>
      <c r="G404" s="129">
        <v>5.3630000000000004</v>
      </c>
      <c r="H404" s="129">
        <v>7.4119999999999999</v>
      </c>
      <c r="I404" s="129">
        <v>15.545</v>
      </c>
      <c r="J404" s="129">
        <v>32.573656999999997</v>
      </c>
    </row>
    <row r="405" spans="2:10">
      <c r="B405" s="131" t="s">
        <v>293</v>
      </c>
      <c r="C405" s="129">
        <v>0.11899999999999999</v>
      </c>
      <c r="D405" s="129">
        <v>0.156</v>
      </c>
      <c r="E405" s="129">
        <v>0.19900000000000001</v>
      </c>
      <c r="F405" s="129">
        <v>0.20899999999999999</v>
      </c>
      <c r="G405" s="129">
        <v>0.22</v>
      </c>
      <c r="H405" s="129">
        <v>0.252</v>
      </c>
      <c r="I405" s="129">
        <v>0.222249</v>
      </c>
      <c r="J405" s="129">
        <v>0.234487</v>
      </c>
    </row>
    <row r="406" spans="2:10">
      <c r="B406" s="131" t="s">
        <v>292</v>
      </c>
      <c r="C406" s="129"/>
      <c r="D406" s="129"/>
      <c r="E406" s="129"/>
      <c r="F406" s="129"/>
      <c r="G406" s="129"/>
      <c r="H406" s="129"/>
      <c r="I406" s="129"/>
      <c r="J406" s="129"/>
    </row>
    <row r="407" spans="2:10">
      <c r="B407" s="131" t="s">
        <v>291</v>
      </c>
      <c r="C407" s="129"/>
      <c r="D407" s="129"/>
      <c r="E407" s="129"/>
      <c r="F407" s="129"/>
      <c r="G407" s="129"/>
      <c r="H407" s="129"/>
      <c r="I407" s="129"/>
      <c r="J407" s="129"/>
    </row>
    <row r="408" spans="2:10">
      <c r="B408" s="131" t="s">
        <v>290</v>
      </c>
      <c r="C408" s="129"/>
      <c r="D408" s="129"/>
      <c r="E408" s="129"/>
      <c r="F408" s="129"/>
      <c r="G408" s="129"/>
      <c r="H408" s="129"/>
      <c r="I408" s="129"/>
      <c r="J408" s="129"/>
    </row>
    <row r="409" spans="2:10">
      <c r="B409" s="131" t="s">
        <v>289</v>
      </c>
      <c r="C409" s="129"/>
      <c r="D409" s="129"/>
      <c r="E409" s="129"/>
      <c r="F409" s="129"/>
      <c r="G409" s="129"/>
      <c r="H409" s="129"/>
      <c r="I409" s="129"/>
      <c r="J409" s="129"/>
    </row>
    <row r="410" spans="2:10">
      <c r="B410" s="131" t="s">
        <v>288</v>
      </c>
      <c r="C410" s="129"/>
      <c r="D410" s="129"/>
      <c r="E410" s="129"/>
      <c r="F410" s="129"/>
      <c r="G410" s="129"/>
      <c r="H410" s="129"/>
      <c r="I410" s="129"/>
      <c r="J410" s="129"/>
    </row>
    <row r="411" spans="2:10">
      <c r="B411" s="132" t="s">
        <v>295</v>
      </c>
      <c r="C411" s="129"/>
      <c r="D411" s="129"/>
      <c r="E411" s="129"/>
      <c r="F411" s="129"/>
      <c r="G411" s="129"/>
      <c r="H411" s="129"/>
      <c r="I411" s="129"/>
      <c r="J411" s="129"/>
    </row>
    <row r="412" spans="2:10">
      <c r="B412" s="131" t="s">
        <v>294</v>
      </c>
      <c r="C412" s="129"/>
      <c r="D412" s="129"/>
      <c r="E412" s="129"/>
      <c r="F412" s="129"/>
      <c r="G412" s="129"/>
      <c r="H412" s="129"/>
      <c r="I412" s="129"/>
      <c r="J412" s="129"/>
    </row>
    <row r="413" spans="2:10">
      <c r="B413" s="131" t="s">
        <v>293</v>
      </c>
      <c r="C413" s="129"/>
      <c r="D413" s="129"/>
      <c r="E413" s="129"/>
      <c r="F413" s="129"/>
      <c r="G413" s="129"/>
      <c r="H413" s="129"/>
      <c r="I413" s="129"/>
      <c r="J413" s="129"/>
    </row>
    <row r="414" spans="2:10">
      <c r="B414" s="131" t="s">
        <v>292</v>
      </c>
      <c r="C414" s="129"/>
      <c r="D414" s="129"/>
      <c r="E414" s="129"/>
      <c r="F414" s="129"/>
      <c r="G414" s="129"/>
      <c r="H414" s="129"/>
      <c r="I414" s="129"/>
      <c r="J414" s="129"/>
    </row>
    <row r="415" spans="2:10">
      <c r="B415" s="131" t="s">
        <v>291</v>
      </c>
      <c r="C415" s="129"/>
      <c r="D415" s="129"/>
      <c r="E415" s="129"/>
      <c r="F415" s="129"/>
      <c r="G415" s="129"/>
      <c r="H415" s="129"/>
      <c r="I415" s="129"/>
      <c r="J415" s="129"/>
    </row>
    <row r="416" spans="2:10">
      <c r="B416" s="131" t="s">
        <v>290</v>
      </c>
      <c r="C416" s="129"/>
      <c r="D416" s="129"/>
      <c r="E416" s="129"/>
      <c r="F416" s="129"/>
      <c r="G416" s="129"/>
      <c r="H416" s="129"/>
      <c r="I416" s="129"/>
      <c r="J416" s="129"/>
    </row>
    <row r="417" spans="2:10">
      <c r="B417" s="131" t="s">
        <v>289</v>
      </c>
      <c r="C417" s="129"/>
      <c r="D417" s="129"/>
      <c r="E417" s="129"/>
      <c r="F417" s="129"/>
      <c r="G417" s="129"/>
      <c r="H417" s="129"/>
      <c r="I417" s="129"/>
      <c r="J417" s="129"/>
    </row>
    <row r="418" spans="2:10">
      <c r="B418" s="131" t="s">
        <v>288</v>
      </c>
      <c r="C418" s="129"/>
      <c r="D418" s="129"/>
      <c r="E418" s="129"/>
      <c r="F418" s="129"/>
      <c r="G418" s="129"/>
      <c r="H418" s="129"/>
      <c r="I418" s="129"/>
      <c r="J418" s="129"/>
    </row>
    <row r="419" spans="2:10">
      <c r="B419" s="65" t="s">
        <v>287</v>
      </c>
      <c r="C419" s="863">
        <v>0.83830000000000005</v>
      </c>
      <c r="D419" s="863">
        <v>0.8306</v>
      </c>
      <c r="E419" s="864">
        <v>0.86870000000000003</v>
      </c>
      <c r="F419" s="864">
        <v>0.87380000000000002</v>
      </c>
      <c r="G419" s="864">
        <v>0.82620000000000005</v>
      </c>
      <c r="H419" s="864">
        <v>0.87119999999999997</v>
      </c>
      <c r="I419" s="864">
        <v>0.86338335886925088</v>
      </c>
      <c r="J419" s="864">
        <v>0.74338545331915151</v>
      </c>
    </row>
    <row r="420" spans="2:10">
      <c r="B420" s="65"/>
      <c r="C420" s="214"/>
      <c r="D420" s="536"/>
      <c r="E420" s="536"/>
      <c r="F420" s="536"/>
      <c r="G420" s="536"/>
      <c r="H420" s="536"/>
      <c r="I420" s="536"/>
      <c r="J420" s="536"/>
    </row>
    <row r="421" spans="2:10">
      <c r="B421" s="59" t="s">
        <v>1445</v>
      </c>
      <c r="C421" s="129"/>
      <c r="D421" s="129"/>
      <c r="E421" s="129"/>
      <c r="F421" s="129"/>
      <c r="G421" s="129"/>
      <c r="H421" s="129"/>
      <c r="I421" s="129"/>
      <c r="J421" s="129"/>
    </row>
    <row r="422" spans="2:10">
      <c r="B422" s="71" t="s">
        <v>297</v>
      </c>
      <c r="C422" s="129">
        <v>5.8999999999999997E-2</v>
      </c>
      <c r="D422" s="129">
        <v>8.6000000000000007E-2</v>
      </c>
      <c r="E422" s="129">
        <v>0.115</v>
      </c>
      <c r="F422" s="129">
        <v>0.156</v>
      </c>
      <c r="G422" s="129">
        <v>0.20699999999999999</v>
      </c>
      <c r="H422" s="129">
        <v>0.27</v>
      </c>
      <c r="I422" s="129">
        <v>0.41236</v>
      </c>
      <c r="J422" s="129">
        <v>0.64567300000000005</v>
      </c>
    </row>
    <row r="423" spans="2:10">
      <c r="B423" s="133" t="s">
        <v>296</v>
      </c>
      <c r="C423" s="129">
        <v>5.8999999999999997E-2</v>
      </c>
      <c r="D423" s="129">
        <v>8.6000000000000007E-2</v>
      </c>
      <c r="E423" s="129">
        <v>0.115</v>
      </c>
      <c r="F423" s="129">
        <v>0.156</v>
      </c>
      <c r="G423" s="129">
        <v>0.20699999999999999</v>
      </c>
      <c r="H423" s="129">
        <v>0.27</v>
      </c>
      <c r="I423" s="129">
        <v>0.41236</v>
      </c>
      <c r="J423" s="129">
        <v>0.64567300000000005</v>
      </c>
    </row>
    <row r="424" spans="2:10">
      <c r="B424" s="131" t="s">
        <v>294</v>
      </c>
      <c r="C424" s="129">
        <v>5.5E-2</v>
      </c>
      <c r="D424" s="129">
        <v>7.9000000000000001E-2</v>
      </c>
      <c r="E424" s="129">
        <v>0.108</v>
      </c>
      <c r="F424" s="129">
        <v>0.14899999999999999</v>
      </c>
      <c r="G424" s="129">
        <v>0.2</v>
      </c>
      <c r="H424" s="129">
        <v>0.26300000000000001</v>
      </c>
      <c r="I424" s="129">
        <v>0.40685900000000003</v>
      </c>
      <c r="J424" s="129">
        <v>0.63884200000000002</v>
      </c>
    </row>
    <row r="425" spans="2:10">
      <c r="B425" s="131" t="s">
        <v>293</v>
      </c>
      <c r="C425" s="129">
        <v>4.0000000000000001E-3</v>
      </c>
      <c r="D425" s="129">
        <v>7.0000000000000001E-3</v>
      </c>
      <c r="E425" s="129">
        <v>7.0000000000000001E-3</v>
      </c>
      <c r="F425" s="129">
        <v>7.0000000000000001E-3</v>
      </c>
      <c r="G425" s="129">
        <v>7.0000000000000001E-3</v>
      </c>
      <c r="H425" s="129">
        <v>7.0000000000000001E-3</v>
      </c>
      <c r="I425" s="129">
        <v>5.0000000000000001E-3</v>
      </c>
      <c r="J425" s="129">
        <v>6.8310000000000003E-3</v>
      </c>
    </row>
    <row r="426" spans="2:10">
      <c r="B426" s="131" t="s">
        <v>292</v>
      </c>
      <c r="C426" s="102"/>
      <c r="D426" s="102"/>
      <c r="E426" s="102"/>
      <c r="F426" s="102"/>
      <c r="G426" s="102"/>
      <c r="H426" s="102"/>
      <c r="I426" s="102"/>
      <c r="J426" s="102"/>
    </row>
    <row r="427" spans="2:10">
      <c r="B427" s="131" t="s">
        <v>291</v>
      </c>
      <c r="C427" s="129"/>
      <c r="D427" s="129"/>
      <c r="E427" s="129"/>
      <c r="F427" s="129"/>
      <c r="G427" s="129"/>
      <c r="H427" s="129"/>
      <c r="I427" s="129"/>
      <c r="J427" s="129"/>
    </row>
    <row r="428" spans="2:10">
      <c r="B428" s="131" t="s">
        <v>290</v>
      </c>
      <c r="C428" s="129"/>
      <c r="D428" s="129"/>
      <c r="E428" s="129"/>
      <c r="F428" s="129"/>
      <c r="G428" s="129"/>
      <c r="H428" s="129"/>
      <c r="I428" s="129"/>
      <c r="J428" s="129"/>
    </row>
    <row r="429" spans="2:10">
      <c r="B429" s="131" t="s">
        <v>289</v>
      </c>
      <c r="C429" s="129"/>
      <c r="D429" s="129"/>
      <c r="E429" s="129"/>
      <c r="F429" s="129"/>
      <c r="G429" s="129"/>
      <c r="H429" s="129"/>
      <c r="I429" s="129"/>
      <c r="J429" s="129"/>
    </row>
    <row r="430" spans="2:10">
      <c r="B430" s="131" t="s">
        <v>288</v>
      </c>
      <c r="C430" s="129"/>
      <c r="D430" s="129"/>
      <c r="E430" s="129"/>
      <c r="F430" s="129"/>
      <c r="G430" s="129"/>
      <c r="H430" s="129"/>
      <c r="I430" s="129"/>
      <c r="J430" s="129"/>
    </row>
    <row r="431" spans="2:10">
      <c r="B431" s="132" t="s">
        <v>295</v>
      </c>
      <c r="C431" s="129"/>
      <c r="D431" s="129"/>
      <c r="E431" s="129"/>
      <c r="F431" s="129"/>
      <c r="G431" s="129"/>
      <c r="H431" s="129"/>
      <c r="I431" s="129"/>
      <c r="J431" s="129"/>
    </row>
    <row r="432" spans="2:10">
      <c r="B432" s="131" t="s">
        <v>294</v>
      </c>
      <c r="C432" s="129"/>
      <c r="D432" s="129"/>
      <c r="E432" s="129"/>
      <c r="F432" s="129"/>
      <c r="G432" s="129"/>
      <c r="H432" s="129"/>
      <c r="I432" s="129"/>
      <c r="J432" s="129"/>
    </row>
    <row r="433" spans="2:11">
      <c r="B433" s="131" t="s">
        <v>293</v>
      </c>
      <c r="C433" s="129"/>
      <c r="D433" s="129"/>
      <c r="E433" s="129"/>
      <c r="F433" s="129"/>
      <c r="G433" s="129"/>
      <c r="H433" s="129"/>
      <c r="I433" s="129"/>
      <c r="J433" s="129"/>
    </row>
    <row r="434" spans="2:11">
      <c r="B434" s="131" t="s">
        <v>292</v>
      </c>
      <c r="C434" s="129"/>
      <c r="D434" s="129"/>
      <c r="E434" s="129"/>
      <c r="F434" s="129"/>
      <c r="G434" s="129"/>
      <c r="H434" s="129"/>
      <c r="I434" s="129"/>
      <c r="J434" s="129"/>
    </row>
    <row r="435" spans="2:11">
      <c r="B435" s="131" t="s">
        <v>291</v>
      </c>
      <c r="C435" s="129"/>
      <c r="D435" s="129"/>
      <c r="E435" s="129"/>
      <c r="F435" s="129"/>
      <c r="G435" s="129"/>
      <c r="H435" s="129"/>
      <c r="I435" s="129"/>
      <c r="J435" s="129"/>
    </row>
    <row r="436" spans="2:11">
      <c r="B436" s="131" t="s">
        <v>290</v>
      </c>
      <c r="C436" s="129"/>
      <c r="D436" s="129"/>
      <c r="E436" s="129"/>
      <c r="F436" s="129"/>
      <c r="G436" s="129"/>
      <c r="H436" s="129"/>
      <c r="I436" s="129"/>
      <c r="J436" s="129"/>
    </row>
    <row r="437" spans="2:11">
      <c r="B437" s="131" t="s">
        <v>289</v>
      </c>
      <c r="C437" s="129"/>
      <c r="D437" s="129"/>
      <c r="E437" s="129"/>
      <c r="F437" s="129"/>
      <c r="G437" s="129"/>
      <c r="H437" s="129"/>
      <c r="I437" s="129"/>
      <c r="J437" s="129"/>
    </row>
    <row r="438" spans="2:11">
      <c r="B438" s="131" t="s">
        <v>288</v>
      </c>
      <c r="C438" s="129"/>
      <c r="D438" s="129"/>
      <c r="E438" s="129"/>
      <c r="F438" s="129"/>
      <c r="G438" s="129"/>
      <c r="H438" s="129"/>
      <c r="I438" s="129"/>
      <c r="J438" s="129"/>
    </row>
    <row r="439" spans="2:11" ht="15" thickBot="1">
      <c r="B439" s="65" t="s">
        <v>287</v>
      </c>
      <c r="C439" s="137">
        <v>0.80759999999999998</v>
      </c>
      <c r="D439" s="137">
        <v>0.78239999999999998</v>
      </c>
      <c r="E439" s="137">
        <v>0.80510000000000004</v>
      </c>
      <c r="F439" s="137">
        <v>0.80289999999999995</v>
      </c>
      <c r="G439" s="137">
        <v>0.82620000000000005</v>
      </c>
      <c r="H439" s="137">
        <v>0.86509999999999998</v>
      </c>
      <c r="I439" s="137">
        <v>0.88193083713260256</v>
      </c>
      <c r="J439" s="137">
        <v>0.83475226624003174</v>
      </c>
    </row>
    <row r="440" spans="2:11" ht="15" thickTop="1">
      <c r="B440" s="2025" t="s">
        <v>1405</v>
      </c>
      <c r="C440" s="2025"/>
      <c r="D440" s="2025"/>
      <c r="E440" s="2025"/>
      <c r="F440" s="2025"/>
      <c r="G440" s="2025"/>
      <c r="H440" s="2025"/>
      <c r="I440" s="2025"/>
      <c r="J440" s="2025"/>
    </row>
    <row r="441" spans="2:11">
      <c r="B441" s="64"/>
      <c r="C441" s="302"/>
      <c r="D441" s="302"/>
      <c r="E441" s="302"/>
      <c r="F441" s="302"/>
      <c r="G441" s="302"/>
      <c r="H441" s="302"/>
      <c r="I441" s="302"/>
      <c r="J441" s="302"/>
    </row>
    <row r="442" spans="2:11">
      <c r="B442" s="2097" t="s">
        <v>313</v>
      </c>
      <c r="C442" s="2097"/>
      <c r="D442" s="2097"/>
      <c r="E442" s="2097"/>
      <c r="F442" s="2097"/>
      <c r="G442" s="2097"/>
      <c r="H442" s="2097"/>
      <c r="I442" s="2097"/>
      <c r="J442" s="2097"/>
    </row>
    <row r="443" spans="2:11">
      <c r="B443" s="12" t="s">
        <v>312</v>
      </c>
      <c r="C443" s="302"/>
      <c r="D443" s="302"/>
      <c r="E443" s="302"/>
      <c r="F443" s="302"/>
      <c r="G443" s="302"/>
      <c r="H443" s="302"/>
      <c r="I443" s="302"/>
      <c r="J443" s="302"/>
    </row>
    <row r="444" spans="2:11">
      <c r="B444" s="62" t="s">
        <v>311</v>
      </c>
      <c r="C444" s="302"/>
      <c r="D444" s="302"/>
      <c r="E444" s="302"/>
      <c r="F444" s="302"/>
      <c r="G444" s="302"/>
      <c r="H444" s="302"/>
      <c r="I444" s="302"/>
      <c r="J444" s="302"/>
      <c r="K444" s="849"/>
    </row>
    <row r="445" spans="2:11">
      <c r="B445" s="64"/>
      <c r="C445" s="302"/>
      <c r="D445" s="302"/>
      <c r="E445" s="302"/>
      <c r="F445" s="302"/>
      <c r="G445" s="302"/>
      <c r="H445" s="302"/>
      <c r="I445" s="302"/>
      <c r="J445" s="302"/>
    </row>
    <row r="446" spans="2:11">
      <c r="B446" s="61"/>
      <c r="C446" s="850">
        <v>2014</v>
      </c>
      <c r="D446" s="850">
        <v>2015</v>
      </c>
      <c r="E446" s="850">
        <v>2016</v>
      </c>
      <c r="F446" s="850">
        <v>2017</v>
      </c>
      <c r="G446" s="850">
        <v>2018</v>
      </c>
      <c r="H446" s="850">
        <v>2019</v>
      </c>
      <c r="I446" s="850">
        <v>2020</v>
      </c>
      <c r="J446" s="850">
        <v>2021</v>
      </c>
    </row>
    <row r="447" spans="2:11">
      <c r="B447" s="114" t="s">
        <v>310</v>
      </c>
      <c r="C447" s="107"/>
      <c r="D447" s="107"/>
      <c r="E447" s="107"/>
      <c r="F447" s="107"/>
      <c r="G447" s="107"/>
      <c r="H447" s="107"/>
      <c r="I447" s="107"/>
      <c r="J447" s="107"/>
    </row>
    <row r="448" spans="2:11">
      <c r="B448" s="114"/>
      <c r="C448" s="107"/>
      <c r="D448" s="107"/>
      <c r="E448" s="107"/>
      <c r="F448" s="107"/>
      <c r="G448" s="107"/>
      <c r="H448" s="107"/>
      <c r="I448" s="107"/>
      <c r="J448" s="107"/>
    </row>
    <row r="449" spans="2:10">
      <c r="B449" s="59" t="s">
        <v>1442</v>
      </c>
      <c r="C449" s="129">
        <f>C451+C458</f>
        <v>171567.56700000001</v>
      </c>
      <c r="D449" s="129">
        <f>D451+D458</f>
        <v>164685.75900000002</v>
      </c>
      <c r="E449" s="129">
        <f t="shared" ref="E449:J449" si="10">E451+E458</f>
        <v>167843.08299999998</v>
      </c>
      <c r="F449" s="129">
        <f t="shared" si="10"/>
        <v>218059.46299999999</v>
      </c>
      <c r="G449" s="129">
        <f t="shared" si="10"/>
        <v>201215.91</v>
      </c>
      <c r="H449" s="129">
        <f t="shared" si="10"/>
        <v>193955.69099999999</v>
      </c>
      <c r="I449" s="129">
        <f t="shared" si="10"/>
        <v>280419.39600000001</v>
      </c>
      <c r="J449" s="129">
        <f t="shared" si="10"/>
        <v>253465.21100000001</v>
      </c>
    </row>
    <row r="450" spans="2:10" ht="15">
      <c r="B450" s="59" t="s">
        <v>1447</v>
      </c>
      <c r="D450" s="129"/>
      <c r="E450" s="129"/>
      <c r="F450" s="129"/>
      <c r="G450" s="129"/>
      <c r="H450" s="129"/>
      <c r="I450" s="129"/>
      <c r="J450" s="129"/>
    </row>
    <row r="451" spans="2:10">
      <c r="B451" s="71" t="s">
        <v>297</v>
      </c>
      <c r="C451" s="129">
        <v>160490.86300000001</v>
      </c>
      <c r="D451" s="129">
        <v>150757.97700000001</v>
      </c>
      <c r="E451" s="129">
        <v>157621.72399999999</v>
      </c>
      <c r="F451" s="129">
        <v>199221.95499999999</v>
      </c>
      <c r="G451" s="129">
        <v>184313.86600000001</v>
      </c>
      <c r="H451" s="129">
        <v>173593.99100000001</v>
      </c>
      <c r="I451" s="129">
        <v>265549.674</v>
      </c>
      <c r="J451" s="129">
        <v>235798.71100000001</v>
      </c>
    </row>
    <row r="452" spans="2:10">
      <c r="B452" s="133" t="s">
        <v>296</v>
      </c>
      <c r="C452" s="129">
        <v>160490.86300000001</v>
      </c>
      <c r="D452" s="129">
        <v>150757.97700000001</v>
      </c>
      <c r="E452" s="129">
        <v>157621.72399999999</v>
      </c>
      <c r="F452" s="129">
        <v>199221.95499999999</v>
      </c>
      <c r="G452" s="129">
        <v>184313.86600000001</v>
      </c>
      <c r="H452" s="129">
        <v>173593.99100000001</v>
      </c>
      <c r="I452" s="129">
        <v>265549.674</v>
      </c>
      <c r="J452" s="129">
        <v>235798.71100000001</v>
      </c>
    </row>
    <row r="453" spans="2:10">
      <c r="B453" s="132" t="s">
        <v>295</v>
      </c>
      <c r="C453" s="129"/>
      <c r="D453" s="129"/>
      <c r="E453" s="129"/>
      <c r="F453" s="129"/>
      <c r="G453" s="129"/>
      <c r="H453" s="129"/>
      <c r="I453" s="129"/>
      <c r="J453" s="129"/>
    </row>
    <row r="454" spans="2:10">
      <c r="B454" s="132" t="s">
        <v>303</v>
      </c>
      <c r="C454" s="129"/>
      <c r="D454" s="129"/>
      <c r="E454" s="129"/>
      <c r="F454" s="129"/>
      <c r="G454" s="129"/>
      <c r="H454" s="129"/>
      <c r="I454" s="129"/>
      <c r="J454" s="129"/>
    </row>
    <row r="455" spans="2:10">
      <c r="B455" s="65" t="s">
        <v>301</v>
      </c>
      <c r="C455" s="137">
        <v>0.79959999999999998</v>
      </c>
      <c r="D455" s="137">
        <v>0.77259999999999995</v>
      </c>
      <c r="E455" s="137">
        <v>0.81689999999999996</v>
      </c>
      <c r="F455" s="137">
        <v>0.85370000000000001</v>
      </c>
      <c r="G455" s="137">
        <v>0.83730000000000004</v>
      </c>
      <c r="H455" s="137">
        <v>0.8508</v>
      </c>
      <c r="I455" s="137">
        <v>0.90155239869835335</v>
      </c>
      <c r="J455" s="137">
        <v>0.82820424008842575</v>
      </c>
    </row>
    <row r="456" spans="2:10">
      <c r="B456" s="302"/>
      <c r="C456" s="129"/>
      <c r="D456" s="129"/>
      <c r="E456" s="129"/>
      <c r="F456" s="129"/>
      <c r="G456" s="129"/>
      <c r="H456" s="129"/>
      <c r="I456" s="129"/>
      <c r="J456" s="129"/>
    </row>
    <row r="457" spans="2:10">
      <c r="B457" s="59" t="s">
        <v>1448</v>
      </c>
      <c r="C457" s="129"/>
      <c r="D457" s="129"/>
      <c r="E457" s="129"/>
      <c r="F457" s="129"/>
      <c r="G457" s="129"/>
      <c r="H457" s="129"/>
      <c r="I457" s="129"/>
      <c r="J457" s="129"/>
    </row>
    <row r="458" spans="2:10">
      <c r="B458" s="71" t="s">
        <v>297</v>
      </c>
      <c r="C458" s="129">
        <f>+C459+C460+C461</f>
        <v>11076.704</v>
      </c>
      <c r="D458" s="129">
        <f t="shared" ref="D458:J458" si="11">+D459+D460+D461</f>
        <v>13927.781999999999</v>
      </c>
      <c r="E458" s="129">
        <f t="shared" si="11"/>
        <v>10221.358999999999</v>
      </c>
      <c r="F458" s="129">
        <f t="shared" si="11"/>
        <v>18837.508000000002</v>
      </c>
      <c r="G458" s="129">
        <f t="shared" si="11"/>
        <v>16902.043999999998</v>
      </c>
      <c r="H458" s="129">
        <f t="shared" si="11"/>
        <v>20361.699999999997</v>
      </c>
      <c r="I458" s="129">
        <f t="shared" si="11"/>
        <v>14869.722</v>
      </c>
      <c r="J458" s="129">
        <f t="shared" si="11"/>
        <v>17666.500000000004</v>
      </c>
    </row>
    <row r="459" spans="2:10">
      <c r="B459" s="133" t="s">
        <v>296</v>
      </c>
      <c r="C459" s="129">
        <v>11061.937</v>
      </c>
      <c r="D459" s="129">
        <v>13845.431</v>
      </c>
      <c r="E459" s="129">
        <v>10166.200999999999</v>
      </c>
      <c r="F459" s="129">
        <v>18753.516</v>
      </c>
      <c r="G459" s="129">
        <v>16820.120999999999</v>
      </c>
      <c r="H459" s="129">
        <v>20270</v>
      </c>
      <c r="I459" s="129">
        <v>14798.4</v>
      </c>
      <c r="J459" s="129">
        <v>17583.727577970003</v>
      </c>
    </row>
    <row r="460" spans="2:10">
      <c r="B460" s="132" t="s">
        <v>1449</v>
      </c>
      <c r="C460" s="129">
        <v>1.163</v>
      </c>
      <c r="D460" s="129">
        <v>42.069000000000003</v>
      </c>
      <c r="E460" s="129">
        <v>3.4990000000000001</v>
      </c>
      <c r="F460" s="129">
        <v>0.184</v>
      </c>
      <c r="G460" s="129">
        <v>0.47899999999999998</v>
      </c>
      <c r="H460" s="129">
        <v>0.6</v>
      </c>
      <c r="I460" s="129">
        <v>2.1999999999999999E-2</v>
      </c>
      <c r="J460" s="129">
        <v>0.51843499999999998</v>
      </c>
    </row>
    <row r="461" spans="2:10">
      <c r="B461" s="132" t="s">
        <v>1450</v>
      </c>
      <c r="C461" s="129">
        <v>13.603999999999999</v>
      </c>
      <c r="D461" s="129">
        <v>40.281999999999996</v>
      </c>
      <c r="E461" s="129">
        <v>51.658999999999999</v>
      </c>
      <c r="F461" s="129">
        <v>83.808000000000007</v>
      </c>
      <c r="G461" s="129">
        <v>81.444000000000003</v>
      </c>
      <c r="H461" s="129">
        <v>91.1</v>
      </c>
      <c r="I461" s="129">
        <v>71.3</v>
      </c>
      <c r="J461" s="129">
        <v>82.253987030000005</v>
      </c>
    </row>
    <row r="462" spans="2:10">
      <c r="B462" s="65" t="s">
        <v>301</v>
      </c>
      <c r="C462" s="137">
        <v>0.77569999999999995</v>
      </c>
      <c r="D462" s="137">
        <v>0.69199999999999995</v>
      </c>
      <c r="E462" s="137">
        <v>0.72809999999999997</v>
      </c>
      <c r="F462" s="137">
        <v>0.78449999999999998</v>
      </c>
      <c r="G462" s="137">
        <v>0.72960000000000003</v>
      </c>
      <c r="H462" s="137">
        <v>0.7641</v>
      </c>
      <c r="I462" s="137">
        <v>0.73254335998708786</v>
      </c>
      <c r="J462" s="137">
        <v>0.72642006056660902</v>
      </c>
    </row>
    <row r="463" spans="2:10">
      <c r="B463" s="302"/>
      <c r="C463" s="129"/>
      <c r="D463" s="129"/>
      <c r="E463" s="129"/>
      <c r="F463" s="129"/>
      <c r="G463" s="129"/>
      <c r="H463" s="129"/>
      <c r="I463" s="129"/>
      <c r="J463" s="129"/>
    </row>
    <row r="464" spans="2:10">
      <c r="B464" s="114" t="s">
        <v>302</v>
      </c>
      <c r="C464" s="129"/>
      <c r="D464" s="129"/>
      <c r="E464" s="129"/>
      <c r="F464" s="129"/>
      <c r="G464" s="129"/>
      <c r="H464" s="129"/>
      <c r="I464" s="129"/>
      <c r="J464" s="129"/>
    </row>
    <row r="465" spans="2:10">
      <c r="B465" s="114"/>
      <c r="C465" s="129"/>
      <c r="D465" s="129"/>
      <c r="E465" s="129"/>
      <c r="F465" s="129"/>
      <c r="G465" s="129"/>
      <c r="H465" s="129"/>
      <c r="I465" s="129"/>
      <c r="J465" s="129"/>
    </row>
    <row r="466" spans="2:10">
      <c r="B466" s="59" t="s">
        <v>1247</v>
      </c>
      <c r="C466" s="129">
        <f>C468+C488</f>
        <v>75068.868999999992</v>
      </c>
      <c r="D466" s="129">
        <f>D468+D488</f>
        <v>71961.062999999995</v>
      </c>
      <c r="E466" s="129">
        <f t="shared" ref="E466:J466" si="12">E468+E488</f>
        <v>54035.909</v>
      </c>
      <c r="F466" s="129">
        <f t="shared" si="12"/>
        <v>43913.281999999999</v>
      </c>
      <c r="G466" s="129">
        <f t="shared" si="12"/>
        <v>43523.258999999998</v>
      </c>
      <c r="H466" s="129">
        <f t="shared" si="12"/>
        <v>41389.392</v>
      </c>
      <c r="I466" s="129">
        <f t="shared" si="12"/>
        <v>33628.423390390002</v>
      </c>
      <c r="J466" s="129">
        <f t="shared" si="12"/>
        <v>37092.202038229996</v>
      </c>
    </row>
    <row r="467" spans="2:10" ht="15">
      <c r="B467" s="59" t="s">
        <v>1447</v>
      </c>
      <c r="D467" s="129"/>
      <c r="E467" s="129"/>
      <c r="F467" s="129"/>
      <c r="G467" s="129"/>
      <c r="H467" s="129"/>
      <c r="I467" s="129"/>
      <c r="J467" s="129"/>
    </row>
    <row r="468" spans="2:10">
      <c r="B468" s="71" t="s">
        <v>297</v>
      </c>
      <c r="C468" s="129">
        <v>60071.023999999998</v>
      </c>
      <c r="D468" s="129">
        <v>53704.116000000002</v>
      </c>
      <c r="E468" s="129">
        <v>38513.279000000002</v>
      </c>
      <c r="F468" s="129">
        <v>36223.343000000001</v>
      </c>
      <c r="G468" s="129">
        <v>35054.074999999997</v>
      </c>
      <c r="H468" s="129">
        <v>33416.131000000001</v>
      </c>
      <c r="I468" s="129">
        <v>27319.89</v>
      </c>
      <c r="J468" s="129">
        <v>30395.391</v>
      </c>
    </row>
    <row r="469" spans="2:10">
      <c r="B469" s="133" t="s">
        <v>296</v>
      </c>
      <c r="C469" s="129"/>
      <c r="D469" s="129"/>
      <c r="E469" s="129"/>
      <c r="F469" s="129"/>
      <c r="G469" s="129"/>
      <c r="H469" s="129"/>
      <c r="I469" s="129"/>
      <c r="J469" s="129"/>
    </row>
    <row r="470" spans="2:10">
      <c r="B470" s="131" t="s">
        <v>294</v>
      </c>
      <c r="C470" s="129"/>
      <c r="D470" s="129"/>
      <c r="E470" s="129"/>
      <c r="F470" s="129"/>
      <c r="G470" s="129"/>
      <c r="H470" s="129"/>
      <c r="I470" s="129"/>
      <c r="J470" s="129"/>
    </row>
    <row r="471" spans="2:10">
      <c r="B471" s="131" t="s">
        <v>293</v>
      </c>
      <c r="C471" s="129"/>
      <c r="D471" s="129"/>
      <c r="E471" s="129"/>
      <c r="F471" s="129"/>
      <c r="G471" s="129"/>
      <c r="H471" s="129"/>
      <c r="I471" s="129"/>
      <c r="J471" s="129"/>
    </row>
    <row r="472" spans="2:10">
      <c r="B472" s="131" t="s">
        <v>292</v>
      </c>
      <c r="C472" s="129"/>
      <c r="D472" s="129"/>
      <c r="E472" s="129"/>
      <c r="F472" s="129"/>
      <c r="G472" s="129"/>
      <c r="H472" s="129"/>
      <c r="I472" s="129"/>
      <c r="J472" s="129"/>
    </row>
    <row r="473" spans="2:10">
      <c r="B473" s="131" t="s">
        <v>291</v>
      </c>
      <c r="C473" s="129"/>
      <c r="D473" s="129"/>
      <c r="E473" s="129"/>
      <c r="F473" s="129"/>
      <c r="G473" s="129"/>
      <c r="H473" s="129"/>
      <c r="I473" s="129"/>
      <c r="J473" s="129"/>
    </row>
    <row r="474" spans="2:10">
      <c r="B474" s="131" t="s">
        <v>290</v>
      </c>
      <c r="C474" s="129"/>
      <c r="D474" s="129"/>
      <c r="E474" s="129"/>
      <c r="F474" s="129"/>
      <c r="G474" s="129"/>
      <c r="H474" s="129"/>
      <c r="I474" s="129"/>
      <c r="J474" s="129"/>
    </row>
    <row r="475" spans="2:10">
      <c r="B475" s="131" t="s">
        <v>289</v>
      </c>
      <c r="C475" s="129"/>
      <c r="D475" s="129"/>
      <c r="E475" s="129"/>
      <c r="F475" s="129"/>
      <c r="G475" s="129"/>
      <c r="H475" s="129"/>
      <c r="I475" s="129"/>
      <c r="J475" s="129"/>
    </row>
    <row r="476" spans="2:10">
      <c r="B476" s="131" t="s">
        <v>288</v>
      </c>
      <c r="C476" s="129"/>
      <c r="D476" s="129"/>
      <c r="E476" s="129"/>
      <c r="F476" s="129"/>
      <c r="G476" s="129"/>
      <c r="H476" s="129"/>
      <c r="I476" s="129"/>
      <c r="J476" s="129"/>
    </row>
    <row r="477" spans="2:10">
      <c r="B477" s="132" t="s">
        <v>295</v>
      </c>
      <c r="C477" s="102"/>
      <c r="D477" s="129"/>
      <c r="E477" s="129"/>
      <c r="F477" s="129"/>
      <c r="G477" s="129"/>
      <c r="H477" s="129"/>
      <c r="I477" s="129"/>
      <c r="J477" s="129"/>
    </row>
    <row r="478" spans="2:10">
      <c r="B478" s="131" t="s">
        <v>294</v>
      </c>
      <c r="C478" s="129"/>
      <c r="D478" s="129"/>
      <c r="E478" s="129"/>
      <c r="F478" s="129"/>
      <c r="G478" s="129"/>
      <c r="H478" s="129"/>
      <c r="I478" s="129"/>
      <c r="J478" s="129"/>
    </row>
    <row r="479" spans="2:10">
      <c r="B479" s="131" t="s">
        <v>293</v>
      </c>
      <c r="C479" s="129"/>
      <c r="D479" s="129"/>
      <c r="E479" s="129"/>
      <c r="F479" s="129"/>
      <c r="G479" s="129"/>
      <c r="H479" s="129"/>
      <c r="I479" s="129"/>
      <c r="J479" s="129"/>
    </row>
    <row r="480" spans="2:10">
      <c r="B480" s="131" t="s">
        <v>292</v>
      </c>
      <c r="C480" s="129"/>
      <c r="D480" s="129"/>
      <c r="E480" s="129"/>
      <c r="F480" s="129"/>
      <c r="G480" s="129"/>
      <c r="H480" s="129"/>
      <c r="I480" s="129"/>
      <c r="J480" s="129"/>
    </row>
    <row r="481" spans="2:10">
      <c r="B481" s="131" t="s">
        <v>291</v>
      </c>
      <c r="C481" s="129"/>
      <c r="D481" s="129"/>
      <c r="E481" s="129"/>
      <c r="F481" s="129"/>
      <c r="G481" s="129"/>
      <c r="H481" s="129"/>
      <c r="I481" s="129"/>
      <c r="J481" s="129"/>
    </row>
    <row r="482" spans="2:10">
      <c r="B482" s="131" t="s">
        <v>290</v>
      </c>
      <c r="C482" s="129"/>
      <c r="D482" s="129"/>
      <c r="E482" s="129"/>
      <c r="F482" s="129"/>
      <c r="G482" s="129"/>
      <c r="H482" s="129"/>
      <c r="I482" s="129"/>
      <c r="J482" s="129"/>
    </row>
    <row r="483" spans="2:10">
      <c r="B483" s="131" t="s">
        <v>289</v>
      </c>
      <c r="C483" s="129">
        <v>60071.023999999998</v>
      </c>
      <c r="D483" s="129">
        <v>53704.116000000002</v>
      </c>
      <c r="E483" s="129">
        <v>38513.279000000002</v>
      </c>
      <c r="F483" s="129">
        <v>36223.343000000001</v>
      </c>
      <c r="G483" s="129">
        <v>35054.074999999997</v>
      </c>
      <c r="H483" s="129">
        <v>33416.131000000001</v>
      </c>
      <c r="I483" s="129">
        <v>27319.89</v>
      </c>
      <c r="J483" s="129">
        <v>30395.391</v>
      </c>
    </row>
    <row r="484" spans="2:10">
      <c r="B484" s="131" t="s">
        <v>288</v>
      </c>
      <c r="C484" s="129"/>
      <c r="D484" s="129"/>
      <c r="E484" s="129"/>
      <c r="F484" s="129"/>
      <c r="G484" s="129"/>
      <c r="H484" s="129"/>
      <c r="I484" s="129"/>
      <c r="J484" s="129"/>
    </row>
    <row r="485" spans="2:10">
      <c r="B485" s="65" t="s">
        <v>301</v>
      </c>
      <c r="C485" s="137">
        <v>0.86660000000000004</v>
      </c>
      <c r="D485" s="137">
        <v>0.85209999999999997</v>
      </c>
      <c r="E485" s="137">
        <v>0.83079999999999998</v>
      </c>
      <c r="F485" s="137">
        <v>0.83540000000000003</v>
      </c>
      <c r="G485" s="137">
        <v>0.83279999999999998</v>
      </c>
      <c r="H485" s="137">
        <v>0.81799999999999995</v>
      </c>
      <c r="I485" s="137">
        <v>0.83209999999999995</v>
      </c>
      <c r="J485" s="137">
        <v>0.82736265678530396</v>
      </c>
    </row>
    <row r="486" spans="2:10">
      <c r="B486" s="133"/>
      <c r="C486" s="536"/>
      <c r="D486" s="536"/>
      <c r="E486" s="536"/>
      <c r="F486" s="536"/>
      <c r="G486" s="536"/>
      <c r="H486" s="536"/>
      <c r="I486" s="536"/>
      <c r="J486" s="536"/>
    </row>
    <row r="487" spans="2:10">
      <c r="B487" s="59" t="s">
        <v>1445</v>
      </c>
      <c r="C487" s="129"/>
      <c r="D487" s="129"/>
      <c r="E487" s="129"/>
      <c r="F487" s="129"/>
      <c r="G487" s="129"/>
      <c r="H487" s="129"/>
      <c r="I487" s="129"/>
      <c r="J487" s="129"/>
    </row>
    <row r="488" spans="2:10">
      <c r="B488" s="71" t="s">
        <v>297</v>
      </c>
      <c r="C488" s="129">
        <v>14997.844999999999</v>
      </c>
      <c r="D488" s="129">
        <v>18256.947</v>
      </c>
      <c r="E488" s="129">
        <v>15522.63</v>
      </c>
      <c r="F488" s="129">
        <v>7689.9390000000003</v>
      </c>
      <c r="G488" s="129">
        <v>8469.1839999999993</v>
      </c>
      <c r="H488" s="129">
        <v>7973.2610000000004</v>
      </c>
      <c r="I488" s="129">
        <v>6308.53339039</v>
      </c>
      <c r="J488" s="129">
        <v>6696.8110382299983</v>
      </c>
    </row>
    <row r="489" spans="2:10">
      <c r="B489" s="133" t="s">
        <v>296</v>
      </c>
      <c r="C489" s="129"/>
      <c r="D489" s="129"/>
      <c r="E489" s="129"/>
      <c r="F489" s="129"/>
      <c r="G489" s="129"/>
      <c r="H489" s="129"/>
      <c r="I489" s="129"/>
      <c r="J489" s="129"/>
    </row>
    <row r="490" spans="2:10">
      <c r="B490" s="131" t="s">
        <v>294</v>
      </c>
      <c r="C490" s="129"/>
      <c r="D490" s="129"/>
      <c r="E490" s="129"/>
      <c r="F490" s="129"/>
      <c r="G490" s="129"/>
      <c r="H490" s="129"/>
      <c r="I490" s="129"/>
      <c r="J490" s="129"/>
    </row>
    <row r="491" spans="2:10">
      <c r="B491" s="131" t="s">
        <v>293</v>
      </c>
      <c r="C491" s="129"/>
      <c r="D491" s="129"/>
      <c r="E491" s="129"/>
      <c r="F491" s="129"/>
      <c r="G491" s="129"/>
      <c r="H491" s="129"/>
      <c r="I491" s="129"/>
      <c r="J491" s="129"/>
    </row>
    <row r="492" spans="2:10">
      <c r="B492" s="131" t="s">
        <v>292</v>
      </c>
      <c r="C492" s="129"/>
      <c r="D492" s="129"/>
      <c r="E492" s="129"/>
      <c r="F492" s="129"/>
      <c r="G492" s="129"/>
      <c r="H492" s="129"/>
      <c r="I492" s="129"/>
      <c r="J492" s="129"/>
    </row>
    <row r="493" spans="2:10">
      <c r="B493" s="131" t="s">
        <v>291</v>
      </c>
      <c r="C493" s="129"/>
      <c r="D493" s="129"/>
      <c r="E493" s="129"/>
      <c r="F493" s="129"/>
      <c r="G493" s="129"/>
      <c r="H493" s="129"/>
      <c r="I493" s="129"/>
      <c r="J493" s="129"/>
    </row>
    <row r="494" spans="2:10">
      <c r="B494" s="131" t="s">
        <v>290</v>
      </c>
      <c r="C494" s="129"/>
      <c r="D494" s="129"/>
      <c r="E494" s="129"/>
      <c r="F494" s="129"/>
      <c r="G494" s="129"/>
      <c r="H494" s="129"/>
      <c r="I494" s="129"/>
      <c r="J494" s="129"/>
    </row>
    <row r="495" spans="2:10">
      <c r="B495" s="131" t="s">
        <v>289</v>
      </c>
      <c r="C495" s="129"/>
      <c r="D495" s="129"/>
      <c r="E495" s="129"/>
      <c r="F495" s="129"/>
      <c r="G495" s="129"/>
      <c r="H495" s="129"/>
      <c r="I495" s="129"/>
      <c r="J495" s="129"/>
    </row>
    <row r="496" spans="2:10">
      <c r="B496" s="131" t="s">
        <v>288</v>
      </c>
      <c r="C496" s="129"/>
      <c r="D496" s="129"/>
      <c r="E496" s="129"/>
      <c r="F496" s="129"/>
      <c r="G496" s="129"/>
      <c r="H496" s="129"/>
      <c r="I496" s="129"/>
      <c r="J496" s="129"/>
    </row>
    <row r="497" spans="2:10">
      <c r="B497" s="132" t="s">
        <v>295</v>
      </c>
      <c r="C497" s="129"/>
      <c r="D497" s="129"/>
      <c r="E497" s="129"/>
      <c r="F497" s="129"/>
      <c r="G497" s="129"/>
      <c r="H497" s="129"/>
      <c r="I497" s="129"/>
      <c r="J497" s="129"/>
    </row>
    <row r="498" spans="2:10">
      <c r="B498" s="131" t="s">
        <v>294</v>
      </c>
      <c r="C498" s="129"/>
      <c r="D498" s="129"/>
      <c r="E498" s="129"/>
      <c r="F498" s="129"/>
      <c r="G498" s="129"/>
      <c r="H498" s="129"/>
      <c r="I498" s="129"/>
      <c r="J498" s="129"/>
    </row>
    <row r="499" spans="2:10">
      <c r="B499" s="131" t="s">
        <v>293</v>
      </c>
      <c r="C499" s="129"/>
      <c r="D499" s="129"/>
      <c r="E499" s="129"/>
      <c r="F499" s="129"/>
      <c r="G499" s="129"/>
      <c r="H499" s="129"/>
      <c r="I499" s="129"/>
      <c r="J499" s="129"/>
    </row>
    <row r="500" spans="2:10">
      <c r="B500" s="131" t="s">
        <v>292</v>
      </c>
      <c r="C500" s="129"/>
      <c r="D500" s="129"/>
      <c r="E500" s="129"/>
      <c r="F500" s="129"/>
      <c r="G500" s="129"/>
      <c r="H500" s="129"/>
      <c r="I500" s="129"/>
      <c r="J500" s="129"/>
    </row>
    <row r="501" spans="2:10">
      <c r="B501" s="131" t="s">
        <v>291</v>
      </c>
      <c r="C501" s="129"/>
      <c r="D501" s="129"/>
      <c r="E501" s="129"/>
      <c r="F501" s="129"/>
      <c r="G501" s="129"/>
      <c r="H501" s="129"/>
      <c r="I501" s="129"/>
      <c r="J501" s="129"/>
    </row>
    <row r="502" spans="2:10">
      <c r="B502" s="131" t="s">
        <v>290</v>
      </c>
      <c r="C502" s="129"/>
      <c r="D502" s="129"/>
      <c r="E502" s="129"/>
      <c r="F502" s="129"/>
      <c r="G502" s="129"/>
      <c r="H502" s="129"/>
      <c r="I502" s="129"/>
      <c r="J502" s="129"/>
    </row>
    <row r="503" spans="2:10">
      <c r="B503" s="131" t="s">
        <v>289</v>
      </c>
      <c r="C503" s="129">
        <v>14997.844999999999</v>
      </c>
      <c r="D503" s="129">
        <v>18256.947</v>
      </c>
      <c r="E503" s="129">
        <v>15522.63</v>
      </c>
      <c r="F503" s="129">
        <v>7689.9390000000003</v>
      </c>
      <c r="G503" s="129">
        <v>8469.1839999999993</v>
      </c>
      <c r="H503" s="129">
        <v>7973.2610000000004</v>
      </c>
      <c r="I503" s="129">
        <v>6308.53339039</v>
      </c>
      <c r="J503" s="129">
        <v>6696.8110382299983</v>
      </c>
    </row>
    <row r="504" spans="2:10">
      <c r="B504" s="131" t="s">
        <v>288</v>
      </c>
      <c r="C504" s="129"/>
      <c r="D504" s="129"/>
      <c r="E504" s="129"/>
      <c r="F504" s="129"/>
      <c r="G504" s="129"/>
      <c r="H504" s="129"/>
      <c r="I504" s="129"/>
      <c r="J504" s="129"/>
    </row>
    <row r="505" spans="2:10">
      <c r="B505" s="65" t="s">
        <v>301</v>
      </c>
      <c r="C505" s="137">
        <v>0.85670000000000002</v>
      </c>
      <c r="D505" s="137">
        <v>0.89729999999999999</v>
      </c>
      <c r="E505" s="137">
        <v>0.91520000000000001</v>
      </c>
      <c r="F505" s="137">
        <v>0.84345999999999999</v>
      </c>
      <c r="G505" s="137">
        <v>0.8458</v>
      </c>
      <c r="H505" s="137">
        <v>0.83830000000000005</v>
      </c>
      <c r="I505" s="137">
        <v>0.86499999999999999</v>
      </c>
      <c r="J505" s="137">
        <v>0.84818769845733799</v>
      </c>
    </row>
    <row r="506" spans="2:10">
      <c r="B506" s="133"/>
      <c r="C506" s="536"/>
      <c r="D506" s="536"/>
      <c r="E506" s="536"/>
      <c r="F506" s="536"/>
      <c r="G506" s="536"/>
      <c r="H506" s="536"/>
      <c r="I506" s="536"/>
      <c r="J506" s="536"/>
    </row>
    <row r="507" spans="2:10">
      <c r="B507" s="59" t="s">
        <v>1249</v>
      </c>
      <c r="C507" s="129">
        <f>C509+C529</f>
        <v>9547.1630000000005</v>
      </c>
      <c r="D507" s="129">
        <f>D509+D529</f>
        <v>13124.22</v>
      </c>
      <c r="E507" s="129">
        <f t="shared" ref="E507:J507" si="13">E509+E529</f>
        <v>16906.865000000002</v>
      </c>
      <c r="F507" s="129">
        <f t="shared" si="13"/>
        <v>21356.089</v>
      </c>
      <c r="G507" s="129">
        <f t="shared" si="13"/>
        <v>24229.271000000001</v>
      </c>
      <c r="H507" s="129">
        <f t="shared" si="13"/>
        <v>28757.715</v>
      </c>
      <c r="I507" s="129">
        <f t="shared" si="13"/>
        <v>35323.218134789997</v>
      </c>
      <c r="J507" s="129">
        <f t="shared" si="13"/>
        <v>51872.089</v>
      </c>
    </row>
    <row r="508" spans="2:10" ht="15">
      <c r="B508" s="59" t="s">
        <v>1447</v>
      </c>
      <c r="D508" s="129"/>
      <c r="E508" s="129"/>
      <c r="F508" s="129"/>
      <c r="G508" s="129"/>
      <c r="H508" s="129"/>
      <c r="I508" s="129"/>
      <c r="J508" s="129"/>
    </row>
    <row r="509" spans="2:10">
      <c r="B509" s="71" t="s">
        <v>297</v>
      </c>
      <c r="C509" s="129">
        <v>8563.5040000000008</v>
      </c>
      <c r="D509" s="129">
        <v>11883.688</v>
      </c>
      <c r="E509" s="129">
        <v>15322.556</v>
      </c>
      <c r="F509" s="129">
        <v>19208.501</v>
      </c>
      <c r="G509" s="129">
        <v>21575.735000000001</v>
      </c>
      <c r="H509" s="129">
        <v>25578.896000000001</v>
      </c>
      <c r="I509" s="129">
        <v>30520.624</v>
      </c>
      <c r="J509" s="129">
        <v>44589.989000000001</v>
      </c>
    </row>
    <row r="510" spans="2:10">
      <c r="B510" s="133" t="s">
        <v>296</v>
      </c>
      <c r="C510" s="129">
        <v>8563.5040000000008</v>
      </c>
      <c r="D510" s="129">
        <v>11883.688</v>
      </c>
      <c r="E510" s="129">
        <v>15322.556</v>
      </c>
      <c r="F510" s="129">
        <v>19208.501</v>
      </c>
      <c r="G510" s="129">
        <v>21575.735000000001</v>
      </c>
      <c r="H510" s="129">
        <v>25578.896000000001</v>
      </c>
      <c r="I510" s="129">
        <v>30520.624</v>
      </c>
      <c r="J510" s="129">
        <v>44589.989000000001</v>
      </c>
    </row>
    <row r="511" spans="2:10">
      <c r="B511" s="131" t="s">
        <v>294</v>
      </c>
      <c r="C511" s="129">
        <v>6517.2169999999996</v>
      </c>
      <c r="D511" s="129">
        <v>9181.4349999999995</v>
      </c>
      <c r="E511" s="129">
        <v>11528.463</v>
      </c>
      <c r="F511" s="129">
        <v>14638.339</v>
      </c>
      <c r="G511" s="129">
        <v>16724.96</v>
      </c>
      <c r="H511" s="129">
        <v>19875.489000000001</v>
      </c>
      <c r="I511" s="129">
        <v>25329.796999999999</v>
      </c>
      <c r="J511" s="129">
        <v>38716.442999999999</v>
      </c>
    </row>
    <row r="512" spans="2:10">
      <c r="B512" s="131" t="s">
        <v>293</v>
      </c>
      <c r="C512" s="129">
        <v>2046.287</v>
      </c>
      <c r="D512" s="129">
        <v>2702.2530000000002</v>
      </c>
      <c r="E512" s="129">
        <v>3794.0929999999998</v>
      </c>
      <c r="F512" s="129">
        <v>4570.1620000000003</v>
      </c>
      <c r="G512" s="129">
        <v>4850.7749999999996</v>
      </c>
      <c r="H512" s="129">
        <v>5703.4070000000002</v>
      </c>
      <c r="I512" s="129">
        <v>5190.8270000000002</v>
      </c>
      <c r="J512" s="129">
        <v>5873.5460000000003</v>
      </c>
    </row>
    <row r="513" spans="2:10">
      <c r="B513" s="131" t="s">
        <v>292</v>
      </c>
      <c r="C513" s="129"/>
      <c r="D513" s="129"/>
      <c r="E513" s="129"/>
      <c r="F513" s="129"/>
      <c r="G513" s="129"/>
      <c r="H513" s="129"/>
      <c r="I513" s="129"/>
      <c r="J513" s="129"/>
    </row>
    <row r="514" spans="2:10">
      <c r="B514" s="131" t="s">
        <v>291</v>
      </c>
      <c r="C514" s="129"/>
      <c r="D514" s="129"/>
      <c r="E514" s="129"/>
      <c r="F514" s="129"/>
      <c r="G514" s="129"/>
      <c r="H514" s="129"/>
      <c r="I514" s="129"/>
      <c r="J514" s="129"/>
    </row>
    <row r="515" spans="2:10">
      <c r="B515" s="131" t="s">
        <v>290</v>
      </c>
      <c r="C515" s="129"/>
      <c r="D515" s="129"/>
      <c r="E515" s="129"/>
      <c r="F515" s="129"/>
      <c r="G515" s="129"/>
      <c r="H515" s="129"/>
      <c r="I515" s="129"/>
      <c r="J515" s="129"/>
    </row>
    <row r="516" spans="2:10">
      <c r="B516" s="131" t="s">
        <v>289</v>
      </c>
      <c r="C516" s="129"/>
      <c r="D516" s="129"/>
      <c r="E516" s="129"/>
      <c r="F516" s="129"/>
      <c r="G516" s="129"/>
      <c r="H516" s="129"/>
      <c r="I516" s="129"/>
      <c r="J516" s="129"/>
    </row>
    <row r="517" spans="2:10">
      <c r="B517" s="131" t="s">
        <v>288</v>
      </c>
      <c r="C517" s="129"/>
      <c r="D517" s="129"/>
      <c r="E517" s="129"/>
      <c r="F517" s="129"/>
      <c r="G517" s="129"/>
      <c r="H517" s="129"/>
      <c r="I517" s="129"/>
      <c r="J517" s="129"/>
    </row>
    <row r="518" spans="2:10">
      <c r="B518" s="132" t="s">
        <v>295</v>
      </c>
      <c r="C518" s="129"/>
      <c r="D518" s="129"/>
      <c r="E518" s="129"/>
      <c r="F518" s="129"/>
      <c r="G518" s="129"/>
      <c r="H518" s="129"/>
      <c r="I518" s="129"/>
      <c r="J518" s="129"/>
    </row>
    <row r="519" spans="2:10">
      <c r="B519" s="131" t="s">
        <v>294</v>
      </c>
      <c r="C519" s="129"/>
      <c r="D519" s="129"/>
      <c r="E519" s="129"/>
      <c r="F519" s="129"/>
      <c r="G519" s="129"/>
      <c r="H519" s="129"/>
      <c r="I519" s="129"/>
      <c r="J519" s="129"/>
    </row>
    <row r="520" spans="2:10">
      <c r="B520" s="131" t="s">
        <v>293</v>
      </c>
      <c r="C520" s="129"/>
      <c r="D520" s="129"/>
      <c r="E520" s="129"/>
      <c r="F520" s="129"/>
      <c r="G520" s="129"/>
      <c r="H520" s="129"/>
      <c r="I520" s="129"/>
      <c r="J520" s="129"/>
    </row>
    <row r="521" spans="2:10">
      <c r="B521" s="131" t="s">
        <v>292</v>
      </c>
      <c r="C521" s="129"/>
      <c r="D521" s="129"/>
      <c r="E521" s="129"/>
      <c r="F521" s="129"/>
      <c r="G521" s="129"/>
      <c r="H521" s="129"/>
      <c r="I521" s="129"/>
      <c r="J521" s="129"/>
    </row>
    <row r="522" spans="2:10">
      <c r="B522" s="131" t="s">
        <v>291</v>
      </c>
      <c r="C522" s="129"/>
      <c r="D522" s="129"/>
      <c r="E522" s="129"/>
      <c r="F522" s="129"/>
      <c r="G522" s="129"/>
      <c r="H522" s="129"/>
      <c r="I522" s="129"/>
      <c r="J522" s="129"/>
    </row>
    <row r="523" spans="2:10">
      <c r="B523" s="131" t="s">
        <v>290</v>
      </c>
      <c r="C523" s="129"/>
      <c r="D523" s="129"/>
      <c r="E523" s="129"/>
      <c r="F523" s="129"/>
      <c r="G523" s="129"/>
      <c r="H523" s="129"/>
      <c r="I523" s="129"/>
      <c r="J523" s="129"/>
    </row>
    <row r="524" spans="2:10">
      <c r="B524" s="131" t="s">
        <v>289</v>
      </c>
      <c r="C524" s="129"/>
      <c r="D524" s="129"/>
      <c r="E524" s="129"/>
      <c r="F524" s="129"/>
      <c r="G524" s="129"/>
      <c r="H524" s="129"/>
      <c r="I524" s="129"/>
      <c r="J524" s="129"/>
    </row>
    <row r="525" spans="2:10">
      <c r="B525" s="131" t="s">
        <v>288</v>
      </c>
      <c r="C525" s="129"/>
      <c r="D525" s="129"/>
      <c r="E525" s="129"/>
      <c r="F525" s="129"/>
      <c r="G525" s="129"/>
      <c r="H525" s="129"/>
      <c r="I525" s="129"/>
      <c r="J525" s="129"/>
    </row>
    <row r="526" spans="2:10">
      <c r="B526" s="65" t="s">
        <v>301</v>
      </c>
      <c r="C526" s="137">
        <v>0.83830000000000005</v>
      </c>
      <c r="D526" s="137">
        <v>0.8306</v>
      </c>
      <c r="E526" s="137">
        <v>0.86870000000000003</v>
      </c>
      <c r="F526" s="137">
        <v>0.87887999999999999</v>
      </c>
      <c r="G526" s="137">
        <v>0.86380000000000001</v>
      </c>
      <c r="H526" s="137">
        <v>0.85419999999999996</v>
      </c>
      <c r="I526" s="137">
        <v>0.81873404390332205</v>
      </c>
      <c r="J526" s="137">
        <v>0.82387013227943451</v>
      </c>
    </row>
    <row r="527" spans="2:10">
      <c r="B527" s="65"/>
      <c r="C527" s="536"/>
      <c r="D527" s="536"/>
      <c r="E527" s="536"/>
      <c r="F527" s="536"/>
      <c r="G527" s="536"/>
      <c r="H527" s="536"/>
      <c r="I527" s="536"/>
      <c r="J527" s="536"/>
    </row>
    <row r="528" spans="2:10">
      <c r="B528" s="59" t="s">
        <v>1445</v>
      </c>
      <c r="C528" s="129"/>
      <c r="D528" s="129"/>
      <c r="E528" s="129"/>
      <c r="F528" s="129"/>
      <c r="G528" s="129"/>
      <c r="H528" s="129"/>
      <c r="I528" s="129"/>
      <c r="J528" s="129"/>
    </row>
    <row r="529" spans="2:10">
      <c r="B529" s="71" t="s">
        <v>297</v>
      </c>
      <c r="C529" s="129">
        <v>983.65899999999999</v>
      </c>
      <c r="D529" s="129">
        <v>1240.5319999999999</v>
      </c>
      <c r="E529" s="129">
        <v>1584.309</v>
      </c>
      <c r="F529" s="129">
        <v>2147.5879999999997</v>
      </c>
      <c r="G529" s="129">
        <v>2653.5360000000001</v>
      </c>
      <c r="H529" s="129">
        <v>3178.819</v>
      </c>
      <c r="I529" s="129">
        <v>4802.5941347899998</v>
      </c>
      <c r="J529" s="129">
        <v>7282.1</v>
      </c>
    </row>
    <row r="530" spans="2:10">
      <c r="B530" s="133" t="s">
        <v>296</v>
      </c>
      <c r="C530" s="129">
        <v>983.65899999999999</v>
      </c>
      <c r="D530" s="129">
        <v>1240.5319999999999</v>
      </c>
      <c r="E530" s="129">
        <v>1584.309</v>
      </c>
      <c r="F530" s="129">
        <v>2147.5879999999997</v>
      </c>
      <c r="G530" s="129">
        <v>2653.5360000000001</v>
      </c>
      <c r="H530" s="129">
        <v>3178.819</v>
      </c>
      <c r="I530" s="129">
        <v>4802.5941347899998</v>
      </c>
      <c r="J530" s="129">
        <v>7282.1</v>
      </c>
    </row>
    <row r="531" spans="2:10">
      <c r="B531" s="131" t="s">
        <v>294</v>
      </c>
      <c r="C531" s="129">
        <v>933.20899999999995</v>
      </c>
      <c r="D531" s="129">
        <v>1152.4849999999999</v>
      </c>
      <c r="E531" s="129">
        <v>1474.165</v>
      </c>
      <c r="F531" s="129">
        <v>2062.5309999999999</v>
      </c>
      <c r="G531" s="129">
        <v>2567.0169999999998</v>
      </c>
      <c r="H531" s="129">
        <v>3049.5790000000002</v>
      </c>
      <c r="I531" s="129">
        <v>4651.3947509700001</v>
      </c>
      <c r="J531" s="129">
        <v>7079.8</v>
      </c>
    </row>
    <row r="532" spans="2:10">
      <c r="B532" s="131" t="s">
        <v>293</v>
      </c>
      <c r="C532" s="129">
        <v>50.45</v>
      </c>
      <c r="D532" s="129">
        <v>88.046999999999997</v>
      </c>
      <c r="E532" s="129">
        <v>110.14400000000001</v>
      </c>
      <c r="F532" s="129">
        <v>85.057000000000002</v>
      </c>
      <c r="G532" s="129">
        <v>86.519000000000005</v>
      </c>
      <c r="H532" s="129">
        <v>129.24</v>
      </c>
      <c r="I532" s="129">
        <v>151.19938381999998</v>
      </c>
      <c r="J532" s="129">
        <v>202.3</v>
      </c>
    </row>
    <row r="533" spans="2:10">
      <c r="B533" s="131" t="s">
        <v>292</v>
      </c>
      <c r="C533" s="129"/>
      <c r="D533" s="129"/>
      <c r="E533" s="129"/>
      <c r="F533" s="129"/>
      <c r="G533" s="129"/>
      <c r="H533" s="129"/>
      <c r="I533" s="129"/>
      <c r="J533" s="129"/>
    </row>
    <row r="534" spans="2:10">
      <c r="B534" s="131" t="s">
        <v>291</v>
      </c>
      <c r="C534" s="129"/>
      <c r="D534" s="129"/>
      <c r="E534" s="129"/>
      <c r="F534" s="129"/>
      <c r="G534" s="129"/>
      <c r="H534" s="129"/>
      <c r="I534" s="129"/>
      <c r="J534" s="129"/>
    </row>
    <row r="535" spans="2:10">
      <c r="B535" s="131" t="s">
        <v>290</v>
      </c>
      <c r="C535" s="129"/>
      <c r="D535" s="129"/>
      <c r="E535" s="129"/>
      <c r="F535" s="129"/>
      <c r="G535" s="129"/>
      <c r="H535" s="129"/>
      <c r="I535" s="129"/>
      <c r="J535" s="129"/>
    </row>
    <row r="536" spans="2:10">
      <c r="B536" s="131" t="s">
        <v>289</v>
      </c>
      <c r="C536" s="129"/>
      <c r="D536" s="129"/>
      <c r="E536" s="129"/>
      <c r="F536" s="129"/>
      <c r="G536" s="129"/>
      <c r="H536" s="129"/>
      <c r="I536" s="129"/>
      <c r="J536" s="129"/>
    </row>
    <row r="537" spans="2:10">
      <c r="B537" s="131" t="s">
        <v>288</v>
      </c>
      <c r="C537" s="129"/>
      <c r="D537" s="129"/>
      <c r="E537" s="129"/>
      <c r="F537" s="129"/>
      <c r="G537" s="129"/>
      <c r="H537" s="129"/>
      <c r="I537" s="129"/>
      <c r="J537" s="129"/>
    </row>
    <row r="538" spans="2:10">
      <c r="B538" s="132" t="s">
        <v>295</v>
      </c>
      <c r="C538" s="129"/>
      <c r="D538" s="129"/>
      <c r="E538" s="129"/>
      <c r="F538" s="129"/>
      <c r="G538" s="129"/>
      <c r="H538" s="129"/>
      <c r="I538" s="129"/>
      <c r="J538" s="129"/>
    </row>
    <row r="539" spans="2:10">
      <c r="B539" s="131" t="s">
        <v>294</v>
      </c>
      <c r="C539" s="129"/>
      <c r="D539" s="129"/>
      <c r="E539" s="129"/>
      <c r="F539" s="129"/>
      <c r="G539" s="129"/>
      <c r="H539" s="129"/>
      <c r="I539" s="129"/>
      <c r="J539" s="129"/>
    </row>
    <row r="540" spans="2:10">
      <c r="B540" s="131" t="s">
        <v>293</v>
      </c>
      <c r="C540" s="129"/>
      <c r="D540" s="129"/>
      <c r="E540" s="129"/>
      <c r="F540" s="129"/>
      <c r="G540" s="129"/>
      <c r="H540" s="129"/>
      <c r="I540" s="129"/>
      <c r="J540" s="129"/>
    </row>
    <row r="541" spans="2:10">
      <c r="B541" s="131" t="s">
        <v>292</v>
      </c>
      <c r="C541" s="129"/>
      <c r="D541" s="129"/>
      <c r="E541" s="129"/>
      <c r="F541" s="129"/>
      <c r="G541" s="129"/>
      <c r="H541" s="129"/>
      <c r="I541" s="129"/>
      <c r="J541" s="129"/>
    </row>
    <row r="542" spans="2:10">
      <c r="B542" s="131" t="s">
        <v>291</v>
      </c>
      <c r="C542" s="129"/>
      <c r="D542" s="129"/>
      <c r="E542" s="129"/>
      <c r="F542" s="129"/>
      <c r="G542" s="129"/>
      <c r="H542" s="129"/>
      <c r="I542" s="129"/>
      <c r="J542" s="129"/>
    </row>
    <row r="543" spans="2:10">
      <c r="B543" s="131" t="s">
        <v>290</v>
      </c>
      <c r="C543" s="129"/>
      <c r="D543" s="129"/>
      <c r="E543" s="129"/>
      <c r="F543" s="129"/>
      <c r="G543" s="129"/>
      <c r="H543" s="129"/>
      <c r="I543" s="129"/>
      <c r="J543" s="129"/>
    </row>
    <row r="544" spans="2:10">
      <c r="B544" s="131" t="s">
        <v>289</v>
      </c>
      <c r="C544" s="129"/>
      <c r="D544" s="129"/>
      <c r="E544" s="129"/>
      <c r="F544" s="129"/>
      <c r="G544" s="129"/>
      <c r="H544" s="129"/>
      <c r="I544" s="129"/>
      <c r="J544" s="129"/>
    </row>
    <row r="545" spans="2:10">
      <c r="B545" s="131" t="s">
        <v>288</v>
      </c>
      <c r="C545" s="129"/>
      <c r="D545" s="129"/>
      <c r="E545" s="129"/>
      <c r="F545" s="129"/>
      <c r="G545" s="129"/>
      <c r="H545" s="129"/>
      <c r="I545" s="129"/>
      <c r="J545" s="129"/>
    </row>
    <row r="546" spans="2:10" ht="15" thickBot="1">
      <c r="B546" s="65" t="s">
        <v>301</v>
      </c>
      <c r="C546" s="137">
        <v>0.86860000000000004</v>
      </c>
      <c r="D546" s="137">
        <v>0.8347</v>
      </c>
      <c r="E546" s="137">
        <v>0.84789999999999999</v>
      </c>
      <c r="F546" s="137">
        <v>0.85324</v>
      </c>
      <c r="G546" s="137">
        <v>0.85460000000000003</v>
      </c>
      <c r="H546" s="137">
        <v>0.86319999999999997</v>
      </c>
      <c r="I546" s="137">
        <v>0.87287473721601594</v>
      </c>
      <c r="J546" s="137">
        <v>0.85891557426152898</v>
      </c>
    </row>
    <row r="547" spans="2:10" ht="15" thickTop="1">
      <c r="B547" s="2025" t="s">
        <v>1405</v>
      </c>
      <c r="C547" s="2025"/>
      <c r="D547" s="2025"/>
      <c r="E547" s="2025"/>
      <c r="F547" s="2025"/>
      <c r="G547" s="2025"/>
      <c r="H547" s="2025"/>
      <c r="I547" s="2025"/>
      <c r="J547" s="2025"/>
    </row>
    <row r="548" spans="2:10">
      <c r="B548" s="2066" t="s">
        <v>1451</v>
      </c>
      <c r="C548" s="2066"/>
      <c r="D548" s="2066"/>
      <c r="E548" s="2066"/>
      <c r="F548" s="2066"/>
      <c r="G548" s="2066"/>
      <c r="H548" s="2066"/>
      <c r="I548" s="2066"/>
      <c r="J548" s="2066"/>
    </row>
    <row r="549" spans="2:10">
      <c r="B549" s="64"/>
      <c r="C549" s="302"/>
      <c r="D549" s="302"/>
      <c r="E549" s="302"/>
      <c r="F549" s="302"/>
      <c r="G549" s="302"/>
      <c r="H549" s="302"/>
      <c r="I549" s="302"/>
      <c r="J549" s="302"/>
    </row>
    <row r="550" spans="2:10">
      <c r="B550" s="2097" t="s">
        <v>271</v>
      </c>
      <c r="C550" s="2097"/>
      <c r="D550" s="2097"/>
      <c r="E550" s="2097"/>
      <c r="F550" s="2097"/>
      <c r="G550" s="2097"/>
      <c r="H550" s="2097"/>
      <c r="I550" s="2097"/>
      <c r="J550" s="2097"/>
    </row>
    <row r="551" spans="2:10">
      <c r="B551" s="12" t="s">
        <v>270</v>
      </c>
      <c r="C551" s="302"/>
      <c r="D551" s="302"/>
      <c r="E551" s="302"/>
      <c r="F551" s="302"/>
      <c r="G551" s="302"/>
      <c r="H551" s="302"/>
      <c r="I551" s="302"/>
      <c r="J551" s="302"/>
    </row>
    <row r="552" spans="2:10">
      <c r="B552" s="77" t="s">
        <v>269</v>
      </c>
      <c r="C552" s="302"/>
      <c r="D552" s="302"/>
      <c r="E552" s="302"/>
      <c r="F552" s="302"/>
      <c r="G552" s="302"/>
      <c r="H552" s="302"/>
      <c r="I552" s="302"/>
      <c r="J552" s="302"/>
    </row>
    <row r="553" spans="2:10">
      <c r="B553" s="76"/>
      <c r="C553" s="302"/>
      <c r="D553" s="302"/>
      <c r="E553" s="302"/>
      <c r="F553" s="302"/>
      <c r="G553" s="302"/>
      <c r="H553" s="302"/>
      <c r="I553" s="302"/>
      <c r="J553" s="302"/>
    </row>
    <row r="554" spans="2:10">
      <c r="B554" s="61"/>
      <c r="C554" s="850">
        <v>2014</v>
      </c>
      <c r="D554" s="850">
        <v>2015</v>
      </c>
      <c r="E554" s="850">
        <v>2016</v>
      </c>
      <c r="F554" s="850">
        <v>2017</v>
      </c>
      <c r="G554" s="850">
        <v>2018</v>
      </c>
      <c r="H554" s="850">
        <v>2019</v>
      </c>
      <c r="I554" s="850">
        <v>2020</v>
      </c>
      <c r="J554" s="850">
        <v>2021</v>
      </c>
    </row>
    <row r="555" spans="2:10">
      <c r="B555" s="76" t="s">
        <v>1297</v>
      </c>
      <c r="C555" s="302"/>
      <c r="D555" s="302"/>
      <c r="E555" s="302"/>
      <c r="F555" s="302"/>
      <c r="G555" s="302"/>
      <c r="H555" s="302"/>
      <c r="I555" s="302"/>
      <c r="J555" s="302"/>
    </row>
    <row r="556" spans="2:10">
      <c r="B556" s="71" t="s">
        <v>265</v>
      </c>
      <c r="C556" s="865">
        <v>0</v>
      </c>
      <c r="D556" s="865">
        <v>0</v>
      </c>
      <c r="E556" s="865">
        <v>19</v>
      </c>
      <c r="F556" s="865">
        <v>17</v>
      </c>
      <c r="G556" s="865">
        <v>16</v>
      </c>
      <c r="H556" s="449">
        <v>15</v>
      </c>
      <c r="I556" s="449">
        <v>17</v>
      </c>
      <c r="J556" s="449">
        <v>17</v>
      </c>
    </row>
    <row r="557" spans="2:10">
      <c r="B557" s="52" t="s">
        <v>262</v>
      </c>
      <c r="C557" s="865">
        <v>0</v>
      </c>
      <c r="D557" s="865">
        <v>0</v>
      </c>
      <c r="E557" s="865">
        <v>1</v>
      </c>
      <c r="F557" s="865">
        <v>1</v>
      </c>
      <c r="G557" s="865">
        <v>1</v>
      </c>
      <c r="H557" s="865">
        <v>1</v>
      </c>
      <c r="I557" s="865">
        <v>1</v>
      </c>
      <c r="J557" s="865">
        <v>1</v>
      </c>
    </row>
    <row r="558" spans="2:10">
      <c r="B558" s="52" t="s">
        <v>261</v>
      </c>
      <c r="C558" s="865">
        <v>0</v>
      </c>
      <c r="D558" s="865">
        <v>0</v>
      </c>
      <c r="E558" s="865">
        <v>0</v>
      </c>
      <c r="F558" s="865">
        <v>0</v>
      </c>
      <c r="G558" s="865">
        <v>0</v>
      </c>
      <c r="H558" s="865">
        <v>0</v>
      </c>
      <c r="I558" s="865">
        <v>0</v>
      </c>
      <c r="J558" s="865">
        <v>0</v>
      </c>
    </row>
    <row r="559" spans="2:10">
      <c r="B559" s="52" t="s">
        <v>260</v>
      </c>
      <c r="C559" s="865">
        <v>0</v>
      </c>
      <c r="D559" s="865">
        <v>0</v>
      </c>
      <c r="E559" s="865">
        <v>17</v>
      </c>
      <c r="F559" s="865">
        <v>16</v>
      </c>
      <c r="G559" s="865">
        <v>15</v>
      </c>
      <c r="H559" s="865">
        <v>14</v>
      </c>
      <c r="I559" s="865">
        <v>15</v>
      </c>
      <c r="J559" s="865">
        <v>15</v>
      </c>
    </row>
    <row r="560" spans="2:10">
      <c r="B560" s="52" t="s">
        <v>117</v>
      </c>
      <c r="C560" s="865">
        <v>0</v>
      </c>
      <c r="D560" s="865">
        <v>0</v>
      </c>
      <c r="E560" s="865">
        <v>1</v>
      </c>
      <c r="F560" s="865">
        <v>0</v>
      </c>
      <c r="G560" s="865">
        <v>0</v>
      </c>
      <c r="H560" s="865">
        <v>0</v>
      </c>
      <c r="I560" s="865">
        <v>1</v>
      </c>
      <c r="J560" s="865">
        <v>1</v>
      </c>
    </row>
    <row r="561" spans="2:10">
      <c r="B561" s="52"/>
      <c r="C561" s="866"/>
      <c r="D561" s="866"/>
      <c r="E561" s="866"/>
      <c r="F561" s="866"/>
      <c r="G561" s="866"/>
      <c r="H561" s="865"/>
      <c r="I561" s="865"/>
      <c r="J561" s="865"/>
    </row>
    <row r="562" spans="2:10">
      <c r="B562" s="71" t="s">
        <v>264</v>
      </c>
      <c r="C562" s="866">
        <v>0</v>
      </c>
      <c r="D562" s="866">
        <v>0</v>
      </c>
      <c r="E562" s="866">
        <v>19</v>
      </c>
      <c r="F562" s="866">
        <v>17</v>
      </c>
      <c r="G562" s="866">
        <v>16</v>
      </c>
      <c r="H562" s="865">
        <v>15</v>
      </c>
      <c r="I562" s="865">
        <v>17</v>
      </c>
      <c r="J562" s="865">
        <v>17</v>
      </c>
    </row>
    <row r="563" spans="2:10">
      <c r="B563" s="52" t="s">
        <v>262</v>
      </c>
      <c r="C563" s="865">
        <v>0</v>
      </c>
      <c r="D563" s="865">
        <v>0</v>
      </c>
      <c r="E563" s="865">
        <v>1</v>
      </c>
      <c r="F563" s="865">
        <v>1</v>
      </c>
      <c r="G563" s="865">
        <v>1</v>
      </c>
      <c r="H563" s="865">
        <v>1</v>
      </c>
      <c r="I563" s="865">
        <v>1</v>
      </c>
      <c r="J563" s="865">
        <v>1</v>
      </c>
    </row>
    <row r="564" spans="2:10">
      <c r="B564" s="52" t="s">
        <v>261</v>
      </c>
      <c r="C564" s="865">
        <v>0</v>
      </c>
      <c r="D564" s="865">
        <v>0</v>
      </c>
      <c r="E564" s="865">
        <v>0</v>
      </c>
      <c r="F564" s="865">
        <v>0</v>
      </c>
      <c r="G564" s="865">
        <v>0</v>
      </c>
      <c r="H564" s="865">
        <v>0</v>
      </c>
      <c r="I564" s="865">
        <v>0</v>
      </c>
      <c r="J564" s="865">
        <v>0</v>
      </c>
    </row>
    <row r="565" spans="2:10">
      <c r="B565" s="52" t="s">
        <v>260</v>
      </c>
      <c r="C565" s="865">
        <v>0</v>
      </c>
      <c r="D565" s="865">
        <v>0</v>
      </c>
      <c r="E565" s="865">
        <v>17</v>
      </c>
      <c r="F565" s="865">
        <v>16</v>
      </c>
      <c r="G565" s="865">
        <v>15</v>
      </c>
      <c r="H565" s="865">
        <v>14</v>
      </c>
      <c r="I565" s="865">
        <v>15</v>
      </c>
      <c r="J565" s="865">
        <v>15</v>
      </c>
    </row>
    <row r="566" spans="2:10">
      <c r="B566" s="52" t="s">
        <v>117</v>
      </c>
      <c r="C566" s="865">
        <v>0</v>
      </c>
      <c r="D566" s="865">
        <v>0</v>
      </c>
      <c r="E566" s="865">
        <v>1</v>
      </c>
      <c r="F566" s="865">
        <v>0</v>
      </c>
      <c r="G566" s="865">
        <v>0</v>
      </c>
      <c r="H566" s="865">
        <v>0</v>
      </c>
      <c r="I566" s="865">
        <v>1</v>
      </c>
      <c r="J566" s="865">
        <v>1</v>
      </c>
    </row>
    <row r="567" spans="2:10">
      <c r="B567" s="52"/>
      <c r="C567" s="866"/>
      <c r="D567" s="866"/>
      <c r="E567" s="866"/>
      <c r="F567" s="866"/>
      <c r="G567" s="866"/>
      <c r="H567" s="865"/>
      <c r="I567" s="865"/>
      <c r="J567" s="865"/>
    </row>
    <row r="568" spans="2:10">
      <c r="B568" s="71" t="s">
        <v>263</v>
      </c>
      <c r="C568" s="866">
        <v>0</v>
      </c>
      <c r="D568" s="866">
        <v>0</v>
      </c>
      <c r="E568" s="866">
        <v>0</v>
      </c>
      <c r="F568" s="866">
        <v>0</v>
      </c>
      <c r="G568" s="866">
        <v>0</v>
      </c>
      <c r="H568" s="865">
        <v>0</v>
      </c>
      <c r="I568" s="865">
        <v>0</v>
      </c>
      <c r="J568" s="865">
        <v>0</v>
      </c>
    </row>
    <row r="569" spans="2:10">
      <c r="B569" s="52" t="s">
        <v>262</v>
      </c>
      <c r="C569" s="865">
        <v>0</v>
      </c>
      <c r="D569" s="865">
        <v>0</v>
      </c>
      <c r="E569" s="865">
        <v>0</v>
      </c>
      <c r="F569" s="865">
        <v>0</v>
      </c>
      <c r="G569" s="865">
        <v>0</v>
      </c>
      <c r="H569" s="865">
        <v>0</v>
      </c>
      <c r="I569" s="865">
        <v>0</v>
      </c>
      <c r="J569" s="865">
        <v>0</v>
      </c>
    </row>
    <row r="570" spans="2:10">
      <c r="B570" s="52" t="s">
        <v>261</v>
      </c>
      <c r="C570" s="865">
        <v>0</v>
      </c>
      <c r="D570" s="865">
        <v>0</v>
      </c>
      <c r="E570" s="865">
        <v>0</v>
      </c>
      <c r="F570" s="865">
        <v>0</v>
      </c>
      <c r="G570" s="865">
        <v>0</v>
      </c>
      <c r="H570" s="865">
        <v>0</v>
      </c>
      <c r="I570" s="865">
        <v>0</v>
      </c>
      <c r="J570" s="865">
        <v>0</v>
      </c>
    </row>
    <row r="571" spans="2:10">
      <c r="B571" s="52" t="s">
        <v>260</v>
      </c>
      <c r="C571" s="865">
        <v>0</v>
      </c>
      <c r="D571" s="865">
        <v>0</v>
      </c>
      <c r="E571" s="865">
        <v>0</v>
      </c>
      <c r="F571" s="865">
        <v>0</v>
      </c>
      <c r="G571" s="865">
        <v>0</v>
      </c>
      <c r="H571" s="865">
        <v>0</v>
      </c>
      <c r="I571" s="865">
        <v>0</v>
      </c>
      <c r="J571" s="865">
        <v>0</v>
      </c>
    </row>
    <row r="572" spans="2:10">
      <c r="B572" s="52" t="s">
        <v>117</v>
      </c>
      <c r="C572" s="865">
        <v>0</v>
      </c>
      <c r="D572" s="865">
        <v>0</v>
      </c>
      <c r="E572" s="865">
        <v>0</v>
      </c>
      <c r="F572" s="865">
        <v>0</v>
      </c>
      <c r="G572" s="865">
        <v>0</v>
      </c>
      <c r="H572" s="865">
        <v>0</v>
      </c>
      <c r="I572" s="865">
        <v>0</v>
      </c>
      <c r="J572" s="865">
        <v>0</v>
      </c>
    </row>
    <row r="573" spans="2:10">
      <c r="B573" s="52"/>
      <c r="C573" s="865"/>
      <c r="D573" s="865"/>
      <c r="E573" s="865"/>
      <c r="F573" s="865"/>
      <c r="G573" s="865"/>
      <c r="H573" s="865"/>
      <c r="I573" s="865"/>
      <c r="J573" s="865"/>
    </row>
    <row r="574" spans="2:10">
      <c r="B574" s="76" t="s">
        <v>1301</v>
      </c>
      <c r="C574" s="302"/>
      <c r="D574" s="302"/>
      <c r="E574" s="302"/>
      <c r="F574" s="302"/>
      <c r="G574" s="302"/>
      <c r="H574" s="449"/>
      <c r="I574" s="449"/>
      <c r="J574" s="449"/>
    </row>
    <row r="575" spans="2:10">
      <c r="B575" s="71" t="s">
        <v>265</v>
      </c>
      <c r="C575" s="865">
        <v>0</v>
      </c>
      <c r="D575" s="865">
        <v>0</v>
      </c>
      <c r="E575" s="865">
        <v>16</v>
      </c>
      <c r="F575" s="865">
        <v>16</v>
      </c>
      <c r="G575" s="865">
        <v>16</v>
      </c>
      <c r="H575" s="449">
        <v>16</v>
      </c>
      <c r="I575" s="449">
        <v>17</v>
      </c>
      <c r="J575" s="449">
        <v>17</v>
      </c>
    </row>
    <row r="576" spans="2:10">
      <c r="B576" s="52" t="s">
        <v>262</v>
      </c>
      <c r="C576" s="865">
        <v>0</v>
      </c>
      <c r="D576" s="865">
        <v>0</v>
      </c>
      <c r="E576" s="865">
        <v>0</v>
      </c>
      <c r="F576" s="865">
        <v>0</v>
      </c>
      <c r="G576" s="865">
        <v>0</v>
      </c>
      <c r="H576" s="865">
        <v>0</v>
      </c>
      <c r="I576" s="865">
        <v>0</v>
      </c>
      <c r="J576" s="865">
        <v>0</v>
      </c>
    </row>
    <row r="577" spans="2:10">
      <c r="B577" s="52" t="s">
        <v>261</v>
      </c>
      <c r="C577" s="865">
        <v>0</v>
      </c>
      <c r="D577" s="865">
        <v>0</v>
      </c>
      <c r="E577" s="865">
        <v>0</v>
      </c>
      <c r="F577" s="865">
        <v>0</v>
      </c>
      <c r="G577" s="865">
        <v>0</v>
      </c>
      <c r="H577" s="865">
        <v>0</v>
      </c>
      <c r="I577" s="865">
        <v>0</v>
      </c>
      <c r="J577" s="865">
        <v>0</v>
      </c>
    </row>
    <row r="578" spans="2:10">
      <c r="B578" s="52" t="s">
        <v>260</v>
      </c>
      <c r="C578" s="865">
        <v>0</v>
      </c>
      <c r="D578" s="865">
        <v>0</v>
      </c>
      <c r="E578" s="865">
        <v>0</v>
      </c>
      <c r="F578" s="865">
        <v>0</v>
      </c>
      <c r="G578" s="865">
        <v>0</v>
      </c>
      <c r="H578" s="865">
        <v>0</v>
      </c>
      <c r="I578" s="865">
        <v>0</v>
      </c>
      <c r="J578" s="865">
        <v>0</v>
      </c>
    </row>
    <row r="579" spans="2:10">
      <c r="B579" s="52" t="s">
        <v>117</v>
      </c>
      <c r="C579" s="865">
        <v>0</v>
      </c>
      <c r="D579" s="865">
        <v>0</v>
      </c>
      <c r="E579" s="865">
        <v>16</v>
      </c>
      <c r="F579" s="865">
        <v>16</v>
      </c>
      <c r="G579" s="865">
        <v>16</v>
      </c>
      <c r="H579" s="865">
        <v>16</v>
      </c>
      <c r="I579" s="865">
        <v>17</v>
      </c>
      <c r="J579" s="865">
        <v>17</v>
      </c>
    </row>
    <row r="580" spans="2:10">
      <c r="B580" s="52"/>
      <c r="C580" s="866"/>
      <c r="D580" s="866"/>
      <c r="E580" s="866"/>
      <c r="F580" s="866"/>
      <c r="G580" s="866"/>
      <c r="H580" s="865"/>
      <c r="I580" s="865"/>
      <c r="J580" s="865"/>
    </row>
    <row r="581" spans="2:10">
      <c r="B581" s="71" t="s">
        <v>264</v>
      </c>
      <c r="C581" s="866">
        <v>0</v>
      </c>
      <c r="D581" s="866">
        <v>0</v>
      </c>
      <c r="E581" s="866">
        <v>16</v>
      </c>
      <c r="F581" s="866">
        <v>16</v>
      </c>
      <c r="G581" s="866">
        <v>16</v>
      </c>
      <c r="H581" s="865">
        <v>16</v>
      </c>
      <c r="I581" s="865">
        <v>17</v>
      </c>
      <c r="J581" s="865">
        <v>17</v>
      </c>
    </row>
    <row r="582" spans="2:10">
      <c r="B582" s="52" t="s">
        <v>262</v>
      </c>
      <c r="C582" s="865">
        <v>0</v>
      </c>
      <c r="D582" s="865">
        <v>0</v>
      </c>
      <c r="E582" s="865">
        <v>0</v>
      </c>
      <c r="F582" s="865">
        <v>0</v>
      </c>
      <c r="G582" s="865">
        <v>0</v>
      </c>
      <c r="H582" s="865">
        <v>0</v>
      </c>
      <c r="I582" s="865">
        <v>0</v>
      </c>
      <c r="J582" s="865">
        <v>0</v>
      </c>
    </row>
    <row r="583" spans="2:10">
      <c r="B583" s="52" t="s">
        <v>261</v>
      </c>
      <c r="C583" s="865">
        <v>0</v>
      </c>
      <c r="D583" s="865">
        <v>0</v>
      </c>
      <c r="E583" s="865">
        <v>0</v>
      </c>
      <c r="F583" s="865">
        <v>0</v>
      </c>
      <c r="G583" s="865">
        <v>0</v>
      </c>
      <c r="H583" s="865">
        <v>0</v>
      </c>
      <c r="I583" s="865">
        <v>0</v>
      </c>
      <c r="J583" s="865">
        <v>0</v>
      </c>
    </row>
    <row r="584" spans="2:10">
      <c r="B584" s="52" t="s">
        <v>260</v>
      </c>
      <c r="C584" s="865">
        <v>0</v>
      </c>
      <c r="D584" s="865">
        <v>0</v>
      </c>
      <c r="E584" s="865">
        <v>0</v>
      </c>
      <c r="F584" s="865">
        <v>0</v>
      </c>
      <c r="G584" s="865">
        <v>0</v>
      </c>
      <c r="H584" s="865">
        <v>0</v>
      </c>
      <c r="I584" s="865">
        <v>0</v>
      </c>
      <c r="J584" s="865">
        <v>0</v>
      </c>
    </row>
    <row r="585" spans="2:10">
      <c r="B585" s="52" t="s">
        <v>117</v>
      </c>
      <c r="C585" s="865">
        <v>0</v>
      </c>
      <c r="D585" s="865">
        <v>0</v>
      </c>
      <c r="E585" s="865">
        <v>16</v>
      </c>
      <c r="F585" s="865">
        <v>16</v>
      </c>
      <c r="G585" s="865">
        <v>16</v>
      </c>
      <c r="H585" s="865">
        <v>16</v>
      </c>
      <c r="I585" s="865">
        <v>17</v>
      </c>
      <c r="J585" s="865">
        <v>17</v>
      </c>
    </row>
    <row r="586" spans="2:10">
      <c r="B586" s="52"/>
      <c r="C586" s="866"/>
      <c r="D586" s="866"/>
      <c r="E586" s="866"/>
      <c r="F586" s="866"/>
      <c r="G586" s="866"/>
      <c r="H586" s="865"/>
      <c r="I586" s="865"/>
      <c r="J586" s="865"/>
    </row>
    <row r="587" spans="2:10">
      <c r="B587" s="71" t="s">
        <v>263</v>
      </c>
      <c r="C587" s="866">
        <v>0</v>
      </c>
      <c r="D587" s="866">
        <v>0</v>
      </c>
      <c r="E587" s="866">
        <v>0</v>
      </c>
      <c r="F587" s="866">
        <v>0</v>
      </c>
      <c r="G587" s="866">
        <v>0</v>
      </c>
      <c r="H587" s="865">
        <v>0</v>
      </c>
      <c r="I587" s="865">
        <v>0</v>
      </c>
      <c r="J587" s="865">
        <v>0</v>
      </c>
    </row>
    <row r="588" spans="2:10">
      <c r="B588" s="52" t="s">
        <v>262</v>
      </c>
      <c r="C588" s="865">
        <v>0</v>
      </c>
      <c r="D588" s="865">
        <v>0</v>
      </c>
      <c r="E588" s="865">
        <v>0</v>
      </c>
      <c r="F588" s="865">
        <v>0</v>
      </c>
      <c r="G588" s="865">
        <v>0</v>
      </c>
      <c r="H588" s="865">
        <v>0</v>
      </c>
      <c r="I588" s="865">
        <v>0</v>
      </c>
      <c r="J588" s="865">
        <v>0</v>
      </c>
    </row>
    <row r="589" spans="2:10">
      <c r="B589" s="52" t="s">
        <v>261</v>
      </c>
      <c r="C589" s="865">
        <v>0</v>
      </c>
      <c r="D589" s="865">
        <v>0</v>
      </c>
      <c r="E589" s="865">
        <v>0</v>
      </c>
      <c r="F589" s="865">
        <v>0</v>
      </c>
      <c r="G589" s="865">
        <v>0</v>
      </c>
      <c r="H589" s="865">
        <v>0</v>
      </c>
      <c r="I589" s="865">
        <v>0</v>
      </c>
      <c r="J589" s="865">
        <v>0</v>
      </c>
    </row>
    <row r="590" spans="2:10">
      <c r="B590" s="52" t="s">
        <v>260</v>
      </c>
      <c r="C590" s="865">
        <v>0</v>
      </c>
      <c r="D590" s="865">
        <v>0</v>
      </c>
      <c r="E590" s="865">
        <v>0</v>
      </c>
      <c r="F590" s="865">
        <v>0</v>
      </c>
      <c r="G590" s="865">
        <v>0</v>
      </c>
      <c r="H590" s="865">
        <v>0</v>
      </c>
      <c r="I590" s="865">
        <v>0</v>
      </c>
      <c r="J590" s="865">
        <v>0</v>
      </c>
    </row>
    <row r="591" spans="2:10">
      <c r="B591" s="52" t="s">
        <v>117</v>
      </c>
      <c r="C591" s="865">
        <v>0</v>
      </c>
      <c r="D591" s="865">
        <v>0</v>
      </c>
      <c r="E591" s="865">
        <v>0</v>
      </c>
      <c r="F591" s="865">
        <v>0</v>
      </c>
      <c r="G591" s="865">
        <v>0</v>
      </c>
      <c r="H591" s="865">
        <v>0</v>
      </c>
      <c r="I591" s="865">
        <v>0</v>
      </c>
      <c r="J591" s="865">
        <v>0</v>
      </c>
    </row>
    <row r="592" spans="2:10">
      <c r="B592" s="52"/>
      <c r="C592" s="865"/>
      <c r="D592" s="865"/>
      <c r="E592" s="865"/>
      <c r="F592" s="865"/>
      <c r="G592" s="865"/>
      <c r="H592" s="865"/>
      <c r="I592" s="865"/>
      <c r="J592" s="865"/>
    </row>
    <row r="593" spans="2:10">
      <c r="B593" s="76" t="s">
        <v>1299</v>
      </c>
      <c r="C593" s="302"/>
      <c r="D593" s="302"/>
      <c r="E593" s="302"/>
      <c r="F593" s="302"/>
      <c r="G593" s="302"/>
      <c r="H593" s="449"/>
      <c r="I593" s="449"/>
      <c r="J593" s="449"/>
    </row>
    <row r="594" spans="2:10">
      <c r="B594" s="71" t="s">
        <v>265</v>
      </c>
      <c r="C594" s="865">
        <v>0</v>
      </c>
      <c r="D594" s="865">
        <v>0</v>
      </c>
      <c r="E594" s="865">
        <v>20</v>
      </c>
      <c r="F594" s="865">
        <v>20</v>
      </c>
      <c r="G594" s="865">
        <v>19</v>
      </c>
      <c r="H594" s="449">
        <v>19</v>
      </c>
      <c r="I594" s="449">
        <v>19</v>
      </c>
      <c r="J594" s="449">
        <v>21</v>
      </c>
    </row>
    <row r="595" spans="2:10">
      <c r="B595" s="52" t="s">
        <v>262</v>
      </c>
      <c r="C595" s="865">
        <v>0</v>
      </c>
      <c r="D595" s="865">
        <v>0</v>
      </c>
      <c r="E595" s="865">
        <v>1</v>
      </c>
      <c r="F595" s="865">
        <v>1</v>
      </c>
      <c r="G595" s="865">
        <v>1</v>
      </c>
      <c r="H595" s="865">
        <v>1</v>
      </c>
      <c r="I595" s="865">
        <v>1</v>
      </c>
      <c r="J595" s="865">
        <v>1</v>
      </c>
    </row>
    <row r="596" spans="2:10">
      <c r="B596" s="52" t="s">
        <v>261</v>
      </c>
      <c r="C596" s="865">
        <v>0</v>
      </c>
      <c r="D596" s="865">
        <v>0</v>
      </c>
      <c r="E596" s="865">
        <v>0</v>
      </c>
      <c r="F596" s="865">
        <v>0</v>
      </c>
      <c r="G596" s="865">
        <v>0</v>
      </c>
      <c r="H596" s="865">
        <v>0</v>
      </c>
      <c r="I596" s="865">
        <v>0</v>
      </c>
      <c r="J596" s="865">
        <v>0</v>
      </c>
    </row>
    <row r="597" spans="2:10">
      <c r="B597" s="52" t="s">
        <v>260</v>
      </c>
      <c r="C597" s="865">
        <v>0</v>
      </c>
      <c r="D597" s="865">
        <v>0</v>
      </c>
      <c r="E597" s="865">
        <v>17</v>
      </c>
      <c r="F597" s="865">
        <v>17</v>
      </c>
      <c r="G597" s="865">
        <v>17</v>
      </c>
      <c r="H597" s="865">
        <v>16</v>
      </c>
      <c r="I597" s="865">
        <v>16</v>
      </c>
      <c r="J597" s="865">
        <v>18</v>
      </c>
    </row>
    <row r="598" spans="2:10">
      <c r="B598" s="52" t="s">
        <v>117</v>
      </c>
      <c r="C598" s="865">
        <v>0</v>
      </c>
      <c r="D598" s="865">
        <v>0</v>
      </c>
      <c r="E598" s="865">
        <v>2</v>
      </c>
      <c r="F598" s="865">
        <v>2</v>
      </c>
      <c r="G598" s="865">
        <v>1</v>
      </c>
      <c r="H598" s="865">
        <v>2</v>
      </c>
      <c r="I598" s="865">
        <v>2</v>
      </c>
      <c r="J598" s="865">
        <v>2</v>
      </c>
    </row>
    <row r="599" spans="2:10">
      <c r="B599" s="52"/>
      <c r="C599" s="866"/>
      <c r="D599" s="866"/>
      <c r="E599" s="866"/>
      <c r="F599" s="866"/>
      <c r="G599" s="866"/>
      <c r="H599" s="865"/>
      <c r="I599" s="865"/>
      <c r="J599" s="865"/>
    </row>
    <row r="600" spans="2:10">
      <c r="B600" s="71" t="s">
        <v>264</v>
      </c>
      <c r="C600" s="866">
        <v>0</v>
      </c>
      <c r="D600" s="866">
        <v>0</v>
      </c>
      <c r="E600" s="866">
        <v>20</v>
      </c>
      <c r="F600" s="866">
        <v>20</v>
      </c>
      <c r="G600" s="866">
        <v>19</v>
      </c>
      <c r="H600" s="865">
        <v>19</v>
      </c>
      <c r="I600" s="865">
        <v>19</v>
      </c>
      <c r="J600" s="865">
        <v>21</v>
      </c>
    </row>
    <row r="601" spans="2:10">
      <c r="B601" s="52" t="s">
        <v>262</v>
      </c>
      <c r="C601" s="865">
        <v>0</v>
      </c>
      <c r="D601" s="865">
        <v>0</v>
      </c>
      <c r="E601" s="865">
        <v>1</v>
      </c>
      <c r="F601" s="865">
        <v>1</v>
      </c>
      <c r="G601" s="865">
        <v>1</v>
      </c>
      <c r="H601" s="865">
        <v>1</v>
      </c>
      <c r="I601" s="865">
        <v>1</v>
      </c>
      <c r="J601" s="865">
        <v>1</v>
      </c>
    </row>
    <row r="602" spans="2:10">
      <c r="B602" s="52" t="s">
        <v>261</v>
      </c>
      <c r="C602" s="865">
        <v>0</v>
      </c>
      <c r="D602" s="865">
        <v>0</v>
      </c>
      <c r="E602" s="865">
        <v>0</v>
      </c>
      <c r="F602" s="865">
        <v>0</v>
      </c>
      <c r="G602" s="865">
        <v>0</v>
      </c>
      <c r="H602" s="865">
        <v>0</v>
      </c>
      <c r="I602" s="865">
        <v>0</v>
      </c>
      <c r="J602" s="865">
        <v>0</v>
      </c>
    </row>
    <row r="603" spans="2:10">
      <c r="B603" s="52" t="s">
        <v>260</v>
      </c>
      <c r="C603" s="865">
        <v>0</v>
      </c>
      <c r="D603" s="865">
        <v>0</v>
      </c>
      <c r="E603" s="865">
        <v>17</v>
      </c>
      <c r="F603" s="865">
        <v>17</v>
      </c>
      <c r="G603" s="865">
        <v>16</v>
      </c>
      <c r="H603" s="865">
        <v>16</v>
      </c>
      <c r="I603" s="865">
        <v>16</v>
      </c>
      <c r="J603" s="865">
        <v>18</v>
      </c>
    </row>
    <row r="604" spans="2:10">
      <c r="B604" s="52" t="s">
        <v>117</v>
      </c>
      <c r="C604" s="865">
        <v>0</v>
      </c>
      <c r="D604" s="865">
        <v>0</v>
      </c>
      <c r="E604" s="865">
        <v>2</v>
      </c>
      <c r="F604" s="865">
        <v>2</v>
      </c>
      <c r="G604" s="865">
        <v>1</v>
      </c>
      <c r="H604" s="865">
        <v>2</v>
      </c>
      <c r="I604" s="865">
        <v>2</v>
      </c>
      <c r="J604" s="865">
        <v>2</v>
      </c>
    </row>
    <row r="605" spans="2:10">
      <c r="B605" s="52"/>
      <c r="C605" s="866"/>
      <c r="D605" s="866"/>
      <c r="E605" s="866"/>
      <c r="F605" s="866"/>
      <c r="G605" s="866"/>
      <c r="H605" s="865"/>
      <c r="I605" s="865"/>
      <c r="J605" s="865"/>
    </row>
    <row r="606" spans="2:10">
      <c r="B606" s="71" t="s">
        <v>263</v>
      </c>
      <c r="C606" s="866">
        <v>0</v>
      </c>
      <c r="D606" s="866">
        <v>0</v>
      </c>
      <c r="E606" s="866">
        <v>0</v>
      </c>
      <c r="F606" s="866">
        <v>0</v>
      </c>
      <c r="G606" s="866">
        <v>0</v>
      </c>
      <c r="H606" s="865">
        <v>0</v>
      </c>
      <c r="I606" s="865">
        <v>0</v>
      </c>
      <c r="J606" s="865">
        <v>0</v>
      </c>
    </row>
    <row r="607" spans="2:10">
      <c r="B607" s="52" t="s">
        <v>262</v>
      </c>
      <c r="C607" s="865">
        <v>0</v>
      </c>
      <c r="D607" s="865">
        <v>0</v>
      </c>
      <c r="E607" s="865">
        <v>0</v>
      </c>
      <c r="F607" s="865">
        <v>0</v>
      </c>
      <c r="G607" s="865">
        <v>0</v>
      </c>
      <c r="H607" s="865">
        <v>0</v>
      </c>
      <c r="I607" s="865">
        <v>0</v>
      </c>
      <c r="J607" s="865">
        <v>0</v>
      </c>
    </row>
    <row r="608" spans="2:10">
      <c r="B608" s="52" t="s">
        <v>261</v>
      </c>
      <c r="C608" s="865">
        <v>0</v>
      </c>
      <c r="D608" s="865">
        <v>0</v>
      </c>
      <c r="E608" s="865">
        <v>0</v>
      </c>
      <c r="F608" s="865">
        <v>0</v>
      </c>
      <c r="G608" s="865">
        <v>0</v>
      </c>
      <c r="H608" s="865">
        <v>0</v>
      </c>
      <c r="I608" s="865">
        <v>0</v>
      </c>
      <c r="J608" s="865">
        <v>0</v>
      </c>
    </row>
    <row r="609" spans="2:10">
      <c r="B609" s="52" t="s">
        <v>260</v>
      </c>
      <c r="C609" s="865">
        <v>0</v>
      </c>
      <c r="D609" s="865">
        <v>0</v>
      </c>
      <c r="E609" s="865">
        <v>0</v>
      </c>
      <c r="F609" s="865">
        <v>0</v>
      </c>
      <c r="G609" s="865">
        <v>0</v>
      </c>
      <c r="H609" s="865">
        <v>0</v>
      </c>
      <c r="I609" s="865">
        <v>0</v>
      </c>
      <c r="J609" s="865">
        <v>0</v>
      </c>
    </row>
    <row r="610" spans="2:10" ht="15" thickBot="1">
      <c r="B610" s="52" t="s">
        <v>117</v>
      </c>
      <c r="C610" s="865">
        <v>0</v>
      </c>
      <c r="D610" s="865">
        <v>0</v>
      </c>
      <c r="E610" s="865">
        <v>0</v>
      </c>
      <c r="F610" s="865">
        <v>0</v>
      </c>
      <c r="G610" s="865">
        <v>0</v>
      </c>
      <c r="H610" s="865">
        <v>0</v>
      </c>
      <c r="I610" s="865">
        <v>0</v>
      </c>
      <c r="J610" s="865">
        <v>0</v>
      </c>
    </row>
    <row r="611" spans="2:10" ht="15" thickTop="1">
      <c r="B611" s="2025" t="s">
        <v>1452</v>
      </c>
      <c r="C611" s="2025"/>
      <c r="D611" s="2025"/>
      <c r="E611" s="2025"/>
      <c r="F611" s="2025"/>
      <c r="G611" s="2025"/>
      <c r="H611" s="2025"/>
      <c r="I611" s="2025"/>
      <c r="J611" s="2025"/>
    </row>
    <row r="612" spans="2:10">
      <c r="B612" s="62"/>
      <c r="C612" s="302"/>
      <c r="D612" s="302"/>
      <c r="E612" s="302"/>
      <c r="F612" s="302"/>
      <c r="G612" s="302"/>
      <c r="H612" s="302"/>
      <c r="I612" s="302"/>
      <c r="J612" s="302"/>
    </row>
    <row r="613" spans="2:10">
      <c r="B613" s="2097" t="s">
        <v>258</v>
      </c>
      <c r="C613" s="2097"/>
      <c r="D613" s="2097"/>
      <c r="E613" s="2097"/>
      <c r="F613" s="2097"/>
      <c r="G613" s="2097"/>
      <c r="H613" s="2097"/>
      <c r="I613" s="2097"/>
      <c r="J613" s="2097"/>
    </row>
    <row r="614" spans="2:10">
      <c r="B614" s="12" t="s">
        <v>257</v>
      </c>
      <c r="C614" s="302"/>
      <c r="D614" s="302"/>
      <c r="E614" s="302"/>
      <c r="F614" s="302"/>
      <c r="G614" s="302"/>
      <c r="H614" s="302"/>
      <c r="I614" s="302"/>
      <c r="J614" s="302"/>
    </row>
    <row r="615" spans="2:10">
      <c r="B615" s="77" t="s">
        <v>256</v>
      </c>
      <c r="C615" s="302"/>
      <c r="D615" s="302"/>
      <c r="E615" s="302"/>
      <c r="F615" s="302"/>
      <c r="G615" s="302"/>
      <c r="H615" s="302"/>
      <c r="I615" s="302"/>
      <c r="J615" s="302"/>
    </row>
    <row r="616" spans="2:10">
      <c r="B616" s="62"/>
      <c r="C616" s="302"/>
      <c r="D616" s="302"/>
      <c r="E616" s="302"/>
      <c r="F616" s="302"/>
      <c r="G616" s="302"/>
      <c r="H616" s="302"/>
      <c r="I616" s="302"/>
      <c r="J616" s="302"/>
    </row>
    <row r="617" spans="2:10">
      <c r="B617" s="61"/>
      <c r="C617" s="850">
        <v>2014</v>
      </c>
      <c r="D617" s="850">
        <v>2015</v>
      </c>
      <c r="E617" s="850">
        <v>2016</v>
      </c>
      <c r="F617" s="850">
        <v>2017</v>
      </c>
      <c r="G617" s="850">
        <v>2018</v>
      </c>
      <c r="H617" s="850">
        <v>2019</v>
      </c>
      <c r="I617" s="850">
        <v>2020</v>
      </c>
      <c r="J617" s="850">
        <v>2021</v>
      </c>
    </row>
    <row r="618" spans="2:10">
      <c r="B618" s="59" t="s">
        <v>1332</v>
      </c>
      <c r="C618" s="302"/>
      <c r="D618" s="302"/>
      <c r="E618" s="302"/>
      <c r="F618" s="302"/>
      <c r="G618" s="302"/>
      <c r="H618" s="302"/>
      <c r="I618" s="302"/>
      <c r="J618" s="302"/>
    </row>
    <row r="619" spans="2:10">
      <c r="B619" s="71" t="s">
        <v>247</v>
      </c>
      <c r="C619" s="867"/>
      <c r="D619" s="867"/>
      <c r="E619" s="867"/>
      <c r="F619" s="867"/>
      <c r="G619" s="867"/>
      <c r="H619" s="867"/>
      <c r="I619" s="867"/>
      <c r="J619" s="867"/>
    </row>
    <row r="620" spans="2:10">
      <c r="B620" s="52" t="s">
        <v>121</v>
      </c>
      <c r="C620" s="853">
        <v>1.4E-2</v>
      </c>
      <c r="D620" s="853">
        <v>1.0999999999999999E-2</v>
      </c>
      <c r="E620" s="853">
        <v>1.0999999999999999E-2</v>
      </c>
      <c r="F620" s="853">
        <v>1.7999999999999999E-2</v>
      </c>
      <c r="G620" s="853">
        <v>1.7999999999999999E-2</v>
      </c>
      <c r="H620" s="853">
        <v>1.4999999999999999E-2</v>
      </c>
      <c r="I620" s="853">
        <v>0.03</v>
      </c>
      <c r="J620" s="853">
        <v>3.5000000000000003E-2</v>
      </c>
    </row>
    <row r="621" spans="2:10">
      <c r="B621" s="53" t="s">
        <v>120</v>
      </c>
      <c r="C621" s="867">
        <v>0</v>
      </c>
      <c r="D621" s="867">
        <v>0</v>
      </c>
      <c r="E621" s="867">
        <v>0</v>
      </c>
      <c r="F621" s="867">
        <v>0</v>
      </c>
      <c r="G621" s="867">
        <v>0</v>
      </c>
      <c r="H621" s="867">
        <v>0</v>
      </c>
      <c r="I621" s="867">
        <v>0</v>
      </c>
      <c r="J621" s="867">
        <v>0</v>
      </c>
    </row>
    <row r="622" spans="2:10">
      <c r="B622" s="52" t="s">
        <v>183</v>
      </c>
      <c r="C622" s="853">
        <v>8.1000000000000003E-2</v>
      </c>
      <c r="D622" s="853">
        <v>7.5999999999999998E-2</v>
      </c>
      <c r="E622" s="853">
        <v>5.8999999999999997E-2</v>
      </c>
      <c r="F622" s="853">
        <v>7.6999999999999999E-2</v>
      </c>
      <c r="G622" s="853">
        <v>8.4000000000000005E-2</v>
      </c>
      <c r="H622" s="853">
        <v>7.2999999999999995E-2</v>
      </c>
      <c r="I622" s="853">
        <v>0.1</v>
      </c>
      <c r="J622" s="853">
        <v>0.113</v>
      </c>
    </row>
    <row r="623" spans="2:10">
      <c r="B623" s="52" t="s">
        <v>118</v>
      </c>
      <c r="C623" s="321">
        <v>5.0000000000000001E-3</v>
      </c>
      <c r="D623" s="853">
        <v>6.0000000000000001E-3</v>
      </c>
      <c r="E623" s="853">
        <v>6.0000000000000001E-3</v>
      </c>
      <c r="F623" s="853">
        <v>6.0000000000000001E-3</v>
      </c>
      <c r="G623" s="853">
        <v>8.0000000000000002E-3</v>
      </c>
      <c r="H623" s="853">
        <v>8.0000000000000002E-3</v>
      </c>
      <c r="I623" s="853">
        <v>8.0000000000000002E-3</v>
      </c>
      <c r="J623" s="853">
        <v>0.01</v>
      </c>
    </row>
    <row r="624" spans="2:10" ht="15" thickBot="1">
      <c r="B624" s="52" t="s">
        <v>117</v>
      </c>
      <c r="C624" s="321">
        <v>0</v>
      </c>
      <c r="D624" s="321">
        <v>0</v>
      </c>
      <c r="E624" s="321">
        <v>0</v>
      </c>
      <c r="F624" s="321">
        <v>0</v>
      </c>
      <c r="G624" s="321">
        <v>0</v>
      </c>
      <c r="H624" s="321">
        <v>0</v>
      </c>
      <c r="I624" s="321">
        <v>0</v>
      </c>
      <c r="J624" s="321">
        <v>0</v>
      </c>
    </row>
    <row r="625" spans="2:11" ht="15" thickTop="1">
      <c r="B625" s="2025" t="s">
        <v>1453</v>
      </c>
      <c r="C625" s="2025"/>
      <c r="D625" s="2025"/>
      <c r="E625" s="2025"/>
      <c r="F625" s="2025"/>
      <c r="G625" s="2025"/>
      <c r="H625" s="2025"/>
      <c r="I625" s="2025"/>
      <c r="J625" s="2025"/>
    </row>
    <row r="626" spans="2:11">
      <c r="B626" s="64"/>
      <c r="C626" s="302"/>
      <c r="D626" s="302"/>
      <c r="E626" s="302"/>
      <c r="F626" s="302"/>
      <c r="G626" s="302"/>
      <c r="H626" s="302"/>
      <c r="I626" s="302"/>
      <c r="J626" s="302"/>
    </row>
    <row r="627" spans="2:11">
      <c r="B627" s="2097" t="s">
        <v>244</v>
      </c>
      <c r="C627" s="2097"/>
      <c r="D627" s="2097"/>
      <c r="E627" s="2097"/>
      <c r="F627" s="2097"/>
      <c r="G627" s="2097"/>
      <c r="H627" s="2097"/>
      <c r="I627" s="2097"/>
      <c r="J627" s="2097"/>
    </row>
    <row r="628" spans="2:11">
      <c r="B628" s="12" t="s">
        <v>243</v>
      </c>
      <c r="C628" s="302"/>
      <c r="D628" s="302"/>
      <c r="E628" s="302"/>
      <c r="F628" s="302"/>
      <c r="G628" s="302"/>
      <c r="H628" s="302"/>
      <c r="I628" s="302"/>
      <c r="J628" s="302"/>
    </row>
    <row r="629" spans="2:11">
      <c r="B629" s="62" t="s">
        <v>242</v>
      </c>
      <c r="C629" s="302"/>
      <c r="D629" s="302"/>
      <c r="E629" s="302"/>
      <c r="F629" s="302"/>
      <c r="G629" s="302"/>
      <c r="H629" s="302"/>
      <c r="I629" s="302"/>
      <c r="J629" s="302"/>
    </row>
    <row r="630" spans="2:11">
      <c r="B630" s="64"/>
      <c r="C630" s="302"/>
      <c r="D630" s="302"/>
      <c r="E630" s="302"/>
      <c r="F630" s="302"/>
      <c r="G630" s="302"/>
      <c r="H630" s="302"/>
      <c r="I630" s="302"/>
      <c r="J630" s="302"/>
    </row>
    <row r="631" spans="2:11">
      <c r="B631" s="61"/>
      <c r="C631" s="850">
        <v>2014</v>
      </c>
      <c r="D631" s="850">
        <v>2015</v>
      </c>
      <c r="E631" s="850">
        <v>2016</v>
      </c>
      <c r="F631" s="850">
        <v>2017</v>
      </c>
      <c r="G631" s="850">
        <v>2018</v>
      </c>
      <c r="H631" s="850">
        <v>2019</v>
      </c>
      <c r="I631" s="850">
        <v>2020</v>
      </c>
      <c r="J631" s="850">
        <v>2021</v>
      </c>
    </row>
    <row r="632" spans="2:11">
      <c r="B632" s="114" t="s">
        <v>1454</v>
      </c>
      <c r="C632" s="302"/>
      <c r="D632" s="302"/>
      <c r="E632" s="302"/>
      <c r="F632" s="302"/>
      <c r="G632" s="302"/>
      <c r="H632" s="302"/>
      <c r="I632" s="302"/>
      <c r="J632" s="302"/>
    </row>
    <row r="633" spans="2:11" ht="15" thickBot="1">
      <c r="B633" s="71" t="s">
        <v>239</v>
      </c>
      <c r="C633" s="307">
        <v>23.0769737058611</v>
      </c>
      <c r="D633" s="307">
        <v>26.913789556847998</v>
      </c>
      <c r="E633" s="307">
        <v>26.9137863876322</v>
      </c>
      <c r="F633" s="307">
        <v>29.913802610565099</v>
      </c>
      <c r="G633" s="307">
        <v>29.913854942839201</v>
      </c>
      <c r="H633" s="307">
        <v>29.9138000010391</v>
      </c>
      <c r="I633" s="307">
        <v>29.885216748654699</v>
      </c>
      <c r="J633" s="307">
        <v>29.9137999927453</v>
      </c>
      <c r="K633" s="868"/>
    </row>
    <row r="634" spans="2:11" ht="15" thickTop="1">
      <c r="B634" s="2025" t="s">
        <v>1455</v>
      </c>
      <c r="C634" s="2025"/>
      <c r="D634" s="2025"/>
      <c r="E634" s="2025"/>
      <c r="F634" s="2025"/>
      <c r="G634" s="2025"/>
      <c r="H634" s="2025"/>
      <c r="I634" s="2025"/>
      <c r="J634" s="2025"/>
    </row>
    <row r="635" spans="2:11">
      <c r="B635" s="2017"/>
      <c r="C635" s="2017"/>
      <c r="D635" s="2017"/>
      <c r="E635" s="2017"/>
      <c r="F635" s="2017"/>
      <c r="G635" s="2017"/>
      <c r="H635" s="2017"/>
      <c r="I635" s="2017"/>
      <c r="J635" s="2017"/>
    </row>
    <row r="636" spans="2:11">
      <c r="B636" s="64"/>
      <c r="C636" s="302"/>
      <c r="D636" s="302"/>
      <c r="E636" s="302"/>
      <c r="F636" s="302"/>
      <c r="G636" s="302"/>
      <c r="H636" s="302"/>
      <c r="I636" s="302"/>
      <c r="J636" s="302"/>
    </row>
    <row r="637" spans="2:11">
      <c r="B637" s="2097" t="s">
        <v>238</v>
      </c>
      <c r="C637" s="2097"/>
      <c r="D637" s="2097"/>
      <c r="E637" s="2097"/>
      <c r="F637" s="2097"/>
      <c r="G637" s="2097"/>
      <c r="H637" s="2097"/>
      <c r="I637" s="2097"/>
      <c r="J637" s="2097"/>
    </row>
    <row r="638" spans="2:11">
      <c r="B638" s="12" t="s">
        <v>237</v>
      </c>
      <c r="C638" s="302"/>
      <c r="D638" s="302"/>
      <c r="E638" s="302"/>
      <c r="F638" s="302"/>
      <c r="G638" s="302"/>
      <c r="H638" s="302"/>
      <c r="I638" s="302"/>
      <c r="J638" s="302"/>
    </row>
    <row r="639" spans="2:11">
      <c r="B639" s="62" t="s">
        <v>236</v>
      </c>
      <c r="C639" s="302"/>
      <c r="D639" s="302"/>
      <c r="E639" s="302"/>
      <c r="F639" s="302"/>
      <c r="G639" s="302"/>
      <c r="H639" s="302"/>
      <c r="I639" s="302"/>
      <c r="J639" s="302"/>
    </row>
    <row r="640" spans="2:11">
      <c r="B640" s="64"/>
      <c r="C640" s="302"/>
      <c r="D640" s="302"/>
      <c r="E640" s="302"/>
      <c r="F640" s="302"/>
      <c r="G640" s="302"/>
      <c r="H640" s="302"/>
      <c r="I640" s="302"/>
      <c r="J640" s="302"/>
    </row>
    <row r="641" spans="2:10">
      <c r="B641" s="61"/>
      <c r="C641" s="850">
        <v>2014</v>
      </c>
      <c r="D641" s="850">
        <v>2015</v>
      </c>
      <c r="E641" s="850">
        <v>2016</v>
      </c>
      <c r="F641" s="850">
        <v>2017</v>
      </c>
      <c r="G641" s="850">
        <v>2018</v>
      </c>
      <c r="H641" s="850">
        <v>2019</v>
      </c>
      <c r="I641" s="850">
        <v>2020</v>
      </c>
      <c r="J641" s="850">
        <v>2021</v>
      </c>
    </row>
    <row r="642" spans="2:10">
      <c r="B642" s="59" t="s">
        <v>1299</v>
      </c>
      <c r="C642" s="302"/>
      <c r="D642" s="302"/>
      <c r="E642" s="302"/>
      <c r="F642" s="302"/>
      <c r="G642" s="302"/>
      <c r="H642" s="302"/>
      <c r="I642" s="302"/>
      <c r="J642" s="302"/>
    </row>
    <row r="643" spans="2:10">
      <c r="B643" s="71" t="s">
        <v>231</v>
      </c>
      <c r="C643" s="853">
        <v>3.6589999999999998</v>
      </c>
      <c r="D643" s="853">
        <v>3.395</v>
      </c>
      <c r="E643" s="853">
        <v>3.1739999999999999</v>
      </c>
      <c r="F643" s="853">
        <v>3.31</v>
      </c>
      <c r="G643" s="853">
        <v>3.125</v>
      </c>
      <c r="H643" s="853">
        <v>2.6269999999999998</v>
      </c>
      <c r="I643" s="853">
        <v>3.044</v>
      </c>
      <c r="J643" s="853">
        <v>2.2559999999999998</v>
      </c>
    </row>
    <row r="644" spans="2:10">
      <c r="B644" s="52" t="s">
        <v>121</v>
      </c>
      <c r="C644" s="867">
        <v>0</v>
      </c>
      <c r="D644" s="853">
        <v>0</v>
      </c>
      <c r="E644" s="853">
        <v>0</v>
      </c>
      <c r="F644" s="853">
        <v>0</v>
      </c>
      <c r="G644" s="853">
        <v>0</v>
      </c>
      <c r="H644" s="853">
        <v>0</v>
      </c>
      <c r="I644" s="853">
        <v>0</v>
      </c>
      <c r="J644" s="853">
        <v>0</v>
      </c>
    </row>
    <row r="645" spans="2:10">
      <c r="B645" s="53" t="s">
        <v>120</v>
      </c>
      <c r="C645" s="867">
        <v>0</v>
      </c>
      <c r="D645" s="853">
        <v>0</v>
      </c>
      <c r="E645" s="853">
        <v>0</v>
      </c>
      <c r="F645" s="853">
        <v>0</v>
      </c>
      <c r="G645" s="853">
        <v>0</v>
      </c>
      <c r="H645" s="853">
        <v>0</v>
      </c>
      <c r="I645" s="853">
        <v>0</v>
      </c>
      <c r="J645" s="853">
        <v>0</v>
      </c>
    </row>
    <row r="646" spans="2:10">
      <c r="B646" s="53" t="s">
        <v>119</v>
      </c>
      <c r="C646" s="867">
        <v>0</v>
      </c>
      <c r="D646" s="853">
        <v>0</v>
      </c>
      <c r="E646" s="853">
        <v>0</v>
      </c>
      <c r="F646" s="853">
        <v>0</v>
      </c>
      <c r="G646" s="853">
        <v>0</v>
      </c>
      <c r="H646" s="853">
        <v>0</v>
      </c>
      <c r="I646" s="853">
        <v>0</v>
      </c>
      <c r="J646" s="853">
        <v>0</v>
      </c>
    </row>
    <row r="647" spans="2:10">
      <c r="B647" s="52" t="s">
        <v>118</v>
      </c>
      <c r="C647" s="867">
        <v>0</v>
      </c>
      <c r="D647" s="853">
        <v>0</v>
      </c>
      <c r="E647" s="853">
        <v>0</v>
      </c>
      <c r="F647" s="853">
        <v>0</v>
      </c>
      <c r="G647" s="853">
        <v>0</v>
      </c>
      <c r="H647" s="853">
        <v>0</v>
      </c>
      <c r="I647" s="853">
        <v>0</v>
      </c>
      <c r="J647" s="853">
        <v>0</v>
      </c>
    </row>
    <row r="648" spans="2:10">
      <c r="B648" s="52" t="s">
        <v>692</v>
      </c>
      <c r="C648" s="853">
        <v>3.6589999999999998</v>
      </c>
      <c r="D648" s="853">
        <v>3.395</v>
      </c>
      <c r="E648" s="853">
        <v>3.1739999999999999</v>
      </c>
      <c r="F648" s="853">
        <v>3.31</v>
      </c>
      <c r="G648" s="853">
        <v>3.125</v>
      </c>
      <c r="H648" s="853">
        <v>2.6269999999999998</v>
      </c>
      <c r="I648" s="853">
        <v>3.044</v>
      </c>
      <c r="J648" s="853">
        <v>2.2559999999999998</v>
      </c>
    </row>
    <row r="649" spans="2:10">
      <c r="B649" s="52"/>
      <c r="C649" s="867"/>
      <c r="D649" s="853"/>
      <c r="E649" s="853"/>
      <c r="F649" s="853"/>
      <c r="G649" s="853"/>
      <c r="H649" s="853"/>
      <c r="I649" s="853"/>
      <c r="J649" s="853"/>
    </row>
    <row r="650" spans="2:10">
      <c r="B650" s="71" t="s">
        <v>230</v>
      </c>
      <c r="C650" s="867"/>
      <c r="D650" s="853"/>
      <c r="E650" s="853"/>
      <c r="F650" s="853"/>
      <c r="G650" s="853"/>
      <c r="H650" s="853"/>
      <c r="I650" s="853"/>
      <c r="J650" s="853"/>
    </row>
    <row r="651" spans="2:10">
      <c r="B651" s="52" t="s">
        <v>169</v>
      </c>
      <c r="C651" s="867">
        <v>0</v>
      </c>
      <c r="D651" s="853">
        <v>0</v>
      </c>
      <c r="E651" s="853">
        <v>0</v>
      </c>
      <c r="F651" s="853">
        <v>0</v>
      </c>
      <c r="G651" s="853">
        <v>0</v>
      </c>
      <c r="H651" s="853">
        <v>0</v>
      </c>
      <c r="I651" s="853">
        <v>0</v>
      </c>
      <c r="J651" s="853">
        <v>0</v>
      </c>
    </row>
    <row r="652" spans="2:10">
      <c r="B652" s="52" t="s">
        <v>168</v>
      </c>
      <c r="C652" s="867">
        <v>0</v>
      </c>
      <c r="D652" s="853">
        <v>0</v>
      </c>
      <c r="E652" s="853">
        <v>0</v>
      </c>
      <c r="F652" s="853">
        <v>0</v>
      </c>
      <c r="G652" s="853">
        <v>0</v>
      </c>
      <c r="H652" s="853">
        <v>0</v>
      </c>
      <c r="I652" s="853">
        <v>0</v>
      </c>
      <c r="J652" s="853">
        <v>0</v>
      </c>
    </row>
    <row r="653" spans="2:10">
      <c r="B653" s="52" t="s">
        <v>167</v>
      </c>
      <c r="C653" s="867">
        <v>0</v>
      </c>
      <c r="D653" s="853">
        <v>0</v>
      </c>
      <c r="E653" s="853">
        <v>0</v>
      </c>
      <c r="F653" s="853">
        <v>0</v>
      </c>
      <c r="G653" s="853">
        <v>0</v>
      </c>
      <c r="H653" s="853">
        <v>0</v>
      </c>
      <c r="I653" s="853">
        <v>0</v>
      </c>
      <c r="J653" s="853">
        <v>0</v>
      </c>
    </row>
    <row r="654" spans="2:10">
      <c r="B654" s="52" t="s">
        <v>166</v>
      </c>
      <c r="C654" s="867">
        <v>0</v>
      </c>
      <c r="D654" s="853">
        <v>0</v>
      </c>
      <c r="E654" s="853">
        <v>0</v>
      </c>
      <c r="F654" s="853">
        <v>0</v>
      </c>
      <c r="G654" s="853">
        <v>0</v>
      </c>
      <c r="H654" s="853">
        <v>0</v>
      </c>
      <c r="I654" s="853">
        <v>0</v>
      </c>
      <c r="J654" s="853">
        <v>0</v>
      </c>
    </row>
    <row r="655" spans="2:10">
      <c r="B655" s="52" t="s">
        <v>165</v>
      </c>
      <c r="C655" s="867">
        <v>0</v>
      </c>
      <c r="D655" s="853">
        <v>0</v>
      </c>
      <c r="E655" s="853">
        <v>0</v>
      </c>
      <c r="F655" s="853">
        <v>0</v>
      </c>
      <c r="G655" s="853">
        <v>0</v>
      </c>
      <c r="H655" s="853">
        <v>0</v>
      </c>
      <c r="I655" s="853">
        <v>0</v>
      </c>
      <c r="J655" s="853">
        <v>0</v>
      </c>
    </row>
    <row r="656" spans="2:10">
      <c r="B656" s="52" t="s">
        <v>164</v>
      </c>
      <c r="C656" s="867">
        <v>0</v>
      </c>
      <c r="D656" s="853">
        <v>0</v>
      </c>
      <c r="E656" s="853">
        <v>0</v>
      </c>
      <c r="F656" s="853">
        <v>0</v>
      </c>
      <c r="G656" s="853">
        <v>0</v>
      </c>
      <c r="H656" s="853">
        <v>0</v>
      </c>
      <c r="I656" s="853">
        <v>0</v>
      </c>
      <c r="J656" s="853">
        <v>0</v>
      </c>
    </row>
    <row r="657" spans="2:10">
      <c r="B657" s="71"/>
      <c r="C657" s="867"/>
      <c r="D657" s="853"/>
      <c r="E657" s="853"/>
      <c r="F657" s="853"/>
      <c r="G657" s="853"/>
      <c r="H657" s="853"/>
      <c r="I657" s="853"/>
      <c r="J657" s="853"/>
    </row>
    <row r="658" spans="2:10">
      <c r="B658" s="59" t="s">
        <v>695</v>
      </c>
      <c r="C658" s="867"/>
      <c r="D658" s="853"/>
      <c r="E658" s="853"/>
      <c r="F658" s="853"/>
      <c r="G658" s="853"/>
      <c r="H658" s="853"/>
      <c r="I658" s="853"/>
      <c r="J658" s="853"/>
    </row>
    <row r="659" spans="2:10">
      <c r="B659" s="71" t="s">
        <v>231</v>
      </c>
      <c r="C659" s="853">
        <v>0.93600000000000005</v>
      </c>
      <c r="D659" s="853">
        <v>0.91</v>
      </c>
      <c r="E659" s="853">
        <v>0.93200000000000005</v>
      </c>
      <c r="F659" s="853">
        <v>0.95899999999999996</v>
      </c>
      <c r="G659" s="853">
        <v>0.91100000000000003</v>
      </c>
      <c r="H659" s="853">
        <v>0.93</v>
      </c>
      <c r="I659" s="853">
        <v>0.78400000000000003</v>
      </c>
      <c r="J659" s="853">
        <v>0.45400000000000001</v>
      </c>
    </row>
    <row r="660" spans="2:10">
      <c r="B660" s="52" t="s">
        <v>121</v>
      </c>
      <c r="C660" s="867">
        <v>0</v>
      </c>
      <c r="D660" s="853">
        <v>0</v>
      </c>
      <c r="E660" s="853">
        <v>0</v>
      </c>
      <c r="F660" s="853">
        <v>0</v>
      </c>
      <c r="G660" s="853">
        <v>0</v>
      </c>
      <c r="H660" s="853">
        <v>0</v>
      </c>
      <c r="I660" s="853">
        <v>0</v>
      </c>
      <c r="J660" s="853">
        <v>0</v>
      </c>
    </row>
    <row r="661" spans="2:10">
      <c r="B661" s="53" t="s">
        <v>120</v>
      </c>
      <c r="C661" s="867">
        <v>0</v>
      </c>
      <c r="D661" s="853">
        <v>0</v>
      </c>
      <c r="E661" s="853">
        <v>0</v>
      </c>
      <c r="F661" s="853">
        <v>0</v>
      </c>
      <c r="G661" s="853">
        <v>0</v>
      </c>
      <c r="H661" s="853">
        <v>0</v>
      </c>
      <c r="I661" s="853">
        <v>0</v>
      </c>
      <c r="J661" s="853">
        <v>0</v>
      </c>
    </row>
    <row r="662" spans="2:10">
      <c r="B662" s="53" t="s">
        <v>119</v>
      </c>
      <c r="C662" s="867">
        <v>0</v>
      </c>
      <c r="D662" s="853">
        <v>0</v>
      </c>
      <c r="E662" s="853">
        <v>0</v>
      </c>
      <c r="F662" s="853">
        <v>0</v>
      </c>
      <c r="G662" s="853">
        <v>0</v>
      </c>
      <c r="H662" s="853">
        <v>0</v>
      </c>
      <c r="I662" s="853">
        <v>0</v>
      </c>
      <c r="J662" s="853">
        <v>0</v>
      </c>
    </row>
    <row r="663" spans="2:10">
      <c r="B663" s="52" t="s">
        <v>118</v>
      </c>
      <c r="C663" s="867">
        <v>0</v>
      </c>
      <c r="D663" s="853">
        <v>0</v>
      </c>
      <c r="E663" s="853">
        <v>0</v>
      </c>
      <c r="F663" s="853">
        <v>0</v>
      </c>
      <c r="G663" s="853">
        <v>0</v>
      </c>
      <c r="H663" s="853">
        <v>0</v>
      </c>
      <c r="I663" s="853">
        <v>0</v>
      </c>
      <c r="J663" s="853">
        <v>0</v>
      </c>
    </row>
    <row r="664" spans="2:10">
      <c r="B664" s="52" t="s">
        <v>692</v>
      </c>
      <c r="C664" s="853">
        <v>0.93600000000000005</v>
      </c>
      <c r="D664" s="853">
        <v>0.91</v>
      </c>
      <c r="E664" s="853">
        <v>0.93200000000000005</v>
      </c>
      <c r="F664" s="853">
        <v>0.95899999999999996</v>
      </c>
      <c r="G664" s="853">
        <v>0.91100000000000003</v>
      </c>
      <c r="H664" s="853">
        <v>0.93</v>
      </c>
      <c r="I664" s="853">
        <v>0.78400000000000003</v>
      </c>
      <c r="J664" s="853">
        <v>0.45400000000000001</v>
      </c>
    </row>
    <row r="665" spans="2:10">
      <c r="B665" s="52"/>
      <c r="C665" s="867"/>
      <c r="D665" s="853"/>
      <c r="E665" s="853"/>
      <c r="F665" s="853"/>
      <c r="G665" s="853"/>
      <c r="H665" s="853"/>
      <c r="I665" s="853"/>
      <c r="J665" s="853"/>
    </row>
    <row r="666" spans="2:10">
      <c r="B666" s="71" t="s">
        <v>230</v>
      </c>
      <c r="C666" s="869"/>
      <c r="D666" s="870"/>
      <c r="E666" s="870"/>
      <c r="F666" s="870"/>
      <c r="G666" s="870"/>
      <c r="H666" s="870"/>
      <c r="I666" s="870"/>
      <c r="J666" s="870"/>
    </row>
    <row r="667" spans="2:10">
      <c r="B667" s="52" t="s">
        <v>169</v>
      </c>
      <c r="C667" s="867">
        <v>0</v>
      </c>
      <c r="D667" s="853">
        <v>0</v>
      </c>
      <c r="E667" s="853">
        <v>0</v>
      </c>
      <c r="F667" s="853">
        <v>0</v>
      </c>
      <c r="G667" s="853">
        <v>0</v>
      </c>
      <c r="H667" s="853">
        <v>0</v>
      </c>
      <c r="I667" s="853">
        <v>0</v>
      </c>
      <c r="J667" s="853">
        <v>0</v>
      </c>
    </row>
    <row r="668" spans="2:10">
      <c r="B668" s="52" t="s">
        <v>168</v>
      </c>
      <c r="C668" s="867">
        <v>0</v>
      </c>
      <c r="D668" s="853">
        <v>0</v>
      </c>
      <c r="E668" s="853">
        <v>0</v>
      </c>
      <c r="F668" s="853">
        <v>0</v>
      </c>
      <c r="G668" s="853">
        <v>0</v>
      </c>
      <c r="H668" s="853">
        <v>0</v>
      </c>
      <c r="I668" s="853">
        <v>0</v>
      </c>
      <c r="J668" s="853">
        <v>0</v>
      </c>
    </row>
    <row r="669" spans="2:10">
      <c r="B669" s="52" t="s">
        <v>167</v>
      </c>
      <c r="C669" s="867">
        <v>0</v>
      </c>
      <c r="D669" s="853">
        <v>0</v>
      </c>
      <c r="E669" s="853">
        <v>0</v>
      </c>
      <c r="F669" s="853">
        <v>0</v>
      </c>
      <c r="G669" s="853">
        <v>0</v>
      </c>
      <c r="H669" s="853">
        <v>0</v>
      </c>
      <c r="I669" s="853">
        <v>0</v>
      </c>
      <c r="J669" s="853">
        <v>0</v>
      </c>
    </row>
    <row r="670" spans="2:10">
      <c r="B670" s="52" t="s">
        <v>166</v>
      </c>
      <c r="C670" s="867">
        <v>0</v>
      </c>
      <c r="D670" s="853">
        <v>0</v>
      </c>
      <c r="E670" s="853">
        <v>0</v>
      </c>
      <c r="F670" s="853">
        <v>0</v>
      </c>
      <c r="G670" s="853">
        <v>0</v>
      </c>
      <c r="H670" s="853">
        <v>0</v>
      </c>
      <c r="I670" s="853">
        <v>0</v>
      </c>
      <c r="J670" s="853">
        <v>0</v>
      </c>
    </row>
    <row r="671" spans="2:10">
      <c r="B671" s="52" t="s">
        <v>165</v>
      </c>
      <c r="C671" s="867">
        <v>0</v>
      </c>
      <c r="D671" s="853">
        <v>0</v>
      </c>
      <c r="E671" s="853">
        <v>0</v>
      </c>
      <c r="F671" s="853">
        <v>0</v>
      </c>
      <c r="G671" s="853">
        <v>0</v>
      </c>
      <c r="H671" s="853">
        <v>0</v>
      </c>
      <c r="I671" s="853">
        <v>0</v>
      </c>
      <c r="J671" s="853">
        <v>0</v>
      </c>
    </row>
    <row r="672" spans="2:10">
      <c r="B672" s="52" t="s">
        <v>164</v>
      </c>
      <c r="C672" s="867">
        <v>0</v>
      </c>
      <c r="D672" s="853">
        <v>0</v>
      </c>
      <c r="E672" s="853">
        <v>0</v>
      </c>
      <c r="F672" s="853">
        <v>0</v>
      </c>
      <c r="G672" s="853">
        <v>0</v>
      </c>
      <c r="H672" s="853">
        <v>0</v>
      </c>
      <c r="I672" s="853">
        <v>0</v>
      </c>
      <c r="J672" s="853">
        <v>0</v>
      </c>
    </row>
    <row r="673" spans="2:10">
      <c r="B673" s="52"/>
      <c r="C673" s="867"/>
      <c r="D673" s="853"/>
      <c r="E673" s="853"/>
      <c r="F673" s="853"/>
      <c r="G673" s="853"/>
      <c r="H673" s="853"/>
      <c r="I673" s="853"/>
      <c r="J673" s="853"/>
    </row>
    <row r="674" spans="2:10">
      <c r="B674" s="59" t="s">
        <v>1301</v>
      </c>
      <c r="C674" s="867"/>
      <c r="D674" s="853"/>
      <c r="E674" s="853"/>
      <c r="F674" s="853"/>
      <c r="G674" s="853"/>
      <c r="H674" s="853"/>
      <c r="I674" s="853"/>
      <c r="J674" s="853"/>
    </row>
    <row r="675" spans="2:10">
      <c r="B675" s="71" t="s">
        <v>231</v>
      </c>
      <c r="C675" s="853">
        <v>9.6669999999999998</v>
      </c>
      <c r="D675" s="853">
        <v>9.2420000000000009</v>
      </c>
      <c r="E675" s="853">
        <v>8.2959999999999994</v>
      </c>
      <c r="F675" s="853">
        <v>3.7469999999999999</v>
      </c>
      <c r="G675" s="853">
        <v>7.4079999999999995</v>
      </c>
      <c r="H675" s="853">
        <v>3.4180000000000001</v>
      </c>
      <c r="I675" s="853">
        <v>4.0209999999999999</v>
      </c>
      <c r="J675" s="853">
        <v>4.6890000000000001</v>
      </c>
    </row>
    <row r="676" spans="2:10">
      <c r="B676" s="52" t="s">
        <v>121</v>
      </c>
      <c r="C676" s="871">
        <v>9.6669999999999998</v>
      </c>
      <c r="D676" s="871">
        <v>9.2420000000000009</v>
      </c>
      <c r="E676" s="871">
        <v>5.5650000000000004</v>
      </c>
      <c r="F676" s="871">
        <v>3.3220000000000001</v>
      </c>
      <c r="G676" s="871">
        <v>5.4749999999999996</v>
      </c>
      <c r="H676" s="871">
        <v>2.5009999999999999</v>
      </c>
      <c r="I676" s="871">
        <v>3</v>
      </c>
      <c r="J676" s="871">
        <v>3.8919999999999999</v>
      </c>
    </row>
    <row r="677" spans="2:10">
      <c r="B677" s="53" t="s">
        <v>120</v>
      </c>
      <c r="C677" s="867">
        <v>0</v>
      </c>
      <c r="D677" s="853">
        <v>0</v>
      </c>
      <c r="E677" s="853">
        <v>0</v>
      </c>
      <c r="F677" s="853">
        <v>0</v>
      </c>
      <c r="G677" s="853">
        <v>0</v>
      </c>
      <c r="H677" s="853">
        <v>0</v>
      </c>
      <c r="I677" s="853">
        <v>0</v>
      </c>
      <c r="J677" s="853">
        <v>0</v>
      </c>
    </row>
    <row r="678" spans="2:10">
      <c r="B678" s="52" t="s">
        <v>183</v>
      </c>
      <c r="C678" s="867">
        <v>0</v>
      </c>
      <c r="D678" s="853">
        <v>0</v>
      </c>
      <c r="E678" s="853">
        <v>2.7309999999999999</v>
      </c>
      <c r="F678" s="853">
        <v>0.42499999999999999</v>
      </c>
      <c r="G678" s="853">
        <v>1.9330000000000001</v>
      </c>
      <c r="H678" s="853">
        <v>0.91700000000000004</v>
      </c>
      <c r="I678" s="853">
        <v>1.0209999999999999</v>
      </c>
      <c r="J678" s="853">
        <v>0.79700000000000004</v>
      </c>
    </row>
    <row r="679" spans="2:10">
      <c r="B679" s="52" t="s">
        <v>118</v>
      </c>
      <c r="C679" s="867">
        <v>0</v>
      </c>
      <c r="D679" s="853">
        <v>0</v>
      </c>
      <c r="E679" s="853">
        <v>0</v>
      </c>
      <c r="F679" s="853">
        <v>0</v>
      </c>
      <c r="G679" s="853">
        <v>0</v>
      </c>
      <c r="H679" s="853">
        <v>0</v>
      </c>
      <c r="I679" s="853">
        <v>0</v>
      </c>
      <c r="J679" s="853">
        <v>0</v>
      </c>
    </row>
    <row r="680" spans="2:10">
      <c r="B680" s="52" t="s">
        <v>117</v>
      </c>
      <c r="C680" s="867">
        <v>0</v>
      </c>
      <c r="D680" s="853">
        <v>0</v>
      </c>
      <c r="E680" s="853">
        <v>0</v>
      </c>
      <c r="F680" s="853">
        <v>0</v>
      </c>
      <c r="G680" s="853">
        <v>0</v>
      </c>
      <c r="H680" s="853">
        <v>0</v>
      </c>
      <c r="I680" s="853">
        <v>0</v>
      </c>
      <c r="J680" s="853">
        <v>0</v>
      </c>
    </row>
    <row r="681" spans="2:10">
      <c r="B681" s="52"/>
      <c r="C681" s="867"/>
      <c r="D681" s="853"/>
      <c r="E681" s="853"/>
      <c r="F681" s="853"/>
      <c r="G681" s="853"/>
      <c r="H681" s="853"/>
      <c r="I681" s="853"/>
      <c r="J681" s="853"/>
    </row>
    <row r="682" spans="2:10">
      <c r="B682" s="71" t="s">
        <v>230</v>
      </c>
      <c r="C682" s="867">
        <v>0</v>
      </c>
      <c r="D682" s="853">
        <v>0</v>
      </c>
      <c r="E682" s="853">
        <v>0</v>
      </c>
      <c r="F682" s="853">
        <v>0</v>
      </c>
      <c r="G682" s="853">
        <v>0</v>
      </c>
      <c r="H682" s="853">
        <v>0</v>
      </c>
      <c r="I682" s="853">
        <v>0</v>
      </c>
      <c r="J682" s="853">
        <v>0</v>
      </c>
    </row>
    <row r="683" spans="2:10">
      <c r="B683" s="52" t="s">
        <v>169</v>
      </c>
      <c r="C683" s="867">
        <v>0</v>
      </c>
      <c r="D683" s="853">
        <v>0</v>
      </c>
      <c r="E683" s="853">
        <v>0</v>
      </c>
      <c r="F683" s="853">
        <v>0</v>
      </c>
      <c r="G683" s="853">
        <v>0</v>
      </c>
      <c r="H683" s="853">
        <v>0</v>
      </c>
      <c r="I683" s="853">
        <v>0</v>
      </c>
      <c r="J683" s="853">
        <v>0</v>
      </c>
    </row>
    <row r="684" spans="2:10">
      <c r="B684" s="52" t="s">
        <v>168</v>
      </c>
      <c r="C684" s="867">
        <v>0</v>
      </c>
      <c r="D684" s="853">
        <v>0</v>
      </c>
      <c r="E684" s="853">
        <v>0</v>
      </c>
      <c r="F684" s="853">
        <v>0</v>
      </c>
      <c r="G684" s="853">
        <v>0</v>
      </c>
      <c r="H684" s="853">
        <v>0</v>
      </c>
      <c r="I684" s="853">
        <v>0</v>
      </c>
      <c r="J684" s="853">
        <v>0</v>
      </c>
    </row>
    <row r="685" spans="2:10">
      <c r="B685" s="52" t="s">
        <v>167</v>
      </c>
      <c r="C685" s="867">
        <v>0</v>
      </c>
      <c r="D685" s="853">
        <v>0</v>
      </c>
      <c r="E685" s="853">
        <v>0</v>
      </c>
      <c r="F685" s="853">
        <v>0</v>
      </c>
      <c r="G685" s="853">
        <v>0</v>
      </c>
      <c r="H685" s="853">
        <v>0</v>
      </c>
      <c r="I685" s="853">
        <v>0</v>
      </c>
      <c r="J685" s="853">
        <v>0</v>
      </c>
    </row>
    <row r="686" spans="2:10">
      <c r="B686" s="52" t="s">
        <v>166</v>
      </c>
      <c r="C686" s="867">
        <v>0</v>
      </c>
      <c r="D686" s="853">
        <v>0</v>
      </c>
      <c r="E686" s="853">
        <v>0</v>
      </c>
      <c r="F686" s="853">
        <v>0</v>
      </c>
      <c r="G686" s="853">
        <v>0</v>
      </c>
      <c r="H686" s="853">
        <v>0</v>
      </c>
      <c r="I686" s="853">
        <v>0</v>
      </c>
      <c r="J686" s="853">
        <v>0</v>
      </c>
    </row>
    <row r="687" spans="2:10">
      <c r="B687" s="52" t="s">
        <v>165</v>
      </c>
      <c r="C687" s="867">
        <v>0</v>
      </c>
      <c r="D687" s="853">
        <v>0</v>
      </c>
      <c r="E687" s="853">
        <v>0</v>
      </c>
      <c r="F687" s="853">
        <v>0</v>
      </c>
      <c r="G687" s="853">
        <v>0</v>
      </c>
      <c r="H687" s="853">
        <v>0</v>
      </c>
      <c r="I687" s="853">
        <v>0</v>
      </c>
      <c r="J687" s="853">
        <v>0</v>
      </c>
    </row>
    <row r="688" spans="2:10" ht="15" thickBot="1">
      <c r="B688" s="50" t="s">
        <v>164</v>
      </c>
      <c r="C688" s="867">
        <v>0</v>
      </c>
      <c r="D688" s="853">
        <v>0</v>
      </c>
      <c r="E688" s="853">
        <v>0</v>
      </c>
      <c r="F688" s="853">
        <v>0</v>
      </c>
      <c r="G688" s="853">
        <v>0</v>
      </c>
      <c r="H688" s="853">
        <v>0</v>
      </c>
      <c r="I688" s="853">
        <v>0</v>
      </c>
      <c r="J688" s="853">
        <v>0</v>
      </c>
    </row>
    <row r="689" spans="2:11" ht="15" thickTop="1">
      <c r="B689" s="2025" t="s">
        <v>1456</v>
      </c>
      <c r="C689" s="2025"/>
      <c r="D689" s="2025"/>
      <c r="E689" s="2025"/>
      <c r="F689" s="2025"/>
      <c r="G689" s="2025"/>
      <c r="H689" s="2025"/>
      <c r="I689" s="2025"/>
      <c r="J689" s="2025"/>
    </row>
    <row r="690" spans="2:11">
      <c r="B690" s="64"/>
      <c r="C690" s="302"/>
      <c r="D690" s="302"/>
      <c r="E690" s="302"/>
      <c r="F690" s="302"/>
      <c r="G690" s="302"/>
      <c r="H690" s="302"/>
      <c r="I690" s="302"/>
      <c r="J690" s="302"/>
    </row>
    <row r="691" spans="2:11">
      <c r="B691" s="2097" t="s">
        <v>228</v>
      </c>
      <c r="C691" s="2097"/>
      <c r="D691" s="2097"/>
      <c r="E691" s="2097"/>
      <c r="F691" s="2097"/>
      <c r="G691" s="2097"/>
      <c r="H691" s="2097"/>
      <c r="I691" s="2097"/>
      <c r="J691" s="2097"/>
      <c r="K691" s="849"/>
    </row>
    <row r="692" spans="2:11">
      <c r="B692" s="12" t="s">
        <v>227</v>
      </c>
      <c r="C692" s="302"/>
      <c r="D692" s="302"/>
      <c r="E692" s="302"/>
      <c r="F692" s="302"/>
      <c r="G692" s="302"/>
      <c r="H692" s="302"/>
      <c r="I692" s="302"/>
      <c r="J692" s="302"/>
    </row>
    <row r="693" spans="2:11">
      <c r="B693" s="62" t="s">
        <v>127</v>
      </c>
      <c r="C693" s="302"/>
      <c r="D693" s="302"/>
      <c r="E693" s="302"/>
      <c r="F693" s="302"/>
      <c r="G693" s="302"/>
      <c r="H693" s="302"/>
      <c r="I693" s="302"/>
      <c r="J693" s="302"/>
    </row>
    <row r="694" spans="2:11">
      <c r="B694" s="62"/>
      <c r="C694" s="302"/>
      <c r="D694" s="302"/>
      <c r="E694" s="302"/>
      <c r="F694" s="302"/>
      <c r="G694" s="302"/>
      <c r="H694" s="302"/>
      <c r="I694" s="302"/>
      <c r="J694" s="302"/>
    </row>
    <row r="695" spans="2:11">
      <c r="B695" s="61"/>
      <c r="C695" s="850">
        <v>2014</v>
      </c>
      <c r="D695" s="850">
        <v>2015</v>
      </c>
      <c r="E695" s="850">
        <v>2016</v>
      </c>
      <c r="F695" s="850">
        <v>2017</v>
      </c>
      <c r="G695" s="850">
        <v>2018</v>
      </c>
      <c r="H695" s="850">
        <v>2019</v>
      </c>
      <c r="I695" s="850">
        <v>2020</v>
      </c>
      <c r="J695" s="850">
        <v>2021</v>
      </c>
    </row>
    <row r="696" spans="2:11">
      <c r="B696" s="59" t="s">
        <v>1299</v>
      </c>
      <c r="C696" s="302"/>
      <c r="D696" s="302"/>
      <c r="E696" s="302"/>
      <c r="F696" s="302"/>
      <c r="G696" s="302"/>
      <c r="H696" s="302"/>
      <c r="I696" s="302"/>
      <c r="J696" s="302"/>
    </row>
    <row r="697" spans="2:11">
      <c r="B697" s="71" t="s">
        <v>231</v>
      </c>
      <c r="C697" s="872">
        <v>64986.807000000001</v>
      </c>
      <c r="D697" s="872">
        <v>62871.981</v>
      </c>
      <c r="E697" s="872">
        <v>72300.289999999994</v>
      </c>
      <c r="F697" s="872">
        <v>62325.428999999996</v>
      </c>
      <c r="G697" s="872">
        <v>77176.781000000003</v>
      </c>
      <c r="H697" s="872">
        <v>69850.464999999997</v>
      </c>
      <c r="I697" s="872">
        <v>181412.75599999999</v>
      </c>
      <c r="J697" s="872">
        <v>93222.082999999999</v>
      </c>
    </row>
    <row r="698" spans="2:11">
      <c r="B698" s="52" t="s">
        <v>121</v>
      </c>
      <c r="C698" s="548" t="s">
        <v>2086</v>
      </c>
      <c r="D698" s="872" t="s">
        <v>2086</v>
      </c>
      <c r="E698" s="872" t="s">
        <v>2086</v>
      </c>
      <c r="F698" s="872" t="s">
        <v>2086</v>
      </c>
      <c r="G698" s="872" t="s">
        <v>2086</v>
      </c>
      <c r="H698" s="872" t="s">
        <v>2086</v>
      </c>
      <c r="I698" s="872" t="s">
        <v>2086</v>
      </c>
      <c r="J698" s="872" t="s">
        <v>2086</v>
      </c>
    </row>
    <row r="699" spans="2:11">
      <c r="B699" s="53" t="s">
        <v>120</v>
      </c>
      <c r="C699" s="548" t="s">
        <v>2086</v>
      </c>
      <c r="D699" s="872" t="s">
        <v>2086</v>
      </c>
      <c r="E699" s="872" t="s">
        <v>2086</v>
      </c>
      <c r="F699" s="872" t="s">
        <v>2086</v>
      </c>
      <c r="G699" s="872" t="s">
        <v>2086</v>
      </c>
      <c r="H699" s="872" t="s">
        <v>2086</v>
      </c>
      <c r="I699" s="872" t="s">
        <v>2086</v>
      </c>
      <c r="J699" s="872" t="s">
        <v>2086</v>
      </c>
    </row>
    <row r="700" spans="2:11">
      <c r="B700" s="53" t="s">
        <v>119</v>
      </c>
      <c r="C700" s="548" t="s">
        <v>2086</v>
      </c>
      <c r="D700" s="872" t="s">
        <v>2086</v>
      </c>
      <c r="E700" s="872" t="s">
        <v>2086</v>
      </c>
      <c r="F700" s="872" t="s">
        <v>2086</v>
      </c>
      <c r="G700" s="872" t="s">
        <v>2086</v>
      </c>
      <c r="H700" s="872" t="s">
        <v>2086</v>
      </c>
      <c r="I700" s="872" t="s">
        <v>2086</v>
      </c>
      <c r="J700" s="872" t="s">
        <v>2086</v>
      </c>
    </row>
    <row r="701" spans="2:11">
      <c r="B701" s="52" t="s">
        <v>118</v>
      </c>
      <c r="C701" s="548" t="s">
        <v>2086</v>
      </c>
      <c r="D701" s="872" t="s">
        <v>2086</v>
      </c>
      <c r="E701" s="872" t="s">
        <v>2086</v>
      </c>
      <c r="F701" s="872" t="s">
        <v>2086</v>
      </c>
      <c r="G701" s="872" t="s">
        <v>2086</v>
      </c>
      <c r="H701" s="872" t="s">
        <v>2086</v>
      </c>
      <c r="I701" s="872" t="s">
        <v>2086</v>
      </c>
      <c r="J701" s="872" t="s">
        <v>2086</v>
      </c>
    </row>
    <row r="702" spans="2:11">
      <c r="B702" s="52" t="s">
        <v>692</v>
      </c>
      <c r="C702" s="872">
        <v>64986.807000000001</v>
      </c>
      <c r="D702" s="872">
        <v>62871.981</v>
      </c>
      <c r="E702" s="872">
        <v>72300.289999999994</v>
      </c>
      <c r="F702" s="872">
        <v>62325.428999999996</v>
      </c>
      <c r="G702" s="872">
        <v>77176.781000000003</v>
      </c>
      <c r="H702" s="872">
        <v>69850.464999999997</v>
      </c>
      <c r="I702" s="872">
        <v>181412.75599999999</v>
      </c>
      <c r="J702" s="872">
        <v>93222.082999999999</v>
      </c>
    </row>
    <row r="703" spans="2:11">
      <c r="B703" s="52"/>
      <c r="C703" s="873"/>
      <c r="D703" s="874"/>
      <c r="E703" s="874"/>
      <c r="F703" s="874"/>
      <c r="G703" s="874"/>
      <c r="H703" s="874"/>
      <c r="I703" s="874"/>
      <c r="J703" s="874"/>
    </row>
    <row r="704" spans="2:11">
      <c r="B704" s="71" t="s">
        <v>230</v>
      </c>
      <c r="C704" s="548"/>
      <c r="D704" s="872"/>
      <c r="E704" s="872"/>
      <c r="F704" s="872"/>
      <c r="G704" s="872"/>
      <c r="H704" s="872"/>
      <c r="I704" s="872"/>
      <c r="J704" s="872"/>
    </row>
    <row r="705" spans="2:10">
      <c r="B705" s="52" t="s">
        <v>169</v>
      </c>
      <c r="C705" s="548" t="s">
        <v>2086</v>
      </c>
      <c r="D705" s="872" t="s">
        <v>2086</v>
      </c>
      <c r="E705" s="872" t="s">
        <v>2086</v>
      </c>
      <c r="F705" s="872" t="s">
        <v>2086</v>
      </c>
      <c r="G705" s="872" t="s">
        <v>2086</v>
      </c>
      <c r="H705" s="872" t="s">
        <v>2086</v>
      </c>
      <c r="I705" s="872" t="s">
        <v>2086</v>
      </c>
      <c r="J705" s="872" t="s">
        <v>2086</v>
      </c>
    </row>
    <row r="706" spans="2:10">
      <c r="B706" s="52" t="s">
        <v>168</v>
      </c>
      <c r="C706" s="548" t="s">
        <v>2086</v>
      </c>
      <c r="D706" s="872" t="s">
        <v>2086</v>
      </c>
      <c r="E706" s="872" t="s">
        <v>2086</v>
      </c>
      <c r="F706" s="872" t="s">
        <v>2086</v>
      </c>
      <c r="G706" s="872" t="s">
        <v>2086</v>
      </c>
      <c r="H706" s="872" t="s">
        <v>2086</v>
      </c>
      <c r="I706" s="872" t="s">
        <v>2086</v>
      </c>
      <c r="J706" s="872" t="s">
        <v>2086</v>
      </c>
    </row>
    <row r="707" spans="2:10">
      <c r="B707" s="52" t="s">
        <v>167</v>
      </c>
      <c r="C707" s="548" t="s">
        <v>2086</v>
      </c>
      <c r="D707" s="872" t="s">
        <v>2086</v>
      </c>
      <c r="E707" s="872" t="s">
        <v>2086</v>
      </c>
      <c r="F707" s="872" t="s">
        <v>2086</v>
      </c>
      <c r="G707" s="872" t="s">
        <v>2086</v>
      </c>
      <c r="H707" s="872" t="s">
        <v>2086</v>
      </c>
      <c r="I707" s="872" t="s">
        <v>2086</v>
      </c>
      <c r="J707" s="872" t="s">
        <v>2086</v>
      </c>
    </row>
    <row r="708" spans="2:10">
      <c r="B708" s="52" t="s">
        <v>166</v>
      </c>
      <c r="C708" s="548" t="s">
        <v>2086</v>
      </c>
      <c r="D708" s="872" t="s">
        <v>2086</v>
      </c>
      <c r="E708" s="872" t="s">
        <v>2086</v>
      </c>
      <c r="F708" s="872" t="s">
        <v>2086</v>
      </c>
      <c r="G708" s="872" t="s">
        <v>2086</v>
      </c>
      <c r="H708" s="872" t="s">
        <v>2086</v>
      </c>
      <c r="I708" s="872" t="s">
        <v>2086</v>
      </c>
      <c r="J708" s="872" t="s">
        <v>2086</v>
      </c>
    </row>
    <row r="709" spans="2:10">
      <c r="B709" s="52" t="s">
        <v>165</v>
      </c>
      <c r="C709" s="548" t="s">
        <v>2086</v>
      </c>
      <c r="D709" s="872" t="s">
        <v>2086</v>
      </c>
      <c r="E709" s="872" t="s">
        <v>2086</v>
      </c>
      <c r="F709" s="872" t="s">
        <v>2086</v>
      </c>
      <c r="G709" s="872" t="s">
        <v>2086</v>
      </c>
      <c r="H709" s="872" t="s">
        <v>2086</v>
      </c>
      <c r="I709" s="872" t="s">
        <v>2086</v>
      </c>
      <c r="J709" s="872" t="s">
        <v>2086</v>
      </c>
    </row>
    <row r="710" spans="2:10">
      <c r="B710" s="52" t="s">
        <v>164</v>
      </c>
      <c r="C710" s="548" t="s">
        <v>2086</v>
      </c>
      <c r="D710" s="872" t="s">
        <v>2086</v>
      </c>
      <c r="E710" s="872" t="s">
        <v>2086</v>
      </c>
      <c r="F710" s="872" t="s">
        <v>2086</v>
      </c>
      <c r="G710" s="872" t="s">
        <v>2086</v>
      </c>
      <c r="H710" s="872" t="s">
        <v>2086</v>
      </c>
      <c r="I710" s="872" t="s">
        <v>2086</v>
      </c>
      <c r="J710" s="872" t="s">
        <v>2086</v>
      </c>
    </row>
    <row r="711" spans="2:10">
      <c r="B711" s="71"/>
      <c r="C711" s="219"/>
      <c r="D711" s="875"/>
      <c r="E711" s="876"/>
      <c r="F711" s="876"/>
      <c r="G711" s="876"/>
      <c r="H711" s="876"/>
      <c r="I711" s="876"/>
      <c r="J711" s="876"/>
    </row>
    <row r="712" spans="2:10">
      <c r="B712" s="59" t="s">
        <v>695</v>
      </c>
      <c r="C712" s="219"/>
      <c r="D712" s="875"/>
      <c r="E712" s="876"/>
      <c r="F712" s="876"/>
      <c r="G712" s="876"/>
      <c r="H712" s="876"/>
      <c r="I712" s="876"/>
      <c r="J712" s="876"/>
    </row>
    <row r="713" spans="2:10">
      <c r="B713" s="71" t="s">
        <v>231</v>
      </c>
      <c r="C713" s="877">
        <v>50839.786999999997</v>
      </c>
      <c r="D713" s="877">
        <v>51675.366000000002</v>
      </c>
      <c r="E713" s="877">
        <v>70341.907000000007</v>
      </c>
      <c r="F713" s="877">
        <v>97448.858999999997</v>
      </c>
      <c r="G713" s="877">
        <v>71521.149000000005</v>
      </c>
      <c r="H713" s="877">
        <v>64913.767999999996</v>
      </c>
      <c r="I713" s="877">
        <v>123351.065</v>
      </c>
      <c r="J713" s="877">
        <v>56959.883000000002</v>
      </c>
    </row>
    <row r="714" spans="2:10">
      <c r="B714" s="52" t="s">
        <v>121</v>
      </c>
      <c r="C714" s="878" t="s">
        <v>2086</v>
      </c>
      <c r="D714" s="879" t="s">
        <v>2086</v>
      </c>
      <c r="E714" s="879" t="s">
        <v>2086</v>
      </c>
      <c r="F714" s="879" t="s">
        <v>2086</v>
      </c>
      <c r="G714" s="879" t="s">
        <v>2086</v>
      </c>
      <c r="H714" s="859">
        <v>0</v>
      </c>
      <c r="I714" s="859">
        <v>0</v>
      </c>
      <c r="J714" s="859">
        <v>0</v>
      </c>
    </row>
    <row r="715" spans="2:10">
      <c r="B715" s="53" t="s">
        <v>120</v>
      </c>
      <c r="C715" s="878" t="s">
        <v>2086</v>
      </c>
      <c r="D715" s="879" t="s">
        <v>2086</v>
      </c>
      <c r="E715" s="879" t="s">
        <v>2086</v>
      </c>
      <c r="F715" s="879" t="s">
        <v>2086</v>
      </c>
      <c r="G715" s="879" t="s">
        <v>2086</v>
      </c>
      <c r="H715" s="859">
        <v>0</v>
      </c>
      <c r="I715" s="859">
        <v>0</v>
      </c>
      <c r="J715" s="859">
        <v>0</v>
      </c>
    </row>
    <row r="716" spans="2:10">
      <c r="B716" s="53" t="s">
        <v>119</v>
      </c>
      <c r="C716" s="878" t="s">
        <v>2086</v>
      </c>
      <c r="D716" s="879" t="s">
        <v>2086</v>
      </c>
      <c r="E716" s="879" t="s">
        <v>2086</v>
      </c>
      <c r="F716" s="879" t="s">
        <v>2086</v>
      </c>
      <c r="G716" s="879" t="s">
        <v>2086</v>
      </c>
      <c r="H716" s="859">
        <v>0</v>
      </c>
      <c r="I716" s="859">
        <v>0</v>
      </c>
      <c r="J716" s="859">
        <v>0</v>
      </c>
    </row>
    <row r="717" spans="2:10">
      <c r="B717" s="52" t="s">
        <v>118</v>
      </c>
      <c r="C717" s="878" t="s">
        <v>2086</v>
      </c>
      <c r="D717" s="879" t="s">
        <v>2086</v>
      </c>
      <c r="E717" s="879" t="s">
        <v>2086</v>
      </c>
      <c r="F717" s="879" t="s">
        <v>2086</v>
      </c>
      <c r="G717" s="879" t="s">
        <v>2086</v>
      </c>
      <c r="H717" s="859">
        <v>0</v>
      </c>
      <c r="I717" s="859">
        <v>0</v>
      </c>
      <c r="J717" s="859">
        <v>0</v>
      </c>
    </row>
    <row r="718" spans="2:10">
      <c r="B718" s="52" t="s">
        <v>692</v>
      </c>
      <c r="C718" s="877">
        <v>50839.786999999997</v>
      </c>
      <c r="D718" s="877">
        <v>51675.366000000002</v>
      </c>
      <c r="E718" s="877">
        <v>70341.907000000007</v>
      </c>
      <c r="F718" s="877">
        <v>97448.858999999997</v>
      </c>
      <c r="G718" s="877">
        <v>71521.149000000005</v>
      </c>
      <c r="H718" s="877">
        <v>64913.767999999996</v>
      </c>
      <c r="I718" s="877">
        <v>123351.065</v>
      </c>
      <c r="J718" s="877">
        <v>56959.883000000002</v>
      </c>
    </row>
    <row r="719" spans="2:10">
      <c r="B719" s="52"/>
      <c r="C719" s="880"/>
      <c r="D719" s="881"/>
      <c r="E719" s="881"/>
      <c r="F719" s="881"/>
      <c r="G719" s="881"/>
      <c r="H719" s="882"/>
      <c r="I719" s="882"/>
      <c r="J719" s="882"/>
    </row>
    <row r="720" spans="2:10">
      <c r="B720" s="71" t="s">
        <v>230</v>
      </c>
      <c r="C720" s="880"/>
      <c r="D720" s="881"/>
      <c r="E720" s="881"/>
      <c r="F720" s="881"/>
      <c r="G720" s="881"/>
      <c r="H720" s="882"/>
      <c r="I720" s="882"/>
      <c r="J720" s="882"/>
    </row>
    <row r="721" spans="2:10">
      <c r="B721" s="52" t="s">
        <v>169</v>
      </c>
      <c r="C721" s="878" t="s">
        <v>2086</v>
      </c>
      <c r="D721" s="879" t="s">
        <v>2086</v>
      </c>
      <c r="E721" s="879" t="s">
        <v>2086</v>
      </c>
      <c r="F721" s="879" t="s">
        <v>2086</v>
      </c>
      <c r="G721" s="879" t="s">
        <v>2086</v>
      </c>
      <c r="H721" s="859">
        <v>0</v>
      </c>
      <c r="I721" s="859">
        <v>0</v>
      </c>
      <c r="J721" s="859">
        <v>0</v>
      </c>
    </row>
    <row r="722" spans="2:10">
      <c r="B722" s="52" t="s">
        <v>168</v>
      </c>
      <c r="C722" s="878" t="s">
        <v>2086</v>
      </c>
      <c r="D722" s="879" t="s">
        <v>2086</v>
      </c>
      <c r="E722" s="879" t="s">
        <v>2086</v>
      </c>
      <c r="F722" s="879" t="s">
        <v>2086</v>
      </c>
      <c r="G722" s="879" t="s">
        <v>2086</v>
      </c>
      <c r="H722" s="859">
        <v>0</v>
      </c>
      <c r="I722" s="859">
        <v>0</v>
      </c>
      <c r="J722" s="859">
        <v>0</v>
      </c>
    </row>
    <row r="723" spans="2:10">
      <c r="B723" s="52" t="s">
        <v>167</v>
      </c>
      <c r="C723" s="878" t="s">
        <v>2086</v>
      </c>
      <c r="D723" s="879" t="s">
        <v>2086</v>
      </c>
      <c r="E723" s="879" t="s">
        <v>2086</v>
      </c>
      <c r="F723" s="879" t="s">
        <v>2086</v>
      </c>
      <c r="G723" s="879" t="s">
        <v>2086</v>
      </c>
      <c r="H723" s="859">
        <v>0</v>
      </c>
      <c r="I723" s="859">
        <v>0</v>
      </c>
      <c r="J723" s="859">
        <v>0</v>
      </c>
    </row>
    <row r="724" spans="2:10">
      <c r="B724" s="52" t="s">
        <v>166</v>
      </c>
      <c r="C724" s="819">
        <v>0</v>
      </c>
      <c r="D724" s="859">
        <v>0</v>
      </c>
      <c r="E724" s="859">
        <v>0</v>
      </c>
      <c r="F724" s="859">
        <v>0</v>
      </c>
      <c r="G724" s="859">
        <v>0</v>
      </c>
      <c r="H724" s="859">
        <v>0</v>
      </c>
      <c r="I724" s="859">
        <v>0</v>
      </c>
      <c r="J724" s="859">
        <v>0</v>
      </c>
    </row>
    <row r="725" spans="2:10">
      <c r="B725" s="52" t="s">
        <v>165</v>
      </c>
      <c r="C725" s="819">
        <v>0</v>
      </c>
      <c r="D725" s="859">
        <v>0</v>
      </c>
      <c r="E725" s="859">
        <v>0</v>
      </c>
      <c r="F725" s="859">
        <v>0</v>
      </c>
      <c r="G725" s="859">
        <v>0</v>
      </c>
      <c r="H725" s="859">
        <v>0</v>
      </c>
      <c r="I725" s="859">
        <v>0</v>
      </c>
      <c r="J725" s="859">
        <v>0</v>
      </c>
    </row>
    <row r="726" spans="2:10">
      <c r="B726" s="52" t="s">
        <v>164</v>
      </c>
      <c r="C726" s="819">
        <v>0</v>
      </c>
      <c r="D726" s="859">
        <v>0</v>
      </c>
      <c r="E726" s="859">
        <v>0</v>
      </c>
      <c r="F726" s="859">
        <v>0</v>
      </c>
      <c r="G726" s="859">
        <v>0</v>
      </c>
      <c r="H726" s="859">
        <v>0</v>
      </c>
      <c r="I726" s="859">
        <v>0</v>
      </c>
      <c r="J726" s="859">
        <v>0</v>
      </c>
    </row>
    <row r="727" spans="2:10">
      <c r="B727" s="52"/>
      <c r="C727" s="219"/>
      <c r="D727" s="875"/>
      <c r="E727" s="876"/>
      <c r="F727" s="876"/>
      <c r="G727" s="876"/>
      <c r="H727" s="876"/>
      <c r="I727" s="876"/>
      <c r="J727" s="876"/>
    </row>
    <row r="728" spans="2:10">
      <c r="B728" s="59" t="s">
        <v>1301</v>
      </c>
      <c r="C728" s="219"/>
      <c r="D728" s="875"/>
      <c r="E728" s="876"/>
      <c r="F728" s="876"/>
      <c r="G728" s="876"/>
      <c r="H728" s="876"/>
      <c r="I728" s="876"/>
      <c r="J728" s="876"/>
    </row>
    <row r="729" spans="2:10">
      <c r="B729" s="71" t="s">
        <v>231</v>
      </c>
      <c r="C729" s="872">
        <v>33922.182000000001</v>
      </c>
      <c r="D729" s="872">
        <v>46269.728000000003</v>
      </c>
      <c r="E729" s="872">
        <v>22166.357</v>
      </c>
      <c r="F729" s="872">
        <v>15369.43</v>
      </c>
      <c r="G729" s="872">
        <v>28641.499</v>
      </c>
      <c r="H729" s="872">
        <v>13925.182000000001</v>
      </c>
      <c r="I729" s="872">
        <v>18382.754000000001</v>
      </c>
      <c r="J729" s="872">
        <v>32278.420999999998</v>
      </c>
    </row>
    <row r="730" spans="2:10">
      <c r="B730" s="52" t="s">
        <v>121</v>
      </c>
      <c r="C730" s="872">
        <v>29472.84</v>
      </c>
      <c r="D730" s="872">
        <v>42667.222999999998</v>
      </c>
      <c r="E730" s="872">
        <v>20913.91</v>
      </c>
      <c r="F730" s="872">
        <v>15138.075999999999</v>
      </c>
      <c r="G730" s="872">
        <v>27408.06</v>
      </c>
      <c r="H730" s="872">
        <v>13118.383</v>
      </c>
      <c r="I730" s="872">
        <v>17801.61</v>
      </c>
      <c r="J730" s="872">
        <v>32053.218000000001</v>
      </c>
    </row>
    <row r="731" spans="2:10">
      <c r="B731" s="53" t="s">
        <v>120</v>
      </c>
      <c r="C731" s="548" t="s">
        <v>2086</v>
      </c>
      <c r="D731" s="872" t="s">
        <v>2086</v>
      </c>
      <c r="E731" s="872" t="s">
        <v>2086</v>
      </c>
      <c r="F731" s="872" t="s">
        <v>2086</v>
      </c>
      <c r="G731" s="872" t="s">
        <v>2086</v>
      </c>
      <c r="H731" s="872" t="s">
        <v>2086</v>
      </c>
      <c r="I731" s="872" t="s">
        <v>2086</v>
      </c>
      <c r="J731" s="872" t="s">
        <v>2086</v>
      </c>
    </row>
    <row r="732" spans="2:10">
      <c r="B732" s="52" t="s">
        <v>183</v>
      </c>
      <c r="C732" s="872">
        <v>4449.3419999999996</v>
      </c>
      <c r="D732" s="872">
        <v>3602.5050000000001</v>
      </c>
      <c r="E732" s="872">
        <v>1252.4469999999999</v>
      </c>
      <c r="F732" s="872">
        <v>231.35400000000001</v>
      </c>
      <c r="G732" s="872">
        <v>1233.4390000000001</v>
      </c>
      <c r="H732" s="872">
        <v>806.79899999999998</v>
      </c>
      <c r="I732" s="872">
        <v>581.14400000000001</v>
      </c>
      <c r="J732" s="872">
        <v>225.203</v>
      </c>
    </row>
    <row r="733" spans="2:10">
      <c r="B733" s="52" t="s">
        <v>118</v>
      </c>
      <c r="C733" s="548" t="s">
        <v>2086</v>
      </c>
      <c r="D733" s="872" t="s">
        <v>2086</v>
      </c>
      <c r="E733" s="872" t="s">
        <v>2086</v>
      </c>
      <c r="F733" s="872" t="s">
        <v>2086</v>
      </c>
      <c r="G733" s="872" t="s">
        <v>2086</v>
      </c>
      <c r="H733" s="872" t="s">
        <v>2086</v>
      </c>
      <c r="I733" s="872" t="s">
        <v>2086</v>
      </c>
      <c r="J733" s="872" t="s">
        <v>2086</v>
      </c>
    </row>
    <row r="734" spans="2:10">
      <c r="B734" s="52" t="s">
        <v>117</v>
      </c>
      <c r="C734" s="548" t="s">
        <v>2086</v>
      </c>
      <c r="D734" s="872" t="s">
        <v>2086</v>
      </c>
      <c r="E734" s="872" t="s">
        <v>2086</v>
      </c>
      <c r="F734" s="872" t="s">
        <v>2086</v>
      </c>
      <c r="G734" s="872" t="s">
        <v>2086</v>
      </c>
      <c r="H734" s="872" t="s">
        <v>2086</v>
      </c>
      <c r="I734" s="872" t="s">
        <v>2086</v>
      </c>
      <c r="J734" s="872" t="s">
        <v>2086</v>
      </c>
    </row>
    <row r="735" spans="2:10">
      <c r="B735" s="52"/>
      <c r="C735" s="219"/>
      <c r="D735" s="875"/>
      <c r="E735" s="876"/>
      <c r="F735" s="876"/>
      <c r="G735" s="876"/>
      <c r="H735" s="876"/>
      <c r="I735" s="876"/>
      <c r="J735" s="876"/>
    </row>
    <row r="736" spans="2:10">
      <c r="B736" s="71" t="s">
        <v>230</v>
      </c>
      <c r="C736" s="548"/>
      <c r="D736" s="872"/>
      <c r="E736" s="872"/>
      <c r="F736" s="872"/>
      <c r="G736" s="872"/>
      <c r="H736" s="872"/>
      <c r="I736" s="872"/>
      <c r="J736" s="872"/>
    </row>
    <row r="737" spans="2:10">
      <c r="B737" s="52" t="s">
        <v>169</v>
      </c>
      <c r="C737" s="548" t="s">
        <v>2086</v>
      </c>
      <c r="D737" s="872" t="s">
        <v>2086</v>
      </c>
      <c r="E737" s="872" t="s">
        <v>2086</v>
      </c>
      <c r="F737" s="872" t="s">
        <v>2086</v>
      </c>
      <c r="G737" s="872" t="s">
        <v>2086</v>
      </c>
      <c r="H737" s="872" t="s">
        <v>2086</v>
      </c>
      <c r="I737" s="872" t="s">
        <v>2086</v>
      </c>
      <c r="J737" s="872" t="s">
        <v>2086</v>
      </c>
    </row>
    <row r="738" spans="2:10">
      <c r="B738" s="52" t="s">
        <v>168</v>
      </c>
      <c r="C738" s="548" t="s">
        <v>2086</v>
      </c>
      <c r="D738" s="872" t="s">
        <v>2086</v>
      </c>
      <c r="E738" s="872" t="s">
        <v>2086</v>
      </c>
      <c r="F738" s="872" t="s">
        <v>2086</v>
      </c>
      <c r="G738" s="872" t="s">
        <v>2086</v>
      </c>
      <c r="H738" s="872" t="s">
        <v>2086</v>
      </c>
      <c r="I738" s="872" t="s">
        <v>2086</v>
      </c>
      <c r="J738" s="872" t="s">
        <v>2086</v>
      </c>
    </row>
    <row r="739" spans="2:10">
      <c r="B739" s="52" t="s">
        <v>167</v>
      </c>
      <c r="C739" s="548" t="s">
        <v>2086</v>
      </c>
      <c r="D739" s="872" t="s">
        <v>2086</v>
      </c>
      <c r="E739" s="872" t="s">
        <v>2086</v>
      </c>
      <c r="F739" s="872" t="s">
        <v>2086</v>
      </c>
      <c r="G739" s="872" t="s">
        <v>2086</v>
      </c>
      <c r="H739" s="872" t="s">
        <v>2086</v>
      </c>
      <c r="I739" s="872" t="s">
        <v>2086</v>
      </c>
      <c r="J739" s="872" t="s">
        <v>2086</v>
      </c>
    </row>
    <row r="740" spans="2:10">
      <c r="B740" s="52" t="s">
        <v>166</v>
      </c>
      <c r="C740" s="548" t="s">
        <v>2086</v>
      </c>
      <c r="D740" s="872" t="s">
        <v>2086</v>
      </c>
      <c r="E740" s="872" t="s">
        <v>2086</v>
      </c>
      <c r="F740" s="872" t="s">
        <v>2086</v>
      </c>
      <c r="G740" s="872" t="s">
        <v>2086</v>
      </c>
      <c r="H740" s="872" t="s">
        <v>2086</v>
      </c>
      <c r="I740" s="872" t="s">
        <v>2086</v>
      </c>
      <c r="J740" s="872" t="s">
        <v>2086</v>
      </c>
    </row>
    <row r="741" spans="2:10">
      <c r="B741" s="52" t="s">
        <v>165</v>
      </c>
      <c r="C741" s="548" t="s">
        <v>2086</v>
      </c>
      <c r="D741" s="872" t="s">
        <v>2086</v>
      </c>
      <c r="E741" s="872" t="s">
        <v>2086</v>
      </c>
      <c r="F741" s="872" t="s">
        <v>2086</v>
      </c>
      <c r="G741" s="872" t="s">
        <v>2086</v>
      </c>
      <c r="H741" s="872" t="s">
        <v>2086</v>
      </c>
      <c r="I741" s="872" t="s">
        <v>2086</v>
      </c>
      <c r="J741" s="872" t="s">
        <v>2086</v>
      </c>
    </row>
    <row r="742" spans="2:10" ht="15" thickBot="1">
      <c r="B742" s="50" t="s">
        <v>164</v>
      </c>
      <c r="C742" s="548" t="s">
        <v>2086</v>
      </c>
      <c r="D742" s="872" t="s">
        <v>2086</v>
      </c>
      <c r="E742" s="872" t="s">
        <v>2086</v>
      </c>
      <c r="F742" s="872" t="s">
        <v>2086</v>
      </c>
      <c r="G742" s="872" t="s">
        <v>2086</v>
      </c>
      <c r="H742" s="872" t="s">
        <v>2086</v>
      </c>
      <c r="I742" s="872" t="s">
        <v>2086</v>
      </c>
      <c r="J742" s="872" t="s">
        <v>2086</v>
      </c>
    </row>
    <row r="743" spans="2:10" ht="15" thickTop="1">
      <c r="B743" s="2025" t="s">
        <v>1456</v>
      </c>
      <c r="C743" s="2025"/>
      <c r="D743" s="2025"/>
      <c r="E743" s="2025"/>
      <c r="F743" s="2025"/>
      <c r="G743" s="2025"/>
      <c r="H743" s="2025"/>
      <c r="I743" s="2025"/>
      <c r="J743" s="2025"/>
    </row>
    <row r="744" spans="2:10">
      <c r="B744" s="64"/>
      <c r="C744" s="302"/>
      <c r="D744" s="302"/>
      <c r="E744" s="302"/>
      <c r="F744" s="302"/>
      <c r="G744" s="302"/>
      <c r="H744" s="302"/>
      <c r="I744" s="302"/>
      <c r="J744" s="302"/>
    </row>
    <row r="745" spans="2:10">
      <c r="B745" s="2097" t="s">
        <v>219</v>
      </c>
      <c r="C745" s="2097"/>
      <c r="D745" s="2097"/>
      <c r="E745" s="2097"/>
      <c r="F745" s="2097"/>
      <c r="G745" s="2097"/>
      <c r="H745" s="2097"/>
      <c r="I745" s="2097"/>
      <c r="J745" s="2097"/>
    </row>
    <row r="746" spans="2:10">
      <c r="B746" s="12" t="s">
        <v>218</v>
      </c>
      <c r="C746" s="302"/>
      <c r="D746" s="302"/>
      <c r="E746" s="302"/>
      <c r="F746" s="302"/>
      <c r="G746" s="302"/>
      <c r="H746" s="302"/>
      <c r="I746" s="302"/>
      <c r="J746" s="302"/>
    </row>
    <row r="747" spans="2:10">
      <c r="B747" s="77" t="s">
        <v>269</v>
      </c>
      <c r="C747" s="302"/>
      <c r="D747" s="302"/>
      <c r="E747" s="302"/>
      <c r="F747" s="302"/>
      <c r="G747" s="302"/>
      <c r="H747" s="302"/>
      <c r="I747" s="302"/>
      <c r="J747" s="302"/>
    </row>
    <row r="748" spans="2:10">
      <c r="B748" s="76"/>
      <c r="C748" s="302"/>
      <c r="D748" s="302"/>
      <c r="E748" s="302"/>
      <c r="F748" s="302"/>
      <c r="G748" s="302"/>
      <c r="H748" s="302"/>
      <c r="I748" s="302"/>
      <c r="J748" s="302"/>
    </row>
    <row r="749" spans="2:10">
      <c r="B749" s="61"/>
      <c r="C749" s="850">
        <v>2014</v>
      </c>
      <c r="D749" s="850">
        <v>2015</v>
      </c>
      <c r="E749" s="850">
        <v>2016</v>
      </c>
      <c r="F749" s="850">
        <v>2017</v>
      </c>
      <c r="G749" s="850">
        <v>2018</v>
      </c>
      <c r="H749" s="850">
        <v>2019</v>
      </c>
      <c r="I749" s="850">
        <v>2020</v>
      </c>
      <c r="J749" s="850">
        <v>2021</v>
      </c>
    </row>
    <row r="750" spans="2:10">
      <c r="B750" s="59" t="s">
        <v>697</v>
      </c>
      <c r="C750" s="302"/>
      <c r="D750" s="302"/>
      <c r="E750" s="302"/>
      <c r="F750" s="302"/>
      <c r="G750" s="302"/>
      <c r="H750" s="302"/>
      <c r="I750" s="302"/>
      <c r="J750" s="302"/>
    </row>
    <row r="751" spans="2:10">
      <c r="B751" s="71" t="s">
        <v>217</v>
      </c>
      <c r="C751" s="321">
        <v>0</v>
      </c>
      <c r="D751" s="321">
        <v>0</v>
      </c>
      <c r="E751" s="321">
        <v>0</v>
      </c>
      <c r="F751" s="321">
        <v>0</v>
      </c>
      <c r="G751" s="321">
        <v>0</v>
      </c>
      <c r="H751" s="321">
        <v>0</v>
      </c>
      <c r="I751" s="321">
        <v>0</v>
      </c>
      <c r="J751" s="321">
        <v>0</v>
      </c>
    </row>
    <row r="752" spans="2:10">
      <c r="B752" s="52" t="s">
        <v>150</v>
      </c>
      <c r="C752" s="883">
        <v>0</v>
      </c>
      <c r="D752" s="883">
        <v>0</v>
      </c>
      <c r="E752" s="883">
        <v>0</v>
      </c>
      <c r="F752" s="883">
        <v>0</v>
      </c>
      <c r="G752" s="883">
        <v>0</v>
      </c>
      <c r="H752" s="883">
        <v>0</v>
      </c>
      <c r="I752" s="883">
        <v>0</v>
      </c>
      <c r="J752" s="883">
        <v>0</v>
      </c>
    </row>
    <row r="753" spans="2:10">
      <c r="B753" s="52" t="s">
        <v>214</v>
      </c>
      <c r="C753" s="883">
        <v>0</v>
      </c>
      <c r="D753" s="883">
        <v>0</v>
      </c>
      <c r="E753" s="883">
        <v>0</v>
      </c>
      <c r="F753" s="883">
        <v>0</v>
      </c>
      <c r="G753" s="883">
        <v>0</v>
      </c>
      <c r="H753" s="883">
        <v>0</v>
      </c>
      <c r="I753" s="883">
        <v>0</v>
      </c>
      <c r="J753" s="883">
        <v>0</v>
      </c>
    </row>
    <row r="754" spans="2:10">
      <c r="B754" s="52" t="s">
        <v>147</v>
      </c>
      <c r="C754" s="883">
        <v>0</v>
      </c>
      <c r="D754" s="883">
        <v>0</v>
      </c>
      <c r="E754" s="883">
        <v>0</v>
      </c>
      <c r="F754" s="883">
        <v>0</v>
      </c>
      <c r="G754" s="883">
        <v>0</v>
      </c>
      <c r="H754" s="883">
        <v>0</v>
      </c>
      <c r="I754" s="883">
        <v>0</v>
      </c>
      <c r="J754" s="883">
        <v>0</v>
      </c>
    </row>
    <row r="755" spans="2:10">
      <c r="B755" s="52" t="s">
        <v>146</v>
      </c>
      <c r="C755" s="883"/>
      <c r="D755" s="883"/>
      <c r="E755" s="883"/>
      <c r="F755" s="883"/>
      <c r="G755" s="883"/>
      <c r="H755" s="883"/>
      <c r="I755" s="883"/>
      <c r="J755" s="883"/>
    </row>
    <row r="756" spans="2:10">
      <c r="B756" s="52"/>
      <c r="C756" s="884"/>
      <c r="D756" s="884"/>
      <c r="E756" s="884"/>
      <c r="F756" s="884"/>
      <c r="G756" s="884"/>
      <c r="H756" s="884"/>
      <c r="I756" s="884"/>
      <c r="J756" s="884"/>
    </row>
    <row r="757" spans="2:10">
      <c r="B757" s="71" t="s">
        <v>216</v>
      </c>
      <c r="C757" s="884"/>
      <c r="D757" s="884"/>
      <c r="E757" s="884"/>
      <c r="F757" s="884"/>
      <c r="G757" s="884"/>
      <c r="H757" s="884"/>
      <c r="I757" s="884"/>
      <c r="J757" s="884"/>
    </row>
    <row r="758" spans="2:10">
      <c r="B758" s="52" t="s">
        <v>150</v>
      </c>
      <c r="C758" s="883">
        <v>0</v>
      </c>
      <c r="D758" s="883">
        <v>0</v>
      </c>
      <c r="E758" s="883">
        <v>0</v>
      </c>
      <c r="F758" s="883">
        <v>0</v>
      </c>
      <c r="G758" s="883">
        <v>0</v>
      </c>
      <c r="H758" s="883">
        <v>0</v>
      </c>
      <c r="I758" s="883">
        <v>0</v>
      </c>
      <c r="J758" s="883">
        <v>0</v>
      </c>
    </row>
    <row r="759" spans="2:10">
      <c r="B759" s="52" t="s">
        <v>214</v>
      </c>
      <c r="C759" s="883">
        <v>0</v>
      </c>
      <c r="D759" s="883">
        <v>0</v>
      </c>
      <c r="E759" s="883">
        <v>0</v>
      </c>
      <c r="F759" s="883">
        <v>0</v>
      </c>
      <c r="G759" s="883">
        <v>0</v>
      </c>
      <c r="H759" s="883">
        <v>0</v>
      </c>
      <c r="I759" s="883">
        <v>0</v>
      </c>
      <c r="J759" s="883">
        <v>0</v>
      </c>
    </row>
    <row r="760" spans="2:10">
      <c r="B760" s="52" t="s">
        <v>147</v>
      </c>
      <c r="C760" s="883">
        <v>0</v>
      </c>
      <c r="D760" s="883">
        <v>0</v>
      </c>
      <c r="E760" s="883">
        <v>0</v>
      </c>
      <c r="F760" s="883">
        <v>0</v>
      </c>
      <c r="G760" s="883">
        <v>0</v>
      </c>
      <c r="H760" s="883">
        <v>0</v>
      </c>
      <c r="I760" s="883">
        <v>0</v>
      </c>
      <c r="J760" s="883">
        <v>0</v>
      </c>
    </row>
    <row r="761" spans="2:10">
      <c r="B761" s="52" t="s">
        <v>146</v>
      </c>
      <c r="C761" s="883">
        <v>0</v>
      </c>
      <c r="D761" s="883">
        <v>0</v>
      </c>
      <c r="E761" s="883">
        <v>0</v>
      </c>
      <c r="F761" s="883">
        <v>0</v>
      </c>
      <c r="G761" s="883">
        <v>0</v>
      </c>
      <c r="H761" s="883">
        <v>0</v>
      </c>
      <c r="I761" s="883">
        <v>0</v>
      </c>
      <c r="J761" s="883">
        <v>0</v>
      </c>
    </row>
    <row r="762" spans="2:10">
      <c r="B762" s="52"/>
      <c r="C762" s="884"/>
      <c r="D762" s="884"/>
      <c r="E762" s="884"/>
      <c r="F762" s="884"/>
      <c r="G762" s="884"/>
      <c r="H762" s="884"/>
      <c r="I762" s="884"/>
      <c r="J762" s="884"/>
    </row>
    <row r="763" spans="2:10">
      <c r="B763" s="71" t="s">
        <v>215</v>
      </c>
      <c r="C763" s="884"/>
      <c r="D763" s="884"/>
      <c r="E763" s="884"/>
      <c r="F763" s="884"/>
      <c r="G763" s="884"/>
      <c r="H763" s="884"/>
      <c r="I763" s="884"/>
      <c r="J763" s="884"/>
    </row>
    <row r="764" spans="2:10">
      <c r="B764" s="52" t="s">
        <v>150</v>
      </c>
      <c r="C764" s="883">
        <v>0</v>
      </c>
      <c r="D764" s="883">
        <v>0</v>
      </c>
      <c r="E764" s="883">
        <v>0</v>
      </c>
      <c r="F764" s="883">
        <v>0</v>
      </c>
      <c r="G764" s="883">
        <v>0</v>
      </c>
      <c r="H764" s="883">
        <v>0</v>
      </c>
      <c r="I764" s="883">
        <v>0</v>
      </c>
      <c r="J764" s="883">
        <v>0</v>
      </c>
    </row>
    <row r="765" spans="2:10">
      <c r="B765" s="52" t="s">
        <v>214</v>
      </c>
      <c r="C765" s="883">
        <v>0</v>
      </c>
      <c r="D765" s="883">
        <v>0</v>
      </c>
      <c r="E765" s="883">
        <v>0</v>
      </c>
      <c r="F765" s="883">
        <v>0</v>
      </c>
      <c r="G765" s="883">
        <v>0</v>
      </c>
      <c r="H765" s="883">
        <v>0</v>
      </c>
      <c r="I765" s="883">
        <v>0</v>
      </c>
      <c r="J765" s="883">
        <v>0</v>
      </c>
    </row>
    <row r="766" spans="2:10">
      <c r="B766" s="52" t="s">
        <v>147</v>
      </c>
      <c r="C766" s="883">
        <v>0</v>
      </c>
      <c r="D766" s="883">
        <v>0</v>
      </c>
      <c r="E766" s="883">
        <v>0</v>
      </c>
      <c r="F766" s="883">
        <v>0</v>
      </c>
      <c r="G766" s="883">
        <v>0</v>
      </c>
      <c r="H766" s="883">
        <v>0</v>
      </c>
      <c r="I766" s="883">
        <v>0</v>
      </c>
      <c r="J766" s="883">
        <v>0</v>
      </c>
    </row>
    <row r="767" spans="2:10" ht="15" thickBot="1">
      <c r="B767" s="52" t="s">
        <v>146</v>
      </c>
      <c r="C767" s="883">
        <v>0</v>
      </c>
      <c r="D767" s="883">
        <v>0</v>
      </c>
      <c r="E767" s="883">
        <v>0</v>
      </c>
      <c r="F767" s="883">
        <v>0</v>
      </c>
      <c r="G767" s="883">
        <v>0</v>
      </c>
      <c r="H767" s="883">
        <v>0</v>
      </c>
      <c r="I767" s="883">
        <v>0</v>
      </c>
      <c r="J767" s="883">
        <v>0</v>
      </c>
    </row>
    <row r="768" spans="2:10" ht="15" thickTop="1">
      <c r="B768" s="2025" t="s">
        <v>1405</v>
      </c>
      <c r="C768" s="2025"/>
      <c r="D768" s="2025"/>
      <c r="E768" s="2025"/>
      <c r="F768" s="2025"/>
      <c r="G768" s="2025"/>
      <c r="H768" s="2025"/>
      <c r="I768" s="2025"/>
      <c r="J768" s="2025"/>
    </row>
    <row r="769" spans="2:10">
      <c r="B769" s="2017"/>
      <c r="C769" s="2017"/>
      <c r="D769" s="2017"/>
      <c r="E769" s="2017"/>
      <c r="F769" s="2017"/>
      <c r="G769" s="2017"/>
      <c r="H769" s="2017"/>
      <c r="I769" s="2017"/>
      <c r="J769" s="2017"/>
    </row>
    <row r="770" spans="2:10">
      <c r="B770" s="62"/>
      <c r="C770" s="302"/>
      <c r="D770" s="302"/>
      <c r="E770" s="302"/>
      <c r="F770" s="302"/>
      <c r="G770" s="302"/>
      <c r="H770" s="302"/>
      <c r="I770" s="302"/>
      <c r="J770" s="302"/>
    </row>
    <row r="771" spans="2:10">
      <c r="B771" s="2097" t="s">
        <v>212</v>
      </c>
      <c r="C771" s="2097"/>
      <c r="D771" s="2097"/>
      <c r="E771" s="2097"/>
      <c r="F771" s="2097"/>
      <c r="G771" s="2097"/>
      <c r="H771" s="2097"/>
      <c r="I771" s="2097"/>
      <c r="J771" s="2097"/>
    </row>
    <row r="772" spans="2:10">
      <c r="B772" s="12" t="s">
        <v>211</v>
      </c>
      <c r="C772" s="302"/>
      <c r="D772" s="302"/>
      <c r="E772" s="302"/>
      <c r="F772" s="302"/>
      <c r="G772" s="302"/>
      <c r="H772" s="302"/>
      <c r="I772" s="302"/>
      <c r="J772" s="302"/>
    </row>
    <row r="773" spans="2:10">
      <c r="B773" s="64" t="s">
        <v>210</v>
      </c>
      <c r="C773" s="302"/>
      <c r="D773" s="302"/>
      <c r="E773" s="302"/>
      <c r="F773" s="302"/>
      <c r="G773" s="302"/>
      <c r="H773" s="302"/>
      <c r="I773" s="302"/>
      <c r="J773" s="302"/>
    </row>
    <row r="774" spans="2:10">
      <c r="B774" s="64"/>
      <c r="C774" s="302"/>
      <c r="D774" s="302"/>
      <c r="E774" s="302"/>
      <c r="F774" s="302"/>
      <c r="G774" s="302"/>
      <c r="H774" s="302"/>
      <c r="I774" s="302"/>
      <c r="J774" s="302"/>
    </row>
    <row r="775" spans="2:10">
      <c r="B775" s="61"/>
      <c r="C775" s="850">
        <v>2014</v>
      </c>
      <c r="D775" s="850">
        <v>2015</v>
      </c>
      <c r="E775" s="850">
        <v>2016</v>
      </c>
      <c r="F775" s="850">
        <v>2017</v>
      </c>
      <c r="G775" s="850">
        <v>2018</v>
      </c>
      <c r="H775" s="850">
        <v>2019</v>
      </c>
      <c r="I775" s="850">
        <v>2020</v>
      </c>
      <c r="J775" s="850">
        <v>2021</v>
      </c>
    </row>
    <row r="776" spans="2:10">
      <c r="B776" s="59" t="s">
        <v>698</v>
      </c>
      <c r="C776" s="302"/>
      <c r="D776" s="302"/>
      <c r="E776" s="302"/>
      <c r="F776" s="302"/>
      <c r="G776" s="302"/>
      <c r="H776" s="302"/>
      <c r="I776" s="302"/>
      <c r="J776" s="302"/>
    </row>
    <row r="777" spans="2:10" ht="25">
      <c r="B777" s="71" t="s">
        <v>209</v>
      </c>
      <c r="C777" s="885" t="s">
        <v>2086</v>
      </c>
      <c r="D777" s="885" t="s">
        <v>2086</v>
      </c>
      <c r="E777" s="885" t="s">
        <v>2086</v>
      </c>
      <c r="F777" s="885" t="s">
        <v>2086</v>
      </c>
      <c r="G777" s="885" t="s">
        <v>2086</v>
      </c>
      <c r="H777" s="885" t="s">
        <v>2086</v>
      </c>
      <c r="I777" s="885" t="s">
        <v>2086</v>
      </c>
      <c r="J777" s="885" t="s">
        <v>2086</v>
      </c>
    </row>
    <row r="778" spans="2:10">
      <c r="B778" s="71"/>
      <c r="C778" s="302"/>
      <c r="D778" s="302"/>
      <c r="E778" s="302"/>
      <c r="F778" s="302"/>
      <c r="G778" s="302"/>
      <c r="H778" s="302"/>
      <c r="I778" s="302"/>
      <c r="J778" s="302"/>
    </row>
    <row r="779" spans="2:10">
      <c r="B779" s="71" t="s">
        <v>208</v>
      </c>
      <c r="C779" s="885" t="s">
        <v>2086</v>
      </c>
      <c r="D779" s="885" t="s">
        <v>2086</v>
      </c>
      <c r="E779" s="885" t="s">
        <v>2086</v>
      </c>
      <c r="F779" s="885" t="s">
        <v>2086</v>
      </c>
      <c r="G779" s="885" t="s">
        <v>2086</v>
      </c>
      <c r="H779" s="885" t="s">
        <v>2086</v>
      </c>
      <c r="I779" s="885" t="s">
        <v>2086</v>
      </c>
      <c r="J779" s="885" t="s">
        <v>2086</v>
      </c>
    </row>
    <row r="780" spans="2:10">
      <c r="B780" s="52" t="s">
        <v>121</v>
      </c>
      <c r="C780" s="885" t="s">
        <v>2086</v>
      </c>
      <c r="D780" s="885" t="s">
        <v>2086</v>
      </c>
      <c r="E780" s="885" t="s">
        <v>2086</v>
      </c>
      <c r="F780" s="885" t="s">
        <v>2086</v>
      </c>
      <c r="G780" s="885" t="s">
        <v>2086</v>
      </c>
      <c r="H780" s="885" t="s">
        <v>2086</v>
      </c>
      <c r="I780" s="885" t="s">
        <v>2086</v>
      </c>
      <c r="J780" s="885" t="s">
        <v>2086</v>
      </c>
    </row>
    <row r="781" spans="2:10">
      <c r="B781" s="53" t="s">
        <v>120</v>
      </c>
      <c r="C781" s="885" t="s">
        <v>2086</v>
      </c>
      <c r="D781" s="885" t="s">
        <v>2086</v>
      </c>
      <c r="E781" s="885" t="s">
        <v>2086</v>
      </c>
      <c r="F781" s="885" t="s">
        <v>2086</v>
      </c>
      <c r="G781" s="885" t="s">
        <v>2086</v>
      </c>
      <c r="H781" s="885" t="s">
        <v>2086</v>
      </c>
      <c r="I781" s="885" t="s">
        <v>2086</v>
      </c>
      <c r="J781" s="885" t="s">
        <v>2086</v>
      </c>
    </row>
    <row r="782" spans="2:10">
      <c r="B782" s="53" t="s">
        <v>119</v>
      </c>
      <c r="C782" s="885" t="s">
        <v>2086</v>
      </c>
      <c r="D782" s="885" t="s">
        <v>2086</v>
      </c>
      <c r="E782" s="885" t="s">
        <v>2086</v>
      </c>
      <c r="F782" s="885" t="s">
        <v>2086</v>
      </c>
      <c r="G782" s="885" t="s">
        <v>2086</v>
      </c>
      <c r="H782" s="885" t="s">
        <v>2086</v>
      </c>
      <c r="I782" s="885" t="s">
        <v>2086</v>
      </c>
      <c r="J782" s="885" t="s">
        <v>2086</v>
      </c>
    </row>
    <row r="783" spans="2:10">
      <c r="B783" s="53" t="s">
        <v>172</v>
      </c>
      <c r="C783" s="885" t="s">
        <v>2086</v>
      </c>
      <c r="D783" s="885" t="s">
        <v>2086</v>
      </c>
      <c r="E783" s="885" t="s">
        <v>2086</v>
      </c>
      <c r="F783" s="885" t="s">
        <v>2086</v>
      </c>
      <c r="G783" s="885" t="s">
        <v>2086</v>
      </c>
      <c r="H783" s="885" t="s">
        <v>2086</v>
      </c>
      <c r="I783" s="885" t="s">
        <v>2086</v>
      </c>
      <c r="J783" s="885" t="s">
        <v>2086</v>
      </c>
    </row>
    <row r="784" spans="2:10">
      <c r="B784" s="52" t="s">
        <v>118</v>
      </c>
      <c r="C784" s="885" t="s">
        <v>2086</v>
      </c>
      <c r="D784" s="885" t="s">
        <v>2086</v>
      </c>
      <c r="E784" s="885" t="s">
        <v>2086</v>
      </c>
      <c r="F784" s="885" t="s">
        <v>2086</v>
      </c>
      <c r="G784" s="885" t="s">
        <v>2086</v>
      </c>
      <c r="H784" s="885" t="s">
        <v>2086</v>
      </c>
      <c r="I784" s="885" t="s">
        <v>2086</v>
      </c>
      <c r="J784" s="885" t="s">
        <v>2086</v>
      </c>
    </row>
    <row r="785" spans="2:10">
      <c r="B785" s="52" t="s">
        <v>117</v>
      </c>
      <c r="C785" s="885" t="s">
        <v>2086</v>
      </c>
      <c r="D785" s="885" t="s">
        <v>2086</v>
      </c>
      <c r="E785" s="885" t="s">
        <v>2086</v>
      </c>
      <c r="F785" s="885" t="s">
        <v>2086</v>
      </c>
      <c r="G785" s="885" t="s">
        <v>2086</v>
      </c>
      <c r="H785" s="885" t="s">
        <v>2086</v>
      </c>
      <c r="I785" s="885" t="s">
        <v>2086</v>
      </c>
      <c r="J785" s="885" t="s">
        <v>2086</v>
      </c>
    </row>
    <row r="786" spans="2:10">
      <c r="B786" s="52"/>
      <c r="C786" s="886"/>
      <c r="D786" s="886"/>
      <c r="E786" s="886"/>
      <c r="F786" s="886"/>
      <c r="G786" s="886"/>
      <c r="H786" s="886"/>
      <c r="I786" s="886"/>
      <c r="J786" s="886"/>
    </row>
    <row r="787" spans="2:10" ht="26">
      <c r="B787" s="83" t="s">
        <v>205</v>
      </c>
      <c r="C787" s="886" t="s">
        <v>2086</v>
      </c>
      <c r="D787" s="886" t="s">
        <v>2086</v>
      </c>
      <c r="E787" s="886" t="s">
        <v>2086</v>
      </c>
      <c r="F787" s="886" t="s">
        <v>2086</v>
      </c>
      <c r="G787" s="886" t="s">
        <v>2086</v>
      </c>
      <c r="H787" s="886" t="s">
        <v>2086</v>
      </c>
      <c r="I787" s="886" t="s">
        <v>2086</v>
      </c>
      <c r="J787" s="886" t="s">
        <v>2086</v>
      </c>
    </row>
    <row r="788" spans="2:10">
      <c r="B788" s="81" t="s">
        <v>121</v>
      </c>
      <c r="C788" s="885" t="s">
        <v>2086</v>
      </c>
      <c r="D788" s="885" t="s">
        <v>2086</v>
      </c>
      <c r="E788" s="885" t="s">
        <v>2086</v>
      </c>
      <c r="F788" s="885" t="s">
        <v>2086</v>
      </c>
      <c r="G788" s="885" t="s">
        <v>2086</v>
      </c>
      <c r="H788" s="885" t="s">
        <v>2086</v>
      </c>
      <c r="I788" s="885" t="s">
        <v>2086</v>
      </c>
      <c r="J788" s="885" t="s">
        <v>2086</v>
      </c>
    </row>
    <row r="789" spans="2:10">
      <c r="B789" s="82" t="s">
        <v>120</v>
      </c>
      <c r="C789" s="885" t="s">
        <v>2086</v>
      </c>
      <c r="D789" s="885" t="s">
        <v>2086</v>
      </c>
      <c r="E789" s="885" t="s">
        <v>2086</v>
      </c>
      <c r="F789" s="885" t="s">
        <v>2086</v>
      </c>
      <c r="G789" s="885" t="s">
        <v>2086</v>
      </c>
      <c r="H789" s="885" t="s">
        <v>2086</v>
      </c>
      <c r="I789" s="885" t="s">
        <v>2086</v>
      </c>
      <c r="J789" s="885" t="s">
        <v>2086</v>
      </c>
    </row>
    <row r="790" spans="2:10">
      <c r="B790" s="82" t="s">
        <v>119</v>
      </c>
      <c r="C790" s="885" t="s">
        <v>2086</v>
      </c>
      <c r="D790" s="885" t="s">
        <v>2086</v>
      </c>
      <c r="E790" s="885" t="s">
        <v>2086</v>
      </c>
      <c r="F790" s="885" t="s">
        <v>2086</v>
      </c>
      <c r="G790" s="885" t="s">
        <v>2086</v>
      </c>
      <c r="H790" s="885" t="s">
        <v>2086</v>
      </c>
      <c r="I790" s="885" t="s">
        <v>2086</v>
      </c>
      <c r="J790" s="885" t="s">
        <v>2086</v>
      </c>
    </row>
    <row r="791" spans="2:10">
      <c r="B791" s="82" t="s">
        <v>172</v>
      </c>
      <c r="C791" s="885" t="s">
        <v>2086</v>
      </c>
      <c r="D791" s="885" t="s">
        <v>2086</v>
      </c>
      <c r="E791" s="885" t="s">
        <v>2086</v>
      </c>
      <c r="F791" s="885" t="s">
        <v>2086</v>
      </c>
      <c r="G791" s="885" t="s">
        <v>2086</v>
      </c>
      <c r="H791" s="885" t="s">
        <v>2086</v>
      </c>
      <c r="I791" s="885" t="s">
        <v>2086</v>
      </c>
      <c r="J791" s="885" t="s">
        <v>2086</v>
      </c>
    </row>
    <row r="792" spans="2:10">
      <c r="B792" s="81" t="s">
        <v>118</v>
      </c>
      <c r="C792" s="885" t="s">
        <v>2086</v>
      </c>
      <c r="D792" s="885" t="s">
        <v>2086</v>
      </c>
      <c r="E792" s="885" t="s">
        <v>2086</v>
      </c>
      <c r="F792" s="885" t="s">
        <v>2086</v>
      </c>
      <c r="G792" s="885" t="s">
        <v>2086</v>
      </c>
      <c r="H792" s="885" t="s">
        <v>2086</v>
      </c>
      <c r="I792" s="885" t="s">
        <v>2086</v>
      </c>
      <c r="J792" s="885" t="s">
        <v>2086</v>
      </c>
    </row>
    <row r="793" spans="2:10">
      <c r="B793" s="81" t="s">
        <v>117</v>
      </c>
      <c r="C793" s="885" t="s">
        <v>2086</v>
      </c>
      <c r="D793" s="885" t="s">
        <v>2086</v>
      </c>
      <c r="E793" s="885" t="s">
        <v>2086</v>
      </c>
      <c r="F793" s="885" t="s">
        <v>2086</v>
      </c>
      <c r="G793" s="885" t="s">
        <v>2086</v>
      </c>
      <c r="H793" s="885" t="s">
        <v>2086</v>
      </c>
      <c r="I793" s="885" t="s">
        <v>2086</v>
      </c>
      <c r="J793" s="885" t="s">
        <v>2086</v>
      </c>
    </row>
    <row r="794" spans="2:10">
      <c r="B794" s="81"/>
      <c r="C794" s="886"/>
      <c r="D794" s="886"/>
      <c r="E794" s="886"/>
      <c r="F794" s="886"/>
      <c r="G794" s="886"/>
      <c r="H794" s="886"/>
      <c r="I794" s="886"/>
      <c r="J794" s="886"/>
    </row>
    <row r="795" spans="2:10" ht="26">
      <c r="B795" s="83" t="s">
        <v>204</v>
      </c>
      <c r="C795" s="886" t="s">
        <v>2086</v>
      </c>
      <c r="D795" s="886" t="s">
        <v>2086</v>
      </c>
      <c r="E795" s="886" t="s">
        <v>2086</v>
      </c>
      <c r="F795" s="886" t="s">
        <v>2086</v>
      </c>
      <c r="G795" s="886" t="s">
        <v>2086</v>
      </c>
      <c r="H795" s="886" t="s">
        <v>2086</v>
      </c>
      <c r="I795" s="886" t="s">
        <v>2086</v>
      </c>
      <c r="J795" s="886" t="s">
        <v>2086</v>
      </c>
    </row>
    <row r="796" spans="2:10">
      <c r="B796" s="81" t="s">
        <v>121</v>
      </c>
      <c r="C796" s="885" t="s">
        <v>2086</v>
      </c>
      <c r="D796" s="885" t="s">
        <v>2086</v>
      </c>
      <c r="E796" s="885" t="s">
        <v>2086</v>
      </c>
      <c r="F796" s="885" t="s">
        <v>2086</v>
      </c>
      <c r="G796" s="885" t="s">
        <v>2086</v>
      </c>
      <c r="H796" s="885" t="s">
        <v>2086</v>
      </c>
      <c r="I796" s="885" t="s">
        <v>2086</v>
      </c>
      <c r="J796" s="885" t="s">
        <v>2086</v>
      </c>
    </row>
    <row r="797" spans="2:10">
      <c r="B797" s="82" t="s">
        <v>120</v>
      </c>
      <c r="C797" s="885" t="s">
        <v>2086</v>
      </c>
      <c r="D797" s="885" t="s">
        <v>2086</v>
      </c>
      <c r="E797" s="885" t="s">
        <v>2086</v>
      </c>
      <c r="F797" s="885" t="s">
        <v>2086</v>
      </c>
      <c r="G797" s="885" t="s">
        <v>2086</v>
      </c>
      <c r="H797" s="885" t="s">
        <v>2086</v>
      </c>
      <c r="I797" s="885" t="s">
        <v>2086</v>
      </c>
      <c r="J797" s="885" t="s">
        <v>2086</v>
      </c>
    </row>
    <row r="798" spans="2:10">
      <c r="B798" s="82" t="s">
        <v>119</v>
      </c>
      <c r="C798" s="885" t="s">
        <v>2086</v>
      </c>
      <c r="D798" s="885" t="s">
        <v>2086</v>
      </c>
      <c r="E798" s="885" t="s">
        <v>2086</v>
      </c>
      <c r="F798" s="885" t="s">
        <v>2086</v>
      </c>
      <c r="G798" s="885" t="s">
        <v>2086</v>
      </c>
      <c r="H798" s="885" t="s">
        <v>2086</v>
      </c>
      <c r="I798" s="885" t="s">
        <v>2086</v>
      </c>
      <c r="J798" s="885" t="s">
        <v>2086</v>
      </c>
    </row>
    <row r="799" spans="2:10">
      <c r="B799" s="82" t="s">
        <v>172</v>
      </c>
      <c r="C799" s="885" t="s">
        <v>2086</v>
      </c>
      <c r="D799" s="885" t="s">
        <v>2086</v>
      </c>
      <c r="E799" s="885" t="s">
        <v>2086</v>
      </c>
      <c r="F799" s="885" t="s">
        <v>2086</v>
      </c>
      <c r="G799" s="885" t="s">
        <v>2086</v>
      </c>
      <c r="H799" s="885" t="s">
        <v>2086</v>
      </c>
      <c r="I799" s="885" t="s">
        <v>2086</v>
      </c>
      <c r="J799" s="885" t="s">
        <v>2086</v>
      </c>
    </row>
    <row r="800" spans="2:10">
      <c r="B800" s="81" t="s">
        <v>118</v>
      </c>
      <c r="C800" s="885" t="s">
        <v>2086</v>
      </c>
      <c r="D800" s="885" t="s">
        <v>2086</v>
      </c>
      <c r="E800" s="885" t="s">
        <v>2086</v>
      </c>
      <c r="F800" s="885" t="s">
        <v>2086</v>
      </c>
      <c r="G800" s="885" t="s">
        <v>2086</v>
      </c>
      <c r="H800" s="885" t="s">
        <v>2086</v>
      </c>
      <c r="I800" s="885" t="s">
        <v>2086</v>
      </c>
      <c r="J800" s="885" t="s">
        <v>2086</v>
      </c>
    </row>
    <row r="801" spans="2:10">
      <c r="B801" s="81" t="s">
        <v>117</v>
      </c>
      <c r="C801" s="885" t="s">
        <v>2086</v>
      </c>
      <c r="D801" s="885" t="s">
        <v>2086</v>
      </c>
      <c r="E801" s="885" t="s">
        <v>2086</v>
      </c>
      <c r="F801" s="885" t="s">
        <v>2086</v>
      </c>
      <c r="G801" s="885" t="s">
        <v>2086</v>
      </c>
      <c r="H801" s="885" t="s">
        <v>2086</v>
      </c>
      <c r="I801" s="885" t="s">
        <v>2086</v>
      </c>
      <c r="J801" s="885" t="s">
        <v>2086</v>
      </c>
    </row>
    <row r="802" spans="2:10">
      <c r="B802" s="81"/>
      <c r="C802" s="886"/>
      <c r="D802" s="886"/>
      <c r="E802" s="886"/>
      <c r="F802" s="886"/>
      <c r="G802" s="886"/>
      <c r="H802" s="886"/>
      <c r="I802" s="886"/>
      <c r="J802" s="886"/>
    </row>
    <row r="803" spans="2:10" ht="25">
      <c r="B803" s="71" t="s">
        <v>203</v>
      </c>
      <c r="C803" s="886" t="s">
        <v>2086</v>
      </c>
      <c r="D803" s="886" t="s">
        <v>2086</v>
      </c>
      <c r="E803" s="886" t="s">
        <v>2086</v>
      </c>
      <c r="F803" s="886" t="s">
        <v>2086</v>
      </c>
      <c r="G803" s="886" t="s">
        <v>2086</v>
      </c>
      <c r="H803" s="886" t="s">
        <v>2086</v>
      </c>
      <c r="I803" s="886" t="s">
        <v>2086</v>
      </c>
      <c r="J803" s="886" t="s">
        <v>2086</v>
      </c>
    </row>
    <row r="804" spans="2:10">
      <c r="B804" s="52" t="s">
        <v>169</v>
      </c>
      <c r="C804" s="885" t="s">
        <v>2086</v>
      </c>
      <c r="D804" s="885" t="s">
        <v>2086</v>
      </c>
      <c r="E804" s="885" t="s">
        <v>2086</v>
      </c>
      <c r="F804" s="885" t="s">
        <v>2086</v>
      </c>
      <c r="G804" s="885" t="s">
        <v>2086</v>
      </c>
      <c r="H804" s="885" t="s">
        <v>2086</v>
      </c>
      <c r="I804" s="885" t="s">
        <v>2086</v>
      </c>
      <c r="J804" s="885" t="s">
        <v>2086</v>
      </c>
    </row>
    <row r="805" spans="2:10">
      <c r="B805" s="52" t="s">
        <v>168</v>
      </c>
      <c r="C805" s="885" t="s">
        <v>2086</v>
      </c>
      <c r="D805" s="885" t="s">
        <v>2086</v>
      </c>
      <c r="E805" s="885" t="s">
        <v>2086</v>
      </c>
      <c r="F805" s="885" t="s">
        <v>2086</v>
      </c>
      <c r="G805" s="885" t="s">
        <v>2086</v>
      </c>
      <c r="H805" s="885" t="s">
        <v>2086</v>
      </c>
      <c r="I805" s="885" t="s">
        <v>2086</v>
      </c>
      <c r="J805" s="885" t="s">
        <v>2086</v>
      </c>
    </row>
    <row r="806" spans="2:10">
      <c r="B806" s="52" t="s">
        <v>167</v>
      </c>
      <c r="C806" s="885" t="s">
        <v>2086</v>
      </c>
      <c r="D806" s="885" t="s">
        <v>2086</v>
      </c>
      <c r="E806" s="885" t="s">
        <v>2086</v>
      </c>
      <c r="F806" s="885" t="s">
        <v>2086</v>
      </c>
      <c r="G806" s="885" t="s">
        <v>2086</v>
      </c>
      <c r="H806" s="885" t="s">
        <v>2086</v>
      </c>
      <c r="I806" s="885" t="s">
        <v>2086</v>
      </c>
      <c r="J806" s="885" t="s">
        <v>2086</v>
      </c>
    </row>
    <row r="807" spans="2:10">
      <c r="B807" s="52" t="s">
        <v>166</v>
      </c>
      <c r="C807" s="885" t="s">
        <v>2086</v>
      </c>
      <c r="D807" s="885" t="s">
        <v>2086</v>
      </c>
      <c r="E807" s="885" t="s">
        <v>2086</v>
      </c>
      <c r="F807" s="885" t="s">
        <v>2086</v>
      </c>
      <c r="G807" s="885" t="s">
        <v>2086</v>
      </c>
      <c r="H807" s="885" t="s">
        <v>2086</v>
      </c>
      <c r="I807" s="885" t="s">
        <v>2086</v>
      </c>
      <c r="J807" s="885" t="s">
        <v>2086</v>
      </c>
    </row>
    <row r="808" spans="2:10">
      <c r="B808" s="52" t="s">
        <v>165</v>
      </c>
      <c r="C808" s="885" t="s">
        <v>2086</v>
      </c>
      <c r="D808" s="885" t="s">
        <v>2086</v>
      </c>
      <c r="E808" s="885" t="s">
        <v>2086</v>
      </c>
      <c r="F808" s="885" t="s">
        <v>2086</v>
      </c>
      <c r="G808" s="885" t="s">
        <v>2086</v>
      </c>
      <c r="H808" s="885" t="s">
        <v>2086</v>
      </c>
      <c r="I808" s="885" t="s">
        <v>2086</v>
      </c>
      <c r="J808" s="885" t="s">
        <v>2086</v>
      </c>
    </row>
    <row r="809" spans="2:10">
      <c r="B809" s="52" t="s">
        <v>164</v>
      </c>
      <c r="C809" s="885" t="s">
        <v>2086</v>
      </c>
      <c r="D809" s="885" t="s">
        <v>2086</v>
      </c>
      <c r="E809" s="885" t="s">
        <v>2086</v>
      </c>
      <c r="F809" s="885" t="s">
        <v>2086</v>
      </c>
      <c r="G809" s="885" t="s">
        <v>2086</v>
      </c>
      <c r="H809" s="885" t="s">
        <v>2086</v>
      </c>
      <c r="I809" s="885" t="s">
        <v>2086</v>
      </c>
      <c r="J809" s="885" t="s">
        <v>2086</v>
      </c>
    </row>
    <row r="810" spans="2:10">
      <c r="B810" s="52"/>
      <c r="C810" s="886"/>
      <c r="D810" s="886"/>
      <c r="E810" s="886"/>
      <c r="F810" s="886"/>
      <c r="G810" s="886"/>
      <c r="H810" s="886"/>
      <c r="I810" s="886"/>
      <c r="J810" s="886"/>
    </row>
    <row r="811" spans="2:10">
      <c r="B811" s="80" t="s">
        <v>202</v>
      </c>
      <c r="C811" s="887">
        <v>0</v>
      </c>
      <c r="D811" s="887">
        <v>0</v>
      </c>
      <c r="E811" s="887">
        <v>0</v>
      </c>
      <c r="F811" s="887">
        <v>0</v>
      </c>
      <c r="G811" s="887">
        <v>0</v>
      </c>
      <c r="H811" s="887">
        <v>0</v>
      </c>
      <c r="I811" s="887">
        <v>0</v>
      </c>
      <c r="J811" s="887">
        <v>0</v>
      </c>
    </row>
    <row r="812" spans="2:10">
      <c r="B812" s="52" t="s">
        <v>169</v>
      </c>
      <c r="C812" s="885" t="s">
        <v>2086</v>
      </c>
      <c r="D812" s="885" t="s">
        <v>2086</v>
      </c>
      <c r="E812" s="885" t="s">
        <v>2086</v>
      </c>
      <c r="F812" s="885" t="s">
        <v>2086</v>
      </c>
      <c r="G812" s="885" t="s">
        <v>2086</v>
      </c>
      <c r="H812" s="885" t="s">
        <v>2086</v>
      </c>
      <c r="I812" s="885" t="s">
        <v>2086</v>
      </c>
      <c r="J812" s="885" t="s">
        <v>2086</v>
      </c>
    </row>
    <row r="813" spans="2:10">
      <c r="B813" s="52" t="s">
        <v>168</v>
      </c>
      <c r="C813" s="885" t="s">
        <v>2086</v>
      </c>
      <c r="D813" s="885" t="s">
        <v>2086</v>
      </c>
      <c r="E813" s="885" t="s">
        <v>2086</v>
      </c>
      <c r="F813" s="885" t="s">
        <v>2086</v>
      </c>
      <c r="G813" s="885" t="s">
        <v>2086</v>
      </c>
      <c r="H813" s="885" t="s">
        <v>2086</v>
      </c>
      <c r="I813" s="885" t="s">
        <v>2086</v>
      </c>
      <c r="J813" s="885" t="s">
        <v>2086</v>
      </c>
    </row>
    <row r="814" spans="2:10">
      <c r="B814" s="52" t="s">
        <v>167</v>
      </c>
      <c r="C814" s="885" t="s">
        <v>2086</v>
      </c>
      <c r="D814" s="885" t="s">
        <v>2086</v>
      </c>
      <c r="E814" s="885" t="s">
        <v>2086</v>
      </c>
      <c r="F814" s="885" t="s">
        <v>2086</v>
      </c>
      <c r="G814" s="885" t="s">
        <v>2086</v>
      </c>
      <c r="H814" s="885" t="s">
        <v>2086</v>
      </c>
      <c r="I814" s="885" t="s">
        <v>2086</v>
      </c>
      <c r="J814" s="885" t="s">
        <v>2086</v>
      </c>
    </row>
    <row r="815" spans="2:10">
      <c r="B815" s="52" t="s">
        <v>166</v>
      </c>
      <c r="C815" s="885" t="s">
        <v>2086</v>
      </c>
      <c r="D815" s="885" t="s">
        <v>2086</v>
      </c>
      <c r="E815" s="885" t="s">
        <v>2086</v>
      </c>
      <c r="F815" s="885" t="s">
        <v>2086</v>
      </c>
      <c r="G815" s="885" t="s">
        <v>2086</v>
      </c>
      <c r="H815" s="885" t="s">
        <v>2086</v>
      </c>
      <c r="I815" s="885" t="s">
        <v>2086</v>
      </c>
      <c r="J815" s="885" t="s">
        <v>2086</v>
      </c>
    </row>
    <row r="816" spans="2:10">
      <c r="B816" s="52" t="s">
        <v>165</v>
      </c>
      <c r="C816" s="885" t="s">
        <v>2086</v>
      </c>
      <c r="D816" s="885" t="s">
        <v>2086</v>
      </c>
      <c r="E816" s="885" t="s">
        <v>2086</v>
      </c>
      <c r="F816" s="885" t="s">
        <v>2086</v>
      </c>
      <c r="G816" s="885" t="s">
        <v>2086</v>
      </c>
      <c r="H816" s="885" t="s">
        <v>2086</v>
      </c>
      <c r="I816" s="885" t="s">
        <v>2086</v>
      </c>
      <c r="J816" s="885" t="s">
        <v>2086</v>
      </c>
    </row>
    <row r="817" spans="2:10" ht="15" thickBot="1">
      <c r="B817" s="52" t="s">
        <v>164</v>
      </c>
      <c r="C817" s="885" t="s">
        <v>2086</v>
      </c>
      <c r="D817" s="885" t="s">
        <v>2086</v>
      </c>
      <c r="E817" s="885" t="s">
        <v>2086</v>
      </c>
      <c r="F817" s="885" t="s">
        <v>2086</v>
      </c>
      <c r="G817" s="885" t="s">
        <v>2086</v>
      </c>
      <c r="H817" s="885" t="s">
        <v>2086</v>
      </c>
      <c r="I817" s="885" t="s">
        <v>2086</v>
      </c>
      <c r="J817" s="885" t="s">
        <v>2086</v>
      </c>
    </row>
    <row r="818" spans="2:10" ht="15" thickTop="1">
      <c r="B818" s="2025" t="s">
        <v>1405</v>
      </c>
      <c r="C818" s="2025"/>
      <c r="D818" s="2025"/>
      <c r="E818" s="2025"/>
      <c r="F818" s="2025"/>
      <c r="G818" s="2025"/>
      <c r="H818" s="2025"/>
      <c r="I818" s="2025"/>
      <c r="J818" s="2025"/>
    </row>
    <row r="819" spans="2:10">
      <c r="B819" s="108"/>
      <c r="C819" s="108"/>
      <c r="D819" s="108"/>
      <c r="E819" s="108"/>
      <c r="F819" s="108"/>
      <c r="G819" s="108"/>
      <c r="H819" s="108"/>
      <c r="I819" s="108"/>
      <c r="J819" s="108"/>
    </row>
    <row r="820" spans="2:10">
      <c r="B820" s="64"/>
      <c r="C820" s="302"/>
      <c r="D820" s="302"/>
      <c r="E820" s="302"/>
      <c r="F820" s="302"/>
      <c r="G820" s="302"/>
      <c r="H820" s="302"/>
      <c r="I820" s="302"/>
      <c r="J820" s="302"/>
    </row>
    <row r="821" spans="2:10">
      <c r="B821" s="2097" t="s">
        <v>199</v>
      </c>
      <c r="C821" s="2097"/>
      <c r="D821" s="2097"/>
      <c r="E821" s="2097"/>
      <c r="F821" s="2097"/>
      <c r="G821" s="2097"/>
      <c r="H821" s="2097"/>
      <c r="I821" s="2097"/>
      <c r="J821" s="2097"/>
    </row>
    <row r="822" spans="2:10">
      <c r="B822" s="12" t="s">
        <v>198</v>
      </c>
      <c r="C822" s="302"/>
      <c r="D822" s="302"/>
      <c r="E822" s="302"/>
      <c r="F822" s="302"/>
      <c r="G822" s="302"/>
      <c r="H822" s="302"/>
      <c r="I822" s="302"/>
      <c r="J822" s="302"/>
    </row>
    <row r="823" spans="2:10">
      <c r="B823" s="62" t="s">
        <v>127</v>
      </c>
      <c r="C823" s="302"/>
      <c r="D823" s="302"/>
      <c r="E823" s="302"/>
      <c r="F823" s="302"/>
      <c r="G823" s="302"/>
      <c r="H823" s="302"/>
      <c r="I823" s="302"/>
      <c r="J823" s="302"/>
    </row>
    <row r="824" spans="2:10">
      <c r="B824" s="62"/>
      <c r="C824" s="302"/>
      <c r="D824" s="302"/>
      <c r="E824" s="302"/>
      <c r="F824" s="302"/>
      <c r="G824" s="302"/>
      <c r="H824" s="302"/>
      <c r="I824" s="302"/>
      <c r="J824" s="302"/>
    </row>
    <row r="825" spans="2:10">
      <c r="B825" s="61"/>
      <c r="C825" s="850">
        <v>2014</v>
      </c>
      <c r="D825" s="850">
        <v>2015</v>
      </c>
      <c r="E825" s="850">
        <v>2016</v>
      </c>
      <c r="F825" s="850">
        <v>2017</v>
      </c>
      <c r="G825" s="850">
        <v>2018</v>
      </c>
      <c r="H825" s="850">
        <v>2019</v>
      </c>
      <c r="I825" s="850">
        <v>2020</v>
      </c>
      <c r="J825" s="850">
        <v>2021</v>
      </c>
    </row>
    <row r="826" spans="2:10">
      <c r="B826" s="59" t="s">
        <v>698</v>
      </c>
      <c r="C826" s="302"/>
      <c r="D826" s="302"/>
      <c r="E826" s="302"/>
      <c r="F826" s="302"/>
      <c r="G826" s="302"/>
      <c r="H826" s="302"/>
      <c r="I826" s="302"/>
      <c r="J826" s="302"/>
    </row>
    <row r="827" spans="2:10">
      <c r="B827" s="71" t="s">
        <v>186</v>
      </c>
      <c r="C827" s="888">
        <v>0</v>
      </c>
      <c r="D827" s="888">
        <v>0</v>
      </c>
      <c r="E827" s="888">
        <v>0</v>
      </c>
      <c r="F827" s="888">
        <v>0</v>
      </c>
      <c r="G827" s="888">
        <v>0</v>
      </c>
      <c r="H827" s="888">
        <v>0</v>
      </c>
      <c r="I827" s="888">
        <v>0</v>
      </c>
      <c r="J827" s="888">
        <v>0</v>
      </c>
    </row>
    <row r="828" spans="2:10">
      <c r="B828" s="71"/>
      <c r="C828" s="302"/>
      <c r="D828" s="302"/>
      <c r="E828" s="302"/>
      <c r="F828" s="302"/>
      <c r="G828" s="302"/>
      <c r="H828" s="302"/>
      <c r="I828" s="302"/>
      <c r="J828" s="302"/>
    </row>
    <row r="829" spans="2:10">
      <c r="B829" s="71" t="s">
        <v>190</v>
      </c>
      <c r="C829" s="885" t="s">
        <v>2086</v>
      </c>
      <c r="D829" s="885" t="s">
        <v>2086</v>
      </c>
      <c r="E829" s="885" t="s">
        <v>2086</v>
      </c>
      <c r="F829" s="885" t="s">
        <v>2086</v>
      </c>
      <c r="G829" s="885" t="s">
        <v>2086</v>
      </c>
      <c r="H829" s="885" t="s">
        <v>2086</v>
      </c>
      <c r="I829" s="885" t="s">
        <v>2086</v>
      </c>
      <c r="J829" s="885" t="s">
        <v>2086</v>
      </c>
    </row>
    <row r="830" spans="2:10">
      <c r="B830" s="52" t="s">
        <v>121</v>
      </c>
      <c r="C830" s="885" t="s">
        <v>2086</v>
      </c>
      <c r="D830" s="885" t="s">
        <v>2086</v>
      </c>
      <c r="E830" s="885" t="s">
        <v>2086</v>
      </c>
      <c r="F830" s="885" t="s">
        <v>2086</v>
      </c>
      <c r="G830" s="885" t="s">
        <v>2086</v>
      </c>
      <c r="H830" s="885" t="s">
        <v>2086</v>
      </c>
      <c r="I830" s="885" t="s">
        <v>2086</v>
      </c>
      <c r="J830" s="885" t="s">
        <v>2086</v>
      </c>
    </row>
    <row r="831" spans="2:10">
      <c r="B831" s="53" t="s">
        <v>120</v>
      </c>
      <c r="C831" s="885" t="s">
        <v>2086</v>
      </c>
      <c r="D831" s="885" t="s">
        <v>2086</v>
      </c>
      <c r="E831" s="885" t="s">
        <v>2086</v>
      </c>
      <c r="F831" s="885" t="s">
        <v>2086</v>
      </c>
      <c r="G831" s="885" t="s">
        <v>2086</v>
      </c>
      <c r="H831" s="885" t="s">
        <v>2086</v>
      </c>
      <c r="I831" s="885" t="s">
        <v>2086</v>
      </c>
      <c r="J831" s="885" t="s">
        <v>2086</v>
      </c>
    </row>
    <row r="832" spans="2:10">
      <c r="B832" s="53" t="s">
        <v>119</v>
      </c>
      <c r="C832" s="885" t="s">
        <v>2086</v>
      </c>
      <c r="D832" s="885" t="s">
        <v>2086</v>
      </c>
      <c r="E832" s="885" t="s">
        <v>2086</v>
      </c>
      <c r="F832" s="885" t="s">
        <v>2086</v>
      </c>
      <c r="G832" s="885" t="s">
        <v>2086</v>
      </c>
      <c r="H832" s="885" t="s">
        <v>2086</v>
      </c>
      <c r="I832" s="885" t="s">
        <v>2086</v>
      </c>
      <c r="J832" s="885" t="s">
        <v>2086</v>
      </c>
    </row>
    <row r="833" spans="2:10">
      <c r="B833" s="53" t="s">
        <v>197</v>
      </c>
      <c r="C833" s="885" t="s">
        <v>2086</v>
      </c>
      <c r="D833" s="885" t="s">
        <v>2086</v>
      </c>
      <c r="E833" s="885" t="s">
        <v>2086</v>
      </c>
      <c r="F833" s="885" t="s">
        <v>2086</v>
      </c>
      <c r="G833" s="885" t="s">
        <v>2086</v>
      </c>
      <c r="H833" s="885" t="s">
        <v>2086</v>
      </c>
      <c r="I833" s="885" t="s">
        <v>2086</v>
      </c>
      <c r="J833" s="885" t="s">
        <v>2086</v>
      </c>
    </row>
    <row r="834" spans="2:10">
      <c r="B834" s="52" t="s">
        <v>118</v>
      </c>
      <c r="C834" s="885" t="s">
        <v>2086</v>
      </c>
      <c r="D834" s="885" t="s">
        <v>2086</v>
      </c>
      <c r="E834" s="885" t="s">
        <v>2086</v>
      </c>
      <c r="F834" s="885" t="s">
        <v>2086</v>
      </c>
      <c r="G834" s="885" t="s">
        <v>2086</v>
      </c>
      <c r="H834" s="885" t="s">
        <v>2086</v>
      </c>
      <c r="I834" s="885" t="s">
        <v>2086</v>
      </c>
      <c r="J834" s="885" t="s">
        <v>2086</v>
      </c>
    </row>
    <row r="835" spans="2:10">
      <c r="B835" s="52" t="s">
        <v>117</v>
      </c>
      <c r="C835" s="885" t="s">
        <v>2086</v>
      </c>
      <c r="D835" s="885" t="s">
        <v>2086</v>
      </c>
      <c r="E835" s="885" t="s">
        <v>2086</v>
      </c>
      <c r="F835" s="885" t="s">
        <v>2086</v>
      </c>
      <c r="G835" s="885" t="s">
        <v>2086</v>
      </c>
      <c r="H835" s="885" t="s">
        <v>2086</v>
      </c>
      <c r="I835" s="885" t="s">
        <v>2086</v>
      </c>
      <c r="J835" s="885" t="s">
        <v>2086</v>
      </c>
    </row>
    <row r="836" spans="2:10">
      <c r="B836" s="52"/>
      <c r="C836" s="886"/>
      <c r="D836" s="886"/>
      <c r="E836" s="886"/>
      <c r="F836" s="886"/>
      <c r="G836" s="886"/>
      <c r="H836" s="886"/>
      <c r="I836" s="886"/>
      <c r="J836" s="886"/>
    </row>
    <row r="837" spans="2:10">
      <c r="B837" s="83" t="s">
        <v>187</v>
      </c>
      <c r="C837" s="886"/>
      <c r="D837" s="886"/>
      <c r="E837" s="886"/>
      <c r="F837" s="886"/>
      <c r="G837" s="886"/>
      <c r="H837" s="886"/>
      <c r="I837" s="886"/>
      <c r="J837" s="886"/>
    </row>
    <row r="838" spans="2:10">
      <c r="B838" s="81" t="s">
        <v>121</v>
      </c>
      <c r="C838" s="885" t="s">
        <v>2086</v>
      </c>
      <c r="D838" s="885" t="s">
        <v>2086</v>
      </c>
      <c r="E838" s="885" t="s">
        <v>2086</v>
      </c>
      <c r="F838" s="885" t="s">
        <v>2086</v>
      </c>
      <c r="G838" s="885" t="s">
        <v>2086</v>
      </c>
      <c r="H838" s="885" t="s">
        <v>2086</v>
      </c>
      <c r="I838" s="885" t="s">
        <v>2086</v>
      </c>
      <c r="J838" s="885" t="s">
        <v>2086</v>
      </c>
    </row>
    <row r="839" spans="2:10">
      <c r="B839" s="82" t="s">
        <v>120</v>
      </c>
      <c r="C839" s="885" t="s">
        <v>2086</v>
      </c>
      <c r="D839" s="885" t="s">
        <v>2086</v>
      </c>
      <c r="E839" s="885" t="s">
        <v>2086</v>
      </c>
      <c r="F839" s="885" t="s">
        <v>2086</v>
      </c>
      <c r="G839" s="885" t="s">
        <v>2086</v>
      </c>
      <c r="H839" s="885" t="s">
        <v>2086</v>
      </c>
      <c r="I839" s="885" t="s">
        <v>2086</v>
      </c>
      <c r="J839" s="885" t="s">
        <v>2086</v>
      </c>
    </row>
    <row r="840" spans="2:10">
      <c r="B840" s="82" t="s">
        <v>119</v>
      </c>
      <c r="C840" s="885" t="s">
        <v>2086</v>
      </c>
      <c r="D840" s="885" t="s">
        <v>2086</v>
      </c>
      <c r="E840" s="885" t="s">
        <v>2086</v>
      </c>
      <c r="F840" s="885" t="s">
        <v>2086</v>
      </c>
      <c r="G840" s="885" t="s">
        <v>2086</v>
      </c>
      <c r="H840" s="885" t="s">
        <v>2086</v>
      </c>
      <c r="I840" s="885" t="s">
        <v>2086</v>
      </c>
      <c r="J840" s="885" t="s">
        <v>2086</v>
      </c>
    </row>
    <row r="841" spans="2:10">
      <c r="B841" s="82" t="s">
        <v>172</v>
      </c>
      <c r="C841" s="885" t="s">
        <v>2086</v>
      </c>
      <c r="D841" s="885" t="s">
        <v>2086</v>
      </c>
      <c r="E841" s="885" t="s">
        <v>2086</v>
      </c>
      <c r="F841" s="885" t="s">
        <v>2086</v>
      </c>
      <c r="G841" s="885" t="s">
        <v>2086</v>
      </c>
      <c r="H841" s="885" t="s">
        <v>2086</v>
      </c>
      <c r="I841" s="885" t="s">
        <v>2086</v>
      </c>
      <c r="J841" s="885" t="s">
        <v>2086</v>
      </c>
    </row>
    <row r="842" spans="2:10">
      <c r="B842" s="81" t="s">
        <v>118</v>
      </c>
      <c r="C842" s="885" t="s">
        <v>2086</v>
      </c>
      <c r="D842" s="885" t="s">
        <v>2086</v>
      </c>
      <c r="E842" s="885" t="s">
        <v>2086</v>
      </c>
      <c r="F842" s="885" t="s">
        <v>2086</v>
      </c>
      <c r="G842" s="885" t="s">
        <v>2086</v>
      </c>
      <c r="H842" s="885" t="s">
        <v>2086</v>
      </c>
      <c r="I842" s="885" t="s">
        <v>2086</v>
      </c>
      <c r="J842" s="885" t="s">
        <v>2086</v>
      </c>
    </row>
    <row r="843" spans="2:10">
      <c r="B843" s="81" t="s">
        <v>117</v>
      </c>
      <c r="C843" s="885" t="s">
        <v>2086</v>
      </c>
      <c r="D843" s="885" t="s">
        <v>2086</v>
      </c>
      <c r="E843" s="885" t="s">
        <v>2086</v>
      </c>
      <c r="F843" s="885" t="s">
        <v>2086</v>
      </c>
      <c r="G843" s="885" t="s">
        <v>2086</v>
      </c>
      <c r="H843" s="885" t="s">
        <v>2086</v>
      </c>
      <c r="I843" s="885" t="s">
        <v>2086</v>
      </c>
      <c r="J843" s="885" t="s">
        <v>2086</v>
      </c>
    </row>
    <row r="844" spans="2:10">
      <c r="B844" s="81"/>
      <c r="C844" s="889"/>
      <c r="D844" s="889"/>
      <c r="E844" s="889"/>
      <c r="F844" s="889"/>
      <c r="G844" s="889"/>
      <c r="H844" s="889"/>
      <c r="I844" s="889"/>
      <c r="J844" s="889"/>
    </row>
    <row r="845" spans="2:10" ht="26">
      <c r="B845" s="83" t="s">
        <v>173</v>
      </c>
      <c r="C845" s="889"/>
      <c r="D845" s="889"/>
      <c r="E845" s="889"/>
      <c r="F845" s="889"/>
      <c r="G845" s="889"/>
      <c r="H845" s="889"/>
      <c r="I845" s="889"/>
      <c r="J845" s="889"/>
    </row>
    <row r="846" spans="2:10">
      <c r="B846" s="81" t="s">
        <v>121</v>
      </c>
      <c r="C846" s="885" t="s">
        <v>2086</v>
      </c>
      <c r="D846" s="885" t="s">
        <v>2086</v>
      </c>
      <c r="E846" s="885" t="s">
        <v>2086</v>
      </c>
      <c r="F846" s="885" t="s">
        <v>2086</v>
      </c>
      <c r="G846" s="885" t="s">
        <v>2086</v>
      </c>
      <c r="H846" s="885" t="s">
        <v>2086</v>
      </c>
      <c r="I846" s="885" t="s">
        <v>2086</v>
      </c>
      <c r="J846" s="885" t="s">
        <v>2086</v>
      </c>
    </row>
    <row r="847" spans="2:10">
      <c r="B847" s="82" t="s">
        <v>120</v>
      </c>
      <c r="C847" s="885" t="s">
        <v>2086</v>
      </c>
      <c r="D847" s="885" t="s">
        <v>2086</v>
      </c>
      <c r="E847" s="885" t="s">
        <v>2086</v>
      </c>
      <c r="F847" s="885" t="s">
        <v>2086</v>
      </c>
      <c r="G847" s="885" t="s">
        <v>2086</v>
      </c>
      <c r="H847" s="885" t="s">
        <v>2086</v>
      </c>
      <c r="I847" s="885" t="s">
        <v>2086</v>
      </c>
      <c r="J847" s="885" t="s">
        <v>2086</v>
      </c>
    </row>
    <row r="848" spans="2:10">
      <c r="B848" s="82" t="s">
        <v>119</v>
      </c>
      <c r="C848" s="885" t="s">
        <v>2086</v>
      </c>
      <c r="D848" s="885" t="s">
        <v>2086</v>
      </c>
      <c r="E848" s="885" t="s">
        <v>2086</v>
      </c>
      <c r="F848" s="885" t="s">
        <v>2086</v>
      </c>
      <c r="G848" s="885" t="s">
        <v>2086</v>
      </c>
      <c r="H848" s="885" t="s">
        <v>2086</v>
      </c>
      <c r="I848" s="885" t="s">
        <v>2086</v>
      </c>
      <c r="J848" s="885" t="s">
        <v>2086</v>
      </c>
    </row>
    <row r="849" spans="2:10">
      <c r="B849" s="82" t="s">
        <v>197</v>
      </c>
      <c r="C849" s="885" t="s">
        <v>2086</v>
      </c>
      <c r="D849" s="885" t="s">
        <v>2086</v>
      </c>
      <c r="E849" s="885" t="s">
        <v>2086</v>
      </c>
      <c r="F849" s="885" t="s">
        <v>2086</v>
      </c>
      <c r="G849" s="885" t="s">
        <v>2086</v>
      </c>
      <c r="H849" s="885" t="s">
        <v>2086</v>
      </c>
      <c r="I849" s="885" t="s">
        <v>2086</v>
      </c>
      <c r="J849" s="885" t="s">
        <v>2086</v>
      </c>
    </row>
    <row r="850" spans="2:10">
      <c r="B850" s="81" t="s">
        <v>118</v>
      </c>
      <c r="C850" s="885" t="s">
        <v>2086</v>
      </c>
      <c r="D850" s="885" t="s">
        <v>2086</v>
      </c>
      <c r="E850" s="885" t="s">
        <v>2086</v>
      </c>
      <c r="F850" s="885" t="s">
        <v>2086</v>
      </c>
      <c r="G850" s="885" t="s">
        <v>2086</v>
      </c>
      <c r="H850" s="885" t="s">
        <v>2086</v>
      </c>
      <c r="I850" s="885" t="s">
        <v>2086</v>
      </c>
      <c r="J850" s="885" t="s">
        <v>2086</v>
      </c>
    </row>
    <row r="851" spans="2:10">
      <c r="B851" s="81" t="s">
        <v>117</v>
      </c>
      <c r="C851" s="885" t="s">
        <v>2086</v>
      </c>
      <c r="D851" s="885" t="s">
        <v>2086</v>
      </c>
      <c r="E851" s="885" t="s">
        <v>2086</v>
      </c>
      <c r="F851" s="885" t="s">
        <v>2086</v>
      </c>
      <c r="G851" s="885" t="s">
        <v>2086</v>
      </c>
      <c r="H851" s="885" t="s">
        <v>2086</v>
      </c>
      <c r="I851" s="885" t="s">
        <v>2086</v>
      </c>
      <c r="J851" s="885" t="s">
        <v>2086</v>
      </c>
    </row>
    <row r="852" spans="2:10">
      <c r="B852" s="81"/>
      <c r="C852" s="889"/>
      <c r="D852" s="889"/>
      <c r="E852" s="889"/>
      <c r="F852" s="889"/>
      <c r="G852" s="889"/>
      <c r="H852" s="889"/>
      <c r="I852" s="889"/>
      <c r="J852" s="889"/>
    </row>
    <row r="853" spans="2:10" ht="25">
      <c r="B853" s="71" t="s">
        <v>171</v>
      </c>
      <c r="C853" s="886" t="s">
        <v>2086</v>
      </c>
      <c r="D853" s="886" t="s">
        <v>2086</v>
      </c>
      <c r="E853" s="886" t="s">
        <v>2086</v>
      </c>
      <c r="F853" s="886" t="s">
        <v>2086</v>
      </c>
      <c r="G853" s="886" t="s">
        <v>2086</v>
      </c>
      <c r="H853" s="886" t="s">
        <v>2086</v>
      </c>
      <c r="I853" s="886" t="s">
        <v>2086</v>
      </c>
      <c r="J853" s="886" t="s">
        <v>2086</v>
      </c>
    </row>
    <row r="854" spans="2:10">
      <c r="B854" s="52" t="s">
        <v>169</v>
      </c>
      <c r="C854" s="885" t="s">
        <v>2086</v>
      </c>
      <c r="D854" s="885" t="s">
        <v>2086</v>
      </c>
      <c r="E854" s="885" t="s">
        <v>2086</v>
      </c>
      <c r="F854" s="885" t="s">
        <v>2086</v>
      </c>
      <c r="G854" s="885" t="s">
        <v>2086</v>
      </c>
      <c r="H854" s="885" t="s">
        <v>2086</v>
      </c>
      <c r="I854" s="885" t="s">
        <v>2086</v>
      </c>
      <c r="J854" s="885" t="s">
        <v>2086</v>
      </c>
    </row>
    <row r="855" spans="2:10">
      <c r="B855" s="52" t="s">
        <v>168</v>
      </c>
      <c r="C855" s="885" t="s">
        <v>2086</v>
      </c>
      <c r="D855" s="885" t="s">
        <v>2086</v>
      </c>
      <c r="E855" s="885" t="s">
        <v>2086</v>
      </c>
      <c r="F855" s="885" t="s">
        <v>2086</v>
      </c>
      <c r="G855" s="885" t="s">
        <v>2086</v>
      </c>
      <c r="H855" s="885" t="s">
        <v>2086</v>
      </c>
      <c r="I855" s="885" t="s">
        <v>2086</v>
      </c>
      <c r="J855" s="885" t="s">
        <v>2086</v>
      </c>
    </row>
    <row r="856" spans="2:10">
      <c r="B856" s="52" t="s">
        <v>167</v>
      </c>
      <c r="C856" s="885" t="s">
        <v>2086</v>
      </c>
      <c r="D856" s="885" t="s">
        <v>2086</v>
      </c>
      <c r="E856" s="885" t="s">
        <v>2086</v>
      </c>
      <c r="F856" s="885" t="s">
        <v>2086</v>
      </c>
      <c r="G856" s="885" t="s">
        <v>2086</v>
      </c>
      <c r="H856" s="885" t="s">
        <v>2086</v>
      </c>
      <c r="I856" s="885" t="s">
        <v>2086</v>
      </c>
      <c r="J856" s="885" t="s">
        <v>2086</v>
      </c>
    </row>
    <row r="857" spans="2:10">
      <c r="B857" s="52" t="s">
        <v>166</v>
      </c>
      <c r="C857" s="885" t="s">
        <v>2086</v>
      </c>
      <c r="D857" s="885" t="s">
        <v>2086</v>
      </c>
      <c r="E857" s="885" t="s">
        <v>2086</v>
      </c>
      <c r="F857" s="885" t="s">
        <v>2086</v>
      </c>
      <c r="G857" s="885" t="s">
        <v>2086</v>
      </c>
      <c r="H857" s="885" t="s">
        <v>2086</v>
      </c>
      <c r="I857" s="885" t="s">
        <v>2086</v>
      </c>
      <c r="J857" s="885" t="s">
        <v>2086</v>
      </c>
    </row>
    <row r="858" spans="2:10">
      <c r="B858" s="52" t="s">
        <v>165</v>
      </c>
      <c r="C858" s="885" t="s">
        <v>2086</v>
      </c>
      <c r="D858" s="885" t="s">
        <v>2086</v>
      </c>
      <c r="E858" s="885" t="s">
        <v>2086</v>
      </c>
      <c r="F858" s="885" t="s">
        <v>2086</v>
      </c>
      <c r="G858" s="885" t="s">
        <v>2086</v>
      </c>
      <c r="H858" s="885" t="s">
        <v>2086</v>
      </c>
      <c r="I858" s="885" t="s">
        <v>2086</v>
      </c>
      <c r="J858" s="885" t="s">
        <v>2086</v>
      </c>
    </row>
    <row r="859" spans="2:10">
      <c r="B859" s="52" t="s">
        <v>164</v>
      </c>
      <c r="C859" s="885" t="s">
        <v>2086</v>
      </c>
      <c r="D859" s="885" t="s">
        <v>2086</v>
      </c>
      <c r="E859" s="885" t="s">
        <v>2086</v>
      </c>
      <c r="F859" s="885" t="s">
        <v>2086</v>
      </c>
      <c r="G859" s="885" t="s">
        <v>2086</v>
      </c>
      <c r="H859" s="885" t="s">
        <v>2086</v>
      </c>
      <c r="I859" s="885" t="s">
        <v>2086</v>
      </c>
      <c r="J859" s="885" t="s">
        <v>2086</v>
      </c>
    </row>
    <row r="860" spans="2:10">
      <c r="B860" s="52"/>
      <c r="C860" s="302"/>
      <c r="D860" s="302"/>
      <c r="E860" s="302"/>
      <c r="F860" s="302"/>
      <c r="G860" s="302"/>
      <c r="H860" s="302"/>
      <c r="I860" s="302"/>
      <c r="J860" s="302"/>
    </row>
    <row r="861" spans="2:10">
      <c r="B861" s="80" t="s">
        <v>170</v>
      </c>
      <c r="C861" s="321">
        <v>0</v>
      </c>
      <c r="D861" s="321">
        <v>0</v>
      </c>
      <c r="E861" s="321">
        <v>0</v>
      </c>
      <c r="F861" s="321">
        <v>0</v>
      </c>
      <c r="G861" s="321">
        <v>0</v>
      </c>
      <c r="H861" s="321">
        <v>0</v>
      </c>
      <c r="I861" s="321">
        <v>0</v>
      </c>
      <c r="J861" s="321">
        <v>0</v>
      </c>
    </row>
    <row r="862" spans="2:10">
      <c r="B862" s="52" t="s">
        <v>169</v>
      </c>
      <c r="C862" s="885" t="s">
        <v>2086</v>
      </c>
      <c r="D862" s="885" t="s">
        <v>2086</v>
      </c>
      <c r="E862" s="885" t="s">
        <v>2086</v>
      </c>
      <c r="F862" s="885" t="s">
        <v>2086</v>
      </c>
      <c r="G862" s="885" t="s">
        <v>2086</v>
      </c>
      <c r="H862" s="885" t="s">
        <v>2086</v>
      </c>
      <c r="I862" s="885" t="s">
        <v>2086</v>
      </c>
      <c r="J862" s="885" t="s">
        <v>2086</v>
      </c>
    </row>
    <row r="863" spans="2:10">
      <c r="B863" s="52" t="s">
        <v>168</v>
      </c>
      <c r="C863" s="885" t="s">
        <v>2086</v>
      </c>
      <c r="D863" s="885" t="s">
        <v>2086</v>
      </c>
      <c r="E863" s="885" t="s">
        <v>2086</v>
      </c>
      <c r="F863" s="885" t="s">
        <v>2086</v>
      </c>
      <c r="G863" s="885" t="s">
        <v>2086</v>
      </c>
      <c r="H863" s="885" t="s">
        <v>2086</v>
      </c>
      <c r="I863" s="885" t="s">
        <v>2086</v>
      </c>
      <c r="J863" s="885" t="s">
        <v>2086</v>
      </c>
    </row>
    <row r="864" spans="2:10">
      <c r="B864" s="52" t="s">
        <v>167</v>
      </c>
      <c r="C864" s="885" t="s">
        <v>2086</v>
      </c>
      <c r="D864" s="885" t="s">
        <v>2086</v>
      </c>
      <c r="E864" s="885" t="s">
        <v>2086</v>
      </c>
      <c r="F864" s="885" t="s">
        <v>2086</v>
      </c>
      <c r="G864" s="885" t="s">
        <v>2086</v>
      </c>
      <c r="H864" s="885" t="s">
        <v>2086</v>
      </c>
      <c r="I864" s="885" t="s">
        <v>2086</v>
      </c>
      <c r="J864" s="885" t="s">
        <v>2086</v>
      </c>
    </row>
    <row r="865" spans="2:10">
      <c r="B865" s="52" t="s">
        <v>166</v>
      </c>
      <c r="C865" s="885" t="s">
        <v>2086</v>
      </c>
      <c r="D865" s="885" t="s">
        <v>2086</v>
      </c>
      <c r="E865" s="885" t="s">
        <v>2086</v>
      </c>
      <c r="F865" s="885" t="s">
        <v>2086</v>
      </c>
      <c r="G865" s="885" t="s">
        <v>2086</v>
      </c>
      <c r="H865" s="885" t="s">
        <v>2086</v>
      </c>
      <c r="I865" s="885" t="s">
        <v>2086</v>
      </c>
      <c r="J865" s="885" t="s">
        <v>2086</v>
      </c>
    </row>
    <row r="866" spans="2:10">
      <c r="B866" s="52" t="s">
        <v>165</v>
      </c>
      <c r="C866" s="885" t="s">
        <v>2086</v>
      </c>
      <c r="D866" s="885" t="s">
        <v>2086</v>
      </c>
      <c r="E866" s="885" t="s">
        <v>2086</v>
      </c>
      <c r="F866" s="885" t="s">
        <v>2086</v>
      </c>
      <c r="G866" s="885" t="s">
        <v>2086</v>
      </c>
      <c r="H866" s="885" t="s">
        <v>2086</v>
      </c>
      <c r="I866" s="885" t="s">
        <v>2086</v>
      </c>
      <c r="J866" s="885" t="s">
        <v>2086</v>
      </c>
    </row>
    <row r="867" spans="2:10" ht="15" thickBot="1">
      <c r="B867" s="52" t="s">
        <v>164</v>
      </c>
      <c r="C867" s="885" t="s">
        <v>2086</v>
      </c>
      <c r="D867" s="885" t="s">
        <v>2086</v>
      </c>
      <c r="E867" s="885" t="s">
        <v>2086</v>
      </c>
      <c r="F867" s="885" t="s">
        <v>2086</v>
      </c>
      <c r="G867" s="885" t="s">
        <v>2086</v>
      </c>
      <c r="H867" s="885" t="s">
        <v>2086</v>
      </c>
      <c r="I867" s="885" t="s">
        <v>2086</v>
      </c>
      <c r="J867" s="885" t="s">
        <v>2086</v>
      </c>
    </row>
    <row r="868" spans="2:10" ht="15" thickTop="1">
      <c r="B868" s="2025" t="s">
        <v>1405</v>
      </c>
      <c r="C868" s="2025"/>
      <c r="D868" s="2025"/>
      <c r="E868" s="2025"/>
      <c r="F868" s="2025"/>
      <c r="G868" s="2025"/>
      <c r="H868" s="2025"/>
      <c r="I868" s="2025"/>
      <c r="J868" s="2025"/>
    </row>
    <row r="869" spans="2:10">
      <c r="B869" s="108"/>
      <c r="C869" s="108"/>
      <c r="D869" s="108"/>
      <c r="E869" s="108"/>
      <c r="F869" s="108"/>
      <c r="G869" s="108"/>
      <c r="H869" s="108"/>
      <c r="I869" s="108"/>
      <c r="J869" s="108"/>
    </row>
    <row r="870" spans="2:10">
      <c r="B870" s="64"/>
      <c r="C870" s="302"/>
      <c r="D870" s="302"/>
      <c r="E870" s="302"/>
      <c r="F870" s="302"/>
      <c r="G870" s="302"/>
      <c r="H870" s="302"/>
      <c r="I870" s="302"/>
      <c r="J870" s="302"/>
    </row>
    <row r="871" spans="2:10">
      <c r="B871" s="2097" t="s">
        <v>161</v>
      </c>
      <c r="C871" s="2097"/>
      <c r="D871" s="2097"/>
      <c r="E871" s="2097"/>
      <c r="F871" s="2097"/>
      <c r="G871" s="2097"/>
      <c r="H871" s="2097"/>
      <c r="I871" s="2097"/>
      <c r="J871" s="2097"/>
    </row>
    <row r="872" spans="2:10">
      <c r="B872" s="12" t="s">
        <v>160</v>
      </c>
      <c r="C872" s="302"/>
      <c r="D872" s="302"/>
      <c r="E872" s="302"/>
      <c r="F872" s="302"/>
      <c r="G872" s="302"/>
      <c r="H872" s="302"/>
      <c r="I872" s="302"/>
      <c r="J872" s="302"/>
    </row>
    <row r="873" spans="2:10">
      <c r="B873" s="77" t="s">
        <v>269</v>
      </c>
      <c r="C873" s="302"/>
      <c r="D873" s="302"/>
      <c r="E873" s="302"/>
      <c r="F873" s="302"/>
      <c r="G873" s="302"/>
      <c r="H873" s="302"/>
      <c r="I873" s="302"/>
      <c r="J873" s="302"/>
    </row>
    <row r="874" spans="2:10">
      <c r="B874" s="76"/>
      <c r="C874" s="302"/>
      <c r="D874" s="302"/>
      <c r="E874" s="302"/>
      <c r="F874" s="302"/>
      <c r="G874" s="302"/>
      <c r="H874" s="302"/>
      <c r="I874" s="302"/>
      <c r="J874" s="302"/>
    </row>
    <row r="875" spans="2:10">
      <c r="B875" s="61"/>
      <c r="C875" s="850">
        <v>2014</v>
      </c>
      <c r="D875" s="850">
        <v>2015</v>
      </c>
      <c r="E875" s="850">
        <v>2016</v>
      </c>
      <c r="F875" s="850">
        <v>2017</v>
      </c>
      <c r="G875" s="850">
        <v>2018</v>
      </c>
      <c r="H875" s="850">
        <v>2019</v>
      </c>
      <c r="I875" s="850">
        <v>2020</v>
      </c>
      <c r="J875" s="850">
        <v>2021</v>
      </c>
    </row>
    <row r="876" spans="2:10">
      <c r="B876" s="59" t="s">
        <v>1332</v>
      </c>
      <c r="C876" s="302">
        <f>C880+C887</f>
        <v>36</v>
      </c>
      <c r="D876" s="302">
        <f t="shared" ref="D876:J876" si="14">D880+D887</f>
        <v>37</v>
      </c>
      <c r="E876" s="302">
        <f t="shared" si="14"/>
        <v>39</v>
      </c>
      <c r="F876" s="302">
        <f t="shared" si="14"/>
        <v>39</v>
      </c>
      <c r="G876" s="302">
        <f t="shared" si="14"/>
        <v>43</v>
      </c>
      <c r="H876" s="302">
        <f t="shared" si="14"/>
        <v>40</v>
      </c>
      <c r="I876" s="302">
        <f t="shared" si="14"/>
        <v>39</v>
      </c>
      <c r="J876" s="302">
        <f t="shared" si="14"/>
        <v>40</v>
      </c>
    </row>
    <row r="877" spans="2:10">
      <c r="B877" s="71" t="s">
        <v>516</v>
      </c>
      <c r="C877" s="890">
        <v>0</v>
      </c>
      <c r="D877" s="890">
        <v>0</v>
      </c>
      <c r="E877" s="890">
        <v>0</v>
      </c>
      <c r="F877" s="890">
        <v>0</v>
      </c>
      <c r="G877" s="890">
        <v>0</v>
      </c>
      <c r="H877" s="890">
        <v>0</v>
      </c>
      <c r="I877" s="890">
        <v>0</v>
      </c>
      <c r="J877" s="890">
        <v>0</v>
      </c>
    </row>
    <row r="878" spans="2:10">
      <c r="B878" s="52" t="s">
        <v>150</v>
      </c>
      <c r="C878" s="890">
        <v>0</v>
      </c>
      <c r="D878" s="890">
        <v>0</v>
      </c>
      <c r="E878" s="890">
        <v>0</v>
      </c>
      <c r="F878" s="890">
        <v>0</v>
      </c>
      <c r="G878" s="890">
        <v>0</v>
      </c>
      <c r="H878" s="890">
        <v>0</v>
      </c>
      <c r="I878" s="890">
        <v>0</v>
      </c>
      <c r="J878" s="890">
        <v>0</v>
      </c>
    </row>
    <row r="879" spans="2:10">
      <c r="B879" s="52" t="s">
        <v>149</v>
      </c>
      <c r="C879" s="890">
        <v>0</v>
      </c>
      <c r="D879" s="890">
        <v>0</v>
      </c>
      <c r="E879" s="890">
        <v>0</v>
      </c>
      <c r="F879" s="890">
        <v>0</v>
      </c>
      <c r="G879" s="890">
        <v>0</v>
      </c>
      <c r="H879" s="890">
        <v>0</v>
      </c>
      <c r="I879" s="890">
        <v>0</v>
      </c>
      <c r="J879" s="890">
        <v>0</v>
      </c>
    </row>
    <row r="880" spans="2:10">
      <c r="B880" s="52" t="s">
        <v>148</v>
      </c>
      <c r="C880" s="890">
        <v>17</v>
      </c>
      <c r="D880" s="890">
        <v>20</v>
      </c>
      <c r="E880" s="890">
        <v>20</v>
      </c>
      <c r="F880" s="890">
        <v>20</v>
      </c>
      <c r="G880" s="890">
        <v>20</v>
      </c>
      <c r="H880" s="890">
        <v>20</v>
      </c>
      <c r="I880" s="890">
        <v>19</v>
      </c>
      <c r="J880" s="890">
        <v>17</v>
      </c>
    </row>
    <row r="881" spans="2:10">
      <c r="B881" s="52" t="s">
        <v>147</v>
      </c>
      <c r="C881" s="890">
        <v>0</v>
      </c>
      <c r="D881" s="890">
        <v>0</v>
      </c>
      <c r="E881" s="890">
        <v>0</v>
      </c>
      <c r="F881" s="890">
        <v>0</v>
      </c>
      <c r="G881" s="890">
        <v>0</v>
      </c>
      <c r="H881" s="890">
        <v>0</v>
      </c>
      <c r="I881" s="890">
        <v>0</v>
      </c>
      <c r="J881" s="890">
        <v>0</v>
      </c>
    </row>
    <row r="882" spans="2:10" ht="14.5" customHeight="1">
      <c r="B882" s="52" t="s">
        <v>146</v>
      </c>
      <c r="C882" s="890">
        <v>0</v>
      </c>
      <c r="D882" s="890">
        <v>0</v>
      </c>
      <c r="E882" s="890">
        <v>0</v>
      </c>
      <c r="F882" s="890">
        <v>0</v>
      </c>
      <c r="G882" s="890">
        <v>0</v>
      </c>
      <c r="H882" s="890">
        <v>0</v>
      </c>
      <c r="I882" s="890">
        <v>0</v>
      </c>
      <c r="J882" s="890">
        <v>0</v>
      </c>
    </row>
    <row r="883" spans="2:10">
      <c r="B883" s="52"/>
      <c r="C883" s="891"/>
      <c r="D883" s="891"/>
      <c r="E883" s="891"/>
      <c r="F883" s="891"/>
      <c r="G883" s="891"/>
      <c r="H883" s="891"/>
      <c r="I883" s="891"/>
      <c r="J883" s="891"/>
    </row>
    <row r="884" spans="2:10">
      <c r="B884" s="71" t="s">
        <v>152</v>
      </c>
      <c r="C884" s="890">
        <v>0</v>
      </c>
      <c r="D884" s="890">
        <v>0</v>
      </c>
      <c r="E884" s="890">
        <v>0</v>
      </c>
      <c r="F884" s="890">
        <v>0</v>
      </c>
      <c r="G884" s="890">
        <v>0</v>
      </c>
      <c r="H884" s="890">
        <v>0</v>
      </c>
      <c r="I884" s="890">
        <v>0</v>
      </c>
      <c r="J884" s="890">
        <v>0</v>
      </c>
    </row>
    <row r="885" spans="2:10">
      <c r="B885" s="52" t="s">
        <v>150</v>
      </c>
      <c r="C885" s="890">
        <v>0</v>
      </c>
      <c r="D885" s="890">
        <v>0</v>
      </c>
      <c r="E885" s="890">
        <v>0</v>
      </c>
      <c r="F885" s="890">
        <v>0</v>
      </c>
      <c r="G885" s="890">
        <v>0</v>
      </c>
      <c r="H885" s="890">
        <v>0</v>
      </c>
      <c r="I885" s="890">
        <v>0</v>
      </c>
      <c r="J885" s="890">
        <v>0</v>
      </c>
    </row>
    <row r="886" spans="2:10">
      <c r="B886" s="52" t="s">
        <v>149</v>
      </c>
      <c r="C886" s="890">
        <v>0</v>
      </c>
      <c r="D886" s="890">
        <v>0</v>
      </c>
      <c r="E886" s="890">
        <v>0</v>
      </c>
      <c r="F886" s="890">
        <v>0</v>
      </c>
      <c r="G886" s="890">
        <v>0</v>
      </c>
      <c r="H886" s="890">
        <v>0</v>
      </c>
      <c r="I886" s="890">
        <v>0</v>
      </c>
      <c r="J886" s="890">
        <v>0</v>
      </c>
    </row>
    <row r="887" spans="2:10">
      <c r="B887" s="52" t="s">
        <v>148</v>
      </c>
      <c r="C887" s="890">
        <v>19</v>
      </c>
      <c r="D887" s="890">
        <v>17</v>
      </c>
      <c r="E887" s="890">
        <v>19</v>
      </c>
      <c r="F887" s="890">
        <v>19</v>
      </c>
      <c r="G887" s="890">
        <v>23</v>
      </c>
      <c r="H887" s="890">
        <v>20</v>
      </c>
      <c r="I887" s="890">
        <v>20</v>
      </c>
      <c r="J887" s="890">
        <v>23</v>
      </c>
    </row>
    <row r="888" spans="2:10">
      <c r="B888" s="52" t="s">
        <v>147</v>
      </c>
      <c r="C888" s="890">
        <v>0</v>
      </c>
      <c r="D888" s="890">
        <v>0</v>
      </c>
      <c r="E888" s="890">
        <v>0</v>
      </c>
      <c r="F888" s="890">
        <v>0</v>
      </c>
      <c r="G888" s="890">
        <v>0</v>
      </c>
      <c r="H888" s="890">
        <v>0</v>
      </c>
      <c r="I888" s="890">
        <v>0</v>
      </c>
      <c r="J888" s="890">
        <v>0</v>
      </c>
    </row>
    <row r="889" spans="2:10">
      <c r="B889" s="52" t="s">
        <v>146</v>
      </c>
      <c r="C889" s="890">
        <v>0</v>
      </c>
      <c r="D889" s="890">
        <v>0</v>
      </c>
      <c r="E889" s="890">
        <v>0</v>
      </c>
      <c r="F889" s="890">
        <v>0</v>
      </c>
      <c r="G889" s="890">
        <v>0</v>
      </c>
      <c r="H889" s="890">
        <v>0</v>
      </c>
      <c r="I889" s="890">
        <v>0</v>
      </c>
      <c r="J889" s="890">
        <v>0</v>
      </c>
    </row>
    <row r="890" spans="2:10">
      <c r="B890" s="52"/>
      <c r="C890" s="891"/>
      <c r="D890" s="891"/>
      <c r="E890" s="891"/>
      <c r="F890" s="891"/>
      <c r="G890" s="891"/>
      <c r="H890" s="891"/>
      <c r="I890" s="891"/>
      <c r="J890" s="891"/>
    </row>
    <row r="891" spans="2:10">
      <c r="B891" s="71" t="s">
        <v>151</v>
      </c>
      <c r="C891" s="890">
        <v>0</v>
      </c>
      <c r="D891" s="890">
        <v>0</v>
      </c>
      <c r="E891" s="890">
        <v>0</v>
      </c>
      <c r="F891" s="890">
        <v>0</v>
      </c>
      <c r="G891" s="890">
        <v>0</v>
      </c>
      <c r="H891" s="890">
        <v>0</v>
      </c>
      <c r="I891" s="890">
        <v>0</v>
      </c>
      <c r="J891" s="890">
        <v>0</v>
      </c>
    </row>
    <row r="892" spans="2:10">
      <c r="B892" s="52" t="s">
        <v>150</v>
      </c>
      <c r="C892" s="890">
        <v>0</v>
      </c>
      <c r="D892" s="890">
        <v>0</v>
      </c>
      <c r="E892" s="890">
        <v>0</v>
      </c>
      <c r="F892" s="890">
        <v>0</v>
      </c>
      <c r="G892" s="890">
        <v>0</v>
      </c>
      <c r="H892" s="890">
        <v>0</v>
      </c>
      <c r="I892" s="890">
        <v>0</v>
      </c>
      <c r="J892" s="890">
        <v>0</v>
      </c>
    </row>
    <row r="893" spans="2:10">
      <c r="B893" s="52" t="s">
        <v>149</v>
      </c>
      <c r="C893" s="890">
        <v>0</v>
      </c>
      <c r="D893" s="890">
        <v>0</v>
      </c>
      <c r="E893" s="890">
        <v>0</v>
      </c>
      <c r="F893" s="890">
        <v>0</v>
      </c>
      <c r="G893" s="890">
        <v>0</v>
      </c>
      <c r="H893" s="890">
        <v>0</v>
      </c>
      <c r="I893" s="890">
        <v>0</v>
      </c>
      <c r="J893" s="890">
        <v>0</v>
      </c>
    </row>
    <row r="894" spans="2:10">
      <c r="B894" s="52" t="s">
        <v>148</v>
      </c>
      <c r="C894" s="890">
        <v>0</v>
      </c>
      <c r="D894" s="890">
        <v>0</v>
      </c>
      <c r="E894" s="890">
        <v>0</v>
      </c>
      <c r="F894" s="890">
        <v>0</v>
      </c>
      <c r="G894" s="890">
        <v>0</v>
      </c>
      <c r="H894" s="890">
        <v>0</v>
      </c>
      <c r="I894" s="890">
        <v>0</v>
      </c>
      <c r="J894" s="890">
        <v>0</v>
      </c>
    </row>
    <row r="895" spans="2:10">
      <c r="B895" s="52" t="s">
        <v>147</v>
      </c>
      <c r="C895" s="890">
        <v>0</v>
      </c>
      <c r="D895" s="890">
        <v>0</v>
      </c>
      <c r="E895" s="890">
        <v>0</v>
      </c>
      <c r="F895" s="890">
        <v>0</v>
      </c>
      <c r="G895" s="890">
        <v>0</v>
      </c>
      <c r="H895" s="890">
        <v>0</v>
      </c>
      <c r="I895" s="890">
        <v>0</v>
      </c>
      <c r="J895" s="890">
        <v>0</v>
      </c>
    </row>
    <row r="896" spans="2:10" ht="15" thickBot="1">
      <c r="B896" s="52" t="s">
        <v>146</v>
      </c>
      <c r="C896" s="890">
        <v>0</v>
      </c>
      <c r="D896" s="890">
        <v>0</v>
      </c>
      <c r="E896" s="890">
        <v>0</v>
      </c>
      <c r="F896" s="890">
        <v>0</v>
      </c>
      <c r="G896" s="890">
        <v>0</v>
      </c>
      <c r="H896" s="890">
        <v>0</v>
      </c>
      <c r="I896" s="890">
        <v>0</v>
      </c>
      <c r="J896" s="890">
        <v>0</v>
      </c>
    </row>
    <row r="897" spans="2:10" ht="15" thickTop="1">
      <c r="B897" s="2025" t="s">
        <v>1457</v>
      </c>
      <c r="C897" s="2025"/>
      <c r="D897" s="2025"/>
      <c r="E897" s="2025"/>
      <c r="F897" s="2025"/>
      <c r="G897" s="2025"/>
      <c r="H897" s="2025"/>
      <c r="I897" s="2025"/>
      <c r="J897" s="2025"/>
    </row>
    <row r="898" spans="2:10">
      <c r="B898" s="62"/>
      <c r="C898" s="302"/>
      <c r="D898" s="302"/>
      <c r="E898" s="302"/>
      <c r="F898" s="302"/>
      <c r="G898" s="302"/>
      <c r="H898" s="302"/>
      <c r="I898" s="302"/>
      <c r="J898" s="302"/>
    </row>
    <row r="899" spans="2:10">
      <c r="B899" s="2097" t="s">
        <v>144</v>
      </c>
      <c r="C899" s="2097"/>
      <c r="D899" s="2097"/>
      <c r="E899" s="2097"/>
      <c r="F899" s="2097"/>
      <c r="G899" s="2097"/>
      <c r="H899" s="2097"/>
      <c r="I899" s="2097"/>
      <c r="J899" s="2097"/>
    </row>
    <row r="900" spans="2:10">
      <c r="B900" s="12" t="s">
        <v>143</v>
      </c>
      <c r="C900" s="302"/>
      <c r="D900" s="302"/>
      <c r="E900" s="302"/>
      <c r="F900" s="302"/>
      <c r="G900" s="302"/>
      <c r="H900" s="302"/>
      <c r="I900" s="302"/>
      <c r="J900" s="302"/>
    </row>
    <row r="901" spans="2:10">
      <c r="B901" s="62" t="s">
        <v>142</v>
      </c>
      <c r="C901" s="302"/>
      <c r="D901" s="302"/>
      <c r="E901" s="302"/>
      <c r="F901" s="302"/>
      <c r="G901" s="302"/>
      <c r="H901" s="302"/>
      <c r="I901" s="302"/>
      <c r="J901" s="302"/>
    </row>
    <row r="902" spans="2:10">
      <c r="B902" s="62"/>
      <c r="C902" s="302"/>
      <c r="D902" s="302"/>
      <c r="E902" s="302"/>
      <c r="F902" s="302"/>
      <c r="G902" s="302"/>
      <c r="H902" s="302"/>
      <c r="I902" s="302"/>
      <c r="J902" s="302"/>
    </row>
    <row r="903" spans="2:10">
      <c r="B903" s="61"/>
      <c r="C903" s="850">
        <v>2014</v>
      </c>
      <c r="D903" s="850">
        <v>2015</v>
      </c>
      <c r="E903" s="850">
        <v>2016</v>
      </c>
      <c r="F903" s="850">
        <v>2017</v>
      </c>
      <c r="G903" s="850">
        <v>2018</v>
      </c>
      <c r="H903" s="850">
        <v>2019</v>
      </c>
      <c r="I903" s="850">
        <v>2020</v>
      </c>
      <c r="J903" s="850">
        <v>2021</v>
      </c>
    </row>
    <row r="904" spans="2:10">
      <c r="B904" s="59" t="s">
        <v>1332</v>
      </c>
      <c r="C904" s="302"/>
      <c r="D904" s="302"/>
      <c r="E904" s="302"/>
      <c r="F904" s="302"/>
      <c r="G904" s="302"/>
      <c r="H904" s="302"/>
      <c r="I904" s="302"/>
      <c r="J904" s="302"/>
    </row>
    <row r="905" spans="2:10">
      <c r="B905" s="71" t="s">
        <v>141</v>
      </c>
      <c r="C905" s="140">
        <f>C906+C908+C909</f>
        <v>0.1</v>
      </c>
      <c r="D905" s="140">
        <f t="shared" ref="D905:H905" si="15">D906+D908+D909</f>
        <v>9.2999999999999999E-2</v>
      </c>
      <c r="E905" s="140">
        <f t="shared" si="15"/>
        <v>7.5999999999999998E-2</v>
      </c>
      <c r="F905" s="140">
        <f t="shared" si="15"/>
        <v>0.10100000000000001</v>
      </c>
      <c r="G905" s="140">
        <f t="shared" si="15"/>
        <v>0.11000000000000001</v>
      </c>
      <c r="H905" s="140">
        <f t="shared" si="15"/>
        <v>9.6000000000000002E-2</v>
      </c>
      <c r="I905" s="140">
        <f>I906+I908+I909</f>
        <v>0.13800000000000001</v>
      </c>
      <c r="J905" s="140">
        <f>J906+J908+J909</f>
        <v>0.15800000000000003</v>
      </c>
    </row>
    <row r="906" spans="2:10">
      <c r="B906" s="52" t="s">
        <v>121</v>
      </c>
      <c r="C906" s="853">
        <v>1.4E-2</v>
      </c>
      <c r="D906" s="853">
        <v>1.0999999999999999E-2</v>
      </c>
      <c r="E906" s="853">
        <v>1.0999999999999999E-2</v>
      </c>
      <c r="F906" s="853">
        <v>1.7999999999999999E-2</v>
      </c>
      <c r="G906" s="853">
        <v>1.7999999999999999E-2</v>
      </c>
      <c r="H906" s="853">
        <v>1.4999999999999999E-2</v>
      </c>
      <c r="I906" s="853">
        <v>0.03</v>
      </c>
      <c r="J906" s="853">
        <v>3.5000000000000003E-2</v>
      </c>
    </row>
    <row r="907" spans="2:10">
      <c r="B907" s="53" t="s">
        <v>120</v>
      </c>
      <c r="C907" s="853"/>
      <c r="D907" s="853"/>
      <c r="E907" s="853"/>
      <c r="F907" s="853"/>
      <c r="G907" s="853"/>
      <c r="H907" s="853"/>
      <c r="I907" s="853"/>
      <c r="J907" s="853"/>
    </row>
    <row r="908" spans="2:10">
      <c r="B908" s="52" t="s">
        <v>183</v>
      </c>
      <c r="C908" s="853">
        <v>8.1000000000000003E-2</v>
      </c>
      <c r="D908" s="853">
        <v>7.5999999999999998E-2</v>
      </c>
      <c r="E908" s="853">
        <v>5.8999999999999997E-2</v>
      </c>
      <c r="F908" s="853">
        <v>7.6999999999999999E-2</v>
      </c>
      <c r="G908" s="853">
        <v>8.4000000000000005E-2</v>
      </c>
      <c r="H908" s="853">
        <v>7.2999999999999995E-2</v>
      </c>
      <c r="I908" s="853">
        <v>0.1</v>
      </c>
      <c r="J908" s="853">
        <v>0.113</v>
      </c>
    </row>
    <row r="909" spans="2:10">
      <c r="B909" s="52" t="s">
        <v>118</v>
      </c>
      <c r="C909" s="853">
        <v>5.0000000000000001E-3</v>
      </c>
      <c r="D909" s="853">
        <v>6.0000000000000001E-3</v>
      </c>
      <c r="E909" s="853">
        <v>6.0000000000000001E-3</v>
      </c>
      <c r="F909" s="853">
        <v>6.0000000000000001E-3</v>
      </c>
      <c r="G909" s="853">
        <v>8.0000000000000002E-3</v>
      </c>
      <c r="H909" s="853">
        <v>8.0000000000000002E-3</v>
      </c>
      <c r="I909" s="853">
        <v>8.0000000000000002E-3</v>
      </c>
      <c r="J909" s="853">
        <v>0.01</v>
      </c>
    </row>
    <row r="910" spans="2:10" ht="15" thickBot="1">
      <c r="B910" s="52" t="s">
        <v>117</v>
      </c>
      <c r="C910" s="321"/>
      <c r="D910" s="321"/>
      <c r="E910" s="321"/>
      <c r="F910" s="321"/>
      <c r="G910" s="321"/>
      <c r="H910" s="321"/>
      <c r="I910" s="321"/>
      <c r="J910" s="321"/>
    </row>
    <row r="911" spans="2:10" ht="15" thickTop="1">
      <c r="B911" s="2025" t="s">
        <v>1457</v>
      </c>
      <c r="C911" s="2025"/>
      <c r="D911" s="2025"/>
      <c r="E911" s="2025"/>
      <c r="F911" s="2025"/>
      <c r="G911" s="2025"/>
      <c r="H911" s="2025"/>
      <c r="I911" s="2025"/>
      <c r="J911" s="2025"/>
    </row>
    <row r="912" spans="2:10">
      <c r="B912" s="2017"/>
      <c r="C912" s="2017"/>
      <c r="D912" s="2017"/>
      <c r="E912" s="2017"/>
      <c r="F912" s="2017"/>
      <c r="G912" s="2017"/>
      <c r="H912" s="2017"/>
      <c r="I912" s="2017"/>
      <c r="J912" s="2017"/>
    </row>
    <row r="913" spans="2:12">
      <c r="B913" s="64"/>
      <c r="C913" s="302"/>
      <c r="D913" s="302"/>
      <c r="E913" s="302"/>
      <c r="F913" s="302"/>
      <c r="G913" s="302"/>
      <c r="H913" s="302"/>
      <c r="I913" s="302"/>
      <c r="J913" s="302"/>
    </row>
    <row r="914" spans="2:12">
      <c r="B914" s="2097" t="s">
        <v>140</v>
      </c>
      <c r="C914" s="2097"/>
      <c r="D914" s="2097"/>
      <c r="E914" s="2097"/>
      <c r="F914" s="2097"/>
      <c r="G914" s="2097"/>
      <c r="H914" s="2097"/>
      <c r="I914" s="2097"/>
      <c r="J914" s="2097"/>
    </row>
    <row r="915" spans="2:12">
      <c r="B915" s="12" t="s">
        <v>139</v>
      </c>
      <c r="C915" s="302"/>
      <c r="D915" s="302"/>
      <c r="E915" s="302"/>
      <c r="F915" s="302"/>
      <c r="G915" s="302"/>
      <c r="H915" s="302"/>
      <c r="I915" s="302"/>
      <c r="J915" s="302"/>
    </row>
    <row r="916" spans="2:12">
      <c r="B916" s="62" t="s">
        <v>138</v>
      </c>
      <c r="C916" s="302"/>
      <c r="D916" s="302"/>
      <c r="E916" s="302"/>
      <c r="F916" s="302"/>
      <c r="G916" s="302"/>
      <c r="H916" s="302"/>
      <c r="I916" s="302"/>
      <c r="J916" s="302"/>
    </row>
    <row r="917" spans="2:12">
      <c r="B917" s="64"/>
      <c r="C917" s="302"/>
      <c r="D917" s="302"/>
      <c r="E917" s="302"/>
      <c r="F917" s="302"/>
      <c r="G917" s="302"/>
      <c r="H917" s="302"/>
      <c r="I917" s="302"/>
      <c r="J917" s="302"/>
    </row>
    <row r="918" spans="2:12">
      <c r="B918" s="61"/>
      <c r="C918" s="850">
        <v>2014</v>
      </c>
      <c r="D918" s="850">
        <v>2015</v>
      </c>
      <c r="E918" s="850">
        <v>2016</v>
      </c>
      <c r="F918" s="850">
        <v>2017</v>
      </c>
      <c r="G918" s="850">
        <v>2018</v>
      </c>
      <c r="H918" s="850">
        <v>2019</v>
      </c>
      <c r="I918" s="850">
        <v>2020</v>
      </c>
      <c r="J918" s="850">
        <v>2021</v>
      </c>
    </row>
    <row r="919" spans="2:12">
      <c r="B919" s="59" t="s">
        <v>1332</v>
      </c>
      <c r="C919" s="302"/>
      <c r="D919" s="302"/>
      <c r="E919" s="302"/>
      <c r="F919" s="302"/>
      <c r="G919" s="302"/>
      <c r="H919" s="302"/>
      <c r="I919" s="302"/>
      <c r="J919" s="302"/>
    </row>
    <row r="920" spans="2:12">
      <c r="B920" s="71" t="s">
        <v>137</v>
      </c>
      <c r="C920" s="307">
        <f>C921+C923+C924</f>
        <v>3990.7570000000001</v>
      </c>
      <c r="D920" s="307">
        <f t="shared" ref="D920:J920" si="16">D921+D923+D924</f>
        <v>4558.5320000000002</v>
      </c>
      <c r="E920" s="307">
        <f t="shared" si="16"/>
        <v>4558.9979999999996</v>
      </c>
      <c r="F920" s="307">
        <f t="shared" si="16"/>
        <v>5288.2669999999998</v>
      </c>
      <c r="G920" s="307">
        <f t="shared" si="16"/>
        <v>5337.1750000000002</v>
      </c>
      <c r="H920" s="307">
        <f t="shared" si="16"/>
        <v>6145.338999999999</v>
      </c>
      <c r="I920" s="307">
        <f t="shared" si="16"/>
        <v>8263.5821581714754</v>
      </c>
      <c r="J920" s="307">
        <f t="shared" si="16"/>
        <v>9214.0075938293485</v>
      </c>
      <c r="L920" s="868"/>
    </row>
    <row r="921" spans="2:12">
      <c r="B921" s="52" t="s">
        <v>121</v>
      </c>
      <c r="C921" s="307">
        <v>3135.674</v>
      </c>
      <c r="D921" s="307">
        <v>3652.123</v>
      </c>
      <c r="E921" s="307">
        <v>3662.3690000000001</v>
      </c>
      <c r="F921" s="307">
        <v>4373.5219999999999</v>
      </c>
      <c r="G921" s="307">
        <v>4289.6090000000004</v>
      </c>
      <c r="H921" s="307">
        <v>4821.0559999999996</v>
      </c>
      <c r="I921" s="307">
        <v>6596.5268134239695</v>
      </c>
      <c r="J921" s="307">
        <v>7247.1639999999998</v>
      </c>
    </row>
    <row r="922" spans="2:12">
      <c r="B922" s="53" t="s">
        <v>120</v>
      </c>
      <c r="C922" s="307"/>
      <c r="D922" s="307"/>
      <c r="E922" s="307"/>
      <c r="F922" s="307"/>
      <c r="G922" s="307"/>
      <c r="H922" s="307"/>
      <c r="I922" s="307"/>
      <c r="J922" s="307"/>
    </row>
    <row r="923" spans="2:12">
      <c r="B923" s="52" t="s">
        <v>183</v>
      </c>
      <c r="C923" s="307">
        <v>832.00599999999997</v>
      </c>
      <c r="D923" s="307">
        <v>879.495</v>
      </c>
      <c r="E923" s="307">
        <v>835.18399999999997</v>
      </c>
      <c r="F923" s="307">
        <v>884.83100000000002</v>
      </c>
      <c r="G923" s="307">
        <v>1017.652</v>
      </c>
      <c r="H923" s="307">
        <v>1294.3689999999999</v>
      </c>
      <c r="I923" s="307">
        <v>1631.5792110928915</v>
      </c>
      <c r="J923" s="307">
        <v>1936.9297939402418</v>
      </c>
    </row>
    <row r="924" spans="2:12">
      <c r="B924" s="52" t="s">
        <v>118</v>
      </c>
      <c r="C924" s="307">
        <v>23.077000000000002</v>
      </c>
      <c r="D924" s="307">
        <v>26.914000000000001</v>
      </c>
      <c r="E924" s="307">
        <v>61.445</v>
      </c>
      <c r="F924" s="307">
        <v>29.914000000000001</v>
      </c>
      <c r="G924" s="307">
        <v>29.914000000000001</v>
      </c>
      <c r="H924" s="307">
        <v>29.914000000000001</v>
      </c>
      <c r="I924" s="307">
        <v>35.476133654613527</v>
      </c>
      <c r="J924" s="307">
        <v>29.913799889106528</v>
      </c>
    </row>
    <row r="925" spans="2:12" ht="15" thickBot="1">
      <c r="B925" s="52" t="s">
        <v>117</v>
      </c>
      <c r="C925" s="307"/>
      <c r="D925" s="307"/>
      <c r="E925" s="307"/>
      <c r="F925" s="307"/>
      <c r="G925" s="307"/>
      <c r="H925" s="307"/>
      <c r="I925" s="307"/>
      <c r="J925" s="307"/>
    </row>
    <row r="926" spans="2:12" ht="15" thickTop="1">
      <c r="B926" s="2025" t="s">
        <v>1458</v>
      </c>
      <c r="C926" s="2025"/>
      <c r="D926" s="2025"/>
      <c r="E926" s="2025"/>
      <c r="F926" s="2025"/>
      <c r="G926" s="2025"/>
      <c r="H926" s="2025"/>
      <c r="I926" s="2025"/>
      <c r="J926" s="2025"/>
    </row>
    <row r="927" spans="2:12">
      <c r="B927" s="2017"/>
      <c r="C927" s="2017"/>
      <c r="D927" s="2017"/>
      <c r="E927" s="2017"/>
      <c r="F927" s="2017"/>
      <c r="G927" s="2017"/>
      <c r="H927" s="2017"/>
      <c r="I927" s="2017"/>
      <c r="J927" s="2017"/>
    </row>
    <row r="928" spans="2:12">
      <c r="B928" s="64"/>
      <c r="C928" s="302"/>
      <c r="D928" s="302"/>
      <c r="E928" s="302"/>
      <c r="F928" s="302"/>
      <c r="G928" s="302"/>
      <c r="H928" s="302"/>
      <c r="I928" s="302"/>
      <c r="J928" s="302"/>
    </row>
    <row r="929" spans="2:10">
      <c r="B929" s="12" t="s">
        <v>133</v>
      </c>
      <c r="C929" s="892"/>
      <c r="D929" s="892"/>
      <c r="E929" s="892"/>
      <c r="F929" s="892"/>
      <c r="G929" s="892"/>
      <c r="H929" s="892"/>
      <c r="I929" s="892"/>
      <c r="J929" s="892"/>
    </row>
    <row r="930" spans="2:10">
      <c r="B930" s="12" t="s">
        <v>132</v>
      </c>
      <c r="C930" s="302"/>
      <c r="D930" s="302"/>
      <c r="E930" s="302"/>
      <c r="F930" s="302"/>
      <c r="G930" s="302"/>
      <c r="H930" s="302"/>
      <c r="I930" s="302"/>
      <c r="J930" s="302"/>
    </row>
    <row r="931" spans="2:10">
      <c r="B931" s="62" t="s">
        <v>131</v>
      </c>
      <c r="C931" s="302"/>
      <c r="D931" s="302"/>
      <c r="E931" s="302"/>
      <c r="F931" s="302"/>
      <c r="G931" s="302"/>
      <c r="H931" s="302"/>
      <c r="I931" s="302"/>
      <c r="J931" s="302"/>
    </row>
    <row r="932" spans="2:10">
      <c r="B932" s="62"/>
      <c r="C932" s="302"/>
      <c r="D932" s="302"/>
      <c r="E932" s="302"/>
      <c r="F932" s="302"/>
      <c r="G932" s="302"/>
      <c r="H932" s="302"/>
      <c r="I932" s="302"/>
      <c r="J932" s="302"/>
    </row>
    <row r="933" spans="2:10">
      <c r="B933" s="61"/>
      <c r="C933" s="850">
        <v>2014</v>
      </c>
      <c r="D933" s="850">
        <v>2015</v>
      </c>
      <c r="E933" s="850">
        <v>2016</v>
      </c>
      <c r="F933" s="850">
        <v>2017</v>
      </c>
      <c r="G933" s="850">
        <v>2018</v>
      </c>
      <c r="H933" s="850">
        <v>2019</v>
      </c>
      <c r="I933" s="850">
        <v>2020</v>
      </c>
      <c r="J933" s="850">
        <v>2021</v>
      </c>
    </row>
    <row r="934" spans="2:10">
      <c r="B934" s="71" t="s">
        <v>130</v>
      </c>
      <c r="C934" s="304"/>
      <c r="D934" s="304"/>
      <c r="E934" s="304"/>
      <c r="F934" s="304"/>
      <c r="G934" s="304"/>
      <c r="H934" s="304"/>
      <c r="I934" s="304"/>
      <c r="J934" s="304"/>
    </row>
    <row r="935" spans="2:10">
      <c r="B935" s="71"/>
      <c r="C935" s="306"/>
      <c r="D935" s="306"/>
      <c r="E935" s="306"/>
      <c r="F935" s="306"/>
      <c r="G935" s="306"/>
      <c r="H935" s="306"/>
      <c r="I935" s="306"/>
      <c r="J935" s="306"/>
    </row>
    <row r="936" spans="2:10">
      <c r="B936" s="59" t="s">
        <v>1301</v>
      </c>
      <c r="C936" s="306"/>
      <c r="D936" s="306"/>
      <c r="E936" s="306"/>
      <c r="F936" s="306"/>
      <c r="G936" s="306"/>
      <c r="H936" s="306"/>
      <c r="I936" s="306"/>
      <c r="J936" s="306"/>
    </row>
    <row r="937" spans="2:10">
      <c r="B937" s="54" t="s">
        <v>123</v>
      </c>
      <c r="C937" s="305">
        <f>C938</f>
        <v>25.021999999999998</v>
      </c>
      <c r="D937" s="305">
        <f t="shared" ref="D937" si="17">D938</f>
        <v>18.559999999999999</v>
      </c>
      <c r="E937" s="305">
        <f>E938+E940</f>
        <v>21.195999999999998</v>
      </c>
      <c r="F937" s="305">
        <f t="shared" ref="F937:J937" si="18">F938+F940</f>
        <v>25.381999999999998</v>
      </c>
      <c r="G937" s="305">
        <f t="shared" si="18"/>
        <v>23.515999999999998</v>
      </c>
      <c r="H937" s="305">
        <f t="shared" si="18"/>
        <v>20.417999999999999</v>
      </c>
      <c r="I937" s="305">
        <f t="shared" si="18"/>
        <v>13.311999999999999</v>
      </c>
      <c r="J937" s="305">
        <f t="shared" si="18"/>
        <v>15.488</v>
      </c>
    </row>
    <row r="938" spans="2:10">
      <c r="B938" s="52" t="s">
        <v>121</v>
      </c>
      <c r="C938" s="305">
        <v>25.021999999999998</v>
      </c>
      <c r="D938" s="305">
        <v>18.559999999999999</v>
      </c>
      <c r="E938" s="305">
        <v>15.167999999999999</v>
      </c>
      <c r="F938" s="305">
        <v>19.52</v>
      </c>
      <c r="G938" s="305">
        <v>18.686</v>
      </c>
      <c r="H938" s="305">
        <v>15.76</v>
      </c>
      <c r="I938" s="305">
        <v>10.029999999999999</v>
      </c>
      <c r="J938" s="305">
        <v>12.212</v>
      </c>
    </row>
    <row r="939" spans="2:10">
      <c r="B939" s="53" t="s">
        <v>120</v>
      </c>
      <c r="C939" s="306">
        <v>0</v>
      </c>
      <c r="D939" s="307">
        <v>0</v>
      </c>
      <c r="E939" s="307">
        <v>0</v>
      </c>
      <c r="F939" s="307">
        <v>0</v>
      </c>
      <c r="G939" s="307">
        <v>0</v>
      </c>
      <c r="H939" s="307">
        <v>0</v>
      </c>
      <c r="I939" s="307">
        <v>0</v>
      </c>
      <c r="J939" s="307">
        <v>0</v>
      </c>
    </row>
    <row r="940" spans="2:10">
      <c r="B940" s="52" t="s">
        <v>183</v>
      </c>
      <c r="C940" s="306">
        <v>0</v>
      </c>
      <c r="D940" s="307">
        <v>0</v>
      </c>
      <c r="E940" s="307">
        <v>6.0279999999999996</v>
      </c>
      <c r="F940" s="307">
        <v>5.8620000000000001</v>
      </c>
      <c r="G940" s="307">
        <v>4.83</v>
      </c>
      <c r="H940" s="307">
        <v>4.6580000000000004</v>
      </c>
      <c r="I940" s="307">
        <v>3.282</v>
      </c>
      <c r="J940" s="307">
        <v>3.2759999999999998</v>
      </c>
    </row>
    <row r="941" spans="2:10">
      <c r="B941" s="52" t="s">
        <v>118</v>
      </c>
      <c r="C941" s="307">
        <v>0</v>
      </c>
      <c r="D941" s="307">
        <v>0</v>
      </c>
      <c r="E941" s="307">
        <v>0</v>
      </c>
      <c r="F941" s="307">
        <v>0</v>
      </c>
      <c r="G941" s="307">
        <v>0</v>
      </c>
      <c r="H941" s="307">
        <v>0</v>
      </c>
      <c r="I941" s="307">
        <v>0</v>
      </c>
      <c r="J941" s="307">
        <v>0</v>
      </c>
    </row>
    <row r="942" spans="2:10">
      <c r="B942" s="52" t="s">
        <v>117</v>
      </c>
      <c r="C942" s="307">
        <v>0</v>
      </c>
      <c r="D942" s="307">
        <v>0</v>
      </c>
      <c r="E942" s="307">
        <v>0</v>
      </c>
      <c r="F942" s="307">
        <v>0</v>
      </c>
      <c r="G942" s="307">
        <v>0</v>
      </c>
      <c r="H942" s="307">
        <v>0</v>
      </c>
      <c r="I942" s="307">
        <v>0</v>
      </c>
      <c r="J942" s="307">
        <v>0</v>
      </c>
    </row>
    <row r="943" spans="2:10">
      <c r="B943" s="52"/>
      <c r="C943" s="307"/>
      <c r="D943" s="307"/>
      <c r="E943" s="307"/>
      <c r="F943" s="307"/>
      <c r="G943" s="307"/>
      <c r="H943" s="307"/>
      <c r="I943" s="307"/>
      <c r="J943" s="307"/>
    </row>
    <row r="944" spans="2:10">
      <c r="B944" s="54" t="s">
        <v>122</v>
      </c>
      <c r="C944" s="307"/>
      <c r="D944" s="307"/>
      <c r="E944" s="307"/>
      <c r="F944" s="307"/>
      <c r="G944" s="307"/>
      <c r="H944" s="307"/>
      <c r="I944" s="307"/>
      <c r="J944" s="307"/>
    </row>
    <row r="945" spans="2:11">
      <c r="B945" s="52" t="s">
        <v>121</v>
      </c>
      <c r="C945" s="307">
        <v>0</v>
      </c>
      <c r="D945" s="307">
        <v>0</v>
      </c>
      <c r="E945" s="307">
        <v>0</v>
      </c>
      <c r="F945" s="307">
        <v>0</v>
      </c>
      <c r="G945" s="307">
        <v>0</v>
      </c>
      <c r="H945" s="307">
        <v>0</v>
      </c>
      <c r="I945" s="307">
        <v>0</v>
      </c>
      <c r="J945" s="307">
        <v>0</v>
      </c>
    </row>
    <row r="946" spans="2:11">
      <c r="B946" s="53" t="s">
        <v>120</v>
      </c>
      <c r="C946" s="307">
        <v>0</v>
      </c>
      <c r="D946" s="307">
        <v>0</v>
      </c>
      <c r="E946" s="307">
        <v>0</v>
      </c>
      <c r="F946" s="307">
        <v>0</v>
      </c>
      <c r="G946" s="307">
        <v>0</v>
      </c>
      <c r="H946" s="307">
        <v>0</v>
      </c>
      <c r="I946" s="307">
        <v>0</v>
      </c>
      <c r="J946" s="307">
        <v>0</v>
      </c>
    </row>
    <row r="947" spans="2:11">
      <c r="B947" s="53" t="s">
        <v>119</v>
      </c>
      <c r="C947" s="307">
        <v>0</v>
      </c>
      <c r="D947" s="307">
        <v>0</v>
      </c>
      <c r="E947" s="307">
        <v>0</v>
      </c>
      <c r="F947" s="307">
        <v>0</v>
      </c>
      <c r="G947" s="307">
        <v>0</v>
      </c>
      <c r="H947" s="307">
        <v>0</v>
      </c>
      <c r="I947" s="307">
        <v>0</v>
      </c>
      <c r="J947" s="307">
        <v>0</v>
      </c>
    </row>
    <row r="948" spans="2:11">
      <c r="B948" s="52" t="s">
        <v>118</v>
      </c>
      <c r="C948" s="307">
        <v>0</v>
      </c>
      <c r="D948" s="307">
        <v>0</v>
      </c>
      <c r="E948" s="307">
        <v>0</v>
      </c>
      <c r="F948" s="307">
        <v>0</v>
      </c>
      <c r="G948" s="307">
        <v>0</v>
      </c>
      <c r="H948" s="307">
        <v>0</v>
      </c>
      <c r="I948" s="307">
        <v>0</v>
      </c>
      <c r="J948" s="307">
        <v>0</v>
      </c>
    </row>
    <row r="949" spans="2:11" ht="15" thickBot="1">
      <c r="B949" s="52" t="s">
        <v>117</v>
      </c>
      <c r="C949" s="307">
        <v>0</v>
      </c>
      <c r="D949" s="307">
        <v>0</v>
      </c>
      <c r="E949" s="307">
        <v>0</v>
      </c>
      <c r="F949" s="307">
        <v>0</v>
      </c>
      <c r="G949" s="307">
        <v>0</v>
      </c>
      <c r="H949" s="307">
        <v>0</v>
      </c>
      <c r="I949" s="307">
        <v>0</v>
      </c>
      <c r="J949" s="307">
        <v>0</v>
      </c>
    </row>
    <row r="950" spans="2:11" ht="15" thickTop="1">
      <c r="B950" s="2025" t="s">
        <v>1455</v>
      </c>
      <c r="C950" s="2025"/>
      <c r="D950" s="2025"/>
      <c r="E950" s="2025"/>
      <c r="F950" s="2025"/>
      <c r="G950" s="2025"/>
      <c r="H950" s="2025"/>
      <c r="I950" s="2025"/>
      <c r="J950" s="2025"/>
    </row>
    <row r="951" spans="2:11">
      <c r="B951" s="108"/>
      <c r="C951" s="108"/>
      <c r="D951" s="108"/>
      <c r="E951" s="108"/>
      <c r="F951" s="108"/>
      <c r="G951" s="108"/>
      <c r="H951" s="108"/>
      <c r="I951" s="108"/>
      <c r="J951" s="108"/>
    </row>
    <row r="952" spans="2:11">
      <c r="B952" s="2017"/>
      <c r="C952" s="2017"/>
      <c r="D952" s="2017"/>
      <c r="E952" s="2017"/>
      <c r="F952" s="2017"/>
      <c r="G952" s="2017"/>
      <c r="H952" s="2017"/>
      <c r="I952" s="2017"/>
      <c r="J952" s="2017"/>
    </row>
    <row r="953" spans="2:11">
      <c r="B953" s="64"/>
      <c r="C953" s="302"/>
      <c r="D953" s="302"/>
      <c r="E953" s="302"/>
      <c r="F953" s="302"/>
      <c r="G953" s="302"/>
      <c r="H953" s="302"/>
      <c r="I953" s="302"/>
      <c r="J953" s="302"/>
    </row>
    <row r="954" spans="2:11">
      <c r="B954" s="12" t="s">
        <v>129</v>
      </c>
      <c r="C954" s="892"/>
      <c r="D954" s="892"/>
      <c r="E954" s="892"/>
      <c r="F954" s="892"/>
      <c r="G954" s="892"/>
      <c r="H954" s="892"/>
      <c r="I954" s="892"/>
      <c r="J954" s="892"/>
      <c r="K954" s="849"/>
    </row>
    <row r="955" spans="2:11">
      <c r="B955" s="12" t="s">
        <v>128</v>
      </c>
      <c r="C955" s="302"/>
      <c r="D955" s="302"/>
      <c r="E955" s="302"/>
      <c r="F955" s="302"/>
      <c r="G955" s="302"/>
      <c r="H955" s="302"/>
      <c r="I955" s="302"/>
      <c r="J955" s="302"/>
    </row>
    <row r="956" spans="2:11">
      <c r="B956" s="62" t="s">
        <v>127</v>
      </c>
      <c r="C956" s="302"/>
      <c r="D956" s="302"/>
      <c r="E956" s="302"/>
      <c r="F956" s="302"/>
      <c r="G956" s="302"/>
      <c r="H956" s="302"/>
      <c r="I956" s="302"/>
      <c r="J956" s="302"/>
    </row>
    <row r="957" spans="2:11">
      <c r="B957" s="62"/>
      <c r="C957" s="302"/>
      <c r="D957" s="302"/>
      <c r="E957" s="302"/>
      <c r="F957" s="302"/>
      <c r="G957" s="302"/>
      <c r="H957" s="302"/>
      <c r="I957" s="302"/>
      <c r="J957" s="302"/>
    </row>
    <row r="958" spans="2:11">
      <c r="B958" s="61"/>
      <c r="C958" s="850">
        <v>2014</v>
      </c>
      <c r="D958" s="850">
        <v>2015</v>
      </c>
      <c r="E958" s="850">
        <v>2016</v>
      </c>
      <c r="F958" s="850">
        <v>2017</v>
      </c>
      <c r="G958" s="850">
        <v>2018</v>
      </c>
      <c r="H958" s="850">
        <v>2019</v>
      </c>
      <c r="I958" s="850">
        <v>2020</v>
      </c>
      <c r="J958" s="850">
        <v>2021</v>
      </c>
    </row>
    <row r="959" spans="2:11">
      <c r="B959" s="71" t="s">
        <v>124</v>
      </c>
      <c r="C959" s="304"/>
      <c r="D959" s="304"/>
      <c r="E959" s="304"/>
      <c r="F959" s="304"/>
      <c r="G959" s="304"/>
      <c r="H959" s="304"/>
      <c r="I959" s="304"/>
      <c r="J959" s="304"/>
    </row>
    <row r="960" spans="2:11">
      <c r="B960" s="71"/>
      <c r="C960" s="306"/>
      <c r="D960" s="306"/>
      <c r="E960" s="306"/>
      <c r="F960" s="306"/>
      <c r="G960" s="306"/>
      <c r="H960" s="306"/>
      <c r="I960" s="306"/>
      <c r="J960" s="306"/>
    </row>
    <row r="961" spans="2:10">
      <c r="B961" s="59" t="s">
        <v>1301</v>
      </c>
      <c r="C961" s="306"/>
      <c r="D961" s="306"/>
      <c r="E961" s="306"/>
      <c r="F961" s="306"/>
      <c r="G961" s="306"/>
      <c r="H961" s="306"/>
      <c r="I961" s="306"/>
      <c r="J961" s="306"/>
    </row>
    <row r="962" spans="2:10">
      <c r="B962" s="54" t="s">
        <v>123</v>
      </c>
      <c r="C962" s="304"/>
      <c r="D962" s="304"/>
      <c r="E962" s="304"/>
      <c r="F962" s="304"/>
      <c r="G962" s="304"/>
      <c r="H962" s="304"/>
      <c r="I962" s="304"/>
      <c r="J962" s="304"/>
    </row>
    <row r="963" spans="2:10">
      <c r="B963" s="52" t="s">
        <v>121</v>
      </c>
      <c r="C963" s="306">
        <v>75107.672000000006</v>
      </c>
      <c r="D963" s="307">
        <v>128084.49</v>
      </c>
      <c r="E963" s="307">
        <v>70592.403000000006</v>
      </c>
      <c r="F963" s="307">
        <v>80791.664000000004</v>
      </c>
      <c r="G963" s="307">
        <v>74637.376999999993</v>
      </c>
      <c r="H963" s="307">
        <v>73331.357999999993</v>
      </c>
      <c r="I963" s="307">
        <v>46337.790999999997</v>
      </c>
      <c r="J963" s="307">
        <v>82025.626000000004</v>
      </c>
    </row>
    <row r="964" spans="2:10">
      <c r="B964" s="53" t="s">
        <v>120</v>
      </c>
      <c r="C964" s="306">
        <v>0</v>
      </c>
      <c r="D964" s="307">
        <v>0</v>
      </c>
      <c r="E964" s="307">
        <v>0</v>
      </c>
      <c r="F964" s="307">
        <v>0</v>
      </c>
      <c r="G964" s="307">
        <v>0</v>
      </c>
      <c r="H964" s="307">
        <v>0</v>
      </c>
      <c r="I964" s="307">
        <v>0</v>
      </c>
      <c r="J964" s="307">
        <v>0</v>
      </c>
    </row>
    <row r="965" spans="2:10">
      <c r="B965" s="52" t="s">
        <v>183</v>
      </c>
      <c r="C965" s="306">
        <v>16101.712</v>
      </c>
      <c r="D965" s="307">
        <v>25413.949000000001</v>
      </c>
      <c r="E965" s="307">
        <v>20461.633000000002</v>
      </c>
      <c r="F965" s="307">
        <v>3613.223</v>
      </c>
      <c r="G965" s="307">
        <v>2794.933</v>
      </c>
      <c r="H965" s="307">
        <v>3456.1959999999999</v>
      </c>
      <c r="I965" s="307">
        <v>13901.855</v>
      </c>
      <c r="J965" s="307">
        <v>9801.4490000000005</v>
      </c>
    </row>
    <row r="966" spans="2:10">
      <c r="B966" s="52" t="s">
        <v>118</v>
      </c>
      <c r="C966" s="306">
        <v>0</v>
      </c>
      <c r="D966" s="307">
        <v>0</v>
      </c>
      <c r="E966" s="307">
        <v>0</v>
      </c>
      <c r="F966" s="307">
        <v>0</v>
      </c>
      <c r="G966" s="307">
        <v>0</v>
      </c>
      <c r="H966" s="307">
        <v>0</v>
      </c>
      <c r="I966" s="307">
        <v>0</v>
      </c>
      <c r="J966" s="307">
        <v>0</v>
      </c>
    </row>
    <row r="967" spans="2:10">
      <c r="B967" s="52" t="s">
        <v>117</v>
      </c>
      <c r="C967" s="306">
        <v>0</v>
      </c>
      <c r="D967" s="306">
        <v>0</v>
      </c>
      <c r="E967" s="306">
        <v>0</v>
      </c>
      <c r="F967" s="306">
        <v>0</v>
      </c>
      <c r="G967" s="306">
        <v>0</v>
      </c>
      <c r="H967" s="306">
        <v>0</v>
      </c>
      <c r="I967" s="306">
        <v>0</v>
      </c>
      <c r="J967" s="306">
        <v>0</v>
      </c>
    </row>
    <row r="968" spans="2:10">
      <c r="B968" s="52"/>
      <c r="C968" s="307"/>
      <c r="D968" s="307"/>
      <c r="E968" s="307"/>
      <c r="F968" s="307"/>
      <c r="G968" s="307"/>
      <c r="H968" s="307"/>
      <c r="I968" s="307"/>
      <c r="J968" s="307"/>
    </row>
    <row r="969" spans="2:10">
      <c r="B969" s="54" t="s">
        <v>122</v>
      </c>
      <c r="C969" s="307">
        <v>0</v>
      </c>
      <c r="D969" s="307">
        <v>0</v>
      </c>
      <c r="E969" s="307">
        <v>0</v>
      </c>
      <c r="F969" s="307">
        <v>0</v>
      </c>
      <c r="G969" s="307">
        <v>0</v>
      </c>
      <c r="H969" s="307">
        <v>0</v>
      </c>
      <c r="I969" s="307">
        <v>0</v>
      </c>
      <c r="J969" s="307">
        <v>0</v>
      </c>
    </row>
    <row r="970" spans="2:10">
      <c r="B970" s="52" t="s">
        <v>121</v>
      </c>
      <c r="C970" s="307">
        <v>0</v>
      </c>
      <c r="D970" s="307">
        <v>0</v>
      </c>
      <c r="E970" s="307">
        <v>0</v>
      </c>
      <c r="F970" s="307">
        <v>0</v>
      </c>
      <c r="G970" s="307">
        <v>0</v>
      </c>
      <c r="H970" s="307">
        <v>0</v>
      </c>
      <c r="I970" s="307">
        <v>0</v>
      </c>
      <c r="J970" s="307">
        <v>0</v>
      </c>
    </row>
    <row r="971" spans="2:10">
      <c r="B971" s="53" t="s">
        <v>120</v>
      </c>
      <c r="C971" s="307">
        <v>0</v>
      </c>
      <c r="D971" s="307">
        <v>0</v>
      </c>
      <c r="E971" s="307">
        <v>0</v>
      </c>
      <c r="F971" s="307">
        <v>0</v>
      </c>
      <c r="G971" s="307">
        <v>0</v>
      </c>
      <c r="H971" s="307">
        <v>0</v>
      </c>
      <c r="I971" s="307">
        <v>0</v>
      </c>
      <c r="J971" s="307">
        <v>0</v>
      </c>
    </row>
    <row r="972" spans="2:10">
      <c r="B972" s="53" t="s">
        <v>119</v>
      </c>
      <c r="C972" s="307">
        <v>0</v>
      </c>
      <c r="D972" s="307">
        <v>0</v>
      </c>
      <c r="E972" s="307">
        <v>0</v>
      </c>
      <c r="F972" s="307">
        <v>0</v>
      </c>
      <c r="G972" s="307">
        <v>0</v>
      </c>
      <c r="H972" s="307">
        <v>0</v>
      </c>
      <c r="I972" s="307">
        <v>0</v>
      </c>
      <c r="J972" s="307">
        <v>0</v>
      </c>
    </row>
    <row r="973" spans="2:10">
      <c r="B973" s="52" t="s">
        <v>118</v>
      </c>
      <c r="C973" s="307">
        <v>0</v>
      </c>
      <c r="D973" s="307">
        <v>0</v>
      </c>
      <c r="E973" s="307">
        <v>0</v>
      </c>
      <c r="F973" s="307">
        <v>0</v>
      </c>
      <c r="G973" s="307">
        <v>0</v>
      </c>
      <c r="H973" s="307">
        <v>0</v>
      </c>
      <c r="I973" s="307">
        <v>0</v>
      </c>
      <c r="J973" s="307">
        <v>0</v>
      </c>
    </row>
    <row r="974" spans="2:10" ht="15" thickBot="1">
      <c r="B974" s="52" t="s">
        <v>117</v>
      </c>
      <c r="C974" s="307">
        <v>0</v>
      </c>
      <c r="D974" s="307">
        <v>0</v>
      </c>
      <c r="E974" s="307">
        <v>0</v>
      </c>
      <c r="F974" s="307">
        <v>0</v>
      </c>
      <c r="G974" s="307">
        <v>0</v>
      </c>
      <c r="H974" s="307">
        <v>0</v>
      </c>
      <c r="I974" s="307">
        <v>0</v>
      </c>
      <c r="J974" s="307">
        <v>0</v>
      </c>
    </row>
    <row r="975" spans="2:10" ht="15" thickTop="1">
      <c r="B975" s="2025" t="s">
        <v>1455</v>
      </c>
      <c r="C975" s="2025"/>
      <c r="D975" s="2025"/>
      <c r="E975" s="2025"/>
      <c r="F975" s="2025"/>
      <c r="G975" s="2025"/>
      <c r="H975" s="2025"/>
      <c r="I975" s="2025"/>
      <c r="J975" s="2025"/>
    </row>
    <row r="976" spans="2:10">
      <c r="B976" s="2017"/>
      <c r="C976" s="2017"/>
      <c r="D976" s="2017"/>
      <c r="E976" s="2017"/>
      <c r="F976" s="2017"/>
      <c r="G976" s="2017"/>
      <c r="H976" s="2017"/>
      <c r="I976" s="2017"/>
      <c r="J976" s="2017"/>
    </row>
    <row r="977" spans="2:10">
      <c r="B977" s="302"/>
      <c r="C977" s="302"/>
      <c r="D977" s="302"/>
      <c r="E977" s="302"/>
      <c r="F977" s="302"/>
      <c r="G977" s="302"/>
      <c r="H977" s="302"/>
      <c r="I977" s="302"/>
      <c r="J977" s="302"/>
    </row>
    <row r="978" spans="2:10">
      <c r="B978" s="2097" t="s">
        <v>115</v>
      </c>
      <c r="C978" s="2097"/>
      <c r="D978" s="2097"/>
      <c r="E978" s="2097"/>
      <c r="F978" s="2097"/>
      <c r="G978" s="2097"/>
      <c r="H978" s="2097"/>
      <c r="I978" s="2097"/>
      <c r="J978" s="2097"/>
    </row>
    <row r="979" spans="2:10">
      <c r="B979" s="12" t="s">
        <v>114</v>
      </c>
      <c r="C979" s="302"/>
      <c r="D979" s="302"/>
      <c r="E979" s="302"/>
      <c r="F979" s="302"/>
      <c r="G979" s="302"/>
      <c r="H979" s="302"/>
      <c r="I979" s="302"/>
      <c r="J979" s="302"/>
    </row>
    <row r="980" spans="2:10">
      <c r="B980" s="302"/>
      <c r="C980" s="302"/>
      <c r="D980" s="302"/>
      <c r="E980" s="302"/>
      <c r="F980" s="302"/>
      <c r="G980" s="302"/>
      <c r="H980" s="302"/>
      <c r="I980" s="302"/>
      <c r="J980" s="302"/>
    </row>
    <row r="981" spans="2:10">
      <c r="B981" s="2117" t="s">
        <v>11</v>
      </c>
      <c r="C981" s="2117" t="s">
        <v>604</v>
      </c>
      <c r="D981" s="2115" t="s">
        <v>113</v>
      </c>
      <c r="E981" s="2115" t="s">
        <v>24</v>
      </c>
      <c r="F981" s="2115" t="s">
        <v>112</v>
      </c>
      <c r="G981" s="2115" t="s">
        <v>111</v>
      </c>
      <c r="H981" s="2115" t="s">
        <v>110</v>
      </c>
      <c r="I981" s="2113"/>
      <c r="J981" s="2113"/>
    </row>
    <row r="982" spans="2:10">
      <c r="B982" s="2116"/>
      <c r="C982" s="2116"/>
      <c r="D982" s="2121"/>
      <c r="E982" s="2121"/>
      <c r="F982" s="2121"/>
      <c r="G982" s="2121"/>
      <c r="H982" s="2121"/>
      <c r="I982" s="2113"/>
      <c r="J982" s="2113"/>
    </row>
    <row r="983" spans="2:10">
      <c r="B983" s="893" t="s">
        <v>94</v>
      </c>
      <c r="C983" s="346" t="s">
        <v>606</v>
      </c>
      <c r="D983" s="346" t="s">
        <v>94</v>
      </c>
      <c r="E983" s="346" t="s">
        <v>1</v>
      </c>
      <c r="F983" s="346" t="s">
        <v>106</v>
      </c>
      <c r="G983" s="346" t="s">
        <v>103</v>
      </c>
      <c r="H983" s="346" t="s">
        <v>102</v>
      </c>
      <c r="I983" s="346"/>
      <c r="J983" s="346"/>
    </row>
    <row r="984" spans="2:10">
      <c r="B984" s="894" t="s">
        <v>1247</v>
      </c>
      <c r="C984" s="346" t="s">
        <v>1244</v>
      </c>
      <c r="D984" s="346" t="s">
        <v>105</v>
      </c>
      <c r="E984" s="346" t="s">
        <v>108</v>
      </c>
      <c r="F984" s="346" t="s">
        <v>489</v>
      </c>
      <c r="G984" s="346" t="s">
        <v>103</v>
      </c>
      <c r="H984" s="346" t="s">
        <v>102</v>
      </c>
      <c r="I984" s="346"/>
      <c r="J984" s="346"/>
    </row>
    <row r="985" spans="2:10" ht="15" thickBot="1">
      <c r="B985" s="895" t="s">
        <v>1249</v>
      </c>
      <c r="C985" s="350" t="s">
        <v>1244</v>
      </c>
      <c r="D985" s="350" t="s">
        <v>105</v>
      </c>
      <c r="E985" s="350" t="s">
        <v>108</v>
      </c>
      <c r="F985" s="350" t="s">
        <v>489</v>
      </c>
      <c r="G985" s="350" t="s">
        <v>103</v>
      </c>
      <c r="H985" s="350" t="s">
        <v>102</v>
      </c>
      <c r="I985" s="346"/>
      <c r="J985" s="346"/>
    </row>
    <row r="986" spans="2:10" ht="15" thickTop="1">
      <c r="B986" s="2112"/>
      <c r="C986" s="2112"/>
      <c r="D986" s="2112"/>
      <c r="E986" s="302"/>
      <c r="F986" s="302"/>
      <c r="G986" s="302"/>
      <c r="H986" s="302"/>
      <c r="I986" s="302"/>
      <c r="J986" s="302"/>
    </row>
    <row r="987" spans="2:10">
      <c r="B987" s="2117" t="s">
        <v>11</v>
      </c>
      <c r="C987" s="2115" t="s">
        <v>610</v>
      </c>
      <c r="D987" s="2115" t="s">
        <v>101</v>
      </c>
      <c r="E987" s="2115" t="s">
        <v>100</v>
      </c>
      <c r="F987" s="2115" t="s">
        <v>99</v>
      </c>
      <c r="G987" s="2117" t="s">
        <v>98</v>
      </c>
      <c r="H987" s="2117"/>
      <c r="I987" s="351"/>
      <c r="J987" s="351"/>
    </row>
    <row r="988" spans="2:10" ht="24" customHeight="1">
      <c r="B988" s="2116"/>
      <c r="C988" s="2121"/>
      <c r="D988" s="2121"/>
      <c r="E988" s="2121"/>
      <c r="F988" s="2121"/>
      <c r="G988" s="896" t="s">
        <v>97</v>
      </c>
      <c r="H988" s="896" t="s">
        <v>96</v>
      </c>
      <c r="I988" s="44"/>
      <c r="J988" s="44"/>
    </row>
    <row r="989" spans="2:10">
      <c r="B989" s="893" t="s">
        <v>94</v>
      </c>
      <c r="C989" s="346" t="s">
        <v>1222</v>
      </c>
      <c r="D989" s="897">
        <v>0.75</v>
      </c>
      <c r="E989" s="346" t="s">
        <v>1225</v>
      </c>
      <c r="F989" s="897">
        <v>0.72916666666666663</v>
      </c>
      <c r="G989" s="897">
        <v>0.29166666666666669</v>
      </c>
      <c r="H989" s="897">
        <v>0.75</v>
      </c>
      <c r="I989" s="897"/>
      <c r="J989" s="897"/>
    </row>
    <row r="990" spans="2:10">
      <c r="B990" s="894" t="s">
        <v>1247</v>
      </c>
      <c r="C990" s="346" t="s">
        <v>1222</v>
      </c>
      <c r="D990" s="897">
        <v>0</v>
      </c>
      <c r="E990" s="346" t="s">
        <v>711</v>
      </c>
      <c r="F990" s="346" t="s">
        <v>1248</v>
      </c>
      <c r="G990" s="897">
        <v>0.75</v>
      </c>
      <c r="H990" s="897">
        <v>0.25</v>
      </c>
      <c r="I990" s="897"/>
      <c r="J990" s="898"/>
    </row>
    <row r="991" spans="2:10" ht="15" thickBot="1">
      <c r="B991" s="895" t="s">
        <v>1249</v>
      </c>
      <c r="C991" s="350" t="s">
        <v>897</v>
      </c>
      <c r="D991" s="899">
        <v>0.875</v>
      </c>
      <c r="E991" s="350" t="s">
        <v>711</v>
      </c>
      <c r="F991" s="350" t="s">
        <v>1248</v>
      </c>
      <c r="G991" s="899">
        <v>0.29166666666666669</v>
      </c>
      <c r="H991" s="899">
        <v>0.875</v>
      </c>
      <c r="I991" s="897"/>
      <c r="J991" s="897"/>
    </row>
    <row r="992" spans="2:10" ht="15" thickTop="1">
      <c r="B992" s="2112" t="s">
        <v>1405</v>
      </c>
      <c r="C992" s="2112"/>
      <c r="D992" s="2112"/>
      <c r="E992" s="302"/>
      <c r="F992" s="302"/>
      <c r="G992" s="302"/>
      <c r="H992" s="302"/>
      <c r="I992" s="302"/>
      <c r="J992" s="302"/>
    </row>
    <row r="993" spans="2:10">
      <c r="B993" s="2123"/>
      <c r="C993" s="2123"/>
      <c r="D993" s="2123"/>
      <c r="E993" s="302"/>
      <c r="F993" s="302"/>
      <c r="G993" s="302"/>
      <c r="H993" s="302"/>
      <c r="I993" s="302"/>
      <c r="J993" s="302"/>
    </row>
    <row r="994" spans="2:10">
      <c r="B994" s="2097" t="s">
        <v>76</v>
      </c>
      <c r="C994" s="2097"/>
      <c r="D994" s="2097"/>
      <c r="E994" s="2097"/>
      <c r="F994" s="2097"/>
      <c r="G994" s="2097"/>
      <c r="H994" s="2097"/>
      <c r="I994" s="2097"/>
      <c r="J994" s="2097"/>
    </row>
    <row r="995" spans="2:10">
      <c r="B995" s="12" t="s">
        <v>75</v>
      </c>
      <c r="C995" s="302"/>
      <c r="D995" s="302"/>
      <c r="E995" s="302"/>
      <c r="F995" s="302"/>
      <c r="G995" s="302"/>
      <c r="H995" s="302"/>
      <c r="I995" s="302"/>
      <c r="J995" s="302"/>
    </row>
    <row r="996" spans="2:10">
      <c r="B996" s="302"/>
      <c r="C996" s="302"/>
      <c r="D996" s="302"/>
      <c r="E996" s="302"/>
      <c r="F996" s="302"/>
      <c r="G996" s="302"/>
      <c r="H996" s="302"/>
      <c r="I996" s="302"/>
      <c r="J996" s="302"/>
    </row>
    <row r="997" spans="2:10" ht="25">
      <c r="B997" s="900" t="s">
        <v>11</v>
      </c>
      <c r="C997" s="901" t="s">
        <v>24</v>
      </c>
      <c r="D997" s="901" t="s">
        <v>74</v>
      </c>
      <c r="E997" s="901" t="s">
        <v>73</v>
      </c>
      <c r="F997" s="901" t="s">
        <v>72</v>
      </c>
      <c r="G997" s="901" t="s">
        <v>71</v>
      </c>
      <c r="H997" s="302"/>
      <c r="I997" s="302"/>
      <c r="J997" s="302"/>
    </row>
    <row r="998" spans="2:10">
      <c r="B998" s="343" t="s">
        <v>1297</v>
      </c>
      <c r="C998" s="292" t="s">
        <v>5</v>
      </c>
      <c r="D998" s="292" t="s">
        <v>522</v>
      </c>
      <c r="E998" s="292" t="s">
        <v>56</v>
      </c>
      <c r="F998" s="215" t="s">
        <v>1298</v>
      </c>
      <c r="G998" s="292" t="s">
        <v>42</v>
      </c>
      <c r="H998" s="302"/>
      <c r="I998" s="302"/>
      <c r="J998" s="302"/>
    </row>
    <row r="999" spans="2:10">
      <c r="B999" s="894" t="s">
        <v>1299</v>
      </c>
      <c r="C999" s="346" t="s">
        <v>5</v>
      </c>
      <c r="D999" s="346" t="s">
        <v>102</v>
      </c>
      <c r="E999" s="346" t="s">
        <v>56</v>
      </c>
      <c r="F999" s="346" t="s">
        <v>1300</v>
      </c>
      <c r="G999" s="346" t="s">
        <v>42</v>
      </c>
      <c r="H999" s="302"/>
      <c r="I999" s="302"/>
      <c r="J999" s="302"/>
    </row>
    <row r="1000" spans="2:10" ht="15" thickBot="1">
      <c r="B1000" s="895" t="s">
        <v>1301</v>
      </c>
      <c r="C1000" s="350" t="s">
        <v>5</v>
      </c>
      <c r="D1000" s="350" t="s">
        <v>1302</v>
      </c>
      <c r="E1000" s="350" t="s">
        <v>56</v>
      </c>
      <c r="F1000" s="350" t="s">
        <v>1298</v>
      </c>
      <c r="G1000" s="350" t="s">
        <v>42</v>
      </c>
      <c r="H1000" s="302"/>
      <c r="I1000" s="302"/>
      <c r="J1000" s="302"/>
    </row>
    <row r="1001" spans="2:10" ht="15" thickTop="1">
      <c r="B1001" s="370" t="s">
        <v>1405</v>
      </c>
      <c r="C1001" s="302"/>
      <c r="D1001" s="302"/>
      <c r="E1001" s="302"/>
      <c r="F1001" s="302"/>
      <c r="G1001" s="302"/>
      <c r="H1001" s="302"/>
      <c r="I1001" s="302"/>
      <c r="J1001" s="302"/>
    </row>
    <row r="1002" spans="2:10">
      <c r="B1002" s="511"/>
      <c r="C1002" s="302"/>
      <c r="D1002" s="302"/>
      <c r="E1002" s="302"/>
      <c r="F1002" s="302"/>
      <c r="G1002" s="302"/>
      <c r="H1002" s="302"/>
      <c r="I1002" s="302"/>
      <c r="J1002" s="302"/>
    </row>
    <row r="1003" spans="2:10">
      <c r="B1003" s="2097" t="s">
        <v>52</v>
      </c>
      <c r="C1003" s="2097"/>
      <c r="D1003" s="2097"/>
      <c r="E1003" s="2097"/>
      <c r="F1003" s="2097"/>
      <c r="G1003" s="2097"/>
      <c r="H1003" s="2097"/>
      <c r="I1003" s="2097"/>
      <c r="J1003" s="2097"/>
    </row>
    <row r="1004" spans="2:10">
      <c r="B1004" s="12" t="s">
        <v>51</v>
      </c>
      <c r="C1004" s="302"/>
      <c r="D1004" s="302"/>
      <c r="E1004" s="302"/>
      <c r="F1004" s="302"/>
      <c r="G1004" s="302"/>
      <c r="H1004" s="302"/>
      <c r="I1004" s="302"/>
      <c r="J1004" s="302"/>
    </row>
    <row r="1005" spans="2:10">
      <c r="B1005" s="302"/>
      <c r="C1005" s="302"/>
      <c r="D1005" s="302"/>
      <c r="E1005" s="302"/>
      <c r="F1005" s="302"/>
      <c r="G1005" s="302"/>
      <c r="H1005" s="302"/>
      <c r="I1005" s="302"/>
      <c r="J1005" s="302"/>
    </row>
    <row r="1006" spans="2:10" ht="37.5">
      <c r="B1006" s="2117" t="s">
        <v>38</v>
      </c>
      <c r="C1006" s="902" t="s">
        <v>530</v>
      </c>
      <c r="D1006" s="902" t="s">
        <v>24</v>
      </c>
      <c r="E1006" s="902" t="s">
        <v>50</v>
      </c>
      <c r="F1006" s="902" t="s">
        <v>49</v>
      </c>
      <c r="G1006" s="902" t="s">
        <v>48</v>
      </c>
      <c r="H1006" s="902" t="s">
        <v>47</v>
      </c>
      <c r="I1006" s="579"/>
      <c r="J1006" s="579"/>
    </row>
    <row r="1007" spans="2:10">
      <c r="B1007" s="2116"/>
      <c r="C1007" s="903"/>
      <c r="D1007" s="903"/>
      <c r="E1007" s="903"/>
      <c r="F1007" s="903"/>
      <c r="G1007" s="903"/>
      <c r="H1007" s="903"/>
      <c r="I1007" s="342"/>
      <c r="J1007" s="342"/>
    </row>
    <row r="1008" spans="2:10" ht="15" thickBot="1">
      <c r="B1008" s="904" t="s">
        <v>486</v>
      </c>
      <c r="C1008" s="905">
        <v>0</v>
      </c>
      <c r="D1008" s="905">
        <v>0</v>
      </c>
      <c r="E1008" s="905">
        <v>0</v>
      </c>
      <c r="F1008" s="905">
        <v>0</v>
      </c>
      <c r="G1008" s="905">
        <v>0</v>
      </c>
      <c r="H1008" s="905">
        <v>0</v>
      </c>
      <c r="I1008" s="906"/>
      <c r="J1008" s="906"/>
    </row>
    <row r="1009" spans="2:10" ht="15" thickTop="1">
      <c r="B1009" s="513"/>
      <c r="C1009" s="513"/>
      <c r="D1009" s="513"/>
      <c r="E1009" s="513"/>
      <c r="F1009" s="513"/>
      <c r="G1009" s="513"/>
      <c r="H1009" s="513"/>
      <c r="I1009" s="513"/>
      <c r="J1009" s="513"/>
    </row>
    <row r="1010" spans="2:10" ht="37.5">
      <c r="B1010" s="2117" t="s">
        <v>38</v>
      </c>
      <c r="C1010" s="907" t="s">
        <v>538</v>
      </c>
      <c r="D1010" s="902" t="s">
        <v>37</v>
      </c>
      <c r="E1010" s="902" t="s">
        <v>8</v>
      </c>
      <c r="F1010" s="2115" t="s">
        <v>36</v>
      </c>
      <c r="G1010" s="579"/>
      <c r="H1010" s="579"/>
      <c r="I1010" s="579"/>
      <c r="J1010" s="579"/>
    </row>
    <row r="1011" spans="2:10">
      <c r="B1011" s="2116"/>
      <c r="C1011" s="903"/>
      <c r="D1011" s="903"/>
      <c r="E1011" s="903"/>
      <c r="F1011" s="2116"/>
      <c r="G1011" s="342"/>
      <c r="H1011" s="342"/>
      <c r="I1011" s="342"/>
      <c r="J1011" s="342"/>
    </row>
    <row r="1012" spans="2:10" ht="15" thickBot="1">
      <c r="B1012" s="904" t="s">
        <v>486</v>
      </c>
      <c r="C1012" s="905">
        <v>0</v>
      </c>
      <c r="D1012" s="905">
        <v>0</v>
      </c>
      <c r="E1012" s="905">
        <v>0</v>
      </c>
      <c r="F1012" s="905">
        <v>0</v>
      </c>
      <c r="G1012" s="513"/>
      <c r="H1012" s="513"/>
      <c r="I1012" s="513"/>
      <c r="J1012" s="513"/>
    </row>
    <row r="1013" spans="2:10" ht="15" thickTop="1">
      <c r="B1013" s="370"/>
      <c r="C1013" s="302"/>
      <c r="D1013" s="302"/>
      <c r="E1013" s="302"/>
      <c r="F1013" s="302"/>
      <c r="G1013" s="302"/>
      <c r="H1013" s="302"/>
      <c r="I1013" s="302"/>
      <c r="J1013" s="302"/>
    </row>
    <row r="1014" spans="2:10">
      <c r="B1014" s="367"/>
      <c r="C1014" s="302"/>
      <c r="D1014" s="302"/>
      <c r="E1014" s="302"/>
      <c r="F1014" s="302"/>
      <c r="G1014" s="302"/>
      <c r="H1014" s="302"/>
      <c r="I1014" s="302"/>
      <c r="J1014" s="302"/>
    </row>
    <row r="1015" spans="2:10">
      <c r="B1015" s="2097" t="s">
        <v>26</v>
      </c>
      <c r="C1015" s="2097"/>
      <c r="D1015" s="2097"/>
      <c r="E1015" s="2097"/>
      <c r="F1015" s="2097"/>
      <c r="G1015" s="2097"/>
      <c r="H1015" s="2097"/>
      <c r="I1015" s="2097"/>
      <c r="J1015" s="2097"/>
    </row>
    <row r="1016" spans="2:10">
      <c r="B1016" s="12" t="s">
        <v>25</v>
      </c>
      <c r="C1016" s="302"/>
      <c r="D1016" s="302"/>
      <c r="E1016" s="302"/>
      <c r="F1016" s="302"/>
      <c r="G1016" s="302"/>
      <c r="H1016" s="302"/>
      <c r="I1016" s="302"/>
      <c r="J1016" s="302"/>
    </row>
    <row r="1017" spans="2:10">
      <c r="B1017" s="302"/>
      <c r="C1017" s="302"/>
      <c r="D1017" s="302"/>
      <c r="E1017" s="302"/>
      <c r="F1017" s="302"/>
      <c r="G1017" s="302"/>
      <c r="H1017" s="302"/>
      <c r="I1017" s="302"/>
      <c r="J1017" s="302"/>
    </row>
    <row r="1018" spans="2:10" ht="37.5">
      <c r="B1018" s="908" t="s">
        <v>11</v>
      </c>
      <c r="C1018" s="909" t="s">
        <v>541</v>
      </c>
      <c r="D1018" s="909" t="s">
        <v>24</v>
      </c>
      <c r="E1018" s="909" t="s">
        <v>23</v>
      </c>
      <c r="F1018" s="909" t="s">
        <v>22</v>
      </c>
      <c r="G1018" s="909" t="s">
        <v>21</v>
      </c>
      <c r="H1018" s="909" t="s">
        <v>20</v>
      </c>
      <c r="I1018" s="579"/>
      <c r="J1018" s="579"/>
    </row>
    <row r="1019" spans="2:10">
      <c r="B1019" s="910"/>
      <c r="C1019" s="910"/>
      <c r="D1019" s="910"/>
      <c r="E1019" s="910"/>
      <c r="F1019" s="910"/>
      <c r="G1019" s="910"/>
      <c r="H1019" s="910"/>
      <c r="I1019" s="342"/>
      <c r="J1019" s="342"/>
    </row>
    <row r="1020" spans="2:10">
      <c r="B1020" s="911" t="s">
        <v>1301</v>
      </c>
      <c r="C1020" s="912" t="s">
        <v>5</v>
      </c>
      <c r="D1020" s="912" t="s">
        <v>1459</v>
      </c>
      <c r="E1020" s="913" t="s">
        <v>1301</v>
      </c>
      <c r="F1020" s="914">
        <v>0.75</v>
      </c>
      <c r="G1020" s="913">
        <v>0</v>
      </c>
      <c r="H1020" s="915" t="s">
        <v>1460</v>
      </c>
      <c r="I1020" s="906"/>
      <c r="J1020" s="906"/>
    </row>
    <row r="1021" spans="2:10" ht="15" thickBot="1">
      <c r="B1021" s="916" t="s">
        <v>1301</v>
      </c>
      <c r="C1021" s="917" t="s">
        <v>1461</v>
      </c>
      <c r="D1021" s="917" t="s">
        <v>1459</v>
      </c>
      <c r="E1021" s="918" t="s">
        <v>1301</v>
      </c>
      <c r="F1021" s="919">
        <v>0.75</v>
      </c>
      <c r="G1021" s="918">
        <v>0</v>
      </c>
      <c r="H1021" s="920" t="s">
        <v>1462</v>
      </c>
      <c r="I1021" s="513"/>
      <c r="J1021" s="513"/>
    </row>
    <row r="1022" spans="2:10" ht="15" thickTop="1">
      <c r="B1022" s="921"/>
      <c r="C1022" s="922"/>
      <c r="D1022" s="922"/>
      <c r="E1022" s="922"/>
      <c r="F1022" s="922"/>
      <c r="G1022" s="922"/>
      <c r="H1022" s="922"/>
      <c r="I1022" s="579"/>
      <c r="J1022" s="579"/>
    </row>
    <row r="1023" spans="2:10" ht="25">
      <c r="B1023" s="908" t="s">
        <v>11</v>
      </c>
      <c r="C1023" s="908" t="s">
        <v>546</v>
      </c>
      <c r="D1023" s="909" t="s">
        <v>10</v>
      </c>
      <c r="E1023" s="909" t="s">
        <v>9</v>
      </c>
      <c r="F1023" s="909" t="s">
        <v>8</v>
      </c>
      <c r="G1023" s="923"/>
      <c r="H1023" s="923"/>
      <c r="I1023" s="342"/>
      <c r="J1023" s="342"/>
    </row>
    <row r="1024" spans="2:10">
      <c r="B1024" s="910"/>
      <c r="C1024" s="910"/>
      <c r="D1024" s="910"/>
      <c r="E1024" s="910"/>
      <c r="F1024" s="910"/>
      <c r="G1024" s="924"/>
      <c r="H1024" s="924"/>
      <c r="I1024" s="513"/>
      <c r="J1024" s="513"/>
    </row>
    <row r="1025" spans="2:10" ht="24">
      <c r="B1025" s="925" t="s">
        <v>1301</v>
      </c>
      <c r="C1025" s="913">
        <v>0</v>
      </c>
      <c r="D1025" s="912" t="s">
        <v>1463</v>
      </c>
      <c r="E1025" s="913" t="s">
        <v>1464</v>
      </c>
      <c r="F1025" s="926" t="s">
        <v>1</v>
      </c>
      <c r="G1025" s="913"/>
      <c r="H1025" s="575"/>
      <c r="I1025" s="302"/>
      <c r="J1025" s="302"/>
    </row>
    <row r="1026" spans="2:10" ht="15" thickBot="1">
      <c r="B1026" s="927"/>
      <c r="C1026" s="918"/>
      <c r="D1026" s="928"/>
      <c r="E1026" s="918"/>
      <c r="F1026" s="929"/>
      <c r="G1026" s="913"/>
      <c r="H1026" s="575"/>
      <c r="I1026" s="302"/>
      <c r="J1026" s="302"/>
    </row>
    <row r="1027" spans="2:10" ht="15" thickTop="1">
      <c r="B1027" s="930" t="s">
        <v>1455</v>
      </c>
      <c r="C1027" s="931"/>
      <c r="D1027" s="931"/>
      <c r="E1027" s="931"/>
      <c r="F1027" s="931"/>
      <c r="G1027" s="931"/>
      <c r="H1027" s="931"/>
    </row>
    <row r="1028" spans="2:10" ht="43.5" customHeight="1">
      <c r="B1028" s="2122" t="s">
        <v>1465</v>
      </c>
      <c r="C1028" s="2122"/>
      <c r="D1028" s="2122"/>
      <c r="E1028" s="932"/>
      <c r="F1028" s="932"/>
      <c r="G1028" s="932"/>
      <c r="H1028" s="932"/>
    </row>
  </sheetData>
  <mergeCells count="87">
    <mergeCell ref="B86:J86"/>
    <mergeCell ref="B2:J2"/>
    <mergeCell ref="B13:J13"/>
    <mergeCell ref="B14:J14"/>
    <mergeCell ref="B16:J16"/>
    <mergeCell ref="B31:J31"/>
    <mergeCell ref="B32:J32"/>
    <mergeCell ref="B34:J34"/>
    <mergeCell ref="B49:J49"/>
    <mergeCell ref="B51:J51"/>
    <mergeCell ref="B53:J53"/>
    <mergeCell ref="B85:J85"/>
    <mergeCell ref="B284:J284"/>
    <mergeCell ref="B88:J88"/>
    <mergeCell ref="B115:J115"/>
    <mergeCell ref="B116:J116"/>
    <mergeCell ref="B118:J118"/>
    <mergeCell ref="B149:J149"/>
    <mergeCell ref="B150:J150"/>
    <mergeCell ref="B152:J152"/>
    <mergeCell ref="B216:J216"/>
    <mergeCell ref="B217:J217"/>
    <mergeCell ref="B219:J219"/>
    <mergeCell ref="B283:J283"/>
    <mergeCell ref="B627:J627"/>
    <mergeCell ref="B286:J286"/>
    <mergeCell ref="B333:J333"/>
    <mergeCell ref="B335:J335"/>
    <mergeCell ref="B440:J440"/>
    <mergeCell ref="B442:J442"/>
    <mergeCell ref="B547:J547"/>
    <mergeCell ref="B548:J548"/>
    <mergeCell ref="B550:J550"/>
    <mergeCell ref="B611:J611"/>
    <mergeCell ref="B613:J613"/>
    <mergeCell ref="B625:J625"/>
    <mergeCell ref="B821:J821"/>
    <mergeCell ref="B634:J634"/>
    <mergeCell ref="B635:J635"/>
    <mergeCell ref="B637:J637"/>
    <mergeCell ref="B689:J689"/>
    <mergeCell ref="B691:J691"/>
    <mergeCell ref="B743:J743"/>
    <mergeCell ref="B745:J745"/>
    <mergeCell ref="B768:J768"/>
    <mergeCell ref="B769:J769"/>
    <mergeCell ref="B771:J771"/>
    <mergeCell ref="B818:J818"/>
    <mergeCell ref="B975:J975"/>
    <mergeCell ref="B868:J868"/>
    <mergeCell ref="B871:J871"/>
    <mergeCell ref="B897:J897"/>
    <mergeCell ref="B899:J899"/>
    <mergeCell ref="B911:J911"/>
    <mergeCell ref="B912:J912"/>
    <mergeCell ref="B914:J914"/>
    <mergeCell ref="B926:J926"/>
    <mergeCell ref="B927:J927"/>
    <mergeCell ref="B950:J950"/>
    <mergeCell ref="B952:J952"/>
    <mergeCell ref="B976:J976"/>
    <mergeCell ref="B978:J978"/>
    <mergeCell ref="B981:B982"/>
    <mergeCell ref="C981:C982"/>
    <mergeCell ref="D981:D982"/>
    <mergeCell ref="E981:E982"/>
    <mergeCell ref="F981:F982"/>
    <mergeCell ref="G981:G982"/>
    <mergeCell ref="H981:H982"/>
    <mergeCell ref="I981:I982"/>
    <mergeCell ref="J981:J982"/>
    <mergeCell ref="B986:D986"/>
    <mergeCell ref="B987:B988"/>
    <mergeCell ref="C987:C988"/>
    <mergeCell ref="D987:D988"/>
    <mergeCell ref="E987:E988"/>
    <mergeCell ref="F987:F988"/>
    <mergeCell ref="G987:H987"/>
    <mergeCell ref="B1015:J1015"/>
    <mergeCell ref="B1028:D1028"/>
    <mergeCell ref="B992:D992"/>
    <mergeCell ref="B993:D993"/>
    <mergeCell ref="B994:J994"/>
    <mergeCell ref="B1003:J1003"/>
    <mergeCell ref="B1006:B1007"/>
    <mergeCell ref="B1010:B1011"/>
    <mergeCell ref="F1010:F1011"/>
  </mergeCells>
  <pageMargins left="0.7" right="0.7" top="0.75" bottom="0.75" header="0.3" footer="0.3"/>
  <pageSetup paperSize="9" scale="98" orientation="portrait" r:id="rId1"/>
  <rowBreaks count="2" manualBreakCount="2">
    <brk id="99" min="1" max="9" man="1"/>
    <brk id="148" min="1"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CB18F-E2EA-443D-8D09-49D79ECA3B00}">
  <dimension ref="B1:K894"/>
  <sheetViews>
    <sheetView view="pageBreakPreview" topLeftCell="A754" zoomScaleNormal="100" zoomScaleSheetLayoutView="100" workbookViewId="0">
      <selection activeCell="C769" sqref="C769"/>
    </sheetView>
  </sheetViews>
  <sheetFormatPr baseColWidth="10" defaultColWidth="11.453125" defaultRowHeight="14.5"/>
  <cols>
    <col min="1" max="1" width="5.26953125" customWidth="1"/>
    <col min="2" max="2" width="46" customWidth="1"/>
    <col min="3" max="3" width="11.453125" customWidth="1"/>
    <col min="4" max="4" width="12.54296875" bestFit="1" customWidth="1"/>
    <col min="5" max="5" width="11.453125" customWidth="1"/>
    <col min="6" max="6" width="11.54296875" customWidth="1"/>
    <col min="7" max="7" width="11.453125" customWidth="1"/>
    <col min="8" max="9" width="11.54296875" customWidth="1"/>
  </cols>
  <sheetData>
    <row r="1" spans="2:10">
      <c r="B1" s="302"/>
      <c r="C1" s="449"/>
      <c r="D1" s="449"/>
      <c r="E1" s="449"/>
      <c r="F1" s="449"/>
      <c r="G1" s="449"/>
      <c r="H1" s="449"/>
      <c r="I1" s="449"/>
      <c r="J1" s="449"/>
    </row>
    <row r="2" spans="2:10">
      <c r="B2" s="2100" t="s">
        <v>464</v>
      </c>
      <c r="C2" s="2100"/>
      <c r="D2" s="2100"/>
      <c r="E2" s="2100"/>
      <c r="F2" s="2100"/>
      <c r="G2" s="2100"/>
      <c r="H2" s="2100"/>
      <c r="I2" s="2100"/>
      <c r="J2" s="2100"/>
    </row>
    <row r="3" spans="2:10">
      <c r="B3" s="12" t="s">
        <v>463</v>
      </c>
      <c r="C3" s="449"/>
      <c r="D3" s="304"/>
      <c r="E3" s="304"/>
      <c r="F3" s="304"/>
      <c r="G3" s="304"/>
      <c r="H3" s="304"/>
      <c r="I3" s="304"/>
      <c r="J3" s="449"/>
    </row>
    <row r="4" spans="2:10">
      <c r="B4" s="76"/>
      <c r="C4" s="306"/>
      <c r="D4" s="306"/>
      <c r="E4" s="306"/>
      <c r="F4" s="306"/>
      <c r="G4" s="306"/>
      <c r="H4" s="306"/>
      <c r="I4" s="306"/>
      <c r="J4" s="306"/>
    </row>
    <row r="5" spans="2:10">
      <c r="B5" s="61"/>
      <c r="C5" s="303">
        <v>2014</v>
      </c>
      <c r="D5" s="303">
        <v>2015</v>
      </c>
      <c r="E5" s="303">
        <v>2016</v>
      </c>
      <c r="F5" s="303">
        <v>2017</v>
      </c>
      <c r="G5" s="303">
        <v>2018</v>
      </c>
      <c r="H5" s="303">
        <v>2019</v>
      </c>
      <c r="I5" s="303">
        <v>2020</v>
      </c>
      <c r="J5" s="303">
        <v>2021</v>
      </c>
    </row>
    <row r="6" spans="2:10">
      <c r="B6" s="64" t="s">
        <v>465</v>
      </c>
      <c r="C6" s="306">
        <v>8432.15</v>
      </c>
      <c r="D6" s="1248">
        <v>8577</v>
      </c>
      <c r="E6" s="1248">
        <v>8721</v>
      </c>
      <c r="F6" s="306">
        <v>8866.4</v>
      </c>
      <c r="G6" s="306">
        <v>9012.2000000000007</v>
      </c>
      <c r="H6" s="306">
        <v>9158.2999999999993</v>
      </c>
      <c r="I6" s="306">
        <v>9304.4</v>
      </c>
      <c r="J6" s="306">
        <v>9450.7000000000007</v>
      </c>
    </row>
    <row r="7" spans="2:10">
      <c r="B7" s="64" t="s">
        <v>1572</v>
      </c>
      <c r="C7" s="306">
        <f>414633.5/C12</f>
        <v>19721.639452775857</v>
      </c>
      <c r="D7" s="306">
        <f>460405.2/D11</f>
        <v>20583.576244210377</v>
      </c>
      <c r="E7" s="306">
        <f>495921.9/E12</f>
        <v>21566.622849639658</v>
      </c>
      <c r="F7" s="306">
        <f>543403/F12</f>
        <v>22975.415842424507</v>
      </c>
      <c r="G7" s="306">
        <f>575284.9/G12</f>
        <v>23900.438563688447</v>
      </c>
      <c r="H7" s="306">
        <f>614917.7/H12</f>
        <v>24915.52225780494</v>
      </c>
      <c r="I7" s="306">
        <f>585733.6/I12</f>
        <v>23662.231633895848</v>
      </c>
      <c r="J7" s="306">
        <f>684204/J12</f>
        <v>28290.70116381675</v>
      </c>
    </row>
    <row r="8" spans="2:10" ht="15.5">
      <c r="B8" s="64" t="s">
        <v>1573</v>
      </c>
      <c r="C8" s="306">
        <f>49172.9/C12</f>
        <v>2338.8611982567786</v>
      </c>
      <c r="D8" s="306">
        <f>(D7*1000000)/(D6*1000)</f>
        <v>2399.8573212324095</v>
      </c>
      <c r="E8" s="306">
        <f>(E7*1000000)/(E6*1000)</f>
        <v>2472.952969801589</v>
      </c>
      <c r="F8" s="306">
        <f t="shared" ref="F8:I8" si="0">(F7*1000000)/(F6*1000)</f>
        <v>2591.2902465966467</v>
      </c>
      <c r="G8" s="306">
        <f t="shared" si="0"/>
        <v>2652.0093388615928</v>
      </c>
      <c r="H8" s="306">
        <f t="shared" si="0"/>
        <v>2720.5400847105839</v>
      </c>
      <c r="I8" s="306">
        <f t="shared" si="0"/>
        <v>2543.1227842629128</v>
      </c>
      <c r="J8" s="306">
        <f>(J7*1000000)/(J6*1000)</f>
        <v>2993.5032498986052</v>
      </c>
    </row>
    <row r="9" spans="2:10">
      <c r="B9" s="64" t="s">
        <v>466</v>
      </c>
      <c r="C9" s="306">
        <v>5.82</v>
      </c>
      <c r="D9" s="306">
        <v>2.3571428571428577</v>
      </c>
      <c r="E9" s="306">
        <v>3.31</v>
      </c>
      <c r="F9" s="306">
        <v>4.7300000000000004</v>
      </c>
      <c r="G9" s="306">
        <v>4.22</v>
      </c>
      <c r="H9" s="306">
        <v>4.08</v>
      </c>
      <c r="I9" s="306">
        <v>4.01</v>
      </c>
      <c r="J9" s="306">
        <v>5.32</v>
      </c>
    </row>
    <row r="10" spans="2:10">
      <c r="B10" s="64" t="s">
        <v>467</v>
      </c>
      <c r="C10" s="306"/>
      <c r="D10" s="306"/>
      <c r="E10" s="306"/>
      <c r="F10" s="306"/>
      <c r="G10" s="306"/>
      <c r="H10" s="306"/>
      <c r="I10" s="306"/>
      <c r="J10" s="306"/>
    </row>
    <row r="11" spans="2:10">
      <c r="B11" s="190" t="s">
        <v>468</v>
      </c>
      <c r="C11" s="200">
        <v>21.5124</v>
      </c>
      <c r="D11" s="200">
        <v>22.367599999999999</v>
      </c>
      <c r="E11" s="200">
        <v>23.5029</v>
      </c>
      <c r="F11" s="200">
        <v>23.587900000000001</v>
      </c>
      <c r="G11" s="200">
        <v>24.338799999999999</v>
      </c>
      <c r="H11" s="200">
        <v>24.635000000000002</v>
      </c>
      <c r="I11" s="200">
        <v>24.114100000000001</v>
      </c>
      <c r="J11" s="200">
        <v>24.345400000000001</v>
      </c>
    </row>
    <row r="12" spans="2:10" ht="15" thickBot="1">
      <c r="B12" s="196" t="s">
        <v>456</v>
      </c>
      <c r="C12" s="200">
        <v>21.024291666666667</v>
      </c>
      <c r="D12" s="200">
        <v>22.098796629354624</v>
      </c>
      <c r="E12" s="200">
        <v>22.994879794463788</v>
      </c>
      <c r="F12" s="200">
        <v>23.651497919641432</v>
      </c>
      <c r="G12" s="200">
        <v>24.07005622373897</v>
      </c>
      <c r="H12" s="200">
        <v>24.680104781162001</v>
      </c>
      <c r="I12" s="200">
        <v>24.753945826518915</v>
      </c>
      <c r="J12" s="200">
        <v>24.18476643749938</v>
      </c>
    </row>
    <row r="13" spans="2:10" ht="15.75" customHeight="1" thickTop="1">
      <c r="B13" s="2025" t="s">
        <v>1727</v>
      </c>
      <c r="C13" s="2025"/>
      <c r="D13" s="2025"/>
      <c r="E13" s="2025"/>
      <c r="F13" s="2025"/>
      <c r="G13" s="2025"/>
      <c r="H13" s="2025"/>
      <c r="I13" s="2025"/>
      <c r="J13" s="2025"/>
    </row>
    <row r="14" spans="2:10" ht="15" customHeight="1">
      <c r="B14" s="2066"/>
      <c r="C14" s="2066"/>
      <c r="D14" s="2066"/>
      <c r="E14" s="2066"/>
      <c r="F14" s="2066"/>
      <c r="G14" s="2066"/>
      <c r="H14" s="2066"/>
      <c r="I14" s="2066"/>
      <c r="J14" s="2066"/>
    </row>
    <row r="15" spans="2:10">
      <c r="B15" s="64"/>
      <c r="C15" s="449"/>
      <c r="D15" s="449"/>
      <c r="E15" s="449"/>
      <c r="F15" s="449"/>
      <c r="G15" s="449"/>
      <c r="H15" s="449"/>
      <c r="I15" s="449"/>
      <c r="J15" s="449"/>
    </row>
    <row r="16" spans="2:10">
      <c r="B16" s="2100" t="s">
        <v>454</v>
      </c>
      <c r="C16" s="2100"/>
      <c r="D16" s="2100"/>
      <c r="E16" s="2100"/>
      <c r="F16" s="2100"/>
      <c r="G16" s="2100"/>
      <c r="H16" s="2100"/>
      <c r="I16" s="2100"/>
      <c r="J16" s="2100"/>
    </row>
    <row r="17" spans="2:10">
      <c r="B17" s="12" t="s">
        <v>453</v>
      </c>
      <c r="C17" s="449"/>
      <c r="D17" s="449"/>
      <c r="E17" s="449"/>
      <c r="F17" s="449"/>
      <c r="G17" s="449"/>
      <c r="H17" s="449"/>
      <c r="I17" s="449"/>
      <c r="J17" s="449"/>
    </row>
    <row r="18" spans="2:10">
      <c r="B18" s="62" t="s">
        <v>242</v>
      </c>
      <c r="C18" s="304"/>
      <c r="D18" s="304"/>
      <c r="E18" s="304"/>
      <c r="F18" s="304"/>
      <c r="G18" s="304"/>
      <c r="H18" s="304"/>
      <c r="I18" s="304"/>
      <c r="J18" s="304"/>
    </row>
    <row r="19" spans="2:10">
      <c r="B19" s="61"/>
      <c r="C19" s="303">
        <v>2014</v>
      </c>
      <c r="D19" s="303">
        <v>2015</v>
      </c>
      <c r="E19" s="303">
        <v>2016</v>
      </c>
      <c r="F19" s="303">
        <v>2017</v>
      </c>
      <c r="G19" s="303">
        <v>2018</v>
      </c>
      <c r="H19" s="303">
        <v>2019</v>
      </c>
      <c r="I19" s="303">
        <v>2020</v>
      </c>
      <c r="J19" s="303">
        <v>2021</v>
      </c>
    </row>
    <row r="20" spans="2:10">
      <c r="B20" s="188" t="s">
        <v>413</v>
      </c>
      <c r="C20" s="980">
        <f>19149.5454242236/C12</f>
        <v>910.82951700982085</v>
      </c>
      <c r="D20" s="980">
        <f>21635.0491745654/D12</f>
        <v>979.01480960401204</v>
      </c>
      <c r="E20" s="980">
        <f>24109.8026855015/E12</f>
        <v>1048.4857020781706</v>
      </c>
      <c r="F20" s="980">
        <f>28545.8470340838/F12</f>
        <v>1206.9361158887889</v>
      </c>
      <c r="G20" s="980">
        <f>29553.45972362/G12</f>
        <v>1227.8101658305663</v>
      </c>
      <c r="H20" s="980">
        <f>33416.03700523/H12</f>
        <v>1353.9665775947603</v>
      </c>
      <c r="I20" s="980">
        <f>42488.4405030031/I12</f>
        <v>1716.4310207662008</v>
      </c>
      <c r="J20" s="980">
        <f>50453.8151188786/J12</f>
        <v>2086.1816155746737</v>
      </c>
    </row>
    <row r="21" spans="2:10">
      <c r="B21" s="197" t="s">
        <v>452</v>
      </c>
      <c r="C21" s="306"/>
      <c r="D21" s="306"/>
      <c r="E21" s="306"/>
      <c r="F21" s="306"/>
      <c r="G21" s="306"/>
      <c r="H21" s="306"/>
      <c r="I21" s="306"/>
      <c r="J21" s="306"/>
    </row>
    <row r="22" spans="2:10">
      <c r="B22" s="194" t="s">
        <v>379</v>
      </c>
      <c r="C22" s="306"/>
      <c r="D22" s="306"/>
      <c r="E22" s="306"/>
      <c r="F22" s="306"/>
      <c r="G22" s="306"/>
      <c r="H22" s="306"/>
      <c r="I22" s="306"/>
      <c r="J22" s="306"/>
    </row>
    <row r="23" spans="2:10">
      <c r="B23" s="198" t="s">
        <v>451</v>
      </c>
      <c r="C23" s="980">
        <f>26372.1908580115/C12</f>
        <v>1254.3676275107882</v>
      </c>
      <c r="D23" s="980">
        <f>30644.4489175548/D12</f>
        <v>1386.7021553946824</v>
      </c>
      <c r="E23" s="1249">
        <f>34370.9374330451/E12</f>
        <v>1494.7213353696329</v>
      </c>
      <c r="F23" s="1249">
        <f>38195.9883339661/F12</f>
        <v>1614.9500747792456</v>
      </c>
      <c r="G23" s="1249">
        <f>41311.0805651368/G12</f>
        <v>1716.2851711328351</v>
      </c>
      <c r="H23" s="1249">
        <f>48537.3766640669/H12</f>
        <v>1966.6600727365972</v>
      </c>
      <c r="I23" s="1249">
        <f>63530.3360235912/I12</f>
        <v>2566.4730976154565</v>
      </c>
      <c r="J23" s="980">
        <f>64812.4721879527/J12</f>
        <v>2679.8882823800418</v>
      </c>
    </row>
    <row r="24" spans="2:10">
      <c r="B24" s="198" t="s">
        <v>450</v>
      </c>
      <c r="C24" s="980">
        <v>14385.554289635109</v>
      </c>
      <c r="D24" s="980">
        <v>11600.935534669799</v>
      </c>
      <c r="E24" s="1249">
        <v>11911.6351322763</v>
      </c>
      <c r="F24" s="1249">
        <v>12841.167189722943</v>
      </c>
      <c r="G24" s="1249">
        <v>13669.609852217109</v>
      </c>
      <c r="H24" s="1249">
        <v>11377.21757122403</v>
      </c>
      <c r="I24" s="1249">
        <v>16787.49722909425</v>
      </c>
      <c r="J24" s="980">
        <v>16627.043262288287</v>
      </c>
    </row>
    <row r="25" spans="2:10">
      <c r="B25" s="197" t="s">
        <v>449</v>
      </c>
      <c r="C25" s="980">
        <f>45521.7362822352/C12</f>
        <v>2165.1971445206136</v>
      </c>
      <c r="D25" s="980">
        <f>52279.4980921202/D12</f>
        <v>2365.7169649986945</v>
      </c>
      <c r="E25" s="1249">
        <f>58480.7401185466/E12</f>
        <v>2543.207037447803</v>
      </c>
      <c r="F25" s="1249">
        <f>66741.8353680499/F12</f>
        <v>2821.886190668034</v>
      </c>
      <c r="G25" s="1249">
        <f>70864.5402887568/G12</f>
        <v>2944.0953369634017</v>
      </c>
      <c r="H25" s="1249">
        <f>81953.4136692969/H12</f>
        <v>3320.6266503313577</v>
      </c>
      <c r="I25" s="1249">
        <f>106018.776526594/I12</f>
        <v>4282.9041183816453</v>
      </c>
      <c r="J25" s="980">
        <f>115266.287306831/J12</f>
        <v>4766.0698979547033</v>
      </c>
    </row>
    <row r="26" spans="2:10">
      <c r="B26" s="197" t="s">
        <v>448</v>
      </c>
      <c r="C26" s="158"/>
      <c r="D26" s="980"/>
      <c r="E26" s="980"/>
      <c r="F26" s="980"/>
      <c r="G26" s="980"/>
      <c r="H26" s="980"/>
      <c r="I26" s="980"/>
      <c r="J26" s="980"/>
    </row>
    <row r="27" spans="2:10">
      <c r="B27" s="195" t="s">
        <v>447</v>
      </c>
      <c r="C27" s="982">
        <v>0</v>
      </c>
      <c r="D27" s="982">
        <v>0</v>
      </c>
      <c r="E27" s="982">
        <v>0</v>
      </c>
      <c r="F27" s="982">
        <v>0</v>
      </c>
      <c r="G27" s="982">
        <v>0</v>
      </c>
      <c r="H27" s="982">
        <v>0</v>
      </c>
      <c r="I27" s="982">
        <v>0</v>
      </c>
      <c r="J27" s="982">
        <v>0</v>
      </c>
    </row>
    <row r="28" spans="2:10">
      <c r="B28" s="195" t="s">
        <v>445</v>
      </c>
      <c r="C28" s="982">
        <v>0</v>
      </c>
      <c r="D28" s="982">
        <v>0</v>
      </c>
      <c r="E28" s="982">
        <v>0</v>
      </c>
      <c r="F28" s="982">
        <v>0</v>
      </c>
      <c r="G28" s="982">
        <v>0</v>
      </c>
      <c r="H28" s="982">
        <v>0</v>
      </c>
      <c r="I28" s="982">
        <v>0</v>
      </c>
      <c r="J28" s="982">
        <v>0</v>
      </c>
    </row>
    <row r="29" spans="2:10">
      <c r="B29" s="195" t="s">
        <v>444</v>
      </c>
      <c r="C29" s="982">
        <v>0</v>
      </c>
      <c r="D29" s="982">
        <v>0</v>
      </c>
      <c r="E29" s="982">
        <v>0</v>
      </c>
      <c r="F29" s="982">
        <v>0</v>
      </c>
      <c r="G29" s="982">
        <v>0</v>
      </c>
      <c r="H29" s="982">
        <v>0</v>
      </c>
      <c r="I29" s="982">
        <v>0</v>
      </c>
      <c r="J29" s="982">
        <v>0</v>
      </c>
    </row>
    <row r="30" spans="2:10" ht="15" thickBot="1">
      <c r="B30" s="196" t="s">
        <v>443</v>
      </c>
      <c r="C30" s="983">
        <v>0</v>
      </c>
      <c r="D30" s="983">
        <v>0</v>
      </c>
      <c r="E30" s="983">
        <v>0</v>
      </c>
      <c r="F30" s="983">
        <v>0</v>
      </c>
      <c r="G30" s="983">
        <v>0</v>
      </c>
      <c r="H30" s="983">
        <v>0</v>
      </c>
      <c r="I30" s="983">
        <v>0</v>
      </c>
      <c r="J30" s="983">
        <v>0</v>
      </c>
    </row>
    <row r="31" spans="2:10" ht="15" thickTop="1">
      <c r="B31" s="2025" t="s">
        <v>1728</v>
      </c>
      <c r="C31" s="2025"/>
      <c r="D31" s="2025"/>
      <c r="E31" s="2025"/>
      <c r="F31" s="2025"/>
      <c r="G31" s="2025"/>
      <c r="H31" s="2025"/>
      <c r="I31" s="2025"/>
      <c r="J31" s="2025"/>
    </row>
    <row r="32" spans="2:10">
      <c r="B32" s="2017"/>
      <c r="C32" s="2017"/>
      <c r="D32" s="2017"/>
      <c r="E32" s="2017"/>
      <c r="F32" s="2017"/>
      <c r="G32" s="2017"/>
      <c r="H32" s="2017"/>
      <c r="I32" s="2017"/>
      <c r="J32" s="2017"/>
    </row>
    <row r="33" spans="2:10">
      <c r="B33" s="64"/>
      <c r="C33" s="449"/>
      <c r="D33" s="449"/>
      <c r="E33" s="449"/>
      <c r="F33" s="449"/>
      <c r="G33" s="449"/>
      <c r="H33" s="449"/>
      <c r="I33" s="449"/>
      <c r="J33" s="449"/>
    </row>
    <row r="34" spans="2:10">
      <c r="B34" s="2100" t="s">
        <v>442</v>
      </c>
      <c r="C34" s="2100"/>
      <c r="D34" s="2100"/>
      <c r="E34" s="2100"/>
      <c r="F34" s="2100"/>
      <c r="G34" s="2100"/>
      <c r="H34" s="2100"/>
      <c r="I34" s="2100"/>
      <c r="J34" s="2100"/>
    </row>
    <row r="35" spans="2:10">
      <c r="B35" s="12" t="s">
        <v>441</v>
      </c>
      <c r="C35" s="449"/>
      <c r="D35" s="449"/>
      <c r="E35" s="449"/>
      <c r="F35" s="449"/>
      <c r="G35" s="449"/>
      <c r="H35" s="449"/>
      <c r="I35" s="449"/>
      <c r="J35" s="449"/>
    </row>
    <row r="36" spans="2:10">
      <c r="B36" s="77" t="s">
        <v>242</v>
      </c>
      <c r="C36" s="980"/>
      <c r="D36" s="980"/>
      <c r="E36" s="980"/>
      <c r="F36" s="980"/>
      <c r="G36" s="980"/>
      <c r="H36" s="980"/>
      <c r="I36" s="980"/>
      <c r="J36" s="980"/>
    </row>
    <row r="37" spans="2:10">
      <c r="B37" s="64"/>
      <c r="C37" s="449"/>
      <c r="D37" s="449"/>
      <c r="E37" s="449"/>
      <c r="F37" s="449"/>
      <c r="G37" s="449"/>
      <c r="H37" s="449"/>
      <c r="I37" s="449"/>
      <c r="J37" s="449"/>
    </row>
    <row r="38" spans="2:10">
      <c r="B38" s="61"/>
      <c r="C38" s="303">
        <v>2014</v>
      </c>
      <c r="D38" s="303">
        <v>2015</v>
      </c>
      <c r="E38" s="303">
        <v>2016</v>
      </c>
      <c r="F38" s="303">
        <v>2017</v>
      </c>
      <c r="G38" s="303">
        <v>2018</v>
      </c>
      <c r="H38" s="303">
        <v>2019</v>
      </c>
      <c r="I38" s="303">
        <v>2020</v>
      </c>
      <c r="J38" s="303">
        <v>2021</v>
      </c>
    </row>
    <row r="39" spans="2:10">
      <c r="B39" s="188" t="s">
        <v>440</v>
      </c>
      <c r="C39" s="306">
        <f>20393.88802607/C12</f>
        <v>970.0154635128016</v>
      </c>
      <c r="D39" s="306">
        <f>22275.1432858/D12</f>
        <v>1007.9799212329566</v>
      </c>
      <c r="E39" s="306">
        <f>36290.33726572/E12</f>
        <v>1578.1920840680893</v>
      </c>
      <c r="F39" s="306">
        <f>40872.1332916373/F12</f>
        <v>1728.0991432553183</v>
      </c>
      <c r="G39" s="306">
        <f>42374.01559667/G12</f>
        <v>1760.445227164814</v>
      </c>
      <c r="H39" s="306">
        <f>46047.8084651514/H12</f>
        <v>1865.7865869475193</v>
      </c>
      <c r="I39" s="306">
        <f>85289.6882385052/I12</f>
        <v>3445.4987029637236</v>
      </c>
      <c r="J39" s="306">
        <f>75435.2217657882/J12</f>
        <v>3119.1213676069692</v>
      </c>
    </row>
    <row r="40" spans="2:10">
      <c r="B40" s="195" t="s">
        <v>470</v>
      </c>
      <c r="C40" s="984"/>
      <c r="D40" s="984"/>
      <c r="E40" s="984"/>
      <c r="F40" s="984"/>
      <c r="G40" s="984"/>
      <c r="H40" s="984"/>
      <c r="I40" s="984"/>
      <c r="J40" s="984"/>
    </row>
    <row r="41" spans="2:10">
      <c r="B41" s="150" t="s">
        <v>352</v>
      </c>
      <c r="C41" s="980">
        <f>8571.85543782/C12</f>
        <v>407.71197307019861</v>
      </c>
      <c r="D41" s="980">
        <f>9480.92468843264/D12</f>
        <v>429.02447800432662</v>
      </c>
      <c r="E41" s="980">
        <f>21083.2663758498/E12</f>
        <v>916.8678664250192</v>
      </c>
      <c r="F41" s="980">
        <f>24480.8180157953/F12</f>
        <v>1035.0641679851133</v>
      </c>
      <c r="G41" s="980">
        <f>26512.3323783004/G12</f>
        <v>1101.4653282011343</v>
      </c>
      <c r="H41" s="980">
        <f>30176.9048267733/H12</f>
        <v>1222.7219087743474</v>
      </c>
      <c r="I41" s="980">
        <f>27806.9817845278/I12</f>
        <v>1123.3353251802857</v>
      </c>
      <c r="J41" s="980">
        <f>32083.6787029737/J12</f>
        <v>1326.6069277901631</v>
      </c>
    </row>
    <row r="42" spans="2:10">
      <c r="B42" s="150" t="s">
        <v>351</v>
      </c>
      <c r="C42" s="980">
        <v>7996.2740000000003</v>
      </c>
      <c r="D42" s="980">
        <v>8390.8171000000002</v>
      </c>
      <c r="E42" s="980">
        <v>9692.8616999999995</v>
      </c>
      <c r="F42" s="980">
        <v>11003.4928</v>
      </c>
      <c r="G42" s="980">
        <v>11324.465</v>
      </c>
      <c r="H42" s="980">
        <v>11819.571099999999</v>
      </c>
      <c r="I42" s="980">
        <v>13126.829900000001</v>
      </c>
      <c r="J42" s="980">
        <v>13465.7672</v>
      </c>
    </row>
    <row r="43" spans="2:10">
      <c r="B43" s="195" t="s">
        <v>471</v>
      </c>
      <c r="C43" s="984"/>
      <c r="D43" s="984"/>
      <c r="E43" s="984"/>
      <c r="F43" s="984"/>
      <c r="G43" s="984"/>
      <c r="H43" s="984"/>
      <c r="I43" s="984"/>
      <c r="J43" s="984"/>
    </row>
    <row r="44" spans="2:10">
      <c r="B44" s="150" t="s">
        <v>1729</v>
      </c>
      <c r="C44" s="980">
        <f>1113.33838825/C12</f>
        <v>52.954858403870126</v>
      </c>
      <c r="D44" s="980">
        <f>662.278497367357/D12</f>
        <v>29.968984668044264</v>
      </c>
      <c r="E44" s="980">
        <f>606.6506898702/E12</f>
        <v>26.381990047030222</v>
      </c>
      <c r="F44" s="980">
        <f>540.789975841973/F12</f>
        <v>22.864935560503039</v>
      </c>
      <c r="G44" s="980">
        <f>618.05901836973/G12</f>
        <v>25.677506218708888</v>
      </c>
      <c r="H44" s="980">
        <f>474.829438378057/H12</f>
        <v>19.239360715376218</v>
      </c>
      <c r="I44" s="980">
        <f>39882.4942539774/I12</f>
        <v>1611.1570467788315</v>
      </c>
      <c r="J44" s="980">
        <f>25922.2354628145/J12</f>
        <v>1071.841463915116</v>
      </c>
    </row>
    <row r="45" spans="2:10">
      <c r="B45" s="150" t="s">
        <v>351</v>
      </c>
      <c r="C45" s="980">
        <v>2712.4202</v>
      </c>
      <c r="D45" s="980">
        <v>3741.123</v>
      </c>
      <c r="E45" s="980">
        <v>4907.5585000000001</v>
      </c>
      <c r="F45" s="980">
        <v>4847.0325000000003</v>
      </c>
      <c r="G45" s="980">
        <v>3919.1592000000001</v>
      </c>
      <c r="H45" s="980">
        <v>3576.5030999999999</v>
      </c>
      <c r="I45" s="980">
        <v>4473.3823000000002</v>
      </c>
      <c r="J45" s="980">
        <v>3963.5403999999999</v>
      </c>
    </row>
    <row r="46" spans="2:10">
      <c r="B46" s="150"/>
      <c r="J46" s="984"/>
    </row>
    <row r="47" spans="2:10">
      <c r="B47" s="188" t="s">
        <v>437</v>
      </c>
      <c r="C47" s="980">
        <f>302.6937796/C12</f>
        <v>14.397335444119205</v>
      </c>
      <c r="D47" s="980">
        <f>256.26974323/D12</f>
        <v>11.596547428722328</v>
      </c>
      <c r="E47" s="980">
        <f>390.93790045/E12</f>
        <v>17.001084760796253</v>
      </c>
      <c r="F47" s="980">
        <f>828.29949904/F12</f>
        <v>35.021016506195032</v>
      </c>
      <c r="G47" s="980">
        <f>1018.1217348/G12</f>
        <v>42.298269905821101</v>
      </c>
      <c r="H47" s="980">
        <f>1441.7/H12</f>
        <v>58.415473223615756</v>
      </c>
      <c r="I47" s="980">
        <f>3213.77337324/I12</f>
        <v>129.82873097334982</v>
      </c>
      <c r="J47" s="980">
        <f>3647.96499421/J12</f>
        <v>150.83730511259742</v>
      </c>
    </row>
    <row r="48" spans="2:10" ht="15" thickBot="1">
      <c r="B48" s="193" t="s">
        <v>436</v>
      </c>
      <c r="C48" s="306">
        <f>0/C12</f>
        <v>0</v>
      </c>
      <c r="D48" s="306">
        <f>1910/D12</f>
        <v>86.43004558279334</v>
      </c>
      <c r="E48" s="306">
        <f>2124/E12</f>
        <v>92.368388918970169</v>
      </c>
      <c r="F48" s="306">
        <f>4537/F12</f>
        <v>191.82717371284292</v>
      </c>
      <c r="G48" s="306">
        <f>8315/G12</f>
        <v>345.44996167476228</v>
      </c>
      <c r="H48" s="306">
        <f>500/H12</f>
        <v>20.259233274473107</v>
      </c>
      <c r="I48" s="306">
        <f>1000/I12</f>
        <v>40.397599922380834</v>
      </c>
      <c r="J48" s="306">
        <f>250/J12</f>
        <v>10.337085563595343</v>
      </c>
    </row>
    <row r="49" spans="2:10" ht="15" thickTop="1">
      <c r="B49" s="2025" t="s">
        <v>1728</v>
      </c>
      <c r="C49" s="2025"/>
      <c r="D49" s="2025"/>
      <c r="E49" s="2025"/>
      <c r="F49" s="2025"/>
      <c r="G49" s="2025"/>
      <c r="H49" s="2025"/>
      <c r="I49" s="2025"/>
      <c r="J49" s="2025"/>
    </row>
    <row r="50" spans="2:10" ht="15" customHeight="1">
      <c r="B50" s="2017"/>
      <c r="C50" s="2017"/>
      <c r="D50" s="2017"/>
      <c r="E50" s="2017"/>
      <c r="F50" s="2017"/>
      <c r="G50" s="2017"/>
      <c r="H50" s="2017"/>
      <c r="I50" s="2017"/>
      <c r="J50" s="2017"/>
    </row>
    <row r="51" spans="2:10">
      <c r="B51" s="64"/>
      <c r="C51" s="449"/>
      <c r="D51" s="449"/>
      <c r="E51" s="449"/>
      <c r="F51" s="449"/>
      <c r="G51" s="449"/>
      <c r="H51" s="449"/>
      <c r="I51" s="449"/>
      <c r="J51" s="449"/>
    </row>
    <row r="52" spans="2:10">
      <c r="B52" s="2100" t="s">
        <v>434</v>
      </c>
      <c r="C52" s="2100"/>
      <c r="D52" s="2100"/>
      <c r="E52" s="2100"/>
      <c r="F52" s="2100"/>
      <c r="G52" s="2100"/>
      <c r="H52" s="2100"/>
      <c r="I52" s="2100"/>
      <c r="J52" s="2100"/>
    </row>
    <row r="53" spans="2:10">
      <c r="B53" s="12" t="s">
        <v>433</v>
      </c>
      <c r="C53" s="449"/>
      <c r="D53" s="449"/>
      <c r="E53" s="449"/>
      <c r="F53" s="449"/>
      <c r="G53" s="449"/>
      <c r="H53" s="449"/>
      <c r="I53" s="449"/>
      <c r="J53" s="449"/>
    </row>
    <row r="54" spans="2:10">
      <c r="B54" s="62" t="s">
        <v>242</v>
      </c>
      <c r="C54" s="449"/>
      <c r="D54" s="449"/>
      <c r="E54" s="449"/>
      <c r="F54" s="449"/>
      <c r="G54" s="449"/>
      <c r="H54" s="449"/>
      <c r="I54" s="449"/>
      <c r="J54" s="449"/>
    </row>
    <row r="55" spans="2:10">
      <c r="B55" s="64"/>
      <c r="C55" s="449"/>
      <c r="D55" s="449"/>
      <c r="E55" s="449"/>
      <c r="F55" s="449"/>
      <c r="G55" s="449"/>
      <c r="H55" s="449"/>
      <c r="I55" s="449"/>
      <c r="J55" s="449"/>
    </row>
    <row r="56" spans="2:10">
      <c r="B56" s="61"/>
      <c r="C56" s="303">
        <v>2014</v>
      </c>
      <c r="D56" s="303">
        <v>2015</v>
      </c>
      <c r="E56" s="303">
        <v>2016</v>
      </c>
      <c r="F56" s="303">
        <v>2017</v>
      </c>
      <c r="G56" s="303">
        <v>2018</v>
      </c>
      <c r="H56" s="303">
        <v>2019</v>
      </c>
      <c r="I56" s="303">
        <v>2020</v>
      </c>
      <c r="J56" s="303">
        <v>2021</v>
      </c>
    </row>
    <row r="57" spans="2:10">
      <c r="B57" s="64" t="s">
        <v>432</v>
      </c>
      <c r="C57" s="986">
        <f>C59+C71</f>
        <v>473.06811367009993</v>
      </c>
      <c r="D57" s="986">
        <f>D59+D71</f>
        <v>300.26340851455603</v>
      </c>
      <c r="E57" s="1250">
        <f>E59+E71</f>
        <v>709.13569219552608</v>
      </c>
      <c r="F57" s="986">
        <f t="shared" ref="F57:J57" si="1">F59+F71</f>
        <v>434.05496069974237</v>
      </c>
      <c r="G57" s="986">
        <f t="shared" si="1"/>
        <v>638.21620760691894</v>
      </c>
      <c r="H57" s="986">
        <f t="shared" si="1"/>
        <v>298.27620527846892</v>
      </c>
      <c r="I57" s="1250">
        <f t="shared" si="1"/>
        <v>717.33089441349443</v>
      </c>
      <c r="J57" s="986">
        <f t="shared" si="1"/>
        <v>829.0702311232734</v>
      </c>
    </row>
    <row r="58" spans="2:10">
      <c r="B58" s="62"/>
      <c r="C58" s="304"/>
      <c r="D58" s="304"/>
      <c r="E58" s="304"/>
      <c r="F58" s="304"/>
      <c r="G58" s="304"/>
      <c r="H58" s="304"/>
      <c r="I58" s="1251"/>
      <c r="J58" s="1251"/>
    </row>
    <row r="59" spans="2:10">
      <c r="B59" s="1252" t="s">
        <v>431</v>
      </c>
      <c r="C59" s="304">
        <f>SUM(C61:C69)</f>
        <v>472.32269022143043</v>
      </c>
      <c r="D59" s="304">
        <f>SUM(D61:D69)</f>
        <v>299.72446514131462</v>
      </c>
      <c r="E59" s="304">
        <f>SUM(E61:E69)</f>
        <v>708.73386361096334</v>
      </c>
      <c r="F59" s="304">
        <f t="shared" ref="F59:H59" si="2">SUM(F61:F69)</f>
        <v>433.04233984666268</v>
      </c>
      <c r="G59" s="304">
        <f t="shared" si="2"/>
        <v>637.7887054895848</v>
      </c>
      <c r="H59" s="304">
        <f t="shared" si="2"/>
        <v>297.99306223422491</v>
      </c>
      <c r="I59" s="1253">
        <f>SUM(I61:I69)</f>
        <v>716.95236890222168</v>
      </c>
      <c r="J59" s="304">
        <f>SUM(J61:J69)</f>
        <v>828.77707137668983</v>
      </c>
    </row>
    <row r="60" spans="2:10">
      <c r="B60" s="988" t="s">
        <v>472</v>
      </c>
      <c r="C60" s="986"/>
      <c r="D60" s="304"/>
      <c r="E60" s="304"/>
      <c r="F60" s="304"/>
      <c r="G60" s="304"/>
      <c r="H60" s="304"/>
      <c r="I60" s="304"/>
      <c r="J60" s="304"/>
    </row>
    <row r="61" spans="2:10">
      <c r="B61" s="989" t="s">
        <v>1730</v>
      </c>
      <c r="C61" s="986">
        <f>6625/C12</f>
        <v>315.11168628352522</v>
      </c>
      <c r="D61" s="986">
        <f>5000/D12</f>
        <v>226.25666382930194</v>
      </c>
      <c r="E61" s="986">
        <f>12525/E12</f>
        <v>544.68647420437912</v>
      </c>
      <c r="F61" s="986">
        <f>7100/F12</f>
        <v>300.19240320943021</v>
      </c>
      <c r="G61" s="986">
        <f>11830/G12</f>
        <v>491.48202605080428</v>
      </c>
      <c r="H61" s="986">
        <f>5200/H12</f>
        <v>210.6960260545203</v>
      </c>
      <c r="I61" s="1250">
        <f>14280/I12</f>
        <v>576.8777268915984</v>
      </c>
      <c r="J61" s="986">
        <f>12570/J12</f>
        <v>519.74866213757377</v>
      </c>
    </row>
    <row r="62" spans="2:10">
      <c r="B62" s="989" t="s">
        <v>1731</v>
      </c>
      <c r="C62" s="986">
        <v>0</v>
      </c>
      <c r="D62" s="986">
        <f t="shared" ref="D62:I62" si="3">0/D12</f>
        <v>0</v>
      </c>
      <c r="E62" s="986">
        <f t="shared" si="3"/>
        <v>0</v>
      </c>
      <c r="F62" s="986">
        <f t="shared" si="3"/>
        <v>0</v>
      </c>
      <c r="G62" s="986">
        <f t="shared" si="3"/>
        <v>0</v>
      </c>
      <c r="H62" s="986">
        <f t="shared" si="3"/>
        <v>0</v>
      </c>
      <c r="I62" s="986">
        <f t="shared" si="3"/>
        <v>0</v>
      </c>
      <c r="J62" s="986">
        <f>4164/J12</f>
        <v>172.17449714724401</v>
      </c>
    </row>
    <row r="63" spans="2:10">
      <c r="B63" s="989" t="s">
        <v>1732</v>
      </c>
      <c r="C63" s="986">
        <f>2325/C12</f>
        <v>110.586365374973</v>
      </c>
      <c r="D63" s="986">
        <f>900/D12</f>
        <v>40.72619948927435</v>
      </c>
      <c r="E63" s="986">
        <f>2675/E12</f>
        <v>116.33024498975763</v>
      </c>
      <c r="F63" s="986">
        <f>2000/F12</f>
        <v>84.561240340684563</v>
      </c>
      <c r="G63" s="986">
        <f>2214/G12</f>
        <v>91.981505129034716</v>
      </c>
      <c r="H63" s="986">
        <f>1320/H12</f>
        <v>53.484375844608998</v>
      </c>
      <c r="I63" s="1250">
        <f>2553/I12</f>
        <v>103.13507260183827</v>
      </c>
      <c r="J63" s="986">
        <f>1949/J12</f>
        <v>80.587919053789292</v>
      </c>
    </row>
    <row r="64" spans="2:10">
      <c r="B64" s="989" t="s">
        <v>1733</v>
      </c>
      <c r="C64" s="986">
        <f>462.5/C12</f>
        <v>21.99836300469893</v>
      </c>
      <c r="D64" s="986">
        <f>250/D12</f>
        <v>11.312833191465097</v>
      </c>
      <c r="E64" s="986">
        <f>450/E12</f>
        <v>19.569573923510628</v>
      </c>
      <c r="F64" s="986">
        <f>517.5/F12</f>
        <v>21.880220938152128</v>
      </c>
      <c r="G64" s="986">
        <f>599/G12</f>
        <v>24.885691767069464</v>
      </c>
      <c r="H64" s="986">
        <f>192/H12</f>
        <v>7.7795455773976725</v>
      </c>
      <c r="I64" s="1250">
        <f>310/I12</f>
        <v>12.52325597593806</v>
      </c>
      <c r="J64" s="986">
        <f>490/J12</f>
        <v>20.26068770464687</v>
      </c>
    </row>
    <row r="65" spans="2:10">
      <c r="B65" s="989" t="s">
        <v>1734</v>
      </c>
      <c r="C65" s="986">
        <f>170/C12</f>
        <v>8.0858847801055518</v>
      </c>
      <c r="D65" s="986">
        <f>160/D12</f>
        <v>7.2402132425376626</v>
      </c>
      <c r="E65" s="986">
        <f>265/E12</f>
        <v>11.524304643845149</v>
      </c>
      <c r="F65" s="986">
        <f>195/F12</f>
        <v>8.2447209332167439</v>
      </c>
      <c r="G65" s="986">
        <f>298.4/G12</f>
        <v>12.397145948737109</v>
      </c>
      <c r="H65" s="986">
        <f>284.6/H12</f>
        <v>11.531555579830092</v>
      </c>
      <c r="I65" s="1250">
        <f>321.2/I12</f>
        <v>12.975709095068725</v>
      </c>
      <c r="J65" s="986">
        <f>415.8/J12</f>
        <v>17.192640709371773</v>
      </c>
    </row>
    <row r="66" spans="2:10">
      <c r="B66" s="989" t="s">
        <v>1735</v>
      </c>
      <c r="C66" s="986">
        <f>167.5/C12</f>
        <v>7.9669747098098824</v>
      </c>
      <c r="D66" s="986">
        <f>154.5/D12</f>
        <v>6.9913309123254299</v>
      </c>
      <c r="E66" s="986">
        <f>200/E12</f>
        <v>8.6975884104491676</v>
      </c>
      <c r="F66" s="986">
        <f>212/F12</f>
        <v>8.9634914761125639</v>
      </c>
      <c r="G66" s="986">
        <f>201.5/G12</f>
        <v>8.3713971470191932</v>
      </c>
      <c r="H66" s="986">
        <f>176.5/H12</f>
        <v>7.1515093458890062</v>
      </c>
      <c r="I66" s="1250">
        <f>159.8/I12</f>
        <v>6.4555364675964579</v>
      </c>
      <c r="J66" s="986">
        <f>227.1/J12</f>
        <v>9.3902085259700083</v>
      </c>
    </row>
    <row r="67" spans="2:10">
      <c r="B67" s="989" t="s">
        <v>1736</v>
      </c>
      <c r="C67" s="986">
        <f>106.25/C12</f>
        <v>5.0536779875659708</v>
      </c>
      <c r="D67" s="986">
        <f>92.25/D12</f>
        <v>4.1744354476506205</v>
      </c>
      <c r="E67" s="986">
        <f>103.5/E12</f>
        <v>4.5010020024074446</v>
      </c>
      <c r="F67" s="986">
        <f>122.5/F12</f>
        <v>5.1793759708669294</v>
      </c>
      <c r="G67" s="986">
        <f>112.35/G12</f>
        <v>4.6676251586481703</v>
      </c>
      <c r="H67" s="986">
        <f>119.8/H12</f>
        <v>4.8541122925637561</v>
      </c>
      <c r="I67" s="1250">
        <f>76.2/I12</f>
        <v>3.0782971140854198</v>
      </c>
      <c r="J67" s="986">
        <f>121.8/J12</f>
        <v>5.0362280865836508</v>
      </c>
    </row>
    <row r="68" spans="2:10">
      <c r="B68" s="989" t="s">
        <v>1737</v>
      </c>
      <c r="C68" s="986">
        <f>29/C12</f>
        <v>1.3793568154297706</v>
      </c>
      <c r="D68" s="986">
        <f>21.8/D12</f>
        <v>0.98647905429575655</v>
      </c>
      <c r="E68" s="986">
        <f>30.5/E12</f>
        <v>1.3263822325934982</v>
      </c>
      <c r="F68" s="986">
        <f>42.6/F12</f>
        <v>1.8011544192565812</v>
      </c>
      <c r="G68" s="986">
        <f>37.74/G12</f>
        <v>1.5679232175111881</v>
      </c>
      <c r="H68" s="986">
        <f>22.48/H12</f>
        <v>0.91085512802031088</v>
      </c>
      <c r="I68" s="1250">
        <f>14.12/I12</f>
        <v>0.57041411090401739</v>
      </c>
      <c r="J68" s="986">
        <f>41.96/J12</f>
        <v>1.7349764409938422</v>
      </c>
    </row>
    <row r="69" spans="2:10">
      <c r="B69" s="989" t="s">
        <v>1738</v>
      </c>
      <c r="C69" s="986">
        <f>45/C12</f>
        <v>2.1403812653220582</v>
      </c>
      <c r="D69" s="986">
        <f>45/D12</f>
        <v>2.0363099744637174</v>
      </c>
      <c r="E69" s="986">
        <f>48.25/E12</f>
        <v>2.0982932040208619</v>
      </c>
      <c r="F69" s="986">
        <f>52.5/F12</f>
        <v>2.2197325589429697</v>
      </c>
      <c r="G69" s="1254">
        <f>58.62/G12</f>
        <v>2.435391070760621</v>
      </c>
      <c r="H69" s="986">
        <f>39.12/H12</f>
        <v>1.5850824113947757</v>
      </c>
      <c r="I69" s="1250">
        <f>33.0801/I12</f>
        <v>1.3363566451923503</v>
      </c>
      <c r="J69" s="986">
        <f>64.1199/J12</f>
        <v>2.6512515705167079</v>
      </c>
    </row>
    <row r="70" spans="2:10">
      <c r="B70" s="190"/>
      <c r="C70" s="304"/>
      <c r="D70" s="304"/>
      <c r="E70" s="304"/>
      <c r="F70" s="304"/>
      <c r="G70" s="304"/>
      <c r="H70" s="304"/>
      <c r="I70" s="304"/>
      <c r="J70" s="304"/>
    </row>
    <row r="71" spans="2:10">
      <c r="B71" s="64" t="s">
        <v>424</v>
      </c>
      <c r="C71" s="304">
        <f>SUM(C73:C78)</f>
        <v>0.74542344866949539</v>
      </c>
      <c r="D71" s="304">
        <f>SUM(D72:D78)</f>
        <v>0.53894337324139718</v>
      </c>
      <c r="E71" s="1253">
        <f t="shared" ref="E71:G71" si="4">SUM(E72:E78)</f>
        <v>0.40182858456275161</v>
      </c>
      <c r="F71" s="304">
        <f t="shared" si="4"/>
        <v>1.0126208530796976</v>
      </c>
      <c r="G71" s="304">
        <f t="shared" si="4"/>
        <v>0.42750211733413152</v>
      </c>
      <c r="H71" s="304">
        <f>SUM(H72:H78)</f>
        <v>0.28314304424403619</v>
      </c>
      <c r="I71" s="1253">
        <f t="shared" ref="I71:J71" si="5">SUM(I72:I78)</f>
        <v>0.37852551127270845</v>
      </c>
      <c r="J71" s="304">
        <f t="shared" si="5"/>
        <v>0.29315974658356386</v>
      </c>
    </row>
    <row r="72" spans="2:10">
      <c r="B72" s="988" t="s">
        <v>472</v>
      </c>
      <c r="C72" s="304"/>
      <c r="D72" s="304"/>
      <c r="E72" s="304"/>
      <c r="F72" s="304"/>
      <c r="G72" s="304"/>
      <c r="H72" s="304"/>
      <c r="I72" s="304"/>
      <c r="J72" s="304"/>
    </row>
    <row r="73" spans="2:10">
      <c r="B73" s="989" t="s">
        <v>1739</v>
      </c>
      <c r="C73" s="986">
        <f>6.45/C12</f>
        <v>0.30678798136282831</v>
      </c>
      <c r="D73" s="986">
        <f>5.26/D12</f>
        <v>0.23802201034842563</v>
      </c>
      <c r="E73" s="1250">
        <f>3.54/E12</f>
        <v>0.15394731486495028</v>
      </c>
      <c r="F73" s="986">
        <f>9.5/F12</f>
        <v>0.40166589161825167</v>
      </c>
      <c r="G73" s="986">
        <f>4.12/G12</f>
        <v>0.17116702851473489</v>
      </c>
      <c r="H73" s="1250">
        <f>3.39/H12</f>
        <v>0.13735760160092766</v>
      </c>
      <c r="I73" s="1250">
        <f>3.97/I12</f>
        <v>0.16037847169185193</v>
      </c>
      <c r="J73" s="986">
        <f>4.63/J12</f>
        <v>0.19144282463778572</v>
      </c>
    </row>
    <row r="74" spans="2:10">
      <c r="B74" s="989" t="s">
        <v>1740</v>
      </c>
      <c r="C74" s="986">
        <f>5.45/C12</f>
        <v>0.25922395324456038</v>
      </c>
      <c r="D74" s="986">
        <f>3.84/D12</f>
        <v>0.1737651178209039</v>
      </c>
      <c r="E74" s="1250">
        <f>3.38/E12</f>
        <v>0.14698924413659095</v>
      </c>
      <c r="F74" s="986">
        <f>7.83/F12</f>
        <v>0.33105725593378005</v>
      </c>
      <c r="G74" s="986">
        <f>5.2/G12</f>
        <v>0.21603605540694695</v>
      </c>
      <c r="H74" s="1250">
        <f>2.688/H12</f>
        <v>0.10891363808356742</v>
      </c>
      <c r="I74" s="1250">
        <f>4.56/I12</f>
        <v>0.18421305564605661</v>
      </c>
      <c r="J74" s="986">
        <f>1.44/J12</f>
        <v>5.9541612846309169E-2</v>
      </c>
    </row>
    <row r="75" spans="2:10">
      <c r="B75" s="989" t="s">
        <v>1741</v>
      </c>
      <c r="C75" s="986">
        <f>2.372/C12</f>
        <v>0.11282187469653158</v>
      </c>
      <c r="D75" s="986">
        <f>1.82/D12</f>
        <v>8.2357425633865916E-2</v>
      </c>
      <c r="E75" s="1250">
        <f>1.6/E12</f>
        <v>6.9580707283593349E-2</v>
      </c>
      <c r="F75" s="986">
        <f>4.84/F12</f>
        <v>0.20463820162445662</v>
      </c>
      <c r="G75" s="986">
        <f>0.77/G12</f>
        <v>3.1989954358336375E-2</v>
      </c>
      <c r="H75" s="1250">
        <f>0.39/H12</f>
        <v>1.5802201954089021E-2</v>
      </c>
      <c r="I75" s="1250">
        <f>0.15/I12</f>
        <v>6.0596399883571257E-3</v>
      </c>
      <c r="J75" s="986">
        <f>0.59/J12</f>
        <v>2.4395521930085005E-2</v>
      </c>
    </row>
    <row r="76" spans="2:10">
      <c r="B76" s="989" t="s">
        <v>1742</v>
      </c>
      <c r="C76" s="986">
        <f>1.4/C12</f>
        <v>6.6589639365575132E-2</v>
      </c>
      <c r="D76" s="986">
        <f>0.99/D12</f>
        <v>4.4798819438201784E-2</v>
      </c>
      <c r="E76" s="1250">
        <f>0.72/E12</f>
        <v>3.1311318277617003E-2</v>
      </c>
      <c r="F76" s="986">
        <f>1.78/F12</f>
        <v>7.5259503903209263E-2</v>
      </c>
      <c r="G76" s="986">
        <f>0.2/G12</f>
        <v>8.3090790541133445E-3</v>
      </c>
      <c r="H76" s="986">
        <f>0.52/H12</f>
        <v>2.1069602605452032E-2</v>
      </c>
      <c r="I76" s="1250">
        <f>0.69/I12</f>
        <v>2.7874343946442774E-2</v>
      </c>
      <c r="J76" s="986">
        <f>0.43/J12</f>
        <v>1.7779787169383988E-2</v>
      </c>
    </row>
    <row r="77" spans="2:10">
      <c r="B77" s="989" t="s">
        <v>1743</v>
      </c>
      <c r="C77" s="986">
        <f t="shared" ref="C77:J77" si="6">0/C12</f>
        <v>0</v>
      </c>
      <c r="D77" s="986">
        <f t="shared" si="6"/>
        <v>0</v>
      </c>
      <c r="E77" s="986">
        <f t="shared" si="6"/>
        <v>0</v>
      </c>
      <c r="F77" s="986">
        <f t="shared" si="6"/>
        <v>0</v>
      </c>
      <c r="G77" s="986">
        <f t="shared" si="6"/>
        <v>0</v>
      </c>
      <c r="H77" s="986">
        <f t="shared" si="6"/>
        <v>0</v>
      </c>
      <c r="I77" s="986">
        <f t="shared" si="6"/>
        <v>0</v>
      </c>
      <c r="J77" s="986">
        <f t="shared" si="6"/>
        <v>0</v>
      </c>
    </row>
    <row r="78" spans="2:10">
      <c r="B78" s="989" t="s">
        <v>1744</v>
      </c>
      <c r="C78" s="986">
        <f t="shared" ref="C78:J78" si="7">0/C12</f>
        <v>0</v>
      </c>
      <c r="D78" s="986">
        <f t="shared" si="7"/>
        <v>0</v>
      </c>
      <c r="E78" s="986">
        <f t="shared" si="7"/>
        <v>0</v>
      </c>
      <c r="F78" s="986">
        <f t="shared" si="7"/>
        <v>0</v>
      </c>
      <c r="G78" s="986">
        <f t="shared" si="7"/>
        <v>0</v>
      </c>
      <c r="H78" s="986">
        <f t="shared" si="7"/>
        <v>0</v>
      </c>
      <c r="I78" s="986">
        <f t="shared" si="7"/>
        <v>0</v>
      </c>
      <c r="J78" s="986">
        <f t="shared" si="7"/>
        <v>0</v>
      </c>
    </row>
    <row r="79" spans="2:10">
      <c r="B79" s="190"/>
      <c r="C79" s="304"/>
      <c r="D79" s="304"/>
      <c r="E79" s="304"/>
      <c r="F79" s="304"/>
      <c r="G79" s="304"/>
      <c r="H79" s="304"/>
      <c r="I79" s="304"/>
      <c r="J79" s="304"/>
    </row>
    <row r="80" spans="2:10">
      <c r="B80" s="197" t="s">
        <v>414</v>
      </c>
      <c r="C80" s="986">
        <f>7003.45716553/C12</f>
        <v>333.11263354635412</v>
      </c>
      <c r="D80" s="1250">
        <f>7558.28534877/D12</f>
        <v>342.02248545651844</v>
      </c>
      <c r="E80" s="1250">
        <f>6888.25685229/E12</f>
        <v>299.55611483337287</v>
      </c>
      <c r="F80" s="1250">
        <f>8637.12526629/F12</f>
        <v>365.18301274767396</v>
      </c>
      <c r="G80" s="1250">
        <f>9362.64914134/G12</f>
        <v>388.97495935660237</v>
      </c>
      <c r="H80" s="1250">
        <f>9794.9885288/H12</f>
        <v>396.87791505149471</v>
      </c>
      <c r="I80" s="1250">
        <f>10587.92746068/I12</f>
        <v>427.72685756374034</v>
      </c>
      <c r="J80" s="986">
        <f>11537.76088431/J12</f>
        <v>477.06728589366372</v>
      </c>
    </row>
    <row r="81" spans="2:11" ht="15" thickBot="1">
      <c r="B81" s="208" t="s">
        <v>413</v>
      </c>
      <c r="C81" s="986">
        <f>19149.5454242236/C12</f>
        <v>910.82951700982085</v>
      </c>
      <c r="D81" s="1255">
        <f>21635.0491745654/D12</f>
        <v>979.01480960401204</v>
      </c>
      <c r="E81" s="1255">
        <f>24109.8026855015/E12</f>
        <v>1048.4857020781706</v>
      </c>
      <c r="F81" s="1255">
        <f>28545.8470340838/F12</f>
        <v>1206.9361158887889</v>
      </c>
      <c r="G81" s="1255">
        <f>29553.45972362/G12</f>
        <v>1227.8101658305663</v>
      </c>
      <c r="H81" s="1255">
        <f>33416.03700523/H12</f>
        <v>1353.9665775947603</v>
      </c>
      <c r="I81" s="1255">
        <f>42488.4405030031/I12</f>
        <v>1716.4310207662008</v>
      </c>
      <c r="J81" s="991">
        <f>50453.8151188786/J12</f>
        <v>2086.1816155746737</v>
      </c>
    </row>
    <row r="82" spans="2:11" ht="15" thickTop="1">
      <c r="B82" s="2025" t="s">
        <v>1745</v>
      </c>
      <c r="C82" s="2025"/>
      <c r="D82" s="2025"/>
      <c r="E82" s="2025"/>
      <c r="F82" s="2025"/>
      <c r="G82" s="2025"/>
      <c r="H82" s="2025"/>
      <c r="I82" s="2025"/>
      <c r="J82" s="2025"/>
      <c r="K82" s="2031"/>
    </row>
    <row r="83" spans="2:11">
      <c r="B83" s="2017"/>
      <c r="C83" s="2017"/>
      <c r="D83" s="2017"/>
      <c r="E83" s="2017"/>
      <c r="F83" s="2017"/>
      <c r="G83" s="2017"/>
      <c r="H83" s="2017"/>
      <c r="I83" s="2017"/>
      <c r="J83" s="2017"/>
    </row>
    <row r="84" spans="2:11">
      <c r="B84" s="64"/>
      <c r="C84" s="449"/>
      <c r="D84" s="449"/>
      <c r="E84" s="449"/>
      <c r="F84" s="449"/>
      <c r="G84" s="449"/>
      <c r="H84" s="449"/>
      <c r="I84" s="449"/>
      <c r="J84" s="449"/>
    </row>
    <row r="85" spans="2:11">
      <c r="B85" s="2100" t="s">
        <v>411</v>
      </c>
      <c r="C85" s="2100"/>
      <c r="D85" s="2100"/>
      <c r="E85" s="2100"/>
      <c r="F85" s="2100"/>
      <c r="G85" s="2100"/>
      <c r="H85" s="2100"/>
      <c r="I85" s="2100"/>
      <c r="J85" s="2100"/>
    </row>
    <row r="86" spans="2:11">
      <c r="B86" s="12" t="s">
        <v>410</v>
      </c>
      <c r="C86" s="449"/>
      <c r="D86" s="449"/>
      <c r="E86" s="449"/>
      <c r="F86" s="449"/>
      <c r="G86" s="449"/>
      <c r="H86" s="449"/>
      <c r="I86" s="449"/>
      <c r="J86" s="449"/>
    </row>
    <row r="87" spans="2:11">
      <c r="B87" s="62" t="s">
        <v>409</v>
      </c>
      <c r="C87" s="449"/>
      <c r="D87" s="449"/>
      <c r="E87" s="449"/>
      <c r="F87" s="449"/>
      <c r="G87" s="449"/>
      <c r="H87" s="449"/>
      <c r="I87" s="449"/>
      <c r="J87" s="449"/>
    </row>
    <row r="88" spans="2:11">
      <c r="B88" s="64"/>
      <c r="C88" s="449"/>
      <c r="D88" s="449"/>
      <c r="E88" s="449"/>
      <c r="F88" s="449"/>
      <c r="G88" s="449"/>
      <c r="H88" s="449"/>
      <c r="I88" s="449"/>
      <c r="J88" s="449"/>
    </row>
    <row r="89" spans="2:11">
      <c r="B89" s="61"/>
      <c r="C89" s="303">
        <v>2014</v>
      </c>
      <c r="D89" s="303">
        <v>2015</v>
      </c>
      <c r="E89" s="303">
        <v>2016</v>
      </c>
      <c r="F89" s="303">
        <v>2017</v>
      </c>
      <c r="G89" s="303">
        <v>2018</v>
      </c>
      <c r="H89" s="303">
        <v>2019</v>
      </c>
      <c r="I89" s="303">
        <v>2020</v>
      </c>
      <c r="J89" s="303">
        <v>2021</v>
      </c>
    </row>
    <row r="90" spans="2:11">
      <c r="B90" s="114" t="s">
        <v>262</v>
      </c>
      <c r="C90" s="449"/>
      <c r="D90" s="449"/>
      <c r="E90" s="449"/>
      <c r="F90" s="449"/>
      <c r="G90" s="449"/>
      <c r="H90" s="449"/>
      <c r="I90" s="449"/>
      <c r="J90" s="449"/>
    </row>
    <row r="91" spans="2:11">
      <c r="B91" s="186" t="s">
        <v>408</v>
      </c>
      <c r="C91" s="992">
        <v>4</v>
      </c>
      <c r="D91" s="992">
        <v>4</v>
      </c>
      <c r="E91" s="992">
        <v>4</v>
      </c>
      <c r="F91" s="992">
        <v>4</v>
      </c>
      <c r="G91" s="992">
        <v>4</v>
      </c>
      <c r="H91" s="992">
        <v>4</v>
      </c>
      <c r="I91" s="992">
        <v>4</v>
      </c>
      <c r="J91" s="992">
        <v>4</v>
      </c>
    </row>
    <row r="92" spans="2:11">
      <c r="B92" s="65" t="s">
        <v>407</v>
      </c>
      <c r="C92" s="431">
        <v>52</v>
      </c>
      <c r="D92" s="1256">
        <v>65</v>
      </c>
      <c r="E92" s="1256">
        <v>64</v>
      </c>
      <c r="F92" s="1256">
        <v>66</v>
      </c>
      <c r="G92" s="1256">
        <v>70</v>
      </c>
      <c r="H92" s="1256">
        <v>76</v>
      </c>
      <c r="I92" s="1256">
        <v>87</v>
      </c>
      <c r="J92" s="431">
        <v>95</v>
      </c>
    </row>
    <row r="93" spans="2:11">
      <c r="B93" s="65" t="s">
        <v>406</v>
      </c>
      <c r="C93" s="431">
        <v>908</v>
      </c>
      <c r="D93" s="1256">
        <v>915</v>
      </c>
      <c r="E93" s="1256">
        <v>838</v>
      </c>
      <c r="F93" s="1256">
        <v>885</v>
      </c>
      <c r="G93" s="1256">
        <v>935</v>
      </c>
      <c r="H93" s="1256">
        <v>962</v>
      </c>
      <c r="I93" s="1256">
        <v>1029</v>
      </c>
      <c r="J93" s="431">
        <v>1043</v>
      </c>
    </row>
    <row r="94" spans="2:11">
      <c r="B94" s="186" t="s">
        <v>401</v>
      </c>
      <c r="C94" s="986">
        <v>43.378640893319997</v>
      </c>
      <c r="D94" s="1250">
        <v>19.400474052149995</v>
      </c>
      <c r="E94" s="1250">
        <v>14.166470340590019</v>
      </c>
      <c r="F94" s="1250">
        <v>16.828232864890015</v>
      </c>
      <c r="G94" s="1250">
        <v>22.933542600569986</v>
      </c>
      <c r="H94" s="1250">
        <v>25.677596877820019</v>
      </c>
      <c r="I94" s="1250">
        <v>29.266199160059998</v>
      </c>
      <c r="J94" s="986">
        <v>29.944448694449996</v>
      </c>
    </row>
    <row r="95" spans="2:11">
      <c r="B95" s="186"/>
      <c r="C95" s="307"/>
      <c r="D95" s="307"/>
      <c r="E95" s="307"/>
      <c r="F95" s="307"/>
      <c r="G95" s="307"/>
      <c r="H95" s="307"/>
      <c r="I95" s="307"/>
      <c r="J95" s="307"/>
    </row>
    <row r="96" spans="2:11">
      <c r="B96" s="114" t="s">
        <v>477</v>
      </c>
      <c r="C96" s="307"/>
      <c r="D96" s="307"/>
      <c r="E96" s="307"/>
      <c r="F96" s="307"/>
      <c r="G96" s="307"/>
      <c r="H96" s="307"/>
      <c r="I96" s="307"/>
      <c r="J96" s="307"/>
    </row>
    <row r="97" spans="2:11">
      <c r="B97" s="186" t="s">
        <v>399</v>
      </c>
      <c r="C97" s="993">
        <v>17</v>
      </c>
      <c r="D97" s="993">
        <v>15</v>
      </c>
      <c r="E97" s="993">
        <v>15</v>
      </c>
      <c r="F97" s="993">
        <v>15</v>
      </c>
      <c r="G97" s="993">
        <v>15</v>
      </c>
      <c r="H97" s="993">
        <v>15</v>
      </c>
      <c r="I97" s="993">
        <v>15</v>
      </c>
      <c r="J97" s="993">
        <v>15</v>
      </c>
    </row>
    <row r="98" spans="2:11">
      <c r="B98" s="186" t="s">
        <v>408</v>
      </c>
      <c r="C98" s="993">
        <v>2817</v>
      </c>
      <c r="D98" s="993">
        <v>2987</v>
      </c>
      <c r="E98" s="993">
        <v>3892</v>
      </c>
      <c r="F98" s="993">
        <v>5052</v>
      </c>
      <c r="G98" s="993">
        <v>6072</v>
      </c>
      <c r="H98" s="993">
        <v>7436</v>
      </c>
      <c r="I98" s="993">
        <v>7957</v>
      </c>
      <c r="J98" s="993">
        <v>10073</v>
      </c>
    </row>
    <row r="99" spans="2:11">
      <c r="B99" s="186" t="s">
        <v>402</v>
      </c>
      <c r="C99" s="993">
        <v>5111115</v>
      </c>
      <c r="D99" s="993">
        <v>5208724</v>
      </c>
      <c r="E99" s="993">
        <v>6133402</v>
      </c>
      <c r="F99" s="993">
        <v>6271221</v>
      </c>
      <c r="G99" s="993">
        <v>6659674</v>
      </c>
      <c r="H99" s="993">
        <v>7018474</v>
      </c>
      <c r="I99" s="1257">
        <v>7521266</v>
      </c>
      <c r="J99" s="993">
        <v>7950945</v>
      </c>
    </row>
    <row r="100" spans="2:11">
      <c r="B100" s="186" t="s">
        <v>401</v>
      </c>
      <c r="C100" s="210">
        <v>0</v>
      </c>
      <c r="D100" s="210">
        <v>0</v>
      </c>
      <c r="E100" s="210">
        <v>0</v>
      </c>
      <c r="F100" s="210">
        <v>0</v>
      </c>
      <c r="G100" s="210">
        <v>0</v>
      </c>
      <c r="H100" s="210">
        <v>0</v>
      </c>
      <c r="I100" s="210">
        <v>0</v>
      </c>
      <c r="J100" s="210">
        <v>0</v>
      </c>
    </row>
    <row r="101" spans="2:11">
      <c r="B101" s="186"/>
      <c r="C101" s="307"/>
      <c r="D101" s="307"/>
      <c r="E101" s="307"/>
      <c r="F101" s="307"/>
      <c r="G101" s="307"/>
      <c r="H101" s="307"/>
      <c r="I101" s="307"/>
      <c r="J101" s="307"/>
    </row>
    <row r="102" spans="2:11" ht="26">
      <c r="B102" s="148" t="s">
        <v>404</v>
      </c>
      <c r="C102" s="307"/>
      <c r="D102" s="307"/>
      <c r="E102" s="307"/>
      <c r="F102" s="307"/>
      <c r="G102" s="307"/>
      <c r="H102" s="307"/>
      <c r="I102" s="307"/>
      <c r="J102" s="307"/>
    </row>
    <row r="103" spans="2:11">
      <c r="B103" s="186" t="s">
        <v>399</v>
      </c>
      <c r="C103" s="158">
        <v>10</v>
      </c>
      <c r="D103" s="158">
        <v>10</v>
      </c>
      <c r="E103" s="158">
        <v>10</v>
      </c>
      <c r="F103" s="158">
        <v>10</v>
      </c>
      <c r="G103" s="158">
        <v>10</v>
      </c>
      <c r="H103" s="158">
        <v>10</v>
      </c>
      <c r="I103" s="158">
        <v>10</v>
      </c>
      <c r="J103" s="158">
        <v>9</v>
      </c>
    </row>
    <row r="104" spans="2:11">
      <c r="B104" s="186" t="s">
        <v>408</v>
      </c>
      <c r="C104" s="158">
        <v>103</v>
      </c>
      <c r="D104" s="158">
        <v>107</v>
      </c>
      <c r="E104" s="158">
        <v>109</v>
      </c>
      <c r="F104" s="158">
        <v>125</v>
      </c>
      <c r="G104" s="158">
        <v>140</v>
      </c>
      <c r="H104" s="158">
        <v>141</v>
      </c>
      <c r="I104" s="158">
        <v>134</v>
      </c>
      <c r="J104" s="158">
        <v>108</v>
      </c>
    </row>
    <row r="105" spans="2:11" ht="15.5">
      <c r="B105" s="186" t="s">
        <v>567</v>
      </c>
      <c r="C105" s="158">
        <v>0</v>
      </c>
      <c r="D105" s="158">
        <v>0</v>
      </c>
      <c r="E105" s="158">
        <v>0</v>
      </c>
      <c r="F105" s="158">
        <v>0</v>
      </c>
      <c r="G105" s="158">
        <v>0</v>
      </c>
      <c r="H105" s="158">
        <v>0</v>
      </c>
      <c r="I105" s="158">
        <v>0</v>
      </c>
      <c r="J105" s="158">
        <v>0</v>
      </c>
    </row>
    <row r="106" spans="2:11" ht="15.5">
      <c r="B106" s="186" t="s">
        <v>1585</v>
      </c>
      <c r="C106" s="306">
        <v>0</v>
      </c>
      <c r="D106" s="306">
        <v>0</v>
      </c>
      <c r="E106" s="306">
        <v>0</v>
      </c>
      <c r="F106" s="306">
        <v>0</v>
      </c>
      <c r="G106" s="306">
        <v>0</v>
      </c>
      <c r="H106" s="306">
        <v>0</v>
      </c>
      <c r="I106" s="306">
        <v>0</v>
      </c>
      <c r="J106" s="306">
        <v>0</v>
      </c>
    </row>
    <row r="107" spans="2:11">
      <c r="B107" s="186"/>
      <c r="C107" s="307"/>
      <c r="D107" s="307"/>
      <c r="E107" s="307"/>
      <c r="F107" s="307"/>
      <c r="G107" s="307"/>
      <c r="H107" s="307"/>
      <c r="I107" s="307"/>
      <c r="J107" s="307"/>
    </row>
    <row r="108" spans="2:11">
      <c r="B108" s="114" t="s">
        <v>400</v>
      </c>
      <c r="C108" s="307"/>
      <c r="D108" s="307"/>
      <c r="E108" s="307"/>
      <c r="F108" s="307"/>
      <c r="G108" s="307"/>
      <c r="H108" s="307"/>
      <c r="I108" s="307"/>
      <c r="J108" s="307"/>
    </row>
    <row r="109" spans="2:11">
      <c r="B109" s="186" t="s">
        <v>399</v>
      </c>
      <c r="C109" s="158">
        <v>1</v>
      </c>
      <c r="D109" s="158">
        <v>1</v>
      </c>
      <c r="E109" s="158">
        <v>1</v>
      </c>
      <c r="F109" s="158">
        <v>1</v>
      </c>
      <c r="G109" s="158">
        <v>1</v>
      </c>
      <c r="H109" s="158">
        <v>1</v>
      </c>
      <c r="I109" s="158">
        <v>1</v>
      </c>
      <c r="J109" s="158">
        <v>1</v>
      </c>
    </row>
    <row r="110" spans="2:11">
      <c r="B110" s="186" t="s">
        <v>401</v>
      </c>
      <c r="C110" s="994">
        <v>0</v>
      </c>
      <c r="D110" s="994">
        <v>0</v>
      </c>
      <c r="E110" s="994">
        <v>0</v>
      </c>
      <c r="F110" s="994">
        <v>0</v>
      </c>
      <c r="G110" s="994">
        <v>0</v>
      </c>
      <c r="H110" s="994">
        <v>0</v>
      </c>
      <c r="I110" s="994">
        <v>0</v>
      </c>
      <c r="J110" s="994">
        <v>0</v>
      </c>
    </row>
    <row r="111" spans="2:11" ht="15" thickBot="1">
      <c r="B111" s="1258" t="s">
        <v>395</v>
      </c>
      <c r="C111" s="994">
        <v>0</v>
      </c>
      <c r="D111" s="994">
        <v>0</v>
      </c>
      <c r="E111" s="994">
        <v>0</v>
      </c>
      <c r="F111" s="994">
        <v>0</v>
      </c>
      <c r="G111" s="994">
        <v>0</v>
      </c>
      <c r="H111" s="994">
        <v>0</v>
      </c>
      <c r="I111" s="994">
        <v>0</v>
      </c>
      <c r="J111" s="994">
        <v>0</v>
      </c>
    </row>
    <row r="112" spans="2:11" ht="15" thickTop="1">
      <c r="B112" s="2025" t="s">
        <v>1746</v>
      </c>
      <c r="C112" s="2025"/>
      <c r="D112" s="2025"/>
      <c r="E112" s="2025"/>
      <c r="F112" s="2025"/>
      <c r="G112" s="2025"/>
      <c r="H112" s="2025"/>
      <c r="I112" s="2025"/>
      <c r="J112" s="2025"/>
      <c r="K112" s="2031"/>
    </row>
    <row r="113" spans="2:10">
      <c r="B113" s="2066"/>
      <c r="C113" s="2031"/>
      <c r="D113" s="2031"/>
      <c r="E113" s="2031"/>
      <c r="F113" s="2031"/>
      <c r="G113" s="2031"/>
      <c r="H113" s="2031"/>
      <c r="I113" s="2031"/>
      <c r="J113" s="2031"/>
    </row>
    <row r="114" spans="2:10">
      <c r="B114" s="2017"/>
      <c r="C114" s="2017"/>
      <c r="D114" s="2017"/>
      <c r="E114" s="2017"/>
      <c r="F114" s="2017"/>
      <c r="G114" s="2017"/>
      <c r="H114" s="2017"/>
      <c r="I114" s="2017"/>
      <c r="J114" s="2017"/>
    </row>
    <row r="115" spans="2:10">
      <c r="B115" s="64"/>
      <c r="C115" s="449"/>
      <c r="D115" s="449"/>
      <c r="E115" s="449"/>
      <c r="F115" s="449"/>
      <c r="G115" s="449"/>
      <c r="H115" s="449"/>
      <c r="I115" s="449"/>
      <c r="J115" s="449"/>
    </row>
    <row r="116" spans="2:10">
      <c r="B116" s="2100" t="s">
        <v>393</v>
      </c>
      <c r="C116" s="2100"/>
      <c r="D116" s="2100"/>
      <c r="E116" s="2100"/>
      <c r="F116" s="2100"/>
      <c r="G116" s="2100"/>
      <c r="H116" s="2100"/>
      <c r="I116" s="2100"/>
      <c r="J116" s="2100"/>
    </row>
    <row r="117" spans="2:10">
      <c r="B117" s="12" t="s">
        <v>392</v>
      </c>
      <c r="C117" s="449"/>
      <c r="D117" s="449"/>
      <c r="E117" s="449"/>
      <c r="F117" s="449"/>
      <c r="G117" s="449"/>
      <c r="H117" s="449"/>
      <c r="I117" s="449"/>
      <c r="J117" s="449"/>
    </row>
    <row r="118" spans="2:10">
      <c r="B118" s="62" t="s">
        <v>269</v>
      </c>
      <c r="C118" s="449"/>
      <c r="D118" s="449"/>
      <c r="E118" s="449"/>
      <c r="F118" s="449"/>
      <c r="G118" s="449"/>
      <c r="H118" s="449"/>
      <c r="I118" s="449"/>
      <c r="J118" s="449"/>
    </row>
    <row r="119" spans="2:10">
      <c r="B119" s="64"/>
      <c r="C119" s="449"/>
      <c r="D119" s="449"/>
      <c r="E119" s="449"/>
      <c r="F119" s="449"/>
      <c r="G119" s="449"/>
      <c r="H119" s="449"/>
      <c r="I119" s="449"/>
      <c r="J119" s="449"/>
    </row>
    <row r="120" spans="2:10">
      <c r="B120" s="61"/>
      <c r="C120" s="303">
        <v>2014</v>
      </c>
      <c r="D120" s="303">
        <v>2015</v>
      </c>
      <c r="E120" s="303">
        <v>2016</v>
      </c>
      <c r="F120" s="303">
        <v>2017</v>
      </c>
      <c r="G120" s="303">
        <v>2018</v>
      </c>
      <c r="H120" s="303">
        <v>2019</v>
      </c>
      <c r="I120" s="303">
        <v>2020</v>
      </c>
      <c r="J120" s="303">
        <v>2021</v>
      </c>
    </row>
    <row r="121" spans="2:10">
      <c r="B121" s="179" t="s">
        <v>391</v>
      </c>
      <c r="C121" s="449"/>
      <c r="D121" s="449"/>
      <c r="E121" s="449"/>
      <c r="F121" s="449"/>
      <c r="G121" s="449"/>
      <c r="H121" s="449"/>
      <c r="I121" s="449"/>
      <c r="J121" s="449"/>
    </row>
    <row r="122" spans="2:10">
      <c r="B122" s="149" t="s">
        <v>390</v>
      </c>
      <c r="C122" s="996">
        <v>0</v>
      </c>
      <c r="D122" s="996">
        <v>0</v>
      </c>
      <c r="E122" s="996">
        <v>0</v>
      </c>
      <c r="F122" s="996">
        <v>0</v>
      </c>
      <c r="G122" s="996">
        <v>0</v>
      </c>
      <c r="H122" s="158">
        <v>0</v>
      </c>
      <c r="I122" s="158">
        <v>0</v>
      </c>
      <c r="J122" s="158">
        <v>0</v>
      </c>
    </row>
    <row r="123" spans="2:10">
      <c r="B123" s="149" t="s">
        <v>389</v>
      </c>
      <c r="C123" s="996">
        <v>2702902</v>
      </c>
      <c r="D123" s="996">
        <v>3027918</v>
      </c>
      <c r="E123" s="996">
        <v>3341313</v>
      </c>
      <c r="F123" s="996">
        <v>3697141</v>
      </c>
      <c r="G123" s="996">
        <v>4102457</v>
      </c>
      <c r="H123" s="158">
        <v>4574680</v>
      </c>
      <c r="I123" s="158">
        <v>5096048</v>
      </c>
      <c r="J123" s="158">
        <v>6133167</v>
      </c>
    </row>
    <row r="124" spans="2:10">
      <c r="B124" s="149" t="s">
        <v>388</v>
      </c>
      <c r="C124" s="996">
        <v>0</v>
      </c>
      <c r="D124" s="996">
        <v>0</v>
      </c>
      <c r="E124" s="996">
        <v>0</v>
      </c>
      <c r="F124" s="996">
        <v>0</v>
      </c>
      <c r="G124" s="996">
        <v>0</v>
      </c>
      <c r="H124" s="158">
        <v>0</v>
      </c>
      <c r="I124" s="158">
        <v>0</v>
      </c>
      <c r="J124" s="158">
        <v>0</v>
      </c>
    </row>
    <row r="125" spans="2:10">
      <c r="B125" s="149" t="s">
        <v>387</v>
      </c>
      <c r="C125" s="996">
        <v>840768</v>
      </c>
      <c r="D125" s="996">
        <v>829174</v>
      </c>
      <c r="E125" s="996">
        <v>843504</v>
      </c>
      <c r="F125" s="996">
        <v>819550</v>
      </c>
      <c r="G125" s="996">
        <v>804682</v>
      </c>
      <c r="H125" s="158">
        <v>826269</v>
      </c>
      <c r="I125" s="158">
        <v>794971</v>
      </c>
      <c r="J125" s="158">
        <v>765954</v>
      </c>
    </row>
    <row r="126" spans="2:10">
      <c r="B126" s="149" t="s">
        <v>386</v>
      </c>
      <c r="C126" s="996">
        <v>0</v>
      </c>
      <c r="D126" s="996">
        <v>0</v>
      </c>
      <c r="E126" s="996">
        <v>0</v>
      </c>
      <c r="F126" s="996">
        <v>0</v>
      </c>
      <c r="G126" s="996">
        <v>0</v>
      </c>
      <c r="H126" s="158">
        <v>0</v>
      </c>
      <c r="I126" s="158">
        <v>0</v>
      </c>
      <c r="J126" s="158">
        <v>0</v>
      </c>
    </row>
    <row r="127" spans="2:10" ht="26">
      <c r="B127" s="83" t="s">
        <v>385</v>
      </c>
      <c r="C127" s="996"/>
      <c r="D127" s="996"/>
      <c r="E127" s="996"/>
      <c r="F127" s="996"/>
      <c r="G127" s="996"/>
      <c r="H127" s="158"/>
      <c r="I127" s="158"/>
      <c r="J127" s="158"/>
    </row>
    <row r="128" spans="2:10">
      <c r="B128" s="54" t="s">
        <v>384</v>
      </c>
      <c r="C128" s="996">
        <v>0</v>
      </c>
      <c r="D128" s="996">
        <v>0</v>
      </c>
      <c r="E128" s="996">
        <v>0</v>
      </c>
      <c r="F128" s="996">
        <v>0</v>
      </c>
      <c r="G128" s="996">
        <v>0</v>
      </c>
      <c r="H128" s="158">
        <v>0</v>
      </c>
      <c r="I128" s="158">
        <v>0</v>
      </c>
      <c r="J128" s="158">
        <v>0</v>
      </c>
    </row>
    <row r="129" spans="2:10" ht="26">
      <c r="B129" s="83" t="s">
        <v>383</v>
      </c>
      <c r="C129" s="321"/>
      <c r="D129" s="321"/>
      <c r="E129" s="321"/>
      <c r="F129" s="321"/>
      <c r="G129" s="321"/>
      <c r="H129" s="321"/>
      <c r="I129" s="321"/>
      <c r="J129" s="321"/>
    </row>
    <row r="130" spans="2:10">
      <c r="B130" s="149" t="s">
        <v>382</v>
      </c>
      <c r="C130" s="996">
        <v>0</v>
      </c>
      <c r="D130" s="996">
        <v>0</v>
      </c>
      <c r="E130" s="996">
        <v>0</v>
      </c>
      <c r="F130" s="996">
        <v>0</v>
      </c>
      <c r="G130" s="996">
        <v>0</v>
      </c>
      <c r="H130" s="996">
        <v>0</v>
      </c>
      <c r="I130" s="996">
        <v>0</v>
      </c>
      <c r="J130" s="996">
        <v>0</v>
      </c>
    </row>
    <row r="131" spans="2:10">
      <c r="B131" s="149"/>
      <c r="C131" s="158"/>
      <c r="D131" s="158"/>
      <c r="E131" s="158"/>
      <c r="F131" s="158"/>
      <c r="G131" s="158"/>
      <c r="H131" s="158"/>
      <c r="I131" s="158"/>
      <c r="J131" s="158"/>
    </row>
    <row r="132" spans="2:10">
      <c r="B132" s="175" t="s">
        <v>381</v>
      </c>
      <c r="C132" s="158"/>
      <c r="D132" s="158"/>
      <c r="E132" s="158"/>
      <c r="F132" s="158"/>
      <c r="G132" s="158"/>
      <c r="H132" s="158"/>
      <c r="I132" s="158"/>
      <c r="J132" s="158"/>
    </row>
    <row r="133" spans="2:10">
      <c r="B133" s="149" t="s">
        <v>380</v>
      </c>
      <c r="C133" s="996"/>
      <c r="D133" s="996"/>
      <c r="E133" s="996"/>
      <c r="F133" s="996"/>
      <c r="G133" s="996"/>
      <c r="H133" s="158"/>
      <c r="I133" s="158"/>
      <c r="J133" s="158"/>
    </row>
    <row r="134" spans="2:10">
      <c r="B134" s="172" t="s">
        <v>379</v>
      </c>
      <c r="C134" s="158"/>
      <c r="D134" s="158"/>
      <c r="E134" s="158"/>
      <c r="F134" s="158"/>
      <c r="G134" s="158"/>
      <c r="H134" s="158"/>
      <c r="I134" s="158"/>
      <c r="J134" s="158"/>
    </row>
    <row r="135" spans="2:10">
      <c r="B135" s="168" t="s">
        <v>378</v>
      </c>
      <c r="C135" s="996">
        <v>1328</v>
      </c>
      <c r="D135" s="996">
        <v>1404</v>
      </c>
      <c r="E135" s="996">
        <v>1479</v>
      </c>
      <c r="F135" s="996">
        <v>1513</v>
      </c>
      <c r="G135" s="996">
        <v>1590</v>
      </c>
      <c r="H135" s="158">
        <v>1704</v>
      </c>
      <c r="I135" s="158">
        <v>1710</v>
      </c>
      <c r="J135" s="158">
        <v>1765</v>
      </c>
    </row>
    <row r="136" spans="2:10">
      <c r="B136" s="168" t="s">
        <v>377</v>
      </c>
      <c r="C136" s="996">
        <v>0</v>
      </c>
      <c r="D136" s="996">
        <v>0</v>
      </c>
      <c r="E136" s="996">
        <v>0</v>
      </c>
      <c r="F136" s="996">
        <v>0</v>
      </c>
      <c r="G136" s="996">
        <v>0</v>
      </c>
      <c r="H136" s="158">
        <v>0</v>
      </c>
      <c r="I136" s="158">
        <v>0</v>
      </c>
      <c r="J136" s="158">
        <v>0</v>
      </c>
    </row>
    <row r="137" spans="2:10">
      <c r="B137" s="149" t="s">
        <v>376</v>
      </c>
      <c r="C137" s="996">
        <v>8</v>
      </c>
      <c r="D137" s="996">
        <v>7</v>
      </c>
      <c r="E137" s="996">
        <v>7</v>
      </c>
      <c r="F137" s="996">
        <v>7</v>
      </c>
      <c r="G137" s="996">
        <v>8</v>
      </c>
      <c r="H137" s="158">
        <v>8</v>
      </c>
      <c r="I137" s="158">
        <v>8</v>
      </c>
      <c r="J137" s="158">
        <v>8</v>
      </c>
    </row>
    <row r="138" spans="2:10">
      <c r="B138" s="149"/>
      <c r="C138" s="158"/>
      <c r="D138" s="158"/>
      <c r="E138" s="158"/>
      <c r="F138" s="158"/>
      <c r="G138" s="158"/>
      <c r="H138" s="158"/>
      <c r="I138" s="158"/>
      <c r="J138" s="158"/>
    </row>
    <row r="139" spans="2:10">
      <c r="B139" s="149" t="s">
        <v>375</v>
      </c>
      <c r="C139" s="997">
        <v>0</v>
      </c>
      <c r="D139" s="997">
        <v>0</v>
      </c>
      <c r="E139" s="997">
        <v>0</v>
      </c>
      <c r="F139" s="997">
        <v>0</v>
      </c>
      <c r="G139" s="997">
        <v>0</v>
      </c>
      <c r="H139" s="158">
        <v>0</v>
      </c>
      <c r="I139" s="158">
        <v>0</v>
      </c>
      <c r="J139" s="158">
        <v>0</v>
      </c>
    </row>
    <row r="140" spans="2:10">
      <c r="B140" s="168" t="s">
        <v>374</v>
      </c>
      <c r="C140" s="997"/>
      <c r="D140" s="997"/>
      <c r="E140" s="997"/>
      <c r="F140" s="997"/>
      <c r="G140" s="997"/>
      <c r="H140" s="158"/>
      <c r="I140" s="158"/>
      <c r="J140" s="158"/>
    </row>
    <row r="141" spans="2:10">
      <c r="B141" s="149" t="s">
        <v>478</v>
      </c>
      <c r="C141" s="327">
        <v>0</v>
      </c>
      <c r="D141" s="327">
        <v>0</v>
      </c>
      <c r="E141" s="327">
        <v>0</v>
      </c>
      <c r="F141" s="327">
        <v>0</v>
      </c>
      <c r="G141" s="327">
        <v>0</v>
      </c>
      <c r="H141" s="327">
        <v>0</v>
      </c>
      <c r="I141" s="327">
        <v>0</v>
      </c>
      <c r="J141" s="327">
        <v>0</v>
      </c>
    </row>
    <row r="142" spans="2:10">
      <c r="B142" s="165" t="s">
        <v>373</v>
      </c>
      <c r="C142" s="327">
        <v>0</v>
      </c>
      <c r="D142" s="327">
        <v>0</v>
      </c>
      <c r="E142" s="327">
        <v>0</v>
      </c>
      <c r="F142" s="327">
        <v>0</v>
      </c>
      <c r="G142" s="327">
        <v>0</v>
      </c>
      <c r="H142" s="327">
        <v>0</v>
      </c>
      <c r="I142" s="327">
        <v>0</v>
      </c>
      <c r="J142" s="327">
        <v>0</v>
      </c>
    </row>
    <row r="143" spans="2:10">
      <c r="B143" s="149" t="s">
        <v>372</v>
      </c>
      <c r="C143" s="327">
        <v>0</v>
      </c>
      <c r="D143" s="327">
        <v>0</v>
      </c>
      <c r="E143" s="327">
        <v>0</v>
      </c>
      <c r="F143" s="327">
        <v>0</v>
      </c>
      <c r="G143" s="327">
        <v>0</v>
      </c>
      <c r="H143" s="327">
        <v>0</v>
      </c>
      <c r="I143" s="327">
        <v>0</v>
      </c>
      <c r="J143" s="327">
        <v>0</v>
      </c>
    </row>
    <row r="144" spans="2:10">
      <c r="B144" s="149" t="s">
        <v>371</v>
      </c>
      <c r="C144" s="996">
        <v>0</v>
      </c>
      <c r="D144" s="996">
        <v>0</v>
      </c>
      <c r="E144" s="996">
        <v>0</v>
      </c>
      <c r="F144" s="996">
        <v>0</v>
      </c>
      <c r="G144" s="996">
        <v>0</v>
      </c>
      <c r="H144" s="158">
        <v>0</v>
      </c>
      <c r="I144" s="158">
        <v>0</v>
      </c>
      <c r="J144" s="158">
        <v>0</v>
      </c>
    </row>
    <row r="145" spans="2:11">
      <c r="B145" s="147" t="s">
        <v>370</v>
      </c>
      <c r="C145" s="158">
        <v>0</v>
      </c>
      <c r="D145" s="158">
        <v>0</v>
      </c>
      <c r="E145" s="158">
        <v>0</v>
      </c>
      <c r="F145" s="158">
        <v>0</v>
      </c>
      <c r="G145" s="158">
        <v>0</v>
      </c>
      <c r="H145" s="158">
        <v>0</v>
      </c>
      <c r="I145" s="158">
        <v>0</v>
      </c>
      <c r="J145" s="158">
        <v>0</v>
      </c>
    </row>
    <row r="146" spans="2:11" ht="15" thickBot="1">
      <c r="B146" s="209" t="s">
        <v>369</v>
      </c>
      <c r="C146" s="158">
        <v>0</v>
      </c>
      <c r="D146" s="158">
        <v>0</v>
      </c>
      <c r="E146" s="158">
        <v>0</v>
      </c>
      <c r="F146" s="158">
        <v>0</v>
      </c>
      <c r="G146" s="158">
        <v>0</v>
      </c>
      <c r="H146" s="158">
        <v>0</v>
      </c>
      <c r="I146" s="158">
        <v>0</v>
      </c>
      <c r="J146" s="158">
        <v>0</v>
      </c>
    </row>
    <row r="147" spans="2:11" ht="15" customHeight="1" thickTop="1">
      <c r="B147" s="2025" t="s">
        <v>1747</v>
      </c>
      <c r="C147" s="2025"/>
      <c r="D147" s="2025"/>
      <c r="E147" s="2025"/>
      <c r="F147" s="2025"/>
      <c r="G147" s="2025"/>
      <c r="H147" s="2025"/>
      <c r="I147" s="2025"/>
      <c r="J147" s="2025"/>
      <c r="K147" s="2031"/>
    </row>
    <row r="148" spans="2:11">
      <c r="B148" s="2017"/>
      <c r="C148" s="2017"/>
      <c r="D148" s="2017"/>
      <c r="E148" s="2017"/>
      <c r="F148" s="2017"/>
      <c r="G148" s="2017"/>
      <c r="H148" s="2017"/>
      <c r="I148" s="2017"/>
      <c r="J148" s="2017"/>
    </row>
    <row r="149" spans="2:11">
      <c r="B149" s="64"/>
      <c r="C149" s="449"/>
      <c r="D149" s="449"/>
      <c r="E149" s="449"/>
      <c r="F149" s="449"/>
      <c r="G149" s="449"/>
      <c r="H149" s="449"/>
      <c r="I149" s="449"/>
      <c r="J149" s="449"/>
    </row>
    <row r="150" spans="2:11">
      <c r="B150" s="2100" t="s">
        <v>367</v>
      </c>
      <c r="C150" s="2100"/>
      <c r="D150" s="2100"/>
      <c r="E150" s="2100"/>
      <c r="F150" s="2100"/>
      <c r="G150" s="2100"/>
      <c r="H150" s="2100"/>
      <c r="I150" s="2100"/>
      <c r="J150" s="2100"/>
    </row>
    <row r="151" spans="2:11">
      <c r="B151" s="12" t="s">
        <v>366</v>
      </c>
      <c r="C151" s="449"/>
      <c r="D151" s="449"/>
      <c r="E151" s="449"/>
      <c r="F151" s="449"/>
      <c r="G151" s="449"/>
      <c r="H151" s="449"/>
      <c r="I151" s="449"/>
      <c r="J151" s="449"/>
    </row>
    <row r="152" spans="2:11">
      <c r="B152" s="62" t="s">
        <v>210</v>
      </c>
      <c r="C152" s="449"/>
      <c r="D152" s="449"/>
      <c r="E152" s="449"/>
      <c r="F152" s="449"/>
      <c r="G152" s="449"/>
      <c r="H152" s="449"/>
      <c r="I152" s="449"/>
      <c r="J152" s="449"/>
    </row>
    <row r="153" spans="2:11">
      <c r="B153" s="64"/>
      <c r="C153" s="449"/>
      <c r="D153" s="449"/>
      <c r="E153" s="449"/>
      <c r="F153" s="449"/>
      <c r="G153" s="449"/>
      <c r="H153" s="449"/>
      <c r="I153" s="449"/>
      <c r="J153" s="449"/>
    </row>
    <row r="154" spans="2:11">
      <c r="B154" s="61"/>
      <c r="C154" s="303">
        <v>2014</v>
      </c>
      <c r="D154" s="303">
        <v>2015</v>
      </c>
      <c r="E154" s="303">
        <v>2016</v>
      </c>
      <c r="F154" s="303">
        <v>2017</v>
      </c>
      <c r="G154" s="303">
        <v>2018</v>
      </c>
      <c r="H154" s="303">
        <v>2019</v>
      </c>
      <c r="I154" s="303">
        <v>2020</v>
      </c>
      <c r="J154" s="850">
        <v>2021</v>
      </c>
    </row>
    <row r="155" spans="2:11">
      <c r="B155" s="114" t="s">
        <v>362</v>
      </c>
      <c r="C155" s="449"/>
      <c r="D155" s="449"/>
      <c r="E155" s="449"/>
      <c r="F155" s="449"/>
      <c r="G155" s="449"/>
      <c r="H155" s="449"/>
      <c r="I155" s="449"/>
      <c r="J155" s="449"/>
    </row>
    <row r="156" spans="2:11">
      <c r="B156" s="54" t="s">
        <v>361</v>
      </c>
      <c r="C156" s="306"/>
      <c r="D156" s="306"/>
      <c r="E156" s="306"/>
      <c r="F156" s="306"/>
      <c r="G156" s="306"/>
      <c r="H156" s="306"/>
      <c r="I156" s="306"/>
      <c r="J156" s="306"/>
    </row>
    <row r="157" spans="2:11">
      <c r="B157" s="151" t="s">
        <v>360</v>
      </c>
      <c r="C157" s="986">
        <v>0</v>
      </c>
      <c r="D157" s="986">
        <v>0</v>
      </c>
      <c r="E157" s="986">
        <v>0</v>
      </c>
      <c r="F157" s="986">
        <v>0</v>
      </c>
      <c r="G157" s="986">
        <v>0</v>
      </c>
      <c r="H157" s="306">
        <v>0</v>
      </c>
      <c r="I157" s="306">
        <v>0</v>
      </c>
      <c r="J157" s="306">
        <v>0</v>
      </c>
    </row>
    <row r="158" spans="2:11">
      <c r="B158" s="151" t="s">
        <v>1748</v>
      </c>
      <c r="C158" s="986">
        <v>1560.325</v>
      </c>
      <c r="D158" s="986">
        <v>1867.64</v>
      </c>
      <c r="E158" s="986">
        <v>2203.915</v>
      </c>
      <c r="F158" s="986">
        <v>2773.69</v>
      </c>
      <c r="G158" s="986">
        <v>3874.759</v>
      </c>
      <c r="H158" s="306">
        <v>4989.4030000000002</v>
      </c>
      <c r="I158" s="306">
        <v>8253.2960000000003</v>
      </c>
      <c r="J158" s="306">
        <v>11386.196</v>
      </c>
    </row>
    <row r="159" spans="2:11">
      <c r="B159" s="151" t="s">
        <v>1749</v>
      </c>
      <c r="C159" s="986">
        <v>51.173000000000002</v>
      </c>
      <c r="D159" s="986">
        <v>60.725000000000001</v>
      </c>
      <c r="E159" s="986">
        <v>65.120999999999995</v>
      </c>
      <c r="F159" s="986">
        <v>89.924999999999997</v>
      </c>
      <c r="G159" s="986">
        <v>120.461</v>
      </c>
      <c r="H159" s="306">
        <v>155.05799999999999</v>
      </c>
      <c r="I159" s="306">
        <v>184.94800000000001</v>
      </c>
      <c r="J159" s="306">
        <v>247.114</v>
      </c>
    </row>
    <row r="160" spans="2:11">
      <c r="B160" s="152" t="s">
        <v>358</v>
      </c>
      <c r="C160" s="986">
        <v>0</v>
      </c>
      <c r="D160" s="986">
        <v>0</v>
      </c>
      <c r="E160" s="986">
        <v>0</v>
      </c>
      <c r="F160" s="986">
        <v>0</v>
      </c>
      <c r="G160" s="986">
        <v>0</v>
      </c>
      <c r="H160" s="986">
        <v>0</v>
      </c>
      <c r="I160" s="986">
        <v>0</v>
      </c>
      <c r="J160" s="986">
        <v>0</v>
      </c>
    </row>
    <row r="161" spans="2:10">
      <c r="B161" s="71" t="s">
        <v>357</v>
      </c>
      <c r="C161" s="986">
        <v>0</v>
      </c>
      <c r="D161" s="986">
        <v>0</v>
      </c>
      <c r="E161" s="986">
        <v>0</v>
      </c>
      <c r="F161" s="986">
        <v>0</v>
      </c>
      <c r="G161" s="986">
        <v>0</v>
      </c>
      <c r="H161" s="306">
        <v>0</v>
      </c>
      <c r="I161" s="306">
        <v>0</v>
      </c>
      <c r="J161" s="306">
        <v>0</v>
      </c>
    </row>
    <row r="162" spans="2:10">
      <c r="B162" s="151" t="s">
        <v>356</v>
      </c>
    </row>
    <row r="163" spans="2:10">
      <c r="B163" s="151" t="s">
        <v>355</v>
      </c>
    </row>
    <row r="164" spans="2:10">
      <c r="B164" s="151" t="s">
        <v>354</v>
      </c>
      <c r="C164" s="986"/>
      <c r="D164" s="986"/>
      <c r="E164" s="986"/>
      <c r="F164" s="986"/>
      <c r="G164" s="986"/>
      <c r="H164" s="306"/>
      <c r="I164" s="306"/>
      <c r="J164" s="306"/>
    </row>
    <row r="165" spans="2:10">
      <c r="B165" s="71" t="s">
        <v>338</v>
      </c>
      <c r="C165" s="986">
        <v>0</v>
      </c>
      <c r="D165" s="986">
        <v>0</v>
      </c>
      <c r="E165" s="986">
        <v>0</v>
      </c>
      <c r="F165" s="986">
        <v>0</v>
      </c>
      <c r="G165" s="986">
        <v>0</v>
      </c>
      <c r="H165" s="306">
        <v>0</v>
      </c>
      <c r="I165" s="306">
        <v>0</v>
      </c>
      <c r="J165" s="306">
        <v>0</v>
      </c>
    </row>
    <row r="166" spans="2:10">
      <c r="B166" s="71" t="s">
        <v>353</v>
      </c>
      <c r="C166" s="986">
        <f>C167+C168</f>
        <v>4949.9649999999992</v>
      </c>
      <c r="D166" s="986">
        <f t="shared" ref="D166:J166" si="8">D167+D168</f>
        <v>4681.3360000000002</v>
      </c>
      <c r="E166" s="986">
        <f t="shared" si="8"/>
        <v>4496.5839999999998</v>
      </c>
      <c r="F166" s="986">
        <f t="shared" si="8"/>
        <v>4227.1810000000005</v>
      </c>
      <c r="G166" s="986">
        <f t="shared" si="8"/>
        <v>3843.7249999999999</v>
      </c>
      <c r="H166" s="986">
        <f t="shared" si="8"/>
        <v>3628.94</v>
      </c>
      <c r="I166" s="986">
        <f t="shared" si="8"/>
        <v>2110.116</v>
      </c>
      <c r="J166" s="986">
        <f t="shared" si="8"/>
        <v>2208.4369999999999</v>
      </c>
    </row>
    <row r="167" spans="2:10">
      <c r="B167" s="150" t="s">
        <v>352</v>
      </c>
      <c r="C167" s="986">
        <v>4855.8999999999996</v>
      </c>
      <c r="D167" s="986">
        <v>4593.8010000000004</v>
      </c>
      <c r="E167" s="986">
        <v>4423.5219999999999</v>
      </c>
      <c r="F167" s="986">
        <v>4160.8990000000003</v>
      </c>
      <c r="G167" s="986">
        <v>3787.0909999999999</v>
      </c>
      <c r="H167" s="306">
        <v>3572.453</v>
      </c>
      <c r="I167" s="306">
        <v>2085.143</v>
      </c>
      <c r="J167" s="306">
        <v>2184.8150000000001</v>
      </c>
    </row>
    <row r="168" spans="2:10">
      <c r="B168" s="150" t="s">
        <v>1473</v>
      </c>
      <c r="C168" s="986">
        <v>94.064999999999998</v>
      </c>
      <c r="D168" s="986">
        <v>87.534999999999997</v>
      </c>
      <c r="E168" s="986">
        <v>73.061999999999998</v>
      </c>
      <c r="F168" s="986">
        <v>66.281999999999996</v>
      </c>
      <c r="G168" s="986">
        <v>56.634</v>
      </c>
      <c r="H168" s="306">
        <v>56.487000000000002</v>
      </c>
      <c r="I168" s="306">
        <v>24.972999999999999</v>
      </c>
      <c r="J168" s="306">
        <v>23.622</v>
      </c>
    </row>
    <row r="169" spans="2:10">
      <c r="B169" s="54" t="s">
        <v>350</v>
      </c>
      <c r="C169" s="645"/>
    </row>
    <row r="170" spans="2:10">
      <c r="B170" s="54"/>
      <c r="C170" s="306"/>
      <c r="D170" s="306"/>
      <c r="E170" s="306"/>
      <c r="F170" s="306"/>
      <c r="G170" s="306"/>
      <c r="H170" s="306"/>
      <c r="I170" s="306"/>
      <c r="J170" s="306"/>
    </row>
    <row r="171" spans="2:10">
      <c r="B171" s="54" t="s">
        <v>365</v>
      </c>
      <c r="C171" s="306"/>
      <c r="D171" s="306"/>
      <c r="E171" s="306"/>
      <c r="F171" s="306"/>
      <c r="G171" s="306"/>
      <c r="H171" s="306"/>
      <c r="I171" s="306"/>
      <c r="J171" s="306"/>
    </row>
    <row r="172" spans="2:10">
      <c r="B172" s="147" t="s">
        <v>348</v>
      </c>
      <c r="C172" s="1259">
        <v>0.46500000000000002</v>
      </c>
      <c r="D172" s="1259">
        <v>0.73599999999999999</v>
      </c>
      <c r="E172" s="1259">
        <v>0.55400000000000005</v>
      </c>
      <c r="F172" s="1259">
        <v>0.59099999999999997</v>
      </c>
      <c r="G172" s="1259">
        <v>0.50700000000000001</v>
      </c>
      <c r="H172" s="1259">
        <v>0.51900000000000002</v>
      </c>
      <c r="I172" s="1259">
        <v>0.40699999999999997</v>
      </c>
      <c r="J172" s="1259">
        <v>0.47599999999999998</v>
      </c>
    </row>
    <row r="173" spans="2:10">
      <c r="B173" s="147"/>
      <c r="C173" s="306"/>
      <c r="D173" s="306"/>
      <c r="E173" s="306"/>
      <c r="F173" s="306"/>
      <c r="G173" s="306"/>
      <c r="H173" s="306"/>
      <c r="I173" s="306"/>
      <c r="J173" s="306"/>
    </row>
    <row r="174" spans="2:10">
      <c r="B174" s="54" t="s">
        <v>347</v>
      </c>
      <c r="C174" s="1259">
        <v>2.8000000000000001E-2</v>
      </c>
      <c r="D174" s="1259">
        <v>2.5000000000000001E-2</v>
      </c>
      <c r="E174" s="1259">
        <v>1.9E-2</v>
      </c>
      <c r="F174" s="1259">
        <v>7.5999999999999998E-2</v>
      </c>
      <c r="G174" s="1259">
        <v>0.251</v>
      </c>
      <c r="H174" s="1259">
        <v>0.35699999999999998</v>
      </c>
      <c r="I174" s="1259">
        <v>0.439</v>
      </c>
      <c r="J174" s="1259">
        <v>0.69599999999999995</v>
      </c>
    </row>
    <row r="175" spans="2:10">
      <c r="B175" s="54"/>
    </row>
    <row r="176" spans="2:10">
      <c r="B176" s="114" t="s">
        <v>346</v>
      </c>
      <c r="C176" s="306">
        <v>0</v>
      </c>
      <c r="D176" s="645">
        <v>0</v>
      </c>
      <c r="E176" s="645">
        <v>0</v>
      </c>
      <c r="F176" s="645">
        <v>0</v>
      </c>
      <c r="G176" s="645">
        <v>0</v>
      </c>
      <c r="H176" s="645">
        <v>0</v>
      </c>
      <c r="I176" s="645">
        <v>0</v>
      </c>
      <c r="J176" s="645">
        <v>0</v>
      </c>
    </row>
    <row r="177" spans="2:10">
      <c r="B177" s="54" t="s">
        <v>342</v>
      </c>
      <c r="C177" s="986"/>
      <c r="D177" s="986"/>
      <c r="E177" s="986"/>
      <c r="F177" s="986"/>
      <c r="G177" s="986"/>
      <c r="H177" s="306"/>
      <c r="I177" s="306"/>
      <c r="J177" s="306"/>
    </row>
    <row r="178" spans="2:10">
      <c r="B178" s="147" t="s">
        <v>341</v>
      </c>
      <c r="C178" s="986"/>
      <c r="D178" s="986"/>
      <c r="E178" s="986"/>
      <c r="F178" s="986"/>
      <c r="G178" s="986"/>
      <c r="H178" s="306"/>
      <c r="I178" s="306"/>
      <c r="J178" s="306"/>
    </row>
    <row r="179" spans="2:10">
      <c r="B179" s="147" t="s">
        <v>340</v>
      </c>
      <c r="C179" s="986"/>
      <c r="D179" s="986"/>
      <c r="E179" s="986"/>
      <c r="F179" s="986"/>
      <c r="G179" s="986"/>
      <c r="H179" s="306"/>
      <c r="I179" s="306"/>
      <c r="J179" s="306"/>
    </row>
    <row r="180" spans="2:10">
      <c r="B180" s="54" t="s">
        <v>339</v>
      </c>
      <c r="C180" s="986"/>
      <c r="D180" s="986"/>
      <c r="E180" s="986"/>
      <c r="F180" s="986"/>
      <c r="G180" s="986"/>
      <c r="H180" s="306"/>
      <c r="I180" s="306"/>
      <c r="J180" s="306"/>
    </row>
    <row r="181" spans="2:10">
      <c r="B181" s="54" t="s">
        <v>338</v>
      </c>
      <c r="C181" s="986"/>
      <c r="D181" s="986"/>
      <c r="E181" s="986"/>
      <c r="F181" s="986"/>
      <c r="G181" s="986"/>
      <c r="H181" s="306"/>
      <c r="I181" s="306"/>
      <c r="J181" s="306"/>
    </row>
    <row r="182" spans="2:10">
      <c r="B182" s="147" t="s">
        <v>337</v>
      </c>
      <c r="C182" s="986"/>
      <c r="D182" s="986"/>
      <c r="E182" s="986"/>
      <c r="F182" s="986"/>
      <c r="G182" s="986"/>
      <c r="H182" s="306"/>
      <c r="I182" s="306"/>
      <c r="J182" s="306"/>
    </row>
    <row r="183" spans="2:10">
      <c r="B183" s="147" t="s">
        <v>336</v>
      </c>
      <c r="C183" s="986"/>
      <c r="D183" s="986"/>
      <c r="E183" s="986"/>
      <c r="F183" s="986"/>
      <c r="G183" s="986"/>
      <c r="H183" s="306"/>
      <c r="I183" s="306"/>
      <c r="J183" s="306"/>
    </row>
    <row r="184" spans="2:10">
      <c r="B184" s="147" t="s">
        <v>335</v>
      </c>
      <c r="C184" s="986"/>
      <c r="D184" s="986"/>
      <c r="E184" s="986"/>
      <c r="F184" s="986"/>
      <c r="G184" s="986"/>
      <c r="H184" s="306"/>
      <c r="I184" s="306"/>
      <c r="J184" s="306"/>
    </row>
    <row r="185" spans="2:10">
      <c r="B185" s="147"/>
      <c r="C185" s="306"/>
      <c r="D185" s="306"/>
      <c r="E185" s="306"/>
      <c r="F185" s="306"/>
      <c r="G185" s="306"/>
      <c r="H185" s="306"/>
      <c r="I185" s="306"/>
      <c r="J185" s="306"/>
    </row>
    <row r="186" spans="2:10" ht="26">
      <c r="B186" s="148" t="s">
        <v>345</v>
      </c>
      <c r="C186" s="645">
        <v>0</v>
      </c>
      <c r="D186" s="645">
        <v>0</v>
      </c>
      <c r="E186" s="645">
        <v>0</v>
      </c>
      <c r="F186" s="645">
        <v>0</v>
      </c>
      <c r="G186" s="645">
        <v>0</v>
      </c>
      <c r="H186" s="645">
        <v>0</v>
      </c>
      <c r="I186" s="645">
        <v>0</v>
      </c>
      <c r="J186" s="645">
        <v>0</v>
      </c>
    </row>
    <row r="187" spans="2:10">
      <c r="B187" s="54" t="s">
        <v>342</v>
      </c>
      <c r="C187" s="986"/>
      <c r="D187" s="986"/>
      <c r="E187" s="986"/>
      <c r="F187" s="986"/>
      <c r="G187" s="986"/>
      <c r="H187" s="306"/>
      <c r="I187" s="306"/>
      <c r="J187" s="306"/>
    </row>
    <row r="188" spans="2:10">
      <c r="B188" s="147" t="s">
        <v>341</v>
      </c>
      <c r="C188" s="986"/>
      <c r="D188" s="986"/>
      <c r="E188" s="986"/>
      <c r="F188" s="986"/>
      <c r="G188" s="986"/>
      <c r="H188" s="306"/>
      <c r="I188" s="306"/>
      <c r="J188" s="306"/>
    </row>
    <row r="189" spans="2:10">
      <c r="B189" s="147" t="s">
        <v>340</v>
      </c>
      <c r="C189" s="986"/>
      <c r="D189" s="986"/>
      <c r="E189" s="986"/>
      <c r="F189" s="986"/>
      <c r="G189" s="986"/>
      <c r="H189" s="306"/>
      <c r="I189" s="306"/>
      <c r="J189" s="306"/>
    </row>
    <row r="190" spans="2:10">
      <c r="B190" s="54" t="s">
        <v>339</v>
      </c>
      <c r="C190" s="986"/>
      <c r="D190" s="986"/>
      <c r="E190" s="986"/>
      <c r="F190" s="986"/>
      <c r="G190" s="986"/>
      <c r="H190" s="306"/>
      <c r="I190" s="306"/>
      <c r="J190" s="306"/>
    </row>
    <row r="191" spans="2:10">
      <c r="B191" s="54" t="s">
        <v>338</v>
      </c>
      <c r="C191" s="986"/>
      <c r="D191" s="986"/>
      <c r="E191" s="986"/>
      <c r="F191" s="986"/>
      <c r="G191" s="986"/>
      <c r="H191" s="306"/>
      <c r="I191" s="306"/>
      <c r="J191" s="306"/>
    </row>
    <row r="192" spans="2:10">
      <c r="B192" s="147" t="s">
        <v>337</v>
      </c>
      <c r="C192" s="986"/>
      <c r="D192" s="986"/>
      <c r="E192" s="986"/>
      <c r="F192" s="986"/>
      <c r="G192" s="986"/>
      <c r="H192" s="306"/>
      <c r="I192" s="306"/>
      <c r="J192" s="306"/>
    </row>
    <row r="193" spans="2:10">
      <c r="B193" s="147" t="s">
        <v>336</v>
      </c>
      <c r="C193" s="986"/>
      <c r="D193" s="986"/>
      <c r="E193" s="986"/>
      <c r="F193" s="986"/>
      <c r="G193" s="986"/>
      <c r="H193" s="306"/>
      <c r="I193" s="306"/>
      <c r="J193" s="306"/>
    </row>
    <row r="194" spans="2:10">
      <c r="B194" s="147" t="s">
        <v>335</v>
      </c>
      <c r="C194" s="986"/>
      <c r="D194" s="986"/>
      <c r="E194" s="986"/>
      <c r="F194" s="986"/>
      <c r="G194" s="986"/>
      <c r="H194" s="306"/>
      <c r="I194" s="306"/>
      <c r="J194" s="306"/>
    </row>
    <row r="195" spans="2:10">
      <c r="B195" s="147"/>
      <c r="C195" s="305"/>
      <c r="D195" s="305"/>
      <c r="E195" s="305"/>
      <c r="F195" s="305"/>
      <c r="G195" s="305"/>
      <c r="H195" s="305"/>
      <c r="I195" s="305"/>
      <c r="J195" s="305"/>
    </row>
    <row r="196" spans="2:10" ht="26">
      <c r="B196" s="148" t="s">
        <v>344</v>
      </c>
      <c r="C196" s="645">
        <v>0</v>
      </c>
      <c r="D196" s="645">
        <v>0</v>
      </c>
      <c r="E196" s="645">
        <v>0</v>
      </c>
      <c r="F196" s="645">
        <v>0</v>
      </c>
      <c r="G196" s="645">
        <v>0</v>
      </c>
      <c r="H196" s="645">
        <v>0</v>
      </c>
      <c r="I196" s="645">
        <v>0</v>
      </c>
      <c r="J196" s="645">
        <v>0</v>
      </c>
    </row>
    <row r="197" spans="2:10">
      <c r="B197" s="54" t="s">
        <v>342</v>
      </c>
      <c r="C197" s="321"/>
      <c r="D197" s="321"/>
      <c r="E197" s="321"/>
      <c r="F197" s="321"/>
      <c r="G197" s="321"/>
      <c r="H197" s="321"/>
      <c r="I197" s="321"/>
      <c r="J197" s="321"/>
    </row>
    <row r="198" spans="2:10">
      <c r="B198" s="147" t="s">
        <v>341</v>
      </c>
      <c r="C198" s="321"/>
      <c r="D198" s="321"/>
      <c r="E198" s="321"/>
      <c r="F198" s="321"/>
      <c r="G198" s="321"/>
      <c r="H198" s="321"/>
      <c r="I198" s="321"/>
      <c r="J198" s="321"/>
    </row>
    <row r="199" spans="2:10">
      <c r="B199" s="147" t="s">
        <v>340</v>
      </c>
      <c r="C199" s="321"/>
      <c r="D199" s="321"/>
      <c r="E199" s="321"/>
      <c r="F199" s="321"/>
      <c r="G199" s="321"/>
      <c r="H199" s="321"/>
      <c r="I199" s="321"/>
      <c r="J199" s="321"/>
    </row>
    <row r="200" spans="2:10">
      <c r="B200" s="54" t="s">
        <v>339</v>
      </c>
      <c r="C200" s="321"/>
      <c r="D200" s="321"/>
      <c r="E200" s="321"/>
      <c r="F200" s="321"/>
      <c r="G200" s="321"/>
      <c r="H200" s="321"/>
      <c r="I200" s="321"/>
      <c r="J200" s="321"/>
    </row>
    <row r="201" spans="2:10">
      <c r="B201" s="54" t="s">
        <v>338</v>
      </c>
      <c r="C201" s="321"/>
      <c r="D201" s="321"/>
      <c r="E201" s="321"/>
      <c r="F201" s="321"/>
      <c r="G201" s="321"/>
      <c r="H201" s="321"/>
      <c r="I201" s="321"/>
      <c r="J201" s="321"/>
    </row>
    <row r="202" spans="2:10">
      <c r="B202" s="147" t="s">
        <v>337</v>
      </c>
      <c r="C202" s="321"/>
      <c r="D202" s="321"/>
      <c r="E202" s="321"/>
      <c r="F202" s="321"/>
      <c r="G202" s="321"/>
      <c r="H202" s="321"/>
      <c r="I202" s="321"/>
      <c r="J202" s="321"/>
    </row>
    <row r="203" spans="2:10">
      <c r="B203" s="147" t="s">
        <v>336</v>
      </c>
      <c r="C203" s="321"/>
      <c r="D203" s="321"/>
      <c r="E203" s="321"/>
      <c r="F203" s="321"/>
      <c r="G203" s="321"/>
      <c r="H203" s="321"/>
      <c r="I203" s="321"/>
      <c r="J203" s="321"/>
    </row>
    <row r="204" spans="2:10">
      <c r="B204" s="147" t="s">
        <v>335</v>
      </c>
      <c r="C204" s="321"/>
      <c r="D204" s="321"/>
      <c r="E204" s="321"/>
      <c r="F204" s="321"/>
      <c r="G204" s="321"/>
      <c r="H204" s="321"/>
      <c r="I204" s="321"/>
      <c r="J204" s="321"/>
    </row>
    <row r="205" spans="2:10">
      <c r="B205" s="147"/>
      <c r="C205" s="321"/>
      <c r="D205" s="321"/>
      <c r="E205" s="321"/>
      <c r="F205" s="321"/>
      <c r="G205" s="321"/>
      <c r="H205" s="321"/>
      <c r="I205" s="321"/>
      <c r="J205" s="321"/>
    </row>
    <row r="206" spans="2:10" ht="26">
      <c r="B206" s="148" t="s">
        <v>343</v>
      </c>
      <c r="C206" s="645">
        <v>0</v>
      </c>
      <c r="D206" s="645">
        <v>0</v>
      </c>
      <c r="E206" s="645">
        <v>0</v>
      </c>
      <c r="F206" s="645">
        <v>0</v>
      </c>
      <c r="G206" s="645">
        <v>0</v>
      </c>
      <c r="H206" s="645">
        <v>0</v>
      </c>
      <c r="I206" s="645">
        <v>0</v>
      </c>
      <c r="J206" s="645">
        <v>0</v>
      </c>
    </row>
    <row r="207" spans="2:10">
      <c r="B207" s="54" t="s">
        <v>342</v>
      </c>
      <c r="C207" s="321"/>
      <c r="D207" s="321"/>
      <c r="E207" s="321"/>
      <c r="F207" s="321"/>
      <c r="G207" s="321"/>
      <c r="H207" s="321"/>
      <c r="I207" s="321"/>
      <c r="J207" s="321"/>
    </row>
    <row r="208" spans="2:10">
      <c r="B208" s="147" t="s">
        <v>341</v>
      </c>
      <c r="C208" s="321"/>
      <c r="D208" s="321"/>
      <c r="E208" s="321"/>
      <c r="F208" s="321"/>
      <c r="G208" s="321"/>
      <c r="H208" s="321"/>
      <c r="I208" s="321"/>
      <c r="J208" s="321"/>
    </row>
    <row r="209" spans="2:11">
      <c r="B209" s="147" t="s">
        <v>340</v>
      </c>
      <c r="C209" s="321"/>
      <c r="D209" s="321"/>
      <c r="E209" s="321"/>
      <c r="F209" s="321"/>
      <c r="G209" s="321"/>
      <c r="H209" s="321"/>
      <c r="I209" s="321"/>
      <c r="J209" s="321"/>
    </row>
    <row r="210" spans="2:11">
      <c r="B210" s="54" t="s">
        <v>339</v>
      </c>
      <c r="C210" s="321"/>
      <c r="D210" s="321"/>
      <c r="E210" s="321"/>
      <c r="F210" s="321"/>
      <c r="G210" s="321"/>
      <c r="H210" s="321"/>
      <c r="I210" s="321"/>
      <c r="J210" s="321"/>
    </row>
    <row r="211" spans="2:11">
      <c r="B211" s="54" t="s">
        <v>338</v>
      </c>
      <c r="C211" s="321"/>
      <c r="D211" s="321"/>
      <c r="E211" s="321"/>
      <c r="F211" s="321"/>
      <c r="G211" s="321"/>
      <c r="H211" s="321"/>
      <c r="I211" s="321"/>
      <c r="J211" s="321"/>
    </row>
    <row r="212" spans="2:11">
      <c r="B212" s="147" t="s">
        <v>337</v>
      </c>
      <c r="C212" s="321"/>
      <c r="D212" s="321"/>
      <c r="E212" s="321"/>
      <c r="F212" s="321"/>
      <c r="G212" s="321"/>
      <c r="H212" s="321"/>
      <c r="I212" s="321"/>
      <c r="J212" s="321"/>
    </row>
    <row r="213" spans="2:11">
      <c r="B213" s="147" t="s">
        <v>336</v>
      </c>
      <c r="C213" s="321"/>
      <c r="D213" s="321"/>
      <c r="E213" s="321"/>
      <c r="F213" s="321"/>
      <c r="G213" s="321"/>
      <c r="H213" s="321"/>
      <c r="I213" s="321"/>
      <c r="J213" s="321"/>
    </row>
    <row r="214" spans="2:11" ht="15" thickBot="1">
      <c r="B214" s="146" t="s">
        <v>335</v>
      </c>
      <c r="C214" s="321"/>
      <c r="D214" s="321"/>
      <c r="E214" s="321"/>
      <c r="F214" s="321"/>
      <c r="G214" s="321"/>
      <c r="H214" s="321"/>
      <c r="I214" s="321"/>
      <c r="J214" s="321"/>
    </row>
    <row r="215" spans="2:11" ht="15" thickTop="1">
      <c r="B215" s="2124" t="s">
        <v>1750</v>
      </c>
      <c r="C215" s="2124"/>
      <c r="D215" s="2124"/>
      <c r="E215" s="2124"/>
      <c r="F215" s="2124"/>
      <c r="G215" s="2124"/>
      <c r="H215" s="2124"/>
      <c r="I215" s="2124"/>
      <c r="J215" s="2124"/>
      <c r="K215" s="2125"/>
    </row>
    <row r="216" spans="2:11">
      <c r="B216" s="2017"/>
      <c r="C216" s="2017"/>
      <c r="D216" s="2017"/>
      <c r="E216" s="2017"/>
      <c r="F216" s="2017"/>
      <c r="G216" s="2017"/>
      <c r="H216" s="2017"/>
      <c r="I216" s="2017"/>
      <c r="J216" s="2017"/>
    </row>
    <row r="217" spans="2:11">
      <c r="B217" s="64"/>
      <c r="C217" s="449"/>
      <c r="D217" s="449"/>
      <c r="E217" s="449"/>
      <c r="F217" s="449"/>
      <c r="G217" s="449"/>
      <c r="H217" s="449"/>
      <c r="I217" s="449"/>
      <c r="J217" s="449"/>
    </row>
    <row r="218" spans="2:11">
      <c r="B218" s="2100" t="s">
        <v>364</v>
      </c>
      <c r="C218" s="2100"/>
      <c r="D218" s="2100"/>
      <c r="E218" s="2100"/>
      <c r="F218" s="2100"/>
      <c r="G218" s="2100"/>
      <c r="H218" s="2100"/>
      <c r="I218" s="2100"/>
      <c r="J218" s="2100"/>
    </row>
    <row r="219" spans="2:11">
      <c r="B219" s="12" t="s">
        <v>363</v>
      </c>
      <c r="C219" s="449"/>
      <c r="D219" s="449"/>
      <c r="E219" s="449"/>
      <c r="F219" s="449"/>
      <c r="G219" s="449"/>
      <c r="H219" s="449"/>
      <c r="I219" s="449"/>
      <c r="J219" s="449"/>
    </row>
    <row r="220" spans="2:11">
      <c r="B220" s="62" t="s">
        <v>311</v>
      </c>
      <c r="C220" s="449"/>
      <c r="D220" s="306"/>
      <c r="E220" s="306"/>
      <c r="F220" s="306"/>
      <c r="G220" s="306"/>
      <c r="H220" s="306"/>
      <c r="I220" s="306"/>
      <c r="J220" s="306"/>
    </row>
    <row r="221" spans="2:11">
      <c r="B221" s="64"/>
      <c r="C221" s="449"/>
      <c r="D221" s="449"/>
      <c r="E221" s="449"/>
      <c r="F221" s="449"/>
      <c r="G221" s="449"/>
      <c r="H221" s="449"/>
      <c r="I221" s="449"/>
      <c r="J221" s="449"/>
    </row>
    <row r="222" spans="2:11">
      <c r="B222" s="61"/>
      <c r="C222" s="303">
        <v>2014</v>
      </c>
      <c r="D222" s="303">
        <v>2015</v>
      </c>
      <c r="E222" s="303">
        <v>2016</v>
      </c>
      <c r="F222" s="303">
        <v>2017</v>
      </c>
      <c r="G222" s="303">
        <v>2018</v>
      </c>
      <c r="H222" s="303">
        <v>2019</v>
      </c>
      <c r="I222" s="303">
        <v>2020</v>
      </c>
      <c r="J222" s="303">
        <v>2021</v>
      </c>
    </row>
    <row r="223" spans="2:11">
      <c r="B223" s="114" t="s">
        <v>362</v>
      </c>
      <c r="C223" s="449"/>
      <c r="D223" s="449"/>
      <c r="E223" s="449"/>
      <c r="F223" s="449"/>
      <c r="G223" s="449"/>
      <c r="H223" s="449"/>
      <c r="I223" s="449"/>
      <c r="J223" s="449"/>
    </row>
    <row r="224" spans="2:11">
      <c r="B224" s="54" t="s">
        <v>361</v>
      </c>
      <c r="C224" s="306"/>
      <c r="D224" s="306"/>
      <c r="E224" s="306"/>
      <c r="F224" s="306"/>
      <c r="G224" s="306"/>
      <c r="H224" s="306"/>
      <c r="I224" s="306"/>
      <c r="J224" s="306"/>
    </row>
    <row r="225" spans="2:10">
      <c r="B225" s="151" t="s">
        <v>360</v>
      </c>
      <c r="C225" s="232" t="s">
        <v>2086</v>
      </c>
      <c r="D225" s="232" t="s">
        <v>2086</v>
      </c>
      <c r="E225" s="232" t="s">
        <v>2086</v>
      </c>
      <c r="F225" s="232" t="s">
        <v>2086</v>
      </c>
      <c r="G225" s="232" t="s">
        <v>2086</v>
      </c>
      <c r="H225" s="232" t="s">
        <v>2086</v>
      </c>
      <c r="I225" s="232" t="s">
        <v>2086</v>
      </c>
      <c r="J225" s="232" t="s">
        <v>2086</v>
      </c>
    </row>
    <row r="226" spans="2:10">
      <c r="B226" s="151" t="s">
        <v>828</v>
      </c>
      <c r="C226" s="986">
        <v>2434.3554092259947</v>
      </c>
      <c r="D226" s="986">
        <v>1831.5506667544373</v>
      </c>
      <c r="E226" s="986">
        <v>2259.136203419986</v>
      </c>
      <c r="F226" s="986">
        <v>2813.2262050481431</v>
      </c>
      <c r="G226" s="986">
        <v>3879.3956456977094</v>
      </c>
      <c r="H226" s="986">
        <v>5250.661543371828</v>
      </c>
      <c r="I226" s="986">
        <v>7036.3459459485821</v>
      </c>
      <c r="J226" s="986">
        <v>10545.936574756903</v>
      </c>
    </row>
    <row r="227" spans="2:10">
      <c r="B227" s="152" t="s">
        <v>358</v>
      </c>
      <c r="C227" s="986">
        <v>0</v>
      </c>
      <c r="D227" s="321">
        <v>0</v>
      </c>
      <c r="E227" s="321">
        <v>0</v>
      </c>
      <c r="F227" s="321">
        <v>0</v>
      </c>
      <c r="G227" s="321">
        <v>0</v>
      </c>
      <c r="H227" s="321">
        <v>0</v>
      </c>
      <c r="I227" s="321">
        <v>0</v>
      </c>
      <c r="J227" s="321">
        <v>0</v>
      </c>
    </row>
    <row r="228" spans="2:10">
      <c r="B228" s="71" t="s">
        <v>357</v>
      </c>
      <c r="C228" s="232" t="s">
        <v>2086</v>
      </c>
      <c r="D228" s="232" t="s">
        <v>2086</v>
      </c>
      <c r="E228" s="232" t="s">
        <v>2086</v>
      </c>
      <c r="F228" s="232" t="s">
        <v>2086</v>
      </c>
      <c r="G228" s="232" t="s">
        <v>2086</v>
      </c>
      <c r="H228" s="232" t="s">
        <v>2086</v>
      </c>
      <c r="I228" s="232" t="s">
        <v>2086</v>
      </c>
      <c r="J228" s="232" t="s">
        <v>2086</v>
      </c>
    </row>
    <row r="229" spans="2:10">
      <c r="B229" s="151" t="s">
        <v>356</v>
      </c>
      <c r="C229" s="227"/>
      <c r="D229" s="227"/>
      <c r="E229" s="227"/>
      <c r="F229" s="227"/>
      <c r="G229" s="227"/>
      <c r="H229" s="306"/>
      <c r="I229" s="306"/>
      <c r="J229" s="306"/>
    </row>
    <row r="230" spans="2:10">
      <c r="B230" s="151" t="s">
        <v>355</v>
      </c>
      <c r="C230" s="200"/>
      <c r="D230" s="200"/>
      <c r="E230" s="200"/>
      <c r="F230" s="200"/>
      <c r="G230" s="200"/>
      <c r="H230" s="306"/>
      <c r="I230" s="306"/>
      <c r="J230" s="306"/>
    </row>
    <row r="231" spans="2:10">
      <c r="B231" s="151" t="s">
        <v>354</v>
      </c>
      <c r="C231" s="227"/>
      <c r="D231" s="227"/>
      <c r="E231" s="227"/>
      <c r="F231" s="227"/>
      <c r="G231" s="227"/>
      <c r="H231" s="306"/>
      <c r="I231" s="306"/>
      <c r="J231" s="306"/>
    </row>
    <row r="232" spans="2:10">
      <c r="B232" s="71" t="s">
        <v>338</v>
      </c>
      <c r="C232" s="227" t="s">
        <v>2086</v>
      </c>
      <c r="D232" s="227" t="s">
        <v>2086</v>
      </c>
      <c r="E232" s="227" t="s">
        <v>2086</v>
      </c>
      <c r="F232" s="227" t="s">
        <v>2086</v>
      </c>
      <c r="G232" s="227" t="s">
        <v>2086</v>
      </c>
      <c r="H232" s="306">
        <v>0</v>
      </c>
      <c r="I232" s="306">
        <v>0</v>
      </c>
      <c r="J232" s="306">
        <v>0</v>
      </c>
    </row>
    <row r="233" spans="2:10">
      <c r="B233" s="71" t="s">
        <v>353</v>
      </c>
      <c r="C233" s="227"/>
      <c r="D233" s="227"/>
      <c r="E233" s="227"/>
      <c r="F233" s="227"/>
      <c r="G233" s="227"/>
      <c r="H233" s="227"/>
      <c r="I233" s="227"/>
      <c r="J233" s="306"/>
    </row>
    <row r="234" spans="2:10">
      <c r="B234" s="150" t="s">
        <v>352</v>
      </c>
      <c r="C234" s="986">
        <f>300492.56044091/C12</f>
        <v>14292.636594141775</v>
      </c>
      <c r="D234" s="986">
        <f>292126.762/D12</f>
        <v>13219.125317075299</v>
      </c>
      <c r="E234" s="986">
        <f>290146.15/E12</f>
        <v>12617.85895788223</v>
      </c>
      <c r="F234" s="986">
        <f>296480.01306448/F12</f>
        <v>12535.358820477395</v>
      </c>
      <c r="G234" s="986">
        <f>289055.64457088/G12</f>
        <v>12008.931008885651</v>
      </c>
      <c r="H234" s="986">
        <f>278458.09779686/H12</f>
        <v>11282.695120865264</v>
      </c>
      <c r="I234" s="986">
        <f>157046.81927146/I12</f>
        <v>6344.3145740108903</v>
      </c>
      <c r="J234" s="986">
        <f>188600.03417075/J12</f>
        <v>7798.2987620801923</v>
      </c>
    </row>
    <row r="235" spans="2:10">
      <c r="B235" s="150" t="s">
        <v>351</v>
      </c>
      <c r="C235" s="999">
        <v>1168.7393707200001</v>
      </c>
      <c r="D235" s="999">
        <v>1223.722</v>
      </c>
      <c r="E235" s="999">
        <v>1084.4630000000002</v>
      </c>
      <c r="F235" s="999">
        <v>1146.7844859299998</v>
      </c>
      <c r="G235" s="999">
        <v>1224.6655659800001</v>
      </c>
      <c r="H235" s="999">
        <v>1347.5894679999999</v>
      </c>
      <c r="I235" s="999">
        <v>866.11000510000008</v>
      </c>
      <c r="J235" s="999">
        <v>720.68982211000002</v>
      </c>
    </row>
    <row r="236" spans="2:10">
      <c r="B236" s="54" t="s">
        <v>350</v>
      </c>
      <c r="C236" s="306"/>
      <c r="D236" s="306"/>
      <c r="E236" s="306"/>
      <c r="F236" s="306"/>
      <c r="G236" s="306"/>
      <c r="H236" s="306"/>
      <c r="I236" s="306"/>
      <c r="J236" s="306"/>
    </row>
    <row r="237" spans="2:10">
      <c r="B237" s="54"/>
      <c r="C237" s="306"/>
      <c r="D237" s="306"/>
      <c r="E237" s="306"/>
      <c r="F237" s="306"/>
      <c r="G237" s="306"/>
      <c r="H237" s="304"/>
      <c r="I237" s="304"/>
      <c r="J237" s="304"/>
    </row>
    <row r="238" spans="2:10">
      <c r="B238" s="54" t="s">
        <v>349</v>
      </c>
      <c r="C238" s="306"/>
      <c r="D238" s="306"/>
      <c r="E238" s="306"/>
      <c r="F238" s="306"/>
      <c r="G238" s="306"/>
      <c r="H238" s="306"/>
      <c r="I238" s="306"/>
      <c r="J238" s="306"/>
    </row>
    <row r="239" spans="2:10">
      <c r="B239" s="147" t="s">
        <v>348</v>
      </c>
      <c r="C239" s="1260">
        <v>9.9071581799999997</v>
      </c>
      <c r="D239" s="1260">
        <v>14.45650077</v>
      </c>
      <c r="E239" s="1260">
        <v>11.40189777</v>
      </c>
      <c r="F239" s="1260">
        <v>16.955330610000001</v>
      </c>
      <c r="G239" s="1260">
        <v>10.8639828899999</v>
      </c>
      <c r="H239" s="1260">
        <v>12.623192</v>
      </c>
      <c r="I239" s="1260">
        <v>30.321287680000001</v>
      </c>
      <c r="J239" s="1260">
        <v>133.37643160000002</v>
      </c>
    </row>
    <row r="240" spans="2:10">
      <c r="B240" s="147"/>
      <c r="C240" s="306"/>
      <c r="D240" s="306"/>
      <c r="E240" s="306"/>
      <c r="F240" s="306"/>
      <c r="G240" s="306"/>
      <c r="H240" s="306"/>
      <c r="I240" s="306"/>
      <c r="J240" s="306"/>
    </row>
    <row r="241" spans="2:10">
      <c r="B241" s="54" t="s">
        <v>347</v>
      </c>
      <c r="C241" s="1260">
        <v>0.48679644</v>
      </c>
      <c r="D241" s="1260">
        <v>0.10000593999999997</v>
      </c>
      <c r="E241" s="1260">
        <v>5.8858359999999998E-2</v>
      </c>
      <c r="F241" s="1260">
        <v>0.64567693999999998</v>
      </c>
      <c r="G241" s="1260">
        <v>3.1343220699999996</v>
      </c>
      <c r="H241" s="1260">
        <v>8.6983122599999998</v>
      </c>
      <c r="I241" s="1260">
        <v>7.85092123</v>
      </c>
      <c r="J241" s="1260">
        <v>62.0645136999999</v>
      </c>
    </row>
    <row r="242" spans="2:10">
      <c r="B242" s="54"/>
      <c r="C242" s="306"/>
      <c r="D242" s="306"/>
      <c r="E242" s="306"/>
      <c r="F242" s="306"/>
      <c r="G242" s="306"/>
      <c r="H242" s="304"/>
      <c r="I242" s="304"/>
      <c r="J242" s="304"/>
    </row>
    <row r="243" spans="2:10">
      <c r="B243" s="114" t="s">
        <v>346</v>
      </c>
      <c r="C243" s="307">
        <v>0</v>
      </c>
      <c r="D243" s="307">
        <v>0</v>
      </c>
      <c r="E243" s="307">
        <v>0</v>
      </c>
      <c r="F243" s="307">
        <v>0</v>
      </c>
      <c r="G243" s="307">
        <v>0</v>
      </c>
      <c r="H243" s="307">
        <v>0</v>
      </c>
      <c r="I243" s="307">
        <v>0</v>
      </c>
      <c r="J243" s="307">
        <v>0</v>
      </c>
    </row>
    <row r="244" spans="2:10">
      <c r="B244" s="54" t="s">
        <v>342</v>
      </c>
      <c r="C244" s="306"/>
      <c r="D244" s="306"/>
      <c r="E244" s="306"/>
      <c r="F244" s="306"/>
      <c r="G244" s="306"/>
      <c r="H244" s="306"/>
      <c r="I244" s="306"/>
      <c r="J244" s="306"/>
    </row>
    <row r="245" spans="2:10">
      <c r="B245" s="147" t="s">
        <v>341</v>
      </c>
      <c r="C245" s="228"/>
      <c r="D245" s="228"/>
      <c r="E245" s="228"/>
      <c r="F245" s="228"/>
      <c r="G245" s="228"/>
      <c r="H245" s="306"/>
      <c r="I245" s="306"/>
      <c r="J245" s="306"/>
    </row>
    <row r="246" spans="2:10">
      <c r="B246" s="147" t="s">
        <v>340</v>
      </c>
      <c r="C246" s="228"/>
      <c r="D246" s="228"/>
      <c r="E246" s="228"/>
      <c r="F246" s="228"/>
      <c r="G246" s="228"/>
      <c r="H246" s="306"/>
      <c r="I246" s="306"/>
      <c r="J246" s="306"/>
    </row>
    <row r="247" spans="2:10">
      <c r="B247" s="54" t="s">
        <v>339</v>
      </c>
      <c r="C247" s="228"/>
      <c r="D247" s="228"/>
      <c r="E247" s="228"/>
      <c r="F247" s="228"/>
      <c r="G247" s="228"/>
      <c r="H247" s="306"/>
      <c r="I247" s="306"/>
      <c r="J247" s="306"/>
    </row>
    <row r="248" spans="2:10">
      <c r="B248" s="54" t="s">
        <v>338</v>
      </c>
      <c r="C248" s="306"/>
      <c r="D248" s="306"/>
      <c r="E248" s="306"/>
      <c r="F248" s="306"/>
      <c r="G248" s="306"/>
      <c r="H248" s="306"/>
      <c r="I248" s="306"/>
      <c r="J248" s="306"/>
    </row>
    <row r="249" spans="2:10">
      <c r="B249" s="147" t="s">
        <v>337</v>
      </c>
      <c r="C249" s="307"/>
      <c r="D249" s="307"/>
      <c r="E249" s="307"/>
      <c r="F249" s="307"/>
      <c r="G249" s="307"/>
      <c r="H249" s="307"/>
      <c r="I249" s="307"/>
      <c r="J249" s="307"/>
    </row>
    <row r="250" spans="2:10">
      <c r="B250" s="147" t="s">
        <v>336</v>
      </c>
      <c r="C250" s="307"/>
      <c r="D250" s="307"/>
      <c r="E250" s="307"/>
      <c r="F250" s="307"/>
      <c r="G250" s="307"/>
      <c r="H250" s="307"/>
      <c r="I250" s="307"/>
      <c r="J250" s="307"/>
    </row>
    <row r="251" spans="2:10">
      <c r="B251" s="147" t="s">
        <v>335</v>
      </c>
      <c r="C251" s="307"/>
      <c r="D251" s="307"/>
      <c r="E251" s="307"/>
      <c r="F251" s="307"/>
      <c r="G251" s="307"/>
      <c r="H251" s="307"/>
      <c r="I251" s="307"/>
      <c r="J251" s="307"/>
    </row>
    <row r="252" spans="2:10">
      <c r="B252" s="147"/>
      <c r="C252" s="307"/>
      <c r="D252" s="307"/>
      <c r="E252" s="307"/>
      <c r="F252" s="307"/>
      <c r="G252" s="307"/>
      <c r="H252" s="307"/>
      <c r="I252" s="307"/>
      <c r="J252" s="307"/>
    </row>
    <row r="253" spans="2:10" ht="26">
      <c r="B253" s="148" t="s">
        <v>345</v>
      </c>
      <c r="C253" s="307">
        <v>0</v>
      </c>
      <c r="D253" s="307">
        <v>0</v>
      </c>
      <c r="E253" s="307">
        <v>0</v>
      </c>
      <c r="F253" s="307">
        <v>0</v>
      </c>
      <c r="G253" s="307">
        <v>0</v>
      </c>
      <c r="H253" s="307">
        <v>0</v>
      </c>
      <c r="I253" s="307">
        <v>0</v>
      </c>
      <c r="J253" s="307">
        <v>0</v>
      </c>
    </row>
    <row r="254" spans="2:10">
      <c r="B254" s="54" t="s">
        <v>342</v>
      </c>
      <c r="C254" s="306"/>
      <c r="D254" s="306"/>
      <c r="E254" s="306"/>
      <c r="F254" s="306"/>
      <c r="G254" s="306"/>
      <c r="H254" s="306"/>
      <c r="I254" s="306"/>
      <c r="J254" s="306"/>
    </row>
    <row r="255" spans="2:10">
      <c r="B255" s="147" t="s">
        <v>341</v>
      </c>
      <c r="C255" s="306"/>
      <c r="D255" s="306"/>
      <c r="E255" s="306"/>
      <c r="F255" s="306"/>
      <c r="G255" s="306"/>
      <c r="H255" s="306"/>
      <c r="I255" s="306"/>
      <c r="J255" s="306"/>
    </row>
    <row r="256" spans="2:10">
      <c r="B256" s="147" t="s">
        <v>340</v>
      </c>
      <c r="C256" s="306"/>
      <c r="D256" s="306"/>
      <c r="E256" s="306"/>
      <c r="F256" s="306"/>
      <c r="G256" s="306"/>
      <c r="H256" s="306"/>
      <c r="I256" s="306"/>
      <c r="J256" s="306"/>
    </row>
    <row r="257" spans="2:10">
      <c r="B257" s="54" t="s">
        <v>339</v>
      </c>
      <c r="C257" s="306"/>
      <c r="D257" s="306"/>
      <c r="E257" s="306"/>
      <c r="F257" s="306"/>
      <c r="G257" s="306"/>
      <c r="H257" s="306"/>
      <c r="I257" s="306"/>
      <c r="J257" s="306"/>
    </row>
    <row r="258" spans="2:10">
      <c r="B258" s="54" t="s">
        <v>338</v>
      </c>
      <c r="C258" s="306"/>
      <c r="D258" s="306"/>
      <c r="E258" s="306"/>
      <c r="F258" s="306"/>
      <c r="G258" s="306"/>
      <c r="H258" s="306"/>
      <c r="I258" s="306"/>
      <c r="J258" s="306"/>
    </row>
    <row r="259" spans="2:10">
      <c r="B259" s="147" t="s">
        <v>337</v>
      </c>
      <c r="C259" s="307"/>
      <c r="D259" s="307"/>
      <c r="E259" s="307"/>
      <c r="F259" s="307"/>
      <c r="G259" s="307"/>
      <c r="H259" s="307"/>
      <c r="I259" s="307"/>
      <c r="J259" s="307"/>
    </row>
    <row r="260" spans="2:10">
      <c r="B260" s="147" t="s">
        <v>336</v>
      </c>
      <c r="C260" s="307"/>
      <c r="D260" s="307"/>
      <c r="E260" s="307"/>
      <c r="F260" s="307"/>
      <c r="G260" s="307"/>
      <c r="H260" s="307"/>
      <c r="I260" s="307"/>
      <c r="J260" s="307"/>
    </row>
    <row r="261" spans="2:10">
      <c r="B261" s="147" t="s">
        <v>335</v>
      </c>
      <c r="C261" s="307"/>
      <c r="D261" s="307"/>
      <c r="E261" s="307"/>
      <c r="F261" s="307"/>
      <c r="G261" s="307"/>
      <c r="H261" s="307"/>
      <c r="I261" s="307"/>
      <c r="J261" s="307"/>
    </row>
    <row r="262" spans="2:10">
      <c r="B262" s="147"/>
      <c r="C262" s="449"/>
      <c r="D262" s="449"/>
      <c r="E262" s="449"/>
      <c r="F262" s="449"/>
      <c r="G262" s="449"/>
      <c r="H262" s="449"/>
      <c r="I262" s="449"/>
      <c r="J262" s="449"/>
    </row>
    <row r="263" spans="2:10" ht="26">
      <c r="B263" s="148" t="s">
        <v>344</v>
      </c>
      <c r="C263" s="1261">
        <v>0</v>
      </c>
      <c r="D263" s="1261">
        <v>0</v>
      </c>
      <c r="E263" s="1261">
        <v>0</v>
      </c>
      <c r="F263" s="1261">
        <v>0</v>
      </c>
      <c r="G263" s="1261">
        <v>0</v>
      </c>
      <c r="H263" s="1261">
        <v>0</v>
      </c>
      <c r="I263" s="1261">
        <v>0</v>
      </c>
      <c r="J263" s="1261">
        <v>0</v>
      </c>
    </row>
    <row r="264" spans="2:10">
      <c r="B264" s="54" t="s">
        <v>342</v>
      </c>
      <c r="C264" s="321"/>
      <c r="D264" s="321"/>
      <c r="E264" s="321"/>
      <c r="F264" s="321"/>
      <c r="G264" s="321"/>
      <c r="H264" s="321"/>
      <c r="I264" s="321"/>
      <c r="J264" s="321"/>
    </row>
    <row r="265" spans="2:10">
      <c r="B265" s="147" t="s">
        <v>341</v>
      </c>
      <c r="C265" s="321"/>
      <c r="D265" s="321"/>
      <c r="E265" s="321"/>
      <c r="F265" s="321"/>
      <c r="G265" s="321"/>
      <c r="H265" s="321"/>
      <c r="I265" s="321"/>
      <c r="J265" s="321"/>
    </row>
    <row r="266" spans="2:10">
      <c r="B266" s="147" t="s">
        <v>340</v>
      </c>
      <c r="C266" s="321"/>
      <c r="D266" s="321"/>
      <c r="E266" s="321"/>
      <c r="F266" s="321"/>
      <c r="G266" s="321"/>
      <c r="H266" s="321"/>
      <c r="I266" s="321"/>
      <c r="J266" s="321"/>
    </row>
    <row r="267" spans="2:10">
      <c r="B267" s="54" t="s">
        <v>339</v>
      </c>
      <c r="C267" s="321"/>
      <c r="D267" s="321"/>
      <c r="E267" s="321"/>
      <c r="F267" s="321"/>
      <c r="G267" s="321"/>
      <c r="H267" s="321"/>
      <c r="I267" s="321"/>
      <c r="J267" s="321"/>
    </row>
    <row r="268" spans="2:10">
      <c r="B268" s="54" t="s">
        <v>338</v>
      </c>
      <c r="C268" s="321"/>
      <c r="D268" s="321"/>
      <c r="E268" s="321"/>
      <c r="F268" s="321"/>
      <c r="G268" s="321"/>
      <c r="H268" s="321"/>
      <c r="I268" s="321"/>
      <c r="J268" s="321"/>
    </row>
    <row r="269" spans="2:10">
      <c r="B269" s="147" t="s">
        <v>337</v>
      </c>
      <c r="C269" s="321"/>
      <c r="D269" s="321"/>
      <c r="E269" s="321"/>
      <c r="F269" s="321"/>
      <c r="G269" s="321"/>
      <c r="H269" s="321"/>
      <c r="I269" s="321"/>
      <c r="J269" s="321"/>
    </row>
    <row r="270" spans="2:10">
      <c r="B270" s="147" t="s">
        <v>336</v>
      </c>
      <c r="C270" s="321"/>
      <c r="D270" s="321"/>
      <c r="E270" s="321"/>
      <c r="F270" s="321"/>
      <c r="G270" s="321"/>
      <c r="H270" s="321"/>
      <c r="I270" s="321"/>
      <c r="J270" s="321"/>
    </row>
    <row r="271" spans="2:10">
      <c r="B271" s="147" t="s">
        <v>335</v>
      </c>
      <c r="C271" s="321"/>
      <c r="D271" s="321"/>
      <c r="E271" s="321"/>
      <c r="F271" s="321"/>
      <c r="G271" s="321"/>
      <c r="H271" s="321"/>
      <c r="I271" s="321"/>
      <c r="J271" s="321"/>
    </row>
    <row r="272" spans="2:10">
      <c r="B272" s="147"/>
      <c r="C272" s="321"/>
      <c r="D272" s="321"/>
      <c r="E272" s="321"/>
      <c r="F272" s="321"/>
      <c r="G272" s="321"/>
      <c r="H272" s="321"/>
      <c r="I272" s="321"/>
      <c r="J272" s="321"/>
    </row>
    <row r="273" spans="2:11" ht="26">
      <c r="B273" s="148" t="s">
        <v>343</v>
      </c>
      <c r="C273" s="321">
        <v>0</v>
      </c>
      <c r="D273" s="321">
        <v>0</v>
      </c>
      <c r="E273" s="321">
        <v>0</v>
      </c>
      <c r="F273" s="321">
        <v>0</v>
      </c>
      <c r="G273" s="321">
        <v>0</v>
      </c>
      <c r="H273" s="321">
        <v>0</v>
      </c>
      <c r="I273" s="321">
        <v>0</v>
      </c>
      <c r="J273" s="321">
        <v>0</v>
      </c>
    </row>
    <row r="274" spans="2:11">
      <c r="B274" s="54" t="s">
        <v>342</v>
      </c>
      <c r="C274" s="321"/>
      <c r="D274" s="321"/>
      <c r="E274" s="321"/>
      <c r="F274" s="321"/>
      <c r="G274" s="321"/>
      <c r="H274" s="321"/>
      <c r="I274" s="321"/>
      <c r="J274" s="321"/>
    </row>
    <row r="275" spans="2:11">
      <c r="B275" s="147" t="s">
        <v>341</v>
      </c>
      <c r="C275" s="321"/>
      <c r="D275" s="321"/>
      <c r="E275" s="321"/>
      <c r="F275" s="321"/>
      <c r="G275" s="321"/>
      <c r="H275" s="321"/>
      <c r="I275" s="321"/>
      <c r="J275" s="321"/>
    </row>
    <row r="276" spans="2:11">
      <c r="B276" s="147" t="s">
        <v>340</v>
      </c>
      <c r="C276" s="321"/>
      <c r="D276" s="321"/>
      <c r="E276" s="321"/>
      <c r="F276" s="321"/>
      <c r="G276" s="321"/>
      <c r="H276" s="321"/>
      <c r="I276" s="321"/>
      <c r="J276" s="321"/>
    </row>
    <row r="277" spans="2:11">
      <c r="B277" s="54" t="s">
        <v>339</v>
      </c>
      <c r="C277" s="321"/>
      <c r="D277" s="321"/>
      <c r="E277" s="321"/>
      <c r="F277" s="321"/>
      <c r="G277" s="321"/>
      <c r="H277" s="321"/>
      <c r="I277" s="321"/>
      <c r="J277" s="321"/>
    </row>
    <row r="278" spans="2:11">
      <c r="B278" s="54" t="s">
        <v>338</v>
      </c>
      <c r="C278" s="321"/>
      <c r="D278" s="321"/>
      <c r="E278" s="321"/>
      <c r="F278" s="321"/>
      <c r="G278" s="321"/>
      <c r="H278" s="321"/>
      <c r="I278" s="321"/>
      <c r="J278" s="321"/>
    </row>
    <row r="279" spans="2:11">
      <c r="B279" s="147" t="s">
        <v>337</v>
      </c>
      <c r="C279" s="321"/>
      <c r="D279" s="321"/>
      <c r="E279" s="321"/>
      <c r="F279" s="321"/>
      <c r="G279" s="321"/>
      <c r="H279" s="321"/>
      <c r="I279" s="321"/>
      <c r="J279" s="321"/>
    </row>
    <row r="280" spans="2:11">
      <c r="B280" s="147" t="s">
        <v>336</v>
      </c>
      <c r="C280" s="321"/>
      <c r="D280" s="321"/>
      <c r="E280" s="321"/>
      <c r="F280" s="321"/>
      <c r="G280" s="321"/>
      <c r="H280" s="321"/>
      <c r="I280" s="321"/>
      <c r="J280" s="321"/>
    </row>
    <row r="281" spans="2:11" ht="15" thickBot="1">
      <c r="B281" s="146" t="s">
        <v>335</v>
      </c>
      <c r="C281" s="321"/>
      <c r="D281" s="321"/>
      <c r="E281" s="321"/>
      <c r="F281" s="321"/>
      <c r="G281" s="321"/>
      <c r="H281" s="321"/>
      <c r="I281" s="321"/>
      <c r="J281" s="321"/>
    </row>
    <row r="282" spans="2:11" ht="15" thickTop="1">
      <c r="B282" s="2025" t="s">
        <v>1750</v>
      </c>
      <c r="C282" s="2025"/>
      <c r="D282" s="2025"/>
      <c r="E282" s="2025"/>
      <c r="F282" s="2025"/>
      <c r="G282" s="2025"/>
      <c r="H282" s="2025"/>
      <c r="I282" s="2025"/>
      <c r="J282" s="2025"/>
      <c r="K282" s="2031"/>
    </row>
    <row r="283" spans="2:11">
      <c r="B283" s="2017"/>
      <c r="C283" s="2017"/>
      <c r="D283" s="2017"/>
      <c r="E283" s="2017"/>
      <c r="F283" s="2017"/>
      <c r="G283" s="2017"/>
      <c r="H283" s="2017"/>
      <c r="I283" s="2017"/>
      <c r="J283" s="2017"/>
    </row>
    <row r="284" spans="2:11">
      <c r="B284" s="64"/>
      <c r="C284" s="449"/>
      <c r="D284" s="449"/>
      <c r="E284" s="449"/>
      <c r="F284" s="449"/>
      <c r="G284" s="449"/>
      <c r="H284" s="449"/>
      <c r="I284" s="449"/>
      <c r="J284" s="449"/>
    </row>
    <row r="285" spans="2:11">
      <c r="B285" s="2100" t="s">
        <v>333</v>
      </c>
      <c r="C285" s="2100"/>
      <c r="D285" s="2100"/>
      <c r="E285" s="2100"/>
      <c r="F285" s="2100"/>
      <c r="G285" s="2100"/>
      <c r="H285" s="2100"/>
      <c r="I285" s="2100"/>
      <c r="J285" s="2100"/>
    </row>
    <row r="286" spans="2:11">
      <c r="B286" s="12" t="s">
        <v>332</v>
      </c>
      <c r="C286" s="449"/>
      <c r="D286" s="449"/>
      <c r="E286" s="449"/>
      <c r="F286" s="449"/>
      <c r="G286" s="449"/>
      <c r="H286" s="449"/>
      <c r="I286" s="449"/>
      <c r="J286" s="449"/>
    </row>
    <row r="287" spans="2:11">
      <c r="B287" s="62" t="s">
        <v>269</v>
      </c>
      <c r="C287" s="449"/>
      <c r="D287" s="449"/>
      <c r="E287" s="449"/>
      <c r="F287" s="449"/>
      <c r="G287" s="449"/>
      <c r="H287" s="449"/>
      <c r="I287" s="449"/>
      <c r="J287" s="449"/>
    </row>
    <row r="288" spans="2:11">
      <c r="B288" s="64"/>
      <c r="C288" s="449"/>
      <c r="D288" s="449"/>
      <c r="E288" s="449"/>
      <c r="F288" s="449"/>
      <c r="G288" s="449"/>
      <c r="H288" s="449"/>
      <c r="I288" s="449"/>
      <c r="J288" s="449"/>
    </row>
    <row r="289" spans="2:10">
      <c r="B289" s="61"/>
      <c r="C289" s="303">
        <v>2014</v>
      </c>
      <c r="D289" s="303">
        <v>2015</v>
      </c>
      <c r="E289" s="303">
        <v>2016</v>
      </c>
      <c r="F289" s="303">
        <v>2017</v>
      </c>
      <c r="G289" s="303">
        <v>2018</v>
      </c>
      <c r="H289" s="303">
        <v>2019</v>
      </c>
      <c r="I289" s="303">
        <v>2020</v>
      </c>
      <c r="J289" s="303">
        <v>2021</v>
      </c>
    </row>
    <row r="290" spans="2:10" ht="26">
      <c r="B290" s="59" t="s">
        <v>1751</v>
      </c>
      <c r="C290" s="449"/>
      <c r="D290" s="449"/>
      <c r="E290" s="449"/>
      <c r="F290" s="449"/>
      <c r="G290" s="449"/>
      <c r="H290" s="449"/>
      <c r="I290" s="449"/>
      <c r="J290" s="449"/>
    </row>
    <row r="291" spans="2:10">
      <c r="B291" s="71" t="s">
        <v>331</v>
      </c>
      <c r="C291" s="235">
        <v>31</v>
      </c>
      <c r="D291" s="235">
        <v>30</v>
      </c>
      <c r="E291" s="235">
        <v>30</v>
      </c>
      <c r="F291" s="235">
        <v>29</v>
      </c>
      <c r="G291" s="235">
        <v>29</v>
      </c>
      <c r="H291" s="235">
        <v>30</v>
      </c>
      <c r="I291" s="235">
        <v>30</v>
      </c>
      <c r="J291" s="235">
        <v>29</v>
      </c>
    </row>
    <row r="292" spans="2:10">
      <c r="B292" s="133" t="s">
        <v>330</v>
      </c>
      <c r="C292" s="235">
        <v>14</v>
      </c>
      <c r="D292" s="235">
        <v>14</v>
      </c>
      <c r="E292" s="235">
        <v>14</v>
      </c>
      <c r="F292" s="235">
        <v>16</v>
      </c>
      <c r="G292" s="235">
        <v>16</v>
      </c>
      <c r="H292" s="235">
        <v>15</v>
      </c>
      <c r="I292" s="235">
        <v>15</v>
      </c>
      <c r="J292" s="235">
        <v>15</v>
      </c>
    </row>
    <row r="293" spans="2:10">
      <c r="B293" s="52" t="s">
        <v>260</v>
      </c>
      <c r="C293" s="235">
        <v>13</v>
      </c>
      <c r="D293" s="235">
        <v>13</v>
      </c>
      <c r="E293" s="235">
        <v>13</v>
      </c>
      <c r="F293" s="235">
        <v>15</v>
      </c>
      <c r="G293" s="235">
        <v>15</v>
      </c>
      <c r="H293" s="235">
        <v>14</v>
      </c>
      <c r="I293" s="235">
        <v>14</v>
      </c>
      <c r="J293" s="235">
        <v>14</v>
      </c>
    </row>
    <row r="294" spans="2:10">
      <c r="B294" s="52" t="s">
        <v>329</v>
      </c>
      <c r="C294" s="235">
        <v>1</v>
      </c>
      <c r="D294" s="235">
        <v>1</v>
      </c>
      <c r="E294" s="235">
        <v>1</v>
      </c>
      <c r="F294" s="235">
        <v>1</v>
      </c>
      <c r="G294" s="235">
        <v>1</v>
      </c>
      <c r="H294" s="235">
        <v>1</v>
      </c>
      <c r="I294" s="235">
        <v>1</v>
      </c>
      <c r="J294" s="235">
        <v>1</v>
      </c>
    </row>
    <row r="295" spans="2:10">
      <c r="B295" s="52" t="s">
        <v>328</v>
      </c>
      <c r="C295" s="323">
        <v>0</v>
      </c>
      <c r="D295" s="323">
        <v>0</v>
      </c>
      <c r="E295" s="323">
        <v>0</v>
      </c>
      <c r="F295" s="323">
        <v>0</v>
      </c>
      <c r="G295" s="323">
        <v>0</v>
      </c>
      <c r="H295" s="323">
        <v>0</v>
      </c>
      <c r="I295" s="323">
        <v>0</v>
      </c>
      <c r="J295" s="323">
        <v>0</v>
      </c>
    </row>
    <row r="296" spans="2:10">
      <c r="B296" s="136" t="s">
        <v>327</v>
      </c>
      <c r="C296" s="323">
        <v>0</v>
      </c>
      <c r="D296" s="323">
        <v>0</v>
      </c>
      <c r="E296" s="323">
        <v>0</v>
      </c>
      <c r="F296" s="323">
        <v>0</v>
      </c>
      <c r="G296" s="323">
        <v>0</v>
      </c>
      <c r="H296" s="323">
        <v>0</v>
      </c>
      <c r="I296" s="323">
        <v>0</v>
      </c>
      <c r="J296" s="323">
        <v>0</v>
      </c>
    </row>
    <row r="297" spans="2:10">
      <c r="B297" s="136" t="s">
        <v>326</v>
      </c>
      <c r="C297" s="323">
        <v>0</v>
      </c>
      <c r="D297" s="323">
        <v>0</v>
      </c>
      <c r="E297" s="323">
        <v>0</v>
      </c>
      <c r="F297" s="323">
        <v>0</v>
      </c>
      <c r="G297" s="323">
        <v>0</v>
      </c>
      <c r="H297" s="323">
        <v>0</v>
      </c>
      <c r="I297" s="323">
        <v>0</v>
      </c>
      <c r="J297" s="323">
        <v>0</v>
      </c>
    </row>
    <row r="298" spans="2:10">
      <c r="B298" s="136" t="s">
        <v>325</v>
      </c>
      <c r="C298" s="323">
        <v>0</v>
      </c>
      <c r="D298" s="323">
        <v>0</v>
      </c>
      <c r="E298" s="323">
        <v>0</v>
      </c>
      <c r="F298" s="323">
        <v>0</v>
      </c>
      <c r="G298" s="323">
        <v>0</v>
      </c>
      <c r="H298" s="323">
        <v>0</v>
      </c>
      <c r="I298" s="323">
        <v>0</v>
      </c>
      <c r="J298" s="323">
        <v>0</v>
      </c>
    </row>
    <row r="299" spans="2:10">
      <c r="B299" s="136" t="s">
        <v>323</v>
      </c>
      <c r="C299" s="323">
        <v>0</v>
      </c>
      <c r="D299" s="323">
        <v>0</v>
      </c>
      <c r="E299" s="323">
        <v>0</v>
      </c>
      <c r="F299" s="323">
        <v>0</v>
      </c>
      <c r="G299" s="323">
        <v>0</v>
      </c>
      <c r="H299" s="323">
        <v>0</v>
      </c>
      <c r="I299" s="323">
        <v>0</v>
      </c>
      <c r="J299" s="323">
        <v>0</v>
      </c>
    </row>
    <row r="300" spans="2:10">
      <c r="B300" s="136" t="s">
        <v>117</v>
      </c>
      <c r="C300" s="323">
        <v>0</v>
      </c>
      <c r="D300" s="323">
        <v>0</v>
      </c>
      <c r="E300" s="323">
        <v>0</v>
      </c>
      <c r="F300" s="323">
        <v>0</v>
      </c>
      <c r="G300" s="323">
        <v>0</v>
      </c>
      <c r="H300" s="323">
        <v>0</v>
      </c>
      <c r="I300" s="323">
        <v>0</v>
      </c>
      <c r="J300" s="323">
        <v>0</v>
      </c>
    </row>
    <row r="301" spans="2:10">
      <c r="B301" s="133" t="s">
        <v>322</v>
      </c>
      <c r="C301" s="235">
        <v>17</v>
      </c>
      <c r="D301" s="235">
        <v>16</v>
      </c>
      <c r="E301" s="235">
        <v>16</v>
      </c>
      <c r="F301" s="235">
        <v>13</v>
      </c>
      <c r="G301" s="235">
        <v>13</v>
      </c>
      <c r="H301" s="235">
        <v>15</v>
      </c>
      <c r="I301" s="235">
        <v>15</v>
      </c>
      <c r="J301" s="235">
        <v>14</v>
      </c>
    </row>
    <row r="302" spans="2:10">
      <c r="B302" s="133"/>
      <c r="C302" s="321"/>
      <c r="D302" s="321"/>
      <c r="E302" s="321"/>
      <c r="F302" s="321"/>
      <c r="G302" s="321"/>
      <c r="H302" s="321"/>
      <c r="I302" s="321"/>
      <c r="J302" s="321"/>
    </row>
    <row r="303" spans="2:10">
      <c r="B303" s="114" t="s">
        <v>302</v>
      </c>
      <c r="C303" s="321"/>
      <c r="D303" s="321"/>
      <c r="E303" s="321"/>
      <c r="F303" s="321"/>
      <c r="G303" s="321"/>
      <c r="H303" s="321"/>
      <c r="I303" s="321"/>
      <c r="J303" s="321"/>
    </row>
    <row r="304" spans="2:10">
      <c r="B304" s="114"/>
      <c r="C304" s="321"/>
      <c r="D304" s="321"/>
      <c r="E304" s="321"/>
      <c r="F304" s="321"/>
      <c r="G304" s="321"/>
      <c r="H304" s="321"/>
      <c r="I304" s="321"/>
      <c r="J304" s="321"/>
    </row>
    <row r="305" spans="2:10">
      <c r="B305" s="532" t="s">
        <v>1752</v>
      </c>
      <c r="C305" s="321"/>
      <c r="D305" s="321"/>
      <c r="E305" s="321"/>
      <c r="F305" s="321"/>
      <c r="G305" s="321"/>
      <c r="H305" s="321"/>
      <c r="I305" s="321"/>
      <c r="J305" s="321"/>
    </row>
    <row r="306" spans="2:10">
      <c r="B306" s="71" t="s">
        <v>331</v>
      </c>
      <c r="C306" s="1000">
        <v>19</v>
      </c>
      <c r="D306" s="1000">
        <v>18</v>
      </c>
      <c r="E306" s="1000">
        <v>17</v>
      </c>
      <c r="F306" s="1000">
        <v>17</v>
      </c>
      <c r="G306" s="1000">
        <v>17</v>
      </c>
      <c r="H306" s="1000">
        <v>17</v>
      </c>
      <c r="I306" s="1000">
        <v>17</v>
      </c>
      <c r="J306" s="1000">
        <v>17</v>
      </c>
    </row>
    <row r="307" spans="2:10">
      <c r="B307" s="133" t="s">
        <v>330</v>
      </c>
      <c r="C307" s="1000">
        <v>19</v>
      </c>
      <c r="D307" s="1000">
        <v>18</v>
      </c>
      <c r="E307" s="1000">
        <v>17</v>
      </c>
      <c r="F307" s="1000">
        <v>17</v>
      </c>
      <c r="G307" s="1000">
        <v>17</v>
      </c>
      <c r="H307" s="1000">
        <v>17</v>
      </c>
      <c r="I307" s="1000">
        <v>17</v>
      </c>
      <c r="J307" s="1000">
        <v>17</v>
      </c>
    </row>
    <row r="308" spans="2:10">
      <c r="B308" s="52" t="s">
        <v>260</v>
      </c>
      <c r="C308" s="323">
        <v>18</v>
      </c>
      <c r="D308" s="323">
        <v>17</v>
      </c>
      <c r="E308" s="323">
        <v>16</v>
      </c>
      <c r="F308" s="323">
        <v>16</v>
      </c>
      <c r="G308" s="323">
        <v>16</v>
      </c>
      <c r="H308" s="323">
        <v>16</v>
      </c>
      <c r="I308" s="323">
        <v>16</v>
      </c>
      <c r="J308" s="323">
        <v>16</v>
      </c>
    </row>
    <row r="309" spans="2:10">
      <c r="B309" s="52" t="s">
        <v>329</v>
      </c>
      <c r="C309" s="323">
        <v>1</v>
      </c>
      <c r="D309" s="323">
        <v>1</v>
      </c>
      <c r="E309" s="323">
        <v>1</v>
      </c>
      <c r="F309" s="323">
        <v>1</v>
      </c>
      <c r="G309" s="323">
        <v>1</v>
      </c>
      <c r="H309" s="323">
        <v>1</v>
      </c>
      <c r="I309" s="323">
        <v>1</v>
      </c>
      <c r="J309" s="323">
        <v>1</v>
      </c>
    </row>
    <row r="310" spans="2:10">
      <c r="B310" s="52" t="s">
        <v>328</v>
      </c>
      <c r="C310" s="323">
        <v>0</v>
      </c>
      <c r="D310" s="323">
        <v>0</v>
      </c>
      <c r="E310" s="323">
        <v>0</v>
      </c>
      <c r="F310" s="323">
        <v>0</v>
      </c>
      <c r="G310" s="323">
        <v>0</v>
      </c>
      <c r="H310" s="323">
        <v>0</v>
      </c>
      <c r="I310" s="323">
        <v>0</v>
      </c>
      <c r="J310" s="323">
        <v>0</v>
      </c>
    </row>
    <row r="311" spans="2:10">
      <c r="B311" s="136" t="s">
        <v>327</v>
      </c>
      <c r="C311" s="323">
        <v>0</v>
      </c>
      <c r="D311" s="323">
        <v>0</v>
      </c>
      <c r="E311" s="323">
        <v>0</v>
      </c>
      <c r="F311" s="323">
        <v>0</v>
      </c>
      <c r="G311" s="323">
        <v>0</v>
      </c>
      <c r="H311" s="323">
        <v>0</v>
      </c>
      <c r="I311" s="323">
        <v>0</v>
      </c>
      <c r="J311" s="323">
        <v>0</v>
      </c>
    </row>
    <row r="312" spans="2:10">
      <c r="B312" s="136" t="s">
        <v>326</v>
      </c>
      <c r="C312" s="323">
        <v>0</v>
      </c>
      <c r="D312" s="323">
        <v>0</v>
      </c>
      <c r="E312" s="323">
        <v>0</v>
      </c>
      <c r="F312" s="323">
        <v>0</v>
      </c>
      <c r="G312" s="323">
        <v>0</v>
      </c>
      <c r="H312" s="323">
        <v>0</v>
      </c>
      <c r="I312" s="323">
        <v>0</v>
      </c>
      <c r="J312" s="323">
        <v>0</v>
      </c>
    </row>
    <row r="313" spans="2:10">
      <c r="B313" s="136" t="s">
        <v>325</v>
      </c>
      <c r="C313" s="323">
        <v>0</v>
      </c>
      <c r="D313" s="323">
        <v>0</v>
      </c>
      <c r="E313" s="323">
        <v>0</v>
      </c>
      <c r="F313" s="323">
        <v>0</v>
      </c>
      <c r="G313" s="323">
        <v>0</v>
      </c>
      <c r="H313" s="323">
        <v>0</v>
      </c>
      <c r="I313" s="323">
        <v>0</v>
      </c>
      <c r="J313" s="323">
        <v>0</v>
      </c>
    </row>
    <row r="314" spans="2:10">
      <c r="B314" s="136" t="s">
        <v>323</v>
      </c>
      <c r="C314" s="323">
        <v>0</v>
      </c>
      <c r="D314" s="323">
        <v>0</v>
      </c>
      <c r="E314" s="323">
        <v>0</v>
      </c>
      <c r="F314" s="323">
        <v>0</v>
      </c>
      <c r="G314" s="323">
        <v>0</v>
      </c>
      <c r="H314" s="323">
        <v>0</v>
      </c>
      <c r="I314" s="323">
        <v>0</v>
      </c>
      <c r="J314" s="323">
        <v>0</v>
      </c>
    </row>
    <row r="315" spans="2:10">
      <c r="B315" s="136" t="s">
        <v>117</v>
      </c>
      <c r="C315" s="323">
        <v>0</v>
      </c>
      <c r="D315" s="323">
        <v>0</v>
      </c>
      <c r="E315" s="323">
        <v>0</v>
      </c>
      <c r="F315" s="323">
        <v>0</v>
      </c>
      <c r="G315" s="323">
        <v>0</v>
      </c>
      <c r="H315" s="323">
        <v>0</v>
      </c>
      <c r="I315" s="323">
        <v>0</v>
      </c>
      <c r="J315" s="323">
        <v>0</v>
      </c>
    </row>
    <row r="316" spans="2:10">
      <c r="B316" s="133" t="s">
        <v>322</v>
      </c>
      <c r="C316" s="323">
        <v>0</v>
      </c>
      <c r="D316" s="323">
        <v>0</v>
      </c>
      <c r="E316" s="323">
        <v>0</v>
      </c>
      <c r="F316" s="323">
        <v>0</v>
      </c>
      <c r="G316" s="323">
        <v>0</v>
      </c>
      <c r="H316" s="323">
        <v>0</v>
      </c>
      <c r="I316" s="323">
        <v>0</v>
      </c>
      <c r="J316" s="323">
        <v>0</v>
      </c>
    </row>
    <row r="317" spans="2:10">
      <c r="B317" s="133"/>
      <c r="C317" s="321"/>
      <c r="D317" s="321"/>
      <c r="E317" s="321"/>
      <c r="F317" s="321"/>
      <c r="G317" s="321"/>
      <c r="H317" s="321"/>
      <c r="I317" s="321"/>
      <c r="J317" s="321"/>
    </row>
    <row r="318" spans="2:10">
      <c r="B318" s="532" t="s">
        <v>1753</v>
      </c>
      <c r="C318" s="321"/>
      <c r="D318" s="321"/>
      <c r="E318" s="321"/>
      <c r="F318" s="321"/>
      <c r="G318" s="321"/>
      <c r="H318" s="321"/>
      <c r="I318" s="321"/>
      <c r="J318" s="321"/>
    </row>
    <row r="319" spans="2:10">
      <c r="B319" s="71" t="s">
        <v>331</v>
      </c>
      <c r="C319" s="323">
        <v>19</v>
      </c>
      <c r="D319" s="323">
        <v>18</v>
      </c>
      <c r="E319" s="323">
        <v>17</v>
      </c>
      <c r="F319" s="323">
        <v>17</v>
      </c>
      <c r="G319" s="323">
        <v>17</v>
      </c>
      <c r="H319" s="323">
        <v>17</v>
      </c>
      <c r="I319" s="323">
        <v>17</v>
      </c>
      <c r="J319" s="323">
        <v>17</v>
      </c>
    </row>
    <row r="320" spans="2:10">
      <c r="B320" s="133" t="s">
        <v>330</v>
      </c>
      <c r="C320" s="1003">
        <v>19</v>
      </c>
      <c r="D320" s="1003">
        <v>18</v>
      </c>
      <c r="E320" s="1003">
        <v>17</v>
      </c>
      <c r="F320" s="1003">
        <v>17</v>
      </c>
      <c r="G320" s="1003">
        <v>17</v>
      </c>
      <c r="H320" s="1003">
        <v>17</v>
      </c>
      <c r="I320" s="1003">
        <v>17</v>
      </c>
      <c r="J320" s="1003">
        <v>17</v>
      </c>
    </row>
    <row r="321" spans="2:11">
      <c r="B321" s="52" t="s">
        <v>260</v>
      </c>
      <c r="C321" s="1003">
        <v>17</v>
      </c>
      <c r="D321" s="1003">
        <v>16</v>
      </c>
      <c r="E321" s="1003">
        <v>15</v>
      </c>
      <c r="F321" s="1003">
        <v>15</v>
      </c>
      <c r="G321" s="1003">
        <v>15</v>
      </c>
      <c r="H321" s="1003">
        <v>16</v>
      </c>
      <c r="I321" s="1003">
        <v>16</v>
      </c>
      <c r="J321" s="1003">
        <v>16</v>
      </c>
    </row>
    <row r="322" spans="2:11">
      <c r="B322" s="52" t="s">
        <v>329</v>
      </c>
      <c r="C322" s="235">
        <v>1</v>
      </c>
      <c r="D322" s="235">
        <v>1</v>
      </c>
      <c r="E322" s="235">
        <v>1</v>
      </c>
      <c r="F322" s="235">
        <v>1</v>
      </c>
      <c r="G322" s="235">
        <v>1</v>
      </c>
      <c r="H322" s="235">
        <v>1</v>
      </c>
      <c r="I322" s="235">
        <v>1</v>
      </c>
      <c r="J322" s="235">
        <v>1</v>
      </c>
    </row>
    <row r="323" spans="2:11">
      <c r="B323" s="52" t="s">
        <v>328</v>
      </c>
      <c r="C323" s="1003">
        <v>1</v>
      </c>
      <c r="D323" s="1003">
        <v>1</v>
      </c>
      <c r="E323" s="1003">
        <v>1</v>
      </c>
      <c r="F323" s="1003">
        <v>1</v>
      </c>
      <c r="G323" s="1003">
        <v>1</v>
      </c>
      <c r="H323" s="1003">
        <v>0</v>
      </c>
      <c r="I323" s="1003">
        <v>0</v>
      </c>
      <c r="J323" s="1003">
        <v>0</v>
      </c>
    </row>
    <row r="324" spans="2:11">
      <c r="B324" s="136" t="s">
        <v>327</v>
      </c>
      <c r="C324" s="323">
        <v>0</v>
      </c>
      <c r="D324" s="323">
        <v>0</v>
      </c>
      <c r="E324" s="323">
        <v>0</v>
      </c>
      <c r="F324" s="323">
        <v>0</v>
      </c>
      <c r="G324" s="323">
        <v>0</v>
      </c>
      <c r="H324" s="323">
        <v>0</v>
      </c>
      <c r="I324" s="323">
        <v>0</v>
      </c>
      <c r="J324" s="323">
        <v>0</v>
      </c>
    </row>
    <row r="325" spans="2:11">
      <c r="B325" s="136" t="s">
        <v>326</v>
      </c>
      <c r="C325" s="323">
        <v>0</v>
      </c>
      <c r="D325" s="323">
        <v>0</v>
      </c>
      <c r="E325" s="323">
        <v>0</v>
      </c>
      <c r="F325" s="323">
        <v>0</v>
      </c>
      <c r="G325" s="323">
        <v>0</v>
      </c>
      <c r="H325" s="323">
        <v>0</v>
      </c>
      <c r="I325" s="323">
        <v>0</v>
      </c>
      <c r="J325" s="323">
        <v>0</v>
      </c>
    </row>
    <row r="326" spans="2:11">
      <c r="B326" s="136" t="s">
        <v>325</v>
      </c>
      <c r="C326" s="323">
        <v>0</v>
      </c>
      <c r="D326" s="323">
        <v>0</v>
      </c>
      <c r="E326" s="323">
        <v>0</v>
      </c>
      <c r="F326" s="323">
        <v>0</v>
      </c>
      <c r="G326" s="323">
        <v>0</v>
      </c>
      <c r="H326" s="323">
        <v>0</v>
      </c>
      <c r="I326" s="323">
        <v>0</v>
      </c>
      <c r="J326" s="323">
        <v>0</v>
      </c>
    </row>
    <row r="327" spans="2:11">
      <c r="B327" s="136" t="s">
        <v>323</v>
      </c>
      <c r="C327" s="1003">
        <v>1</v>
      </c>
      <c r="D327" s="1003">
        <v>1</v>
      </c>
      <c r="E327" s="1003">
        <v>1</v>
      </c>
      <c r="F327" s="1003">
        <v>1</v>
      </c>
      <c r="G327" s="1003">
        <v>1</v>
      </c>
      <c r="H327" s="1003">
        <v>0</v>
      </c>
      <c r="I327" s="1003">
        <v>0</v>
      </c>
      <c r="J327" s="1003">
        <v>0</v>
      </c>
    </row>
    <row r="328" spans="2:11">
      <c r="B328" s="136" t="s">
        <v>117</v>
      </c>
      <c r="C328" s="323">
        <v>0</v>
      </c>
      <c r="D328" s="323">
        <v>0</v>
      </c>
      <c r="E328" s="323">
        <v>0</v>
      </c>
      <c r="F328" s="323">
        <v>0</v>
      </c>
      <c r="G328" s="323">
        <v>0</v>
      </c>
      <c r="H328" s="323">
        <v>0</v>
      </c>
      <c r="I328" s="323">
        <v>0</v>
      </c>
      <c r="J328" s="323">
        <v>0</v>
      </c>
    </row>
    <row r="329" spans="2:11" ht="15" thickBot="1">
      <c r="B329" s="133" t="s">
        <v>322</v>
      </c>
      <c r="C329" s="323">
        <v>0</v>
      </c>
      <c r="D329" s="323">
        <v>0</v>
      </c>
      <c r="E329" s="323">
        <v>0</v>
      </c>
      <c r="F329" s="323">
        <v>0</v>
      </c>
      <c r="G329" s="323">
        <v>0</v>
      </c>
      <c r="H329" s="323">
        <v>0</v>
      </c>
      <c r="I329" s="323">
        <v>1</v>
      </c>
      <c r="J329" s="323">
        <v>2</v>
      </c>
    </row>
    <row r="330" spans="2:11" ht="15" thickTop="1">
      <c r="B330" s="2025" t="s">
        <v>1754</v>
      </c>
      <c r="C330" s="2025"/>
      <c r="D330" s="2025"/>
      <c r="E330" s="2025"/>
      <c r="F330" s="2025"/>
      <c r="G330" s="2025"/>
      <c r="H330" s="2025"/>
      <c r="I330" s="2025"/>
      <c r="J330" s="2025"/>
      <c r="K330" s="2031"/>
    </row>
    <row r="331" spans="2:11">
      <c r="B331" s="2017"/>
      <c r="C331" s="2017"/>
      <c r="D331" s="2017"/>
      <c r="E331" s="2017"/>
      <c r="F331" s="2017"/>
      <c r="G331" s="2017"/>
      <c r="H331" s="2017"/>
      <c r="I331" s="2017"/>
      <c r="J331" s="2017"/>
    </row>
    <row r="332" spans="2:11">
      <c r="B332" s="64"/>
      <c r="C332" s="449"/>
      <c r="D332" s="449"/>
      <c r="E332" s="449"/>
      <c r="F332" s="449"/>
      <c r="G332" s="449"/>
      <c r="H332" s="449"/>
      <c r="I332" s="449"/>
      <c r="J332" s="449"/>
    </row>
    <row r="333" spans="2:11">
      <c r="B333" s="2100" t="s">
        <v>320</v>
      </c>
      <c r="C333" s="2100"/>
      <c r="D333" s="2100"/>
      <c r="E333" s="2100"/>
      <c r="F333" s="2100"/>
      <c r="G333" s="2100"/>
      <c r="H333" s="2100"/>
      <c r="I333" s="2100"/>
      <c r="J333" s="2100"/>
    </row>
    <row r="334" spans="2:11">
      <c r="B334" s="12" t="s">
        <v>319</v>
      </c>
      <c r="C334" s="449"/>
      <c r="D334" s="449"/>
      <c r="E334" s="449"/>
      <c r="F334" s="449"/>
      <c r="G334" s="449"/>
      <c r="H334" s="449"/>
      <c r="I334" s="449"/>
      <c r="J334" s="449"/>
    </row>
    <row r="335" spans="2:11">
      <c r="B335" s="62" t="s">
        <v>242</v>
      </c>
      <c r="C335" s="449"/>
      <c r="D335" s="449"/>
      <c r="E335" s="449"/>
      <c r="F335" s="449"/>
      <c r="G335" s="449"/>
      <c r="H335" s="449"/>
      <c r="I335" s="449"/>
      <c r="J335" s="449"/>
    </row>
    <row r="336" spans="2:11">
      <c r="B336" s="64"/>
      <c r="C336" s="449"/>
      <c r="D336" s="449"/>
      <c r="E336" s="449"/>
      <c r="F336" s="449"/>
      <c r="G336" s="449"/>
      <c r="H336" s="449"/>
      <c r="I336" s="449"/>
      <c r="J336" s="449"/>
    </row>
    <row r="337" spans="2:10">
      <c r="B337" s="61"/>
      <c r="C337" s="303">
        <v>2014</v>
      </c>
      <c r="D337" s="303">
        <v>2015</v>
      </c>
      <c r="E337" s="303">
        <v>2016</v>
      </c>
      <c r="F337" s="303">
        <v>2017</v>
      </c>
      <c r="G337" s="303">
        <v>2018</v>
      </c>
      <c r="H337" s="303">
        <v>2019</v>
      </c>
      <c r="I337" s="303">
        <v>2020</v>
      </c>
      <c r="J337" s="303">
        <v>2021</v>
      </c>
    </row>
    <row r="338" spans="2:10">
      <c r="B338" s="114" t="s">
        <v>310</v>
      </c>
      <c r="C338" s="217"/>
      <c r="D338" s="217"/>
      <c r="E338" s="217"/>
      <c r="F338" s="217"/>
      <c r="G338" s="217"/>
      <c r="H338" s="217"/>
      <c r="I338" s="217"/>
      <c r="J338" s="217"/>
    </row>
    <row r="339" spans="2:10">
      <c r="B339" s="114"/>
      <c r="C339" s="217"/>
      <c r="D339" s="217"/>
      <c r="E339" s="217"/>
      <c r="F339" s="217"/>
      <c r="G339" s="217"/>
      <c r="H339" s="217"/>
      <c r="I339" s="217"/>
      <c r="J339" s="217"/>
    </row>
    <row r="340" spans="2:10" ht="26">
      <c r="B340" s="59" t="s">
        <v>1755</v>
      </c>
      <c r="C340" s="217"/>
      <c r="D340" s="217"/>
      <c r="E340" s="217"/>
      <c r="F340" s="217"/>
      <c r="G340" s="217"/>
      <c r="H340" s="217"/>
      <c r="I340" s="217"/>
      <c r="J340" s="217"/>
    </row>
    <row r="341" spans="2:10">
      <c r="B341" s="71" t="s">
        <v>297</v>
      </c>
      <c r="C341" s="860">
        <f>+C342+C343</f>
        <v>0.28776300000000005</v>
      </c>
      <c r="D341" s="860">
        <f>+D342+D343</f>
        <v>0.32504999999999995</v>
      </c>
      <c r="E341" s="860">
        <f t="shared" ref="E341:J341" si="9">+E342+E343</f>
        <v>0.37879000000000002</v>
      </c>
      <c r="F341" s="860">
        <f t="shared" si="9"/>
        <v>0.39350299999999999</v>
      </c>
      <c r="G341" s="860">
        <f t="shared" si="9"/>
        <v>0.44414399999999998</v>
      </c>
      <c r="H341" s="860">
        <f t="shared" si="9"/>
        <v>0.44320599999999999</v>
      </c>
      <c r="I341" s="860">
        <f t="shared" si="9"/>
        <v>0.38963899999999996</v>
      </c>
      <c r="J341" s="860">
        <f t="shared" si="9"/>
        <v>0.47278899999999996</v>
      </c>
    </row>
    <row r="342" spans="2:10">
      <c r="B342" s="133" t="s">
        <v>1756</v>
      </c>
      <c r="C342" s="860">
        <v>0.26456800000000003</v>
      </c>
      <c r="D342" s="860">
        <v>0.29712899999999998</v>
      </c>
      <c r="E342" s="860">
        <v>0.350443</v>
      </c>
      <c r="F342" s="860">
        <v>0.35628599999999999</v>
      </c>
      <c r="G342" s="860">
        <v>0.39873500000000001</v>
      </c>
      <c r="H342" s="860">
        <v>0.40175499999999997</v>
      </c>
      <c r="I342" s="860">
        <v>0.35131299999999999</v>
      </c>
      <c r="J342" s="860">
        <v>0.42501499999999998</v>
      </c>
    </row>
    <row r="343" spans="2:10">
      <c r="B343" s="1100" t="s">
        <v>1757</v>
      </c>
      <c r="C343" s="860">
        <v>2.3195E-2</v>
      </c>
      <c r="D343" s="860">
        <v>2.7921000000000001E-2</v>
      </c>
      <c r="E343" s="860">
        <v>2.8347000000000001E-2</v>
      </c>
      <c r="F343" s="860">
        <v>3.7217E-2</v>
      </c>
      <c r="G343" s="860">
        <v>4.5408999999999998E-2</v>
      </c>
      <c r="H343" s="860">
        <v>4.1451000000000002E-2</v>
      </c>
      <c r="I343" s="860">
        <v>3.8325999999999999E-2</v>
      </c>
      <c r="J343" s="860">
        <v>4.7773999999999997E-2</v>
      </c>
    </row>
    <row r="344" spans="2:10">
      <c r="B344" s="132" t="s">
        <v>295</v>
      </c>
      <c r="C344" s="1262">
        <v>4.6500000000000003E-4</v>
      </c>
      <c r="D344" s="1262">
        <v>7.36E-4</v>
      </c>
      <c r="E344" s="1262">
        <v>5.5400000000000002E-4</v>
      </c>
      <c r="F344" s="1262">
        <v>5.9100000000000005E-4</v>
      </c>
      <c r="G344" s="1262">
        <v>5.0699999999999996E-4</v>
      </c>
      <c r="H344" s="1262">
        <v>5.1900000000000004E-4</v>
      </c>
      <c r="I344" s="1262">
        <v>4.0700000000000003E-4</v>
      </c>
      <c r="J344" s="1262">
        <v>4.7599999999999997E-4</v>
      </c>
    </row>
    <row r="345" spans="2:10">
      <c r="B345" s="132" t="s">
        <v>303</v>
      </c>
      <c r="C345" s="1262">
        <v>2.8E-5</v>
      </c>
      <c r="D345" s="1262">
        <v>2.5000000000000001E-5</v>
      </c>
      <c r="E345" s="1262">
        <v>1.9000000000000001E-5</v>
      </c>
      <c r="F345" s="1262">
        <v>7.6000000000000004E-5</v>
      </c>
      <c r="G345" s="1262">
        <v>2.5099999999999998E-4</v>
      </c>
      <c r="H345" s="1262">
        <v>3.57E-4</v>
      </c>
      <c r="I345" s="1262">
        <v>4.3899999999999999E-4</v>
      </c>
      <c r="J345" s="1262">
        <v>6.9599999999999992E-3</v>
      </c>
    </row>
    <row r="346" spans="2:10">
      <c r="B346" s="65" t="s">
        <v>287</v>
      </c>
      <c r="C346" s="232" t="s">
        <v>2086</v>
      </c>
      <c r="D346" s="232" t="s">
        <v>2086</v>
      </c>
      <c r="E346" s="232" t="s">
        <v>2086</v>
      </c>
      <c r="F346" s="232" t="s">
        <v>2086</v>
      </c>
      <c r="G346" s="232" t="s">
        <v>2086</v>
      </c>
      <c r="H346" s="232" t="s">
        <v>2086</v>
      </c>
      <c r="I346" s="232" t="s">
        <v>2086</v>
      </c>
      <c r="J346" s="232" t="s">
        <v>2086</v>
      </c>
    </row>
    <row r="347" spans="2:10">
      <c r="B347" s="136"/>
      <c r="C347" s="138"/>
      <c r="D347" s="139"/>
      <c r="E347" s="138"/>
      <c r="F347" s="138"/>
      <c r="G347" s="138"/>
      <c r="H347" s="138"/>
      <c r="I347" s="138"/>
      <c r="J347" s="138"/>
    </row>
    <row r="348" spans="2:10">
      <c r="B348" s="114" t="s">
        <v>302</v>
      </c>
      <c r="C348" s="138"/>
      <c r="D348" s="139"/>
      <c r="E348" s="138"/>
      <c r="F348" s="138"/>
      <c r="G348" s="138"/>
      <c r="H348" s="138"/>
      <c r="I348" s="138"/>
      <c r="J348" s="138"/>
    </row>
    <row r="349" spans="2:10">
      <c r="B349" s="114"/>
      <c r="C349" s="138"/>
      <c r="D349" s="138"/>
      <c r="E349" s="138"/>
      <c r="F349" s="138"/>
      <c r="G349" s="138"/>
      <c r="H349" s="138"/>
      <c r="I349" s="138"/>
      <c r="J349" s="138"/>
    </row>
    <row r="350" spans="2:10">
      <c r="B350" s="404" t="s">
        <v>1758</v>
      </c>
      <c r="C350" s="138"/>
      <c r="D350" s="138"/>
      <c r="E350" s="138"/>
      <c r="F350" s="138"/>
      <c r="G350" s="138"/>
      <c r="H350" s="138"/>
      <c r="I350" s="138"/>
      <c r="J350" s="138"/>
    </row>
    <row r="351" spans="2:10">
      <c r="B351" s="71" t="s">
        <v>297</v>
      </c>
      <c r="C351" s="1263">
        <f>+C352+C353</f>
        <v>4.9499649999999997</v>
      </c>
      <c r="D351" s="1264">
        <f>+D352+D353</f>
        <v>4.6813359999999999</v>
      </c>
      <c r="E351" s="1264">
        <f t="shared" ref="E351:I351" si="10">+E352+E353</f>
        <v>4.4965840000000004</v>
      </c>
      <c r="F351" s="1264">
        <f t="shared" si="10"/>
        <v>4.2271809999999999</v>
      </c>
      <c r="G351" s="1264">
        <f t="shared" si="10"/>
        <v>3.8437250000000001</v>
      </c>
      <c r="H351" s="1264">
        <f t="shared" si="10"/>
        <v>3.6289400000000001</v>
      </c>
      <c r="I351" s="1264">
        <f t="shared" si="10"/>
        <v>2.1101160000000001</v>
      </c>
      <c r="J351" s="1264">
        <f>+J352+J353</f>
        <v>2.208437</v>
      </c>
    </row>
    <row r="352" spans="2:10">
      <c r="B352" s="71" t="s">
        <v>1756</v>
      </c>
      <c r="C352" s="1264">
        <v>4.8559000000000001</v>
      </c>
      <c r="D352" s="1264">
        <v>4.593801</v>
      </c>
      <c r="E352" s="1264">
        <v>4.4235220000000002</v>
      </c>
      <c r="F352" s="1264">
        <v>4.1608989999999997</v>
      </c>
      <c r="G352" s="1264">
        <v>3.7870910000000002</v>
      </c>
      <c r="H352" s="1264">
        <v>3.5724529999999999</v>
      </c>
      <c r="I352" s="1264">
        <v>2.085143</v>
      </c>
      <c r="J352" s="1264">
        <v>2.184815</v>
      </c>
    </row>
    <row r="353" spans="2:10">
      <c r="B353" s="1100" t="s">
        <v>1757</v>
      </c>
      <c r="C353" s="1263">
        <v>9.4064999999999996E-2</v>
      </c>
      <c r="D353" s="1264">
        <v>8.7535000000000002E-2</v>
      </c>
      <c r="E353" s="1264">
        <v>7.3062000000000002E-2</v>
      </c>
      <c r="F353" s="1264">
        <v>6.6281999999999994E-2</v>
      </c>
      <c r="G353" s="1264">
        <v>5.6633999999999997E-2</v>
      </c>
      <c r="H353" s="1264">
        <v>5.6487000000000002E-2</v>
      </c>
      <c r="I353" s="1264">
        <v>2.4972999999999999E-2</v>
      </c>
      <c r="J353" s="1264">
        <v>2.3622000000000001E-2</v>
      </c>
    </row>
    <row r="354" spans="2:10">
      <c r="B354" s="131" t="s">
        <v>294</v>
      </c>
      <c r="C354" s="232" t="s">
        <v>2086</v>
      </c>
      <c r="D354" s="232" t="s">
        <v>2086</v>
      </c>
      <c r="E354" s="232" t="s">
        <v>2086</v>
      </c>
      <c r="F354" s="232" t="s">
        <v>2086</v>
      </c>
      <c r="G354" s="232" t="s">
        <v>2086</v>
      </c>
      <c r="H354" s="232" t="s">
        <v>2086</v>
      </c>
      <c r="I354" s="232" t="s">
        <v>2086</v>
      </c>
      <c r="J354" s="232" t="s">
        <v>2086</v>
      </c>
    </row>
    <row r="355" spans="2:10">
      <c r="B355" s="131" t="s">
        <v>293</v>
      </c>
      <c r="C355" s="232" t="s">
        <v>2086</v>
      </c>
      <c r="D355" s="232" t="s">
        <v>2086</v>
      </c>
      <c r="E355" s="232" t="s">
        <v>2086</v>
      </c>
      <c r="F355" s="232" t="s">
        <v>2086</v>
      </c>
      <c r="G355" s="232" t="s">
        <v>2086</v>
      </c>
      <c r="H355" s="232" t="s">
        <v>2086</v>
      </c>
      <c r="I355" s="232" t="s">
        <v>2086</v>
      </c>
      <c r="J355" s="232" t="s">
        <v>2086</v>
      </c>
    </row>
    <row r="356" spans="2:10">
      <c r="B356" s="131" t="s">
        <v>292</v>
      </c>
      <c r="C356" s="232" t="s">
        <v>2086</v>
      </c>
      <c r="D356" s="232" t="s">
        <v>2086</v>
      </c>
      <c r="E356" s="232" t="s">
        <v>2086</v>
      </c>
      <c r="F356" s="232" t="s">
        <v>2086</v>
      </c>
      <c r="G356" s="232" t="s">
        <v>2086</v>
      </c>
      <c r="H356" s="232" t="s">
        <v>2086</v>
      </c>
      <c r="I356" s="232" t="s">
        <v>2086</v>
      </c>
      <c r="J356" s="232" t="s">
        <v>2086</v>
      </c>
    </row>
    <row r="357" spans="2:10">
      <c r="B357" s="131" t="s">
        <v>291</v>
      </c>
      <c r="C357" s="232" t="s">
        <v>2086</v>
      </c>
      <c r="D357" s="232" t="s">
        <v>2086</v>
      </c>
      <c r="E357" s="232" t="s">
        <v>2086</v>
      </c>
      <c r="F357" s="232" t="s">
        <v>2086</v>
      </c>
      <c r="G357" s="232" t="s">
        <v>2086</v>
      </c>
      <c r="H357" s="232" t="s">
        <v>2086</v>
      </c>
      <c r="I357" s="232" t="s">
        <v>2086</v>
      </c>
      <c r="J357" s="232" t="s">
        <v>2086</v>
      </c>
    </row>
    <row r="358" spans="2:10">
      <c r="B358" s="131" t="s">
        <v>290</v>
      </c>
      <c r="C358" s="232" t="s">
        <v>2086</v>
      </c>
      <c r="D358" s="232" t="s">
        <v>2086</v>
      </c>
      <c r="E358" s="232" t="s">
        <v>2086</v>
      </c>
      <c r="F358" s="232" t="s">
        <v>2086</v>
      </c>
      <c r="G358" s="232" t="s">
        <v>2086</v>
      </c>
      <c r="H358" s="232" t="s">
        <v>2086</v>
      </c>
      <c r="I358" s="232" t="s">
        <v>2086</v>
      </c>
      <c r="J358" s="232" t="s">
        <v>2086</v>
      </c>
    </row>
    <row r="359" spans="2:10">
      <c r="B359" s="131" t="s">
        <v>289</v>
      </c>
      <c r="C359" s="1265">
        <v>4.8559999999999999</v>
      </c>
      <c r="D359" s="1265">
        <v>4.593801</v>
      </c>
      <c r="E359" s="1265">
        <v>4.4235220000000002</v>
      </c>
      <c r="F359" s="1265">
        <v>4.1608990000000006</v>
      </c>
      <c r="G359" s="1265">
        <v>3.7870910000000002</v>
      </c>
      <c r="H359" s="1265">
        <v>3.5724529999999999</v>
      </c>
      <c r="I359" s="1265">
        <v>2.085143</v>
      </c>
      <c r="J359" s="1265">
        <v>2.184815</v>
      </c>
    </row>
    <row r="360" spans="2:10">
      <c r="B360" s="131" t="s">
        <v>288</v>
      </c>
      <c r="C360" s="232" t="s">
        <v>2086</v>
      </c>
      <c r="D360" s="232" t="s">
        <v>2086</v>
      </c>
      <c r="E360" s="232" t="s">
        <v>2086</v>
      </c>
      <c r="F360" s="232" t="s">
        <v>2086</v>
      </c>
      <c r="G360" s="232" t="s">
        <v>2086</v>
      </c>
      <c r="H360" s="232" t="s">
        <v>2086</v>
      </c>
      <c r="I360" s="232" t="s">
        <v>2086</v>
      </c>
      <c r="J360" s="232" t="s">
        <v>2086</v>
      </c>
    </row>
    <row r="361" spans="2:10">
      <c r="B361" s="132" t="s">
        <v>295</v>
      </c>
      <c r="C361" s="232" t="s">
        <v>2086</v>
      </c>
      <c r="D361" s="232" t="s">
        <v>2086</v>
      </c>
      <c r="E361" s="232" t="s">
        <v>2086</v>
      </c>
      <c r="F361" s="232" t="s">
        <v>2086</v>
      </c>
      <c r="G361" s="232" t="s">
        <v>2086</v>
      </c>
      <c r="H361" s="232" t="s">
        <v>2086</v>
      </c>
      <c r="I361" s="232" t="s">
        <v>2086</v>
      </c>
      <c r="J361" s="232" t="s">
        <v>2086</v>
      </c>
    </row>
    <row r="362" spans="2:10">
      <c r="B362" s="131" t="s">
        <v>294</v>
      </c>
      <c r="C362" s="232" t="s">
        <v>2086</v>
      </c>
      <c r="D362" s="232" t="s">
        <v>2086</v>
      </c>
      <c r="E362" s="232" t="s">
        <v>2086</v>
      </c>
      <c r="F362" s="232" t="s">
        <v>2086</v>
      </c>
      <c r="G362" s="232" t="s">
        <v>2086</v>
      </c>
      <c r="H362" s="232" t="s">
        <v>2086</v>
      </c>
      <c r="I362" s="232" t="s">
        <v>2086</v>
      </c>
      <c r="J362" s="232" t="s">
        <v>2086</v>
      </c>
    </row>
    <row r="363" spans="2:10">
      <c r="B363" s="131" t="s">
        <v>293</v>
      </c>
      <c r="C363" s="232" t="s">
        <v>2086</v>
      </c>
      <c r="D363" s="232" t="s">
        <v>2086</v>
      </c>
      <c r="E363" s="232" t="s">
        <v>2086</v>
      </c>
      <c r="F363" s="232" t="s">
        <v>2086</v>
      </c>
      <c r="G363" s="232" t="s">
        <v>2086</v>
      </c>
      <c r="H363" s="232" t="s">
        <v>2086</v>
      </c>
      <c r="I363" s="232" t="s">
        <v>2086</v>
      </c>
      <c r="J363" s="232" t="s">
        <v>2086</v>
      </c>
    </row>
    <row r="364" spans="2:10">
      <c r="B364" s="131" t="s">
        <v>292</v>
      </c>
      <c r="C364" s="232" t="s">
        <v>2086</v>
      </c>
      <c r="D364" s="232" t="s">
        <v>2086</v>
      </c>
      <c r="E364" s="232" t="s">
        <v>2086</v>
      </c>
      <c r="F364" s="232" t="s">
        <v>2086</v>
      </c>
      <c r="G364" s="232" t="s">
        <v>2086</v>
      </c>
      <c r="H364" s="232" t="s">
        <v>2086</v>
      </c>
      <c r="I364" s="232" t="s">
        <v>2086</v>
      </c>
      <c r="J364" s="232" t="s">
        <v>2086</v>
      </c>
    </row>
    <row r="365" spans="2:10">
      <c r="B365" s="131" t="s">
        <v>291</v>
      </c>
      <c r="C365" s="232" t="s">
        <v>2086</v>
      </c>
      <c r="D365" s="232" t="s">
        <v>2086</v>
      </c>
      <c r="E365" s="232" t="s">
        <v>2086</v>
      </c>
      <c r="F365" s="232" t="s">
        <v>2086</v>
      </c>
      <c r="G365" s="232" t="s">
        <v>2086</v>
      </c>
      <c r="H365" s="232" t="s">
        <v>2086</v>
      </c>
      <c r="I365" s="232" t="s">
        <v>2086</v>
      </c>
      <c r="J365" s="232" t="s">
        <v>2086</v>
      </c>
    </row>
    <row r="366" spans="2:10">
      <c r="B366" s="131" t="s">
        <v>290</v>
      </c>
      <c r="C366" s="232" t="s">
        <v>2086</v>
      </c>
      <c r="D366" s="232" t="s">
        <v>2086</v>
      </c>
      <c r="E366" s="232" t="s">
        <v>2086</v>
      </c>
      <c r="F366" s="232" t="s">
        <v>2086</v>
      </c>
      <c r="G366" s="232" t="s">
        <v>2086</v>
      </c>
      <c r="H366" s="232" t="s">
        <v>2086</v>
      </c>
      <c r="I366" s="232" t="s">
        <v>2086</v>
      </c>
      <c r="J366" s="232" t="s">
        <v>2086</v>
      </c>
    </row>
    <row r="367" spans="2:10">
      <c r="B367" s="131" t="s">
        <v>289</v>
      </c>
      <c r="C367" s="232" t="s">
        <v>2086</v>
      </c>
      <c r="D367" s="232" t="s">
        <v>2086</v>
      </c>
      <c r="E367" s="232" t="s">
        <v>2086</v>
      </c>
      <c r="F367" s="232" t="s">
        <v>2086</v>
      </c>
      <c r="G367" s="232" t="s">
        <v>2086</v>
      </c>
      <c r="H367" s="232" t="s">
        <v>2086</v>
      </c>
      <c r="I367" s="232" t="s">
        <v>2086</v>
      </c>
      <c r="J367" s="232" t="s">
        <v>2086</v>
      </c>
    </row>
    <row r="368" spans="2:10">
      <c r="B368" s="131" t="s">
        <v>288</v>
      </c>
      <c r="C368" s="232" t="s">
        <v>2086</v>
      </c>
      <c r="D368" s="232" t="s">
        <v>2086</v>
      </c>
      <c r="E368" s="232" t="s">
        <v>2086</v>
      </c>
      <c r="F368" s="232" t="s">
        <v>2086</v>
      </c>
      <c r="G368" s="232" t="s">
        <v>2086</v>
      </c>
      <c r="H368" s="232" t="s">
        <v>2086</v>
      </c>
      <c r="I368" s="232" t="s">
        <v>2086</v>
      </c>
      <c r="J368" s="232" t="s">
        <v>2086</v>
      </c>
    </row>
    <row r="369" spans="2:10">
      <c r="B369" s="65" t="s">
        <v>287</v>
      </c>
      <c r="C369" s="232" t="s">
        <v>2086</v>
      </c>
      <c r="D369" s="232" t="s">
        <v>2086</v>
      </c>
      <c r="E369" s="232" t="s">
        <v>2086</v>
      </c>
      <c r="F369" s="232" t="s">
        <v>2086</v>
      </c>
      <c r="G369" s="232" t="s">
        <v>2086</v>
      </c>
      <c r="H369" s="232" t="s">
        <v>2086</v>
      </c>
      <c r="I369" s="232" t="s">
        <v>2086</v>
      </c>
      <c r="J369" s="232" t="s">
        <v>2086</v>
      </c>
    </row>
    <row r="370" spans="2:10">
      <c r="B370" s="133"/>
      <c r="C370" s="138"/>
      <c r="D370" s="138"/>
      <c r="E370" s="138"/>
      <c r="F370" s="138"/>
      <c r="G370" s="138"/>
      <c r="H370" s="138"/>
      <c r="I370" s="138"/>
      <c r="J370" s="138"/>
    </row>
    <row r="371" spans="2:10">
      <c r="B371" s="404" t="s">
        <v>1759</v>
      </c>
      <c r="C371" s="138"/>
      <c r="D371" s="138"/>
      <c r="E371" s="138"/>
      <c r="F371" s="138"/>
      <c r="G371" s="138"/>
      <c r="H371" s="138"/>
      <c r="I371" s="138"/>
      <c r="J371" s="138"/>
    </row>
    <row r="372" spans="2:10">
      <c r="B372" s="71" t="s">
        <v>297</v>
      </c>
      <c r="C372" s="1266">
        <f>C373</f>
        <v>1.6114979999999999</v>
      </c>
      <c r="D372" s="1266">
        <f t="shared" ref="D372:I372" si="11">D373</f>
        <v>1.9283649999999999</v>
      </c>
      <c r="E372" s="1266">
        <f t="shared" si="11"/>
        <v>2.2690359999999998</v>
      </c>
      <c r="F372" s="1266">
        <f t="shared" si="11"/>
        <v>2.8636150000000002</v>
      </c>
      <c r="G372" s="1266">
        <f t="shared" si="11"/>
        <v>3.9952200000000002</v>
      </c>
      <c r="H372" s="1266">
        <f t="shared" si="11"/>
        <v>5.1444610000000006</v>
      </c>
      <c r="I372" s="1266">
        <f t="shared" si="11"/>
        <v>8.438244000000001</v>
      </c>
      <c r="J372" s="1266">
        <f>J373</f>
        <v>11.63331</v>
      </c>
    </row>
    <row r="373" spans="2:10">
      <c r="B373" s="133" t="s">
        <v>296</v>
      </c>
      <c r="C373" s="859">
        <f>+C374+C375</f>
        <v>1.6114979999999999</v>
      </c>
      <c r="D373" s="859">
        <f>+D374+D375</f>
        <v>1.9283649999999999</v>
      </c>
      <c r="E373" s="859">
        <f t="shared" ref="E373:I373" si="12">+E374+E375</f>
        <v>2.2690359999999998</v>
      </c>
      <c r="F373" s="859">
        <f t="shared" si="12"/>
        <v>2.8636150000000002</v>
      </c>
      <c r="G373" s="859">
        <f t="shared" si="12"/>
        <v>3.9952200000000002</v>
      </c>
      <c r="H373" s="859">
        <f t="shared" si="12"/>
        <v>5.1444610000000006</v>
      </c>
      <c r="I373" s="859">
        <f t="shared" si="12"/>
        <v>8.438244000000001</v>
      </c>
      <c r="J373" s="859">
        <f>+J374+J375</f>
        <v>11.63331</v>
      </c>
    </row>
    <row r="374" spans="2:10">
      <c r="B374" s="131" t="s">
        <v>1760</v>
      </c>
      <c r="C374" s="859">
        <v>1.560325</v>
      </c>
      <c r="D374" s="1267">
        <v>1.86764</v>
      </c>
      <c r="E374" s="1267">
        <v>2.2039149999999998</v>
      </c>
      <c r="F374" s="1267">
        <v>2.7736900000000002</v>
      </c>
      <c r="G374" s="1267">
        <v>3.8747590000000001</v>
      </c>
      <c r="H374" s="1267">
        <v>4.9894030000000003</v>
      </c>
      <c r="I374" s="1267">
        <v>8.2532960000000006</v>
      </c>
      <c r="J374" s="1267">
        <v>11.386196</v>
      </c>
    </row>
    <row r="375" spans="2:10">
      <c r="B375" s="1268" t="s">
        <v>1761</v>
      </c>
      <c r="C375" s="859">
        <v>5.1173000000000003E-2</v>
      </c>
      <c r="D375" s="1267">
        <v>6.0725000000000001E-2</v>
      </c>
      <c r="E375" s="1267">
        <v>6.5120999999999998E-2</v>
      </c>
      <c r="F375" s="1267">
        <v>8.9925000000000005E-2</v>
      </c>
      <c r="G375" s="1267">
        <v>0.120461</v>
      </c>
      <c r="H375" s="1267">
        <v>0.155058</v>
      </c>
      <c r="I375" s="1267">
        <v>0.184948</v>
      </c>
      <c r="J375" s="1267">
        <v>0.247114</v>
      </c>
    </row>
    <row r="376" spans="2:10">
      <c r="B376" s="131" t="s">
        <v>293</v>
      </c>
      <c r="C376" s="235" t="s">
        <v>2086</v>
      </c>
      <c r="D376" s="235" t="s">
        <v>2086</v>
      </c>
      <c r="E376" s="235" t="s">
        <v>2086</v>
      </c>
      <c r="F376" s="235" t="s">
        <v>2086</v>
      </c>
      <c r="G376" s="235" t="s">
        <v>2086</v>
      </c>
      <c r="H376" s="235" t="s">
        <v>2086</v>
      </c>
      <c r="I376" s="235" t="s">
        <v>2086</v>
      </c>
      <c r="J376" s="235" t="s">
        <v>2086</v>
      </c>
    </row>
    <row r="377" spans="2:10">
      <c r="B377" s="131" t="s">
        <v>292</v>
      </c>
      <c r="C377" s="235" t="s">
        <v>2086</v>
      </c>
      <c r="D377" s="235" t="s">
        <v>2086</v>
      </c>
      <c r="E377" s="235" t="s">
        <v>2086</v>
      </c>
      <c r="F377" s="235" t="s">
        <v>2086</v>
      </c>
      <c r="G377" s="235" t="s">
        <v>2086</v>
      </c>
      <c r="H377" s="235" t="s">
        <v>2086</v>
      </c>
      <c r="I377" s="235" t="s">
        <v>2086</v>
      </c>
      <c r="J377" s="235" t="s">
        <v>2086</v>
      </c>
    </row>
    <row r="378" spans="2:10">
      <c r="B378" s="131" t="s">
        <v>291</v>
      </c>
      <c r="C378" s="235" t="s">
        <v>2086</v>
      </c>
      <c r="D378" s="235" t="s">
        <v>2086</v>
      </c>
      <c r="E378" s="235" t="s">
        <v>2086</v>
      </c>
      <c r="F378" s="235" t="s">
        <v>2086</v>
      </c>
      <c r="G378" s="235" t="s">
        <v>2086</v>
      </c>
      <c r="H378" s="235" t="s">
        <v>2086</v>
      </c>
      <c r="I378" s="235" t="s">
        <v>2086</v>
      </c>
      <c r="J378" s="235" t="s">
        <v>2086</v>
      </c>
    </row>
    <row r="379" spans="2:10">
      <c r="B379" s="131" t="s">
        <v>290</v>
      </c>
      <c r="C379" s="235" t="s">
        <v>2086</v>
      </c>
      <c r="D379" s="235" t="s">
        <v>2086</v>
      </c>
      <c r="E379" s="235" t="s">
        <v>2086</v>
      </c>
      <c r="F379" s="235" t="s">
        <v>2086</v>
      </c>
      <c r="G379" s="235" t="s">
        <v>2086</v>
      </c>
      <c r="H379" s="235" t="s">
        <v>2086</v>
      </c>
      <c r="I379" s="235" t="s">
        <v>2086</v>
      </c>
      <c r="J379" s="235" t="s">
        <v>2086</v>
      </c>
    </row>
    <row r="380" spans="2:10">
      <c r="B380" s="131" t="s">
        <v>289</v>
      </c>
      <c r="C380" s="235" t="s">
        <v>2086</v>
      </c>
      <c r="D380" s="235" t="s">
        <v>2086</v>
      </c>
      <c r="E380" s="235" t="s">
        <v>2086</v>
      </c>
      <c r="F380" s="235" t="s">
        <v>2086</v>
      </c>
      <c r="G380" s="235" t="s">
        <v>2086</v>
      </c>
      <c r="H380" s="235" t="s">
        <v>2086</v>
      </c>
      <c r="I380" s="235" t="s">
        <v>2086</v>
      </c>
      <c r="J380" s="235" t="s">
        <v>2086</v>
      </c>
    </row>
    <row r="381" spans="2:10">
      <c r="B381" s="131" t="s">
        <v>288</v>
      </c>
      <c r="C381" s="235" t="s">
        <v>2086</v>
      </c>
      <c r="D381" s="235" t="s">
        <v>2086</v>
      </c>
      <c r="E381" s="235" t="s">
        <v>2086</v>
      </c>
      <c r="F381" s="235" t="s">
        <v>2086</v>
      </c>
      <c r="G381" s="235" t="s">
        <v>2086</v>
      </c>
      <c r="H381" s="235" t="s">
        <v>2086</v>
      </c>
      <c r="I381" s="235" t="s">
        <v>2086</v>
      </c>
      <c r="J381" s="235" t="s">
        <v>2086</v>
      </c>
    </row>
    <row r="382" spans="2:10">
      <c r="B382" s="132" t="s">
        <v>295</v>
      </c>
      <c r="C382" s="235" t="s">
        <v>2086</v>
      </c>
      <c r="D382" s="235" t="s">
        <v>2086</v>
      </c>
      <c r="E382" s="235" t="s">
        <v>2086</v>
      </c>
      <c r="F382" s="235" t="s">
        <v>2086</v>
      </c>
      <c r="G382" s="235" t="s">
        <v>2086</v>
      </c>
      <c r="H382" s="235" t="s">
        <v>2086</v>
      </c>
      <c r="I382" s="235" t="s">
        <v>2086</v>
      </c>
      <c r="J382" s="235" t="s">
        <v>2086</v>
      </c>
    </row>
    <row r="383" spans="2:10">
      <c r="B383" s="131" t="s">
        <v>294</v>
      </c>
      <c r="C383" s="235" t="s">
        <v>2086</v>
      </c>
      <c r="D383" s="235" t="s">
        <v>2086</v>
      </c>
      <c r="E383" s="235" t="s">
        <v>2086</v>
      </c>
      <c r="F383" s="235" t="s">
        <v>2086</v>
      </c>
      <c r="G383" s="235" t="s">
        <v>2086</v>
      </c>
      <c r="H383" s="235" t="s">
        <v>2086</v>
      </c>
      <c r="I383" s="235" t="s">
        <v>2086</v>
      </c>
      <c r="J383" s="235" t="s">
        <v>2086</v>
      </c>
    </row>
    <row r="384" spans="2:10">
      <c r="B384" s="131" t="s">
        <v>293</v>
      </c>
      <c r="C384" s="235" t="s">
        <v>2086</v>
      </c>
      <c r="D384" s="235" t="s">
        <v>2086</v>
      </c>
      <c r="E384" s="235" t="s">
        <v>2086</v>
      </c>
      <c r="F384" s="235" t="s">
        <v>2086</v>
      </c>
      <c r="G384" s="235" t="s">
        <v>2086</v>
      </c>
      <c r="H384" s="235" t="s">
        <v>2086</v>
      </c>
      <c r="I384" s="235" t="s">
        <v>2086</v>
      </c>
      <c r="J384" s="235" t="s">
        <v>2086</v>
      </c>
    </row>
    <row r="385" spans="2:10">
      <c r="B385" s="131" t="s">
        <v>292</v>
      </c>
      <c r="C385" s="235" t="s">
        <v>2086</v>
      </c>
      <c r="D385" s="235" t="s">
        <v>2086</v>
      </c>
      <c r="E385" s="235" t="s">
        <v>2086</v>
      </c>
      <c r="F385" s="235" t="s">
        <v>2086</v>
      </c>
      <c r="G385" s="235" t="s">
        <v>2086</v>
      </c>
      <c r="H385" s="235" t="s">
        <v>2086</v>
      </c>
      <c r="I385" s="235" t="s">
        <v>2086</v>
      </c>
      <c r="J385" s="235" t="s">
        <v>2086</v>
      </c>
    </row>
    <row r="386" spans="2:10">
      <c r="B386" s="131" t="s">
        <v>291</v>
      </c>
      <c r="C386" s="235" t="s">
        <v>2086</v>
      </c>
      <c r="D386" s="235" t="s">
        <v>2086</v>
      </c>
      <c r="E386" s="235" t="s">
        <v>2086</v>
      </c>
      <c r="F386" s="235" t="s">
        <v>2086</v>
      </c>
      <c r="G386" s="235" t="s">
        <v>2086</v>
      </c>
      <c r="H386" s="235" t="s">
        <v>2086</v>
      </c>
      <c r="I386" s="235" t="s">
        <v>2086</v>
      </c>
      <c r="J386" s="235" t="s">
        <v>2086</v>
      </c>
    </row>
    <row r="387" spans="2:10">
      <c r="B387" s="131" t="s">
        <v>290</v>
      </c>
      <c r="C387" s="235" t="s">
        <v>2086</v>
      </c>
      <c r="D387" s="235" t="s">
        <v>2086</v>
      </c>
      <c r="E387" s="235" t="s">
        <v>2086</v>
      </c>
      <c r="F387" s="235" t="s">
        <v>2086</v>
      </c>
      <c r="G387" s="235" t="s">
        <v>2086</v>
      </c>
      <c r="H387" s="235" t="s">
        <v>2086</v>
      </c>
      <c r="I387" s="235" t="s">
        <v>2086</v>
      </c>
      <c r="J387" s="235" t="s">
        <v>2086</v>
      </c>
    </row>
    <row r="388" spans="2:10">
      <c r="B388" s="131" t="s">
        <v>289</v>
      </c>
      <c r="C388" s="235" t="s">
        <v>2086</v>
      </c>
      <c r="D388" s="235" t="s">
        <v>2086</v>
      </c>
      <c r="E388" s="235" t="s">
        <v>2086</v>
      </c>
      <c r="F388" s="235" t="s">
        <v>2086</v>
      </c>
      <c r="G388" s="235" t="s">
        <v>2086</v>
      </c>
      <c r="H388" s="235" t="s">
        <v>2086</v>
      </c>
      <c r="I388" s="235" t="s">
        <v>2086</v>
      </c>
      <c r="J388" s="235" t="s">
        <v>2086</v>
      </c>
    </row>
    <row r="389" spans="2:10">
      <c r="B389" s="131" t="s">
        <v>288</v>
      </c>
      <c r="C389" s="235" t="s">
        <v>2086</v>
      </c>
      <c r="D389" s="235" t="s">
        <v>2086</v>
      </c>
      <c r="E389" s="235" t="s">
        <v>2086</v>
      </c>
      <c r="F389" s="235" t="s">
        <v>2086</v>
      </c>
      <c r="G389" s="235" t="s">
        <v>2086</v>
      </c>
      <c r="H389" s="235" t="s">
        <v>2086</v>
      </c>
      <c r="I389" s="235" t="s">
        <v>2086</v>
      </c>
      <c r="J389" s="235" t="s">
        <v>2086</v>
      </c>
    </row>
    <row r="390" spans="2:10" ht="15" thickBot="1">
      <c r="B390" s="65" t="s">
        <v>287</v>
      </c>
      <c r="C390" s="235" t="s">
        <v>2086</v>
      </c>
      <c r="D390" s="235" t="s">
        <v>2086</v>
      </c>
      <c r="E390" s="235" t="s">
        <v>2086</v>
      </c>
      <c r="F390" s="235" t="s">
        <v>2086</v>
      </c>
      <c r="G390" s="235" t="s">
        <v>2086</v>
      </c>
      <c r="H390" s="235" t="s">
        <v>2086</v>
      </c>
      <c r="I390" s="235" t="s">
        <v>2086</v>
      </c>
      <c r="J390" s="235" t="s">
        <v>2086</v>
      </c>
    </row>
    <row r="391" spans="2:10" ht="15" thickTop="1">
      <c r="B391" s="2025" t="s">
        <v>1754</v>
      </c>
      <c r="C391" s="2025"/>
      <c r="D391" s="2025"/>
      <c r="E391" s="2025"/>
      <c r="F391" s="2025"/>
      <c r="G391" s="2025"/>
      <c r="H391" s="2025"/>
      <c r="I391" s="2025"/>
      <c r="J391" s="2025"/>
    </row>
    <row r="392" spans="2:10">
      <c r="B392" s="2017"/>
      <c r="C392" s="2017"/>
      <c r="D392" s="2017"/>
      <c r="E392" s="2017"/>
      <c r="F392" s="2017"/>
      <c r="G392" s="2017"/>
      <c r="H392" s="2017"/>
      <c r="I392" s="2017"/>
      <c r="J392" s="2017"/>
    </row>
    <row r="393" spans="2:10">
      <c r="B393" s="64"/>
      <c r="C393" s="449"/>
      <c r="D393" s="449"/>
      <c r="E393" s="449"/>
      <c r="F393" s="449"/>
      <c r="G393" s="449"/>
      <c r="H393" s="449"/>
      <c r="I393" s="449"/>
      <c r="J393" s="449"/>
    </row>
    <row r="394" spans="2:10">
      <c r="B394" s="2100" t="s">
        <v>313</v>
      </c>
      <c r="C394" s="2100"/>
      <c r="D394" s="2100"/>
      <c r="E394" s="2100"/>
      <c r="F394" s="2100"/>
      <c r="G394" s="2100"/>
      <c r="H394" s="2100"/>
      <c r="I394" s="2100"/>
      <c r="J394" s="2100"/>
    </row>
    <row r="395" spans="2:10">
      <c r="B395" s="12" t="s">
        <v>312</v>
      </c>
      <c r="C395" s="449"/>
      <c r="D395" s="449"/>
      <c r="E395" s="449"/>
      <c r="F395" s="449"/>
      <c r="G395" s="449"/>
      <c r="H395" s="449"/>
      <c r="I395" s="449"/>
      <c r="J395" s="449"/>
    </row>
    <row r="396" spans="2:10">
      <c r="B396" s="62" t="s">
        <v>311</v>
      </c>
      <c r="C396" s="449"/>
      <c r="D396" s="102"/>
      <c r="E396" s="102"/>
      <c r="F396" s="102"/>
      <c r="G396" s="102"/>
      <c r="H396" s="102"/>
      <c r="I396" s="102"/>
      <c r="J396" s="102"/>
    </row>
    <row r="397" spans="2:10">
      <c r="B397" s="64"/>
      <c r="C397" s="449"/>
      <c r="D397" s="449"/>
      <c r="E397" s="449"/>
      <c r="F397" s="449"/>
      <c r="G397" s="449"/>
      <c r="H397" s="449"/>
      <c r="I397" s="449"/>
      <c r="J397" s="449"/>
    </row>
    <row r="398" spans="2:10">
      <c r="B398" s="61"/>
      <c r="C398" s="303">
        <v>2014</v>
      </c>
      <c r="D398" s="303">
        <v>2015</v>
      </c>
      <c r="E398" s="303">
        <v>2016</v>
      </c>
      <c r="F398" s="303">
        <v>2017</v>
      </c>
      <c r="G398" s="303">
        <v>2018</v>
      </c>
      <c r="H398" s="303">
        <v>2019</v>
      </c>
      <c r="I398" s="303">
        <v>2020</v>
      </c>
      <c r="J398" s="303">
        <v>2021</v>
      </c>
    </row>
    <row r="399" spans="2:10">
      <c r="B399" s="114" t="s">
        <v>310</v>
      </c>
      <c r="C399" s="217"/>
      <c r="D399" s="217"/>
      <c r="E399" s="217"/>
      <c r="F399" s="217"/>
      <c r="G399" s="217"/>
      <c r="H399" s="217"/>
      <c r="I399" s="217"/>
      <c r="J399" s="217"/>
    </row>
    <row r="400" spans="2:10">
      <c r="B400" s="114"/>
      <c r="C400" s="217"/>
      <c r="D400" s="217"/>
      <c r="E400" s="217"/>
      <c r="F400" s="217"/>
      <c r="G400" s="217"/>
      <c r="H400" s="217"/>
      <c r="I400" s="217"/>
      <c r="J400" s="217"/>
    </row>
    <row r="401" spans="2:10" ht="26">
      <c r="B401" s="59" t="s">
        <v>1755</v>
      </c>
      <c r="C401" s="217"/>
      <c r="D401" s="217"/>
      <c r="E401" s="217"/>
      <c r="F401" s="217"/>
      <c r="G401" s="217"/>
      <c r="H401" s="217"/>
      <c r="I401" s="217"/>
      <c r="J401" s="217"/>
    </row>
    <row r="402" spans="2:10">
      <c r="B402" s="71" t="s">
        <v>1762</v>
      </c>
      <c r="C402" s="1269">
        <f>SUM(C403:C405)</f>
        <v>141362.5585362477</v>
      </c>
      <c r="D402" s="1269">
        <f>SUM(D403:D405)</f>
        <v>167236.91663091289</v>
      </c>
      <c r="E402" s="1269">
        <f t="shared" ref="E402:J402" si="13">SUM(E403:E405)</f>
        <v>219613.97450025906</v>
      </c>
      <c r="F402" s="1269">
        <f t="shared" si="13"/>
        <v>221872.6996892381</v>
      </c>
      <c r="G402" s="1269">
        <f t="shared" si="13"/>
        <v>219244.0946661286</v>
      </c>
      <c r="H402" s="1269">
        <f t="shared" si="13"/>
        <v>213889.81270042039</v>
      </c>
      <c r="I402" s="1269">
        <f t="shared" si="13"/>
        <v>147204.16407000221</v>
      </c>
      <c r="J402" s="1269">
        <f t="shared" si="13"/>
        <v>288550.3899526404</v>
      </c>
    </row>
    <row r="403" spans="2:10">
      <c r="B403" s="133" t="s">
        <v>1763</v>
      </c>
      <c r="C403" s="1270">
        <f>2971829.13587881/C12</f>
        <v>141352.1645816277</v>
      </c>
      <c r="D403" s="1270">
        <f>3695412.92826546/D12</f>
        <v>167222.36012420288</v>
      </c>
      <c r="E403" s="1270">
        <f>5049733.40610833/E12</f>
        <v>219602.51374412907</v>
      </c>
      <c r="F403" s="1270">
        <f>5247205.40493179/F12</f>
        <v>221855.09868168808</v>
      </c>
      <c r="G403" s="1270">
        <f>5276880.74534904/G12</f>
        <v>219230.0963611686</v>
      </c>
      <c r="H403" s="1270">
        <f>5278296.77212729/H12</f>
        <v>213868.49119685037</v>
      </c>
      <c r="I403" s="1270">
        <f>3642938.9900354/I12</f>
        <v>147165.99186109219</v>
      </c>
      <c r="J403" s="1269">
        <f>6973797.09283957/J12</f>
        <v>288354.94900734036</v>
      </c>
    </row>
    <row r="404" spans="2:10">
      <c r="B404" s="133" t="s">
        <v>1764</v>
      </c>
      <c r="C404" s="860">
        <v>9.9071581799999997</v>
      </c>
      <c r="D404" s="860">
        <v>14.45650077</v>
      </c>
      <c r="E404" s="860">
        <v>11.401897770000001</v>
      </c>
      <c r="F404" s="860">
        <v>16.955330609999997</v>
      </c>
      <c r="G404" s="860">
        <v>10.863982889999999</v>
      </c>
      <c r="H404" s="860">
        <v>12.623191230000002</v>
      </c>
      <c r="I404" s="860">
        <v>30.321287679999987</v>
      </c>
      <c r="J404" s="860">
        <v>133.3764315999999</v>
      </c>
    </row>
    <row r="405" spans="2:10">
      <c r="B405" s="133" t="s">
        <v>1765</v>
      </c>
      <c r="C405" s="860">
        <v>0.48679644</v>
      </c>
      <c r="D405" s="860">
        <v>0.10000593999999997</v>
      </c>
      <c r="E405" s="860">
        <v>5.8858360000000005E-2</v>
      </c>
      <c r="F405" s="860">
        <v>0.64567693999999987</v>
      </c>
      <c r="G405" s="860">
        <v>3.1343220699999996</v>
      </c>
      <c r="H405" s="860">
        <v>8.6983123399999993</v>
      </c>
      <c r="I405" s="860">
        <v>7.8509212299999991</v>
      </c>
      <c r="J405" s="860">
        <v>62.064513699999907</v>
      </c>
    </row>
    <row r="406" spans="2:10">
      <c r="B406" s="65" t="s">
        <v>287</v>
      </c>
      <c r="C406" s="860" t="s">
        <v>2086</v>
      </c>
      <c r="D406" s="860" t="s">
        <v>2086</v>
      </c>
      <c r="E406" s="860" t="s">
        <v>2086</v>
      </c>
      <c r="F406" s="860" t="s">
        <v>2086</v>
      </c>
      <c r="G406" s="860" t="s">
        <v>2086</v>
      </c>
      <c r="H406" s="860" t="s">
        <v>2086</v>
      </c>
      <c r="I406" s="860" t="s">
        <v>2086</v>
      </c>
      <c r="J406" s="860" t="s">
        <v>2086</v>
      </c>
    </row>
    <row r="407" spans="2:10">
      <c r="B407" s="136"/>
      <c r="C407" s="529"/>
      <c r="D407" s="529"/>
      <c r="E407" s="529"/>
      <c r="F407" s="529"/>
      <c r="G407" s="529"/>
      <c r="H407" s="529"/>
      <c r="I407" s="529"/>
      <c r="J407" s="529"/>
    </row>
    <row r="408" spans="2:10">
      <c r="B408" s="114" t="s">
        <v>302</v>
      </c>
      <c r="C408" s="529"/>
      <c r="D408" s="529"/>
      <c r="E408" s="529"/>
      <c r="F408" s="529"/>
      <c r="G408" s="529"/>
      <c r="H408" s="529"/>
      <c r="I408" s="529"/>
      <c r="J408" s="529"/>
    </row>
    <row r="409" spans="2:10">
      <c r="B409" s="114"/>
      <c r="C409" s="529"/>
      <c r="D409" s="1269"/>
      <c r="E409" s="1269"/>
      <c r="F409" s="1269"/>
      <c r="G409" s="1269"/>
      <c r="H409" s="1269"/>
      <c r="I409" s="1269"/>
      <c r="J409" s="1269"/>
    </row>
    <row r="410" spans="2:10" ht="26">
      <c r="B410" s="443" t="s">
        <v>1758</v>
      </c>
      <c r="C410" s="529"/>
      <c r="D410" s="529"/>
      <c r="E410" s="529"/>
      <c r="F410" s="529"/>
      <c r="G410" s="529"/>
      <c r="H410" s="529"/>
      <c r="I410" s="529"/>
      <c r="J410" s="529"/>
    </row>
    <row r="411" spans="2:10">
      <c r="B411" s="71" t="s">
        <v>1762</v>
      </c>
      <c r="C411" s="1269">
        <f>C412</f>
        <v>14292.636573170321</v>
      </c>
      <c r="D411" s="1269">
        <f t="shared" ref="D411:J411" si="14">D412</f>
        <v>13219.125317075299</v>
      </c>
      <c r="E411" s="1269">
        <f t="shared" si="14"/>
        <v>12617.85895788223</v>
      </c>
      <c r="F411" s="1269">
        <f t="shared" si="14"/>
        <v>12535.358820477395</v>
      </c>
      <c r="G411" s="1269">
        <f t="shared" si="14"/>
        <v>12008.931008885651</v>
      </c>
      <c r="H411" s="1269">
        <f t="shared" si="14"/>
        <v>11282.695120865264</v>
      </c>
      <c r="I411" s="1269">
        <f t="shared" si="14"/>
        <v>6344.3145740108903</v>
      </c>
      <c r="J411" s="1269">
        <f t="shared" si="14"/>
        <v>7798.2987620801923</v>
      </c>
    </row>
    <row r="412" spans="2:10">
      <c r="B412" s="133" t="s">
        <v>1763</v>
      </c>
      <c r="C412" s="1269">
        <f>SUM(C413:C419)</f>
        <v>14292.636573170321</v>
      </c>
      <c r="D412" s="1269">
        <f>SUM(D413:D419)</f>
        <v>13219.125317075299</v>
      </c>
      <c r="E412" s="1269">
        <f t="shared" ref="E412:J412" si="15">SUM(E413:E419)</f>
        <v>12617.85895788223</v>
      </c>
      <c r="F412" s="1269">
        <f t="shared" si="15"/>
        <v>12535.358820477395</v>
      </c>
      <c r="G412" s="1269">
        <f t="shared" si="15"/>
        <v>12008.931008885651</v>
      </c>
      <c r="H412" s="1269">
        <f t="shared" si="15"/>
        <v>11282.695120865264</v>
      </c>
      <c r="I412" s="1269">
        <f t="shared" si="15"/>
        <v>6344.3145740108903</v>
      </c>
      <c r="J412" s="1269">
        <f t="shared" si="15"/>
        <v>7798.2987620801923</v>
      </c>
    </row>
    <row r="413" spans="2:10">
      <c r="B413" s="131" t="s">
        <v>294</v>
      </c>
      <c r="C413" s="232" t="s">
        <v>2086</v>
      </c>
      <c r="D413" s="232" t="s">
        <v>2086</v>
      </c>
      <c r="E413" s="232" t="s">
        <v>2086</v>
      </c>
      <c r="F413" s="232" t="s">
        <v>2086</v>
      </c>
      <c r="G413" s="232" t="s">
        <v>2086</v>
      </c>
      <c r="H413" s="232" t="s">
        <v>2086</v>
      </c>
      <c r="I413" s="232" t="s">
        <v>2086</v>
      </c>
      <c r="J413" s="232" t="s">
        <v>2086</v>
      </c>
    </row>
    <row r="414" spans="2:10">
      <c r="B414" s="131" t="s">
        <v>293</v>
      </c>
      <c r="C414" s="232" t="s">
        <v>2086</v>
      </c>
      <c r="D414" s="232" t="s">
        <v>2086</v>
      </c>
      <c r="E414" s="232" t="s">
        <v>2086</v>
      </c>
      <c r="F414" s="232" t="s">
        <v>2086</v>
      </c>
      <c r="G414" s="232" t="s">
        <v>2086</v>
      </c>
      <c r="H414" s="232" t="s">
        <v>2086</v>
      </c>
      <c r="I414" s="232" t="s">
        <v>2086</v>
      </c>
      <c r="J414" s="232" t="s">
        <v>2086</v>
      </c>
    </row>
    <row r="415" spans="2:10">
      <c r="B415" s="131" t="s">
        <v>292</v>
      </c>
      <c r="C415" s="232" t="s">
        <v>2086</v>
      </c>
      <c r="D415" s="232" t="s">
        <v>2086</v>
      </c>
      <c r="E415" s="232" t="s">
        <v>2086</v>
      </c>
      <c r="F415" s="232" t="s">
        <v>2086</v>
      </c>
      <c r="G415" s="232" t="s">
        <v>2086</v>
      </c>
      <c r="H415" s="232" t="s">
        <v>2086</v>
      </c>
      <c r="I415" s="232" t="s">
        <v>2086</v>
      </c>
      <c r="J415" s="232" t="s">
        <v>2086</v>
      </c>
    </row>
    <row r="416" spans="2:10">
      <c r="B416" s="131" t="s">
        <v>291</v>
      </c>
      <c r="C416" s="232" t="s">
        <v>2086</v>
      </c>
      <c r="D416" s="232" t="s">
        <v>2086</v>
      </c>
      <c r="E416" s="232" t="s">
        <v>2086</v>
      </c>
      <c r="F416" s="232" t="s">
        <v>2086</v>
      </c>
      <c r="G416" s="232" t="s">
        <v>2086</v>
      </c>
      <c r="H416" s="232" t="s">
        <v>2086</v>
      </c>
      <c r="I416" s="232" t="s">
        <v>2086</v>
      </c>
      <c r="J416" s="232" t="s">
        <v>2086</v>
      </c>
    </row>
    <row r="417" spans="2:10">
      <c r="B417" s="131" t="s">
        <v>290</v>
      </c>
      <c r="C417" s="232" t="s">
        <v>2086</v>
      </c>
      <c r="D417" s="232" t="s">
        <v>2086</v>
      </c>
      <c r="E417" s="232" t="s">
        <v>2086</v>
      </c>
      <c r="F417" s="232" t="s">
        <v>2086</v>
      </c>
      <c r="G417" s="232" t="s">
        <v>2086</v>
      </c>
      <c r="H417" s="232" t="s">
        <v>2086</v>
      </c>
      <c r="I417" s="232" t="s">
        <v>2086</v>
      </c>
      <c r="J417" s="232" t="s">
        <v>2086</v>
      </c>
    </row>
    <row r="418" spans="2:10">
      <c r="B418" s="131" t="s">
        <v>1766</v>
      </c>
      <c r="C418" s="1271">
        <f>300492.56/C12</f>
        <v>14292.636573170321</v>
      </c>
      <c r="D418" s="1271">
        <f>292126.762/D12</f>
        <v>13219.125317075299</v>
      </c>
      <c r="E418" s="1271">
        <f>290146.15/E12</f>
        <v>12617.85895788223</v>
      </c>
      <c r="F418" s="1271">
        <f>296480.01306448/F12</f>
        <v>12535.358820477395</v>
      </c>
      <c r="G418" s="1271">
        <f>289055.64457088/G12</f>
        <v>12008.931008885651</v>
      </c>
      <c r="H418" s="1271">
        <f>278458.09779686/H12</f>
        <v>11282.695120865264</v>
      </c>
      <c r="I418" s="1271">
        <f>157046.81927146/I12</f>
        <v>6344.3145740108903</v>
      </c>
      <c r="J418" s="1269">
        <f>188600.03417075/J12</f>
        <v>7798.2987620801923</v>
      </c>
    </row>
    <row r="419" spans="2:10">
      <c r="B419" s="131" t="s">
        <v>288</v>
      </c>
      <c r="C419" s="1272">
        <v>0</v>
      </c>
      <c r="D419" s="1272">
        <v>0</v>
      </c>
      <c r="E419" s="1272">
        <v>0</v>
      </c>
      <c r="F419" s="1272">
        <v>0</v>
      </c>
      <c r="G419" s="1272">
        <v>0</v>
      </c>
      <c r="H419" s="1272">
        <v>0</v>
      </c>
      <c r="I419" s="1272">
        <v>0</v>
      </c>
      <c r="J419" s="1272">
        <v>0</v>
      </c>
    </row>
    <row r="420" spans="2:10">
      <c r="B420" s="132" t="s">
        <v>295</v>
      </c>
      <c r="C420" s="232" t="s">
        <v>2086</v>
      </c>
      <c r="D420" s="232" t="s">
        <v>2086</v>
      </c>
      <c r="E420" s="232" t="s">
        <v>2086</v>
      </c>
      <c r="F420" s="232" t="s">
        <v>2086</v>
      </c>
      <c r="G420" s="232" t="s">
        <v>2086</v>
      </c>
      <c r="H420" s="232" t="s">
        <v>2086</v>
      </c>
      <c r="I420" s="232" t="s">
        <v>2086</v>
      </c>
      <c r="J420" s="232" t="s">
        <v>2086</v>
      </c>
    </row>
    <row r="421" spans="2:10">
      <c r="B421" s="131" t="s">
        <v>294</v>
      </c>
      <c r="C421" s="232" t="s">
        <v>2086</v>
      </c>
      <c r="D421" s="232" t="s">
        <v>2086</v>
      </c>
      <c r="E421" s="232" t="s">
        <v>2086</v>
      </c>
      <c r="F421" s="232" t="s">
        <v>2086</v>
      </c>
      <c r="G421" s="232" t="s">
        <v>2086</v>
      </c>
      <c r="H421" s="232" t="s">
        <v>2086</v>
      </c>
      <c r="I421" s="232" t="s">
        <v>2086</v>
      </c>
      <c r="J421" s="232" t="s">
        <v>2086</v>
      </c>
    </row>
    <row r="422" spans="2:10">
      <c r="B422" s="131" t="s">
        <v>293</v>
      </c>
      <c r="C422" s="232" t="s">
        <v>2086</v>
      </c>
      <c r="D422" s="232" t="s">
        <v>2086</v>
      </c>
      <c r="E422" s="232" t="s">
        <v>2086</v>
      </c>
      <c r="F422" s="232" t="s">
        <v>2086</v>
      </c>
      <c r="G422" s="232" t="s">
        <v>2086</v>
      </c>
      <c r="H422" s="232" t="s">
        <v>2086</v>
      </c>
      <c r="I422" s="232" t="s">
        <v>2086</v>
      </c>
      <c r="J422" s="232" t="s">
        <v>2086</v>
      </c>
    </row>
    <row r="423" spans="2:10">
      <c r="B423" s="131" t="s">
        <v>292</v>
      </c>
      <c r="C423" s="232" t="s">
        <v>2086</v>
      </c>
      <c r="D423" s="232" t="s">
        <v>2086</v>
      </c>
      <c r="E423" s="232" t="s">
        <v>2086</v>
      </c>
      <c r="F423" s="232" t="s">
        <v>2086</v>
      </c>
      <c r="G423" s="232" t="s">
        <v>2086</v>
      </c>
      <c r="H423" s="232" t="s">
        <v>2086</v>
      </c>
      <c r="I423" s="232" t="s">
        <v>2086</v>
      </c>
      <c r="J423" s="232" t="s">
        <v>2086</v>
      </c>
    </row>
    <row r="424" spans="2:10">
      <c r="B424" s="131" t="s">
        <v>291</v>
      </c>
      <c r="C424" s="232" t="s">
        <v>2086</v>
      </c>
      <c r="D424" s="232" t="s">
        <v>2086</v>
      </c>
      <c r="E424" s="232" t="s">
        <v>2086</v>
      </c>
      <c r="F424" s="232" t="s">
        <v>2086</v>
      </c>
      <c r="G424" s="232" t="s">
        <v>2086</v>
      </c>
      <c r="H424" s="232" t="s">
        <v>2086</v>
      </c>
      <c r="I424" s="232" t="s">
        <v>2086</v>
      </c>
      <c r="J424" s="232" t="s">
        <v>2086</v>
      </c>
    </row>
    <row r="425" spans="2:10">
      <c r="B425" s="131" t="s">
        <v>290</v>
      </c>
      <c r="C425" s="232" t="s">
        <v>2086</v>
      </c>
      <c r="D425" s="232" t="s">
        <v>2086</v>
      </c>
      <c r="E425" s="232" t="s">
        <v>2086</v>
      </c>
      <c r="F425" s="232" t="s">
        <v>2086</v>
      </c>
      <c r="G425" s="232" t="s">
        <v>2086</v>
      </c>
      <c r="H425" s="232" t="s">
        <v>2086</v>
      </c>
      <c r="I425" s="232" t="s">
        <v>2086</v>
      </c>
      <c r="J425" s="232" t="s">
        <v>2086</v>
      </c>
    </row>
    <row r="426" spans="2:10">
      <c r="B426" s="131" t="s">
        <v>289</v>
      </c>
      <c r="C426" s="232" t="s">
        <v>2086</v>
      </c>
      <c r="D426" s="232" t="s">
        <v>2086</v>
      </c>
      <c r="E426" s="232" t="s">
        <v>2086</v>
      </c>
      <c r="F426" s="232" t="s">
        <v>2086</v>
      </c>
      <c r="G426" s="232" t="s">
        <v>2086</v>
      </c>
      <c r="H426" s="232" t="s">
        <v>2086</v>
      </c>
      <c r="I426" s="232" t="s">
        <v>2086</v>
      </c>
      <c r="J426" s="232" t="s">
        <v>2086</v>
      </c>
    </row>
    <row r="427" spans="2:10">
      <c r="B427" s="131" t="s">
        <v>288</v>
      </c>
      <c r="C427" s="232" t="s">
        <v>2086</v>
      </c>
      <c r="D427" s="232" t="s">
        <v>2086</v>
      </c>
      <c r="E427" s="232" t="s">
        <v>2086</v>
      </c>
      <c r="F427" s="232" t="s">
        <v>2086</v>
      </c>
      <c r="G427" s="232" t="s">
        <v>2086</v>
      </c>
      <c r="H427" s="232" t="s">
        <v>2086</v>
      </c>
      <c r="I427" s="232" t="s">
        <v>2086</v>
      </c>
      <c r="J427" s="232" t="s">
        <v>2086</v>
      </c>
    </row>
    <row r="428" spans="2:10">
      <c r="B428" s="65" t="s">
        <v>287</v>
      </c>
      <c r="C428" s="232" t="s">
        <v>2086</v>
      </c>
      <c r="D428" s="232" t="s">
        <v>2086</v>
      </c>
      <c r="E428" s="232" t="s">
        <v>2086</v>
      </c>
      <c r="F428" s="232" t="s">
        <v>2086</v>
      </c>
      <c r="G428" s="232" t="s">
        <v>2086</v>
      </c>
      <c r="H428" s="232" t="s">
        <v>2086</v>
      </c>
      <c r="I428" s="232" t="s">
        <v>2086</v>
      </c>
      <c r="J428" s="232" t="s">
        <v>2086</v>
      </c>
    </row>
    <row r="429" spans="2:10">
      <c r="B429" s="133"/>
      <c r="C429" s="235" t="s">
        <v>2086</v>
      </c>
      <c r="D429" s="235"/>
      <c r="E429" s="235"/>
      <c r="F429" s="235"/>
      <c r="G429" s="235"/>
      <c r="H429" s="235"/>
      <c r="I429" s="235"/>
      <c r="J429" s="235"/>
    </row>
    <row r="430" spans="2:10" ht="26">
      <c r="B430" s="443" t="s">
        <v>1759</v>
      </c>
      <c r="C430" s="129"/>
      <c r="D430" s="1010"/>
      <c r="E430" s="1010"/>
      <c r="F430" s="1010"/>
      <c r="G430" s="1010"/>
      <c r="H430" s="1010"/>
      <c r="I430" s="1010"/>
      <c r="J430" s="235"/>
    </row>
    <row r="431" spans="2:10">
      <c r="B431" s="71" t="s">
        <v>1762</v>
      </c>
      <c r="C431" s="1269">
        <f t="shared" ref="C431:H431" si="16">C432</f>
        <v>2434.3554092259947</v>
      </c>
      <c r="D431" s="1269">
        <f t="shared" si="16"/>
        <v>1831.5506667544373</v>
      </c>
      <c r="E431" s="1269">
        <f t="shared" si="16"/>
        <v>2259.136203419986</v>
      </c>
      <c r="F431" s="1269">
        <f t="shared" si="16"/>
        <v>2813.2262050481431</v>
      </c>
      <c r="G431" s="1269">
        <f t="shared" si="16"/>
        <v>3879.3956456977094</v>
      </c>
      <c r="H431" s="1269">
        <f t="shared" si="16"/>
        <v>5250.661543371828</v>
      </c>
      <c r="I431" s="1269">
        <f>I432</f>
        <v>7036.3459459485821</v>
      </c>
      <c r="J431" s="1269">
        <f>J432</f>
        <v>10545.936574756903</v>
      </c>
    </row>
    <row r="432" spans="2:10">
      <c r="B432" s="133" t="s">
        <v>1763</v>
      </c>
      <c r="C432" s="1273">
        <f>SUM(C433:C439)</f>
        <v>2434.3554092259947</v>
      </c>
      <c r="D432" s="1273">
        <f t="shared" ref="D432:J432" si="17">SUM(D433:D439)</f>
        <v>1831.5506667544373</v>
      </c>
      <c r="E432" s="1273">
        <f t="shared" si="17"/>
        <v>2259.136203419986</v>
      </c>
      <c r="F432" s="1273">
        <f t="shared" si="17"/>
        <v>2813.2262050481431</v>
      </c>
      <c r="G432" s="1273">
        <f t="shared" si="17"/>
        <v>3879.3956456977094</v>
      </c>
      <c r="H432" s="1273">
        <f t="shared" si="17"/>
        <v>5250.661543371828</v>
      </c>
      <c r="I432" s="1273">
        <f t="shared" si="17"/>
        <v>7036.3459459485821</v>
      </c>
      <c r="J432" s="1273">
        <f t="shared" si="17"/>
        <v>10545.936574756903</v>
      </c>
    </row>
    <row r="433" spans="2:10">
      <c r="B433" s="131" t="s">
        <v>1767</v>
      </c>
      <c r="C433" s="72">
        <v>2434.3554092259947</v>
      </c>
      <c r="D433" s="72">
        <v>1831.5506667544373</v>
      </c>
      <c r="E433" s="72">
        <v>2259.136203419986</v>
      </c>
      <c r="F433" s="72">
        <v>2813.2262050481431</v>
      </c>
      <c r="G433" s="72">
        <v>3879.3956456977094</v>
      </c>
      <c r="H433" s="72">
        <v>5250.661543371828</v>
      </c>
      <c r="I433" s="72">
        <v>7036.3459459485821</v>
      </c>
      <c r="J433" s="72">
        <v>10545.936574756903</v>
      </c>
    </row>
    <row r="434" spans="2:10">
      <c r="B434" s="131" t="s">
        <v>293</v>
      </c>
      <c r="C434" s="819">
        <v>0</v>
      </c>
      <c r="D434" s="819">
        <v>0</v>
      </c>
      <c r="E434" s="819">
        <v>0</v>
      </c>
      <c r="F434" s="819">
        <v>0</v>
      </c>
      <c r="G434" s="819">
        <v>0</v>
      </c>
      <c r="H434" s="819">
        <v>0</v>
      </c>
      <c r="I434" s="819">
        <v>0</v>
      </c>
      <c r="J434" s="819">
        <v>0</v>
      </c>
    </row>
    <row r="435" spans="2:10">
      <c r="B435" s="131" t="s">
        <v>292</v>
      </c>
      <c r="C435" s="232" t="s">
        <v>2086</v>
      </c>
      <c r="D435" s="232" t="s">
        <v>2086</v>
      </c>
      <c r="E435" s="232" t="s">
        <v>2086</v>
      </c>
      <c r="F435" s="232" t="s">
        <v>2086</v>
      </c>
      <c r="G435" s="232" t="s">
        <v>2086</v>
      </c>
      <c r="H435" s="232" t="s">
        <v>2086</v>
      </c>
      <c r="I435" s="232" t="s">
        <v>2086</v>
      </c>
      <c r="J435" s="232" t="s">
        <v>2086</v>
      </c>
    </row>
    <row r="436" spans="2:10">
      <c r="B436" s="131" t="s">
        <v>291</v>
      </c>
      <c r="C436" s="232" t="s">
        <v>2086</v>
      </c>
      <c r="D436" s="232" t="s">
        <v>2086</v>
      </c>
      <c r="E436" s="232" t="s">
        <v>2086</v>
      </c>
      <c r="F436" s="232" t="s">
        <v>2086</v>
      </c>
      <c r="G436" s="232" t="s">
        <v>2086</v>
      </c>
      <c r="H436" s="232" t="s">
        <v>2086</v>
      </c>
      <c r="I436" s="232" t="s">
        <v>2086</v>
      </c>
      <c r="J436" s="232" t="s">
        <v>2086</v>
      </c>
    </row>
    <row r="437" spans="2:10">
      <c r="B437" s="131" t="s">
        <v>290</v>
      </c>
      <c r="C437" s="232" t="s">
        <v>2086</v>
      </c>
      <c r="D437" s="232" t="s">
        <v>2086</v>
      </c>
      <c r="E437" s="232" t="s">
        <v>2086</v>
      </c>
      <c r="F437" s="232" t="s">
        <v>2086</v>
      </c>
      <c r="G437" s="232" t="s">
        <v>2086</v>
      </c>
      <c r="H437" s="232" t="s">
        <v>2086</v>
      </c>
      <c r="I437" s="232" t="s">
        <v>2086</v>
      </c>
      <c r="J437" s="232" t="s">
        <v>2086</v>
      </c>
    </row>
    <row r="438" spans="2:10">
      <c r="B438" s="131" t="s">
        <v>289</v>
      </c>
      <c r="C438" s="232" t="s">
        <v>2086</v>
      </c>
      <c r="D438" s="232" t="s">
        <v>2086</v>
      </c>
      <c r="E438" s="232" t="s">
        <v>2086</v>
      </c>
      <c r="F438" s="232" t="s">
        <v>2086</v>
      </c>
      <c r="G438" s="232" t="s">
        <v>2086</v>
      </c>
      <c r="H438" s="232" t="s">
        <v>2086</v>
      </c>
      <c r="I438" s="232" t="s">
        <v>2086</v>
      </c>
      <c r="J438" s="232" t="s">
        <v>2086</v>
      </c>
    </row>
    <row r="439" spans="2:10">
      <c r="B439" s="131" t="s">
        <v>288</v>
      </c>
      <c r="C439" s="232" t="s">
        <v>2086</v>
      </c>
      <c r="D439" s="232" t="s">
        <v>2086</v>
      </c>
      <c r="E439" s="232" t="s">
        <v>2086</v>
      </c>
      <c r="F439" s="232" t="s">
        <v>2086</v>
      </c>
      <c r="G439" s="232" t="s">
        <v>2086</v>
      </c>
      <c r="H439" s="232" t="s">
        <v>2086</v>
      </c>
      <c r="I439" s="232" t="s">
        <v>2086</v>
      </c>
      <c r="J439" s="232" t="s">
        <v>2086</v>
      </c>
    </row>
    <row r="440" spans="2:10">
      <c r="B440" s="132" t="s">
        <v>295</v>
      </c>
      <c r="C440" s="232" t="s">
        <v>2086</v>
      </c>
      <c r="D440" s="232" t="s">
        <v>2086</v>
      </c>
      <c r="E440" s="232" t="s">
        <v>2086</v>
      </c>
      <c r="F440" s="232" t="s">
        <v>2086</v>
      </c>
      <c r="G440" s="232" t="s">
        <v>2086</v>
      </c>
      <c r="H440" s="232" t="s">
        <v>2086</v>
      </c>
      <c r="I440" s="232" t="s">
        <v>2086</v>
      </c>
      <c r="J440" s="232" t="s">
        <v>2086</v>
      </c>
    </row>
    <row r="441" spans="2:10">
      <c r="B441" s="131" t="s">
        <v>294</v>
      </c>
      <c r="C441" s="232" t="s">
        <v>2086</v>
      </c>
      <c r="D441" s="232" t="s">
        <v>2086</v>
      </c>
      <c r="E441" s="232" t="s">
        <v>2086</v>
      </c>
      <c r="F441" s="232" t="s">
        <v>2086</v>
      </c>
      <c r="G441" s="232" t="s">
        <v>2086</v>
      </c>
      <c r="H441" s="232" t="s">
        <v>2086</v>
      </c>
      <c r="I441" s="232" t="s">
        <v>2086</v>
      </c>
      <c r="J441" s="232" t="s">
        <v>2086</v>
      </c>
    </row>
    <row r="442" spans="2:10">
      <c r="B442" s="131" t="s">
        <v>293</v>
      </c>
      <c r="C442" s="232" t="s">
        <v>2086</v>
      </c>
      <c r="D442" s="232" t="s">
        <v>2086</v>
      </c>
      <c r="E442" s="232" t="s">
        <v>2086</v>
      </c>
      <c r="F442" s="232" t="s">
        <v>2086</v>
      </c>
      <c r="G442" s="232" t="s">
        <v>2086</v>
      </c>
      <c r="H442" s="232" t="s">
        <v>2086</v>
      </c>
      <c r="I442" s="232" t="s">
        <v>2086</v>
      </c>
      <c r="J442" s="232" t="s">
        <v>2086</v>
      </c>
    </row>
    <row r="443" spans="2:10">
      <c r="B443" s="131" t="s">
        <v>292</v>
      </c>
      <c r="C443" s="232" t="s">
        <v>2086</v>
      </c>
      <c r="D443" s="232" t="s">
        <v>2086</v>
      </c>
      <c r="E443" s="232" t="s">
        <v>2086</v>
      </c>
      <c r="F443" s="232" t="s">
        <v>2086</v>
      </c>
      <c r="G443" s="232" t="s">
        <v>2086</v>
      </c>
      <c r="H443" s="232" t="s">
        <v>2086</v>
      </c>
      <c r="I443" s="232" t="s">
        <v>2086</v>
      </c>
      <c r="J443" s="232" t="s">
        <v>2086</v>
      </c>
    </row>
    <row r="444" spans="2:10">
      <c r="B444" s="131" t="s">
        <v>291</v>
      </c>
      <c r="C444" s="232" t="s">
        <v>2086</v>
      </c>
      <c r="D444" s="232" t="s">
        <v>2086</v>
      </c>
      <c r="E444" s="232" t="s">
        <v>2086</v>
      </c>
      <c r="F444" s="232" t="s">
        <v>2086</v>
      </c>
      <c r="G444" s="232" t="s">
        <v>2086</v>
      </c>
      <c r="H444" s="232" t="s">
        <v>2086</v>
      </c>
      <c r="I444" s="232" t="s">
        <v>2086</v>
      </c>
      <c r="J444" s="232" t="s">
        <v>2086</v>
      </c>
    </row>
    <row r="445" spans="2:10">
      <c r="B445" s="131" t="s">
        <v>290</v>
      </c>
      <c r="C445" s="232" t="s">
        <v>2086</v>
      </c>
      <c r="D445" s="232" t="s">
        <v>2086</v>
      </c>
      <c r="E445" s="232" t="s">
        <v>2086</v>
      </c>
      <c r="F445" s="232" t="s">
        <v>2086</v>
      </c>
      <c r="G445" s="232" t="s">
        <v>2086</v>
      </c>
      <c r="H445" s="232" t="s">
        <v>2086</v>
      </c>
      <c r="I445" s="232" t="s">
        <v>2086</v>
      </c>
      <c r="J445" s="232" t="s">
        <v>2086</v>
      </c>
    </row>
    <row r="446" spans="2:10">
      <c r="B446" s="131" t="s">
        <v>289</v>
      </c>
      <c r="C446" s="232" t="s">
        <v>2086</v>
      </c>
      <c r="D446" s="232" t="s">
        <v>2086</v>
      </c>
      <c r="E446" s="232" t="s">
        <v>2086</v>
      </c>
      <c r="F446" s="232" t="s">
        <v>2086</v>
      </c>
      <c r="G446" s="232" t="s">
        <v>2086</v>
      </c>
      <c r="H446" s="232" t="s">
        <v>2086</v>
      </c>
      <c r="I446" s="232" t="s">
        <v>2086</v>
      </c>
      <c r="J446" s="232" t="s">
        <v>2086</v>
      </c>
    </row>
    <row r="447" spans="2:10">
      <c r="B447" s="131" t="s">
        <v>288</v>
      </c>
      <c r="C447" s="232" t="s">
        <v>2086</v>
      </c>
      <c r="D447" s="232" t="s">
        <v>2086</v>
      </c>
      <c r="E447" s="232" t="s">
        <v>2086</v>
      </c>
      <c r="F447" s="232" t="s">
        <v>2086</v>
      </c>
      <c r="G447" s="232" t="s">
        <v>2086</v>
      </c>
      <c r="H447" s="232" t="s">
        <v>2086</v>
      </c>
      <c r="I447" s="232" t="s">
        <v>2086</v>
      </c>
      <c r="J447" s="232" t="s">
        <v>2086</v>
      </c>
    </row>
    <row r="448" spans="2:10">
      <c r="B448" s="65" t="s">
        <v>287</v>
      </c>
      <c r="C448" s="232" t="s">
        <v>2086</v>
      </c>
      <c r="D448" s="232" t="s">
        <v>2086</v>
      </c>
      <c r="E448" s="232" t="s">
        <v>2086</v>
      </c>
      <c r="F448" s="232" t="s">
        <v>2086</v>
      </c>
      <c r="G448" s="232" t="s">
        <v>2086</v>
      </c>
      <c r="H448" s="232" t="s">
        <v>2086</v>
      </c>
      <c r="I448" s="232" t="s">
        <v>2086</v>
      </c>
      <c r="J448" s="232" t="s">
        <v>2086</v>
      </c>
    </row>
    <row r="449" spans="2:10" ht="15" thickBot="1">
      <c r="B449" s="65" t="s">
        <v>301</v>
      </c>
      <c r="C449" s="232" t="s">
        <v>2086</v>
      </c>
      <c r="D449" s="232" t="s">
        <v>2086</v>
      </c>
      <c r="E449" s="232" t="s">
        <v>2086</v>
      </c>
      <c r="F449" s="232" t="s">
        <v>2086</v>
      </c>
      <c r="G449" s="232" t="s">
        <v>2086</v>
      </c>
      <c r="H449" s="232" t="s">
        <v>2086</v>
      </c>
      <c r="I449" s="232" t="s">
        <v>2086</v>
      </c>
      <c r="J449" s="232" t="s">
        <v>2086</v>
      </c>
    </row>
    <row r="450" spans="2:10" ht="15" thickTop="1">
      <c r="B450" s="2025" t="s">
        <v>1754</v>
      </c>
      <c r="C450" s="2025"/>
      <c r="D450" s="2025"/>
      <c r="E450" s="2025"/>
      <c r="F450" s="2025"/>
      <c r="G450" s="2025"/>
      <c r="H450" s="2025"/>
      <c r="I450" s="2025"/>
      <c r="J450" s="2025"/>
    </row>
    <row r="451" spans="2:10">
      <c r="B451" s="64"/>
      <c r="C451" s="449"/>
      <c r="D451" s="449"/>
      <c r="E451" s="449"/>
      <c r="F451" s="449"/>
      <c r="G451" s="449"/>
      <c r="H451" s="449"/>
      <c r="I451" s="449"/>
      <c r="J451" s="449"/>
    </row>
    <row r="452" spans="2:10">
      <c r="B452" s="2100" t="s">
        <v>271</v>
      </c>
      <c r="C452" s="2100"/>
      <c r="D452" s="2100"/>
      <c r="E452" s="2100"/>
      <c r="F452" s="2100"/>
      <c r="G452" s="2100"/>
      <c r="H452" s="2100"/>
      <c r="I452" s="2100"/>
      <c r="J452" s="2100"/>
    </row>
    <row r="453" spans="2:10">
      <c r="B453" s="12" t="s">
        <v>270</v>
      </c>
      <c r="C453" s="449"/>
      <c r="D453" s="449"/>
      <c r="E453" s="449"/>
      <c r="F453" s="449"/>
      <c r="G453" s="449"/>
      <c r="H453" s="449"/>
      <c r="I453" s="449"/>
      <c r="J453" s="449"/>
    </row>
    <row r="454" spans="2:10">
      <c r="B454" s="77" t="s">
        <v>269</v>
      </c>
      <c r="C454" s="449"/>
      <c r="D454" s="449"/>
      <c r="E454" s="449"/>
      <c r="F454" s="449"/>
      <c r="G454" s="449"/>
      <c r="H454" s="449"/>
      <c r="I454" s="449"/>
      <c r="J454" s="449"/>
    </row>
    <row r="455" spans="2:10">
      <c r="B455" s="76"/>
      <c r="C455" s="449"/>
      <c r="D455" s="449"/>
      <c r="E455" s="449"/>
      <c r="F455" s="449"/>
      <c r="G455" s="449"/>
      <c r="H455" s="449"/>
      <c r="I455" s="449"/>
      <c r="J455" s="449"/>
    </row>
    <row r="456" spans="2:10">
      <c r="B456" s="61"/>
      <c r="C456" s="303">
        <v>2014</v>
      </c>
      <c r="D456" s="303">
        <v>2015</v>
      </c>
      <c r="E456" s="303">
        <v>2016</v>
      </c>
      <c r="F456" s="303">
        <v>2017</v>
      </c>
      <c r="G456" s="303">
        <v>2018</v>
      </c>
      <c r="H456" s="303">
        <v>2019</v>
      </c>
      <c r="I456" s="303">
        <v>2020</v>
      </c>
      <c r="J456" s="303">
        <v>2021</v>
      </c>
    </row>
    <row r="457" spans="2:10" ht="26">
      <c r="B457" s="59" t="s">
        <v>1768</v>
      </c>
      <c r="C457" s="449"/>
      <c r="D457" s="449"/>
      <c r="E457" s="449"/>
      <c r="F457" s="449"/>
      <c r="G457" s="449"/>
      <c r="H457" s="449"/>
      <c r="I457" s="449"/>
      <c r="J457" s="449"/>
    </row>
    <row r="458" spans="2:10">
      <c r="B458" s="71" t="s">
        <v>265</v>
      </c>
      <c r="C458" s="1274">
        <v>41</v>
      </c>
      <c r="D458" s="1274">
        <v>56</v>
      </c>
      <c r="E458" s="1274">
        <v>53</v>
      </c>
      <c r="F458" s="1274">
        <v>52</v>
      </c>
      <c r="G458" s="1274">
        <v>52</v>
      </c>
      <c r="H458" s="1274">
        <v>52</v>
      </c>
      <c r="I458" s="1274">
        <v>52</v>
      </c>
      <c r="J458" s="1274">
        <v>52</v>
      </c>
    </row>
    <row r="459" spans="2:10">
      <c r="B459" s="52" t="s">
        <v>262</v>
      </c>
      <c r="C459" s="1275">
        <v>1</v>
      </c>
      <c r="D459" s="1275">
        <v>1</v>
      </c>
      <c r="E459" s="1275">
        <v>1</v>
      </c>
      <c r="F459" s="1275">
        <v>1</v>
      </c>
      <c r="G459" s="1275">
        <v>1</v>
      </c>
      <c r="H459" s="1275">
        <v>1</v>
      </c>
      <c r="I459" s="1275">
        <v>1</v>
      </c>
      <c r="J459" s="1275">
        <v>1</v>
      </c>
    </row>
    <row r="460" spans="2:10">
      <c r="B460" s="52" t="s">
        <v>261</v>
      </c>
      <c r="C460" s="1275"/>
      <c r="D460" s="1275"/>
      <c r="E460" s="1275"/>
      <c r="F460" s="1275"/>
      <c r="G460" s="1275"/>
      <c r="H460" s="1275"/>
      <c r="I460" s="1275"/>
      <c r="J460" s="1275"/>
    </row>
    <row r="461" spans="2:10">
      <c r="B461" s="52" t="s">
        <v>260</v>
      </c>
      <c r="C461" s="1275">
        <v>17</v>
      </c>
      <c r="D461" s="1275">
        <v>17</v>
      </c>
      <c r="E461" s="1275">
        <v>15</v>
      </c>
      <c r="F461" s="1275">
        <v>15</v>
      </c>
      <c r="G461" s="1275">
        <v>15</v>
      </c>
      <c r="H461" s="1275">
        <v>15</v>
      </c>
      <c r="I461" s="1275">
        <v>15</v>
      </c>
      <c r="J461" s="1275">
        <v>15</v>
      </c>
    </row>
    <row r="462" spans="2:10">
      <c r="B462" s="52" t="s">
        <v>117</v>
      </c>
      <c r="C462" s="1274">
        <v>23</v>
      </c>
      <c r="D462" s="1274">
        <v>38</v>
      </c>
      <c r="E462" s="1274">
        <v>37</v>
      </c>
      <c r="F462" s="1274">
        <v>36</v>
      </c>
      <c r="G462" s="1274">
        <v>36</v>
      </c>
      <c r="H462" s="1274">
        <v>36</v>
      </c>
      <c r="I462" s="1274">
        <v>36</v>
      </c>
      <c r="J462" s="1274">
        <v>36</v>
      </c>
    </row>
    <row r="463" spans="2:10">
      <c r="B463" s="52"/>
      <c r="C463" s="1274"/>
      <c r="D463" s="1274"/>
      <c r="E463" s="1274"/>
      <c r="F463" s="1274"/>
      <c r="G463" s="1274"/>
      <c r="H463" s="1274"/>
      <c r="I463" s="1276"/>
      <c r="J463" s="1274"/>
    </row>
    <row r="464" spans="2:10">
      <c r="B464" s="71" t="s">
        <v>264</v>
      </c>
      <c r="C464" s="1274">
        <v>41</v>
      </c>
      <c r="D464" s="1274">
        <v>56</v>
      </c>
      <c r="E464" s="1274">
        <v>53</v>
      </c>
      <c r="F464" s="1274">
        <v>52</v>
      </c>
      <c r="G464" s="1274">
        <v>52</v>
      </c>
      <c r="H464" s="1274">
        <v>52</v>
      </c>
      <c r="I464" s="1274">
        <v>52</v>
      </c>
      <c r="J464" s="1274">
        <v>52</v>
      </c>
    </row>
    <row r="465" spans="2:10">
      <c r="B465" s="52" t="s">
        <v>262</v>
      </c>
      <c r="C465" s="1275">
        <v>1</v>
      </c>
      <c r="D465" s="1275">
        <v>1</v>
      </c>
      <c r="E465" s="1275">
        <v>1</v>
      </c>
      <c r="F465" s="1275">
        <v>1</v>
      </c>
      <c r="G465" s="1275">
        <v>1</v>
      </c>
      <c r="H465" s="1275">
        <v>1</v>
      </c>
      <c r="I465" s="1275">
        <v>1</v>
      </c>
      <c r="J465" s="1275">
        <v>1</v>
      </c>
    </row>
    <row r="466" spans="2:10">
      <c r="B466" s="52" t="s">
        <v>261</v>
      </c>
      <c r="C466" s="1275">
        <v>17</v>
      </c>
      <c r="D466" s="1275">
        <v>17</v>
      </c>
      <c r="E466" s="1275">
        <v>15</v>
      </c>
      <c r="F466" s="1275">
        <v>15</v>
      </c>
      <c r="G466" s="1275">
        <v>15</v>
      </c>
      <c r="H466" s="1275">
        <v>15</v>
      </c>
      <c r="I466" s="1275">
        <v>15</v>
      </c>
      <c r="J466" s="1275">
        <v>15</v>
      </c>
    </row>
    <row r="467" spans="2:10">
      <c r="B467" s="52" t="s">
        <v>260</v>
      </c>
      <c r="C467" s="1275">
        <v>23</v>
      </c>
      <c r="D467" s="1275">
        <v>38</v>
      </c>
      <c r="E467" s="1275">
        <v>37</v>
      </c>
      <c r="F467" s="1275">
        <v>36</v>
      </c>
      <c r="G467" s="1275">
        <v>36</v>
      </c>
      <c r="H467" s="1275">
        <v>36</v>
      </c>
      <c r="I467" s="1275">
        <v>36</v>
      </c>
      <c r="J467" s="1275">
        <v>36</v>
      </c>
    </row>
    <row r="468" spans="2:10">
      <c r="B468" s="52" t="s">
        <v>117</v>
      </c>
      <c r="C468" s="1274"/>
      <c r="D468" s="1274"/>
      <c r="E468" s="1274"/>
      <c r="F468" s="1274"/>
      <c r="G468" s="1274"/>
      <c r="H468" s="1274"/>
      <c r="I468" s="1274"/>
      <c r="J468" s="1274"/>
    </row>
    <row r="469" spans="2:10">
      <c r="B469" s="52"/>
      <c r="C469" s="1274"/>
      <c r="D469" s="1274"/>
      <c r="E469" s="1274"/>
      <c r="F469" s="1274"/>
      <c r="G469" s="1274"/>
      <c r="H469" s="1274"/>
      <c r="I469" s="1274"/>
      <c r="J469" s="1274"/>
    </row>
    <row r="470" spans="2:10">
      <c r="B470" s="71" t="s">
        <v>263</v>
      </c>
      <c r="C470" s="1275">
        <v>0</v>
      </c>
      <c r="D470" s="1275">
        <v>0</v>
      </c>
      <c r="E470" s="1275">
        <v>0</v>
      </c>
      <c r="F470" s="1275">
        <v>0</v>
      </c>
      <c r="G470" s="1275">
        <v>0</v>
      </c>
      <c r="H470" s="1275">
        <v>0</v>
      </c>
      <c r="I470" s="1275">
        <v>0</v>
      </c>
      <c r="J470" s="1275">
        <v>0</v>
      </c>
    </row>
    <row r="471" spans="2:10">
      <c r="B471" s="52" t="s">
        <v>262</v>
      </c>
      <c r="C471" s="1275">
        <v>0</v>
      </c>
      <c r="D471" s="1275">
        <v>0</v>
      </c>
      <c r="E471" s="1275">
        <v>0</v>
      </c>
      <c r="F471" s="1275">
        <v>0</v>
      </c>
      <c r="G471" s="1275">
        <v>0</v>
      </c>
      <c r="H471" s="1275">
        <v>0</v>
      </c>
      <c r="I471" s="1275">
        <v>0</v>
      </c>
      <c r="J471" s="1275">
        <v>0</v>
      </c>
    </row>
    <row r="472" spans="2:10">
      <c r="B472" s="52" t="s">
        <v>261</v>
      </c>
      <c r="C472" s="1275">
        <v>0</v>
      </c>
      <c r="D472" s="1275">
        <v>0</v>
      </c>
      <c r="E472" s="1275">
        <v>0</v>
      </c>
      <c r="F472" s="1275">
        <v>0</v>
      </c>
      <c r="G472" s="1275">
        <v>0</v>
      </c>
      <c r="H472" s="1275">
        <v>0</v>
      </c>
      <c r="I472" s="1275">
        <v>0</v>
      </c>
      <c r="J472" s="1275">
        <v>0</v>
      </c>
    </row>
    <row r="473" spans="2:10">
      <c r="B473" s="52" t="s">
        <v>260</v>
      </c>
      <c r="C473" s="1275">
        <v>0</v>
      </c>
      <c r="D473" s="1275">
        <v>0</v>
      </c>
      <c r="E473" s="1275">
        <v>0</v>
      </c>
      <c r="F473" s="1275">
        <v>0</v>
      </c>
      <c r="G473" s="1275">
        <v>0</v>
      </c>
      <c r="H473" s="1275">
        <v>0</v>
      </c>
      <c r="I473" s="1275">
        <v>0</v>
      </c>
      <c r="J473" s="1275">
        <v>0</v>
      </c>
    </row>
    <row r="474" spans="2:10">
      <c r="B474" s="52" t="s">
        <v>117</v>
      </c>
      <c r="C474" s="1275">
        <v>0</v>
      </c>
      <c r="D474" s="1275">
        <v>0</v>
      </c>
      <c r="E474" s="1275">
        <v>0</v>
      </c>
      <c r="F474" s="1275">
        <v>0</v>
      </c>
      <c r="G474" s="1275">
        <v>0</v>
      </c>
      <c r="H474" s="1275">
        <v>0</v>
      </c>
      <c r="I474" s="1275">
        <v>0</v>
      </c>
      <c r="J474" s="1275">
        <v>0</v>
      </c>
    </row>
    <row r="475" spans="2:10">
      <c r="B475" s="52"/>
      <c r="C475" s="1274"/>
      <c r="D475" s="1274"/>
      <c r="E475" s="1274"/>
      <c r="F475" s="1274"/>
      <c r="G475" s="1274"/>
      <c r="H475" s="1274"/>
      <c r="I475" s="1274"/>
      <c r="J475" s="1274"/>
    </row>
    <row r="476" spans="2:10">
      <c r="B476" s="59" t="s">
        <v>1591</v>
      </c>
      <c r="C476" s="1275">
        <v>0</v>
      </c>
      <c r="D476" s="1275">
        <v>0</v>
      </c>
      <c r="E476" s="1275">
        <v>0</v>
      </c>
      <c r="F476" s="1275">
        <v>0</v>
      </c>
      <c r="G476" s="1275">
        <v>0</v>
      </c>
      <c r="H476" s="1275">
        <v>0</v>
      </c>
      <c r="I476" s="1275">
        <v>0</v>
      </c>
      <c r="J476" s="1275">
        <v>0</v>
      </c>
    </row>
    <row r="477" spans="2:10">
      <c r="B477" s="71" t="s">
        <v>265</v>
      </c>
      <c r="C477" s="449"/>
      <c r="D477" s="449"/>
      <c r="E477" s="449"/>
      <c r="F477" s="449"/>
      <c r="G477" s="449"/>
      <c r="H477" s="449"/>
      <c r="I477" s="449"/>
      <c r="J477" s="449"/>
    </row>
    <row r="478" spans="2:10">
      <c r="B478" s="52" t="s">
        <v>262</v>
      </c>
      <c r="C478" s="449"/>
      <c r="D478" s="449"/>
      <c r="E478" s="449"/>
      <c r="F478" s="449"/>
      <c r="G478" s="449"/>
      <c r="H478" s="449"/>
      <c r="I478" s="449"/>
      <c r="J478" s="449"/>
    </row>
    <row r="479" spans="2:10">
      <c r="B479" s="52" t="s">
        <v>261</v>
      </c>
      <c r="C479" s="449"/>
      <c r="D479" s="449"/>
      <c r="E479" s="449"/>
      <c r="F479" s="449"/>
      <c r="G479" s="449"/>
      <c r="H479" s="449"/>
      <c r="I479" s="449"/>
      <c r="J479" s="449"/>
    </row>
    <row r="480" spans="2:10">
      <c r="B480" s="52" t="s">
        <v>260</v>
      </c>
      <c r="C480" s="449"/>
      <c r="D480" s="449"/>
      <c r="E480" s="449"/>
      <c r="F480" s="449"/>
      <c r="G480" s="449"/>
      <c r="H480" s="449"/>
      <c r="I480" s="449"/>
      <c r="J480" s="449"/>
    </row>
    <row r="481" spans="2:10">
      <c r="B481" s="52" t="s">
        <v>117</v>
      </c>
      <c r="C481" s="449"/>
      <c r="D481" s="449"/>
      <c r="E481" s="449"/>
      <c r="F481" s="449"/>
      <c r="G481" s="449"/>
      <c r="H481" s="449"/>
      <c r="I481" s="449"/>
      <c r="J481" s="449"/>
    </row>
    <row r="482" spans="2:10">
      <c r="B482" s="52"/>
      <c r="C482" s="449"/>
      <c r="D482" s="449"/>
      <c r="E482" s="449"/>
      <c r="F482" s="449"/>
      <c r="G482" s="449"/>
      <c r="H482" s="449"/>
      <c r="I482" s="449"/>
      <c r="J482" s="449"/>
    </row>
    <row r="483" spans="2:10">
      <c r="B483" s="71" t="s">
        <v>264</v>
      </c>
      <c r="C483" s="449"/>
      <c r="D483" s="449"/>
      <c r="E483" s="449"/>
      <c r="F483" s="449"/>
      <c r="G483" s="449"/>
      <c r="H483" s="449"/>
      <c r="I483" s="449"/>
      <c r="J483" s="449"/>
    </row>
    <row r="484" spans="2:10">
      <c r="B484" s="52" t="s">
        <v>262</v>
      </c>
      <c r="C484" s="449"/>
      <c r="D484" s="449"/>
      <c r="E484" s="449"/>
      <c r="F484" s="449"/>
      <c r="G484" s="449"/>
      <c r="H484" s="449"/>
      <c r="I484" s="449"/>
      <c r="J484" s="449"/>
    </row>
    <row r="485" spans="2:10">
      <c r="B485" s="52" t="s">
        <v>261</v>
      </c>
      <c r="C485" s="449"/>
      <c r="D485" s="449"/>
      <c r="E485" s="449"/>
      <c r="F485" s="449"/>
      <c r="G485" s="449"/>
      <c r="H485" s="449"/>
      <c r="I485" s="449"/>
      <c r="J485" s="449"/>
    </row>
    <row r="486" spans="2:10">
      <c r="B486" s="52" t="s">
        <v>260</v>
      </c>
      <c r="C486" s="449"/>
      <c r="D486" s="449"/>
      <c r="E486" s="449"/>
      <c r="F486" s="449"/>
      <c r="G486" s="449"/>
      <c r="H486" s="449"/>
      <c r="I486" s="449"/>
      <c r="J486" s="449"/>
    </row>
    <row r="487" spans="2:10">
      <c r="B487" s="52" t="s">
        <v>117</v>
      </c>
      <c r="C487" s="449"/>
      <c r="D487" s="449"/>
      <c r="E487" s="449"/>
      <c r="F487" s="449"/>
      <c r="G487" s="449"/>
      <c r="H487" s="449"/>
      <c r="I487" s="449"/>
      <c r="J487" s="449"/>
    </row>
    <row r="488" spans="2:10">
      <c r="B488" s="52"/>
      <c r="C488" s="449"/>
      <c r="D488" s="449"/>
      <c r="E488" s="449"/>
      <c r="F488" s="449"/>
      <c r="G488" s="449"/>
      <c r="H488" s="449"/>
      <c r="I488" s="449"/>
      <c r="J488" s="449"/>
    </row>
    <row r="489" spans="2:10">
      <c r="B489" s="71" t="s">
        <v>263</v>
      </c>
      <c r="C489" s="449"/>
      <c r="D489" s="449"/>
      <c r="E489" s="449"/>
      <c r="F489" s="449"/>
      <c r="G489" s="449"/>
      <c r="H489" s="449"/>
      <c r="I489" s="449"/>
      <c r="J489" s="449"/>
    </row>
    <row r="490" spans="2:10">
      <c r="B490" s="52" t="s">
        <v>262</v>
      </c>
      <c r="C490" s="449"/>
      <c r="D490" s="449"/>
      <c r="E490" s="449"/>
      <c r="F490" s="449"/>
      <c r="G490" s="449"/>
      <c r="H490" s="449"/>
      <c r="I490" s="449"/>
      <c r="J490" s="449"/>
    </row>
    <row r="491" spans="2:10">
      <c r="B491" s="52" t="s">
        <v>261</v>
      </c>
      <c r="C491" s="449"/>
      <c r="D491" s="449"/>
      <c r="E491" s="449"/>
      <c r="F491" s="449"/>
      <c r="G491" s="449"/>
      <c r="H491" s="449"/>
      <c r="I491" s="449"/>
      <c r="J491" s="449"/>
    </row>
    <row r="492" spans="2:10">
      <c r="B492" s="52" t="s">
        <v>260</v>
      </c>
      <c r="C492" s="449"/>
      <c r="D492" s="449"/>
      <c r="E492" s="449"/>
      <c r="F492" s="449"/>
      <c r="G492" s="449"/>
      <c r="H492" s="449"/>
      <c r="I492" s="449"/>
      <c r="J492" s="449"/>
    </row>
    <row r="493" spans="2:10" ht="15" thickBot="1">
      <c r="B493" s="52" t="s">
        <v>117</v>
      </c>
      <c r="C493" s="1011"/>
      <c r="D493" s="1011"/>
      <c r="E493" s="1011"/>
      <c r="F493" s="1011"/>
      <c r="G493" s="1011"/>
      <c r="H493" s="1011"/>
      <c r="I493" s="1011"/>
      <c r="J493" s="1011"/>
    </row>
    <row r="494" spans="2:10" ht="15" thickTop="1">
      <c r="B494" s="2025" t="s">
        <v>1769</v>
      </c>
      <c r="C494" s="2025"/>
      <c r="D494" s="2025"/>
      <c r="E494" s="2025"/>
      <c r="F494" s="2025"/>
      <c r="G494" s="2025"/>
      <c r="H494" s="2025"/>
      <c r="I494" s="2025"/>
      <c r="J494" s="2025"/>
    </row>
    <row r="495" spans="2:10">
      <c r="B495" s="2017"/>
      <c r="C495" s="2017"/>
      <c r="D495" s="2017"/>
      <c r="E495" s="2017"/>
      <c r="F495" s="2017"/>
      <c r="G495" s="2017"/>
      <c r="H495" s="2017"/>
      <c r="I495" s="2017"/>
      <c r="J495" s="2017"/>
    </row>
    <row r="496" spans="2:10">
      <c r="B496" s="62"/>
      <c r="C496" s="449"/>
      <c r="D496" s="449"/>
      <c r="E496" s="449"/>
      <c r="F496" s="449"/>
      <c r="G496" s="449"/>
      <c r="H496" s="449"/>
      <c r="I496" s="449"/>
      <c r="J496" s="449"/>
    </row>
    <row r="497" spans="2:10">
      <c r="B497" s="2126" t="s">
        <v>258</v>
      </c>
      <c r="C497" s="2126"/>
      <c r="D497" s="2126"/>
      <c r="E497" s="2126"/>
      <c r="F497" s="2126"/>
      <c r="G497" s="2126"/>
      <c r="H497" s="2126"/>
      <c r="I497" s="2126"/>
      <c r="J497" s="2126"/>
    </row>
    <row r="498" spans="2:10">
      <c r="B498" s="892" t="s">
        <v>257</v>
      </c>
      <c r="C498" s="1274"/>
      <c r="D498" s="1274"/>
      <c r="E498" s="1274"/>
      <c r="F498" s="1274"/>
      <c r="G498" s="1274"/>
      <c r="H498" s="1274"/>
      <c r="I498" s="1274"/>
      <c r="J498" s="1274"/>
    </row>
    <row r="499" spans="2:10">
      <c r="B499" s="77" t="s">
        <v>256</v>
      </c>
      <c r="C499" s="1274"/>
      <c r="D499" s="1274"/>
      <c r="E499" s="1274"/>
      <c r="F499" s="1274"/>
      <c r="G499" s="1274"/>
      <c r="H499" s="1274"/>
      <c r="I499" s="1274"/>
      <c r="J499" s="1274"/>
    </row>
    <row r="500" spans="2:10">
      <c r="B500" s="62"/>
      <c r="C500" s="1274"/>
      <c r="D500" s="1274"/>
      <c r="E500" s="1274"/>
      <c r="F500" s="1274"/>
      <c r="G500" s="1274"/>
      <c r="H500" s="1274"/>
      <c r="I500" s="1274"/>
      <c r="J500" s="1274"/>
    </row>
    <row r="501" spans="2:10">
      <c r="B501" s="61"/>
      <c r="C501" s="1277">
        <v>2014</v>
      </c>
      <c r="D501" s="1277">
        <v>2015</v>
      </c>
      <c r="E501" s="1277">
        <v>2016</v>
      </c>
      <c r="F501" s="1277">
        <v>2017</v>
      </c>
      <c r="G501" s="1277">
        <v>2018</v>
      </c>
      <c r="H501" s="1277">
        <v>2019</v>
      </c>
      <c r="I501" s="1277">
        <v>2020</v>
      </c>
      <c r="J501" s="1277">
        <v>2021</v>
      </c>
    </row>
    <row r="502" spans="2:10" ht="26">
      <c r="B502" s="59" t="s">
        <v>1768</v>
      </c>
      <c r="C502" s="1274"/>
      <c r="D502" s="1274"/>
      <c r="E502" s="1274"/>
      <c r="F502" s="1274"/>
      <c r="G502" s="1274"/>
      <c r="H502" s="1274"/>
      <c r="I502" s="1274"/>
      <c r="J502" s="1274"/>
    </row>
    <row r="503" spans="2:10">
      <c r="B503" s="71" t="s">
        <v>247</v>
      </c>
      <c r="C503" s="1278">
        <v>8.2000000000000003E-2</v>
      </c>
      <c r="D503" s="1278">
        <v>7.3999999999999996E-2</v>
      </c>
      <c r="E503" s="1279">
        <v>0.28599999999999998</v>
      </c>
      <c r="F503" s="1279">
        <v>0.27700000000000002</v>
      </c>
      <c r="G503" s="1279">
        <v>0.27400000000000002</v>
      </c>
      <c r="H503" s="1279">
        <v>0.28100000000000003</v>
      </c>
      <c r="I503" s="1279">
        <v>0.14199999999999999</v>
      </c>
      <c r="J503" s="1278">
        <v>0.27600000000000002</v>
      </c>
    </row>
    <row r="504" spans="2:10">
      <c r="B504" s="52" t="s">
        <v>121</v>
      </c>
      <c r="C504" s="1280">
        <v>8.2000000000000003E-2</v>
      </c>
      <c r="D504" s="1280">
        <v>7.3999999999999996E-2</v>
      </c>
      <c r="E504" s="1281">
        <v>0.28599999999999998</v>
      </c>
      <c r="F504" s="1281">
        <v>0.27700000000000002</v>
      </c>
      <c r="G504" s="1281">
        <v>0.27400000000000002</v>
      </c>
      <c r="H504" s="1281">
        <v>0.28100000000000003</v>
      </c>
      <c r="I504" s="1281">
        <v>0.14199999999999999</v>
      </c>
      <c r="J504" s="1280">
        <v>0.27600000000000002</v>
      </c>
    </row>
    <row r="505" spans="2:10">
      <c r="B505" s="53" t="s">
        <v>120</v>
      </c>
      <c r="C505" s="1280">
        <v>0.02</v>
      </c>
      <c r="D505" s="1281">
        <v>6.5000000000000002E-2</v>
      </c>
      <c r="E505" s="1281">
        <v>0.26</v>
      </c>
      <c r="F505" s="1281">
        <v>0.25900000000000001</v>
      </c>
      <c r="G505" s="1281">
        <v>0.26100000000000001</v>
      </c>
      <c r="H505" s="1281">
        <v>0.26</v>
      </c>
      <c r="I505" s="1281">
        <v>0.11899999999999999</v>
      </c>
      <c r="J505" s="1280">
        <v>0.26</v>
      </c>
    </row>
    <row r="506" spans="2:10">
      <c r="B506" s="53" t="s">
        <v>119</v>
      </c>
      <c r="C506" s="1267">
        <v>6.2E-2</v>
      </c>
      <c r="D506" s="1282">
        <v>8.9999999999999993E-3</v>
      </c>
      <c r="E506" s="1282">
        <v>2.5999999999999999E-2</v>
      </c>
      <c r="F506" s="1282">
        <v>1.7999999999999999E-2</v>
      </c>
      <c r="G506" s="1282">
        <v>1.2999999999999999E-2</v>
      </c>
      <c r="H506" s="1282">
        <v>2.1000000000000001E-2</v>
      </c>
      <c r="I506" s="1282">
        <v>2.3E-2</v>
      </c>
      <c r="J506" s="1267">
        <v>1.6E-2</v>
      </c>
    </row>
    <row r="507" spans="2:10">
      <c r="B507" s="52" t="s">
        <v>118</v>
      </c>
      <c r="C507" s="1283">
        <v>0</v>
      </c>
      <c r="D507" s="1283">
        <v>0</v>
      </c>
      <c r="E507" s="1283">
        <v>0</v>
      </c>
      <c r="F507" s="1283">
        <v>0</v>
      </c>
      <c r="G507" s="1283">
        <v>0</v>
      </c>
      <c r="H507" s="1283">
        <v>0</v>
      </c>
      <c r="I507" s="1283">
        <v>0</v>
      </c>
      <c r="J507" s="1283">
        <v>0</v>
      </c>
    </row>
    <row r="508" spans="2:10" ht="15" thickBot="1">
      <c r="B508" s="52" t="s">
        <v>117</v>
      </c>
      <c r="C508" s="1275">
        <v>0</v>
      </c>
      <c r="D508" s="1275">
        <v>0</v>
      </c>
      <c r="E508" s="1275">
        <v>0</v>
      </c>
      <c r="F508" s="1275">
        <v>0</v>
      </c>
      <c r="G508" s="1275">
        <v>0</v>
      </c>
      <c r="H508" s="1275">
        <v>0</v>
      </c>
      <c r="I508" s="1275">
        <v>0</v>
      </c>
      <c r="J508" s="1275">
        <v>0</v>
      </c>
    </row>
    <row r="509" spans="2:10" ht="15" thickTop="1">
      <c r="B509" s="2025" t="s">
        <v>1769</v>
      </c>
      <c r="C509" s="2025"/>
      <c r="D509" s="2025"/>
      <c r="E509" s="2025"/>
      <c r="F509" s="2025"/>
      <c r="G509" s="2025"/>
      <c r="H509" s="2025"/>
      <c r="I509" s="2025"/>
      <c r="J509" s="2025"/>
    </row>
    <row r="510" spans="2:10">
      <c r="B510" s="2017"/>
      <c r="C510" s="2017"/>
      <c r="D510" s="2017"/>
      <c r="E510" s="2017"/>
      <c r="F510" s="2017"/>
      <c r="G510" s="2017"/>
      <c r="H510" s="2017"/>
      <c r="I510" s="2017"/>
      <c r="J510" s="2017"/>
    </row>
    <row r="511" spans="2:10">
      <c r="B511" s="64"/>
      <c r="C511" s="449"/>
      <c r="D511" s="449"/>
      <c r="E511" s="449"/>
      <c r="F511" s="449"/>
      <c r="G511" s="449"/>
      <c r="H511" s="449"/>
      <c r="I511" s="449"/>
      <c r="J511" s="449"/>
    </row>
    <row r="512" spans="2:10">
      <c r="B512" s="2126" t="s">
        <v>244</v>
      </c>
      <c r="C512" s="2126"/>
      <c r="D512" s="2126"/>
      <c r="E512" s="2126"/>
      <c r="F512" s="2126"/>
      <c r="G512" s="2126"/>
      <c r="H512" s="2126"/>
      <c r="I512" s="2126"/>
      <c r="J512" s="2126"/>
    </row>
    <row r="513" spans="2:10">
      <c r="B513" s="892" t="s">
        <v>243</v>
      </c>
      <c r="C513" s="1274"/>
      <c r="D513" s="1274"/>
      <c r="E513" s="1274"/>
      <c r="F513" s="1274"/>
      <c r="G513" s="1274"/>
      <c r="H513" s="1274"/>
      <c r="I513" s="1274"/>
      <c r="J513" s="1274"/>
    </row>
    <row r="514" spans="2:10">
      <c r="B514" s="62" t="s">
        <v>242</v>
      </c>
      <c r="C514" s="1274"/>
      <c r="D514" s="1274"/>
      <c r="E514" s="1274"/>
      <c r="F514" s="1274"/>
      <c r="G514" s="1274"/>
      <c r="H514" s="1274"/>
      <c r="I514" s="1274"/>
      <c r="J514" s="1274"/>
    </row>
    <row r="515" spans="2:10">
      <c r="B515" s="64"/>
      <c r="C515" s="1274"/>
      <c r="D515" s="1274"/>
      <c r="E515" s="1274"/>
      <c r="F515" s="1274"/>
      <c r="G515" s="1274"/>
      <c r="H515" s="1274"/>
      <c r="I515" s="1274"/>
      <c r="J515" s="1274"/>
    </row>
    <row r="516" spans="2:10">
      <c r="B516" s="61"/>
      <c r="C516" s="1277">
        <v>2014</v>
      </c>
      <c r="D516" s="1277">
        <v>2015</v>
      </c>
      <c r="E516" s="1277">
        <v>2016</v>
      </c>
      <c r="F516" s="1277">
        <v>2017</v>
      </c>
      <c r="G516" s="1277">
        <v>2018</v>
      </c>
      <c r="H516" s="1277">
        <v>2019</v>
      </c>
      <c r="I516" s="1277">
        <v>2020</v>
      </c>
      <c r="J516" s="1277">
        <v>2021</v>
      </c>
    </row>
    <row r="517" spans="2:10">
      <c r="B517" s="114" t="s">
        <v>486</v>
      </c>
      <c r="C517" s="1283">
        <v>0</v>
      </c>
      <c r="D517" s="1283">
        <v>0</v>
      </c>
      <c r="E517" s="1283">
        <v>0</v>
      </c>
      <c r="F517" s="1283">
        <v>0</v>
      </c>
      <c r="G517" s="1283">
        <v>0</v>
      </c>
      <c r="H517" s="1283">
        <v>0</v>
      </c>
      <c r="I517" s="1283">
        <v>0</v>
      </c>
      <c r="J517" s="1283">
        <v>0</v>
      </c>
    </row>
    <row r="518" spans="2:10">
      <c r="B518" s="71" t="s">
        <v>239</v>
      </c>
      <c r="C518" s="1283"/>
      <c r="D518" s="1283"/>
      <c r="E518" s="1283"/>
      <c r="F518" s="1283"/>
      <c r="G518" s="1283"/>
      <c r="H518" s="1283"/>
      <c r="I518" s="1283"/>
      <c r="J518" s="1274"/>
    </row>
    <row r="519" spans="2:10">
      <c r="B519" s="71"/>
      <c r="C519" s="1274"/>
      <c r="D519" s="1274"/>
      <c r="E519" s="1274"/>
      <c r="F519" s="1274"/>
      <c r="G519" s="1274"/>
      <c r="H519" s="1274"/>
      <c r="I519" s="1274"/>
      <c r="J519" s="1274"/>
    </row>
    <row r="520" spans="2:10">
      <c r="B520" s="59" t="s">
        <v>1591</v>
      </c>
      <c r="C520" s="1283">
        <v>0</v>
      </c>
      <c r="D520" s="1283">
        <v>0</v>
      </c>
      <c r="E520" s="1283">
        <v>0</v>
      </c>
      <c r="F520" s="1283">
        <v>0</v>
      </c>
      <c r="G520" s="1283">
        <v>0</v>
      </c>
      <c r="H520" s="1283">
        <v>0</v>
      </c>
      <c r="I520" s="1283">
        <v>0</v>
      </c>
      <c r="J520" s="1283">
        <v>0</v>
      </c>
    </row>
    <row r="521" spans="2:10" ht="15" thickBot="1">
      <c r="B521" s="278" t="s">
        <v>239</v>
      </c>
      <c r="C521" s="1284"/>
      <c r="D521" s="1284"/>
      <c r="E521" s="1284"/>
      <c r="F521" s="1284"/>
      <c r="G521" s="1284"/>
      <c r="H521" s="1284"/>
      <c r="I521" s="1284"/>
      <c r="J521" s="1284"/>
    </row>
    <row r="522" spans="2:10" ht="15" thickTop="1">
      <c r="B522" s="2025"/>
      <c r="C522" s="2025"/>
      <c r="D522" s="2025"/>
      <c r="E522" s="2025"/>
      <c r="F522" s="2025"/>
      <c r="G522" s="2025"/>
      <c r="H522" s="2025"/>
      <c r="I522" s="2025"/>
      <c r="J522" s="2025"/>
    </row>
    <row r="523" spans="2:10">
      <c r="B523" s="2017"/>
      <c r="C523" s="2017"/>
      <c r="D523" s="2017"/>
      <c r="E523" s="2017"/>
      <c r="F523" s="2017"/>
      <c r="G523" s="2017"/>
      <c r="H523" s="2017"/>
      <c r="I523" s="2017"/>
      <c r="J523" s="2017"/>
    </row>
    <row r="524" spans="2:10">
      <c r="B524" s="64"/>
      <c r="C524" s="449"/>
      <c r="D524" s="449"/>
      <c r="E524" s="449"/>
      <c r="F524" s="449"/>
      <c r="G524" s="449"/>
      <c r="H524" s="449"/>
      <c r="I524" s="449"/>
      <c r="J524" s="449"/>
    </row>
    <row r="525" spans="2:10">
      <c r="B525" s="2126" t="s">
        <v>238</v>
      </c>
      <c r="C525" s="2126"/>
      <c r="D525" s="2126"/>
      <c r="E525" s="2126"/>
      <c r="F525" s="2126"/>
      <c r="G525" s="2126"/>
      <c r="H525" s="2126"/>
      <c r="I525" s="2126"/>
      <c r="J525" s="2126"/>
    </row>
    <row r="526" spans="2:10">
      <c r="B526" s="892" t="s">
        <v>237</v>
      </c>
      <c r="C526" s="1274"/>
      <c r="D526" s="1274"/>
      <c r="E526" s="1274"/>
      <c r="F526" s="1274"/>
      <c r="G526" s="1274"/>
      <c r="H526" s="1274"/>
      <c r="I526" s="1274"/>
      <c r="J526" s="1274"/>
    </row>
    <row r="527" spans="2:10">
      <c r="B527" s="62" t="s">
        <v>236</v>
      </c>
      <c r="C527" s="1274"/>
      <c r="D527" s="1274"/>
      <c r="E527" s="1274"/>
      <c r="F527" s="1274"/>
      <c r="G527" s="1274"/>
      <c r="H527" s="1274"/>
      <c r="I527" s="1274"/>
      <c r="J527" s="1274"/>
    </row>
    <row r="528" spans="2:10">
      <c r="B528" s="64"/>
      <c r="C528" s="1274"/>
      <c r="D528" s="1274"/>
      <c r="E528" s="1274"/>
      <c r="F528" s="1274"/>
      <c r="G528" s="1274"/>
      <c r="H528" s="1274"/>
      <c r="I528" s="1274"/>
      <c r="J528" s="1274"/>
    </row>
    <row r="529" spans="2:10">
      <c r="B529" s="61"/>
      <c r="C529" s="1277">
        <v>2014</v>
      </c>
      <c r="D529" s="1277">
        <v>2015</v>
      </c>
      <c r="E529" s="1277">
        <v>2016</v>
      </c>
      <c r="F529" s="1277">
        <v>2017</v>
      </c>
      <c r="G529" s="1277">
        <v>2018</v>
      </c>
      <c r="H529" s="1277">
        <v>2019</v>
      </c>
      <c r="I529" s="1277">
        <v>2020</v>
      </c>
      <c r="J529" s="1277">
        <v>2021</v>
      </c>
    </row>
    <row r="530" spans="2:10">
      <c r="B530" s="76" t="s">
        <v>1770</v>
      </c>
      <c r="C530" s="1274"/>
      <c r="D530" s="1274"/>
      <c r="E530" s="1274"/>
      <c r="F530" s="1274"/>
      <c r="G530" s="1274"/>
      <c r="H530" s="1274"/>
      <c r="I530" s="1274"/>
      <c r="J530" s="1274"/>
    </row>
    <row r="531" spans="2:10">
      <c r="B531" s="71" t="s">
        <v>231</v>
      </c>
      <c r="C531" s="1285">
        <v>0.308</v>
      </c>
      <c r="D531" s="1278">
        <v>0.378</v>
      </c>
      <c r="E531" s="1278">
        <v>0.47499999999999998</v>
      </c>
      <c r="F531" s="1278">
        <v>0.46399999999999997</v>
      </c>
      <c r="G531" s="1278">
        <v>0.39499999999999996</v>
      </c>
      <c r="H531" s="1278">
        <v>0.505</v>
      </c>
      <c r="I531" s="1278">
        <v>0.745</v>
      </c>
      <c r="J531" s="1278">
        <v>0.42499999999999999</v>
      </c>
    </row>
    <row r="532" spans="2:10">
      <c r="B532" s="52" t="s">
        <v>121</v>
      </c>
      <c r="C532" s="1285">
        <v>0.308</v>
      </c>
      <c r="D532" s="1280">
        <v>0.378</v>
      </c>
      <c r="E532" s="1280">
        <v>0.47499999999999998</v>
      </c>
      <c r="F532" s="1280">
        <v>0.46399999999999997</v>
      </c>
      <c r="G532" s="1280">
        <v>0.39499999999999996</v>
      </c>
      <c r="H532" s="1280">
        <v>0.505</v>
      </c>
      <c r="I532" s="1280">
        <v>0.745</v>
      </c>
      <c r="J532" s="1280">
        <v>0.41799999999999998</v>
      </c>
    </row>
    <row r="533" spans="2:10">
      <c r="B533" s="53" t="s">
        <v>120</v>
      </c>
      <c r="C533" s="1285">
        <v>0.23100000000000001</v>
      </c>
      <c r="D533" s="1280">
        <v>0.29799999999999999</v>
      </c>
      <c r="E533" s="1280">
        <v>0.34699999999999998</v>
      </c>
      <c r="F533" s="1280">
        <v>0.34499999999999997</v>
      </c>
      <c r="G533" s="1280">
        <v>0.34899999999999998</v>
      </c>
      <c r="H533" s="1280">
        <v>0.161</v>
      </c>
      <c r="I533" s="1280">
        <v>0.14299999999999999</v>
      </c>
      <c r="J533" s="1280">
        <v>0.29299999999999998</v>
      </c>
    </row>
    <row r="534" spans="2:10">
      <c r="B534" s="53" t="s">
        <v>119</v>
      </c>
      <c r="C534" s="1267">
        <v>7.6999999999999999E-2</v>
      </c>
      <c r="D534" s="1280">
        <v>0.08</v>
      </c>
      <c r="E534" s="1280">
        <v>0.128</v>
      </c>
      <c r="F534" s="1280">
        <v>0.11899999999999999</v>
      </c>
      <c r="G534" s="1280">
        <v>4.5999999999999999E-2</v>
      </c>
      <c r="H534" s="1280">
        <v>0.34399999999999997</v>
      </c>
      <c r="I534" s="1280">
        <v>0.60199999999999998</v>
      </c>
      <c r="J534" s="1280">
        <v>0.125</v>
      </c>
    </row>
    <row r="535" spans="2:10">
      <c r="B535" s="52" t="s">
        <v>118</v>
      </c>
      <c r="C535" s="1283">
        <v>0</v>
      </c>
      <c r="D535" s="1283">
        <v>0</v>
      </c>
      <c r="E535" s="1283">
        <v>0</v>
      </c>
      <c r="F535" s="1283">
        <v>0</v>
      </c>
      <c r="G535" s="1283">
        <v>0</v>
      </c>
      <c r="H535" s="1283">
        <v>0</v>
      </c>
      <c r="I535" s="1283">
        <v>0</v>
      </c>
      <c r="J535" s="1283">
        <v>0</v>
      </c>
    </row>
    <row r="536" spans="2:10">
      <c r="B536" s="52" t="s">
        <v>117</v>
      </c>
      <c r="C536" s="1283">
        <v>0</v>
      </c>
      <c r="D536" s="1283">
        <v>0</v>
      </c>
      <c r="E536" s="1283">
        <v>0</v>
      </c>
      <c r="F536" s="1283">
        <v>0</v>
      </c>
      <c r="G536" s="1283">
        <v>0</v>
      </c>
      <c r="H536" s="1283">
        <v>0</v>
      </c>
      <c r="I536" s="1283">
        <v>0</v>
      </c>
      <c r="J536" s="1280">
        <v>7.0000000000000001E-3</v>
      </c>
    </row>
    <row r="537" spans="2:10">
      <c r="B537" s="52"/>
      <c r="C537" s="1286"/>
      <c r="D537" s="1286"/>
      <c r="E537" s="1286"/>
      <c r="F537" s="1286"/>
      <c r="G537" s="1286"/>
      <c r="H537" s="1286"/>
      <c r="I537" s="1286"/>
      <c r="J537" s="1286"/>
    </row>
    <row r="538" spans="2:10">
      <c r="B538" s="71" t="s">
        <v>230</v>
      </c>
      <c r="C538" s="1283">
        <v>0</v>
      </c>
      <c r="D538" s="1283">
        <v>0</v>
      </c>
      <c r="E538" s="1283">
        <v>0</v>
      </c>
      <c r="F538" s="1283">
        <v>0</v>
      </c>
      <c r="G538" s="1283">
        <v>0</v>
      </c>
      <c r="H538" s="1283">
        <v>0</v>
      </c>
      <c r="I538" s="1283">
        <v>0</v>
      </c>
      <c r="J538" s="1283">
        <v>0</v>
      </c>
    </row>
    <row r="539" spans="2:10">
      <c r="B539" s="52" t="s">
        <v>169</v>
      </c>
      <c r="C539" s="1283"/>
      <c r="D539" s="1283"/>
      <c r="E539" s="1283"/>
      <c r="F539" s="1283"/>
      <c r="G539" s="1283"/>
      <c r="H539" s="1283"/>
      <c r="I539" s="1283"/>
      <c r="J539" s="1283"/>
    </row>
    <row r="540" spans="2:10">
      <c r="B540" s="52" t="s">
        <v>168</v>
      </c>
      <c r="C540" s="1283"/>
      <c r="D540" s="1283"/>
      <c r="E540" s="1283"/>
      <c r="F540" s="1283"/>
      <c r="G540" s="1283"/>
      <c r="H540" s="1283"/>
      <c r="I540" s="1283"/>
      <c r="J540" s="1283"/>
    </row>
    <row r="541" spans="2:10">
      <c r="B541" s="52" t="s">
        <v>167</v>
      </c>
      <c r="C541" s="1283"/>
      <c r="D541" s="1283"/>
      <c r="E541" s="1283"/>
      <c r="F541" s="1283"/>
      <c r="G541" s="1283"/>
      <c r="H541" s="1283"/>
      <c r="I541" s="1283"/>
      <c r="J541" s="1283"/>
    </row>
    <row r="542" spans="2:10">
      <c r="B542" s="52" t="s">
        <v>166</v>
      </c>
      <c r="C542" s="1283"/>
      <c r="D542" s="1283"/>
      <c r="E542" s="1283"/>
      <c r="F542" s="1283"/>
      <c r="G542" s="1283"/>
      <c r="H542" s="1283"/>
      <c r="I542" s="1283"/>
      <c r="J542" s="1283"/>
    </row>
    <row r="543" spans="2:10">
      <c r="B543" s="52" t="s">
        <v>165</v>
      </c>
      <c r="C543" s="1283"/>
      <c r="D543" s="1283"/>
      <c r="E543" s="1283"/>
      <c r="F543" s="1283"/>
      <c r="G543" s="1283"/>
      <c r="H543" s="1283"/>
      <c r="I543" s="1283"/>
      <c r="J543" s="1283"/>
    </row>
    <row r="544" spans="2:10">
      <c r="B544" s="52" t="s">
        <v>164</v>
      </c>
      <c r="C544" s="1283"/>
      <c r="D544" s="1283"/>
      <c r="E544" s="1283"/>
      <c r="F544" s="1283"/>
      <c r="G544" s="1283"/>
      <c r="H544" s="1283"/>
      <c r="I544" s="1283"/>
      <c r="J544" s="1283"/>
    </row>
    <row r="545" spans="2:10">
      <c r="B545" s="71"/>
      <c r="C545" s="1274"/>
      <c r="D545" s="1274"/>
      <c r="E545" s="1274"/>
      <c r="F545" s="1274"/>
      <c r="G545" s="1274"/>
      <c r="H545" s="1274"/>
      <c r="I545" s="1274"/>
      <c r="J545" s="1274"/>
    </row>
    <row r="546" spans="2:10">
      <c r="B546" s="59" t="s">
        <v>1592</v>
      </c>
      <c r="C546" s="1283">
        <v>0</v>
      </c>
      <c r="D546" s="1283">
        <v>0</v>
      </c>
      <c r="E546" s="1283">
        <v>0</v>
      </c>
      <c r="F546" s="1283">
        <v>0</v>
      </c>
      <c r="G546" s="1283">
        <v>0</v>
      </c>
      <c r="H546" s="1283">
        <v>0</v>
      </c>
      <c r="I546" s="1283">
        <v>0</v>
      </c>
      <c r="J546" s="1283">
        <v>0</v>
      </c>
    </row>
    <row r="547" spans="2:10">
      <c r="B547" s="71" t="s">
        <v>231</v>
      </c>
      <c r="C547" s="1274"/>
      <c r="D547" s="1274"/>
      <c r="E547" s="1274"/>
      <c r="F547" s="1274"/>
      <c r="G547" s="1274"/>
      <c r="H547" s="1274"/>
      <c r="I547" s="1274"/>
      <c r="J547" s="1274"/>
    </row>
    <row r="548" spans="2:10">
      <c r="B548" s="52" t="s">
        <v>121</v>
      </c>
      <c r="C548" s="1274"/>
      <c r="D548" s="1274"/>
      <c r="E548" s="1274"/>
      <c r="F548" s="1274"/>
      <c r="G548" s="1274"/>
      <c r="H548" s="1274"/>
      <c r="I548" s="1274"/>
      <c r="J548" s="1274"/>
    </row>
    <row r="549" spans="2:10">
      <c r="B549" s="53" t="s">
        <v>120</v>
      </c>
      <c r="C549" s="1274"/>
      <c r="D549" s="1274"/>
      <c r="E549" s="1274"/>
      <c r="F549" s="1274"/>
      <c r="G549" s="1274"/>
      <c r="H549" s="1274"/>
      <c r="I549" s="1274"/>
      <c r="J549" s="1274"/>
    </row>
    <row r="550" spans="2:10">
      <c r="B550" s="53" t="s">
        <v>119</v>
      </c>
      <c r="C550" s="1274"/>
      <c r="D550" s="1274"/>
      <c r="E550" s="1274"/>
      <c r="F550" s="1274"/>
      <c r="G550" s="1274"/>
      <c r="H550" s="1274"/>
      <c r="I550" s="1274"/>
      <c r="J550" s="1274"/>
    </row>
    <row r="551" spans="2:10">
      <c r="B551" s="52" t="s">
        <v>118</v>
      </c>
      <c r="C551" s="1274"/>
      <c r="D551" s="1274"/>
      <c r="E551" s="1274"/>
      <c r="F551" s="1274"/>
      <c r="G551" s="1274"/>
      <c r="H551" s="1274"/>
      <c r="I551" s="1274"/>
      <c r="J551" s="1274"/>
    </row>
    <row r="552" spans="2:10">
      <c r="B552" s="52" t="s">
        <v>117</v>
      </c>
      <c r="C552" s="1274"/>
      <c r="D552" s="1274"/>
      <c r="E552" s="1274"/>
      <c r="F552" s="1274"/>
      <c r="G552" s="1274"/>
      <c r="H552" s="1274"/>
      <c r="I552" s="1274"/>
      <c r="J552" s="1274"/>
    </row>
    <row r="553" spans="2:10">
      <c r="B553" s="52"/>
      <c r="C553" s="1274"/>
      <c r="D553" s="1274"/>
      <c r="E553" s="1274"/>
      <c r="F553" s="1274"/>
      <c r="G553" s="1274"/>
      <c r="H553" s="1274"/>
      <c r="I553" s="1274"/>
      <c r="J553" s="1274"/>
    </row>
    <row r="554" spans="2:10">
      <c r="B554" s="71" t="s">
        <v>230</v>
      </c>
      <c r="C554" s="1274"/>
      <c r="D554" s="1274"/>
      <c r="E554" s="1274"/>
      <c r="F554" s="1274"/>
      <c r="G554" s="1274"/>
      <c r="H554" s="1274"/>
      <c r="I554" s="1274"/>
      <c r="J554" s="1274"/>
    </row>
    <row r="555" spans="2:10">
      <c r="B555" s="52" t="s">
        <v>169</v>
      </c>
      <c r="C555" s="1274"/>
      <c r="D555" s="1274"/>
      <c r="E555" s="1274"/>
      <c r="F555" s="1274"/>
      <c r="G555" s="1274"/>
      <c r="H555" s="1274"/>
      <c r="I555" s="1274"/>
      <c r="J555" s="1274"/>
    </row>
    <row r="556" spans="2:10">
      <c r="B556" s="52" t="s">
        <v>168</v>
      </c>
      <c r="C556" s="1274"/>
      <c r="D556" s="1274"/>
      <c r="E556" s="1274"/>
      <c r="F556" s="1274"/>
      <c r="G556" s="1274"/>
      <c r="H556" s="1274"/>
      <c r="I556" s="1274"/>
      <c r="J556" s="1274"/>
    </row>
    <row r="557" spans="2:10">
      <c r="B557" s="52" t="s">
        <v>167</v>
      </c>
      <c r="C557" s="1274"/>
      <c r="D557" s="1274"/>
      <c r="E557" s="1274"/>
      <c r="F557" s="1274"/>
      <c r="G557" s="1274"/>
      <c r="H557" s="1274"/>
      <c r="I557" s="1274"/>
      <c r="J557" s="1274"/>
    </row>
    <row r="558" spans="2:10">
      <c r="B558" s="52" t="s">
        <v>166</v>
      </c>
      <c r="C558" s="1274"/>
      <c r="D558" s="1274"/>
      <c r="E558" s="1274"/>
      <c r="F558" s="1274"/>
      <c r="G558" s="1274"/>
      <c r="H558" s="1274"/>
      <c r="I558" s="1274"/>
      <c r="J558" s="1274"/>
    </row>
    <row r="559" spans="2:10">
      <c r="B559" s="52" t="s">
        <v>165</v>
      </c>
      <c r="C559" s="1274"/>
      <c r="D559" s="1274"/>
      <c r="E559" s="1274"/>
      <c r="F559" s="1274"/>
      <c r="G559" s="1274"/>
      <c r="H559" s="1274"/>
      <c r="I559" s="1274"/>
      <c r="J559" s="1274"/>
    </row>
    <row r="560" spans="2:10" ht="15" thickBot="1">
      <c r="B560" s="50" t="s">
        <v>164</v>
      </c>
      <c r="C560" s="1274"/>
      <c r="D560" s="1284"/>
      <c r="E560" s="1284"/>
      <c r="F560" s="1284"/>
      <c r="G560" s="1284"/>
      <c r="H560" s="1284"/>
      <c r="I560" s="1284"/>
      <c r="J560" s="1284"/>
    </row>
    <row r="561" spans="2:10" ht="15" thickTop="1">
      <c r="B561" s="2025" t="s">
        <v>1769</v>
      </c>
      <c r="C561" s="2025"/>
      <c r="D561" s="2025"/>
      <c r="E561" s="2025"/>
      <c r="F561" s="2025"/>
      <c r="G561" s="2025"/>
      <c r="H561" s="2025"/>
      <c r="I561" s="2025"/>
      <c r="J561" s="2025"/>
    </row>
    <row r="562" spans="2:10">
      <c r="B562" s="2017"/>
      <c r="C562" s="2017"/>
      <c r="D562" s="2017"/>
      <c r="E562" s="2017"/>
      <c r="F562" s="2017"/>
      <c r="G562" s="2017"/>
      <c r="H562" s="2017"/>
      <c r="I562" s="2017"/>
      <c r="J562" s="2017"/>
    </row>
    <row r="563" spans="2:10">
      <c r="B563" s="64"/>
      <c r="C563" s="449"/>
      <c r="D563" s="449"/>
      <c r="E563" s="449"/>
      <c r="F563" s="449"/>
      <c r="G563" s="449"/>
      <c r="H563" s="449"/>
      <c r="I563" s="449"/>
      <c r="J563" s="449"/>
    </row>
    <row r="564" spans="2:10">
      <c r="B564" s="2126" t="s">
        <v>228</v>
      </c>
      <c r="C564" s="2126"/>
      <c r="D564" s="2126"/>
      <c r="E564" s="2126"/>
      <c r="F564" s="2126"/>
      <c r="G564" s="2126"/>
      <c r="H564" s="2126"/>
      <c r="I564" s="2126"/>
      <c r="J564" s="2126"/>
    </row>
    <row r="565" spans="2:10">
      <c r="B565" s="892" t="s">
        <v>227</v>
      </c>
      <c r="C565" s="1274"/>
      <c r="D565" s="1274"/>
      <c r="E565" s="1274"/>
      <c r="F565" s="1274"/>
      <c r="G565" s="1274"/>
      <c r="H565" s="1274"/>
      <c r="I565" s="1274"/>
      <c r="J565" s="1274"/>
    </row>
    <row r="566" spans="2:10">
      <c r="B566" s="62" t="s">
        <v>127</v>
      </c>
      <c r="C566" s="1274"/>
      <c r="D566" s="103"/>
      <c r="E566" s="103"/>
      <c r="F566" s="103"/>
      <c r="G566" s="103"/>
      <c r="H566" s="103"/>
      <c r="I566" s="103"/>
      <c r="J566" s="103"/>
    </row>
    <row r="567" spans="2:10">
      <c r="B567" s="62"/>
      <c r="C567" s="1274"/>
      <c r="D567" s="103"/>
      <c r="E567" s="103"/>
      <c r="F567" s="103"/>
      <c r="G567" s="103"/>
      <c r="H567" s="104"/>
      <c r="I567" s="104"/>
      <c r="J567" s="104"/>
    </row>
    <row r="568" spans="2:10">
      <c r="B568" s="61"/>
      <c r="C568" s="1277">
        <v>2014</v>
      </c>
      <c r="D568" s="1277">
        <v>2015</v>
      </c>
      <c r="E568" s="1277">
        <v>2016</v>
      </c>
      <c r="F568" s="1277">
        <v>2017</v>
      </c>
      <c r="G568" s="1277">
        <v>2018</v>
      </c>
      <c r="H568" s="1277">
        <v>2019</v>
      </c>
      <c r="I568" s="1277">
        <v>2020</v>
      </c>
      <c r="J568" s="1277">
        <v>2021</v>
      </c>
    </row>
    <row r="569" spans="2:10" ht="39">
      <c r="B569" s="59" t="s">
        <v>1771</v>
      </c>
      <c r="C569" s="1274"/>
      <c r="D569" s="1274"/>
      <c r="E569" s="1274"/>
      <c r="F569" s="1274"/>
      <c r="G569" s="1274"/>
      <c r="H569" s="1274"/>
      <c r="I569" s="1274"/>
      <c r="J569" s="1274"/>
    </row>
    <row r="570" spans="2:10" ht="25">
      <c r="B570" s="71" t="s">
        <v>1772</v>
      </c>
      <c r="C570" s="104">
        <f>C571</f>
        <v>11457.094803717129</v>
      </c>
      <c r="D570" s="103">
        <f t="shared" ref="D570:J570" si="18">D571</f>
        <v>16568.285809447389</v>
      </c>
      <c r="E570" s="103">
        <f t="shared" si="18"/>
        <v>72727.050280238138</v>
      </c>
      <c r="F570" s="103">
        <f t="shared" si="18"/>
        <v>71023.239361300744</v>
      </c>
      <c r="G570" s="103">
        <f t="shared" si="18"/>
        <v>66074.308311397457</v>
      </c>
      <c r="H570" s="103">
        <f t="shared" si="18"/>
        <v>54523.598458427754</v>
      </c>
      <c r="I570" s="103">
        <f t="shared" si="18"/>
        <v>38822.675250846871</v>
      </c>
      <c r="J570" s="103">
        <f t="shared" si="18"/>
        <v>110241.02857847037</v>
      </c>
    </row>
    <row r="571" spans="2:10">
      <c r="B571" s="52" t="s">
        <v>1773</v>
      </c>
      <c r="C571" s="104">
        <f>SUM(C572:C575)</f>
        <v>11457.094803717129</v>
      </c>
      <c r="D571" s="103">
        <f t="shared" ref="D571:H571" si="19">SUM(D572:D575)</f>
        <v>16568.285809447389</v>
      </c>
      <c r="E571" s="103">
        <f t="shared" si="19"/>
        <v>72727.050280238138</v>
      </c>
      <c r="F571" s="103">
        <f t="shared" si="19"/>
        <v>71023.239361300744</v>
      </c>
      <c r="G571" s="103">
        <f t="shared" si="19"/>
        <v>66074.308311397457</v>
      </c>
      <c r="H571" s="104">
        <f t="shared" si="19"/>
        <v>54523.598458427754</v>
      </c>
      <c r="I571" s="104">
        <f>SUM(I572:I575)</f>
        <v>38822.675250846871</v>
      </c>
      <c r="J571" s="104">
        <f>SUM(J572:J575)</f>
        <v>110241.02857847037</v>
      </c>
    </row>
    <row r="572" spans="2:10">
      <c r="B572" s="53" t="s">
        <v>1774</v>
      </c>
      <c r="C572" s="104">
        <f>218683.184/C12</f>
        <v>10401.453112768366</v>
      </c>
      <c r="D572" s="104">
        <f>336483.551/D12</f>
        <v>15226.329136539354</v>
      </c>
      <c r="E572" s="104">
        <f>1646824.265/E12</f>
        <v>71616.998206552351</v>
      </c>
      <c r="F572" s="104">
        <f>1647913.798/F12</f>
        <v>69674.817366704156</v>
      </c>
      <c r="G572" s="104">
        <f>1557848.216/G12</f>
        <v>64721.419905267197</v>
      </c>
      <c r="H572" s="104">
        <f>1312052.123/H12</f>
        <v>53162.340056249355</v>
      </c>
      <c r="I572" s="104">
        <f>927048/I12</f>
        <v>37450.514212843314</v>
      </c>
      <c r="J572" s="104">
        <f>2612691.5/J12</f>
        <v>108030.46234711305</v>
      </c>
    </row>
    <row r="573" spans="2:10">
      <c r="B573" s="53" t="s">
        <v>1775</v>
      </c>
      <c r="C573" s="819">
        <f>22194.118806/C12</f>
        <v>1055.6416909487637</v>
      </c>
      <c r="D573" s="819">
        <f>29655.6276/D12</f>
        <v>1341.9566729080336</v>
      </c>
      <c r="E573" s="819">
        <f>25525.514/E12</f>
        <v>1110.05207368579</v>
      </c>
      <c r="F573" s="819">
        <f>31892.2/F12</f>
        <v>1348.4219945965901</v>
      </c>
      <c r="G573" s="819">
        <f>32564.1/G12</f>
        <v>1352.8884061302617</v>
      </c>
      <c r="H573" s="819">
        <f>33596/H12</f>
        <v>1361.2584021783969</v>
      </c>
      <c r="I573" s="819">
        <f>33966.4/I12</f>
        <v>1372.1610380035565</v>
      </c>
      <c r="J573" s="819">
        <f>44173.928/J12</f>
        <v>1826.5186936644002</v>
      </c>
    </row>
    <row r="574" spans="2:10">
      <c r="B574" s="52" t="s">
        <v>118</v>
      </c>
      <c r="C574" s="1287">
        <v>0</v>
      </c>
      <c r="D574" s="1287">
        <v>0</v>
      </c>
      <c r="E574" s="1287">
        <v>0</v>
      </c>
      <c r="F574" s="1287">
        <v>0</v>
      </c>
      <c r="G574" s="1287">
        <v>0</v>
      </c>
      <c r="H574" s="1287">
        <v>0</v>
      </c>
      <c r="I574" s="1287">
        <v>0</v>
      </c>
      <c r="J574" s="1287">
        <v>0</v>
      </c>
    </row>
    <row r="575" spans="2:10">
      <c r="B575" s="52" t="s">
        <v>117</v>
      </c>
      <c r="C575" s="1287">
        <v>0</v>
      </c>
      <c r="D575" s="1287">
        <v>0</v>
      </c>
      <c r="E575" s="1287">
        <v>0</v>
      </c>
      <c r="F575" s="1287">
        <v>0</v>
      </c>
      <c r="G575" s="1287">
        <v>0</v>
      </c>
      <c r="H575" s="1287">
        <v>0</v>
      </c>
      <c r="I575" s="1287">
        <v>0</v>
      </c>
      <c r="J575" s="1288">
        <f>9288.1/J12</f>
        <v>384.0475376929196</v>
      </c>
    </row>
    <row r="576" spans="2:10">
      <c r="B576" s="52"/>
      <c r="C576" s="1283"/>
      <c r="D576" s="1283"/>
      <c r="E576" s="1283"/>
      <c r="F576" s="1283"/>
      <c r="G576" s="1283"/>
      <c r="H576" s="1283"/>
      <c r="I576" s="1283"/>
      <c r="J576" s="1283"/>
    </row>
    <row r="577" spans="2:10">
      <c r="B577" s="71" t="s">
        <v>230</v>
      </c>
      <c r="C577" s="1283">
        <v>0</v>
      </c>
      <c r="D577" s="1283">
        <v>0</v>
      </c>
      <c r="E577" s="1283">
        <v>0</v>
      </c>
      <c r="F577" s="1283">
        <v>0</v>
      </c>
      <c r="G577" s="1283">
        <v>0</v>
      </c>
      <c r="H577" s="1283">
        <v>0</v>
      </c>
      <c r="I577" s="1283">
        <v>0</v>
      </c>
      <c r="J577" s="1283">
        <v>0</v>
      </c>
    </row>
    <row r="578" spans="2:10">
      <c r="B578" s="52" t="s">
        <v>169</v>
      </c>
      <c r="C578" s="1274"/>
      <c r="D578" s="1274"/>
      <c r="E578" s="1274"/>
      <c r="F578" s="1274"/>
      <c r="G578" s="1274"/>
      <c r="H578" s="1274"/>
      <c r="I578" s="1274"/>
      <c r="J578" s="1274"/>
    </row>
    <row r="579" spans="2:10">
      <c r="B579" s="52" t="s">
        <v>168</v>
      </c>
      <c r="C579" s="1274"/>
      <c r="D579" s="1274"/>
      <c r="E579" s="1274"/>
      <c r="F579" s="1274"/>
      <c r="G579" s="1274"/>
      <c r="H579" s="1274"/>
      <c r="I579" s="1274"/>
      <c r="J579" s="1274"/>
    </row>
    <row r="580" spans="2:10">
      <c r="B580" s="52" t="s">
        <v>167</v>
      </c>
      <c r="C580" s="1274"/>
      <c r="D580" s="1274"/>
      <c r="E580" s="1274"/>
      <c r="F580" s="1274"/>
      <c r="G580" s="1274"/>
      <c r="H580" s="1274"/>
      <c r="I580" s="1274"/>
      <c r="J580" s="1274"/>
    </row>
    <row r="581" spans="2:10">
      <c r="B581" s="52" t="s">
        <v>166</v>
      </c>
      <c r="C581" s="1274"/>
      <c r="D581" s="1274"/>
      <c r="E581" s="1274"/>
      <c r="F581" s="1274"/>
      <c r="G581" s="1274"/>
      <c r="H581" s="1274"/>
      <c r="I581" s="1274"/>
      <c r="J581" s="1274"/>
    </row>
    <row r="582" spans="2:10">
      <c r="B582" s="52" t="s">
        <v>165</v>
      </c>
      <c r="C582" s="1274"/>
      <c r="D582" s="1274"/>
      <c r="E582" s="1274"/>
      <c r="F582" s="1274"/>
      <c r="G582" s="1274"/>
      <c r="H582" s="1274"/>
      <c r="I582" s="1274"/>
      <c r="J582" s="1274"/>
    </row>
    <row r="583" spans="2:10">
      <c r="B583" s="52" t="s">
        <v>164</v>
      </c>
      <c r="C583" s="1274"/>
      <c r="D583" s="1274"/>
      <c r="E583" s="1274"/>
      <c r="F583" s="1274"/>
      <c r="G583" s="1274"/>
      <c r="H583" s="1274"/>
      <c r="I583" s="1274"/>
      <c r="J583" s="1274"/>
    </row>
    <row r="584" spans="2:10">
      <c r="B584" s="71"/>
      <c r="C584" s="1274"/>
      <c r="D584" s="1274"/>
      <c r="E584" s="1274"/>
      <c r="F584" s="1274"/>
      <c r="G584" s="1274"/>
      <c r="H584" s="1274"/>
      <c r="I584" s="1274"/>
      <c r="J584" s="1274"/>
    </row>
    <row r="585" spans="2:10">
      <c r="B585" s="59" t="s">
        <v>1592</v>
      </c>
      <c r="C585" s="1283">
        <v>0</v>
      </c>
      <c r="D585" s="1283">
        <v>0</v>
      </c>
      <c r="E585" s="1283">
        <v>0</v>
      </c>
      <c r="F585" s="1283">
        <v>0</v>
      </c>
      <c r="G585" s="1283">
        <v>0</v>
      </c>
      <c r="H585" s="1283">
        <v>0</v>
      </c>
      <c r="I585" s="1283">
        <v>0</v>
      </c>
      <c r="J585" s="1283">
        <v>0</v>
      </c>
    </row>
    <row r="586" spans="2:10">
      <c r="B586" s="71" t="s">
        <v>231</v>
      </c>
      <c r="C586" s="1274"/>
      <c r="D586" s="1274"/>
      <c r="E586" s="1274"/>
      <c r="F586" s="1274"/>
      <c r="G586" s="1274"/>
      <c r="H586" s="1274"/>
      <c r="I586" s="1274"/>
      <c r="J586" s="1274"/>
    </row>
    <row r="587" spans="2:10">
      <c r="B587" s="52" t="s">
        <v>121</v>
      </c>
      <c r="C587" s="1274"/>
      <c r="D587" s="1274"/>
      <c r="E587" s="1274"/>
      <c r="F587" s="1274"/>
      <c r="G587" s="1274"/>
      <c r="H587" s="1274"/>
      <c r="I587" s="1274"/>
      <c r="J587" s="1274"/>
    </row>
    <row r="588" spans="2:10">
      <c r="B588" s="53" t="s">
        <v>120</v>
      </c>
      <c r="C588" s="1274"/>
      <c r="D588" s="1274"/>
      <c r="E588" s="1274"/>
      <c r="F588" s="1274"/>
      <c r="G588" s="1274"/>
      <c r="H588" s="1274"/>
      <c r="I588" s="1274"/>
      <c r="J588" s="1274"/>
    </row>
    <row r="589" spans="2:10">
      <c r="B589" s="53" t="s">
        <v>119</v>
      </c>
      <c r="C589" s="1274"/>
      <c r="D589" s="1274"/>
      <c r="E589" s="1274"/>
      <c r="F589" s="1274"/>
      <c r="G589" s="1274"/>
      <c r="H589" s="1274"/>
      <c r="I589" s="1274"/>
      <c r="J589" s="1274"/>
    </row>
    <row r="590" spans="2:10">
      <c r="B590" s="52" t="s">
        <v>118</v>
      </c>
      <c r="C590" s="1274"/>
      <c r="D590" s="1274"/>
      <c r="E590" s="1274"/>
      <c r="F590" s="1274"/>
      <c r="G590" s="1274"/>
      <c r="H590" s="1274"/>
      <c r="I590" s="1274"/>
      <c r="J590" s="1274"/>
    </row>
    <row r="591" spans="2:10">
      <c r="B591" s="52" t="s">
        <v>117</v>
      </c>
      <c r="C591" s="1274"/>
      <c r="D591" s="1274"/>
      <c r="E591" s="1274"/>
      <c r="F591" s="1274"/>
      <c r="G591" s="1274"/>
      <c r="H591" s="1274"/>
      <c r="I591" s="1274"/>
      <c r="J591" s="1274"/>
    </row>
    <row r="592" spans="2:10">
      <c r="B592" s="52"/>
      <c r="C592" s="1274"/>
      <c r="D592" s="1274"/>
      <c r="E592" s="1274"/>
      <c r="F592" s="1274"/>
      <c r="G592" s="1274"/>
      <c r="H592" s="1274"/>
      <c r="I592" s="1274"/>
      <c r="J592" s="1274"/>
    </row>
    <row r="593" spans="2:10">
      <c r="B593" s="71" t="s">
        <v>230</v>
      </c>
      <c r="C593" s="1275">
        <v>0</v>
      </c>
      <c r="D593" s="1275">
        <v>0</v>
      </c>
      <c r="E593" s="1275">
        <v>0</v>
      </c>
      <c r="F593" s="1275">
        <v>0</v>
      </c>
      <c r="G593" s="1275">
        <v>0</v>
      </c>
      <c r="H593" s="1275">
        <v>0</v>
      </c>
      <c r="I593" s="1275">
        <v>0</v>
      </c>
      <c r="J593" s="1275">
        <v>0</v>
      </c>
    </row>
    <row r="594" spans="2:10">
      <c r="B594" s="52" t="s">
        <v>169</v>
      </c>
      <c r="C594" s="1274"/>
      <c r="D594" s="1274"/>
      <c r="E594" s="1274"/>
      <c r="F594" s="1274"/>
      <c r="G594" s="1274"/>
      <c r="H594" s="1274"/>
      <c r="I594" s="1274"/>
      <c r="J594" s="1274"/>
    </row>
    <row r="595" spans="2:10">
      <c r="B595" s="52" t="s">
        <v>168</v>
      </c>
      <c r="C595" s="1274"/>
      <c r="D595" s="1274"/>
      <c r="E595" s="1274"/>
      <c r="F595" s="1274"/>
      <c r="G595" s="1274"/>
      <c r="H595" s="1274"/>
      <c r="I595" s="1274"/>
      <c r="J595" s="1274"/>
    </row>
    <row r="596" spans="2:10">
      <c r="B596" s="52" t="s">
        <v>167</v>
      </c>
      <c r="C596" s="1274"/>
      <c r="D596" s="1274"/>
      <c r="E596" s="1274"/>
      <c r="F596" s="1274"/>
      <c r="G596" s="1274"/>
      <c r="H596" s="1274"/>
      <c r="I596" s="1274"/>
      <c r="J596" s="1274"/>
    </row>
    <row r="597" spans="2:10">
      <c r="B597" s="52" t="s">
        <v>166</v>
      </c>
      <c r="C597" s="1274"/>
      <c r="D597" s="1274"/>
      <c r="E597" s="1274"/>
      <c r="F597" s="1274"/>
      <c r="G597" s="1274"/>
      <c r="H597" s="1274"/>
      <c r="I597" s="1274"/>
      <c r="J597" s="1274"/>
    </row>
    <row r="598" spans="2:10">
      <c r="B598" s="52" t="s">
        <v>165</v>
      </c>
      <c r="C598" s="1274"/>
      <c r="D598" s="1274"/>
      <c r="E598" s="1274"/>
      <c r="F598" s="1274"/>
      <c r="G598" s="1274"/>
      <c r="H598" s="1274"/>
      <c r="I598" s="1274"/>
      <c r="J598" s="1274"/>
    </row>
    <row r="599" spans="2:10" ht="15" thickBot="1">
      <c r="B599" s="50" t="s">
        <v>164</v>
      </c>
      <c r="C599" s="1274"/>
      <c r="D599" s="1284"/>
      <c r="E599" s="1284"/>
      <c r="F599" s="1284"/>
      <c r="G599" s="1284"/>
      <c r="H599" s="1284"/>
      <c r="I599" s="1284"/>
      <c r="J599" s="1284"/>
    </row>
    <row r="600" spans="2:10" ht="15" thickTop="1">
      <c r="B600" s="2025" t="s">
        <v>1769</v>
      </c>
      <c r="C600" s="2025"/>
      <c r="D600" s="2025"/>
      <c r="E600" s="2025"/>
      <c r="F600" s="2025"/>
      <c r="G600" s="2025"/>
      <c r="H600" s="2025"/>
      <c r="I600" s="2025"/>
      <c r="J600" s="2025"/>
    </row>
    <row r="601" spans="2:10">
      <c r="B601" s="2017"/>
      <c r="C601" s="2017"/>
      <c r="D601" s="2017"/>
      <c r="E601" s="2017"/>
      <c r="F601" s="2017"/>
      <c r="G601" s="2017"/>
      <c r="H601" s="2017"/>
      <c r="I601" s="2017"/>
      <c r="J601" s="2017"/>
    </row>
    <row r="602" spans="2:10">
      <c r="B602" s="64"/>
      <c r="C602" s="449"/>
      <c r="D602" s="449"/>
      <c r="E602" s="449"/>
      <c r="F602" s="449"/>
      <c r="G602" s="449"/>
      <c r="H602" s="449"/>
      <c r="I602" s="449"/>
      <c r="J602" s="449"/>
    </row>
    <row r="603" spans="2:10">
      <c r="B603" s="2126" t="s">
        <v>219</v>
      </c>
      <c r="C603" s="2126"/>
      <c r="D603" s="2126"/>
      <c r="E603" s="2126"/>
      <c r="F603" s="2126"/>
      <c r="G603" s="2126"/>
      <c r="H603" s="2126"/>
      <c r="I603" s="2126"/>
      <c r="J603" s="2126"/>
    </row>
    <row r="604" spans="2:10">
      <c r="B604" s="892" t="s">
        <v>218</v>
      </c>
      <c r="C604" s="1274"/>
      <c r="D604" s="1274"/>
      <c r="E604" s="1274"/>
      <c r="F604" s="1274"/>
      <c r="G604" s="1274"/>
      <c r="H604" s="1274"/>
      <c r="I604" s="1274"/>
      <c r="J604" s="1274"/>
    </row>
    <row r="605" spans="2:10">
      <c r="B605" s="77" t="s">
        <v>269</v>
      </c>
      <c r="C605" s="1274"/>
      <c r="D605" s="1274"/>
      <c r="E605" s="1274"/>
      <c r="F605" s="1274"/>
      <c r="G605" s="1274"/>
      <c r="H605" s="1274"/>
      <c r="I605" s="1274"/>
      <c r="J605" s="1274"/>
    </row>
    <row r="606" spans="2:10">
      <c r="B606" s="76"/>
      <c r="C606" s="1274"/>
      <c r="D606" s="1274"/>
      <c r="E606" s="1274"/>
      <c r="F606" s="1274"/>
      <c r="G606" s="1274"/>
      <c r="H606" s="1274"/>
      <c r="I606" s="1274"/>
      <c r="J606" s="1274"/>
    </row>
    <row r="607" spans="2:10">
      <c r="B607" s="61"/>
      <c r="C607" s="1277">
        <v>2014</v>
      </c>
      <c r="D607" s="1277">
        <v>2015</v>
      </c>
      <c r="E607" s="1277">
        <v>2016</v>
      </c>
      <c r="F607" s="1277">
        <v>2017</v>
      </c>
      <c r="G607" s="1277">
        <v>2018</v>
      </c>
      <c r="H607" s="1277">
        <v>2019</v>
      </c>
      <c r="I607" s="1277">
        <v>2020</v>
      </c>
      <c r="J607" s="1277">
        <v>2021</v>
      </c>
    </row>
    <row r="608" spans="2:10">
      <c r="B608" s="59" t="s">
        <v>1270</v>
      </c>
      <c r="C608" s="1274"/>
      <c r="D608" s="1274"/>
      <c r="E608" s="1274"/>
      <c r="F608" s="1274"/>
      <c r="G608" s="1274"/>
      <c r="H608" s="1274"/>
      <c r="I608" s="1274"/>
      <c r="J608" s="1274"/>
    </row>
    <row r="609" spans="2:10">
      <c r="B609" s="71" t="s">
        <v>217</v>
      </c>
      <c r="C609" s="866">
        <v>0</v>
      </c>
      <c r="D609" s="866">
        <v>0</v>
      </c>
      <c r="E609" s="866">
        <v>0</v>
      </c>
      <c r="F609" s="866">
        <v>0</v>
      </c>
      <c r="G609" s="866">
        <v>0</v>
      </c>
      <c r="H609" s="866">
        <v>0</v>
      </c>
      <c r="I609" s="866">
        <v>0</v>
      </c>
      <c r="J609" s="866">
        <v>0</v>
      </c>
    </row>
    <row r="610" spans="2:10">
      <c r="B610" s="52" t="s">
        <v>150</v>
      </c>
      <c r="C610" s="1274"/>
      <c r="D610" s="1274"/>
      <c r="E610" s="1274"/>
      <c r="F610" s="1274"/>
      <c r="G610" s="1274"/>
      <c r="H610" s="1274"/>
      <c r="I610" s="1274"/>
      <c r="J610" s="1274"/>
    </row>
    <row r="611" spans="2:10">
      <c r="B611" s="52" t="s">
        <v>214</v>
      </c>
      <c r="C611" s="1274"/>
      <c r="D611" s="1274"/>
      <c r="E611" s="1274"/>
      <c r="F611" s="1274"/>
      <c r="G611" s="1274"/>
      <c r="H611" s="1274"/>
      <c r="I611" s="1274"/>
      <c r="J611" s="1274"/>
    </row>
    <row r="612" spans="2:10">
      <c r="B612" s="52" t="s">
        <v>147</v>
      </c>
      <c r="C612" s="1274"/>
      <c r="D612" s="1274"/>
      <c r="E612" s="1274"/>
      <c r="F612" s="1274"/>
      <c r="G612" s="1274"/>
      <c r="H612" s="1274"/>
      <c r="I612" s="1274"/>
      <c r="J612" s="1274"/>
    </row>
    <row r="613" spans="2:10">
      <c r="B613" s="52" t="s">
        <v>146</v>
      </c>
      <c r="C613" s="1274"/>
      <c r="D613" s="1274"/>
      <c r="E613" s="1274"/>
      <c r="F613" s="1274"/>
      <c r="G613" s="1274"/>
      <c r="H613" s="1274"/>
      <c r="I613" s="1274"/>
      <c r="J613" s="1274"/>
    </row>
    <row r="614" spans="2:10">
      <c r="B614" s="52"/>
      <c r="C614" s="1274"/>
      <c r="D614" s="1274"/>
      <c r="E614" s="1274"/>
      <c r="F614" s="1274"/>
      <c r="G614" s="1274"/>
      <c r="H614" s="1274"/>
      <c r="I614" s="1274"/>
      <c r="J614" s="1274"/>
    </row>
    <row r="615" spans="2:10">
      <c r="B615" s="71" t="s">
        <v>216</v>
      </c>
      <c r="C615" s="866">
        <v>0</v>
      </c>
      <c r="D615" s="866">
        <v>0</v>
      </c>
      <c r="E615" s="866">
        <v>0</v>
      </c>
      <c r="F615" s="866">
        <v>0</v>
      </c>
      <c r="G615" s="866">
        <v>0</v>
      </c>
      <c r="H615" s="866">
        <v>0</v>
      </c>
      <c r="I615" s="866">
        <v>0</v>
      </c>
      <c r="J615" s="866">
        <v>0</v>
      </c>
    </row>
    <row r="616" spans="2:10">
      <c r="B616" s="52" t="s">
        <v>150</v>
      </c>
      <c r="C616" s="1274"/>
      <c r="D616" s="1274"/>
      <c r="E616" s="1274"/>
      <c r="F616" s="1274"/>
      <c r="G616" s="1274"/>
      <c r="H616" s="1274"/>
      <c r="I616" s="1274"/>
      <c r="J616" s="1274"/>
    </row>
    <row r="617" spans="2:10">
      <c r="B617" s="52" t="s">
        <v>214</v>
      </c>
      <c r="C617" s="1274"/>
      <c r="D617" s="1274"/>
      <c r="E617" s="1274"/>
      <c r="F617" s="1274"/>
      <c r="G617" s="1274"/>
      <c r="H617" s="1274"/>
      <c r="I617" s="1274"/>
      <c r="J617" s="1274"/>
    </row>
    <row r="618" spans="2:10">
      <c r="B618" s="52" t="s">
        <v>147</v>
      </c>
      <c r="C618" s="1274"/>
      <c r="D618" s="1274"/>
      <c r="E618" s="1274"/>
      <c r="F618" s="1274"/>
      <c r="G618" s="1274"/>
      <c r="H618" s="1274"/>
      <c r="I618" s="1274"/>
      <c r="J618" s="1274"/>
    </row>
    <row r="619" spans="2:10">
      <c r="B619" s="52" t="s">
        <v>146</v>
      </c>
      <c r="C619" s="1274"/>
      <c r="D619" s="1274"/>
      <c r="E619" s="1274"/>
      <c r="F619" s="1274"/>
      <c r="G619" s="1274"/>
      <c r="H619" s="1274"/>
      <c r="I619" s="1274"/>
      <c r="J619" s="1274"/>
    </row>
    <row r="620" spans="2:10">
      <c r="B620" s="52"/>
      <c r="C620" s="1274"/>
      <c r="D620" s="1274"/>
      <c r="E620" s="1274"/>
      <c r="F620" s="1274"/>
      <c r="G620" s="1274"/>
      <c r="H620" s="1274"/>
      <c r="I620" s="1274"/>
      <c r="J620" s="1274"/>
    </row>
    <row r="621" spans="2:10">
      <c r="B621" s="71" t="s">
        <v>215</v>
      </c>
      <c r="C621" s="866">
        <v>0</v>
      </c>
      <c r="D621" s="866">
        <v>0</v>
      </c>
      <c r="E621" s="866">
        <v>0</v>
      </c>
      <c r="F621" s="866">
        <v>0</v>
      </c>
      <c r="G621" s="866">
        <v>0</v>
      </c>
      <c r="H621" s="866">
        <v>0</v>
      </c>
      <c r="I621" s="866">
        <v>0</v>
      </c>
      <c r="J621" s="866">
        <v>0</v>
      </c>
    </row>
    <row r="622" spans="2:10">
      <c r="B622" s="52" t="s">
        <v>150</v>
      </c>
      <c r="C622" s="1274"/>
      <c r="D622" s="1274"/>
      <c r="E622" s="1274"/>
      <c r="F622" s="1274"/>
      <c r="G622" s="1274"/>
      <c r="H622" s="1274"/>
      <c r="I622" s="1274"/>
      <c r="J622" s="1274"/>
    </row>
    <row r="623" spans="2:10">
      <c r="B623" s="52" t="s">
        <v>214</v>
      </c>
      <c r="C623" s="1274"/>
      <c r="D623" s="1274"/>
      <c r="E623" s="1274"/>
      <c r="F623" s="1274"/>
      <c r="G623" s="1274"/>
      <c r="H623" s="1274"/>
      <c r="I623" s="1274"/>
      <c r="J623" s="1274"/>
    </row>
    <row r="624" spans="2:10">
      <c r="B624" s="52" t="s">
        <v>147</v>
      </c>
      <c r="C624" s="1274"/>
      <c r="D624" s="1274"/>
      <c r="E624" s="1274"/>
      <c r="F624" s="1274"/>
      <c r="G624" s="1274"/>
      <c r="H624" s="1274"/>
      <c r="I624" s="1274"/>
      <c r="J624" s="1274"/>
    </row>
    <row r="625" spans="2:10" ht="15" thickBot="1">
      <c r="B625" s="52" t="s">
        <v>146</v>
      </c>
      <c r="C625" s="1274"/>
      <c r="D625" s="1274"/>
      <c r="E625" s="1274"/>
      <c r="F625" s="1274"/>
      <c r="G625" s="1274"/>
      <c r="H625" s="1274"/>
      <c r="I625" s="1274"/>
      <c r="J625" s="1274"/>
    </row>
    <row r="626" spans="2:10" ht="15" thickTop="1">
      <c r="B626" s="2025"/>
      <c r="C626" s="2025"/>
      <c r="D626" s="2025"/>
      <c r="E626" s="2025"/>
      <c r="F626" s="2025"/>
      <c r="G626" s="2025"/>
      <c r="H626" s="2025"/>
      <c r="I626" s="2025"/>
      <c r="J626" s="2025"/>
    </row>
    <row r="627" spans="2:10">
      <c r="B627" s="2017"/>
      <c r="C627" s="2017"/>
      <c r="D627" s="2017"/>
      <c r="E627" s="2017"/>
      <c r="F627" s="2017"/>
      <c r="G627" s="2017"/>
      <c r="H627" s="2017"/>
      <c r="I627" s="2017"/>
      <c r="J627" s="2017"/>
    </row>
    <row r="628" spans="2:10">
      <c r="B628" s="62"/>
      <c r="C628" s="449"/>
      <c r="D628" s="449"/>
      <c r="E628" s="449"/>
      <c r="F628" s="449"/>
      <c r="G628" s="449"/>
      <c r="H628" s="449"/>
      <c r="I628" s="449"/>
      <c r="J628" s="449"/>
    </row>
    <row r="629" spans="2:10">
      <c r="B629" s="2126" t="s">
        <v>212</v>
      </c>
      <c r="C629" s="2126"/>
      <c r="D629" s="2126"/>
      <c r="E629" s="2126"/>
      <c r="F629" s="2126"/>
      <c r="G629" s="2126"/>
      <c r="H629" s="2126"/>
      <c r="I629" s="2126"/>
      <c r="J629" s="2126"/>
    </row>
    <row r="630" spans="2:10">
      <c r="B630" s="892" t="s">
        <v>211</v>
      </c>
      <c r="C630" s="1274"/>
      <c r="D630" s="1274"/>
      <c r="E630" s="1274"/>
      <c r="F630" s="1274"/>
      <c r="G630" s="1274"/>
      <c r="H630" s="1274"/>
      <c r="I630" s="1274"/>
      <c r="J630" s="1274"/>
    </row>
    <row r="631" spans="2:10">
      <c r="B631" s="64" t="s">
        <v>210</v>
      </c>
      <c r="C631" s="1274"/>
      <c r="D631" s="1274"/>
      <c r="E631" s="1274"/>
      <c r="F631" s="1274"/>
      <c r="G631" s="1274"/>
      <c r="H631" s="1274"/>
      <c r="I631" s="1274"/>
      <c r="J631" s="1274"/>
    </row>
    <row r="632" spans="2:10">
      <c r="B632" s="61"/>
      <c r="C632" s="1277">
        <v>2014</v>
      </c>
      <c r="D632" s="1277">
        <v>2015</v>
      </c>
      <c r="E632" s="1277">
        <v>2016</v>
      </c>
      <c r="F632" s="1277">
        <v>2017</v>
      </c>
      <c r="G632" s="1277">
        <v>2018</v>
      </c>
      <c r="H632" s="1277">
        <v>2019</v>
      </c>
      <c r="I632" s="1277">
        <v>2020</v>
      </c>
      <c r="J632" s="1277">
        <v>2021</v>
      </c>
    </row>
    <row r="633" spans="2:10">
      <c r="B633" s="1015" t="s">
        <v>486</v>
      </c>
      <c r="C633" s="1274"/>
      <c r="D633" s="1274"/>
      <c r="E633" s="1274"/>
      <c r="F633" s="1274"/>
      <c r="G633" s="1274"/>
      <c r="H633" s="1274"/>
      <c r="I633" s="1274"/>
      <c r="J633" s="1274"/>
    </row>
    <row r="634" spans="2:10">
      <c r="B634" s="71" t="s">
        <v>209</v>
      </c>
      <c r="C634" s="1289">
        <v>0</v>
      </c>
      <c r="D634" s="1289">
        <v>0</v>
      </c>
      <c r="E634" s="1289">
        <v>0</v>
      </c>
      <c r="F634" s="1289">
        <v>0</v>
      </c>
      <c r="G634" s="1289">
        <v>0</v>
      </c>
      <c r="H634" s="1289">
        <v>0</v>
      </c>
      <c r="I634" s="1289">
        <v>0</v>
      </c>
      <c r="J634" s="1289">
        <v>0</v>
      </c>
    </row>
    <row r="635" spans="2:10">
      <c r="B635" s="71"/>
      <c r="C635" s="103"/>
      <c r="D635" s="103"/>
      <c r="E635" s="103"/>
      <c r="F635" s="103"/>
      <c r="G635" s="103"/>
      <c r="H635" s="103"/>
      <c r="I635" s="103"/>
      <c r="J635" s="103"/>
    </row>
    <row r="636" spans="2:10">
      <c r="B636" s="71" t="s">
        <v>208</v>
      </c>
      <c r="C636" s="1289">
        <v>0</v>
      </c>
      <c r="D636" s="1289">
        <v>0</v>
      </c>
      <c r="E636" s="1289">
        <v>0</v>
      </c>
      <c r="F636" s="1289">
        <v>0</v>
      </c>
      <c r="G636" s="1289">
        <v>0</v>
      </c>
      <c r="H636" s="1289">
        <v>0</v>
      </c>
      <c r="I636" s="1289">
        <v>0</v>
      </c>
      <c r="J636" s="1289">
        <v>0</v>
      </c>
    </row>
    <row r="637" spans="2:10">
      <c r="B637" s="52" t="s">
        <v>121</v>
      </c>
      <c r="C637" s="103"/>
      <c r="D637" s="103"/>
      <c r="E637" s="103"/>
      <c r="F637" s="103"/>
      <c r="G637" s="103"/>
      <c r="H637" s="103"/>
      <c r="I637" s="103"/>
      <c r="J637" s="103"/>
    </row>
    <row r="638" spans="2:10">
      <c r="B638" s="53" t="s">
        <v>120</v>
      </c>
      <c r="C638" s="103"/>
      <c r="D638" s="103"/>
      <c r="E638" s="103"/>
      <c r="F638" s="103"/>
      <c r="G638" s="103"/>
      <c r="H638" s="103"/>
      <c r="I638" s="103"/>
      <c r="J638" s="103"/>
    </row>
    <row r="639" spans="2:10">
      <c r="B639" s="53" t="s">
        <v>119</v>
      </c>
      <c r="C639" s="103"/>
      <c r="D639" s="103"/>
      <c r="E639" s="103"/>
      <c r="F639" s="103"/>
      <c r="G639" s="103"/>
      <c r="H639" s="103"/>
      <c r="I639" s="103"/>
      <c r="J639" s="103"/>
    </row>
    <row r="640" spans="2:10">
      <c r="B640" s="53" t="s">
        <v>172</v>
      </c>
      <c r="C640" s="103"/>
      <c r="D640" s="103"/>
      <c r="E640" s="103"/>
      <c r="F640" s="103"/>
      <c r="G640" s="103"/>
      <c r="H640" s="103"/>
      <c r="I640" s="103"/>
      <c r="J640" s="103"/>
    </row>
    <row r="641" spans="2:10">
      <c r="B641" s="52" t="s">
        <v>118</v>
      </c>
      <c r="C641" s="103"/>
      <c r="D641" s="103"/>
      <c r="E641" s="103"/>
      <c r="F641" s="103"/>
      <c r="G641" s="103"/>
      <c r="H641" s="103"/>
      <c r="I641" s="103"/>
      <c r="J641" s="103"/>
    </row>
    <row r="642" spans="2:10">
      <c r="B642" s="52" t="s">
        <v>117</v>
      </c>
      <c r="C642" s="103"/>
      <c r="D642" s="103"/>
      <c r="E642" s="103"/>
      <c r="F642" s="103"/>
      <c r="G642" s="103"/>
      <c r="H642" s="103"/>
      <c r="I642" s="103"/>
      <c r="J642" s="103"/>
    </row>
    <row r="643" spans="2:10">
      <c r="B643" s="52"/>
      <c r="C643" s="103"/>
      <c r="D643" s="103"/>
      <c r="E643" s="103"/>
      <c r="F643" s="103"/>
      <c r="G643" s="103"/>
      <c r="H643" s="103"/>
      <c r="I643" s="103"/>
      <c r="J643" s="103"/>
    </row>
    <row r="644" spans="2:10">
      <c r="B644" s="83" t="s">
        <v>205</v>
      </c>
      <c r="C644" s="1289">
        <v>0</v>
      </c>
      <c r="D644" s="1289">
        <v>0</v>
      </c>
      <c r="E644" s="1289">
        <v>0</v>
      </c>
      <c r="F644" s="1289">
        <v>0</v>
      </c>
      <c r="G644" s="1289">
        <v>0</v>
      </c>
      <c r="H644" s="1289">
        <v>0</v>
      </c>
      <c r="I644" s="1289">
        <v>0</v>
      </c>
      <c r="J644" s="1289">
        <v>0</v>
      </c>
    </row>
    <row r="645" spans="2:10">
      <c r="B645" s="81" t="s">
        <v>121</v>
      </c>
      <c r="C645" s="103"/>
      <c r="D645" s="103"/>
      <c r="E645" s="103"/>
      <c r="F645" s="103"/>
      <c r="G645" s="103"/>
      <c r="H645" s="103"/>
      <c r="I645" s="103"/>
      <c r="J645" s="103"/>
    </row>
    <row r="646" spans="2:10">
      <c r="B646" s="82" t="s">
        <v>120</v>
      </c>
      <c r="C646" s="103"/>
      <c r="D646" s="103"/>
      <c r="E646" s="103"/>
      <c r="F646" s="103"/>
      <c r="G646" s="103"/>
      <c r="H646" s="103"/>
      <c r="I646" s="103"/>
      <c r="J646" s="103"/>
    </row>
    <row r="647" spans="2:10">
      <c r="B647" s="82" t="s">
        <v>119</v>
      </c>
      <c r="C647" s="103"/>
      <c r="D647" s="103"/>
      <c r="E647" s="103"/>
      <c r="F647" s="103"/>
      <c r="G647" s="103"/>
      <c r="H647" s="103"/>
      <c r="I647" s="103"/>
      <c r="J647" s="103"/>
    </row>
    <row r="648" spans="2:10">
      <c r="B648" s="82" t="s">
        <v>172</v>
      </c>
      <c r="C648" s="103"/>
      <c r="D648" s="103"/>
      <c r="E648" s="103"/>
      <c r="F648" s="103"/>
      <c r="G648" s="103"/>
      <c r="H648" s="103"/>
      <c r="I648" s="103"/>
      <c r="J648" s="103"/>
    </row>
    <row r="649" spans="2:10">
      <c r="B649" s="81" t="s">
        <v>118</v>
      </c>
      <c r="C649" s="103"/>
      <c r="D649" s="103"/>
      <c r="E649" s="103"/>
      <c r="F649" s="103"/>
      <c r="G649" s="103"/>
      <c r="H649" s="103"/>
      <c r="I649" s="103"/>
      <c r="J649" s="103"/>
    </row>
    <row r="650" spans="2:10">
      <c r="B650" s="81" t="s">
        <v>117</v>
      </c>
      <c r="C650" s="103"/>
      <c r="D650" s="103"/>
      <c r="E650" s="103"/>
      <c r="F650" s="103"/>
      <c r="G650" s="103"/>
      <c r="H650" s="103"/>
      <c r="I650" s="103"/>
      <c r="J650" s="103"/>
    </row>
    <row r="651" spans="2:10">
      <c r="B651" s="81"/>
      <c r="C651" s="103"/>
      <c r="D651" s="103"/>
      <c r="E651" s="103"/>
      <c r="F651" s="103"/>
      <c r="G651" s="103"/>
      <c r="H651" s="103"/>
      <c r="I651" s="103"/>
      <c r="J651" s="103"/>
    </row>
    <row r="652" spans="2:10">
      <c r="B652" s="83" t="s">
        <v>204</v>
      </c>
      <c r="C652" s="1289">
        <v>0</v>
      </c>
      <c r="D652" s="1289">
        <v>0</v>
      </c>
      <c r="E652" s="1289">
        <v>0</v>
      </c>
      <c r="F652" s="1289">
        <v>0</v>
      </c>
      <c r="G652" s="1289">
        <v>0</v>
      </c>
      <c r="H652" s="1289">
        <v>0</v>
      </c>
      <c r="I652" s="1289">
        <v>0</v>
      </c>
      <c r="J652" s="1289">
        <v>0</v>
      </c>
    </row>
    <row r="653" spans="2:10">
      <c r="B653" s="81" t="s">
        <v>121</v>
      </c>
      <c r="C653" s="103"/>
      <c r="D653" s="103"/>
      <c r="E653" s="103"/>
      <c r="F653" s="103"/>
      <c r="G653" s="103"/>
      <c r="H653" s="103"/>
      <c r="I653" s="103"/>
      <c r="J653" s="103"/>
    </row>
    <row r="654" spans="2:10">
      <c r="B654" s="82" t="s">
        <v>120</v>
      </c>
      <c r="C654" s="103"/>
      <c r="D654" s="103"/>
      <c r="E654" s="103"/>
      <c r="F654" s="103"/>
      <c r="G654" s="103"/>
      <c r="H654" s="103"/>
      <c r="I654" s="103"/>
      <c r="J654" s="103"/>
    </row>
    <row r="655" spans="2:10">
      <c r="B655" s="82" t="s">
        <v>119</v>
      </c>
      <c r="C655" s="103"/>
      <c r="D655" s="103"/>
      <c r="E655" s="103"/>
      <c r="F655" s="103"/>
      <c r="G655" s="103"/>
      <c r="H655" s="103"/>
      <c r="I655" s="103"/>
      <c r="J655" s="103"/>
    </row>
    <row r="656" spans="2:10">
      <c r="B656" s="82" t="s">
        <v>172</v>
      </c>
      <c r="C656" s="103"/>
      <c r="D656" s="103"/>
      <c r="E656" s="103"/>
      <c r="F656" s="103"/>
      <c r="G656" s="103"/>
      <c r="H656" s="103"/>
      <c r="I656" s="103"/>
      <c r="J656" s="103"/>
    </row>
    <row r="657" spans="2:10">
      <c r="B657" s="81" t="s">
        <v>118</v>
      </c>
      <c r="C657" s="103"/>
      <c r="D657" s="103"/>
      <c r="E657" s="103"/>
      <c r="F657" s="103"/>
      <c r="G657" s="103"/>
      <c r="H657" s="103"/>
      <c r="I657" s="103"/>
      <c r="J657" s="103"/>
    </row>
    <row r="658" spans="2:10">
      <c r="B658" s="81" t="s">
        <v>117</v>
      </c>
      <c r="C658" s="103"/>
      <c r="D658" s="103"/>
      <c r="E658" s="103"/>
      <c r="F658" s="103"/>
      <c r="G658" s="103"/>
      <c r="H658" s="103"/>
      <c r="I658" s="103"/>
      <c r="J658" s="103"/>
    </row>
    <row r="659" spans="2:10">
      <c r="B659" s="81"/>
      <c r="C659" s="103"/>
      <c r="D659" s="103"/>
      <c r="E659" s="103"/>
      <c r="F659" s="103"/>
      <c r="G659" s="103"/>
      <c r="H659" s="103"/>
      <c r="I659" s="103"/>
      <c r="J659" s="103"/>
    </row>
    <row r="660" spans="2:10" ht="25">
      <c r="B660" s="71" t="s">
        <v>203</v>
      </c>
      <c r="C660" s="1289">
        <v>0</v>
      </c>
      <c r="D660" s="1289">
        <v>0</v>
      </c>
      <c r="E660" s="1289">
        <v>0</v>
      </c>
      <c r="F660" s="1289">
        <v>0</v>
      </c>
      <c r="G660" s="1289">
        <v>0</v>
      </c>
      <c r="H660" s="1289">
        <v>0</v>
      </c>
      <c r="I660" s="1289">
        <v>0</v>
      </c>
      <c r="J660" s="1289">
        <v>0</v>
      </c>
    </row>
    <row r="661" spans="2:10">
      <c r="B661" s="52" t="s">
        <v>169</v>
      </c>
      <c r="C661" s="103"/>
      <c r="D661" s="103"/>
      <c r="E661" s="103"/>
      <c r="F661" s="103"/>
      <c r="G661" s="103"/>
      <c r="H661" s="103"/>
      <c r="I661" s="103"/>
      <c r="J661" s="103"/>
    </row>
    <row r="662" spans="2:10">
      <c r="B662" s="52" t="s">
        <v>168</v>
      </c>
      <c r="C662" s="103"/>
      <c r="D662" s="103"/>
      <c r="E662" s="103"/>
      <c r="F662" s="103"/>
      <c r="G662" s="103"/>
      <c r="H662" s="103"/>
      <c r="I662" s="103"/>
      <c r="J662" s="103"/>
    </row>
    <row r="663" spans="2:10">
      <c r="B663" s="52" t="s">
        <v>167</v>
      </c>
      <c r="C663" s="103"/>
      <c r="D663" s="103"/>
      <c r="E663" s="103"/>
      <c r="F663" s="103"/>
      <c r="G663" s="103"/>
      <c r="H663" s="103"/>
      <c r="I663" s="103"/>
      <c r="J663" s="103"/>
    </row>
    <row r="664" spans="2:10">
      <c r="B664" s="52" t="s">
        <v>166</v>
      </c>
      <c r="C664" s="103"/>
      <c r="D664" s="103"/>
      <c r="E664" s="103"/>
      <c r="F664" s="103"/>
      <c r="G664" s="103"/>
      <c r="H664" s="103"/>
      <c r="I664" s="103"/>
      <c r="J664" s="103"/>
    </row>
    <row r="665" spans="2:10">
      <c r="B665" s="52" t="s">
        <v>165</v>
      </c>
      <c r="C665" s="103"/>
      <c r="D665" s="103"/>
      <c r="E665" s="103"/>
      <c r="F665" s="103"/>
      <c r="G665" s="103"/>
      <c r="H665" s="103"/>
      <c r="I665" s="103"/>
      <c r="J665" s="103"/>
    </row>
    <row r="666" spans="2:10">
      <c r="B666" s="52" t="s">
        <v>164</v>
      </c>
      <c r="C666" s="103"/>
      <c r="D666" s="103"/>
      <c r="E666" s="103"/>
      <c r="F666" s="103"/>
      <c r="G666" s="103"/>
      <c r="H666" s="103"/>
      <c r="I666" s="103"/>
      <c r="J666" s="103"/>
    </row>
    <row r="667" spans="2:10">
      <c r="B667" s="52"/>
      <c r="C667" s="103"/>
      <c r="D667" s="103"/>
      <c r="E667" s="103"/>
      <c r="F667" s="103"/>
      <c r="G667" s="103"/>
      <c r="H667" s="103"/>
      <c r="I667" s="103"/>
      <c r="J667" s="103"/>
    </row>
    <row r="668" spans="2:10">
      <c r="B668" s="80" t="s">
        <v>202</v>
      </c>
      <c r="C668" s="1289">
        <v>0</v>
      </c>
      <c r="D668" s="1289">
        <v>0</v>
      </c>
      <c r="E668" s="1289">
        <v>0</v>
      </c>
      <c r="F668" s="1289">
        <v>0</v>
      </c>
      <c r="G668" s="1289">
        <v>0</v>
      </c>
      <c r="H668" s="1289">
        <v>0</v>
      </c>
      <c r="I668" s="1289">
        <v>0</v>
      </c>
      <c r="J668" s="1289">
        <v>0</v>
      </c>
    </row>
    <row r="669" spans="2:10">
      <c r="B669" s="52" t="s">
        <v>169</v>
      </c>
      <c r="C669" s="103"/>
      <c r="D669" s="103"/>
      <c r="E669" s="103"/>
      <c r="F669" s="103"/>
      <c r="G669" s="103"/>
      <c r="H669" s="103"/>
      <c r="I669" s="103"/>
      <c r="J669" s="103"/>
    </row>
    <row r="670" spans="2:10">
      <c r="B670" s="52" t="s">
        <v>168</v>
      </c>
      <c r="C670" s="103"/>
      <c r="D670" s="103"/>
      <c r="E670" s="103"/>
      <c r="F670" s="103"/>
      <c r="G670" s="103"/>
      <c r="H670" s="103"/>
      <c r="I670" s="103"/>
      <c r="J670" s="103"/>
    </row>
    <row r="671" spans="2:10">
      <c r="B671" s="52" t="s">
        <v>167</v>
      </c>
      <c r="C671" s="103"/>
      <c r="D671" s="103"/>
      <c r="E671" s="103"/>
      <c r="F671" s="103"/>
      <c r="G671" s="103"/>
      <c r="H671" s="103"/>
      <c r="I671" s="103"/>
      <c r="J671" s="103"/>
    </row>
    <row r="672" spans="2:10">
      <c r="B672" s="52" t="s">
        <v>166</v>
      </c>
      <c r="C672" s="103"/>
      <c r="D672" s="103"/>
      <c r="E672" s="103"/>
      <c r="F672" s="103"/>
      <c r="G672" s="103"/>
      <c r="H672" s="103"/>
      <c r="I672" s="103"/>
      <c r="J672" s="103"/>
    </row>
    <row r="673" spans="2:10">
      <c r="B673" s="52" t="s">
        <v>165</v>
      </c>
      <c r="C673" s="103"/>
      <c r="D673" s="103"/>
      <c r="E673" s="103"/>
      <c r="F673" s="103"/>
      <c r="G673" s="103"/>
      <c r="H673" s="103"/>
      <c r="I673" s="103"/>
      <c r="J673" s="103"/>
    </row>
    <row r="674" spans="2:10">
      <c r="B674" s="52" t="s">
        <v>164</v>
      </c>
      <c r="C674" s="103"/>
      <c r="D674" s="103"/>
      <c r="E674" s="103"/>
      <c r="F674" s="103"/>
      <c r="G674" s="103"/>
      <c r="H674" s="103"/>
      <c r="I674" s="103"/>
      <c r="J674" s="103"/>
    </row>
    <row r="675" spans="2:10" ht="15" thickBot="1">
      <c r="B675" s="52"/>
      <c r="C675" s="103"/>
      <c r="D675" s="103"/>
      <c r="E675" s="103"/>
      <c r="F675" s="103"/>
      <c r="G675" s="103"/>
      <c r="H675" s="103"/>
      <c r="I675" s="103"/>
      <c r="J675" s="103"/>
    </row>
    <row r="676" spans="2:10" ht="15" thickTop="1">
      <c r="B676" s="2025"/>
      <c r="C676" s="2025"/>
      <c r="D676" s="2025"/>
      <c r="E676" s="2025"/>
      <c r="F676" s="2025"/>
      <c r="G676" s="2025"/>
      <c r="H676" s="2025"/>
      <c r="I676" s="2025"/>
      <c r="J676" s="2025"/>
    </row>
    <row r="677" spans="2:10">
      <c r="B677" s="2017"/>
      <c r="C677" s="2017"/>
      <c r="D677" s="2017"/>
      <c r="E677" s="2017"/>
      <c r="F677" s="2017"/>
      <c r="G677" s="2017"/>
      <c r="H677" s="2017"/>
      <c r="I677" s="2017"/>
      <c r="J677" s="2017"/>
    </row>
    <row r="678" spans="2:10">
      <c r="B678" s="64"/>
      <c r="C678" s="449"/>
      <c r="D678" s="449"/>
      <c r="E678" s="449"/>
      <c r="F678" s="449"/>
      <c r="G678" s="449"/>
      <c r="H678" s="449"/>
      <c r="I678" s="449"/>
      <c r="J678" s="449"/>
    </row>
    <row r="679" spans="2:10">
      <c r="B679" s="2126" t="s">
        <v>199</v>
      </c>
      <c r="C679" s="2126"/>
      <c r="D679" s="2126"/>
      <c r="E679" s="2126"/>
      <c r="F679" s="2126"/>
      <c r="G679" s="2126"/>
      <c r="H679" s="2126"/>
      <c r="I679" s="2126"/>
      <c r="J679" s="2126"/>
    </row>
    <row r="680" spans="2:10">
      <c r="B680" s="892" t="s">
        <v>198</v>
      </c>
      <c r="C680" s="1274"/>
      <c r="D680" s="1274"/>
      <c r="E680" s="1274"/>
      <c r="F680" s="1274"/>
      <c r="G680" s="1274"/>
      <c r="H680" s="1274"/>
      <c r="I680" s="1274"/>
      <c r="J680" s="1274"/>
    </row>
    <row r="681" spans="2:10">
      <c r="B681" s="62" t="s">
        <v>127</v>
      </c>
      <c r="C681" s="1274"/>
      <c r="D681" s="1274"/>
      <c r="E681" s="1274"/>
      <c r="F681" s="1274"/>
      <c r="G681" s="1274"/>
      <c r="H681" s="1274"/>
      <c r="I681" s="1274"/>
      <c r="J681" s="1274"/>
    </row>
    <row r="682" spans="2:10">
      <c r="B682" s="62"/>
      <c r="C682" s="1274"/>
      <c r="D682" s="1274"/>
      <c r="E682" s="1274"/>
      <c r="F682" s="1274"/>
      <c r="G682" s="1274"/>
      <c r="H682" s="1274"/>
      <c r="I682" s="1274"/>
      <c r="J682" s="1274"/>
    </row>
    <row r="683" spans="2:10">
      <c r="B683" s="61"/>
      <c r="C683" s="1277">
        <v>2014</v>
      </c>
      <c r="D683" s="1277">
        <v>2015</v>
      </c>
      <c r="E683" s="1277">
        <v>2016</v>
      </c>
      <c r="F683" s="1277">
        <v>2017</v>
      </c>
      <c r="G683" s="1277">
        <v>2018</v>
      </c>
      <c r="H683" s="1277">
        <v>2019</v>
      </c>
      <c r="I683" s="1277">
        <v>2020</v>
      </c>
      <c r="J683" s="1277">
        <v>2021</v>
      </c>
    </row>
    <row r="684" spans="2:10">
      <c r="B684" s="1015" t="s">
        <v>486</v>
      </c>
      <c r="C684" s="1274"/>
      <c r="D684" s="1274"/>
      <c r="E684" s="1274"/>
      <c r="F684" s="1274"/>
      <c r="G684" s="1274"/>
      <c r="H684" s="1274"/>
      <c r="I684" s="1274"/>
      <c r="J684" s="1274"/>
    </row>
    <row r="685" spans="2:10">
      <c r="B685" s="71" t="s">
        <v>186</v>
      </c>
      <c r="C685" s="818" t="s">
        <v>2086</v>
      </c>
      <c r="D685" s="818" t="s">
        <v>2086</v>
      </c>
      <c r="E685" s="818" t="s">
        <v>2086</v>
      </c>
      <c r="F685" s="818" t="s">
        <v>2086</v>
      </c>
      <c r="G685" s="818" t="s">
        <v>2086</v>
      </c>
      <c r="H685" s="818" t="s">
        <v>2086</v>
      </c>
      <c r="I685" s="818" t="s">
        <v>2086</v>
      </c>
      <c r="J685" s="818" t="s">
        <v>2086</v>
      </c>
    </row>
    <row r="686" spans="2:10">
      <c r="B686" s="71"/>
      <c r="C686" s="104"/>
      <c r="D686" s="104"/>
      <c r="E686" s="104"/>
      <c r="F686" s="104"/>
      <c r="G686" s="104"/>
      <c r="H686" s="104"/>
      <c r="I686" s="104"/>
      <c r="J686" s="104"/>
    </row>
    <row r="687" spans="2:10">
      <c r="B687" s="71" t="s">
        <v>190</v>
      </c>
      <c r="C687" s="1289">
        <v>0</v>
      </c>
      <c r="D687" s="1289">
        <v>0</v>
      </c>
      <c r="E687" s="1289">
        <v>0</v>
      </c>
      <c r="F687" s="1289">
        <v>0</v>
      </c>
      <c r="G687" s="1289">
        <v>0</v>
      </c>
      <c r="H687" s="1289">
        <v>0</v>
      </c>
      <c r="I687" s="1289">
        <v>0</v>
      </c>
      <c r="J687" s="1289">
        <v>0</v>
      </c>
    </row>
    <row r="688" spans="2:10">
      <c r="B688" s="52" t="s">
        <v>121</v>
      </c>
      <c r="C688" s="104"/>
      <c r="D688" s="104"/>
      <c r="E688" s="104"/>
      <c r="F688" s="104"/>
      <c r="G688" s="104"/>
      <c r="H688" s="104"/>
      <c r="I688" s="104"/>
      <c r="J688" s="104"/>
    </row>
    <row r="689" spans="2:10">
      <c r="B689" s="53" t="s">
        <v>120</v>
      </c>
      <c r="C689" s="104"/>
      <c r="D689" s="104"/>
      <c r="E689" s="104"/>
      <c r="F689" s="104"/>
      <c r="G689" s="104"/>
      <c r="H689" s="104"/>
      <c r="I689" s="104"/>
      <c r="J689" s="104"/>
    </row>
    <row r="690" spans="2:10">
      <c r="B690" s="53" t="s">
        <v>119</v>
      </c>
      <c r="C690" s="104"/>
      <c r="D690" s="104"/>
      <c r="E690" s="104"/>
      <c r="F690" s="104"/>
      <c r="G690" s="104"/>
      <c r="H690" s="104"/>
      <c r="I690" s="104"/>
      <c r="J690" s="104"/>
    </row>
    <row r="691" spans="2:10">
      <c r="B691" s="53" t="s">
        <v>197</v>
      </c>
      <c r="C691" s="104"/>
      <c r="D691" s="104"/>
      <c r="E691" s="104"/>
      <c r="F691" s="104"/>
      <c r="G691" s="104"/>
      <c r="H691" s="104"/>
      <c r="I691" s="104"/>
      <c r="J691" s="104"/>
    </row>
    <row r="692" spans="2:10">
      <c r="B692" s="52" t="s">
        <v>118</v>
      </c>
      <c r="C692" s="104"/>
      <c r="D692" s="104"/>
      <c r="E692" s="104"/>
      <c r="F692" s="104"/>
      <c r="G692" s="104"/>
      <c r="H692" s="104"/>
      <c r="I692" s="104"/>
      <c r="J692" s="104"/>
    </row>
    <row r="693" spans="2:10">
      <c r="B693" s="52" t="s">
        <v>117</v>
      </c>
      <c r="C693" s="104"/>
      <c r="D693" s="104"/>
      <c r="E693" s="104"/>
      <c r="F693" s="104"/>
      <c r="G693" s="104"/>
      <c r="H693" s="104"/>
      <c r="I693" s="104"/>
      <c r="J693" s="104"/>
    </row>
    <row r="694" spans="2:10">
      <c r="B694" s="52"/>
      <c r="C694" s="104"/>
      <c r="D694" s="104"/>
      <c r="E694" s="104"/>
      <c r="F694" s="104"/>
      <c r="G694" s="104"/>
      <c r="H694" s="104"/>
      <c r="I694" s="104"/>
      <c r="J694" s="104"/>
    </row>
    <row r="695" spans="2:10">
      <c r="B695" s="83" t="s">
        <v>187</v>
      </c>
      <c r="C695" s="1289">
        <v>0</v>
      </c>
      <c r="D695" s="1289">
        <v>0</v>
      </c>
      <c r="E695" s="1289">
        <v>0</v>
      </c>
      <c r="F695" s="1289">
        <v>0</v>
      </c>
      <c r="G695" s="1289">
        <v>0</v>
      </c>
      <c r="H695" s="1289">
        <v>0</v>
      </c>
      <c r="I695" s="1289">
        <v>0</v>
      </c>
      <c r="J695" s="1289">
        <v>0</v>
      </c>
    </row>
    <row r="696" spans="2:10">
      <c r="B696" s="81" t="s">
        <v>121</v>
      </c>
      <c r="C696" s="104"/>
      <c r="D696" s="104"/>
      <c r="E696" s="104"/>
      <c r="F696" s="104"/>
      <c r="G696" s="104"/>
      <c r="H696" s="104"/>
      <c r="I696" s="104"/>
      <c r="J696" s="104"/>
    </row>
    <row r="697" spans="2:10">
      <c r="B697" s="82" t="s">
        <v>120</v>
      </c>
      <c r="C697" s="104"/>
      <c r="D697" s="104"/>
      <c r="E697" s="104"/>
      <c r="F697" s="104"/>
      <c r="G697" s="104"/>
      <c r="H697" s="104"/>
      <c r="I697" s="104"/>
      <c r="J697" s="104"/>
    </row>
    <row r="698" spans="2:10">
      <c r="B698" s="82" t="s">
        <v>119</v>
      </c>
      <c r="C698" s="104"/>
      <c r="D698" s="104"/>
      <c r="E698" s="104"/>
      <c r="F698" s="104"/>
      <c r="G698" s="104"/>
      <c r="H698" s="104"/>
      <c r="I698" s="104"/>
      <c r="J698" s="104"/>
    </row>
    <row r="699" spans="2:10">
      <c r="B699" s="82" t="s">
        <v>172</v>
      </c>
      <c r="C699" s="104"/>
      <c r="D699" s="104"/>
      <c r="E699" s="104"/>
      <c r="F699" s="104"/>
      <c r="G699" s="104"/>
      <c r="H699" s="104"/>
      <c r="I699" s="104"/>
      <c r="J699" s="104"/>
    </row>
    <row r="700" spans="2:10">
      <c r="B700" s="81" t="s">
        <v>118</v>
      </c>
      <c r="C700" s="104"/>
      <c r="D700" s="104"/>
      <c r="E700" s="104"/>
      <c r="F700" s="104"/>
      <c r="G700" s="104"/>
      <c r="H700" s="104"/>
      <c r="I700" s="104"/>
      <c r="J700" s="104"/>
    </row>
    <row r="701" spans="2:10">
      <c r="B701" s="81" t="s">
        <v>117</v>
      </c>
      <c r="C701" s="104"/>
      <c r="D701" s="104"/>
      <c r="E701" s="104"/>
      <c r="F701" s="104"/>
      <c r="G701" s="104"/>
      <c r="H701" s="104"/>
      <c r="I701" s="104"/>
      <c r="J701" s="104"/>
    </row>
    <row r="702" spans="2:10">
      <c r="B702" s="81"/>
      <c r="C702" s="104"/>
      <c r="D702" s="104"/>
      <c r="E702" s="104"/>
      <c r="F702" s="104"/>
      <c r="G702" s="104"/>
      <c r="H702" s="104"/>
      <c r="I702" s="104"/>
      <c r="J702" s="104"/>
    </row>
    <row r="703" spans="2:10">
      <c r="B703" s="83" t="s">
        <v>173</v>
      </c>
      <c r="C703" s="1289">
        <v>0</v>
      </c>
      <c r="D703" s="1289">
        <v>0</v>
      </c>
      <c r="E703" s="1289">
        <v>0</v>
      </c>
      <c r="F703" s="1289">
        <v>0</v>
      </c>
      <c r="G703" s="1289">
        <v>0</v>
      </c>
      <c r="H703" s="1289">
        <v>0</v>
      </c>
      <c r="I703" s="1289">
        <v>0</v>
      </c>
      <c r="J703" s="1289">
        <v>0</v>
      </c>
    </row>
    <row r="704" spans="2:10">
      <c r="B704" s="81" t="s">
        <v>121</v>
      </c>
      <c r="C704" s="104"/>
      <c r="D704" s="104"/>
      <c r="E704" s="104"/>
      <c r="F704" s="104"/>
      <c r="G704" s="104"/>
      <c r="H704" s="104"/>
      <c r="I704" s="104"/>
      <c r="J704" s="104"/>
    </row>
    <row r="705" spans="2:10">
      <c r="B705" s="82" t="s">
        <v>120</v>
      </c>
      <c r="C705" s="104"/>
      <c r="D705" s="104"/>
      <c r="E705" s="104"/>
      <c r="F705" s="104"/>
      <c r="G705" s="104"/>
      <c r="H705" s="104"/>
      <c r="I705" s="104"/>
      <c r="J705" s="104"/>
    </row>
    <row r="706" spans="2:10">
      <c r="B706" s="82" t="s">
        <v>119</v>
      </c>
      <c r="C706" s="104"/>
      <c r="D706" s="104"/>
      <c r="E706" s="104"/>
      <c r="F706" s="104"/>
      <c r="G706" s="104"/>
      <c r="H706" s="104"/>
      <c r="I706" s="104"/>
      <c r="J706" s="104"/>
    </row>
    <row r="707" spans="2:10">
      <c r="B707" s="82" t="s">
        <v>197</v>
      </c>
      <c r="C707" s="104"/>
      <c r="D707" s="104"/>
      <c r="E707" s="104"/>
      <c r="F707" s="104"/>
      <c r="G707" s="104"/>
      <c r="H707" s="104"/>
      <c r="I707" s="104"/>
      <c r="J707" s="104"/>
    </row>
    <row r="708" spans="2:10">
      <c r="B708" s="81" t="s">
        <v>118</v>
      </c>
      <c r="C708" s="104"/>
      <c r="D708" s="104"/>
      <c r="E708" s="104"/>
      <c r="F708" s="104"/>
      <c r="G708" s="104"/>
      <c r="H708" s="104"/>
      <c r="I708" s="104"/>
      <c r="J708" s="104"/>
    </row>
    <row r="709" spans="2:10">
      <c r="B709" s="81" t="s">
        <v>117</v>
      </c>
      <c r="C709" s="104"/>
      <c r="D709" s="104"/>
      <c r="E709" s="104"/>
      <c r="F709" s="104"/>
      <c r="G709" s="104"/>
      <c r="H709" s="104"/>
      <c r="I709" s="104"/>
      <c r="J709" s="104"/>
    </row>
    <row r="710" spans="2:10">
      <c r="B710" s="81"/>
      <c r="C710" s="104"/>
      <c r="D710" s="104"/>
      <c r="E710" s="104"/>
      <c r="F710" s="104"/>
      <c r="G710" s="104"/>
      <c r="H710" s="104"/>
      <c r="I710" s="104"/>
      <c r="J710" s="104"/>
    </row>
    <row r="711" spans="2:10">
      <c r="B711" s="71" t="s">
        <v>171</v>
      </c>
      <c r="C711" s="1289">
        <v>0</v>
      </c>
      <c r="D711" s="1289">
        <v>0</v>
      </c>
      <c r="E711" s="1289">
        <v>0</v>
      </c>
      <c r="F711" s="1289">
        <v>0</v>
      </c>
      <c r="G711" s="1289">
        <v>0</v>
      </c>
      <c r="H711" s="1289">
        <v>0</v>
      </c>
      <c r="I711" s="1289">
        <v>0</v>
      </c>
      <c r="J711" s="1289">
        <v>0</v>
      </c>
    </row>
    <row r="712" spans="2:10">
      <c r="B712" s="52" t="s">
        <v>169</v>
      </c>
      <c r="C712" s="104"/>
      <c r="D712" s="104"/>
      <c r="E712" s="104"/>
      <c r="F712" s="104"/>
      <c r="G712" s="104"/>
      <c r="H712" s="104"/>
      <c r="I712" s="104"/>
      <c r="J712" s="104"/>
    </row>
    <row r="713" spans="2:10">
      <c r="B713" s="52" t="s">
        <v>168</v>
      </c>
      <c r="C713" s="104"/>
      <c r="D713" s="104"/>
      <c r="E713" s="104"/>
      <c r="F713" s="104"/>
      <c r="G713" s="104"/>
      <c r="H713" s="104"/>
      <c r="I713" s="104"/>
      <c r="J713" s="104"/>
    </row>
    <row r="714" spans="2:10">
      <c r="B714" s="52" t="s">
        <v>167</v>
      </c>
      <c r="C714" s="104"/>
      <c r="D714" s="104"/>
      <c r="E714" s="104"/>
      <c r="F714" s="104"/>
      <c r="G714" s="104"/>
      <c r="H714" s="104"/>
      <c r="I714" s="104"/>
      <c r="J714" s="104"/>
    </row>
    <row r="715" spans="2:10" ht="15" customHeight="1">
      <c r="B715" s="52" t="s">
        <v>166</v>
      </c>
      <c r="C715" s="104"/>
      <c r="D715" s="104"/>
      <c r="E715" s="104"/>
      <c r="F715" s="104"/>
      <c r="G715" s="104"/>
      <c r="H715" s="104"/>
      <c r="I715" s="104"/>
      <c r="J715" s="104"/>
    </row>
    <row r="716" spans="2:10">
      <c r="B716" s="52" t="s">
        <v>165</v>
      </c>
      <c r="C716" s="104"/>
      <c r="D716" s="104"/>
      <c r="E716" s="104"/>
      <c r="F716" s="104"/>
      <c r="G716" s="104"/>
      <c r="H716" s="104"/>
      <c r="I716" s="104"/>
      <c r="J716" s="104"/>
    </row>
    <row r="717" spans="2:10">
      <c r="B717" s="52" t="s">
        <v>164</v>
      </c>
      <c r="C717" s="104"/>
      <c r="D717" s="104"/>
      <c r="E717" s="104"/>
      <c r="F717" s="104"/>
      <c r="G717" s="104"/>
      <c r="H717" s="104"/>
      <c r="I717" s="104"/>
      <c r="J717" s="104"/>
    </row>
    <row r="718" spans="2:10">
      <c r="B718" s="52"/>
      <c r="C718" s="104"/>
      <c r="D718" s="104"/>
      <c r="E718" s="104"/>
      <c r="F718" s="104"/>
      <c r="G718" s="104"/>
      <c r="H718" s="104"/>
      <c r="I718" s="104"/>
      <c r="J718" s="104"/>
    </row>
    <row r="719" spans="2:10">
      <c r="B719" s="80" t="s">
        <v>170</v>
      </c>
      <c r="C719" s="1289">
        <v>0</v>
      </c>
      <c r="D719" s="1289">
        <v>0</v>
      </c>
      <c r="E719" s="1289">
        <v>0</v>
      </c>
      <c r="F719" s="1289">
        <v>0</v>
      </c>
      <c r="G719" s="1289">
        <v>0</v>
      </c>
      <c r="H719" s="1289">
        <v>0</v>
      </c>
      <c r="I719" s="1289">
        <v>0</v>
      </c>
      <c r="J719" s="1289">
        <v>0</v>
      </c>
    </row>
    <row r="720" spans="2:10">
      <c r="B720" s="52" t="s">
        <v>169</v>
      </c>
      <c r="C720" s="104"/>
      <c r="D720" s="104"/>
      <c r="E720" s="104"/>
      <c r="F720" s="104"/>
      <c r="G720" s="104"/>
      <c r="H720" s="104"/>
      <c r="I720" s="104"/>
      <c r="J720" s="104"/>
    </row>
    <row r="721" spans="2:10" ht="15" customHeight="1">
      <c r="B721" s="52" t="s">
        <v>168</v>
      </c>
      <c r="C721" s="104"/>
      <c r="D721" s="104"/>
      <c r="E721" s="104"/>
      <c r="F721" s="104"/>
      <c r="G721" s="104"/>
      <c r="H721" s="104"/>
      <c r="I721" s="104"/>
      <c r="J721" s="104"/>
    </row>
    <row r="722" spans="2:10">
      <c r="B722" s="52" t="s">
        <v>167</v>
      </c>
      <c r="C722" s="104"/>
      <c r="D722" s="104"/>
      <c r="E722" s="104"/>
      <c r="F722" s="104"/>
      <c r="G722" s="104"/>
      <c r="H722" s="104"/>
      <c r="I722" s="104"/>
      <c r="J722" s="104"/>
    </row>
    <row r="723" spans="2:10">
      <c r="B723" s="52" t="s">
        <v>166</v>
      </c>
      <c r="C723" s="104"/>
      <c r="D723" s="104"/>
      <c r="E723" s="104"/>
      <c r="F723" s="104"/>
      <c r="G723" s="104"/>
      <c r="H723" s="104"/>
      <c r="I723" s="104"/>
      <c r="J723" s="104"/>
    </row>
    <row r="724" spans="2:10">
      <c r="B724" s="52" t="s">
        <v>165</v>
      </c>
      <c r="C724" s="104"/>
      <c r="D724" s="104"/>
      <c r="E724" s="104"/>
      <c r="F724" s="104"/>
      <c r="G724" s="104"/>
      <c r="H724" s="104"/>
      <c r="I724" s="104"/>
      <c r="J724" s="104"/>
    </row>
    <row r="725" spans="2:10">
      <c r="B725" s="52" t="s">
        <v>164</v>
      </c>
      <c r="C725" s="104"/>
      <c r="D725" s="104"/>
      <c r="E725" s="104"/>
      <c r="F725" s="104"/>
      <c r="G725" s="104"/>
      <c r="H725" s="104"/>
      <c r="I725" s="104"/>
      <c r="J725" s="104"/>
    </row>
    <row r="726" spans="2:10" ht="15" thickBot="1">
      <c r="B726" s="52"/>
      <c r="C726" s="1290"/>
      <c r="D726" s="1290"/>
      <c r="E726" s="1290"/>
      <c r="F726" s="1290"/>
      <c r="G726" s="1290"/>
      <c r="H726" s="1290"/>
      <c r="I726" s="1290"/>
      <c r="J726" s="1290"/>
    </row>
    <row r="727" spans="2:10" ht="15" thickTop="1">
      <c r="B727" s="2025"/>
      <c r="C727" s="2025"/>
      <c r="D727" s="2025"/>
      <c r="E727" s="2025"/>
      <c r="F727" s="2025"/>
      <c r="G727" s="2025"/>
      <c r="H727" s="2025"/>
      <c r="I727" s="2025"/>
      <c r="J727" s="2025"/>
    </row>
    <row r="728" spans="2:10">
      <c r="B728" s="2017"/>
      <c r="C728" s="2017"/>
      <c r="D728" s="2017"/>
      <c r="E728" s="2017"/>
      <c r="F728" s="2017"/>
      <c r="G728" s="2017"/>
      <c r="H728" s="2017"/>
      <c r="I728" s="2017"/>
      <c r="J728" s="2017"/>
    </row>
    <row r="729" spans="2:10">
      <c r="B729" s="64"/>
      <c r="C729" s="449"/>
      <c r="D729" s="449"/>
      <c r="E729" s="449"/>
      <c r="F729" s="449"/>
      <c r="G729" s="449"/>
      <c r="H729" s="449"/>
      <c r="I729" s="449"/>
      <c r="J729" s="449"/>
    </row>
    <row r="730" spans="2:10">
      <c r="B730" s="2126" t="s">
        <v>161</v>
      </c>
      <c r="C730" s="2126"/>
      <c r="D730" s="2126"/>
      <c r="E730" s="2126"/>
      <c r="F730" s="2126"/>
      <c r="G730" s="2126"/>
      <c r="H730" s="2126"/>
      <c r="I730" s="2126"/>
      <c r="J730" s="2126"/>
    </row>
    <row r="731" spans="2:10">
      <c r="B731" s="892" t="s">
        <v>160</v>
      </c>
      <c r="C731" s="1274"/>
      <c r="D731" s="1274"/>
      <c r="E731" s="1274"/>
      <c r="F731" s="1274"/>
      <c r="G731" s="1274"/>
      <c r="H731" s="1274"/>
      <c r="I731" s="1274"/>
      <c r="J731" s="1274"/>
    </row>
    <row r="732" spans="2:10">
      <c r="B732" s="77" t="s">
        <v>269</v>
      </c>
      <c r="C732" s="1274"/>
      <c r="D732" s="1274"/>
      <c r="E732" s="1274"/>
      <c r="F732" s="1274"/>
      <c r="G732" s="1274"/>
      <c r="H732" s="1274"/>
      <c r="I732" s="1274"/>
      <c r="J732" s="1274"/>
    </row>
    <row r="733" spans="2:10">
      <c r="B733" s="76"/>
      <c r="C733" s="1274"/>
      <c r="D733" s="1274"/>
      <c r="E733" s="1274"/>
      <c r="F733" s="1274"/>
      <c r="G733" s="1274"/>
      <c r="H733" s="1274"/>
      <c r="I733" s="1274"/>
      <c r="J733" s="1274"/>
    </row>
    <row r="734" spans="2:10">
      <c r="B734" s="61"/>
      <c r="C734" s="1277">
        <v>2014</v>
      </c>
      <c r="D734" s="1277">
        <v>2015</v>
      </c>
      <c r="E734" s="1277">
        <v>2016</v>
      </c>
      <c r="F734" s="1277">
        <v>2017</v>
      </c>
      <c r="G734" s="1277">
        <v>2018</v>
      </c>
      <c r="H734" s="1277">
        <v>2019</v>
      </c>
      <c r="I734" s="1277">
        <v>2020</v>
      </c>
      <c r="J734" s="1277">
        <v>2021</v>
      </c>
    </row>
    <row r="735" spans="2:10">
      <c r="B735" s="59" t="s">
        <v>1303</v>
      </c>
      <c r="C735" s="1274"/>
      <c r="D735" s="1274"/>
      <c r="E735" s="1274"/>
      <c r="F735" s="1274"/>
      <c r="G735" s="1274"/>
      <c r="H735" s="1274"/>
      <c r="I735" s="1274"/>
      <c r="J735" s="1274"/>
    </row>
    <row r="736" spans="2:10">
      <c r="B736" s="71" t="s">
        <v>516</v>
      </c>
      <c r="C736" s="1291">
        <v>18</v>
      </c>
      <c r="D736" s="1291">
        <v>18</v>
      </c>
      <c r="E736" s="1291">
        <v>16</v>
      </c>
      <c r="F736" s="1291">
        <v>16</v>
      </c>
      <c r="G736" s="1291">
        <v>16</v>
      </c>
      <c r="H736" s="1291">
        <v>16</v>
      </c>
      <c r="I736" s="1291">
        <v>16</v>
      </c>
      <c r="J736" s="1291">
        <v>16</v>
      </c>
    </row>
    <row r="737" spans="2:10">
      <c r="B737" s="52" t="s">
        <v>150</v>
      </c>
      <c r="C737" s="1292">
        <v>1</v>
      </c>
      <c r="D737" s="1292">
        <v>1</v>
      </c>
      <c r="E737" s="1292">
        <v>1</v>
      </c>
      <c r="F737" s="1292">
        <v>1</v>
      </c>
      <c r="G737" s="1292">
        <v>1</v>
      </c>
      <c r="H737" s="1292">
        <v>1</v>
      </c>
      <c r="I737" s="1292">
        <v>1</v>
      </c>
      <c r="J737" s="1292">
        <v>1</v>
      </c>
    </row>
    <row r="738" spans="2:10">
      <c r="B738" s="52" t="s">
        <v>149</v>
      </c>
      <c r="C738" s="818" t="s">
        <v>2086</v>
      </c>
      <c r="D738" s="818" t="s">
        <v>2086</v>
      </c>
      <c r="E738" s="818" t="s">
        <v>2086</v>
      </c>
      <c r="F738" s="818" t="s">
        <v>2086</v>
      </c>
      <c r="G738" s="818" t="s">
        <v>2086</v>
      </c>
      <c r="H738" s="818" t="s">
        <v>2086</v>
      </c>
      <c r="I738" s="818" t="s">
        <v>2086</v>
      </c>
      <c r="J738" s="818" t="s">
        <v>2086</v>
      </c>
    </row>
    <row r="739" spans="2:10">
      <c r="B739" s="52" t="s">
        <v>148</v>
      </c>
      <c r="C739" s="818" t="s">
        <v>2086</v>
      </c>
      <c r="D739" s="818" t="s">
        <v>2086</v>
      </c>
      <c r="E739" s="818" t="s">
        <v>2086</v>
      </c>
      <c r="F739" s="818" t="s">
        <v>2086</v>
      </c>
      <c r="G739" s="818" t="s">
        <v>2086</v>
      </c>
      <c r="H739" s="818" t="s">
        <v>2086</v>
      </c>
      <c r="I739" s="818" t="s">
        <v>2086</v>
      </c>
      <c r="J739" s="818" t="s">
        <v>2086</v>
      </c>
    </row>
    <row r="740" spans="2:10">
      <c r="B740" s="52" t="s">
        <v>147</v>
      </c>
      <c r="C740" s="1292">
        <v>17</v>
      </c>
      <c r="D740" s="1292">
        <v>17</v>
      </c>
      <c r="E740" s="1292">
        <v>15</v>
      </c>
      <c r="F740" s="1292">
        <v>15</v>
      </c>
      <c r="G740" s="1292">
        <v>15</v>
      </c>
      <c r="H740" s="1292">
        <v>15</v>
      </c>
      <c r="I740" s="1293">
        <v>15</v>
      </c>
      <c r="J740" s="1292">
        <v>15</v>
      </c>
    </row>
    <row r="741" spans="2:10">
      <c r="B741" s="52" t="s">
        <v>146</v>
      </c>
      <c r="C741" s="818" t="s">
        <v>2086</v>
      </c>
      <c r="D741" s="818" t="s">
        <v>2086</v>
      </c>
      <c r="E741" s="818" t="s">
        <v>2086</v>
      </c>
      <c r="F741" s="818" t="s">
        <v>2086</v>
      </c>
      <c r="G741" s="818" t="s">
        <v>2086</v>
      </c>
      <c r="H741" s="818" t="s">
        <v>2086</v>
      </c>
      <c r="I741" s="818" t="s">
        <v>2086</v>
      </c>
      <c r="J741" s="818" t="s">
        <v>2086</v>
      </c>
    </row>
    <row r="742" spans="2:10">
      <c r="B742" s="52"/>
      <c r="C742" s="1274"/>
      <c r="D742" s="1274"/>
      <c r="E742" s="1274"/>
      <c r="F742" s="1274"/>
      <c r="G742" s="1274"/>
      <c r="H742" s="1274"/>
      <c r="I742" s="1274"/>
      <c r="J742" s="1274"/>
    </row>
    <row r="743" spans="2:10">
      <c r="B743" s="71" t="s">
        <v>152</v>
      </c>
      <c r="C743" s="818" t="s">
        <v>2086</v>
      </c>
      <c r="D743" s="818" t="s">
        <v>2086</v>
      </c>
      <c r="E743" s="818" t="s">
        <v>2086</v>
      </c>
      <c r="F743" s="818" t="s">
        <v>2086</v>
      </c>
      <c r="G743" s="818" t="s">
        <v>2086</v>
      </c>
      <c r="H743" s="818" t="s">
        <v>2086</v>
      </c>
      <c r="I743" s="818" t="s">
        <v>2086</v>
      </c>
      <c r="J743" s="818" t="s">
        <v>2086</v>
      </c>
    </row>
    <row r="744" spans="2:10">
      <c r="B744" s="52" t="s">
        <v>150</v>
      </c>
      <c r="C744" s="1292"/>
      <c r="D744" s="1292"/>
      <c r="E744" s="1292"/>
      <c r="F744" s="1292"/>
      <c r="G744" s="1292"/>
      <c r="H744" s="1292"/>
      <c r="I744" s="1292"/>
      <c r="J744" s="1292"/>
    </row>
    <row r="745" spans="2:10">
      <c r="B745" s="52" t="s">
        <v>149</v>
      </c>
      <c r="C745" s="866"/>
      <c r="D745" s="866"/>
      <c r="E745" s="866"/>
      <c r="F745" s="866"/>
      <c r="G745" s="866"/>
      <c r="H745" s="866"/>
      <c r="I745" s="866"/>
      <c r="J745" s="866"/>
    </row>
    <row r="746" spans="2:10">
      <c r="B746" s="52" t="s">
        <v>148</v>
      </c>
      <c r="C746" s="866"/>
      <c r="D746" s="866"/>
      <c r="E746" s="866"/>
      <c r="F746" s="866"/>
      <c r="G746" s="866"/>
      <c r="H746" s="866"/>
      <c r="I746" s="866"/>
      <c r="J746" s="866"/>
    </row>
    <row r="747" spans="2:10">
      <c r="B747" s="52" t="s">
        <v>147</v>
      </c>
      <c r="C747" s="1292"/>
      <c r="D747" s="1292"/>
      <c r="E747" s="1292"/>
      <c r="F747" s="1292"/>
      <c r="G747" s="1292"/>
      <c r="H747" s="1292"/>
      <c r="I747" s="1292"/>
      <c r="J747" s="1292"/>
    </row>
    <row r="748" spans="2:10">
      <c r="B748" s="52" t="s">
        <v>146</v>
      </c>
      <c r="C748" s="1292"/>
      <c r="D748" s="1292"/>
      <c r="E748" s="1292"/>
      <c r="F748" s="1292"/>
      <c r="G748" s="1292"/>
      <c r="H748" s="1292"/>
      <c r="I748" s="1292"/>
      <c r="J748" s="1292"/>
    </row>
    <row r="749" spans="2:10">
      <c r="B749" s="52"/>
      <c r="C749" s="1274"/>
      <c r="D749" s="1274"/>
      <c r="E749" s="1274"/>
      <c r="F749" s="1274"/>
      <c r="G749" s="1274"/>
      <c r="H749" s="1274"/>
      <c r="I749" s="1274"/>
      <c r="J749" s="1274"/>
    </row>
    <row r="750" spans="2:10">
      <c r="B750" s="71" t="s">
        <v>151</v>
      </c>
      <c r="C750" s="818" t="s">
        <v>2086</v>
      </c>
      <c r="D750" s="818" t="s">
        <v>2086</v>
      </c>
      <c r="E750" s="818" t="s">
        <v>2086</v>
      </c>
      <c r="F750" s="818" t="s">
        <v>2086</v>
      </c>
      <c r="G750" s="818" t="s">
        <v>2086</v>
      </c>
      <c r="H750" s="818" t="s">
        <v>2086</v>
      </c>
      <c r="I750" s="818" t="s">
        <v>2086</v>
      </c>
      <c r="J750" s="818" t="s">
        <v>2086</v>
      </c>
    </row>
    <row r="751" spans="2:10">
      <c r="B751" s="52" t="s">
        <v>150</v>
      </c>
      <c r="C751" s="866"/>
      <c r="D751" s="866"/>
      <c r="E751" s="866"/>
      <c r="F751" s="866"/>
      <c r="G751" s="866"/>
      <c r="H751" s="866"/>
      <c r="I751" s="866"/>
      <c r="J751" s="866"/>
    </row>
    <row r="752" spans="2:10">
      <c r="B752" s="52" t="s">
        <v>149</v>
      </c>
      <c r="C752" s="866"/>
      <c r="D752" s="866"/>
      <c r="E752" s="866"/>
      <c r="F752" s="866"/>
      <c r="G752" s="866"/>
      <c r="H752" s="866"/>
      <c r="I752" s="866"/>
      <c r="J752" s="866"/>
    </row>
    <row r="753" spans="2:10">
      <c r="B753" s="52" t="s">
        <v>148</v>
      </c>
      <c r="C753" s="866"/>
      <c r="D753" s="866"/>
      <c r="E753" s="866"/>
      <c r="F753" s="866"/>
      <c r="G753" s="866"/>
      <c r="H753" s="866"/>
      <c r="I753" s="866"/>
      <c r="J753" s="866"/>
    </row>
    <row r="754" spans="2:10">
      <c r="B754" s="52" t="s">
        <v>147</v>
      </c>
      <c r="C754" s="866"/>
      <c r="D754" s="866"/>
      <c r="E754" s="866"/>
      <c r="F754" s="866"/>
      <c r="G754" s="866"/>
      <c r="H754" s="866"/>
      <c r="I754" s="866"/>
      <c r="J754" s="866"/>
    </row>
    <row r="755" spans="2:10">
      <c r="B755" s="52" t="s">
        <v>146</v>
      </c>
      <c r="C755" s="866"/>
      <c r="D755" s="866"/>
      <c r="E755" s="866"/>
      <c r="F755" s="866"/>
      <c r="G755" s="866"/>
      <c r="H755" s="866"/>
      <c r="I755" s="866"/>
      <c r="J755" s="866"/>
    </row>
    <row r="756" spans="2:10" ht="15" thickBot="1">
      <c r="B756" s="1018"/>
      <c r="C756" s="1274"/>
      <c r="D756" s="1274"/>
      <c r="E756" s="1274"/>
      <c r="F756" s="1274"/>
      <c r="G756" s="1274"/>
      <c r="H756" s="1274"/>
      <c r="I756" s="1274"/>
      <c r="J756" s="1274"/>
    </row>
    <row r="757" spans="2:10" ht="15" thickTop="1">
      <c r="B757" s="2025" t="s">
        <v>1769</v>
      </c>
      <c r="C757" s="2025"/>
      <c r="D757" s="2025"/>
      <c r="E757" s="2025"/>
      <c r="F757" s="2025"/>
      <c r="G757" s="2025"/>
      <c r="H757" s="2025"/>
      <c r="I757" s="2025"/>
      <c r="J757" s="2025"/>
    </row>
    <row r="758" spans="2:10">
      <c r="B758" s="2017"/>
      <c r="C758" s="2017"/>
      <c r="D758" s="2017"/>
      <c r="E758" s="2017"/>
      <c r="F758" s="2017"/>
      <c r="G758" s="2017"/>
      <c r="H758" s="2017"/>
      <c r="I758" s="2017"/>
      <c r="J758" s="2017"/>
    </row>
    <row r="759" spans="2:10">
      <c r="B759" s="62"/>
      <c r="C759" s="449"/>
      <c r="D759" s="449"/>
      <c r="E759" s="449"/>
      <c r="F759" s="449"/>
      <c r="G759" s="449"/>
      <c r="H759" s="449"/>
      <c r="I759" s="449"/>
      <c r="J759" s="449"/>
    </row>
    <row r="760" spans="2:10">
      <c r="B760" s="2100" t="s">
        <v>144</v>
      </c>
      <c r="C760" s="2100"/>
      <c r="D760" s="2100"/>
      <c r="E760" s="2100"/>
      <c r="F760" s="2100"/>
      <c r="G760" s="2100"/>
      <c r="H760" s="2100"/>
      <c r="I760" s="2100"/>
      <c r="J760" s="2100"/>
    </row>
    <row r="761" spans="2:10">
      <c r="B761" s="12" t="s">
        <v>143</v>
      </c>
      <c r="C761" s="449"/>
      <c r="D761" s="449"/>
      <c r="E761" s="449"/>
      <c r="F761" s="449"/>
      <c r="G761" s="449"/>
      <c r="H761" s="449"/>
      <c r="I761" s="449"/>
      <c r="J761" s="449"/>
    </row>
    <row r="762" spans="2:10">
      <c r="B762" s="62" t="s">
        <v>142</v>
      </c>
      <c r="C762" s="449"/>
      <c r="D762" s="449"/>
      <c r="E762" s="449"/>
      <c r="F762" s="449"/>
      <c r="G762" s="449"/>
      <c r="H762" s="449"/>
      <c r="I762" s="449"/>
      <c r="J762" s="449"/>
    </row>
    <row r="763" spans="2:10">
      <c r="B763" s="62"/>
      <c r="C763" s="449"/>
      <c r="D763" s="449"/>
      <c r="E763" s="449"/>
      <c r="F763" s="449"/>
      <c r="G763" s="449"/>
      <c r="H763" s="449"/>
      <c r="I763" s="449"/>
      <c r="J763" s="449"/>
    </row>
    <row r="764" spans="2:10">
      <c r="B764" s="61"/>
      <c r="C764" s="1277">
        <v>2014</v>
      </c>
      <c r="D764" s="1277">
        <v>2015</v>
      </c>
      <c r="E764" s="1277">
        <v>2016</v>
      </c>
      <c r="F764" s="1277">
        <v>2017</v>
      </c>
      <c r="G764" s="1277">
        <v>2018</v>
      </c>
      <c r="H764" s="1277">
        <v>2019</v>
      </c>
      <c r="I764" s="1277">
        <v>2020</v>
      </c>
      <c r="J764" s="1277">
        <v>2021</v>
      </c>
    </row>
    <row r="765" spans="2:10">
      <c r="B765" s="59" t="s">
        <v>1355</v>
      </c>
      <c r="C765" s="1274"/>
      <c r="D765" s="1274"/>
      <c r="E765" s="1274"/>
      <c r="F765" s="1274"/>
      <c r="G765" s="1274"/>
      <c r="H765" s="1274"/>
      <c r="I765" s="1274"/>
      <c r="J765" s="1274"/>
    </row>
    <row r="766" spans="2:10">
      <c r="B766" s="71" t="s">
        <v>141</v>
      </c>
      <c r="C766" s="1294">
        <f>C767</f>
        <v>8.2000000000000003E-2</v>
      </c>
      <c r="D766" s="1294">
        <f>D767</f>
        <v>7.6000000000000012E-2</v>
      </c>
      <c r="E766" s="1294">
        <f t="shared" ref="E766:H766" si="20">E767</f>
        <v>7.8E-2</v>
      </c>
      <c r="F766" s="1294">
        <f t="shared" si="20"/>
        <v>8.7999999999999995E-2</v>
      </c>
      <c r="G766" s="1294">
        <f t="shared" si="20"/>
        <v>8.5999999999999993E-2</v>
      </c>
      <c r="H766" s="1294">
        <f t="shared" si="20"/>
        <v>8.7000000000000008E-2</v>
      </c>
      <c r="I766" s="1294">
        <f>I767</f>
        <v>9.0999999999999998E-2</v>
      </c>
      <c r="J766" s="1294">
        <f>J767</f>
        <v>9.8000000000000004E-2</v>
      </c>
    </row>
    <row r="767" spans="2:10">
      <c r="B767" s="52" t="s">
        <v>121</v>
      </c>
      <c r="C767" s="859">
        <f>SUM(C768:C770)</f>
        <v>8.2000000000000003E-2</v>
      </c>
      <c r="D767" s="859">
        <f>SUM(D768:D770)</f>
        <v>7.6000000000000012E-2</v>
      </c>
      <c r="E767" s="859">
        <f t="shared" ref="E767:H767" si="21">SUM(E768:E770)</f>
        <v>7.8E-2</v>
      </c>
      <c r="F767" s="859">
        <f t="shared" si="21"/>
        <v>8.7999999999999995E-2</v>
      </c>
      <c r="G767" s="859">
        <f t="shared" si="21"/>
        <v>8.5999999999999993E-2</v>
      </c>
      <c r="H767" s="859">
        <f t="shared" si="21"/>
        <v>8.7000000000000008E-2</v>
      </c>
      <c r="I767" s="859">
        <f>SUM(I768:I770)</f>
        <v>9.0999999999999998E-2</v>
      </c>
      <c r="J767" s="859">
        <f>SUM(J768:J770)</f>
        <v>9.8000000000000004E-2</v>
      </c>
    </row>
    <row r="768" spans="2:10">
      <c r="B768" s="53" t="s">
        <v>120</v>
      </c>
      <c r="C768" s="859">
        <f>64/1000</f>
        <v>6.4000000000000001E-2</v>
      </c>
      <c r="D768" s="1295">
        <v>1.4E-2</v>
      </c>
      <c r="E768" s="1295">
        <v>1.4999999999999999E-2</v>
      </c>
      <c r="F768" s="1295">
        <v>1.2999999999999999E-2</v>
      </c>
      <c r="G768" s="1295">
        <v>1.2999999999999999E-2</v>
      </c>
      <c r="H768" s="1295">
        <v>1.2999999999999999E-2</v>
      </c>
      <c r="I768" s="1295">
        <v>1.2999999999999999E-2</v>
      </c>
      <c r="J768" s="1296">
        <v>1.2999999999999999E-2</v>
      </c>
    </row>
    <row r="769" spans="2:10">
      <c r="B769" s="53" t="s">
        <v>1776</v>
      </c>
      <c r="C769" s="859">
        <f>18/1000</f>
        <v>1.7999999999999999E-2</v>
      </c>
      <c r="D769" s="1295">
        <v>5.5E-2</v>
      </c>
      <c r="E769" s="1295">
        <v>5.8999999999999997E-2</v>
      </c>
      <c r="F769" s="1295">
        <v>6.5000000000000002E-2</v>
      </c>
      <c r="G769" s="1295">
        <v>6.5000000000000002E-2</v>
      </c>
      <c r="H769" s="1295">
        <v>6.7000000000000004E-2</v>
      </c>
      <c r="I769" s="1295">
        <v>7.6999999999999999E-2</v>
      </c>
      <c r="J769" s="1296">
        <v>8.4000000000000005E-2</v>
      </c>
    </row>
    <row r="770" spans="2:10">
      <c r="B770" s="53" t="s">
        <v>1777</v>
      </c>
      <c r="C770" s="859">
        <f>0/1000</f>
        <v>0</v>
      </c>
      <c r="D770" s="1295">
        <v>7.0000000000000001E-3</v>
      </c>
      <c r="E770" s="1295">
        <v>4.0000000000000001E-3</v>
      </c>
      <c r="F770" s="1295">
        <v>0.01</v>
      </c>
      <c r="G770" s="1295">
        <v>8.0000000000000002E-3</v>
      </c>
      <c r="H770" s="1295">
        <v>7.0000000000000001E-3</v>
      </c>
      <c r="I770" s="1295">
        <v>1E-3</v>
      </c>
      <c r="J770" s="1296">
        <v>1E-3</v>
      </c>
    </row>
    <row r="771" spans="2:10">
      <c r="B771" s="52" t="s">
        <v>118</v>
      </c>
      <c r="C771" s="1289">
        <v>0</v>
      </c>
      <c r="D771" s="1289">
        <v>0</v>
      </c>
      <c r="E771" s="1289">
        <v>0</v>
      </c>
      <c r="F771" s="1289">
        <v>0</v>
      </c>
      <c r="G771" s="1289">
        <v>0</v>
      </c>
      <c r="H771" s="1289">
        <v>0</v>
      </c>
      <c r="I771" s="1289">
        <v>0</v>
      </c>
      <c r="J771" s="1289">
        <v>0</v>
      </c>
    </row>
    <row r="772" spans="2:10" ht="15" thickBot="1">
      <c r="B772" s="52" t="s">
        <v>117</v>
      </c>
      <c r="C772" s="1289">
        <v>0</v>
      </c>
      <c r="D772" s="1289">
        <v>0</v>
      </c>
      <c r="E772" s="1289">
        <v>0</v>
      </c>
      <c r="F772" s="1289">
        <v>0</v>
      </c>
      <c r="G772" s="1289">
        <v>0</v>
      </c>
      <c r="H772" s="1289">
        <v>0</v>
      </c>
      <c r="I772" s="1289">
        <v>0</v>
      </c>
      <c r="J772" s="1289">
        <v>0</v>
      </c>
    </row>
    <row r="773" spans="2:10" ht="15" thickTop="1">
      <c r="B773" s="2025" t="s">
        <v>1769</v>
      </c>
      <c r="C773" s="2025"/>
      <c r="D773" s="2025"/>
      <c r="E773" s="2025"/>
      <c r="F773" s="2025"/>
      <c r="G773" s="2025"/>
      <c r="H773" s="2025"/>
      <c r="I773" s="2025"/>
      <c r="J773" s="2025"/>
    </row>
    <row r="774" spans="2:10">
      <c r="B774" s="2017"/>
      <c r="C774" s="2017"/>
      <c r="D774" s="2017"/>
      <c r="E774" s="2017"/>
      <c r="F774" s="2017"/>
      <c r="G774" s="2017"/>
      <c r="H774" s="2017"/>
      <c r="I774" s="2017"/>
      <c r="J774" s="2017"/>
    </row>
    <row r="775" spans="2:10">
      <c r="B775" s="64"/>
      <c r="C775" s="449"/>
      <c r="D775" s="449"/>
      <c r="E775" s="449"/>
      <c r="F775" s="449"/>
      <c r="G775" s="449"/>
      <c r="H775" s="449"/>
      <c r="I775" s="449"/>
      <c r="J775" s="449"/>
    </row>
    <row r="776" spans="2:10">
      <c r="B776" s="2100" t="s">
        <v>140</v>
      </c>
      <c r="C776" s="2100"/>
      <c r="D776" s="2100"/>
      <c r="E776" s="2100"/>
      <c r="F776" s="2100"/>
      <c r="G776" s="2100"/>
      <c r="H776" s="2100"/>
      <c r="I776" s="2100"/>
      <c r="J776" s="2100"/>
    </row>
    <row r="777" spans="2:10">
      <c r="B777" s="892" t="s">
        <v>139</v>
      </c>
      <c r="C777" s="1274"/>
      <c r="D777" s="1274"/>
      <c r="E777" s="1274"/>
      <c r="F777" s="1274"/>
      <c r="G777" s="1274"/>
      <c r="H777" s="1274"/>
      <c r="I777" s="1274"/>
      <c r="J777" s="1274"/>
    </row>
    <row r="778" spans="2:10">
      <c r="B778" s="62" t="s">
        <v>138</v>
      </c>
      <c r="C778" s="1274"/>
      <c r="D778" s="1297"/>
      <c r="E778" s="1297"/>
      <c r="F778" s="1297"/>
      <c r="G778" s="1297"/>
      <c r="H778" s="1297"/>
      <c r="I778" s="1297"/>
      <c r="J778" s="1297"/>
    </row>
    <row r="779" spans="2:10">
      <c r="B779" s="64"/>
      <c r="C779" s="1274"/>
      <c r="D779" s="1297"/>
      <c r="E779" s="1297"/>
      <c r="F779" s="1297"/>
      <c r="G779" s="1297"/>
      <c r="H779" s="1297"/>
      <c r="I779" s="1297"/>
      <c r="J779" s="1297"/>
    </row>
    <row r="780" spans="2:10">
      <c r="B780" s="61"/>
      <c r="C780" s="1277">
        <v>2014</v>
      </c>
      <c r="D780" s="1277">
        <v>2015</v>
      </c>
      <c r="E780" s="1277">
        <v>2016</v>
      </c>
      <c r="F780" s="1277">
        <v>2017</v>
      </c>
      <c r="G780" s="1277">
        <v>2018</v>
      </c>
      <c r="H780" s="1277">
        <v>2019</v>
      </c>
      <c r="I780" s="1277">
        <v>2020</v>
      </c>
      <c r="J780" s="1277">
        <v>2021</v>
      </c>
    </row>
    <row r="781" spans="2:10">
      <c r="B781" s="59" t="s">
        <v>1355</v>
      </c>
      <c r="C781" s="1274"/>
      <c r="D781" s="1274"/>
      <c r="E781" s="1274"/>
      <c r="F781" s="1274"/>
      <c r="G781" s="1274"/>
      <c r="H781" s="1274"/>
      <c r="I781" s="1274"/>
      <c r="J781" s="1274"/>
    </row>
    <row r="782" spans="2:10" ht="21.75" customHeight="1">
      <c r="B782" s="71" t="s">
        <v>1778</v>
      </c>
      <c r="C782" s="1297">
        <f>C783</f>
        <v>4300.168654116369</v>
      </c>
      <c r="D782" s="1297">
        <f t="shared" ref="D782:J782" si="22">D783</f>
        <v>4347.1651244751765</v>
      </c>
      <c r="E782" s="1297">
        <f t="shared" si="22"/>
        <v>4607.329150966345</v>
      </c>
      <c r="F782" s="1297">
        <f t="shared" si="22"/>
        <v>5265.6981567570892</v>
      </c>
      <c r="G782" s="1297">
        <f t="shared" si="22"/>
        <v>5761.9692580201281</v>
      </c>
      <c r="H782" s="1297">
        <f t="shared" si="22"/>
        <v>6245.9433769365951</v>
      </c>
      <c r="I782" s="1297">
        <f t="shared" si="22"/>
        <v>6828.1754021988763</v>
      </c>
      <c r="J782" s="1297">
        <f t="shared" si="22"/>
        <v>8620.2705136215482</v>
      </c>
    </row>
    <row r="783" spans="2:10">
      <c r="B783" s="52" t="s">
        <v>1773</v>
      </c>
      <c r="C783" s="1297">
        <f t="shared" ref="C783:J783" si="23">SUM(C784:C785)</f>
        <v>4300.168654116369</v>
      </c>
      <c r="D783" s="1297">
        <f t="shared" si="23"/>
        <v>4347.1651244751765</v>
      </c>
      <c r="E783" s="1297">
        <f t="shared" si="23"/>
        <v>4607.329150966345</v>
      </c>
      <c r="F783" s="1297">
        <f t="shared" si="23"/>
        <v>5265.6981567570892</v>
      </c>
      <c r="G783" s="1297">
        <f t="shared" si="23"/>
        <v>5761.9692580201281</v>
      </c>
      <c r="H783" s="1297">
        <f t="shared" si="23"/>
        <v>6245.9433769365951</v>
      </c>
      <c r="I783" s="1297">
        <f t="shared" si="23"/>
        <v>6828.1754021988763</v>
      </c>
      <c r="J783" s="1297">
        <f t="shared" si="23"/>
        <v>8620.2705136215482</v>
      </c>
    </row>
    <row r="784" spans="2:10">
      <c r="B784" s="53" t="s">
        <v>1774</v>
      </c>
      <c r="C784" s="1297">
        <f>25267.9/C12</f>
        <v>1201.843106089583</v>
      </c>
      <c r="D784" s="1298">
        <f>30462.334/D12</f>
        <v>1378.4612126587829</v>
      </c>
      <c r="E784" s="1297">
        <f>24957.413/E12</f>
        <v>1085.3465303179671</v>
      </c>
      <c r="F784" s="1297">
        <f>27423.364/F12</f>
        <v>1159.4768370770385</v>
      </c>
      <c r="G784" s="1297">
        <f>22828.577/G12</f>
        <v>948.42225492956823</v>
      </c>
      <c r="H784" s="1298">
        <f>25195.761/H12</f>
        <v>1020.8935992537434</v>
      </c>
      <c r="I784" s="1297">
        <f>22132.012/I12</f>
        <v>894.08016625333175</v>
      </c>
      <c r="J784" s="1297">
        <f>31558.6/J12</f>
        <v>1304.8957938691199</v>
      </c>
    </row>
    <row r="785" spans="2:10">
      <c r="B785" s="53" t="s">
        <v>1775</v>
      </c>
      <c r="C785" s="1297">
        <f>65140.1/C12</f>
        <v>3098.3255480267862</v>
      </c>
      <c r="D785" s="1298">
        <f>65604.784/D12</f>
        <v>2968.7039118163934</v>
      </c>
      <c r="E785" s="1297">
        <f>80987.567/E12</f>
        <v>3521.9826206483776</v>
      </c>
      <c r="F785" s="1298">
        <f>97118.285/F12</f>
        <v>4106.2213196800503</v>
      </c>
      <c r="G785" s="1298">
        <f>115862.347/G12</f>
        <v>4813.5470030905599</v>
      </c>
      <c r="H785" s="1298">
        <f>128954.776/H12</f>
        <v>5225.0497776828515</v>
      </c>
      <c r="I785" s="1298">
        <f>146892.272/I12</f>
        <v>5934.095235945545</v>
      </c>
      <c r="J785" s="1297">
        <f>176920.629/J12</f>
        <v>7315.374719752429</v>
      </c>
    </row>
    <row r="786" spans="2:10">
      <c r="B786" s="52" t="s">
        <v>118</v>
      </c>
      <c r="C786" s="1289">
        <v>0</v>
      </c>
      <c r="D786" s="1289">
        <v>0</v>
      </c>
      <c r="E786" s="1289">
        <v>0</v>
      </c>
      <c r="F786" s="1289">
        <v>0</v>
      </c>
      <c r="G786" s="1289">
        <v>0</v>
      </c>
      <c r="H786" s="1289">
        <v>0</v>
      </c>
      <c r="I786" s="1289">
        <v>0</v>
      </c>
      <c r="J786" s="1289">
        <v>0</v>
      </c>
    </row>
    <row r="787" spans="2:10">
      <c r="B787" s="52" t="s">
        <v>117</v>
      </c>
      <c r="C787" s="1289">
        <v>0</v>
      </c>
      <c r="D787" s="1289">
        <v>0</v>
      </c>
      <c r="E787" s="1289">
        <v>0</v>
      </c>
      <c r="F787" s="1289">
        <v>0</v>
      </c>
      <c r="G787" s="1289">
        <v>0</v>
      </c>
      <c r="H787" s="1289">
        <v>0</v>
      </c>
      <c r="I787" s="1289">
        <v>0</v>
      </c>
      <c r="J787" s="1289">
        <v>0</v>
      </c>
    </row>
    <row r="788" spans="2:10">
      <c r="B788" s="71"/>
      <c r="C788" s="1289"/>
      <c r="D788" s="1289"/>
      <c r="E788" s="1289"/>
      <c r="F788" s="1289"/>
      <c r="G788" s="1289"/>
      <c r="H788" s="1289"/>
      <c r="I788" s="1289"/>
      <c r="J788" s="1289"/>
    </row>
    <row r="789" spans="2:10">
      <c r="B789" s="71" t="s">
        <v>137</v>
      </c>
      <c r="C789" s="1276"/>
      <c r="D789" s="1297">
        <f t="shared" ref="D789:J789" si="24">D790</f>
        <v>557.44499999999994</v>
      </c>
      <c r="E789" s="1297">
        <f t="shared" si="24"/>
        <v>339.97800000000001</v>
      </c>
      <c r="F789" s="1297">
        <f t="shared" si="24"/>
        <v>440.5</v>
      </c>
      <c r="G789" s="1297">
        <f t="shared" si="24"/>
        <v>208.774</v>
      </c>
      <c r="H789" s="1297">
        <f t="shared" si="24"/>
        <v>196.23699999999999</v>
      </c>
      <c r="I789" s="1297">
        <f t="shared" si="24"/>
        <v>45.737000000000002</v>
      </c>
      <c r="J789" s="1297">
        <f t="shared" si="24"/>
        <v>45.737000000000002</v>
      </c>
    </row>
    <row r="790" spans="2:10">
      <c r="B790" s="52" t="s">
        <v>1779</v>
      </c>
      <c r="C790" s="1276"/>
      <c r="D790" s="1297">
        <f>SUM(D791:D792)</f>
        <v>557.44499999999994</v>
      </c>
      <c r="E790" s="1297">
        <f t="shared" ref="E790:J790" si="25">SUM(E791:E792)</f>
        <v>339.97800000000001</v>
      </c>
      <c r="F790" s="1297">
        <f>SUM(F791:F792)</f>
        <v>440.5</v>
      </c>
      <c r="G790" s="1297">
        <f t="shared" si="25"/>
        <v>208.774</v>
      </c>
      <c r="H790" s="1297">
        <f t="shared" si="25"/>
        <v>196.23699999999999</v>
      </c>
      <c r="I790" s="1297">
        <f t="shared" si="25"/>
        <v>45.737000000000002</v>
      </c>
      <c r="J790" s="1297">
        <f t="shared" si="25"/>
        <v>45.737000000000002</v>
      </c>
    </row>
    <row r="791" spans="2:10">
      <c r="B791" s="53" t="s">
        <v>1780</v>
      </c>
      <c r="C791" s="1276"/>
      <c r="D791" s="1297">
        <v>29.8</v>
      </c>
      <c r="E791" s="1289">
        <v>0</v>
      </c>
      <c r="F791" s="1289">
        <v>0</v>
      </c>
      <c r="G791" s="1289">
        <v>0</v>
      </c>
      <c r="H791" s="1289">
        <v>0</v>
      </c>
      <c r="I791" s="1289">
        <v>0</v>
      </c>
      <c r="J791" s="1289">
        <v>0</v>
      </c>
    </row>
    <row r="792" spans="2:10">
      <c r="B792" s="53" t="s">
        <v>1777</v>
      </c>
      <c r="C792" s="1276"/>
      <c r="D792" s="1297">
        <v>527.64499999999998</v>
      </c>
      <c r="E792" s="1297">
        <v>339.97800000000001</v>
      </c>
      <c r="F792" s="1297">
        <v>440.5</v>
      </c>
      <c r="G792" s="1297">
        <v>208.774</v>
      </c>
      <c r="H792" s="1297">
        <v>196.23699999999999</v>
      </c>
      <c r="I792" s="1297">
        <v>45.737000000000002</v>
      </c>
      <c r="J792" s="1297">
        <v>45.737000000000002</v>
      </c>
    </row>
    <row r="793" spans="2:10">
      <c r="B793" s="52" t="s">
        <v>118</v>
      </c>
      <c r="C793" s="1276"/>
      <c r="D793" s="1289">
        <v>0</v>
      </c>
      <c r="E793" s="1289">
        <v>0</v>
      </c>
      <c r="F793" s="1289">
        <v>0</v>
      </c>
      <c r="G793" s="1289">
        <v>0</v>
      </c>
      <c r="H793" s="1289">
        <v>0</v>
      </c>
      <c r="I793" s="1289">
        <v>0</v>
      </c>
      <c r="J793" s="1289">
        <v>0</v>
      </c>
    </row>
    <row r="794" spans="2:10" ht="15" thickBot="1">
      <c r="B794" s="52" t="s">
        <v>117</v>
      </c>
      <c r="C794" s="1276"/>
      <c r="D794" s="1289">
        <v>0</v>
      </c>
      <c r="E794" s="1289">
        <v>0</v>
      </c>
      <c r="F794" s="1289">
        <v>0</v>
      </c>
      <c r="G794" s="1289">
        <v>0</v>
      </c>
      <c r="H794" s="1289">
        <v>0</v>
      </c>
      <c r="I794" s="1289">
        <v>0</v>
      </c>
      <c r="J794" s="1289">
        <v>0</v>
      </c>
    </row>
    <row r="795" spans="2:10" ht="15" thickTop="1">
      <c r="B795" s="2025" t="s">
        <v>1769</v>
      </c>
      <c r="C795" s="2025"/>
      <c r="D795" s="2025"/>
      <c r="E795" s="2025"/>
      <c r="F795" s="2025"/>
      <c r="G795" s="2025"/>
      <c r="H795" s="2025"/>
      <c r="I795" s="2025"/>
      <c r="J795" s="2025"/>
    </row>
    <row r="796" spans="2:10">
      <c r="B796" s="2017"/>
      <c r="C796" s="2017"/>
      <c r="D796" s="2017"/>
      <c r="E796" s="2017"/>
      <c r="F796" s="2017"/>
      <c r="G796" s="2017"/>
      <c r="H796" s="2017"/>
      <c r="I796" s="2017"/>
      <c r="J796" s="2017"/>
    </row>
    <row r="797" spans="2:10">
      <c r="B797" s="64"/>
      <c r="C797" s="449"/>
      <c r="D797" s="449"/>
      <c r="E797" s="449"/>
      <c r="F797" s="449"/>
      <c r="G797" s="449"/>
      <c r="H797" s="449"/>
      <c r="I797" s="449"/>
      <c r="J797" s="449"/>
    </row>
    <row r="798" spans="2:10">
      <c r="B798" s="2126" t="s">
        <v>133</v>
      </c>
      <c r="C798" s="2126"/>
      <c r="D798" s="2126"/>
      <c r="E798" s="2126"/>
      <c r="F798" s="2126"/>
      <c r="G798" s="2126"/>
      <c r="H798" s="2126"/>
      <c r="I798" s="2126"/>
      <c r="J798" s="2126"/>
    </row>
    <row r="799" spans="2:10">
      <c r="B799" s="892" t="s">
        <v>132</v>
      </c>
      <c r="C799" s="1274"/>
      <c r="D799" s="1274"/>
      <c r="E799" s="1274"/>
      <c r="F799" s="1274"/>
      <c r="G799" s="1274"/>
      <c r="H799" s="1274"/>
      <c r="I799" s="1274"/>
      <c r="J799" s="1274"/>
    </row>
    <row r="800" spans="2:10">
      <c r="B800" s="62" t="s">
        <v>131</v>
      </c>
      <c r="C800" s="1274"/>
      <c r="D800" s="1274"/>
      <c r="E800" s="1274"/>
      <c r="F800" s="1274"/>
      <c r="G800" s="1274"/>
      <c r="H800" s="1274"/>
      <c r="I800" s="1274"/>
      <c r="J800" s="1274"/>
    </row>
    <row r="801" spans="2:10">
      <c r="B801" s="62"/>
      <c r="C801" s="1274"/>
      <c r="D801" s="1274"/>
      <c r="E801" s="1274"/>
      <c r="F801" s="1274"/>
      <c r="G801" s="1274"/>
      <c r="H801" s="1274"/>
      <c r="I801" s="1274"/>
      <c r="J801" s="1274"/>
    </row>
    <row r="802" spans="2:10">
      <c r="B802" s="61"/>
      <c r="C802" s="1277">
        <v>2014</v>
      </c>
      <c r="D802" s="1277">
        <v>2015</v>
      </c>
      <c r="E802" s="1277">
        <v>2016</v>
      </c>
      <c r="F802" s="1277">
        <v>2017</v>
      </c>
      <c r="G802" s="1277">
        <v>2018</v>
      </c>
      <c r="H802" s="1277">
        <v>2019</v>
      </c>
      <c r="I802" s="1277">
        <v>2020</v>
      </c>
      <c r="J802" s="1277">
        <v>2021</v>
      </c>
    </row>
    <row r="803" spans="2:10">
      <c r="B803" s="71" t="s">
        <v>130</v>
      </c>
      <c r="C803" s="1299"/>
      <c r="D803" s="1299"/>
      <c r="E803" s="1299"/>
      <c r="F803" s="1299"/>
      <c r="G803" s="1299"/>
      <c r="H803" s="1299"/>
      <c r="I803" s="1299"/>
      <c r="J803" s="1299"/>
    </row>
    <row r="804" spans="2:10">
      <c r="B804" s="71"/>
      <c r="C804" s="1299"/>
      <c r="D804" s="1299"/>
      <c r="E804" s="1299"/>
      <c r="F804" s="1299"/>
      <c r="G804" s="1299"/>
      <c r="H804" s="1299"/>
      <c r="I804" s="1299"/>
      <c r="J804" s="1299"/>
    </row>
    <row r="805" spans="2:10">
      <c r="B805" s="59" t="s">
        <v>1355</v>
      </c>
      <c r="C805" s="858"/>
      <c r="D805" s="858"/>
      <c r="E805" s="858"/>
      <c r="F805" s="858"/>
      <c r="G805" s="858"/>
      <c r="H805" s="858"/>
      <c r="I805" s="858"/>
      <c r="J805" s="858"/>
    </row>
    <row r="806" spans="2:10">
      <c r="B806" s="54" t="s">
        <v>123</v>
      </c>
      <c r="C806" s="819">
        <v>1.216</v>
      </c>
      <c r="D806" s="104">
        <v>0.378</v>
      </c>
      <c r="E806" s="104">
        <v>0.47499999999999998</v>
      </c>
      <c r="F806" s="104">
        <v>0.46399999999999997</v>
      </c>
      <c r="G806" s="104">
        <v>0.39499999999999996</v>
      </c>
      <c r="H806" s="1023">
        <v>0.505</v>
      </c>
      <c r="I806" s="1023">
        <v>0.745</v>
      </c>
      <c r="J806" s="1300">
        <v>0.42499999999999999</v>
      </c>
    </row>
    <row r="807" spans="2:10">
      <c r="B807" s="52" t="s">
        <v>121</v>
      </c>
      <c r="C807" s="819">
        <v>1.216</v>
      </c>
      <c r="D807" s="104">
        <v>0.378</v>
      </c>
      <c r="E807" s="104">
        <v>0.47499999999999998</v>
      </c>
      <c r="F807" s="104">
        <v>0.46399999999999997</v>
      </c>
      <c r="G807" s="104">
        <v>0.39499999999999996</v>
      </c>
      <c r="H807" s="1023">
        <v>0.505</v>
      </c>
      <c r="I807" s="1023">
        <v>0.745</v>
      </c>
      <c r="J807" s="1300">
        <v>0.42499999999999999</v>
      </c>
    </row>
    <row r="808" spans="2:10">
      <c r="B808" s="53" t="s">
        <v>120</v>
      </c>
      <c r="C808" s="819">
        <v>1.101</v>
      </c>
      <c r="D808" s="104">
        <v>0.29799999999999999</v>
      </c>
      <c r="E808" s="104">
        <v>0.34699999999999998</v>
      </c>
      <c r="F808" s="104">
        <v>0.34499999999999997</v>
      </c>
      <c r="G808" s="104">
        <v>0.34899999999999998</v>
      </c>
      <c r="H808" s="1023">
        <v>0.161</v>
      </c>
      <c r="I808" s="1023">
        <v>0.14299999999999999</v>
      </c>
      <c r="J808" s="1300">
        <v>0.3</v>
      </c>
    </row>
    <row r="809" spans="2:10">
      <c r="B809" s="53" t="s">
        <v>119</v>
      </c>
      <c r="C809" s="819">
        <v>0.115</v>
      </c>
      <c r="D809" s="104">
        <v>0.08</v>
      </c>
      <c r="E809" s="104">
        <v>0.128</v>
      </c>
      <c r="F809" s="104">
        <v>0.11899999999999999</v>
      </c>
      <c r="G809" s="104">
        <v>4.5999999999999999E-2</v>
      </c>
      <c r="H809" s="1023">
        <v>0.34399999999999997</v>
      </c>
      <c r="I809" s="1023">
        <v>0.60199999999999998</v>
      </c>
      <c r="J809" s="1300">
        <v>0.125</v>
      </c>
    </row>
    <row r="810" spans="2:10">
      <c r="B810" s="52" t="s">
        <v>118</v>
      </c>
      <c r="C810" s="1289">
        <v>0</v>
      </c>
      <c r="D810" s="1289">
        <v>0</v>
      </c>
      <c r="E810" s="1289">
        <v>0</v>
      </c>
      <c r="F810" s="1289">
        <v>0</v>
      </c>
      <c r="G810" s="1289">
        <v>0</v>
      </c>
      <c r="H810" s="1289">
        <v>0</v>
      </c>
      <c r="I810" s="1289">
        <v>0</v>
      </c>
      <c r="J810" s="1301">
        <v>0</v>
      </c>
    </row>
    <row r="811" spans="2:10">
      <c r="B811" s="52" t="s">
        <v>117</v>
      </c>
      <c r="C811" s="1289">
        <v>0</v>
      </c>
      <c r="D811" s="1289">
        <v>0</v>
      </c>
      <c r="E811" s="1289">
        <v>0</v>
      </c>
      <c r="F811" s="1289">
        <v>0</v>
      </c>
      <c r="G811" s="1289">
        <v>0</v>
      </c>
      <c r="H811" s="1289">
        <v>0</v>
      </c>
      <c r="I811" s="1289">
        <v>0</v>
      </c>
      <c r="J811" s="1301">
        <v>0</v>
      </c>
    </row>
    <row r="812" spans="2:10">
      <c r="B812" s="52"/>
      <c r="C812" s="103"/>
      <c r="D812" s="103"/>
      <c r="E812" s="103"/>
      <c r="F812" s="103"/>
      <c r="G812" s="103"/>
      <c r="H812" s="103"/>
      <c r="I812" s="103"/>
      <c r="J812" s="103"/>
    </row>
    <row r="813" spans="2:10">
      <c r="B813" s="54" t="s">
        <v>122</v>
      </c>
      <c r="C813" s="1289">
        <v>0</v>
      </c>
      <c r="D813" s="1289">
        <v>0</v>
      </c>
      <c r="E813" s="1289">
        <v>0</v>
      </c>
      <c r="F813" s="1289">
        <v>0</v>
      </c>
      <c r="G813" s="1289">
        <v>0</v>
      </c>
      <c r="H813" s="1289">
        <v>0</v>
      </c>
      <c r="I813" s="1289">
        <v>0</v>
      </c>
      <c r="J813" s="1301">
        <v>0</v>
      </c>
    </row>
    <row r="814" spans="2:10">
      <c r="B814" s="52" t="s">
        <v>121</v>
      </c>
      <c r="C814" s="103"/>
      <c r="D814" s="103"/>
      <c r="E814" s="103"/>
      <c r="F814" s="103"/>
      <c r="G814" s="103"/>
      <c r="H814" s="103"/>
      <c r="I814" s="103"/>
      <c r="J814" s="103"/>
    </row>
    <row r="815" spans="2:10">
      <c r="B815" s="53" t="s">
        <v>120</v>
      </c>
      <c r="C815" s="103"/>
      <c r="D815" s="103"/>
      <c r="E815" s="103"/>
      <c r="F815" s="103"/>
      <c r="G815" s="103"/>
      <c r="H815" s="103"/>
      <c r="I815" s="103"/>
      <c r="J815" s="103"/>
    </row>
    <row r="816" spans="2:10">
      <c r="B816" s="53" t="s">
        <v>119</v>
      </c>
      <c r="C816" s="103"/>
      <c r="D816" s="103"/>
      <c r="E816" s="103"/>
      <c r="F816" s="103"/>
      <c r="G816" s="103"/>
      <c r="H816" s="103"/>
      <c r="I816" s="103"/>
      <c r="J816" s="103"/>
    </row>
    <row r="817" spans="2:10">
      <c r="B817" s="52" t="s">
        <v>118</v>
      </c>
      <c r="C817" s="103"/>
      <c r="D817" s="103"/>
      <c r="E817" s="103"/>
      <c r="F817" s="103"/>
      <c r="G817" s="103"/>
      <c r="H817" s="103"/>
      <c r="I817" s="103"/>
      <c r="J817" s="103"/>
    </row>
    <row r="818" spans="2:10" ht="15" thickBot="1">
      <c r="B818" s="52" t="s">
        <v>117</v>
      </c>
      <c r="C818" s="103"/>
      <c r="D818" s="103"/>
      <c r="E818" s="103"/>
      <c r="F818" s="103"/>
      <c r="G818" s="103"/>
      <c r="H818" s="103"/>
      <c r="I818" s="103"/>
      <c r="J818" s="103"/>
    </row>
    <row r="819" spans="2:10" ht="15" thickTop="1">
      <c r="B819" s="2025" t="s">
        <v>1769</v>
      </c>
      <c r="C819" s="2025"/>
      <c r="D819" s="2025"/>
      <c r="E819" s="2025"/>
      <c r="F819" s="2025"/>
      <c r="G819" s="2025"/>
      <c r="H819" s="2025"/>
      <c r="I819" s="2025"/>
      <c r="J819" s="2025"/>
    </row>
    <row r="820" spans="2:10">
      <c r="B820" s="2017"/>
      <c r="C820" s="2017"/>
      <c r="D820" s="2017"/>
      <c r="E820" s="2017"/>
      <c r="F820" s="2017"/>
      <c r="G820" s="2017"/>
      <c r="H820" s="2017"/>
      <c r="I820" s="2017"/>
      <c r="J820" s="2017"/>
    </row>
    <row r="821" spans="2:10">
      <c r="B821" s="2126" t="s">
        <v>129</v>
      </c>
      <c r="C821" s="2126"/>
      <c r="D821" s="2126"/>
      <c r="E821" s="2126"/>
      <c r="F821" s="2126"/>
      <c r="G821" s="2126"/>
      <c r="H821" s="2126"/>
      <c r="I821" s="2126"/>
      <c r="J821" s="2126"/>
    </row>
    <row r="822" spans="2:10">
      <c r="B822" s="892" t="s">
        <v>128</v>
      </c>
      <c r="C822" s="1274"/>
      <c r="D822" s="1302"/>
      <c r="E822" s="1302"/>
      <c r="F822" s="1302"/>
      <c r="G822" s="1302"/>
      <c r="H822" s="1302"/>
      <c r="I822" s="1302"/>
      <c r="J822" s="1302"/>
    </row>
    <row r="823" spans="2:10">
      <c r="B823" s="62" t="s">
        <v>127</v>
      </c>
      <c r="C823" s="1274"/>
      <c r="D823" s="1302"/>
      <c r="E823" s="1302"/>
      <c r="F823" s="1302"/>
      <c r="G823" s="1302"/>
      <c r="H823" s="1302"/>
      <c r="I823" s="1302"/>
      <c r="J823" s="1302"/>
    </row>
    <row r="824" spans="2:10">
      <c r="B824" s="62"/>
      <c r="C824" s="1274"/>
      <c r="D824" s="1274"/>
      <c r="E824" s="1274"/>
      <c r="F824" s="1274"/>
      <c r="G824" s="1274"/>
      <c r="H824" s="1274"/>
      <c r="I824" s="1274"/>
      <c r="J824" s="1274"/>
    </row>
    <row r="825" spans="2:10">
      <c r="B825" s="61"/>
      <c r="C825" s="1277">
        <v>2014</v>
      </c>
      <c r="D825" s="1277">
        <v>2015</v>
      </c>
      <c r="E825" s="1277">
        <v>2016</v>
      </c>
      <c r="F825" s="1277">
        <v>2017</v>
      </c>
      <c r="G825" s="1277">
        <v>2018</v>
      </c>
      <c r="H825" s="1277">
        <v>2019</v>
      </c>
      <c r="I825" s="1277">
        <v>2020</v>
      </c>
      <c r="J825" s="1277">
        <v>2021</v>
      </c>
    </row>
    <row r="826" spans="2:10">
      <c r="B826" s="71" t="s">
        <v>124</v>
      </c>
      <c r="C826" s="1274"/>
      <c r="D826" s="1274"/>
      <c r="E826" s="1274"/>
      <c r="F826" s="1274"/>
      <c r="G826" s="1274"/>
      <c r="H826" s="1274"/>
      <c r="I826" s="1274"/>
      <c r="J826" s="1274"/>
    </row>
    <row r="827" spans="2:10">
      <c r="B827" s="71"/>
      <c r="C827" s="1274"/>
      <c r="D827" s="1274"/>
      <c r="E827" s="1274"/>
      <c r="F827" s="1274"/>
      <c r="G827" s="1274"/>
      <c r="H827" s="1274"/>
      <c r="I827" s="1274"/>
      <c r="J827" s="1274"/>
    </row>
    <row r="828" spans="2:10">
      <c r="B828" s="59" t="s">
        <v>1355</v>
      </c>
      <c r="C828" s="1274"/>
      <c r="D828" s="1274"/>
      <c r="E828" s="1274"/>
      <c r="F828" s="1274"/>
      <c r="G828" s="1274"/>
      <c r="H828" s="1274"/>
      <c r="I828" s="1274"/>
      <c r="J828" s="1274"/>
    </row>
    <row r="829" spans="2:10">
      <c r="B829" s="54" t="s">
        <v>124</v>
      </c>
      <c r="C829" s="1302"/>
      <c r="D829" s="1302"/>
      <c r="E829" s="1302"/>
      <c r="F829" s="1302"/>
      <c r="G829" s="1302"/>
      <c r="H829" s="1302"/>
      <c r="I829" s="1302"/>
      <c r="J829" s="1302"/>
    </row>
    <row r="830" spans="2:10">
      <c r="B830" s="54" t="s">
        <v>1781</v>
      </c>
      <c r="C830" s="1302">
        <f>C831</f>
        <v>11457.094803717129</v>
      </c>
      <c r="D830" s="1302">
        <f t="shared" ref="D830:J830" si="26">D831</f>
        <v>16568.285809447389</v>
      </c>
      <c r="E830" s="1302">
        <f t="shared" si="26"/>
        <v>72727.050280238138</v>
      </c>
      <c r="F830" s="1302">
        <f t="shared" si="26"/>
        <v>71023.239361300744</v>
      </c>
      <c r="G830" s="1302">
        <f>G831</f>
        <v>66074.308311397457</v>
      </c>
      <c r="H830" s="1302">
        <f t="shared" si="26"/>
        <v>54523.598458427754</v>
      </c>
      <c r="I830" s="1302">
        <f t="shared" si="26"/>
        <v>38822.675250846871</v>
      </c>
      <c r="J830" s="1302">
        <f t="shared" si="26"/>
        <v>110241.02857847036</v>
      </c>
    </row>
    <row r="831" spans="2:10">
      <c r="B831" s="52" t="s">
        <v>1773</v>
      </c>
      <c r="C831" s="1302">
        <f>SUM(C832:C834)</f>
        <v>11457.094803717129</v>
      </c>
      <c r="D831" s="1302">
        <f t="shared" ref="D831:J831" si="27">SUM(D832:D834)</f>
        <v>16568.285809447389</v>
      </c>
      <c r="E831" s="1302">
        <f t="shared" si="27"/>
        <v>72727.050280238138</v>
      </c>
      <c r="F831" s="1302">
        <f t="shared" si="27"/>
        <v>71023.239361300744</v>
      </c>
      <c r="G831" s="1302">
        <f>SUM(G832:G834)</f>
        <v>66074.308311397457</v>
      </c>
      <c r="H831" s="1302">
        <f t="shared" si="27"/>
        <v>54523.598458427754</v>
      </c>
      <c r="I831" s="1302">
        <f t="shared" si="27"/>
        <v>38822.675250846871</v>
      </c>
      <c r="J831" s="1302">
        <f t="shared" si="27"/>
        <v>110241.02857847036</v>
      </c>
    </row>
    <row r="832" spans="2:10">
      <c r="B832" s="53" t="s">
        <v>1774</v>
      </c>
      <c r="C832" s="1302">
        <f>218683.184/C12</f>
        <v>10401.453112768366</v>
      </c>
      <c r="D832" s="1302">
        <f>336483.551/D12</f>
        <v>15226.329136539354</v>
      </c>
      <c r="E832" s="1302">
        <f>1646824.265/E12</f>
        <v>71616.998206552351</v>
      </c>
      <c r="F832" s="1302">
        <f>1647913.798/F12</f>
        <v>69674.817366704156</v>
      </c>
      <c r="G832" s="1302">
        <f>1557848.216/G12</f>
        <v>64721.419905267197</v>
      </c>
      <c r="H832" s="1302">
        <f>1312052.123/H12</f>
        <v>53162.340056249355</v>
      </c>
      <c r="I832" s="1302">
        <f>927048/I12</f>
        <v>37450.514212843314</v>
      </c>
      <c r="J832" s="1302">
        <f>2621979.6/J12</f>
        <v>108414.50988480596</v>
      </c>
    </row>
    <row r="833" spans="2:10">
      <c r="B833" s="53" t="s">
        <v>1775</v>
      </c>
      <c r="C833" s="1302">
        <f>22194.118806/C12</f>
        <v>1055.6416909487637</v>
      </c>
      <c r="D833" s="1302">
        <f>29655.6276/D12</f>
        <v>1341.9566729080336</v>
      </c>
      <c r="E833" s="1302">
        <f>25525.514/E12</f>
        <v>1110.05207368579</v>
      </c>
      <c r="F833" s="1302">
        <f>31892.2/F12</f>
        <v>1348.4219945965901</v>
      </c>
      <c r="G833" s="1302">
        <f>32564.1/G12</f>
        <v>1352.8884061302617</v>
      </c>
      <c r="H833" s="1302">
        <f>33596/H12</f>
        <v>1361.2584021783969</v>
      </c>
      <c r="I833" s="1302">
        <f>33966.4/I12</f>
        <v>1372.1610380035565</v>
      </c>
      <c r="J833" s="1302">
        <f>44173.928/J12</f>
        <v>1826.5186936644002</v>
      </c>
    </row>
    <row r="834" spans="2:10">
      <c r="B834" s="52" t="s">
        <v>118</v>
      </c>
      <c r="C834" s="1302">
        <v>0</v>
      </c>
      <c r="D834" s="1302">
        <v>0</v>
      </c>
      <c r="E834" s="1302">
        <v>0</v>
      </c>
      <c r="F834" s="1302">
        <v>0</v>
      </c>
      <c r="G834" s="1302">
        <v>0</v>
      </c>
      <c r="H834" s="1302">
        <v>0</v>
      </c>
      <c r="I834" s="1302">
        <v>0</v>
      </c>
      <c r="J834" s="1302">
        <v>0</v>
      </c>
    </row>
    <row r="835" spans="2:10">
      <c r="B835" s="52" t="s">
        <v>117</v>
      </c>
      <c r="C835" s="1302">
        <v>0</v>
      </c>
      <c r="D835" s="1302">
        <v>0</v>
      </c>
      <c r="E835" s="1302">
        <v>0</v>
      </c>
      <c r="F835" s="1302">
        <v>0</v>
      </c>
      <c r="G835" s="1302">
        <v>0</v>
      </c>
      <c r="H835" s="1302">
        <v>0</v>
      </c>
      <c r="I835" s="1302">
        <v>0</v>
      </c>
      <c r="J835" s="1302">
        <v>0</v>
      </c>
    </row>
    <row r="836" spans="2:10">
      <c r="B836" s="52"/>
      <c r="C836" s="1276"/>
      <c r="D836" s="1276"/>
      <c r="E836" s="1276"/>
      <c r="F836" s="1276"/>
      <c r="G836" s="1276"/>
      <c r="H836" s="1276"/>
      <c r="I836" s="1276"/>
      <c r="J836" s="1276"/>
    </row>
    <row r="837" spans="2:10">
      <c r="B837" s="54" t="s">
        <v>122</v>
      </c>
      <c r="C837" s="1302">
        <v>0</v>
      </c>
      <c r="D837" s="1302">
        <v>0</v>
      </c>
      <c r="E837" s="1302">
        <v>0</v>
      </c>
      <c r="F837" s="1302">
        <v>0</v>
      </c>
      <c r="G837" s="1302">
        <v>0</v>
      </c>
      <c r="H837" s="1302">
        <v>0</v>
      </c>
      <c r="I837" s="1302">
        <v>0</v>
      </c>
      <c r="J837" s="1302">
        <v>0</v>
      </c>
    </row>
    <row r="838" spans="2:10">
      <c r="B838" s="52" t="s">
        <v>121</v>
      </c>
      <c r="C838" s="1302"/>
      <c r="D838" s="1302"/>
      <c r="E838" s="1302"/>
      <c r="F838" s="1302"/>
      <c r="G838" s="1302"/>
      <c r="H838" s="1302"/>
      <c r="I838" s="1302"/>
      <c r="J838" s="1302"/>
    </row>
    <row r="839" spans="2:10">
      <c r="B839" s="53" t="s">
        <v>120</v>
      </c>
      <c r="C839" s="1302"/>
      <c r="D839" s="1302"/>
      <c r="E839" s="1302"/>
      <c r="F839" s="1302"/>
      <c r="G839" s="1302"/>
      <c r="H839" s="1302"/>
      <c r="I839" s="1302"/>
      <c r="J839" s="1302"/>
    </row>
    <row r="840" spans="2:10">
      <c r="B840" s="53" t="s">
        <v>119</v>
      </c>
      <c r="C840" s="1302"/>
      <c r="D840" s="1302"/>
      <c r="E840" s="1302"/>
      <c r="F840" s="1302"/>
      <c r="G840" s="1302"/>
      <c r="H840" s="1302"/>
      <c r="I840" s="1302"/>
      <c r="J840" s="1302"/>
    </row>
    <row r="841" spans="2:10">
      <c r="B841" s="52" t="s">
        <v>118</v>
      </c>
      <c r="C841" s="1302"/>
      <c r="D841" s="1302"/>
      <c r="E841" s="1302"/>
      <c r="F841" s="1302"/>
      <c r="G841" s="1302"/>
      <c r="H841" s="1302"/>
      <c r="I841" s="1302"/>
      <c r="J841" s="1302"/>
    </row>
    <row r="842" spans="2:10" ht="15" thickBot="1">
      <c r="B842" s="52" t="s">
        <v>117</v>
      </c>
      <c r="C842" s="1302"/>
      <c r="D842" s="1302"/>
      <c r="E842" s="1302"/>
      <c r="F842" s="1302"/>
      <c r="G842" s="1302"/>
      <c r="H842" s="1302"/>
      <c r="I842" s="1302"/>
      <c r="J842" s="1302"/>
    </row>
    <row r="843" spans="2:10" ht="15" thickTop="1">
      <c r="B843" s="2025" t="s">
        <v>1769</v>
      </c>
      <c r="C843" s="2025"/>
      <c r="D843" s="2025"/>
      <c r="E843" s="2025"/>
      <c r="F843" s="2025"/>
      <c r="G843" s="2025"/>
      <c r="H843" s="2025"/>
      <c r="I843" s="2025"/>
      <c r="J843" s="2025"/>
    </row>
    <row r="844" spans="2:10">
      <c r="B844" s="2017"/>
      <c r="C844" s="2017"/>
      <c r="D844" s="2017"/>
      <c r="E844" s="2017"/>
      <c r="F844" s="2017"/>
      <c r="G844" s="2017"/>
      <c r="H844" s="2017"/>
      <c r="I844" s="2017"/>
      <c r="J844" s="2017"/>
    </row>
    <row r="845" spans="2:10">
      <c r="B845" s="2126" t="s">
        <v>115</v>
      </c>
      <c r="C845" s="2126"/>
      <c r="D845" s="2126"/>
      <c r="E845" s="2126"/>
      <c r="F845" s="2126"/>
      <c r="G845" s="2126"/>
      <c r="H845" s="2126"/>
      <c r="I845" s="2126"/>
      <c r="J845" s="2126"/>
    </row>
    <row r="846" spans="2:10">
      <c r="B846" s="892" t="s">
        <v>114</v>
      </c>
      <c r="C846" s="1274"/>
      <c r="D846" s="1274"/>
      <c r="E846" s="1274"/>
      <c r="F846" s="1274"/>
      <c r="G846" s="1274"/>
      <c r="H846" s="1274"/>
      <c r="I846" s="1274"/>
      <c r="J846" s="1274"/>
    </row>
    <row r="847" spans="2:10">
      <c r="B847" s="1274"/>
      <c r="C847" s="1274"/>
      <c r="D847" s="1274"/>
      <c r="E847" s="1274"/>
      <c r="F847" s="1274"/>
      <c r="G847" s="1274"/>
      <c r="H847" s="1274"/>
      <c r="I847" s="1274"/>
      <c r="J847" s="1274"/>
    </row>
    <row r="848" spans="2:10">
      <c r="B848" s="2109" t="s">
        <v>11</v>
      </c>
      <c r="C848" s="2109" t="s">
        <v>604</v>
      </c>
      <c r="D848" s="2109" t="s">
        <v>113</v>
      </c>
      <c r="E848" s="2111" t="s">
        <v>24</v>
      </c>
      <c r="F848" s="2109" t="s">
        <v>112</v>
      </c>
      <c r="G848" s="2109" t="s">
        <v>111</v>
      </c>
      <c r="H848" s="2111" t="s">
        <v>110</v>
      </c>
      <c r="I848" s="2113"/>
      <c r="J848" s="2113"/>
    </row>
    <row r="849" spans="2:10">
      <c r="B849" s="2108"/>
      <c r="C849" s="2108"/>
      <c r="D849" s="2108"/>
      <c r="E849" s="2108"/>
      <c r="F849" s="2108"/>
      <c r="G849" s="2108"/>
      <c r="H849" s="2108"/>
      <c r="I849" s="2114"/>
      <c r="J849" s="2114"/>
    </row>
    <row r="850" spans="2:10" ht="26">
      <c r="B850" s="1303" t="s">
        <v>1751</v>
      </c>
      <c r="C850" s="1304" t="s">
        <v>606</v>
      </c>
      <c r="D850" s="1305" t="s">
        <v>1782</v>
      </c>
      <c r="E850" s="1306" t="s">
        <v>1</v>
      </c>
      <c r="F850" s="1306" t="s">
        <v>106</v>
      </c>
      <c r="G850" s="1306" t="s">
        <v>103</v>
      </c>
      <c r="H850" s="1306" t="s">
        <v>102</v>
      </c>
      <c r="I850" s="1306"/>
      <c r="J850" s="1306"/>
    </row>
    <row r="851" spans="2:10" ht="26">
      <c r="B851" s="1303" t="s">
        <v>1783</v>
      </c>
      <c r="C851" s="1304" t="s">
        <v>1244</v>
      </c>
      <c r="D851" s="1305" t="s">
        <v>1250</v>
      </c>
      <c r="E851" s="1306" t="s">
        <v>108</v>
      </c>
      <c r="F851" s="1306" t="s">
        <v>489</v>
      </c>
      <c r="G851" s="1306" t="s">
        <v>522</v>
      </c>
      <c r="H851" s="1306" t="s">
        <v>102</v>
      </c>
      <c r="I851" s="1306"/>
      <c r="J851" s="1306"/>
    </row>
    <row r="852" spans="2:10" ht="26.5" thickBot="1">
      <c r="B852" s="1307" t="s">
        <v>1784</v>
      </c>
      <c r="C852" s="1308" t="s">
        <v>103</v>
      </c>
      <c r="D852" s="1309" t="s">
        <v>1250</v>
      </c>
      <c r="E852" s="1310" t="s">
        <v>108</v>
      </c>
      <c r="F852" s="1310" t="s">
        <v>489</v>
      </c>
      <c r="G852" s="1310" t="s">
        <v>522</v>
      </c>
      <c r="H852" s="1310" t="s">
        <v>102</v>
      </c>
      <c r="I852" s="1306"/>
      <c r="J852" s="1306"/>
    </row>
    <row r="853" spans="2:10" ht="15" thickTop="1">
      <c r="B853" s="2128"/>
      <c r="C853" s="2128"/>
      <c r="D853" s="2128"/>
      <c r="E853" s="1274"/>
      <c r="F853" s="1274"/>
      <c r="G853" s="1274"/>
      <c r="H853" s="1274"/>
      <c r="I853" s="1274"/>
      <c r="J853" s="1274"/>
    </row>
    <row r="854" spans="2:10">
      <c r="B854" s="2129"/>
      <c r="C854" s="2129"/>
      <c r="D854" s="2129"/>
      <c r="E854" s="1274"/>
      <c r="F854" s="1274"/>
      <c r="G854" s="1274"/>
      <c r="H854" s="1274"/>
      <c r="I854" s="1274"/>
      <c r="J854" s="1274"/>
    </row>
    <row r="855" spans="2:10">
      <c r="B855" s="2109" t="s">
        <v>11</v>
      </c>
      <c r="C855" s="2109" t="s">
        <v>610</v>
      </c>
      <c r="D855" s="2111" t="s">
        <v>101</v>
      </c>
      <c r="E855" s="2111" t="s">
        <v>100</v>
      </c>
      <c r="F855" s="2111" t="s">
        <v>99</v>
      </c>
      <c r="G855" s="2109" t="s">
        <v>98</v>
      </c>
      <c r="H855" s="2109"/>
      <c r="I855" s="351"/>
      <c r="J855" s="351"/>
    </row>
    <row r="856" spans="2:10">
      <c r="B856" s="2110"/>
      <c r="C856" s="2110"/>
      <c r="D856" s="2110"/>
      <c r="E856" s="2110"/>
      <c r="F856" s="2110"/>
      <c r="G856" s="352" t="s">
        <v>97</v>
      </c>
      <c r="H856" s="352" t="s">
        <v>96</v>
      </c>
      <c r="I856" s="44"/>
      <c r="J856" s="44"/>
    </row>
    <row r="857" spans="2:10" ht="26">
      <c r="B857" s="1303" t="s">
        <v>1751</v>
      </c>
      <c r="C857" s="1304" t="s">
        <v>1221</v>
      </c>
      <c r="D857" s="1305" t="s">
        <v>1785</v>
      </c>
      <c r="E857" s="1306" t="s">
        <v>612</v>
      </c>
      <c r="F857" s="1306" t="s">
        <v>1786</v>
      </c>
      <c r="G857" s="1306" t="s">
        <v>1787</v>
      </c>
      <c r="H857" s="1306" t="s">
        <v>1786</v>
      </c>
      <c r="I857" s="1306"/>
      <c r="J857" s="1306"/>
    </row>
    <row r="858" spans="2:10" ht="26">
      <c r="B858" s="1303" t="s">
        <v>1783</v>
      </c>
      <c r="C858" s="1304" t="s">
        <v>1788</v>
      </c>
      <c r="D858" s="1305" t="s">
        <v>1789</v>
      </c>
      <c r="E858" s="1306" t="s">
        <v>84</v>
      </c>
      <c r="F858" s="1306" t="s">
        <v>1789</v>
      </c>
      <c r="G858" s="1306" t="s">
        <v>1790</v>
      </c>
      <c r="H858" s="1306" t="s">
        <v>1791</v>
      </c>
      <c r="I858" s="1306"/>
      <c r="J858" s="1306"/>
    </row>
    <row r="859" spans="2:10" ht="26.5" thickBot="1">
      <c r="B859" s="1307" t="s">
        <v>1784</v>
      </c>
      <c r="C859" s="1308" t="s">
        <v>1788</v>
      </c>
      <c r="D859" s="1309" t="s">
        <v>1792</v>
      </c>
      <c r="E859" s="1310" t="s">
        <v>84</v>
      </c>
      <c r="F859" s="1310" t="s">
        <v>1792</v>
      </c>
      <c r="G859" s="1310" t="s">
        <v>1793</v>
      </c>
      <c r="H859" s="1310" t="s">
        <v>1792</v>
      </c>
      <c r="I859" s="1306"/>
      <c r="J859" s="1306"/>
    </row>
    <row r="860" spans="2:10" ht="15" thickTop="1">
      <c r="B860" s="2127" t="s">
        <v>1754</v>
      </c>
      <c r="C860" s="2127"/>
      <c r="D860" s="2127"/>
      <c r="E860" s="449"/>
      <c r="F860" s="449"/>
      <c r="G860" s="449"/>
      <c r="H860" s="449"/>
      <c r="I860" s="449"/>
      <c r="J860" s="449"/>
    </row>
    <row r="861" spans="2:10">
      <c r="B861" s="364"/>
      <c r="C861" s="364"/>
      <c r="D861" s="364"/>
      <c r="E861" s="449"/>
      <c r="F861" s="449"/>
      <c r="G861" s="449"/>
      <c r="H861" s="449"/>
      <c r="I861" s="449"/>
      <c r="J861" s="449"/>
    </row>
    <row r="862" spans="2:10">
      <c r="B862" s="302"/>
      <c r="C862" s="449"/>
      <c r="D862" s="449"/>
      <c r="E862" s="449"/>
      <c r="F862" s="449"/>
      <c r="G862" s="449"/>
      <c r="H862" s="449"/>
      <c r="I862" s="449"/>
      <c r="J862" s="449"/>
    </row>
    <row r="863" spans="2:10">
      <c r="B863" s="2126" t="s">
        <v>76</v>
      </c>
      <c r="C863" s="2126"/>
      <c r="D863" s="2126"/>
      <c r="E863" s="2126"/>
      <c r="F863" s="2126"/>
      <c r="G863" s="2126"/>
      <c r="H863" s="2126"/>
      <c r="I863" s="2126"/>
      <c r="J863" s="2126"/>
    </row>
    <row r="864" spans="2:10">
      <c r="B864" s="892" t="s">
        <v>75</v>
      </c>
      <c r="C864" s="1274"/>
      <c r="D864" s="1274"/>
      <c r="E864" s="1274"/>
      <c r="F864" s="1274"/>
      <c r="G864" s="1274"/>
      <c r="H864" s="1274"/>
      <c r="I864" s="1274"/>
      <c r="J864" s="1274"/>
    </row>
    <row r="865" spans="2:10">
      <c r="B865" s="1274"/>
      <c r="C865" s="1274"/>
      <c r="D865" s="1274"/>
      <c r="E865" s="1274"/>
      <c r="F865" s="1274"/>
      <c r="G865" s="1274"/>
      <c r="H865" s="1274"/>
      <c r="I865" s="1274"/>
      <c r="J865" s="1274"/>
    </row>
    <row r="866" spans="2:10" ht="25">
      <c r="B866" s="358" t="s">
        <v>11</v>
      </c>
      <c r="C866" s="1311" t="s">
        <v>24</v>
      </c>
      <c r="D866" s="1311" t="s">
        <v>74</v>
      </c>
      <c r="E866" s="1311" t="s">
        <v>73</v>
      </c>
      <c r="F866" s="1311" t="s">
        <v>72</v>
      </c>
      <c r="G866" s="1311" t="s">
        <v>71</v>
      </c>
      <c r="H866" s="1274"/>
      <c r="I866" s="1274"/>
      <c r="J866" s="1274"/>
    </row>
    <row r="867" spans="2:10" ht="15" thickBot="1">
      <c r="B867" s="244" t="s">
        <v>1294</v>
      </c>
      <c r="C867" s="1312">
        <v>0</v>
      </c>
      <c r="D867" s="1313">
        <v>0</v>
      </c>
      <c r="E867" s="1313">
        <v>0</v>
      </c>
      <c r="F867" s="1313">
        <v>0</v>
      </c>
      <c r="G867" s="1313">
        <v>0</v>
      </c>
      <c r="H867" s="1274"/>
      <c r="I867" s="1274"/>
      <c r="J867" s="1274"/>
    </row>
    <row r="868" spans="2:10" ht="15" thickTop="1">
      <c r="B868" s="2127"/>
      <c r="C868" s="2127"/>
      <c r="D868" s="2127"/>
      <c r="E868" s="449"/>
      <c r="F868" s="449"/>
      <c r="G868" s="449"/>
      <c r="H868" s="449"/>
      <c r="I868" s="449"/>
      <c r="J868" s="449"/>
    </row>
    <row r="869" spans="2:10">
      <c r="B869" s="511"/>
      <c r="C869" s="449"/>
      <c r="D869" s="449"/>
      <c r="E869" s="449"/>
      <c r="F869" s="449"/>
      <c r="G869" s="449"/>
      <c r="H869" s="449"/>
      <c r="I869" s="449"/>
      <c r="J869" s="449"/>
    </row>
    <row r="870" spans="2:10">
      <c r="B870" s="302"/>
      <c r="C870" s="449"/>
      <c r="D870" s="449"/>
      <c r="E870" s="449"/>
      <c r="F870" s="449"/>
      <c r="G870" s="449"/>
      <c r="H870" s="449"/>
      <c r="I870" s="449"/>
      <c r="J870" s="449"/>
    </row>
    <row r="871" spans="2:10">
      <c r="B871" s="2126" t="s">
        <v>52</v>
      </c>
      <c r="C871" s="2126"/>
      <c r="D871" s="2126"/>
      <c r="E871" s="2126"/>
      <c r="F871" s="2126"/>
      <c r="G871" s="2126"/>
      <c r="H871" s="2126"/>
      <c r="I871" s="2126"/>
      <c r="J871" s="2126"/>
    </row>
    <row r="872" spans="2:10">
      <c r="B872" s="892" t="s">
        <v>51</v>
      </c>
      <c r="C872" s="1274"/>
      <c r="D872" s="1274"/>
      <c r="E872" s="1274"/>
      <c r="F872" s="1274"/>
      <c r="G872" s="1274"/>
      <c r="H872" s="1274"/>
      <c r="I872" s="1274"/>
      <c r="J872" s="1274"/>
    </row>
    <row r="873" spans="2:10">
      <c r="B873" s="1274"/>
      <c r="C873" s="1274"/>
      <c r="D873" s="1274"/>
      <c r="E873" s="1274"/>
      <c r="F873" s="1274"/>
      <c r="G873" s="1274"/>
      <c r="H873" s="1274"/>
      <c r="I873" s="1274"/>
      <c r="J873" s="1274"/>
    </row>
    <row r="874" spans="2:10" ht="20.25" customHeight="1">
      <c r="B874" s="2109" t="s">
        <v>38</v>
      </c>
      <c r="C874" s="2111" t="s">
        <v>530</v>
      </c>
      <c r="D874" s="2111" t="s">
        <v>24</v>
      </c>
      <c r="E874" s="2111" t="s">
        <v>50</v>
      </c>
      <c r="F874" s="2111" t="s">
        <v>49</v>
      </c>
      <c r="G874" s="2111" t="s">
        <v>48</v>
      </c>
      <c r="H874" s="2111" t="s">
        <v>47</v>
      </c>
      <c r="I874" s="2113"/>
      <c r="J874" s="2113"/>
    </row>
    <row r="875" spans="2:10" ht="22.5" customHeight="1">
      <c r="B875" s="2110"/>
      <c r="C875" s="2110"/>
      <c r="D875" s="2110"/>
      <c r="E875" s="2110"/>
      <c r="F875" s="2110"/>
      <c r="G875" s="2110"/>
      <c r="H875" s="2110"/>
      <c r="I875" s="2114"/>
      <c r="J875" s="2114"/>
    </row>
    <row r="876" spans="2:10" ht="15" thickBot="1">
      <c r="B876" s="244"/>
      <c r="C876" s="1312">
        <v>0</v>
      </c>
      <c r="D876" s="1313">
        <v>0</v>
      </c>
      <c r="E876" s="1313">
        <v>0</v>
      </c>
      <c r="F876" s="1313">
        <v>0</v>
      </c>
      <c r="G876" s="1313">
        <v>0</v>
      </c>
      <c r="H876" s="1313">
        <v>0</v>
      </c>
      <c r="I876" s="1314"/>
      <c r="J876" s="1314"/>
    </row>
    <row r="877" spans="2:10" ht="15" thickTop="1">
      <c r="B877" s="1315"/>
      <c r="C877" s="1274"/>
      <c r="D877" s="1274"/>
      <c r="E877" s="1274"/>
      <c r="F877" s="1274"/>
      <c r="G877" s="1274"/>
      <c r="H877" s="1274"/>
      <c r="I877" s="1274"/>
      <c r="J877" s="1274"/>
    </row>
    <row r="878" spans="2:10" ht="18" customHeight="1">
      <c r="B878" s="2109" t="s">
        <v>38</v>
      </c>
      <c r="C878" s="2109" t="s">
        <v>538</v>
      </c>
      <c r="D878" s="2111" t="s">
        <v>37</v>
      </c>
      <c r="E878" s="2111" t="s">
        <v>8</v>
      </c>
      <c r="F878" s="2111" t="s">
        <v>36</v>
      </c>
      <c r="G878" s="1274"/>
      <c r="H878" s="1274"/>
      <c r="I878" s="1274"/>
      <c r="J878" s="1274"/>
    </row>
    <row r="879" spans="2:10" ht="18" customHeight="1">
      <c r="B879" s="2110"/>
      <c r="C879" s="2110"/>
      <c r="D879" s="2110"/>
      <c r="E879" s="2110"/>
      <c r="F879" s="2110"/>
      <c r="G879" s="1274"/>
      <c r="H879" s="1274"/>
      <c r="I879" s="1274"/>
      <c r="J879" s="1274"/>
    </row>
    <row r="880" spans="2:10" ht="15" thickBot="1">
      <c r="B880" s="244"/>
      <c r="C880" s="1316">
        <v>0</v>
      </c>
      <c r="D880" s="1317">
        <v>0</v>
      </c>
      <c r="E880" s="1317">
        <v>0</v>
      </c>
      <c r="F880" s="1317">
        <v>0</v>
      </c>
      <c r="G880" s="1274"/>
      <c r="H880" s="1274"/>
      <c r="I880" s="1274"/>
      <c r="J880" s="1274"/>
    </row>
    <row r="881" spans="2:10" ht="15" thickTop="1">
      <c r="B881" s="2127" t="s">
        <v>1794</v>
      </c>
      <c r="C881" s="2127"/>
      <c r="D881" s="2127"/>
      <c r="E881" s="239"/>
      <c r="F881" s="239"/>
      <c r="G881" s="449"/>
      <c r="H881" s="449"/>
      <c r="I881" s="449"/>
      <c r="J881" s="449"/>
    </row>
    <row r="882" spans="2:10">
      <c r="B882" s="302"/>
      <c r="C882" s="449"/>
      <c r="D882" s="449"/>
      <c r="E882" s="449"/>
      <c r="F882" s="449"/>
      <c r="G882" s="449"/>
      <c r="H882" s="449"/>
      <c r="I882" s="449"/>
      <c r="J882" s="449"/>
    </row>
    <row r="883" spans="2:10">
      <c r="B883" s="2126" t="s">
        <v>26</v>
      </c>
      <c r="C883" s="2126"/>
      <c r="D883" s="2126"/>
      <c r="E883" s="2126"/>
      <c r="F883" s="2126"/>
      <c r="G883" s="2126"/>
      <c r="H883" s="2126"/>
      <c r="I883" s="2126"/>
      <c r="J883" s="2126"/>
    </row>
    <row r="884" spans="2:10">
      <c r="B884" s="892" t="s">
        <v>25</v>
      </c>
      <c r="C884" s="1274"/>
      <c r="D884" s="1274"/>
      <c r="E884" s="1274"/>
      <c r="F884" s="1274"/>
      <c r="G884" s="1274"/>
      <c r="H884" s="1274"/>
      <c r="I884" s="1274"/>
      <c r="J884" s="1274"/>
    </row>
    <row r="885" spans="2:10">
      <c r="B885" s="1274"/>
      <c r="C885" s="1274"/>
      <c r="D885" s="1274"/>
      <c r="E885" s="1274"/>
      <c r="F885" s="1274"/>
      <c r="G885" s="1274"/>
      <c r="H885" s="1274"/>
      <c r="I885" s="1274"/>
      <c r="J885" s="1274"/>
    </row>
    <row r="886" spans="2:10" ht="18" customHeight="1">
      <c r="B886" s="2109" t="s">
        <v>11</v>
      </c>
      <c r="C886" s="2111" t="s">
        <v>541</v>
      </c>
      <c r="D886" s="2111" t="s">
        <v>24</v>
      </c>
      <c r="E886" s="2111" t="s">
        <v>23</v>
      </c>
      <c r="F886" s="2111" t="s">
        <v>22</v>
      </c>
      <c r="G886" s="2111" t="s">
        <v>21</v>
      </c>
      <c r="H886" s="2111" t="s">
        <v>20</v>
      </c>
      <c r="I886" s="2113"/>
      <c r="J886" s="2113"/>
    </row>
    <row r="887" spans="2:10" ht="18" customHeight="1">
      <c r="B887" s="2110"/>
      <c r="C887" s="2110"/>
      <c r="D887" s="2110"/>
      <c r="E887" s="2110"/>
      <c r="F887" s="2110"/>
      <c r="G887" s="2110"/>
      <c r="H887" s="2110"/>
      <c r="I887" s="2114"/>
      <c r="J887" s="2114"/>
    </row>
    <row r="888" spans="2:10" ht="36" customHeight="1" thickBot="1">
      <c r="B888" s="1318" t="s">
        <v>1795</v>
      </c>
      <c r="C888" s="1319" t="s">
        <v>1378</v>
      </c>
      <c r="D888" s="1319" t="s">
        <v>1</v>
      </c>
      <c r="E888" s="1320" t="s">
        <v>1379</v>
      </c>
      <c r="F888" s="1320" t="s">
        <v>1789</v>
      </c>
      <c r="G888" s="1319">
        <v>0</v>
      </c>
      <c r="H888" s="1319" t="s">
        <v>1380</v>
      </c>
      <c r="I888" s="1304"/>
      <c r="J888" s="1304"/>
    </row>
    <row r="889" spans="2:10" ht="15" thickTop="1">
      <c r="B889" s="503"/>
      <c r="C889" s="1321"/>
      <c r="D889" s="1274"/>
      <c r="E889" s="1274"/>
      <c r="F889" s="1274"/>
      <c r="G889" s="1274"/>
      <c r="H889" s="1274"/>
      <c r="I889" s="1274"/>
      <c r="J889" s="1274"/>
    </row>
    <row r="890" spans="2:10" ht="18" customHeight="1">
      <c r="B890" s="2109" t="s">
        <v>11</v>
      </c>
      <c r="C890" s="2109" t="s">
        <v>546</v>
      </c>
      <c r="D890" s="2111" t="s">
        <v>10</v>
      </c>
      <c r="E890" s="2111" t="s">
        <v>9</v>
      </c>
      <c r="F890" s="2111" t="s">
        <v>8</v>
      </c>
      <c r="G890" s="1274"/>
      <c r="H890" s="1274"/>
      <c r="I890" s="1274"/>
      <c r="J890" s="1274"/>
    </row>
    <row r="891" spans="2:10" ht="18" customHeight="1">
      <c r="B891" s="2110"/>
      <c r="C891" s="2110"/>
      <c r="D891" s="2110"/>
      <c r="E891" s="2110"/>
      <c r="F891" s="2110"/>
      <c r="G891" s="1274"/>
      <c r="H891" s="1274"/>
      <c r="I891" s="1274"/>
      <c r="J891" s="1274"/>
    </row>
    <row r="892" spans="2:10" ht="26.5" thickBot="1">
      <c r="B892" s="1322" t="s">
        <v>1795</v>
      </c>
      <c r="C892" s="1304" t="s">
        <v>1796</v>
      </c>
      <c r="D892" s="1323" t="s">
        <v>1796</v>
      </c>
      <c r="E892" s="1324" t="s">
        <v>1797</v>
      </c>
      <c r="F892" s="1325" t="s">
        <v>1</v>
      </c>
      <c r="G892" s="1274"/>
      <c r="H892" s="1274"/>
      <c r="I892" s="1274"/>
      <c r="J892" s="1274"/>
    </row>
    <row r="893" spans="2:10" ht="15" thickTop="1">
      <c r="B893" s="2127"/>
      <c r="C893" s="2127"/>
      <c r="D893" s="2127"/>
      <c r="E893" s="449"/>
      <c r="F893" s="449"/>
      <c r="G893" s="449"/>
      <c r="H893" s="449"/>
      <c r="I893" s="449"/>
      <c r="J893" s="449"/>
    </row>
    <row r="894" spans="2:10">
      <c r="B894" s="302"/>
      <c r="C894" s="449"/>
      <c r="D894" s="449"/>
      <c r="E894" s="449"/>
      <c r="F894" s="449"/>
      <c r="G894" s="449"/>
      <c r="H894" s="449"/>
      <c r="I894" s="449"/>
      <c r="J894" s="449"/>
    </row>
  </sheetData>
  <protectedRanges>
    <protectedRange sqref="C372:J372" name="Range1_11"/>
    <protectedRange sqref="C737:J737" name="Range1_13"/>
    <protectedRange sqref="C740:J740" name="Range1_1_9"/>
    <protectedRange sqref="C744:J744" name="Range1_14"/>
    <protectedRange sqref="C747:J748" name="Range1_1_10"/>
    <protectedRange sqref="C850:C852" name="Range1_17"/>
    <protectedRange sqref="C857:G859 D850:J852" name="Range1_1_15"/>
    <protectedRange sqref="I888:J888" name="Range1_2_7"/>
    <protectedRange sqref="C8:C12 D8:J8 C7:D7" name="Range1_8"/>
    <protectedRange sqref="C20:J20" name="Range1_1_3_1"/>
    <protectedRange sqref="C23:J23" name="Range1_2_1_1"/>
    <protectedRange sqref="C24:J24" name="Range1_2_2_1"/>
    <protectedRange sqref="C25:J25" name="Range1_3_1_1"/>
    <protectedRange sqref="C42:H42 D43:H43 I42:J43 C40:J40" name="Range1_4_1"/>
    <protectedRange sqref="C57:J57" name="Range1_6_1"/>
    <protectedRange sqref="C61:J69" name="Range1_1_4_1"/>
    <protectedRange sqref="C73:J78" name="Range1_3_2_1"/>
    <protectedRange sqref="C80:J81" name="Range1_2_3_1"/>
    <protectedRange sqref="C91:J91" name="Range1_7_1"/>
    <protectedRange sqref="C94:J94" name="Range1_1_5_1"/>
    <protectedRange sqref="C97:J100" name="Range1_2_5_1"/>
    <protectedRange sqref="C373:J373" name="Range1_11_1"/>
    <protectedRange sqref="C432:J432" name="Range1_1_7_1"/>
    <protectedRange sqref="D768:H769 C770:H770 I768:J770" name="Range1_15_1"/>
    <protectedRange sqref="C784:J785" name="Range1_1_11_1"/>
    <protectedRange sqref="C888:H888" name="Range1_2_7_1"/>
    <protectedRange sqref="C892:F892" name="Range1_2_7_2"/>
  </protectedRanges>
  <mergeCells count="125">
    <mergeCell ref="B893:D893"/>
    <mergeCell ref="J886:J887"/>
    <mergeCell ref="B890:B891"/>
    <mergeCell ref="C890:C891"/>
    <mergeCell ref="D890:D891"/>
    <mergeCell ref="E890:E891"/>
    <mergeCell ref="F890:F891"/>
    <mergeCell ref="B881:D881"/>
    <mergeCell ref="B883:J883"/>
    <mergeCell ref="B886:B887"/>
    <mergeCell ref="C886:C887"/>
    <mergeCell ref="D886:D887"/>
    <mergeCell ref="E886:E887"/>
    <mergeCell ref="F886:F887"/>
    <mergeCell ref="G886:G887"/>
    <mergeCell ref="H886:H887"/>
    <mergeCell ref="I886:I887"/>
    <mergeCell ref="H874:H875"/>
    <mergeCell ref="I874:I875"/>
    <mergeCell ref="J874:J875"/>
    <mergeCell ref="B878:B879"/>
    <mergeCell ref="C878:C879"/>
    <mergeCell ref="D878:D879"/>
    <mergeCell ref="E878:E879"/>
    <mergeCell ref="F878:F879"/>
    <mergeCell ref="B874:B875"/>
    <mergeCell ref="C874:C875"/>
    <mergeCell ref="D874:D875"/>
    <mergeCell ref="E874:E875"/>
    <mergeCell ref="F874:F875"/>
    <mergeCell ref="G874:G875"/>
    <mergeCell ref="F855:F856"/>
    <mergeCell ref="G855:H855"/>
    <mergeCell ref="B860:D860"/>
    <mergeCell ref="B863:J863"/>
    <mergeCell ref="B868:D868"/>
    <mergeCell ref="B871:J871"/>
    <mergeCell ref="B853:D853"/>
    <mergeCell ref="B854:D854"/>
    <mergeCell ref="B855:B856"/>
    <mergeCell ref="C855:C856"/>
    <mergeCell ref="D855:D856"/>
    <mergeCell ref="E855:E856"/>
    <mergeCell ref="B845:J845"/>
    <mergeCell ref="B848:B849"/>
    <mergeCell ref="C848:C849"/>
    <mergeCell ref="D848:D849"/>
    <mergeCell ref="E848:E849"/>
    <mergeCell ref="F848:F849"/>
    <mergeCell ref="G848:G849"/>
    <mergeCell ref="H848:H849"/>
    <mergeCell ref="I848:I849"/>
    <mergeCell ref="J848:J849"/>
    <mergeCell ref="B798:J798"/>
    <mergeCell ref="B819:J819"/>
    <mergeCell ref="B820:J820"/>
    <mergeCell ref="B821:J821"/>
    <mergeCell ref="B843:J843"/>
    <mergeCell ref="B844:J844"/>
    <mergeCell ref="B760:J760"/>
    <mergeCell ref="B773:J773"/>
    <mergeCell ref="B774:J774"/>
    <mergeCell ref="B776:J776"/>
    <mergeCell ref="B795:J795"/>
    <mergeCell ref="B796:J796"/>
    <mergeCell ref="B679:J679"/>
    <mergeCell ref="B727:J727"/>
    <mergeCell ref="B728:J728"/>
    <mergeCell ref="B730:J730"/>
    <mergeCell ref="B757:J757"/>
    <mergeCell ref="B758:J758"/>
    <mergeCell ref="B603:J603"/>
    <mergeCell ref="B626:J626"/>
    <mergeCell ref="B627:J627"/>
    <mergeCell ref="B629:J629"/>
    <mergeCell ref="B676:J676"/>
    <mergeCell ref="B677:J677"/>
    <mergeCell ref="B525:J525"/>
    <mergeCell ref="B561:J561"/>
    <mergeCell ref="B562:J562"/>
    <mergeCell ref="B564:J564"/>
    <mergeCell ref="B600:J600"/>
    <mergeCell ref="B601:J601"/>
    <mergeCell ref="B497:J497"/>
    <mergeCell ref="B509:J509"/>
    <mergeCell ref="B510:J510"/>
    <mergeCell ref="B512:J512"/>
    <mergeCell ref="B522:J522"/>
    <mergeCell ref="B523:J523"/>
    <mergeCell ref="B392:J392"/>
    <mergeCell ref="B394:J394"/>
    <mergeCell ref="B450:J450"/>
    <mergeCell ref="B452:J452"/>
    <mergeCell ref="B494:J494"/>
    <mergeCell ref="B495:J495"/>
    <mergeCell ref="B283:J283"/>
    <mergeCell ref="B285:J285"/>
    <mergeCell ref="B330:K330"/>
    <mergeCell ref="B331:J331"/>
    <mergeCell ref="B333:J333"/>
    <mergeCell ref="B391:J391"/>
    <mergeCell ref="B148:J148"/>
    <mergeCell ref="B150:J150"/>
    <mergeCell ref="B215:K215"/>
    <mergeCell ref="B216:J216"/>
    <mergeCell ref="B218:J218"/>
    <mergeCell ref="B282:K282"/>
    <mergeCell ref="B85:J85"/>
    <mergeCell ref="B112:K112"/>
    <mergeCell ref="B113:J113"/>
    <mergeCell ref="B114:J114"/>
    <mergeCell ref="B116:J116"/>
    <mergeCell ref="B147:K147"/>
    <mergeCell ref="B34:J34"/>
    <mergeCell ref="B49:J49"/>
    <mergeCell ref="B50:J50"/>
    <mergeCell ref="B52:J52"/>
    <mergeCell ref="B82:K82"/>
    <mergeCell ref="B83:J83"/>
    <mergeCell ref="B2:J2"/>
    <mergeCell ref="B13:J13"/>
    <mergeCell ref="B14:J14"/>
    <mergeCell ref="B16:J16"/>
    <mergeCell ref="B31:J31"/>
    <mergeCell ref="B32:J32"/>
  </mergeCells>
  <pageMargins left="0.7" right="0.7" top="0.75" bottom="0.75" header="0.3" footer="0.3"/>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97EA2-8D62-4894-A074-BA8159A8D564}">
  <dimension ref="B1:K1033"/>
  <sheetViews>
    <sheetView topLeftCell="A854" zoomScaleNormal="100" zoomScaleSheetLayoutView="92" workbookViewId="0">
      <pane xSplit="2" topLeftCell="C1" activePane="topRight" state="frozen"/>
      <selection activeCell="A344" sqref="A344"/>
      <selection pane="topRight" activeCell="B868" sqref="B868"/>
    </sheetView>
  </sheetViews>
  <sheetFormatPr baseColWidth="10" defaultColWidth="11.54296875" defaultRowHeight="14.5"/>
  <cols>
    <col min="1" max="1" width="1.453125" customWidth="1"/>
    <col min="2" max="2" width="46" customWidth="1"/>
    <col min="10" max="10" width="12.7265625" bestFit="1" customWidth="1"/>
    <col min="11" max="11" width="13.54296875" bestFit="1" customWidth="1"/>
  </cols>
  <sheetData>
    <row r="1" spans="2:10">
      <c r="B1" s="302"/>
      <c r="C1" s="449"/>
      <c r="D1" s="449"/>
      <c r="E1" s="449"/>
      <c r="F1" s="449"/>
      <c r="G1" s="449"/>
      <c r="H1" s="449"/>
      <c r="I1" s="449"/>
      <c r="J1" s="449"/>
    </row>
    <row r="2" spans="2:10">
      <c r="B2" s="2100" t="s">
        <v>464</v>
      </c>
      <c r="C2" s="2100"/>
      <c r="D2" s="2100"/>
      <c r="E2" s="2100"/>
      <c r="F2" s="2100"/>
      <c r="G2" s="2100"/>
      <c r="H2" s="2100"/>
      <c r="I2" s="2100"/>
      <c r="J2" s="2100"/>
    </row>
    <row r="3" spans="2:10">
      <c r="B3" s="12" t="s">
        <v>463</v>
      </c>
      <c r="C3" s="449"/>
      <c r="D3" s="449"/>
      <c r="E3" s="449"/>
      <c r="F3" s="449"/>
      <c r="G3" s="449"/>
      <c r="H3" s="449"/>
      <c r="I3" s="449"/>
      <c r="J3" s="449"/>
    </row>
    <row r="4" spans="2:10">
      <c r="B4" s="76"/>
      <c r="C4" s="449"/>
      <c r="D4" s="449"/>
      <c r="E4" s="449"/>
      <c r="F4" s="449"/>
      <c r="G4" s="449"/>
      <c r="H4" s="449"/>
      <c r="I4" s="449"/>
      <c r="J4" s="449"/>
    </row>
    <row r="5" spans="2:10">
      <c r="B5" s="61"/>
      <c r="C5" s="303">
        <v>2014</v>
      </c>
      <c r="D5" s="303">
        <v>2015</v>
      </c>
      <c r="E5" s="303">
        <v>2016</v>
      </c>
      <c r="F5" s="303">
        <v>2017</v>
      </c>
      <c r="G5" s="303">
        <v>2018</v>
      </c>
      <c r="H5" s="303">
        <v>2019</v>
      </c>
      <c r="I5" s="303">
        <v>2020</v>
      </c>
      <c r="J5" s="303">
        <v>2021</v>
      </c>
    </row>
    <row r="6" spans="2:10">
      <c r="B6" s="64" t="s">
        <v>465</v>
      </c>
      <c r="C6" s="306">
        <v>2715.6570000000002</v>
      </c>
      <c r="D6" s="979">
        <v>2719.47</v>
      </c>
      <c r="E6" s="979">
        <v>2721.6640000000002</v>
      </c>
      <c r="F6" s="979">
        <v>2725.8820000000001</v>
      </c>
      <c r="G6" s="979">
        <v>2730.982</v>
      </c>
      <c r="H6" s="979">
        <v>2734.0920000000001</v>
      </c>
      <c r="I6" s="306">
        <v>2736.4</v>
      </c>
      <c r="J6" s="306">
        <v>2739.5</v>
      </c>
    </row>
    <row r="7" spans="2:10">
      <c r="B7" s="64" t="s">
        <v>1572</v>
      </c>
      <c r="C7" s="306">
        <v>13447.534681829889</v>
      </c>
      <c r="D7" s="306">
        <v>13782.977862996737</v>
      </c>
      <c r="E7" s="306">
        <v>13710.449625413239</v>
      </c>
      <c r="F7" s="306">
        <v>15160.151883749291</v>
      </c>
      <c r="G7" s="306">
        <v>15873.091994430817</v>
      </c>
      <c r="H7" s="306">
        <v>15919.502628844117</v>
      </c>
      <c r="I7" s="306">
        <v>13788.560068906821</v>
      </c>
      <c r="J7" s="306">
        <v>14251.402052360469</v>
      </c>
    </row>
    <row r="8" spans="2:10" ht="15.5">
      <c r="B8" s="64" t="s">
        <v>1573</v>
      </c>
      <c r="C8" s="306">
        <v>4951.8531544410389</v>
      </c>
      <c r="D8" s="306">
        <v>5068.2588383018519</v>
      </c>
      <c r="E8" s="306">
        <v>5037.5247001147973</v>
      </c>
      <c r="F8" s="306">
        <v>5561.5583813786852</v>
      </c>
      <c r="G8" s="306">
        <v>5812.2287127600312</v>
      </c>
      <c r="H8" s="306">
        <v>5822.5921544864323</v>
      </c>
      <c r="I8" s="306">
        <v>5038.9417003752451</v>
      </c>
      <c r="J8" s="306">
        <v>5202.1909298632845</v>
      </c>
    </row>
    <row r="9" spans="2:10">
      <c r="B9" s="64" t="s">
        <v>466</v>
      </c>
      <c r="C9" s="306">
        <v>6.4</v>
      </c>
      <c r="D9" s="306">
        <v>3.7</v>
      </c>
      <c r="E9" s="306">
        <v>1.7</v>
      </c>
      <c r="F9" s="306">
        <v>5.2</v>
      </c>
      <c r="G9" s="306">
        <v>2.4</v>
      </c>
      <c r="H9" s="306">
        <v>6.2188564718600077</v>
      </c>
      <c r="I9" s="306">
        <v>5.1912782412</v>
      </c>
      <c r="J9" s="306">
        <v>7.3097506025950914</v>
      </c>
    </row>
    <row r="10" spans="2:10">
      <c r="B10" s="64" t="s">
        <v>467</v>
      </c>
      <c r="C10" s="306"/>
      <c r="D10" s="306"/>
      <c r="E10" s="306"/>
      <c r="F10" s="306"/>
      <c r="G10" s="306"/>
      <c r="H10" s="306"/>
      <c r="I10" s="306"/>
      <c r="J10" s="306"/>
    </row>
    <row r="11" spans="2:10">
      <c r="B11" s="190" t="s">
        <v>468</v>
      </c>
      <c r="C11" s="306">
        <v>114.66070000000001</v>
      </c>
      <c r="D11" s="306">
        <v>120.41500000000001</v>
      </c>
      <c r="E11" s="306">
        <v>128.44040000000001</v>
      </c>
      <c r="F11" s="306">
        <v>125.0004</v>
      </c>
      <c r="G11" s="306">
        <v>127.7162</v>
      </c>
      <c r="H11" s="306">
        <v>132.56899999999999</v>
      </c>
      <c r="I11" s="306">
        <v>142.64930000000001</v>
      </c>
      <c r="J11" s="306">
        <v>155.08779999999999</v>
      </c>
    </row>
    <row r="12" spans="2:10" ht="15" thickBot="1">
      <c r="B12" s="196" t="s">
        <v>456</v>
      </c>
      <c r="C12" s="306">
        <v>111.30062316878481</v>
      </c>
      <c r="D12" s="306">
        <v>117.31079564579821</v>
      </c>
      <c r="E12" s="306">
        <v>125.14</v>
      </c>
      <c r="F12" s="306">
        <v>128.36053249522109</v>
      </c>
      <c r="G12" s="306">
        <v>129.72300430561097</v>
      </c>
      <c r="H12" s="306">
        <v>134.21867880126098</v>
      </c>
      <c r="I12" s="306">
        <v>143.26778327238</v>
      </c>
      <c r="J12" s="306">
        <v>151.62462672013464</v>
      </c>
    </row>
    <row r="13" spans="2:10" ht="15" thickTop="1">
      <c r="B13" s="2025" t="s">
        <v>1574</v>
      </c>
      <c r="C13" s="2025"/>
      <c r="D13" s="2025"/>
      <c r="E13" s="2025"/>
      <c r="F13" s="2025"/>
      <c r="G13" s="2025"/>
      <c r="H13" s="2025"/>
      <c r="I13" s="2025"/>
      <c r="J13" s="2025"/>
    </row>
    <row r="14" spans="2:10">
      <c r="B14" s="2066"/>
      <c r="C14" s="2066"/>
      <c r="D14" s="2066"/>
      <c r="E14" s="2066"/>
      <c r="F14" s="2066"/>
      <c r="G14" s="2066"/>
      <c r="H14" s="2066"/>
      <c r="I14" s="2066"/>
      <c r="J14" s="2066"/>
    </row>
    <row r="15" spans="2:10">
      <c r="B15" s="64"/>
      <c r="C15" s="449"/>
      <c r="D15" s="449"/>
      <c r="E15" s="449"/>
      <c r="F15" s="449"/>
      <c r="G15" s="449"/>
      <c r="H15" s="449"/>
      <c r="I15" s="449"/>
      <c r="J15" s="449"/>
    </row>
    <row r="16" spans="2:10">
      <c r="B16" s="2100" t="s">
        <v>454</v>
      </c>
      <c r="C16" s="2100"/>
      <c r="D16" s="2100"/>
      <c r="E16" s="2100"/>
      <c r="F16" s="2100"/>
      <c r="G16" s="2100"/>
      <c r="H16" s="2100"/>
      <c r="I16" s="2100"/>
      <c r="J16" s="2100"/>
    </row>
    <row r="17" spans="2:10">
      <c r="B17" s="12" t="s">
        <v>453</v>
      </c>
      <c r="C17" s="449"/>
      <c r="D17" s="449"/>
      <c r="E17" s="449"/>
      <c r="F17" s="449"/>
      <c r="G17" s="449"/>
      <c r="H17" s="449"/>
      <c r="I17" s="449"/>
      <c r="J17" s="449"/>
    </row>
    <row r="18" spans="2:10">
      <c r="B18" s="62" t="s">
        <v>242</v>
      </c>
      <c r="C18" s="449"/>
      <c r="D18" s="449"/>
      <c r="E18" s="449"/>
      <c r="F18" s="449"/>
      <c r="G18" s="449"/>
      <c r="H18" s="449"/>
      <c r="I18" s="449"/>
      <c r="J18" s="449"/>
    </row>
    <row r="19" spans="2:10">
      <c r="B19" s="61"/>
      <c r="C19" s="303">
        <v>2014</v>
      </c>
      <c r="D19" s="303">
        <v>2015</v>
      </c>
      <c r="E19" s="303">
        <v>2016</v>
      </c>
      <c r="F19" s="303">
        <v>2017</v>
      </c>
      <c r="G19" s="303">
        <v>2018</v>
      </c>
      <c r="H19" s="303">
        <v>2019</v>
      </c>
      <c r="I19" s="303">
        <v>2020</v>
      </c>
      <c r="J19" s="303">
        <v>2021</v>
      </c>
    </row>
    <row r="20" spans="2:10">
      <c r="B20" s="188" t="s">
        <v>413</v>
      </c>
      <c r="C20" s="980">
        <v>554.53606161483401</v>
      </c>
      <c r="D20" s="980">
        <v>608.94905119794043</v>
      </c>
      <c r="E20" s="981">
        <v>672.771962715781</v>
      </c>
      <c r="F20" s="981">
        <v>754.69038499076805</v>
      </c>
      <c r="G20" s="981">
        <v>841.28090250101388</v>
      </c>
      <c r="H20" s="981">
        <v>910.19318241821247</v>
      </c>
      <c r="I20" s="981">
        <v>1032.4406618886319</v>
      </c>
      <c r="J20" s="981">
        <v>1170.8485660943675</v>
      </c>
    </row>
    <row r="21" spans="2:10">
      <c r="B21" s="197" t="s">
        <v>452</v>
      </c>
      <c r="C21" s="306">
        <v>1294.9318816298871</v>
      </c>
      <c r="D21" s="306">
        <v>1423.5505958559977</v>
      </c>
      <c r="E21" s="306">
        <v>1401.3105222344373</v>
      </c>
      <c r="F21" s="306">
        <v>4783.1927262869394</v>
      </c>
      <c r="G21" s="306">
        <v>5369.554291934588</v>
      </c>
      <c r="H21" s="306">
        <v>5790.9279252495508</v>
      </c>
      <c r="I21" s="306">
        <v>6374.5374490475369</v>
      </c>
      <c r="J21" s="306">
        <v>6723.8925639199533</v>
      </c>
    </row>
    <row r="22" spans="2:10">
      <c r="B22" s="194" t="s">
        <v>379</v>
      </c>
      <c r="C22" s="306"/>
      <c r="D22" s="306"/>
      <c r="E22" s="306"/>
      <c r="F22" s="306"/>
      <c r="G22" s="306"/>
      <c r="H22" s="306"/>
      <c r="I22" s="306"/>
      <c r="J22" s="306"/>
    </row>
    <row r="23" spans="2:10">
      <c r="B23" s="198" t="s">
        <v>451</v>
      </c>
      <c r="C23" s="980">
        <v>867.4314913479509</v>
      </c>
      <c r="D23" s="980">
        <v>2725.4689282896647</v>
      </c>
      <c r="E23" s="980">
        <v>2855.373480618247</v>
      </c>
      <c r="F23" s="980">
        <v>2863.7891094331435</v>
      </c>
      <c r="G23" s="980">
        <v>3216.100265279902</v>
      </c>
      <c r="H23" s="980">
        <v>3544.9370670755829</v>
      </c>
      <c r="I23" s="980">
        <v>3917.6157294154573</v>
      </c>
      <c r="J23" s="980">
        <v>3983.6664851932228</v>
      </c>
    </row>
    <row r="24" spans="2:10">
      <c r="B24" s="198" t="s">
        <v>450</v>
      </c>
      <c r="C24" s="980">
        <v>427.50039028193618</v>
      </c>
      <c r="D24" s="980">
        <v>2091.7577461279743</v>
      </c>
      <c r="E24" s="980">
        <v>2252.0190376236756</v>
      </c>
      <c r="F24" s="980">
        <v>1919.4036168537959</v>
      </c>
      <c r="G24" s="980">
        <v>2153.4540266546855</v>
      </c>
      <c r="H24" s="980">
        <v>2245.9908581739674</v>
      </c>
      <c r="I24" s="980">
        <v>2456.9217196320792</v>
      </c>
      <c r="J24" s="980">
        <v>2740.2260787267305</v>
      </c>
    </row>
    <row r="25" spans="2:10">
      <c r="B25" s="197" t="s">
        <v>449</v>
      </c>
      <c r="C25" s="980">
        <v>1439.1191489324588</v>
      </c>
      <c r="D25" s="980">
        <v>1628.2799652168751</v>
      </c>
      <c r="E25" s="980">
        <v>1625.0250867863226</v>
      </c>
      <c r="F25" s="980">
        <v>1867.8917373111608</v>
      </c>
      <c r="G25" s="980">
        <v>2220.0994368380047</v>
      </c>
      <c r="H25" s="980">
        <v>2450.7732964233724</v>
      </c>
      <c r="I25" s="980">
        <v>2678.2753347541839</v>
      </c>
      <c r="J25" s="980">
        <v>2957.2865322013081</v>
      </c>
    </row>
    <row r="26" spans="2:10">
      <c r="B26" s="197" t="s">
        <v>448</v>
      </c>
      <c r="C26" s="158"/>
      <c r="D26" s="158"/>
      <c r="E26" s="158"/>
      <c r="F26" s="158"/>
      <c r="G26" s="158"/>
      <c r="H26" s="158"/>
      <c r="I26" s="158"/>
      <c r="J26" s="158"/>
    </row>
    <row r="27" spans="2:10">
      <c r="B27" s="195" t="s">
        <v>447</v>
      </c>
      <c r="C27" s="982">
        <v>0</v>
      </c>
      <c r="D27" s="982">
        <v>0</v>
      </c>
      <c r="E27" s="982">
        <v>0</v>
      </c>
      <c r="F27" s="982">
        <v>0</v>
      </c>
      <c r="G27" s="982">
        <v>0</v>
      </c>
      <c r="H27" s="982">
        <v>0</v>
      </c>
      <c r="I27" s="982">
        <v>0</v>
      </c>
      <c r="J27" s="982">
        <v>0</v>
      </c>
    </row>
    <row r="28" spans="2:10">
      <c r="B28" s="195" t="s">
        <v>445</v>
      </c>
      <c r="C28" s="982">
        <v>0</v>
      </c>
      <c r="D28" s="982">
        <v>0</v>
      </c>
      <c r="E28" s="982">
        <v>0</v>
      </c>
      <c r="F28" s="982">
        <v>0</v>
      </c>
      <c r="G28" s="982">
        <v>0</v>
      </c>
      <c r="H28" s="982">
        <v>0</v>
      </c>
      <c r="I28" s="982">
        <v>0</v>
      </c>
      <c r="J28" s="982">
        <v>0</v>
      </c>
    </row>
    <row r="29" spans="2:10">
      <c r="B29" s="195" t="s">
        <v>444</v>
      </c>
      <c r="C29" s="982">
        <v>0</v>
      </c>
      <c r="D29" s="982">
        <v>0</v>
      </c>
      <c r="E29" s="982">
        <v>0</v>
      </c>
      <c r="F29" s="982">
        <v>0</v>
      </c>
      <c r="G29" s="982">
        <v>0</v>
      </c>
      <c r="H29" s="982">
        <v>0</v>
      </c>
      <c r="I29" s="982">
        <v>0</v>
      </c>
      <c r="J29" s="982">
        <v>0</v>
      </c>
    </row>
    <row r="30" spans="2:10" ht="15" thickBot="1">
      <c r="B30" s="196" t="s">
        <v>443</v>
      </c>
      <c r="C30" s="983">
        <v>0</v>
      </c>
      <c r="D30" s="983">
        <v>0</v>
      </c>
      <c r="E30" s="983">
        <v>0</v>
      </c>
      <c r="F30" s="983">
        <v>0</v>
      </c>
      <c r="G30" s="983">
        <v>0</v>
      </c>
      <c r="H30" s="983">
        <v>0</v>
      </c>
      <c r="I30" s="983">
        <v>0</v>
      </c>
      <c r="J30" s="983">
        <v>0</v>
      </c>
    </row>
    <row r="31" spans="2:10" ht="15" thickTop="1">
      <c r="B31" s="2025" t="s">
        <v>1574</v>
      </c>
      <c r="C31" s="2025"/>
      <c r="D31" s="2025"/>
      <c r="E31" s="2025"/>
      <c r="F31" s="2025"/>
      <c r="G31" s="2025"/>
      <c r="H31" s="2025"/>
      <c r="I31" s="2025"/>
      <c r="J31" s="2025"/>
    </row>
    <row r="32" spans="2:10">
      <c r="B32" s="2017"/>
      <c r="C32" s="2017"/>
      <c r="D32" s="2017"/>
      <c r="E32" s="2017"/>
      <c r="F32" s="2017"/>
      <c r="G32" s="2017"/>
      <c r="H32" s="2017"/>
      <c r="I32" s="2017"/>
      <c r="J32" s="2017"/>
    </row>
    <row r="33" spans="2:10">
      <c r="B33" s="64"/>
      <c r="C33" s="449"/>
      <c r="D33" s="449"/>
      <c r="E33" s="449"/>
      <c r="F33" s="449"/>
      <c r="G33" s="449"/>
      <c r="H33" s="449"/>
      <c r="I33" s="449"/>
      <c r="J33" s="449"/>
    </row>
    <row r="34" spans="2:10">
      <c r="B34" s="2100" t="s">
        <v>442</v>
      </c>
      <c r="C34" s="2100"/>
      <c r="D34" s="2100"/>
      <c r="E34" s="2100"/>
      <c r="F34" s="2100"/>
      <c r="G34" s="2100"/>
      <c r="H34" s="2100"/>
      <c r="I34" s="2100"/>
      <c r="J34" s="2100"/>
    </row>
    <row r="35" spans="2:10">
      <c r="B35" s="12" t="s">
        <v>441</v>
      </c>
      <c r="C35" s="449"/>
      <c r="D35" s="449"/>
      <c r="E35" s="449"/>
      <c r="F35" s="449"/>
      <c r="G35" s="449"/>
      <c r="H35" s="449"/>
      <c r="I35" s="449"/>
      <c r="J35" s="449"/>
    </row>
    <row r="36" spans="2:10">
      <c r="B36" s="77" t="s">
        <v>242</v>
      </c>
      <c r="C36" s="449"/>
      <c r="D36" s="449"/>
      <c r="E36" s="449"/>
      <c r="F36" s="449"/>
      <c r="G36" s="449"/>
      <c r="H36" s="449"/>
      <c r="I36" s="449"/>
      <c r="J36" s="449"/>
    </row>
    <row r="37" spans="2:10">
      <c r="B37" s="64"/>
      <c r="C37" s="449"/>
      <c r="D37" s="449"/>
      <c r="E37" s="449"/>
      <c r="F37" s="449"/>
      <c r="G37" s="449"/>
      <c r="H37" s="449"/>
      <c r="I37" s="449"/>
      <c r="J37" s="449"/>
    </row>
    <row r="38" spans="2:10">
      <c r="B38" s="61"/>
      <c r="C38" s="303">
        <v>2014</v>
      </c>
      <c r="D38" s="303">
        <v>2015</v>
      </c>
      <c r="E38" s="303">
        <v>2016</v>
      </c>
      <c r="F38" s="303">
        <v>2017</v>
      </c>
      <c r="G38" s="303">
        <v>2018</v>
      </c>
      <c r="H38" s="303">
        <v>2019</v>
      </c>
      <c r="I38" s="303">
        <v>2020</v>
      </c>
      <c r="J38" s="303">
        <v>2021</v>
      </c>
    </row>
    <row r="39" spans="2:10">
      <c r="B39" s="188" t="s">
        <v>440</v>
      </c>
      <c r="C39" s="306">
        <v>1021.4025991468741</v>
      </c>
      <c r="D39" s="306">
        <v>810.6307685919528</v>
      </c>
      <c r="E39" s="306">
        <v>906.41514663610496</v>
      </c>
      <c r="F39" s="306">
        <v>1002.0410480539264</v>
      </c>
      <c r="G39" s="306">
        <v>1031.685286334545</v>
      </c>
      <c r="H39" s="306">
        <v>863.1533634534469</v>
      </c>
      <c r="I39" s="306">
        <v>766.2287772526048</v>
      </c>
      <c r="J39" s="306">
        <v>817.63295924747149</v>
      </c>
    </row>
    <row r="40" spans="2:10">
      <c r="B40" s="195" t="s">
        <v>470</v>
      </c>
      <c r="C40" s="984"/>
      <c r="D40" s="984"/>
      <c r="E40" s="984"/>
      <c r="F40" s="984"/>
      <c r="G40" s="985"/>
      <c r="H40" s="985"/>
      <c r="I40" s="985"/>
      <c r="J40" s="985"/>
    </row>
    <row r="41" spans="2:10">
      <c r="B41" s="150" t="s">
        <v>352</v>
      </c>
      <c r="C41" s="986">
        <v>1021.4025991468741</v>
      </c>
      <c r="D41" s="986">
        <v>810.6307685919528</v>
      </c>
      <c r="E41" s="986">
        <v>906.41514663610496</v>
      </c>
      <c r="F41" s="986">
        <v>1002.0410480539264</v>
      </c>
      <c r="G41" s="986">
        <v>1031.685286334545</v>
      </c>
      <c r="H41" s="986">
        <v>863.1533634534469</v>
      </c>
      <c r="I41" s="986">
        <v>766.2287772526048</v>
      </c>
      <c r="J41" s="986">
        <v>817.63295924747149</v>
      </c>
    </row>
    <row r="42" spans="2:10">
      <c r="B42" s="150" t="s">
        <v>351</v>
      </c>
      <c r="C42" s="984">
        <v>0</v>
      </c>
      <c r="D42" s="984">
        <v>0</v>
      </c>
      <c r="E42" s="984">
        <v>0</v>
      </c>
      <c r="F42" s="984">
        <v>511.57954968728103</v>
      </c>
      <c r="G42" s="985">
        <v>497.64767994365633</v>
      </c>
      <c r="H42" s="985">
        <v>511.42278948457027</v>
      </c>
      <c r="I42" s="985">
        <v>486.95107759351077</v>
      </c>
      <c r="J42" s="985">
        <v>526.29463309318987</v>
      </c>
    </row>
    <row r="43" spans="2:10">
      <c r="B43" s="195" t="s">
        <v>471</v>
      </c>
      <c r="C43" s="987"/>
      <c r="D43" s="987"/>
      <c r="E43" s="987"/>
      <c r="F43" s="987"/>
      <c r="G43" s="987"/>
      <c r="H43" s="987"/>
      <c r="I43" s="987"/>
      <c r="J43" s="987"/>
    </row>
    <row r="44" spans="2:10">
      <c r="B44" s="150" t="s">
        <v>352</v>
      </c>
      <c r="C44" s="987">
        <v>0</v>
      </c>
      <c r="D44" s="987">
        <v>0</v>
      </c>
      <c r="E44" s="987">
        <v>0</v>
      </c>
      <c r="F44" s="987">
        <v>0</v>
      </c>
      <c r="G44" s="987">
        <v>0</v>
      </c>
      <c r="H44" s="987">
        <v>0</v>
      </c>
      <c r="I44" s="987">
        <v>0</v>
      </c>
      <c r="J44" s="987">
        <v>0</v>
      </c>
    </row>
    <row r="45" spans="2:10">
      <c r="B45" s="150" t="s">
        <v>351</v>
      </c>
      <c r="C45" s="987">
        <v>0</v>
      </c>
      <c r="D45" s="987">
        <v>0</v>
      </c>
      <c r="E45" s="987">
        <v>0</v>
      </c>
      <c r="F45" s="987">
        <v>0</v>
      </c>
      <c r="G45" s="987">
        <v>0</v>
      </c>
      <c r="H45" s="987">
        <v>0</v>
      </c>
      <c r="I45" s="987">
        <v>0</v>
      </c>
      <c r="J45" s="987">
        <v>0</v>
      </c>
    </row>
    <row r="46" spans="2:10">
      <c r="B46" s="150"/>
      <c r="C46" s="987"/>
      <c r="D46" s="987"/>
      <c r="E46" s="987"/>
      <c r="F46" s="987"/>
      <c r="G46" s="987"/>
      <c r="H46" s="987"/>
      <c r="I46" s="987"/>
      <c r="J46" s="987"/>
    </row>
    <row r="47" spans="2:10">
      <c r="B47" s="188" t="s">
        <v>437</v>
      </c>
      <c r="C47" s="307">
        <v>0</v>
      </c>
      <c r="D47" s="307">
        <v>0</v>
      </c>
      <c r="E47" s="307">
        <v>0</v>
      </c>
      <c r="F47" s="307">
        <v>0</v>
      </c>
      <c r="G47" s="307">
        <v>0</v>
      </c>
      <c r="H47" s="307">
        <v>0</v>
      </c>
      <c r="I47" s="307">
        <v>0</v>
      </c>
      <c r="J47" s="307">
        <v>0</v>
      </c>
    </row>
    <row r="48" spans="2:10" ht="15" thickBot="1">
      <c r="B48" s="193" t="s">
        <v>436</v>
      </c>
      <c r="C48" s="307"/>
      <c r="D48" s="307"/>
      <c r="E48" s="307"/>
      <c r="F48" s="307"/>
      <c r="G48" s="307"/>
      <c r="H48" s="307"/>
      <c r="I48" s="307"/>
      <c r="J48" s="307"/>
    </row>
    <row r="49" spans="2:10" ht="15" thickTop="1">
      <c r="B49" s="2025" t="s">
        <v>1574</v>
      </c>
      <c r="C49" s="2025"/>
      <c r="D49" s="2025"/>
      <c r="E49" s="2025"/>
      <c r="F49" s="2025"/>
      <c r="G49" s="2025"/>
      <c r="H49" s="2025"/>
      <c r="I49" s="2025"/>
      <c r="J49" s="2025"/>
    </row>
    <row r="50" spans="2:10">
      <c r="B50" s="2017"/>
      <c r="C50" s="2017"/>
      <c r="D50" s="2017"/>
      <c r="E50" s="2017"/>
      <c r="F50" s="2017"/>
      <c r="G50" s="2017"/>
      <c r="H50" s="2017"/>
      <c r="I50" s="2017"/>
      <c r="J50" s="2017"/>
    </row>
    <row r="51" spans="2:10">
      <c r="B51" s="64"/>
      <c r="C51" s="449"/>
      <c r="D51" s="449"/>
      <c r="E51" s="449"/>
      <c r="F51" s="449"/>
      <c r="G51" s="449"/>
      <c r="H51" s="449"/>
      <c r="I51" s="449"/>
      <c r="J51" s="449"/>
    </row>
    <row r="52" spans="2:10">
      <c r="B52" s="2100" t="s">
        <v>434</v>
      </c>
      <c r="C52" s="2100"/>
      <c r="D52" s="2100"/>
      <c r="E52" s="2100"/>
      <c r="F52" s="2100"/>
      <c r="G52" s="2100"/>
      <c r="H52" s="2100"/>
      <c r="I52" s="2100"/>
      <c r="J52" s="2100"/>
    </row>
    <row r="53" spans="2:10">
      <c r="B53" s="12" t="s">
        <v>433</v>
      </c>
      <c r="C53" s="449"/>
      <c r="D53" s="449"/>
      <c r="E53" s="449"/>
      <c r="F53" s="449"/>
      <c r="G53" s="449"/>
      <c r="H53" s="449"/>
      <c r="I53" s="449"/>
      <c r="J53" s="449"/>
    </row>
    <row r="54" spans="2:10">
      <c r="B54" s="62" t="s">
        <v>242</v>
      </c>
      <c r="C54" s="449"/>
      <c r="D54" s="449"/>
      <c r="E54" s="449"/>
      <c r="F54" s="449"/>
      <c r="G54" s="449"/>
      <c r="H54" s="449"/>
      <c r="I54" s="449"/>
      <c r="J54" s="449"/>
    </row>
    <row r="55" spans="2:10">
      <c r="B55" s="64"/>
      <c r="C55" s="449"/>
      <c r="D55" s="449"/>
      <c r="E55" s="449"/>
      <c r="F55" s="449"/>
      <c r="G55" s="449"/>
      <c r="H55" s="449"/>
      <c r="I55" s="449"/>
      <c r="J55" s="449"/>
    </row>
    <row r="56" spans="2:10">
      <c r="B56" s="61"/>
      <c r="C56" s="303">
        <v>2014</v>
      </c>
      <c r="D56" s="303">
        <v>2015</v>
      </c>
      <c r="E56" s="303">
        <v>2016</v>
      </c>
      <c r="F56" s="303">
        <v>2017</v>
      </c>
      <c r="G56" s="303">
        <v>2018</v>
      </c>
      <c r="H56" s="303">
        <v>2019</v>
      </c>
      <c r="I56" s="303">
        <v>2020</v>
      </c>
      <c r="J56" s="303">
        <v>2021</v>
      </c>
    </row>
    <row r="57" spans="2:10">
      <c r="B57" s="64" t="s">
        <v>432</v>
      </c>
      <c r="C57" s="986">
        <v>660.22903281507956</v>
      </c>
      <c r="D57" s="986">
        <v>707.02274835261392</v>
      </c>
      <c r="E57" s="986">
        <v>772.59078732353669</v>
      </c>
      <c r="F57" s="986">
        <v>896.30102160793092</v>
      </c>
      <c r="G57" s="986">
        <v>1055.0806397309032</v>
      </c>
      <c r="H57" s="986">
        <v>1133.1563185963539</v>
      </c>
      <c r="I57" s="986">
        <v>1345.8711885652438</v>
      </c>
      <c r="J57" s="986">
        <v>1473.3329414311122</v>
      </c>
    </row>
    <row r="58" spans="2:10">
      <c r="B58" s="62"/>
      <c r="C58" s="304"/>
      <c r="D58" s="304"/>
      <c r="E58" s="304"/>
      <c r="F58" s="304"/>
      <c r="G58" s="304"/>
      <c r="H58" s="304"/>
      <c r="I58" s="304"/>
      <c r="J58" s="304"/>
    </row>
    <row r="59" spans="2:10">
      <c r="B59" s="64" t="s">
        <v>431</v>
      </c>
      <c r="C59" s="304">
        <v>625.41021989225601</v>
      </c>
      <c r="D59" s="304">
        <v>669.71071045966039</v>
      </c>
      <c r="E59" s="304">
        <v>733.14487030560463</v>
      </c>
      <c r="F59" s="304">
        <v>852.6037592679703</v>
      </c>
      <c r="G59" s="304">
        <v>1009.0189028486598</v>
      </c>
      <c r="H59" s="304">
        <v>1084.7858850862572</v>
      </c>
      <c r="I59" s="304">
        <v>1297.6506225407347</v>
      </c>
      <c r="J59" s="304">
        <v>1424.9629184242735</v>
      </c>
    </row>
    <row r="60" spans="2:10">
      <c r="B60" s="988" t="s">
        <v>914</v>
      </c>
      <c r="C60" s="986">
        <v>0</v>
      </c>
      <c r="D60" s="304">
        <v>0</v>
      </c>
      <c r="E60" s="304">
        <v>0</v>
      </c>
      <c r="F60" s="304">
        <v>0</v>
      </c>
      <c r="G60" s="304">
        <v>0</v>
      </c>
      <c r="H60" s="304">
        <v>0</v>
      </c>
      <c r="I60" s="304">
        <v>0</v>
      </c>
      <c r="J60" s="304">
        <v>0</v>
      </c>
    </row>
    <row r="61" spans="2:10">
      <c r="B61" s="989" t="s">
        <v>1575</v>
      </c>
      <c r="C61" s="986">
        <v>50.640978120663831</v>
      </c>
      <c r="D61" s="986">
        <v>94.795332807374493</v>
      </c>
      <c r="E61" s="986">
        <v>140.23975322406346</v>
      </c>
      <c r="F61" s="986">
        <v>204.25858637252361</v>
      </c>
      <c r="G61" s="986">
        <v>277.35667049285843</v>
      </c>
      <c r="H61" s="986">
        <v>360.29456358575538</v>
      </c>
      <c r="I61" s="986">
        <v>524.32483019545134</v>
      </c>
      <c r="J61" s="986">
        <v>650.12918488752825</v>
      </c>
    </row>
    <row r="62" spans="2:10">
      <c r="B62" s="989" t="s">
        <v>1576</v>
      </c>
      <c r="C62" s="986">
        <v>454.25712558880247</v>
      </c>
      <c r="D62" s="986">
        <v>467.37570900635302</v>
      </c>
      <c r="E62" s="986">
        <v>486.74452897997821</v>
      </c>
      <c r="F62" s="986">
        <v>533.069782176697</v>
      </c>
      <c r="G62" s="986">
        <v>603.1823684074534</v>
      </c>
      <c r="H62" s="986">
        <v>598.14541861219436</v>
      </c>
      <c r="I62" s="986">
        <v>636.15030708177312</v>
      </c>
      <c r="J62" s="986">
        <v>651.12770314621787</v>
      </c>
    </row>
    <row r="63" spans="2:10">
      <c r="B63" s="989" t="s">
        <v>1577</v>
      </c>
      <c r="C63" s="986">
        <v>84.074321018448344</v>
      </c>
      <c r="D63" s="986">
        <v>71.272387161067968</v>
      </c>
      <c r="E63" s="986">
        <v>69.616335670085107</v>
      </c>
      <c r="F63" s="986">
        <v>75.512562359800455</v>
      </c>
      <c r="G63" s="986">
        <v>86.576174361592351</v>
      </c>
      <c r="H63" s="986">
        <v>82.861679578181935</v>
      </c>
      <c r="I63" s="986">
        <v>90.782681723639712</v>
      </c>
      <c r="J63" s="986">
        <v>78.44887541121868</v>
      </c>
    </row>
    <row r="64" spans="2:10">
      <c r="B64" s="989" t="s">
        <v>1578</v>
      </c>
      <c r="C64" s="986">
        <v>27.888193600771665</v>
      </c>
      <c r="D64" s="986">
        <v>27.722512145496822</v>
      </c>
      <c r="E64" s="986">
        <v>27.349980224290796</v>
      </c>
      <c r="F64" s="986">
        <v>30.116327627751591</v>
      </c>
      <c r="G64" s="986">
        <v>31.612825937508319</v>
      </c>
      <c r="H64" s="986">
        <v>32.543731943365344</v>
      </c>
      <c r="I64" s="986">
        <v>35.335923134568482</v>
      </c>
      <c r="J64" s="986">
        <v>34.19548346162626</v>
      </c>
    </row>
    <row r="65" spans="2:10">
      <c r="B65" s="989" t="s">
        <v>1579</v>
      </c>
      <c r="C65" s="986">
        <v>8.5496015635697322</v>
      </c>
      <c r="D65" s="986">
        <v>8.5447693393680186</v>
      </c>
      <c r="E65" s="986">
        <v>9.1942722071871454</v>
      </c>
      <c r="F65" s="986">
        <v>9.6465007311976603</v>
      </c>
      <c r="G65" s="986">
        <v>10.290863649247315</v>
      </c>
      <c r="H65" s="986">
        <v>10.940491366759952</v>
      </c>
      <c r="I65" s="986">
        <v>11.056880405301673</v>
      </c>
      <c r="J65" s="986">
        <v>11.061671517682242</v>
      </c>
    </row>
    <row r="66" spans="2:10">
      <c r="B66" s="190"/>
      <c r="C66" s="304"/>
      <c r="D66" s="304"/>
      <c r="E66" s="304"/>
      <c r="F66" s="304"/>
      <c r="G66" s="304"/>
      <c r="H66" s="304"/>
      <c r="I66" s="304"/>
      <c r="J66" s="304"/>
    </row>
    <row r="67" spans="2:10">
      <c r="B67" s="64" t="s">
        <v>424</v>
      </c>
      <c r="C67" s="304">
        <v>34.818812922823597</v>
      </c>
      <c r="D67" s="304">
        <v>37.312037892953533</v>
      </c>
      <c r="E67" s="304">
        <v>39.445917017932047</v>
      </c>
      <c r="F67" s="304">
        <v>43.697262339960517</v>
      </c>
      <c r="G67" s="304">
        <v>46.061736882243594</v>
      </c>
      <c r="H67" s="304">
        <v>48.370433510096632</v>
      </c>
      <c r="I67" s="304">
        <v>48.220566024509047</v>
      </c>
      <c r="J67" s="304">
        <v>48.370023006838714</v>
      </c>
    </row>
    <row r="68" spans="2:10">
      <c r="B68" s="988" t="s">
        <v>914</v>
      </c>
      <c r="C68" s="990"/>
      <c r="D68" s="304"/>
      <c r="E68" s="304"/>
      <c r="F68" s="304"/>
      <c r="G68" s="304"/>
      <c r="H68" s="304"/>
      <c r="I68" s="986"/>
      <c r="J68" s="986"/>
    </row>
    <row r="69" spans="2:10">
      <c r="B69" s="989" t="s">
        <v>1580</v>
      </c>
      <c r="C69" s="986">
        <v>14.430105694453285</v>
      </c>
      <c r="D69" s="986">
        <v>15.676349790308516</v>
      </c>
      <c r="E69" s="986">
        <v>16.737020127623392</v>
      </c>
      <c r="F69" s="986">
        <v>18.497970406494701</v>
      </c>
      <c r="G69" s="986">
        <v>19.601193897093712</v>
      </c>
      <c r="H69" s="986">
        <v>20.668406641069932</v>
      </c>
      <c r="I69" s="986">
        <v>20.558999167889361</v>
      </c>
      <c r="J69" s="986">
        <v>20.827977442455179</v>
      </c>
    </row>
    <row r="70" spans="2:10">
      <c r="B70" s="989" t="s">
        <v>1581</v>
      </c>
      <c r="C70" s="986">
        <v>8.1236992273725868</v>
      </c>
      <c r="D70" s="986">
        <v>8.7542948968151801</v>
      </c>
      <c r="E70" s="986">
        <v>9.6604132344651674</v>
      </c>
      <c r="F70" s="986">
        <v>10.741517387144361</v>
      </c>
      <c r="G70" s="986">
        <v>11.428464047630605</v>
      </c>
      <c r="H70" s="986">
        <v>12.180675723585454</v>
      </c>
      <c r="I70" s="986">
        <v>12.363486045848104</v>
      </c>
      <c r="J70" s="986">
        <v>12.596674399920563</v>
      </c>
    </row>
    <row r="71" spans="2:10">
      <c r="B71" s="989" t="s">
        <v>1582</v>
      </c>
      <c r="C71" s="986">
        <v>5.1658174509661983</v>
      </c>
      <c r="D71" s="986">
        <v>5.6247622389237222</v>
      </c>
      <c r="E71" s="986">
        <v>5.7658128595052638</v>
      </c>
      <c r="F71" s="986">
        <v>6.5675907037097483</v>
      </c>
      <c r="G71" s="986">
        <v>7.0161028906278142</v>
      </c>
      <c r="H71" s="986">
        <v>7.4553628676387396</v>
      </c>
      <c r="I71" s="986">
        <v>7.5328292182296019</v>
      </c>
      <c r="J71" s="986">
        <v>7.5517557151497412</v>
      </c>
    </row>
    <row r="72" spans="2:10">
      <c r="B72" s="989" t="s">
        <v>1583</v>
      </c>
      <c r="C72" s="986">
        <v>6.2267443945484366</v>
      </c>
      <c r="D72" s="986">
        <v>6.4168871153926004</v>
      </c>
      <c r="E72" s="986">
        <v>6.4897655566317134</v>
      </c>
      <c r="F72" s="986">
        <v>7.0767488904035512</v>
      </c>
      <c r="G72" s="986">
        <v>7.2308759577876573</v>
      </c>
      <c r="H72" s="986">
        <v>7.3130218980304607</v>
      </c>
      <c r="I72" s="986">
        <v>7.0671759623075605</v>
      </c>
      <c r="J72" s="986">
        <v>6.7521457458291367</v>
      </c>
    </row>
    <row r="73" spans="2:10">
      <c r="B73" s="989" t="s">
        <v>1584</v>
      </c>
      <c r="C73" s="986">
        <v>0.59104426800115462</v>
      </c>
      <c r="D73" s="986">
        <v>0.5691709670722086</v>
      </c>
      <c r="E73" s="986">
        <v>0.53731443144057467</v>
      </c>
      <c r="F73" s="986">
        <v>0.55150705317742987</v>
      </c>
      <c r="G73" s="986">
        <v>0.53235219964264513</v>
      </c>
      <c r="H73" s="986">
        <v>0.51060202611470251</v>
      </c>
      <c r="I73" s="986">
        <v>0.47339874783822983</v>
      </c>
      <c r="J73" s="986">
        <v>0.43503725953943506</v>
      </c>
    </row>
    <row r="74" spans="2:10">
      <c r="B74" s="989" t="s">
        <v>1581</v>
      </c>
      <c r="C74" s="986">
        <v>0.27461802605426272</v>
      </c>
      <c r="D74" s="986">
        <v>0.26411359963459702</v>
      </c>
      <c r="E74" s="986">
        <v>0.24953580026222275</v>
      </c>
      <c r="F74" s="986">
        <v>0.25570689773792726</v>
      </c>
      <c r="G74" s="986">
        <v>0.24664059845188002</v>
      </c>
      <c r="H74" s="986">
        <v>0.23648062518386653</v>
      </c>
      <c r="I74" s="986">
        <v>0.21920892706799119</v>
      </c>
      <c r="J74" s="986">
        <v>0.20142312677077118</v>
      </c>
    </row>
    <row r="75" spans="2:10">
      <c r="B75" s="989" t="s">
        <v>1583</v>
      </c>
      <c r="C75" s="986">
        <v>6.7838614276731265E-3</v>
      </c>
      <c r="D75" s="986">
        <v>6.4592848067101276E-3</v>
      </c>
      <c r="E75" s="986">
        <v>6.0550080037122265E-3</v>
      </c>
      <c r="F75" s="986">
        <v>6.2210012927958634E-3</v>
      </c>
      <c r="G75" s="986">
        <v>6.1072910092846485E-3</v>
      </c>
      <c r="H75" s="986">
        <v>5.8837284734741917E-3</v>
      </c>
      <c r="I75" s="304">
        <v>5.4679553282070085E-3</v>
      </c>
      <c r="J75" s="304">
        <v>5.0093171738847288E-3</v>
      </c>
    </row>
    <row r="76" spans="2:10">
      <c r="B76" s="190"/>
      <c r="C76" s="304"/>
      <c r="D76" s="304"/>
      <c r="E76" s="304"/>
      <c r="F76" s="304"/>
      <c r="G76" s="304"/>
      <c r="H76" s="304"/>
    </row>
    <row r="77" spans="2:10">
      <c r="B77" s="197" t="s">
        <v>414</v>
      </c>
      <c r="C77" s="986">
        <v>99.019044886347288</v>
      </c>
      <c r="D77" s="986">
        <v>91.086218494373625</v>
      </c>
      <c r="E77" s="986">
        <v>92.345570396853319</v>
      </c>
      <c r="F77" s="986">
        <v>132.66893545940653</v>
      </c>
      <c r="G77" s="986">
        <v>195.40465883466624</v>
      </c>
      <c r="H77" s="986">
        <v>214.23576016979837</v>
      </c>
      <c r="I77" s="986">
        <v>279.78802153792549</v>
      </c>
      <c r="J77" s="986">
        <v>287.68170743681969</v>
      </c>
    </row>
    <row r="78" spans="2:10" ht="15" thickBot="1">
      <c r="B78" s="208" t="s">
        <v>413</v>
      </c>
      <c r="C78" s="991">
        <v>554.53606161483401</v>
      </c>
      <c r="D78" s="991">
        <v>608.94885188722333</v>
      </c>
      <c r="E78" s="991">
        <v>672.77204179424848</v>
      </c>
      <c r="F78" s="991">
        <v>754.69026755586378</v>
      </c>
      <c r="G78" s="991">
        <v>861.61691167815832</v>
      </c>
      <c r="H78" s="991">
        <v>920.7899829567998</v>
      </c>
      <c r="I78" s="991">
        <v>1067.8200326290423</v>
      </c>
      <c r="J78" s="991">
        <v>1187.2487669798013</v>
      </c>
    </row>
    <row r="79" spans="2:10" ht="15" thickTop="1">
      <c r="B79" s="2025" t="s">
        <v>1574</v>
      </c>
      <c r="C79" s="2025"/>
      <c r="D79" s="2025"/>
      <c r="E79" s="2025"/>
      <c r="F79" s="2025"/>
      <c r="G79" s="2025"/>
      <c r="H79" s="2025"/>
      <c r="I79" s="2025"/>
      <c r="J79" s="2025"/>
    </row>
    <row r="80" spans="2:10">
      <c r="B80" s="2017"/>
      <c r="C80" s="2017"/>
      <c r="D80" s="2017"/>
      <c r="E80" s="2017"/>
      <c r="F80" s="2017"/>
      <c r="G80" s="2017"/>
      <c r="H80" s="2017"/>
      <c r="I80" s="2017"/>
      <c r="J80" s="2017"/>
    </row>
    <row r="81" spans="2:10">
      <c r="B81" s="64"/>
      <c r="C81" s="449"/>
      <c r="D81" s="449"/>
      <c r="E81" s="449"/>
      <c r="F81" s="449"/>
      <c r="G81" s="449"/>
      <c r="H81" s="449"/>
      <c r="I81" s="449"/>
      <c r="J81" s="449"/>
    </row>
    <row r="82" spans="2:10">
      <c r="B82" s="2100" t="s">
        <v>411</v>
      </c>
      <c r="C82" s="2100"/>
      <c r="D82" s="2100"/>
      <c r="E82" s="2100"/>
      <c r="F82" s="2100"/>
      <c r="G82" s="2100"/>
      <c r="H82" s="2100"/>
      <c r="I82" s="2100"/>
      <c r="J82" s="2100"/>
    </row>
    <row r="83" spans="2:10">
      <c r="B83" s="12" t="s">
        <v>410</v>
      </c>
      <c r="C83" s="449"/>
      <c r="D83" s="449"/>
      <c r="E83" s="449"/>
      <c r="F83" s="449"/>
      <c r="G83" s="449"/>
      <c r="H83" s="449"/>
      <c r="I83" s="449"/>
      <c r="J83" s="449"/>
    </row>
    <row r="84" spans="2:10">
      <c r="B84" s="62" t="s">
        <v>409</v>
      </c>
      <c r="C84" s="449"/>
      <c r="D84" s="449"/>
      <c r="E84" s="449"/>
      <c r="F84" s="449"/>
      <c r="G84" s="449"/>
      <c r="H84" s="449"/>
      <c r="I84" s="449"/>
      <c r="J84" s="449"/>
    </row>
    <row r="85" spans="2:10">
      <c r="B85" s="64"/>
      <c r="C85" s="449"/>
      <c r="D85" s="449"/>
      <c r="E85" s="449"/>
      <c r="F85" s="449"/>
      <c r="G85" s="449"/>
      <c r="H85" s="449"/>
      <c r="I85" s="449"/>
      <c r="J85" s="449"/>
    </row>
    <row r="86" spans="2:10">
      <c r="B86" s="61"/>
      <c r="C86" s="303">
        <v>2014</v>
      </c>
      <c r="D86" s="303">
        <v>2015</v>
      </c>
      <c r="E86" s="303">
        <v>2016</v>
      </c>
      <c r="F86" s="303">
        <v>2017</v>
      </c>
      <c r="G86" s="303">
        <v>2018</v>
      </c>
      <c r="H86" s="303">
        <v>2019</v>
      </c>
      <c r="I86" s="303">
        <v>2020</v>
      </c>
      <c r="J86" s="303">
        <v>2021</v>
      </c>
    </row>
    <row r="87" spans="2:10">
      <c r="B87" s="114" t="s">
        <v>262</v>
      </c>
      <c r="C87" s="449"/>
      <c r="D87" s="449"/>
      <c r="E87" s="449"/>
      <c r="F87" s="449"/>
      <c r="G87" s="449"/>
      <c r="H87" s="449"/>
      <c r="I87" s="449"/>
      <c r="J87" s="449"/>
    </row>
    <row r="88" spans="2:10">
      <c r="B88" s="186" t="s">
        <v>408</v>
      </c>
      <c r="C88" s="992">
        <v>1</v>
      </c>
      <c r="D88" s="992">
        <v>1</v>
      </c>
      <c r="E88" s="992">
        <v>1</v>
      </c>
      <c r="F88" s="992">
        <v>1</v>
      </c>
      <c r="G88" s="992">
        <v>1</v>
      </c>
      <c r="H88" s="992">
        <v>1</v>
      </c>
      <c r="I88" s="992">
        <v>1</v>
      </c>
      <c r="J88" s="992">
        <v>1</v>
      </c>
    </row>
    <row r="89" spans="2:10">
      <c r="B89" s="65" t="s">
        <v>407</v>
      </c>
      <c r="C89" s="431">
        <v>59</v>
      </c>
      <c r="D89" s="431">
        <v>59</v>
      </c>
      <c r="E89" s="431">
        <v>58</v>
      </c>
      <c r="F89" s="431">
        <v>59</v>
      </c>
      <c r="G89" s="431">
        <v>59</v>
      </c>
      <c r="H89" s="431">
        <v>59</v>
      </c>
      <c r="I89" s="431">
        <v>59</v>
      </c>
      <c r="J89" s="431">
        <v>59</v>
      </c>
    </row>
    <row r="90" spans="2:10">
      <c r="B90" s="65" t="s">
        <v>406</v>
      </c>
      <c r="C90" s="429"/>
      <c r="D90" s="429"/>
      <c r="E90" s="429"/>
      <c r="F90" s="429"/>
      <c r="G90" s="429"/>
      <c r="H90" s="429"/>
      <c r="I90" s="429"/>
      <c r="J90" s="429"/>
    </row>
    <row r="91" spans="2:10">
      <c r="B91" s="186" t="s">
        <v>401</v>
      </c>
      <c r="C91" s="429">
        <v>522.65927769780069</v>
      </c>
      <c r="D91" s="429">
        <v>556.71225809413454</v>
      </c>
      <c r="E91" s="429">
        <v>685.51111103232688</v>
      </c>
      <c r="F91" s="429">
        <v>1014.1122192624819</v>
      </c>
      <c r="G91" s="429">
        <v>1052.9909283238933</v>
      </c>
      <c r="H91" s="429">
        <v>1069.5788608196488</v>
      </c>
      <c r="I91" s="429">
        <v>1169.8059506776408</v>
      </c>
      <c r="J91" s="429">
        <v>1317.3183190425038</v>
      </c>
    </row>
    <row r="92" spans="2:10">
      <c r="B92" s="186"/>
      <c r="C92" s="307"/>
      <c r="D92" s="307"/>
      <c r="E92" s="307"/>
      <c r="F92" s="307"/>
      <c r="G92" s="307"/>
      <c r="H92" s="307"/>
      <c r="I92" s="307"/>
      <c r="J92" s="307"/>
    </row>
    <row r="93" spans="2:10">
      <c r="B93" s="114" t="s">
        <v>477</v>
      </c>
      <c r="C93" s="307"/>
      <c r="D93" s="307"/>
      <c r="E93" s="307"/>
      <c r="F93" s="307"/>
      <c r="G93" s="307"/>
      <c r="H93" s="307"/>
      <c r="I93" s="307"/>
      <c r="J93" s="307"/>
    </row>
    <row r="94" spans="2:10">
      <c r="B94" s="186" t="s">
        <v>399</v>
      </c>
      <c r="C94" s="993">
        <v>6</v>
      </c>
      <c r="D94" s="993">
        <v>6</v>
      </c>
      <c r="E94" s="993">
        <v>6</v>
      </c>
      <c r="F94" s="993">
        <v>8</v>
      </c>
      <c r="G94" s="993">
        <v>8</v>
      </c>
      <c r="H94" s="993">
        <v>8</v>
      </c>
      <c r="I94" s="993">
        <v>8</v>
      </c>
      <c r="J94" s="993">
        <v>8</v>
      </c>
    </row>
    <row r="95" spans="2:10">
      <c r="B95" s="186" t="s">
        <v>408</v>
      </c>
      <c r="C95" s="993">
        <v>104</v>
      </c>
      <c r="D95" s="993">
        <v>107</v>
      </c>
      <c r="E95" s="993">
        <v>107</v>
      </c>
      <c r="F95" s="993">
        <v>140</v>
      </c>
      <c r="G95" s="993">
        <v>134</v>
      </c>
      <c r="H95" s="993">
        <v>138</v>
      </c>
      <c r="I95" s="993">
        <v>136</v>
      </c>
      <c r="J95" s="993">
        <v>136</v>
      </c>
    </row>
    <row r="96" spans="2:10">
      <c r="B96" s="186" t="s">
        <v>402</v>
      </c>
      <c r="C96" s="993">
        <v>326621</v>
      </c>
      <c r="D96" s="993">
        <v>442362</v>
      </c>
      <c r="E96" s="993">
        <v>401358</v>
      </c>
      <c r="F96" s="993">
        <v>430578</v>
      </c>
      <c r="G96" s="993">
        <v>537109</v>
      </c>
      <c r="H96" s="993">
        <v>581886</v>
      </c>
      <c r="I96" s="993">
        <v>612128</v>
      </c>
      <c r="J96" s="993">
        <v>662754</v>
      </c>
    </row>
    <row r="97" spans="2:10">
      <c r="B97" s="186" t="s">
        <v>401</v>
      </c>
      <c r="C97" s="210">
        <v>2454.8653636337476</v>
      </c>
      <c r="D97" s="210">
        <v>2586.8411493584686</v>
      </c>
      <c r="E97" s="210">
        <v>2622.9985269432354</v>
      </c>
      <c r="F97" s="210">
        <v>3660.7216216908105</v>
      </c>
      <c r="G97" s="210">
        <v>3806.0007735901945</v>
      </c>
      <c r="H97" s="210">
        <v>3955.0386817430926</v>
      </c>
      <c r="I97" s="210">
        <v>4268.8537833694236</v>
      </c>
      <c r="J97" s="210">
        <v>4256.7823194345401</v>
      </c>
    </row>
    <row r="98" spans="2:10">
      <c r="B98" s="186"/>
      <c r="C98" s="307"/>
      <c r="D98" s="307"/>
      <c r="E98" s="307"/>
      <c r="F98" s="307"/>
      <c r="G98" s="307"/>
      <c r="H98" s="307"/>
      <c r="I98" s="307"/>
      <c r="J98" s="307"/>
    </row>
    <row r="99" spans="2:10" ht="26">
      <c r="B99" s="148" t="s">
        <v>404</v>
      </c>
      <c r="C99" s="307"/>
      <c r="D99" s="307"/>
      <c r="E99" s="307"/>
      <c r="F99" s="307"/>
      <c r="G99" s="307"/>
      <c r="H99" s="307"/>
      <c r="I99" s="307"/>
      <c r="J99" s="307"/>
    </row>
    <row r="100" spans="2:10">
      <c r="B100" s="186" t="s">
        <v>399</v>
      </c>
      <c r="C100" s="158">
        <v>42</v>
      </c>
      <c r="D100" s="158">
        <v>39</v>
      </c>
      <c r="E100" s="158">
        <v>37</v>
      </c>
      <c r="F100" s="158">
        <v>31</v>
      </c>
      <c r="G100" s="158">
        <v>29</v>
      </c>
      <c r="H100" s="158">
        <v>28</v>
      </c>
      <c r="I100" s="158">
        <v>28</v>
      </c>
      <c r="J100" s="158">
        <v>28</v>
      </c>
    </row>
    <row r="101" spans="2:10">
      <c r="B101" s="186" t="s">
        <v>408</v>
      </c>
      <c r="C101" s="158">
        <v>132</v>
      </c>
      <c r="D101" s="158">
        <v>133</v>
      </c>
      <c r="E101" s="158">
        <v>134</v>
      </c>
      <c r="F101" s="158">
        <v>127</v>
      </c>
      <c r="G101" s="158">
        <v>127</v>
      </c>
      <c r="H101" s="158">
        <v>127</v>
      </c>
      <c r="I101" s="158">
        <v>128</v>
      </c>
      <c r="J101" s="158">
        <v>128</v>
      </c>
    </row>
    <row r="102" spans="2:10" ht="15.5">
      <c r="B102" s="186" t="s">
        <v>567</v>
      </c>
      <c r="C102" s="158">
        <v>666581</v>
      </c>
      <c r="D102" s="158">
        <v>686286</v>
      </c>
      <c r="E102" s="158">
        <v>748776</v>
      </c>
      <c r="F102" s="158">
        <v>133666</v>
      </c>
      <c r="G102" s="158">
        <v>138792</v>
      </c>
      <c r="H102" s="158">
        <v>143182</v>
      </c>
      <c r="I102" s="158">
        <v>146148</v>
      </c>
      <c r="J102" s="158">
        <v>152631</v>
      </c>
    </row>
    <row r="103" spans="2:10" ht="15.5">
      <c r="B103" s="186" t="s">
        <v>1585</v>
      </c>
      <c r="C103" s="306">
        <v>740.80972818062321</v>
      </c>
      <c r="D103" s="306">
        <v>817.37083419839723</v>
      </c>
      <c r="E103" s="306">
        <v>929.9428840146868</v>
      </c>
      <c r="F103" s="306">
        <v>538.27333352533265</v>
      </c>
      <c r="G103" s="306">
        <v>542.29086051730314</v>
      </c>
      <c r="H103" s="306">
        <v>520.17255919558875</v>
      </c>
      <c r="I103" s="306">
        <v>541.17972538245897</v>
      </c>
      <c r="J103" s="306">
        <v>525.69503210439507</v>
      </c>
    </row>
    <row r="104" spans="2:10">
      <c r="B104" s="186"/>
      <c r="C104" s="307"/>
      <c r="D104" s="307"/>
      <c r="E104" s="307"/>
      <c r="F104" s="307"/>
      <c r="G104" s="307"/>
      <c r="H104" s="307"/>
      <c r="I104" s="307"/>
      <c r="J104" s="307"/>
    </row>
    <row r="105" spans="2:10">
      <c r="B105" s="114" t="s">
        <v>400</v>
      </c>
      <c r="C105" s="307"/>
      <c r="D105" s="307"/>
      <c r="E105" s="307"/>
      <c r="F105" s="307"/>
      <c r="G105" s="307"/>
      <c r="H105" s="307"/>
      <c r="I105" s="307"/>
      <c r="J105" s="307"/>
    </row>
    <row r="106" spans="2:10">
      <c r="B106" s="186" t="s">
        <v>399</v>
      </c>
      <c r="C106" s="994">
        <v>0</v>
      </c>
      <c r="D106" s="994">
        <v>0</v>
      </c>
      <c r="E106" s="994">
        <v>0</v>
      </c>
      <c r="F106" s="994">
        <v>0</v>
      </c>
      <c r="G106" s="994">
        <v>0</v>
      </c>
      <c r="H106" s="994">
        <v>0</v>
      </c>
      <c r="I106" s="994">
        <v>0</v>
      </c>
      <c r="J106" s="994">
        <v>0</v>
      </c>
    </row>
    <row r="107" spans="2:10">
      <c r="B107" s="186" t="s">
        <v>401</v>
      </c>
      <c r="C107" s="994">
        <v>0</v>
      </c>
      <c r="D107" s="994">
        <v>0</v>
      </c>
      <c r="E107" s="994">
        <v>0</v>
      </c>
      <c r="F107" s="994">
        <v>0</v>
      </c>
      <c r="G107" s="994">
        <v>0</v>
      </c>
      <c r="H107" s="994">
        <v>0</v>
      </c>
      <c r="I107" s="994">
        <v>0</v>
      </c>
      <c r="J107" s="994">
        <v>0</v>
      </c>
    </row>
    <row r="108" spans="2:10" ht="15" thickBot="1">
      <c r="B108" s="183" t="s">
        <v>395</v>
      </c>
      <c r="C108" s="995">
        <v>0</v>
      </c>
      <c r="D108" s="995">
        <v>0</v>
      </c>
      <c r="E108" s="995">
        <v>0</v>
      </c>
      <c r="F108" s="995">
        <v>0</v>
      </c>
      <c r="G108" s="995">
        <v>0</v>
      </c>
      <c r="H108" s="995">
        <v>0</v>
      </c>
      <c r="I108" s="995">
        <v>0</v>
      </c>
      <c r="J108" s="995">
        <v>0</v>
      </c>
    </row>
    <row r="109" spans="2:10" ht="15.5" thickTop="1" thickBot="1">
      <c r="B109" s="2025" t="s">
        <v>1574</v>
      </c>
      <c r="C109" s="2025"/>
      <c r="D109" s="2025"/>
      <c r="E109" s="2025"/>
      <c r="F109" s="2025"/>
      <c r="G109" s="2025"/>
      <c r="H109" s="2025"/>
      <c r="I109" s="2025"/>
      <c r="J109" s="2025"/>
    </row>
    <row r="110" spans="2:10" ht="15" thickTop="1">
      <c r="B110" s="2039" t="s">
        <v>1586</v>
      </c>
      <c r="C110" s="2025"/>
      <c r="D110" s="2025"/>
      <c r="E110" s="2025"/>
      <c r="F110" s="2025"/>
      <c r="G110" s="2025"/>
      <c r="H110" s="2025"/>
      <c r="I110" s="2025"/>
      <c r="J110" s="2025"/>
    </row>
    <row r="111" spans="2:10">
      <c r="B111" s="2017"/>
      <c r="C111" s="2017"/>
      <c r="D111" s="2017"/>
      <c r="E111" s="2017"/>
      <c r="F111" s="2017"/>
      <c r="G111" s="2017"/>
      <c r="H111" s="2017"/>
      <c r="I111" s="2017"/>
      <c r="J111" s="2017"/>
    </row>
    <row r="112" spans="2:10">
      <c r="B112" s="64"/>
      <c r="C112" s="449"/>
      <c r="D112" s="449"/>
      <c r="E112" s="449"/>
      <c r="F112" s="449"/>
      <c r="G112" s="449"/>
      <c r="H112" s="449"/>
      <c r="I112" s="449"/>
      <c r="J112" s="449"/>
    </row>
    <row r="113" spans="2:10">
      <c r="B113" s="2100" t="s">
        <v>393</v>
      </c>
      <c r="C113" s="2100"/>
      <c r="D113" s="2100"/>
      <c r="E113" s="2100"/>
      <c r="F113" s="2100"/>
      <c r="G113" s="2100"/>
      <c r="H113" s="2100"/>
      <c r="I113" s="2100"/>
      <c r="J113" s="2100"/>
    </row>
    <row r="114" spans="2:10">
      <c r="B114" s="12" t="s">
        <v>392</v>
      </c>
      <c r="C114" s="449"/>
      <c r="D114" s="449"/>
      <c r="E114" s="449"/>
      <c r="F114" s="449"/>
      <c r="G114" s="449"/>
      <c r="H114" s="449"/>
      <c r="I114" s="449"/>
      <c r="J114" s="449"/>
    </row>
    <row r="115" spans="2:10">
      <c r="B115" s="62" t="s">
        <v>269</v>
      </c>
      <c r="C115" s="449"/>
      <c r="D115" s="449"/>
      <c r="E115" s="449"/>
      <c r="F115" s="449"/>
      <c r="G115" s="449"/>
      <c r="H115" s="449"/>
      <c r="I115" s="449"/>
      <c r="J115" s="449"/>
    </row>
    <row r="116" spans="2:10">
      <c r="B116" s="64"/>
      <c r="C116" s="449"/>
      <c r="D116" s="449"/>
      <c r="E116" s="449"/>
      <c r="F116" s="449"/>
      <c r="G116" s="449"/>
      <c r="H116" s="449"/>
      <c r="I116" s="449"/>
      <c r="J116" s="449"/>
    </row>
    <row r="117" spans="2:10">
      <c r="B117" s="61"/>
      <c r="C117" s="303" t="s">
        <v>1587</v>
      </c>
      <c r="D117" s="303">
        <v>2015</v>
      </c>
      <c r="E117" s="303">
        <v>2016</v>
      </c>
      <c r="F117" s="303">
        <v>2017</v>
      </c>
      <c r="G117" s="303">
        <v>2018</v>
      </c>
      <c r="H117" s="303">
        <v>2019</v>
      </c>
      <c r="I117" s="303">
        <v>2020</v>
      </c>
      <c r="J117" s="303">
        <v>2021</v>
      </c>
    </row>
    <row r="118" spans="2:10">
      <c r="B118" s="179" t="s">
        <v>391</v>
      </c>
      <c r="C118" s="449"/>
      <c r="D118" s="449"/>
      <c r="E118" s="449"/>
      <c r="F118" s="449"/>
      <c r="G118" s="449"/>
      <c r="H118" s="449"/>
      <c r="I118" s="449"/>
      <c r="J118" s="449"/>
    </row>
    <row r="119" spans="2:10">
      <c r="B119" s="149" t="s">
        <v>390</v>
      </c>
      <c r="C119" s="996">
        <v>2563456</v>
      </c>
      <c r="D119" s="996">
        <v>2776854</v>
      </c>
      <c r="E119" s="996">
        <v>2176941</v>
      </c>
      <c r="F119" s="996">
        <v>2895116</v>
      </c>
      <c r="G119" s="996">
        <v>3039240</v>
      </c>
      <c r="H119" s="158">
        <v>3393058</v>
      </c>
      <c r="I119" s="158">
        <v>3944088</v>
      </c>
      <c r="J119" s="158">
        <v>4458205</v>
      </c>
    </row>
    <row r="120" spans="2:10">
      <c r="B120" s="149" t="s">
        <v>389</v>
      </c>
      <c r="C120" s="996">
        <v>2563456</v>
      </c>
      <c r="D120" s="996">
        <v>2776854</v>
      </c>
      <c r="E120" s="996">
        <v>2176941</v>
      </c>
      <c r="F120" s="996">
        <v>2895116</v>
      </c>
      <c r="G120" s="996">
        <v>3039240</v>
      </c>
      <c r="H120" s="158">
        <v>3393058</v>
      </c>
      <c r="I120" s="158">
        <v>3944088</v>
      </c>
      <c r="J120" s="158">
        <v>4458205</v>
      </c>
    </row>
    <row r="121" spans="2:10">
      <c r="B121" s="149" t="s">
        <v>388</v>
      </c>
      <c r="C121" s="996">
        <v>0</v>
      </c>
      <c r="D121" s="996">
        <v>0</v>
      </c>
      <c r="E121" s="996">
        <v>0</v>
      </c>
      <c r="F121" s="996">
        <v>0</v>
      </c>
      <c r="G121" s="996">
        <v>0</v>
      </c>
      <c r="H121" s="158">
        <v>0</v>
      </c>
      <c r="I121" s="158">
        <v>0</v>
      </c>
      <c r="J121" s="158">
        <v>0</v>
      </c>
    </row>
    <row r="122" spans="2:10">
      <c r="B122" s="149" t="s">
        <v>387</v>
      </c>
      <c r="C122" s="996">
        <v>223259</v>
      </c>
      <c r="D122" s="996">
        <v>227001</v>
      </c>
      <c r="E122" s="996">
        <v>245500</v>
      </c>
      <c r="F122" s="996">
        <v>291898</v>
      </c>
      <c r="G122" s="996">
        <v>303451</v>
      </c>
      <c r="H122" s="158">
        <v>328658</v>
      </c>
      <c r="I122" s="158">
        <v>335587</v>
      </c>
      <c r="J122" s="158">
        <v>359295</v>
      </c>
    </row>
    <row r="123" spans="2:10">
      <c r="B123" s="149" t="s">
        <v>386</v>
      </c>
      <c r="C123" s="996">
        <v>0</v>
      </c>
      <c r="D123" s="996">
        <v>0</v>
      </c>
      <c r="E123" s="996">
        <v>0</v>
      </c>
      <c r="F123" s="996">
        <v>0</v>
      </c>
      <c r="G123" s="996">
        <v>0</v>
      </c>
      <c r="H123" s="158">
        <v>0</v>
      </c>
      <c r="I123" s="158">
        <v>0</v>
      </c>
      <c r="J123" s="158">
        <v>0</v>
      </c>
    </row>
    <row r="124" spans="2:10" ht="26">
      <c r="B124" s="83" t="s">
        <v>385</v>
      </c>
      <c r="C124" s="996">
        <v>0</v>
      </c>
      <c r="D124" s="996">
        <v>0</v>
      </c>
      <c r="E124" s="996">
        <v>0</v>
      </c>
      <c r="F124" s="996">
        <v>0</v>
      </c>
      <c r="G124" s="996">
        <v>0</v>
      </c>
      <c r="H124" s="158">
        <v>0</v>
      </c>
      <c r="I124" s="158">
        <v>0</v>
      </c>
      <c r="J124" s="158">
        <v>0</v>
      </c>
    </row>
    <row r="125" spans="2:10">
      <c r="B125" s="54" t="s">
        <v>384</v>
      </c>
      <c r="C125" s="996">
        <v>2812714</v>
      </c>
      <c r="D125" s="996">
        <v>3045700</v>
      </c>
      <c r="E125" s="996">
        <v>2461594</v>
      </c>
      <c r="F125" s="996">
        <v>3229628</v>
      </c>
      <c r="G125" s="996">
        <v>3387787</v>
      </c>
      <c r="H125" s="158">
        <v>3769424</v>
      </c>
      <c r="I125" s="158">
        <v>4328372</v>
      </c>
      <c r="J125" s="158">
        <f>J119+J122</f>
        <v>4817500</v>
      </c>
    </row>
    <row r="126" spans="2:10" ht="26">
      <c r="B126" s="83" t="s">
        <v>383</v>
      </c>
      <c r="C126" s="321">
        <v>0</v>
      </c>
      <c r="D126" s="321">
        <v>0</v>
      </c>
      <c r="E126" s="321">
        <v>0</v>
      </c>
      <c r="F126" s="321">
        <v>0</v>
      </c>
      <c r="G126" s="321">
        <v>0</v>
      </c>
      <c r="H126" s="321">
        <v>0</v>
      </c>
      <c r="I126" s="321">
        <v>0</v>
      </c>
      <c r="J126" s="321">
        <v>0</v>
      </c>
    </row>
    <row r="127" spans="2:10">
      <c r="B127" s="149" t="s">
        <v>382</v>
      </c>
      <c r="C127" s="996"/>
      <c r="D127" s="996"/>
      <c r="E127" s="996"/>
      <c r="F127" s="996"/>
      <c r="G127" s="996"/>
      <c r="H127" s="996"/>
      <c r="I127" s="996"/>
      <c r="J127" s="996"/>
    </row>
    <row r="128" spans="2:10">
      <c r="B128" s="149"/>
      <c r="C128" s="158"/>
      <c r="D128" s="158"/>
      <c r="E128" s="158"/>
      <c r="F128" s="158"/>
      <c r="G128" s="158"/>
      <c r="H128" s="158"/>
      <c r="I128" s="158"/>
      <c r="J128" s="158"/>
    </row>
    <row r="129" spans="2:10">
      <c r="B129" s="175" t="s">
        <v>381</v>
      </c>
      <c r="C129" s="158"/>
      <c r="D129" s="158"/>
      <c r="E129" s="158"/>
      <c r="F129" s="158"/>
      <c r="G129" s="158"/>
      <c r="H129" s="158"/>
      <c r="I129" s="158"/>
      <c r="J129" s="158"/>
    </row>
    <row r="130" spans="2:10">
      <c r="B130" s="149" t="s">
        <v>380</v>
      </c>
      <c r="C130" s="996"/>
      <c r="D130" s="996"/>
      <c r="E130" s="996"/>
      <c r="F130" s="996"/>
      <c r="G130" s="996"/>
      <c r="H130" s="158"/>
      <c r="I130" s="158"/>
      <c r="J130" s="158"/>
    </row>
    <row r="131" spans="2:10">
      <c r="B131" s="172" t="s">
        <v>379</v>
      </c>
      <c r="C131" s="158"/>
      <c r="D131" s="158"/>
      <c r="E131" s="158"/>
      <c r="F131" s="158"/>
      <c r="G131" s="158"/>
      <c r="H131" s="158"/>
      <c r="I131" s="158"/>
      <c r="J131" s="158"/>
    </row>
    <row r="132" spans="2:10">
      <c r="B132" s="168" t="s">
        <v>378</v>
      </c>
      <c r="C132" s="996">
        <v>513</v>
      </c>
      <c r="D132" s="996">
        <v>526</v>
      </c>
      <c r="E132" s="996">
        <v>551</v>
      </c>
      <c r="F132" s="996">
        <v>690</v>
      </c>
      <c r="G132" s="996">
        <v>712</v>
      </c>
      <c r="H132" s="158">
        <v>755</v>
      </c>
      <c r="I132" s="158">
        <v>791</v>
      </c>
      <c r="J132" s="158">
        <v>793</v>
      </c>
    </row>
    <row r="133" spans="2:10">
      <c r="B133" s="168" t="s">
        <v>377</v>
      </c>
      <c r="C133" s="996">
        <v>0</v>
      </c>
      <c r="D133" s="996">
        <v>0</v>
      </c>
      <c r="E133" s="996">
        <v>0</v>
      </c>
      <c r="F133" s="996">
        <v>0</v>
      </c>
      <c r="G133" s="996">
        <v>0</v>
      </c>
      <c r="H133" s="158">
        <v>0</v>
      </c>
      <c r="I133" s="158">
        <v>0</v>
      </c>
      <c r="J133" s="158">
        <v>0</v>
      </c>
    </row>
    <row r="134" spans="2:10">
      <c r="B134" s="149" t="s">
        <v>376</v>
      </c>
      <c r="C134" s="996">
        <v>2</v>
      </c>
      <c r="D134" s="996">
        <v>2</v>
      </c>
      <c r="E134" s="996">
        <v>2</v>
      </c>
      <c r="F134" s="996">
        <v>2</v>
      </c>
      <c r="G134" s="996">
        <v>2</v>
      </c>
      <c r="H134" s="158">
        <v>2</v>
      </c>
      <c r="I134" s="158">
        <v>2</v>
      </c>
      <c r="J134" s="158">
        <v>2</v>
      </c>
    </row>
    <row r="135" spans="2:10">
      <c r="B135" s="149"/>
      <c r="C135" s="158"/>
      <c r="D135" s="158"/>
      <c r="E135" s="158"/>
      <c r="F135" s="158"/>
      <c r="G135" s="158"/>
      <c r="H135" s="158"/>
      <c r="I135" s="158"/>
      <c r="J135" s="158"/>
    </row>
    <row r="136" spans="2:10">
      <c r="B136" s="149" t="s">
        <v>375</v>
      </c>
      <c r="C136" s="997"/>
      <c r="D136" s="997"/>
      <c r="E136" s="997"/>
      <c r="F136" s="997"/>
      <c r="G136" s="997"/>
      <c r="H136" s="158"/>
      <c r="I136" s="158"/>
      <c r="J136" s="158"/>
    </row>
    <row r="137" spans="2:10">
      <c r="B137" s="168" t="s">
        <v>374</v>
      </c>
      <c r="C137" s="997">
        <v>22140</v>
      </c>
      <c r="D137" s="997">
        <v>24425</v>
      </c>
      <c r="E137" s="997">
        <v>26750</v>
      </c>
      <c r="F137" s="997">
        <v>29147</v>
      </c>
      <c r="G137" s="997">
        <v>34098</v>
      </c>
      <c r="H137" s="158">
        <v>40030</v>
      </c>
      <c r="I137" s="158">
        <v>45002</v>
      </c>
      <c r="J137" s="158">
        <v>47366</v>
      </c>
    </row>
    <row r="138" spans="2:10">
      <c r="B138" s="149" t="s">
        <v>478</v>
      </c>
      <c r="C138" s="327"/>
      <c r="D138" s="327"/>
      <c r="E138" s="327"/>
      <c r="F138" s="327"/>
      <c r="G138" s="327"/>
      <c r="H138" s="327"/>
      <c r="I138" s="327"/>
      <c r="J138" s="327"/>
    </row>
    <row r="139" spans="2:10">
      <c r="B139" s="165" t="s">
        <v>373</v>
      </c>
      <c r="C139" s="327"/>
      <c r="D139" s="327"/>
      <c r="E139" s="327"/>
      <c r="F139" s="327"/>
      <c r="G139" s="327"/>
      <c r="H139" s="327"/>
      <c r="I139" s="327"/>
      <c r="J139" s="327"/>
    </row>
    <row r="140" spans="2:10">
      <c r="B140" s="149" t="s">
        <v>372</v>
      </c>
      <c r="C140" s="327"/>
      <c r="D140" s="327"/>
      <c r="E140" s="327"/>
      <c r="F140" s="327"/>
      <c r="G140" s="327"/>
      <c r="H140" s="327"/>
      <c r="I140" s="327"/>
      <c r="J140" s="327"/>
    </row>
    <row r="141" spans="2:10">
      <c r="B141" s="149" t="s">
        <v>371</v>
      </c>
      <c r="C141" s="996">
        <v>2</v>
      </c>
      <c r="D141" s="996">
        <v>2</v>
      </c>
      <c r="E141" s="996">
        <v>2</v>
      </c>
      <c r="F141" s="996">
        <v>2</v>
      </c>
      <c r="G141" s="996">
        <v>2</v>
      </c>
      <c r="H141" s="158">
        <v>2</v>
      </c>
      <c r="I141" s="158">
        <v>2</v>
      </c>
      <c r="J141" s="158">
        <v>2</v>
      </c>
    </row>
    <row r="142" spans="2:10">
      <c r="B142" s="147" t="s">
        <v>370</v>
      </c>
      <c r="C142" s="158"/>
      <c r="D142" s="158"/>
      <c r="E142" s="158"/>
      <c r="F142" s="158"/>
      <c r="G142" s="158"/>
      <c r="H142" s="158"/>
      <c r="I142" s="158"/>
      <c r="J142" s="158"/>
    </row>
    <row r="143" spans="2:10" ht="15" thickBot="1">
      <c r="B143" s="209" t="s">
        <v>369</v>
      </c>
      <c r="C143" s="158"/>
      <c r="D143" s="158"/>
      <c r="E143" s="158"/>
      <c r="F143" s="158"/>
      <c r="G143" s="158"/>
      <c r="H143" s="158"/>
      <c r="I143" s="158"/>
      <c r="J143" s="158"/>
    </row>
    <row r="144" spans="2:10" ht="15" thickTop="1">
      <c r="B144" s="2025" t="s">
        <v>1574</v>
      </c>
      <c r="C144" s="2025"/>
      <c r="D144" s="2025"/>
      <c r="E144" s="2025"/>
      <c r="F144" s="2025"/>
      <c r="G144" s="2025"/>
      <c r="H144" s="2025"/>
      <c r="I144" s="2025"/>
      <c r="J144" s="2025"/>
    </row>
    <row r="145" spans="2:10">
      <c r="B145" s="2017"/>
      <c r="C145" s="2017"/>
      <c r="D145" s="2017"/>
      <c r="E145" s="2017"/>
      <c r="F145" s="2017"/>
      <c r="G145" s="2017"/>
      <c r="H145" s="2017"/>
      <c r="I145" s="2017"/>
      <c r="J145" s="2017"/>
    </row>
    <row r="146" spans="2:10">
      <c r="B146" s="64"/>
      <c r="C146" s="449"/>
      <c r="D146" s="449"/>
      <c r="E146" s="449"/>
      <c r="F146" s="449"/>
      <c r="G146" s="449"/>
      <c r="H146" s="449"/>
      <c r="I146" s="449"/>
      <c r="J146" s="449"/>
    </row>
    <row r="147" spans="2:10">
      <c r="B147" s="2100" t="s">
        <v>367</v>
      </c>
      <c r="C147" s="2100"/>
      <c r="D147" s="2100"/>
      <c r="E147" s="2100"/>
      <c r="F147" s="2100"/>
      <c r="G147" s="2100"/>
      <c r="H147" s="2100"/>
      <c r="I147" s="2100"/>
      <c r="J147" s="2100"/>
    </row>
    <row r="148" spans="2:10">
      <c r="B148" s="12" t="s">
        <v>366</v>
      </c>
      <c r="C148" s="449"/>
      <c r="D148" s="449"/>
      <c r="E148" s="449"/>
      <c r="F148" s="449"/>
      <c r="G148" s="449"/>
      <c r="H148" s="449"/>
      <c r="I148" s="449"/>
      <c r="J148" s="449"/>
    </row>
    <row r="149" spans="2:10">
      <c r="B149" s="62" t="s">
        <v>210</v>
      </c>
      <c r="C149" s="449"/>
      <c r="D149" s="449"/>
      <c r="E149" s="449"/>
      <c r="F149" s="449"/>
      <c r="G149" s="449"/>
      <c r="H149" s="449"/>
      <c r="I149" s="449"/>
      <c r="J149" s="449"/>
    </row>
    <row r="150" spans="2:10">
      <c r="B150" s="64"/>
      <c r="C150" s="449"/>
      <c r="D150" s="449"/>
      <c r="E150" s="449"/>
      <c r="F150" s="449"/>
      <c r="G150" s="449"/>
      <c r="H150" s="449"/>
      <c r="I150" s="449"/>
      <c r="J150" s="449"/>
    </row>
    <row r="151" spans="2:10">
      <c r="B151" s="61"/>
      <c r="C151" s="303">
        <v>2014</v>
      </c>
      <c r="D151" s="303">
        <v>2015</v>
      </c>
      <c r="E151" s="303">
        <v>2016</v>
      </c>
      <c r="F151" s="303">
        <v>2017</v>
      </c>
      <c r="G151" s="303">
        <v>2018</v>
      </c>
      <c r="H151" s="303">
        <v>2019</v>
      </c>
      <c r="I151" s="303">
        <v>2020</v>
      </c>
      <c r="J151" s="303">
        <v>2021</v>
      </c>
    </row>
    <row r="152" spans="2:10">
      <c r="B152" s="114" t="s">
        <v>362</v>
      </c>
      <c r="C152" s="449"/>
      <c r="D152" s="449"/>
      <c r="E152" s="449"/>
      <c r="F152" s="449"/>
      <c r="G152" s="449"/>
      <c r="H152" s="449"/>
      <c r="I152" s="449"/>
      <c r="J152" s="449"/>
    </row>
    <row r="153" spans="2:10">
      <c r="B153" s="54" t="s">
        <v>361</v>
      </c>
      <c r="C153" s="306">
        <v>1785.127</v>
      </c>
      <c r="D153" s="306">
        <v>2088.1860000000001</v>
      </c>
      <c r="E153" s="306">
        <v>2723.433</v>
      </c>
      <c r="F153" s="306">
        <v>3258.2170000000001</v>
      </c>
      <c r="G153" s="306">
        <v>4060.0349999999999</v>
      </c>
      <c r="H153" s="306">
        <v>4896.0540000000001</v>
      </c>
      <c r="I153" s="306">
        <v>6605.5410000000002</v>
      </c>
      <c r="J153" s="306">
        <v>8458.616</v>
      </c>
    </row>
    <row r="154" spans="2:10">
      <c r="B154" s="151" t="s">
        <v>360</v>
      </c>
      <c r="C154" s="986">
        <v>0</v>
      </c>
      <c r="D154" s="986">
        <v>0</v>
      </c>
      <c r="E154" s="986">
        <v>0</v>
      </c>
      <c r="F154" s="986">
        <v>0</v>
      </c>
      <c r="G154" s="986">
        <v>0</v>
      </c>
      <c r="H154" s="306">
        <v>0</v>
      </c>
      <c r="I154" s="306">
        <v>0</v>
      </c>
      <c r="J154" s="306">
        <v>0</v>
      </c>
    </row>
    <row r="155" spans="2:10">
      <c r="B155" s="151" t="s">
        <v>359</v>
      </c>
      <c r="C155" s="986">
        <v>1785.127</v>
      </c>
      <c r="D155" s="986">
        <v>2088.1860000000001</v>
      </c>
      <c r="E155" s="986">
        <v>2723.433</v>
      </c>
      <c r="F155" s="986">
        <v>3258.2170000000001</v>
      </c>
      <c r="G155" s="986">
        <v>4060.0349999999999</v>
      </c>
      <c r="H155" s="306">
        <v>4896.0540000000001</v>
      </c>
      <c r="I155" s="306">
        <v>6605.5410000000002</v>
      </c>
      <c r="J155" s="306">
        <v>8458.616</v>
      </c>
    </row>
    <row r="156" spans="2:10">
      <c r="B156" s="152" t="s">
        <v>358</v>
      </c>
      <c r="C156" s="986">
        <v>456.18700000000001</v>
      </c>
      <c r="D156" s="986">
        <v>442.96300000000002</v>
      </c>
      <c r="E156" s="986">
        <v>506.178</v>
      </c>
      <c r="F156" s="986">
        <v>516.64800000000002</v>
      </c>
      <c r="G156" s="986">
        <v>539.73699999999997</v>
      </c>
      <c r="H156" s="306">
        <v>580.822</v>
      </c>
      <c r="I156" s="306">
        <v>564.92499999999995</v>
      </c>
      <c r="J156" s="306">
        <v>582.33500000000004</v>
      </c>
    </row>
    <row r="157" spans="2:10">
      <c r="B157" s="71" t="s">
        <v>357</v>
      </c>
      <c r="C157" s="986">
        <v>80421.794999999998</v>
      </c>
      <c r="D157" s="986">
        <v>86051.51</v>
      </c>
      <c r="E157" s="986">
        <v>96995.377999999997</v>
      </c>
      <c r="F157" s="986">
        <v>102695.387</v>
      </c>
      <c r="G157" s="986">
        <v>115792.141</v>
      </c>
      <c r="H157" s="306">
        <v>120674.79300000001</v>
      </c>
      <c r="I157" s="306">
        <v>108893.242</v>
      </c>
      <c r="J157" s="306">
        <f>J158+J160</f>
        <v>110979.77099999999</v>
      </c>
    </row>
    <row r="158" spans="2:10">
      <c r="B158" s="151" t="s">
        <v>356</v>
      </c>
      <c r="C158" s="986">
        <v>63463.648000000001</v>
      </c>
      <c r="D158" s="986">
        <v>71374.775999999998</v>
      </c>
      <c r="E158" s="986">
        <v>81171.076000000001</v>
      </c>
      <c r="F158" s="986">
        <v>85193.039000000004</v>
      </c>
      <c r="G158" s="986">
        <v>95557.547999999995</v>
      </c>
      <c r="H158" s="306">
        <v>99170.976999999999</v>
      </c>
      <c r="I158" s="306">
        <v>88433.241999999998</v>
      </c>
      <c r="J158" s="306">
        <v>83091.005999999994</v>
      </c>
    </row>
    <row r="159" spans="2:10">
      <c r="B159" s="151" t="s">
        <v>355</v>
      </c>
      <c r="C159" s="986">
        <v>0</v>
      </c>
      <c r="D159" s="986">
        <v>0</v>
      </c>
      <c r="E159" s="986">
        <v>0</v>
      </c>
      <c r="F159" s="986">
        <v>0</v>
      </c>
      <c r="G159" s="986">
        <v>0</v>
      </c>
      <c r="H159" s="306">
        <v>0</v>
      </c>
      <c r="I159" s="306">
        <v>0</v>
      </c>
      <c r="J159" s="306">
        <v>0</v>
      </c>
    </row>
    <row r="160" spans="2:10">
      <c r="B160" s="151" t="s">
        <v>1588</v>
      </c>
      <c r="C160" s="986">
        <v>16958.147000000001</v>
      </c>
      <c r="D160" s="986">
        <v>14676.734</v>
      </c>
      <c r="E160" s="986">
        <v>15824.302</v>
      </c>
      <c r="F160" s="986">
        <v>17502.348000000002</v>
      </c>
      <c r="G160" s="986">
        <v>20234.593000000001</v>
      </c>
      <c r="H160" s="306">
        <v>21503.815999999999</v>
      </c>
      <c r="I160" s="306">
        <v>20460</v>
      </c>
      <c r="J160" s="306">
        <v>27888.764999999999</v>
      </c>
    </row>
    <row r="161" spans="2:10">
      <c r="B161" s="71" t="s">
        <v>338</v>
      </c>
      <c r="C161" s="986">
        <v>0</v>
      </c>
      <c r="D161" s="986">
        <v>0</v>
      </c>
      <c r="E161" s="986">
        <v>0</v>
      </c>
      <c r="F161" s="986">
        <v>0</v>
      </c>
      <c r="G161" s="986">
        <v>0</v>
      </c>
      <c r="H161" s="306">
        <v>0</v>
      </c>
      <c r="I161" s="306">
        <v>0</v>
      </c>
      <c r="J161" s="306">
        <v>0</v>
      </c>
    </row>
    <row r="162" spans="2:10">
      <c r="B162" s="71" t="s">
        <v>353</v>
      </c>
      <c r="C162" s="986">
        <v>16769.407999999999</v>
      </c>
      <c r="D162" s="986">
        <v>15003.231</v>
      </c>
      <c r="E162" s="986">
        <v>14720.453</v>
      </c>
      <c r="F162" s="986">
        <v>13811.218000000001</v>
      </c>
      <c r="G162" s="986">
        <v>13258.93</v>
      </c>
      <c r="H162" s="306">
        <v>12484.067999999999</v>
      </c>
      <c r="I162" s="306">
        <v>9035.8960000000006</v>
      </c>
      <c r="J162" s="306">
        <v>7019.44</v>
      </c>
    </row>
    <row r="163" spans="2:10">
      <c r="B163" s="150" t="s">
        <v>352</v>
      </c>
      <c r="C163" s="986">
        <v>16769.407999999999</v>
      </c>
      <c r="D163" s="986">
        <v>15003.231</v>
      </c>
      <c r="E163" s="986">
        <v>14720.453</v>
      </c>
      <c r="F163" s="986">
        <v>13811.218000000001</v>
      </c>
      <c r="G163" s="986">
        <v>13258.93</v>
      </c>
      <c r="H163" s="306">
        <v>12484.067999999999</v>
      </c>
      <c r="I163" s="306">
        <v>9035.8960000000006</v>
      </c>
      <c r="J163" s="306">
        <v>7019.44</v>
      </c>
    </row>
    <row r="164" spans="2:10">
      <c r="B164" s="150" t="s">
        <v>351</v>
      </c>
      <c r="C164" s="986">
        <v>0</v>
      </c>
      <c r="D164" s="986">
        <v>0</v>
      </c>
      <c r="E164" s="986">
        <v>0</v>
      </c>
      <c r="F164" s="986">
        <v>0</v>
      </c>
      <c r="G164" s="986">
        <v>0</v>
      </c>
      <c r="H164" s="306">
        <v>0</v>
      </c>
      <c r="I164" s="306">
        <v>0</v>
      </c>
      <c r="J164" s="306">
        <v>0</v>
      </c>
    </row>
    <row r="165" spans="2:10">
      <c r="B165" s="54" t="s">
        <v>350</v>
      </c>
      <c r="C165" s="986"/>
      <c r="D165" s="986"/>
      <c r="E165" s="986"/>
      <c r="F165" s="986"/>
      <c r="G165" s="986"/>
      <c r="H165" s="306"/>
      <c r="I165" s="306"/>
      <c r="J165" s="306"/>
    </row>
    <row r="166" spans="2:10">
      <c r="B166" s="54"/>
      <c r="C166" s="306"/>
      <c r="D166" s="306"/>
      <c r="E166" s="306"/>
      <c r="F166" s="306"/>
      <c r="G166" s="306"/>
      <c r="H166" s="306"/>
      <c r="I166" s="306"/>
      <c r="J166" s="306"/>
    </row>
    <row r="167" spans="2:10">
      <c r="B167" s="54" t="s">
        <v>365</v>
      </c>
      <c r="C167" s="306"/>
      <c r="D167" s="306"/>
      <c r="E167" s="306"/>
      <c r="F167" s="306"/>
      <c r="G167" s="306"/>
      <c r="H167" s="306"/>
      <c r="I167" s="306"/>
      <c r="J167" s="306"/>
    </row>
    <row r="168" spans="2:10">
      <c r="B168" s="147" t="s">
        <v>348</v>
      </c>
      <c r="C168" s="306"/>
      <c r="D168" s="306"/>
      <c r="E168" s="306"/>
      <c r="F168" s="306"/>
      <c r="G168" s="306"/>
      <c r="H168" s="306"/>
      <c r="I168" s="306"/>
      <c r="J168" s="306"/>
    </row>
    <row r="169" spans="2:10">
      <c r="B169" s="147"/>
      <c r="C169" s="306"/>
      <c r="D169" s="306"/>
      <c r="E169" s="306"/>
      <c r="F169" s="306"/>
      <c r="G169" s="306"/>
      <c r="H169" s="306"/>
      <c r="I169" s="306"/>
      <c r="J169" s="306"/>
    </row>
    <row r="170" spans="2:10">
      <c r="B170" s="54" t="s">
        <v>347</v>
      </c>
      <c r="C170" s="306"/>
      <c r="D170" s="306"/>
      <c r="E170" s="306"/>
      <c r="F170" s="306"/>
      <c r="G170" s="306"/>
      <c r="H170" s="306"/>
      <c r="I170" s="306"/>
      <c r="J170" s="306"/>
    </row>
    <row r="171" spans="2:10">
      <c r="B171" s="54"/>
      <c r="C171" s="306"/>
      <c r="D171" s="306"/>
      <c r="E171" s="306"/>
      <c r="F171" s="306"/>
      <c r="G171" s="306"/>
      <c r="H171" s="306"/>
      <c r="I171" s="306"/>
      <c r="J171" s="306"/>
    </row>
    <row r="172" spans="2:10">
      <c r="B172" s="114" t="s">
        <v>346</v>
      </c>
      <c r="C172" s="306"/>
      <c r="D172" s="306"/>
      <c r="E172" s="306"/>
      <c r="F172" s="306"/>
      <c r="G172" s="306"/>
      <c r="H172" s="306"/>
      <c r="I172" s="306"/>
      <c r="J172" s="306"/>
    </row>
    <row r="173" spans="2:10">
      <c r="B173" s="54" t="s">
        <v>342</v>
      </c>
      <c r="C173" s="986">
        <v>47046.252</v>
      </c>
      <c r="D173" s="986">
        <v>50687.642999999996</v>
      </c>
      <c r="E173" s="986">
        <v>54589.088000000003</v>
      </c>
      <c r="F173" s="986">
        <v>54632.919000000002</v>
      </c>
      <c r="G173" s="986">
        <v>60732.124000000003</v>
      </c>
      <c r="H173" s="306">
        <v>57829.67</v>
      </c>
      <c r="I173" s="306">
        <v>50509.144999999997</v>
      </c>
      <c r="J173" s="306">
        <v>48416.837</v>
      </c>
    </row>
    <row r="174" spans="2:10">
      <c r="B174" s="147" t="s">
        <v>341</v>
      </c>
      <c r="C174" s="986">
        <v>47046.252</v>
      </c>
      <c r="D174" s="986">
        <v>50687.642999999996</v>
      </c>
      <c r="E174" s="986">
        <v>54589.088000000003</v>
      </c>
      <c r="F174" s="986">
        <v>54632.919000000002</v>
      </c>
      <c r="G174" s="986">
        <v>60732.124000000003</v>
      </c>
      <c r="H174" s="306">
        <v>57829.67</v>
      </c>
      <c r="I174" s="306">
        <v>50509.144999999997</v>
      </c>
      <c r="J174" s="306">
        <v>48416.837</v>
      </c>
    </row>
    <row r="175" spans="2:10">
      <c r="B175" s="147" t="s">
        <v>340</v>
      </c>
      <c r="C175" s="986">
        <v>0</v>
      </c>
      <c r="D175" s="986">
        <v>0</v>
      </c>
      <c r="E175" s="986">
        <v>0</v>
      </c>
      <c r="F175" s="986">
        <v>0</v>
      </c>
      <c r="G175" s="986">
        <v>0</v>
      </c>
      <c r="H175" s="306">
        <v>0</v>
      </c>
      <c r="I175" s="306">
        <v>0</v>
      </c>
      <c r="J175" s="306">
        <v>0</v>
      </c>
    </row>
    <row r="176" spans="2:10">
      <c r="B176" s="54" t="s">
        <v>339</v>
      </c>
      <c r="C176" s="986">
        <v>22078.306</v>
      </c>
      <c r="D176" s="986">
        <v>26081.319</v>
      </c>
      <c r="E176" s="986">
        <v>29368.100999999999</v>
      </c>
      <c r="F176" s="986">
        <v>32694.6</v>
      </c>
      <c r="G176" s="986">
        <v>38258.197999999997</v>
      </c>
      <c r="H176" s="306">
        <v>39278.695</v>
      </c>
      <c r="I176" s="306">
        <v>36293.120000000003</v>
      </c>
      <c r="J176" s="306">
        <v>38080.764999999999</v>
      </c>
    </row>
    <row r="177" spans="2:10">
      <c r="B177" s="54" t="s">
        <v>338</v>
      </c>
      <c r="C177" s="986">
        <v>0</v>
      </c>
      <c r="D177" s="986">
        <v>0</v>
      </c>
      <c r="E177" s="986">
        <v>0</v>
      </c>
      <c r="F177" s="986">
        <v>0</v>
      </c>
      <c r="G177" s="986">
        <v>0</v>
      </c>
      <c r="H177" s="306">
        <v>0</v>
      </c>
      <c r="I177" s="306">
        <v>0</v>
      </c>
      <c r="J177" s="306">
        <v>0</v>
      </c>
    </row>
    <row r="178" spans="2:10">
      <c r="B178" s="147" t="s">
        <v>337</v>
      </c>
      <c r="C178" s="986">
        <v>0</v>
      </c>
      <c r="D178" s="986">
        <v>0</v>
      </c>
      <c r="E178" s="986">
        <v>0</v>
      </c>
      <c r="F178" s="986">
        <v>0</v>
      </c>
      <c r="G178" s="986">
        <v>0</v>
      </c>
      <c r="H178" s="306">
        <v>0</v>
      </c>
      <c r="I178" s="306">
        <v>0</v>
      </c>
      <c r="J178" s="306">
        <v>0</v>
      </c>
    </row>
    <row r="179" spans="2:10">
      <c r="B179" s="147" t="s">
        <v>336</v>
      </c>
      <c r="C179" s="986">
        <v>0</v>
      </c>
      <c r="D179" s="986">
        <v>0</v>
      </c>
      <c r="E179" s="986">
        <v>0</v>
      </c>
      <c r="F179" s="986">
        <v>0</v>
      </c>
      <c r="G179" s="986">
        <v>0</v>
      </c>
      <c r="H179" s="306">
        <v>0</v>
      </c>
      <c r="I179" s="306">
        <v>0</v>
      </c>
      <c r="J179" s="306">
        <v>0</v>
      </c>
    </row>
    <row r="180" spans="2:10">
      <c r="B180" s="147" t="s">
        <v>335</v>
      </c>
      <c r="C180" s="986">
        <v>0</v>
      </c>
      <c r="D180" s="986">
        <v>0</v>
      </c>
      <c r="E180" s="986">
        <v>0</v>
      </c>
      <c r="F180" s="986">
        <v>0</v>
      </c>
      <c r="G180" s="986">
        <v>0</v>
      </c>
      <c r="H180" s="306">
        <v>0</v>
      </c>
      <c r="I180" s="306">
        <v>0</v>
      </c>
      <c r="J180" s="306">
        <v>0</v>
      </c>
    </row>
    <row r="181" spans="2:10">
      <c r="B181" s="147"/>
      <c r="C181" s="306"/>
      <c r="D181" s="306"/>
      <c r="E181" s="306"/>
      <c r="F181" s="306"/>
      <c r="G181" s="306"/>
      <c r="H181" s="306"/>
      <c r="I181" s="306"/>
      <c r="J181" s="306"/>
    </row>
    <row r="182" spans="2:10" ht="26">
      <c r="B182" s="148" t="s">
        <v>345</v>
      </c>
      <c r="C182" s="306"/>
      <c r="D182" s="306"/>
      <c r="E182" s="306"/>
      <c r="F182" s="306"/>
      <c r="G182" s="306"/>
      <c r="H182" s="306"/>
      <c r="I182" s="306"/>
      <c r="J182" s="306"/>
    </row>
    <row r="183" spans="2:10">
      <c r="B183" s="54" t="s">
        <v>342</v>
      </c>
      <c r="C183" s="986">
        <v>47046.252</v>
      </c>
      <c r="D183" s="986">
        <v>50687.642999999996</v>
      </c>
      <c r="E183" s="986">
        <v>54589.088000000003</v>
      </c>
      <c r="F183" s="986">
        <v>54632.919000000002</v>
      </c>
      <c r="G183" s="986">
        <v>60732.124000000003</v>
      </c>
      <c r="H183" s="306">
        <v>57829.67</v>
      </c>
      <c r="I183" s="306">
        <v>50509.144999999997</v>
      </c>
      <c r="J183" s="306">
        <v>48416.837</v>
      </c>
    </row>
    <row r="184" spans="2:10">
      <c r="B184" s="147" t="s">
        <v>341</v>
      </c>
      <c r="C184" s="986">
        <v>47046.252</v>
      </c>
      <c r="D184" s="986">
        <v>50687.642999999996</v>
      </c>
      <c r="E184" s="986">
        <v>54589.088000000003</v>
      </c>
      <c r="F184" s="986">
        <v>54632.919000000002</v>
      </c>
      <c r="G184" s="986">
        <v>60732.124000000003</v>
      </c>
      <c r="H184" s="306">
        <v>57829.67</v>
      </c>
      <c r="I184" s="306">
        <v>50509.144999999997</v>
      </c>
      <c r="J184" s="306">
        <v>48416.837</v>
      </c>
    </row>
    <row r="185" spans="2:10">
      <c r="B185" s="147" t="s">
        <v>340</v>
      </c>
      <c r="C185" s="986">
        <v>0</v>
      </c>
      <c r="D185" s="986">
        <v>0</v>
      </c>
      <c r="E185" s="986">
        <v>0</v>
      </c>
      <c r="F185" s="986">
        <v>0</v>
      </c>
      <c r="G185" s="986">
        <v>0</v>
      </c>
      <c r="H185" s="306">
        <v>0</v>
      </c>
      <c r="I185" s="306">
        <v>0</v>
      </c>
      <c r="J185" s="306">
        <v>0</v>
      </c>
    </row>
    <row r="186" spans="2:10">
      <c r="B186" s="54" t="s">
        <v>339</v>
      </c>
      <c r="C186" s="986">
        <v>22078.306</v>
      </c>
      <c r="D186" s="986">
        <v>26081.319</v>
      </c>
      <c r="E186" s="986">
        <v>29368.100999999999</v>
      </c>
      <c r="F186" s="986">
        <v>32694.6</v>
      </c>
      <c r="G186" s="986">
        <v>38258.197999999997</v>
      </c>
      <c r="H186" s="306">
        <v>39278.695</v>
      </c>
      <c r="I186" s="306">
        <v>36293.120000000003</v>
      </c>
      <c r="J186" s="306">
        <v>38080.764999999999</v>
      </c>
    </row>
    <row r="187" spans="2:10">
      <c r="B187" s="54" t="s">
        <v>338</v>
      </c>
      <c r="C187" s="986">
        <v>0</v>
      </c>
      <c r="D187" s="986">
        <v>0</v>
      </c>
      <c r="E187" s="986">
        <v>0</v>
      </c>
      <c r="F187" s="986">
        <v>0</v>
      </c>
      <c r="G187" s="986">
        <v>0</v>
      </c>
      <c r="H187" s="306">
        <v>0</v>
      </c>
      <c r="I187" s="306">
        <v>0</v>
      </c>
      <c r="J187" s="306">
        <v>0</v>
      </c>
    </row>
    <row r="188" spans="2:10">
      <c r="B188" s="147" t="s">
        <v>337</v>
      </c>
      <c r="C188" s="986">
        <v>0</v>
      </c>
      <c r="D188" s="986">
        <v>0</v>
      </c>
      <c r="E188" s="986">
        <v>0</v>
      </c>
      <c r="F188" s="986">
        <v>0</v>
      </c>
      <c r="G188" s="986">
        <v>0</v>
      </c>
      <c r="H188" s="306">
        <v>0</v>
      </c>
      <c r="I188" s="306">
        <v>0</v>
      </c>
      <c r="J188" s="306">
        <v>0</v>
      </c>
    </row>
    <row r="189" spans="2:10">
      <c r="B189" s="147" t="s">
        <v>336</v>
      </c>
      <c r="C189" s="986">
        <v>0</v>
      </c>
      <c r="D189" s="986">
        <v>0</v>
      </c>
      <c r="E189" s="986">
        <v>0</v>
      </c>
      <c r="F189" s="986">
        <v>0</v>
      </c>
      <c r="G189" s="986">
        <v>0</v>
      </c>
      <c r="H189" s="306">
        <v>0</v>
      </c>
      <c r="I189" s="306">
        <v>0</v>
      </c>
      <c r="J189" s="306">
        <v>0</v>
      </c>
    </row>
    <row r="190" spans="2:10">
      <c r="B190" s="147" t="s">
        <v>335</v>
      </c>
      <c r="C190" s="986">
        <v>0</v>
      </c>
      <c r="D190" s="986">
        <v>0</v>
      </c>
      <c r="E190" s="986">
        <v>0</v>
      </c>
      <c r="F190" s="986">
        <v>0</v>
      </c>
      <c r="G190" s="986">
        <v>0</v>
      </c>
      <c r="H190" s="306">
        <v>0</v>
      </c>
      <c r="I190" s="306">
        <v>0</v>
      </c>
      <c r="J190" s="306">
        <v>0</v>
      </c>
    </row>
    <row r="191" spans="2:10">
      <c r="B191" s="147"/>
      <c r="C191" s="305"/>
      <c r="D191" s="305"/>
      <c r="E191" s="305"/>
      <c r="F191" s="305"/>
      <c r="G191" s="305"/>
      <c r="H191" s="305"/>
      <c r="I191" s="305"/>
      <c r="J191" s="305"/>
    </row>
    <row r="192" spans="2:10" ht="26">
      <c r="B192" s="148" t="s">
        <v>344</v>
      </c>
      <c r="C192" s="449"/>
      <c r="D192" s="449"/>
      <c r="E192" s="449"/>
      <c r="F192" s="449"/>
      <c r="G192" s="449"/>
      <c r="H192" s="449"/>
      <c r="I192" s="449"/>
      <c r="J192" s="449"/>
    </row>
    <row r="193" spans="2:10">
      <c r="B193" s="54" t="s">
        <v>342</v>
      </c>
      <c r="C193" s="321">
        <v>0</v>
      </c>
      <c r="D193" s="321">
        <v>0</v>
      </c>
      <c r="E193" s="321">
        <v>0</v>
      </c>
      <c r="F193" s="321">
        <v>0</v>
      </c>
      <c r="G193" s="321">
        <v>0</v>
      </c>
      <c r="H193" s="321">
        <v>0</v>
      </c>
      <c r="I193" s="321">
        <v>0</v>
      </c>
      <c r="J193" s="321">
        <v>0</v>
      </c>
    </row>
    <row r="194" spans="2:10">
      <c r="B194" s="147" t="s">
        <v>341</v>
      </c>
      <c r="C194" s="321">
        <v>0</v>
      </c>
      <c r="D194" s="321">
        <v>0</v>
      </c>
      <c r="E194" s="321">
        <v>0</v>
      </c>
      <c r="F194" s="321">
        <v>0</v>
      </c>
      <c r="G194" s="321">
        <v>0</v>
      </c>
      <c r="H194" s="321">
        <v>0</v>
      </c>
      <c r="I194" s="321">
        <v>0</v>
      </c>
      <c r="J194" s="321">
        <v>0</v>
      </c>
    </row>
    <row r="195" spans="2:10">
      <c r="B195" s="147" t="s">
        <v>340</v>
      </c>
      <c r="C195" s="321">
        <v>0</v>
      </c>
      <c r="D195" s="321">
        <v>0</v>
      </c>
      <c r="E195" s="321">
        <v>0</v>
      </c>
      <c r="F195" s="321">
        <v>0</v>
      </c>
      <c r="G195" s="321">
        <v>0</v>
      </c>
      <c r="H195" s="321">
        <v>0</v>
      </c>
      <c r="I195" s="321">
        <v>0</v>
      </c>
      <c r="J195" s="321">
        <v>0</v>
      </c>
    </row>
    <row r="196" spans="2:10">
      <c r="B196" s="54" t="s">
        <v>339</v>
      </c>
      <c r="C196" s="321">
        <v>0</v>
      </c>
      <c r="D196" s="321">
        <v>0</v>
      </c>
      <c r="E196" s="321">
        <v>0</v>
      </c>
      <c r="F196" s="321">
        <v>0</v>
      </c>
      <c r="G196" s="321">
        <v>0</v>
      </c>
      <c r="H196" s="321">
        <v>0</v>
      </c>
      <c r="I196" s="321">
        <v>0</v>
      </c>
      <c r="J196" s="321">
        <v>0</v>
      </c>
    </row>
    <row r="197" spans="2:10">
      <c r="B197" s="54" t="s">
        <v>338</v>
      </c>
      <c r="C197" s="321">
        <v>0</v>
      </c>
      <c r="D197" s="321">
        <v>0</v>
      </c>
      <c r="E197" s="321">
        <v>0</v>
      </c>
      <c r="F197" s="321">
        <v>0</v>
      </c>
      <c r="G197" s="321">
        <v>0</v>
      </c>
      <c r="H197" s="321">
        <v>0</v>
      </c>
      <c r="I197" s="321">
        <v>0</v>
      </c>
      <c r="J197" s="321">
        <v>0</v>
      </c>
    </row>
    <row r="198" spans="2:10">
      <c r="B198" s="147" t="s">
        <v>337</v>
      </c>
      <c r="C198" s="321">
        <v>0</v>
      </c>
      <c r="D198" s="321">
        <v>0</v>
      </c>
      <c r="E198" s="321">
        <v>0</v>
      </c>
      <c r="F198" s="321">
        <v>0</v>
      </c>
      <c r="G198" s="321">
        <v>0</v>
      </c>
      <c r="H198" s="321">
        <v>0</v>
      </c>
      <c r="I198" s="321">
        <v>0</v>
      </c>
      <c r="J198" s="321">
        <v>0</v>
      </c>
    </row>
    <row r="199" spans="2:10">
      <c r="B199" s="147" t="s">
        <v>336</v>
      </c>
      <c r="C199" s="321">
        <v>0</v>
      </c>
      <c r="D199" s="321">
        <v>0</v>
      </c>
      <c r="E199" s="321">
        <v>0</v>
      </c>
      <c r="F199" s="321">
        <v>0</v>
      </c>
      <c r="G199" s="321">
        <v>0</v>
      </c>
      <c r="H199" s="321">
        <v>0</v>
      </c>
      <c r="I199" s="321">
        <v>0</v>
      </c>
      <c r="J199" s="321">
        <v>0</v>
      </c>
    </row>
    <row r="200" spans="2:10">
      <c r="B200" s="147" t="s">
        <v>335</v>
      </c>
      <c r="C200" s="321">
        <v>0</v>
      </c>
      <c r="D200" s="321">
        <v>0</v>
      </c>
      <c r="E200" s="321">
        <v>0</v>
      </c>
      <c r="F200" s="321">
        <v>0</v>
      </c>
      <c r="G200" s="321">
        <v>0</v>
      </c>
      <c r="H200" s="321">
        <v>0</v>
      </c>
      <c r="I200" s="321">
        <v>0</v>
      </c>
      <c r="J200" s="321">
        <v>0</v>
      </c>
    </row>
    <row r="201" spans="2:10">
      <c r="B201" s="147"/>
      <c r="C201" s="321"/>
      <c r="D201" s="321"/>
      <c r="E201" s="321"/>
      <c r="F201" s="321"/>
      <c r="G201" s="321"/>
      <c r="H201" s="321"/>
      <c r="I201" s="321"/>
      <c r="J201" s="321"/>
    </row>
    <row r="202" spans="2:10" ht="26">
      <c r="B202" s="148" t="s">
        <v>343</v>
      </c>
      <c r="C202" s="321"/>
      <c r="D202" s="321"/>
      <c r="E202" s="321"/>
      <c r="F202" s="321"/>
      <c r="G202" s="321"/>
      <c r="H202" s="321"/>
      <c r="I202" s="321"/>
      <c r="J202" s="321"/>
    </row>
    <row r="203" spans="2:10">
      <c r="B203" s="54" t="s">
        <v>342</v>
      </c>
      <c r="C203" s="321">
        <v>0</v>
      </c>
      <c r="D203" s="321">
        <v>0</v>
      </c>
      <c r="E203" s="321">
        <v>0</v>
      </c>
      <c r="F203" s="321">
        <v>0</v>
      </c>
      <c r="G203" s="321">
        <v>0</v>
      </c>
      <c r="H203" s="321">
        <v>0</v>
      </c>
      <c r="I203" s="321">
        <v>0</v>
      </c>
      <c r="J203" s="321">
        <v>0</v>
      </c>
    </row>
    <row r="204" spans="2:10">
      <c r="B204" s="147" t="s">
        <v>341</v>
      </c>
      <c r="C204" s="321">
        <v>0</v>
      </c>
      <c r="D204" s="321">
        <v>0</v>
      </c>
      <c r="E204" s="321">
        <v>0</v>
      </c>
      <c r="F204" s="321">
        <v>0</v>
      </c>
      <c r="G204" s="321">
        <v>0</v>
      </c>
      <c r="H204" s="321">
        <v>0</v>
      </c>
      <c r="I204" s="321">
        <v>0</v>
      </c>
      <c r="J204" s="321">
        <v>0</v>
      </c>
    </row>
    <row r="205" spans="2:10">
      <c r="B205" s="147" t="s">
        <v>340</v>
      </c>
      <c r="C205" s="321">
        <v>0</v>
      </c>
      <c r="D205" s="321">
        <v>0</v>
      </c>
      <c r="E205" s="321">
        <v>0</v>
      </c>
      <c r="F205" s="321">
        <v>0</v>
      </c>
      <c r="G205" s="321">
        <v>0</v>
      </c>
      <c r="H205" s="321">
        <v>0</v>
      </c>
      <c r="I205" s="321">
        <v>0</v>
      </c>
      <c r="J205" s="321">
        <v>0</v>
      </c>
    </row>
    <row r="206" spans="2:10">
      <c r="B206" s="54" t="s">
        <v>339</v>
      </c>
      <c r="C206" s="321">
        <v>0</v>
      </c>
      <c r="D206" s="321">
        <v>0</v>
      </c>
      <c r="E206" s="321">
        <v>0</v>
      </c>
      <c r="F206" s="321">
        <v>0</v>
      </c>
      <c r="G206" s="321">
        <v>0</v>
      </c>
      <c r="H206" s="321">
        <v>0</v>
      </c>
      <c r="I206" s="321">
        <v>0</v>
      </c>
      <c r="J206" s="321">
        <v>0</v>
      </c>
    </row>
    <row r="207" spans="2:10">
      <c r="B207" s="54" t="s">
        <v>338</v>
      </c>
      <c r="C207" s="321">
        <v>0</v>
      </c>
      <c r="D207" s="321">
        <v>0</v>
      </c>
      <c r="E207" s="321">
        <v>0</v>
      </c>
      <c r="F207" s="321">
        <v>0</v>
      </c>
      <c r="G207" s="321">
        <v>0</v>
      </c>
      <c r="H207" s="321">
        <v>0</v>
      </c>
      <c r="I207" s="321">
        <v>0</v>
      </c>
      <c r="J207" s="321">
        <v>0</v>
      </c>
    </row>
    <row r="208" spans="2:10">
      <c r="B208" s="147" t="s">
        <v>337</v>
      </c>
      <c r="C208" s="321">
        <v>0</v>
      </c>
      <c r="D208" s="321">
        <v>0</v>
      </c>
      <c r="E208" s="321">
        <v>0</v>
      </c>
      <c r="F208" s="321">
        <v>0</v>
      </c>
      <c r="G208" s="321">
        <v>0</v>
      </c>
      <c r="H208" s="321">
        <v>0</v>
      </c>
      <c r="I208" s="321">
        <v>0</v>
      </c>
      <c r="J208" s="321">
        <v>0</v>
      </c>
    </row>
    <row r="209" spans="2:11">
      <c r="B209" s="147" t="s">
        <v>336</v>
      </c>
      <c r="C209" s="321">
        <v>0</v>
      </c>
      <c r="D209" s="321">
        <v>0</v>
      </c>
      <c r="E209" s="321">
        <v>0</v>
      </c>
      <c r="F209" s="321">
        <v>0</v>
      </c>
      <c r="G209" s="321">
        <v>0</v>
      </c>
      <c r="H209" s="321">
        <v>0</v>
      </c>
      <c r="I209" s="321">
        <v>0</v>
      </c>
      <c r="J209" s="321">
        <v>0</v>
      </c>
    </row>
    <row r="210" spans="2:11" ht="15" thickBot="1">
      <c r="B210" s="146" t="s">
        <v>335</v>
      </c>
      <c r="C210" s="321">
        <v>0</v>
      </c>
      <c r="D210" s="321">
        <v>0</v>
      </c>
      <c r="E210" s="321">
        <v>0</v>
      </c>
      <c r="F210" s="321">
        <v>0</v>
      </c>
      <c r="G210" s="321">
        <v>0</v>
      </c>
      <c r="H210" s="321">
        <v>0</v>
      </c>
      <c r="I210" s="321">
        <v>0</v>
      </c>
      <c r="J210" s="321">
        <v>0</v>
      </c>
    </row>
    <row r="211" spans="2:11" ht="15" thickTop="1">
      <c r="B211" s="2025" t="s">
        <v>1574</v>
      </c>
      <c r="C211" s="2025"/>
      <c r="D211" s="2025"/>
      <c r="E211" s="2025"/>
      <c r="F211" s="2025"/>
      <c r="G211" s="2025"/>
      <c r="H211" s="2025"/>
      <c r="I211" s="2025"/>
      <c r="J211" s="2025"/>
    </row>
    <row r="212" spans="2:11">
      <c r="B212" s="2017"/>
      <c r="C212" s="2017"/>
      <c r="D212" s="2017"/>
      <c r="E212" s="2017"/>
      <c r="F212" s="2017"/>
      <c r="G212" s="2017"/>
      <c r="H212" s="2017"/>
      <c r="I212" s="2017"/>
      <c r="J212" s="2017"/>
    </row>
    <row r="213" spans="2:11">
      <c r="B213" s="64"/>
      <c r="C213" s="449"/>
      <c r="D213" s="449"/>
      <c r="E213" s="449"/>
      <c r="F213" s="449"/>
      <c r="G213" s="449"/>
      <c r="H213" s="449"/>
      <c r="I213" s="449"/>
      <c r="J213" s="449"/>
    </row>
    <row r="214" spans="2:11">
      <c r="B214" s="2100" t="s">
        <v>364</v>
      </c>
      <c r="C214" s="2100"/>
      <c r="D214" s="2100"/>
      <c r="E214" s="2100"/>
      <c r="F214" s="2100"/>
      <c r="G214" s="2100"/>
      <c r="H214" s="2100"/>
      <c r="I214" s="2100"/>
      <c r="J214" s="2100"/>
    </row>
    <row r="215" spans="2:11">
      <c r="B215" s="12" t="s">
        <v>363</v>
      </c>
      <c r="C215" s="449"/>
      <c r="D215" s="449"/>
      <c r="E215" s="449"/>
      <c r="F215" s="449"/>
      <c r="G215" s="449"/>
      <c r="H215" s="449"/>
      <c r="I215" s="449"/>
      <c r="J215" s="449"/>
    </row>
    <row r="216" spans="2:11">
      <c r="B216" s="62" t="s">
        <v>311</v>
      </c>
      <c r="C216" s="449"/>
      <c r="D216" s="449"/>
      <c r="E216" s="449"/>
      <c r="F216" s="449"/>
      <c r="G216" s="449"/>
      <c r="H216" s="449"/>
      <c r="I216" s="449"/>
      <c r="J216" s="449"/>
      <c r="K216" s="998">
        <v>1000000</v>
      </c>
    </row>
    <row r="217" spans="2:11">
      <c r="B217" s="64"/>
      <c r="C217" s="449"/>
      <c r="D217" s="449"/>
      <c r="E217" s="449"/>
      <c r="F217" s="449"/>
      <c r="G217" s="449"/>
      <c r="H217" s="449"/>
      <c r="I217" s="449"/>
      <c r="J217" s="449"/>
    </row>
    <row r="218" spans="2:11">
      <c r="B218" s="61"/>
      <c r="C218" s="303">
        <v>2014</v>
      </c>
      <c r="D218" s="303">
        <v>2015</v>
      </c>
      <c r="E218" s="303">
        <v>2016</v>
      </c>
      <c r="F218" s="303">
        <v>2017</v>
      </c>
      <c r="G218" s="303">
        <v>2018</v>
      </c>
      <c r="H218" s="303">
        <v>2019</v>
      </c>
      <c r="I218" s="303">
        <v>2020</v>
      </c>
      <c r="J218" s="303">
        <v>2021</v>
      </c>
    </row>
    <row r="219" spans="2:11">
      <c r="B219" s="114" t="s">
        <v>362</v>
      </c>
      <c r="C219" s="449"/>
      <c r="D219" s="449"/>
      <c r="E219" s="449"/>
      <c r="F219" s="449"/>
      <c r="G219" s="449"/>
      <c r="H219" s="449"/>
      <c r="I219" s="449"/>
      <c r="J219" s="449"/>
    </row>
    <row r="220" spans="2:11">
      <c r="B220" s="54" t="s">
        <v>361</v>
      </c>
      <c r="C220" s="306">
        <v>1256.772520498741</v>
      </c>
      <c r="D220" s="306">
        <v>1469.3968611519329</v>
      </c>
      <c r="E220" s="306">
        <v>1629.4192217488421</v>
      </c>
      <c r="F220" s="306">
        <v>1920.9404526582314</v>
      </c>
      <c r="G220" s="306">
        <v>2283.6185701643958</v>
      </c>
      <c r="H220" s="306">
        <v>2662.4132134038878</v>
      </c>
      <c r="I220" s="306">
        <v>3028.5025436707365</v>
      </c>
      <c r="J220" s="306">
        <v>3535.5673043069801</v>
      </c>
    </row>
    <row r="221" spans="2:11">
      <c r="B221" s="151" t="s">
        <v>360</v>
      </c>
      <c r="C221" s="306"/>
      <c r="D221" s="306"/>
      <c r="E221" s="306"/>
      <c r="F221" s="306"/>
      <c r="G221" s="306"/>
      <c r="H221" s="306"/>
      <c r="I221" s="306"/>
      <c r="J221" s="306"/>
    </row>
    <row r="222" spans="2:11">
      <c r="B222" s="151" t="s">
        <v>359</v>
      </c>
      <c r="C222" s="306">
        <v>1256.772520498741</v>
      </c>
      <c r="D222" s="306">
        <v>1469.3968611519329</v>
      </c>
      <c r="E222" s="306">
        <v>1629.4192217488421</v>
      </c>
      <c r="F222" s="306">
        <v>1920.9404526582314</v>
      </c>
      <c r="G222" s="306">
        <v>2283.6185701643958</v>
      </c>
      <c r="H222" s="306">
        <v>2662.4132134038878</v>
      </c>
      <c r="I222" s="306">
        <v>3028.5025436707365</v>
      </c>
      <c r="J222" s="306">
        <v>3535.5673043069801</v>
      </c>
    </row>
    <row r="223" spans="2:11">
      <c r="B223" s="152" t="s">
        <v>358</v>
      </c>
      <c r="C223" s="306">
        <v>87.201544580401134</v>
      </c>
      <c r="D223" s="306">
        <v>75.043689182327782</v>
      </c>
      <c r="E223" s="306">
        <v>71.707304320992463</v>
      </c>
      <c r="F223" s="306">
        <v>77.255771099212495</v>
      </c>
      <c r="G223" s="306">
        <v>77.337454109971958</v>
      </c>
      <c r="H223" s="306">
        <v>59.270209709208046</v>
      </c>
      <c r="I223" s="306">
        <v>58.191198457055158</v>
      </c>
      <c r="J223" s="306">
        <v>58.772503199155587</v>
      </c>
    </row>
    <row r="224" spans="2:11">
      <c r="B224" s="71" t="s">
        <v>357</v>
      </c>
      <c r="C224" s="227">
        <v>6247.3861004144674</v>
      </c>
      <c r="D224" s="227">
        <v>7270.0876060676283</v>
      </c>
      <c r="E224" s="227">
        <v>8325.9867276226905</v>
      </c>
      <c r="F224" s="227">
        <v>10525.73532897491</v>
      </c>
      <c r="G224" s="227">
        <v>13052.190765610783</v>
      </c>
      <c r="H224" s="306">
        <v>15167.992543519149</v>
      </c>
      <c r="I224" s="306">
        <v>14735.789430661418</v>
      </c>
      <c r="J224" s="306">
        <v>15704.032512976521</v>
      </c>
    </row>
    <row r="225" spans="2:11">
      <c r="B225" s="151" t="s">
        <v>356</v>
      </c>
      <c r="C225" s="227">
        <v>4571.2739983259289</v>
      </c>
      <c r="D225" s="227">
        <v>5504.8779704989411</v>
      </c>
      <c r="E225" s="227">
        <v>6293.2397296946283</v>
      </c>
      <c r="F225" s="227">
        <v>7782.5445669613855</v>
      </c>
      <c r="G225" s="227">
        <v>9377.6550666429939</v>
      </c>
      <c r="H225" s="306">
        <v>11100.506304124872</v>
      </c>
      <c r="I225" s="306">
        <v>10906.121650037538</v>
      </c>
      <c r="J225" s="306">
        <v>11264.333094975878</v>
      </c>
      <c r="K225" s="95"/>
    </row>
    <row r="226" spans="2:11">
      <c r="B226" s="151" t="s">
        <v>355</v>
      </c>
      <c r="C226" s="200"/>
      <c r="D226" s="200"/>
      <c r="E226" s="200"/>
      <c r="F226" s="200"/>
      <c r="G226" s="200"/>
      <c r="H226" s="306"/>
      <c r="I226" s="306"/>
      <c r="J226" s="306"/>
    </row>
    <row r="227" spans="2:11">
      <c r="B227" s="151" t="s">
        <v>354</v>
      </c>
      <c r="C227" s="227">
        <v>1676.1121020885387</v>
      </c>
      <c r="D227" s="227">
        <v>1765.2096355686874</v>
      </c>
      <c r="E227" s="227">
        <v>2032.746997928062</v>
      </c>
      <c r="F227" s="227">
        <v>2743.1907620135248</v>
      </c>
      <c r="G227" s="227">
        <v>3674.5356989677898</v>
      </c>
      <c r="H227" s="306">
        <v>4067.4862393942772</v>
      </c>
      <c r="I227" s="306">
        <v>3829.6677806238795</v>
      </c>
      <c r="J227" s="306">
        <v>4439.6994180006423</v>
      </c>
    </row>
    <row r="228" spans="2:11">
      <c r="B228" s="71" t="s">
        <v>338</v>
      </c>
      <c r="C228" s="227"/>
      <c r="D228" s="227"/>
      <c r="E228" s="227"/>
      <c r="F228" s="227"/>
      <c r="G228" s="227"/>
      <c r="H228" s="306"/>
      <c r="I228" s="306"/>
      <c r="J228" s="306"/>
    </row>
    <row r="229" spans="2:11">
      <c r="B229" s="71" t="s">
        <v>353</v>
      </c>
      <c r="C229" s="227">
        <v>18919.019589295774</v>
      </c>
      <c r="D229" s="227">
        <v>16018.330049503909</v>
      </c>
      <c r="E229" s="227">
        <v>14166.341326717758</v>
      </c>
      <c r="F229" s="227">
        <v>13623.002574508</v>
      </c>
      <c r="G229" s="227">
        <v>13350.713167716469</v>
      </c>
      <c r="H229" s="306">
        <v>12780.774725753909</v>
      </c>
      <c r="I229" s="306">
        <v>8781.8387779729728</v>
      </c>
      <c r="J229" s="306">
        <v>7290.624045277772</v>
      </c>
    </row>
    <row r="230" spans="2:11">
      <c r="B230" s="150" t="s">
        <v>352</v>
      </c>
      <c r="C230" s="227">
        <v>18919.019589295774</v>
      </c>
      <c r="D230" s="227">
        <v>16018.330049503909</v>
      </c>
      <c r="E230" s="227">
        <v>14166.341326717758</v>
      </c>
      <c r="F230" s="227">
        <v>13623.002574508</v>
      </c>
      <c r="G230" s="227">
        <v>13350.713167716469</v>
      </c>
      <c r="H230" s="306">
        <v>12780.774725753909</v>
      </c>
      <c r="I230" s="306">
        <v>8781.8387779729728</v>
      </c>
      <c r="J230" s="306">
        <v>7290.624045277772</v>
      </c>
    </row>
    <row r="231" spans="2:11">
      <c r="B231" s="150" t="s">
        <v>351</v>
      </c>
      <c r="C231" s="999">
        <v>0</v>
      </c>
      <c r="D231" s="999">
        <v>0</v>
      </c>
      <c r="E231" s="999">
        <v>0</v>
      </c>
      <c r="F231" s="999">
        <v>0</v>
      </c>
      <c r="G231" s="999">
        <v>0</v>
      </c>
      <c r="H231" s="306">
        <v>0</v>
      </c>
      <c r="I231" s="306">
        <v>0</v>
      </c>
      <c r="J231" s="306">
        <v>0</v>
      </c>
    </row>
    <row r="232" spans="2:11">
      <c r="B232" s="54" t="s">
        <v>350</v>
      </c>
      <c r="C232" s="306"/>
      <c r="D232" s="306"/>
      <c r="E232" s="306"/>
      <c r="F232" s="306"/>
      <c r="G232" s="306"/>
      <c r="H232" s="306"/>
      <c r="I232" s="306"/>
      <c r="J232" s="306"/>
    </row>
    <row r="233" spans="2:11">
      <c r="B233" s="54"/>
      <c r="C233" s="306"/>
      <c r="D233" s="306"/>
      <c r="E233" s="306"/>
      <c r="F233" s="306"/>
      <c r="G233" s="306"/>
      <c r="H233" s="304"/>
      <c r="I233" s="304"/>
      <c r="J233" s="304"/>
    </row>
    <row r="234" spans="2:11">
      <c r="B234" s="54" t="s">
        <v>349</v>
      </c>
      <c r="C234" s="306">
        <f>C220+C223+C225+C227+C229</f>
        <v>26510.379754789385</v>
      </c>
      <c r="D234" s="306">
        <f>D220+D223+D225+D227+D229</f>
        <v>24832.858205905799</v>
      </c>
      <c r="E234" s="306">
        <f t="shared" ref="E234:H234" si="0">E220+E223+E225+E227+E229</f>
        <v>24193.454580410282</v>
      </c>
      <c r="F234" s="306">
        <f t="shared" si="0"/>
        <v>26146.934127240354</v>
      </c>
      <c r="G234" s="306">
        <f t="shared" si="0"/>
        <v>28763.85995760162</v>
      </c>
      <c r="H234" s="306">
        <f t="shared" si="0"/>
        <v>30670.450692386155</v>
      </c>
      <c r="I234" s="306">
        <f>I220+I223+I225+I227+I229</f>
        <v>26604.321950762183</v>
      </c>
      <c r="J234" s="306">
        <f>J220+J223+J225+J227+J229</f>
        <v>26588.996365760428</v>
      </c>
    </row>
    <row r="235" spans="2:11">
      <c r="B235" s="147" t="s">
        <v>348</v>
      </c>
      <c r="C235" s="306"/>
      <c r="D235" s="306"/>
      <c r="E235" s="306"/>
      <c r="F235" s="306"/>
      <c r="G235" s="306"/>
      <c r="H235" s="306"/>
      <c r="I235" s="306"/>
      <c r="J235" s="306"/>
    </row>
    <row r="236" spans="2:11">
      <c r="B236" s="147"/>
      <c r="C236" s="306"/>
      <c r="D236" s="306"/>
      <c r="E236" s="306"/>
      <c r="F236" s="306"/>
      <c r="G236" s="306"/>
      <c r="H236" s="306"/>
      <c r="I236" s="306"/>
      <c r="J236" s="306"/>
    </row>
    <row r="237" spans="2:11">
      <c r="B237" s="54" t="s">
        <v>347</v>
      </c>
      <c r="C237" s="306"/>
      <c r="D237" s="306"/>
      <c r="E237" s="306"/>
      <c r="F237" s="306"/>
      <c r="G237" s="306"/>
      <c r="H237" s="306"/>
      <c r="I237" s="306"/>
      <c r="J237" s="306"/>
    </row>
    <row r="238" spans="2:11">
      <c r="B238" s="54"/>
      <c r="C238" s="306"/>
      <c r="D238" s="306"/>
      <c r="E238" s="306"/>
      <c r="F238" s="306"/>
      <c r="G238" s="306"/>
      <c r="H238" s="304"/>
      <c r="I238" s="304"/>
      <c r="J238" s="304"/>
    </row>
    <row r="239" spans="2:11">
      <c r="B239" s="114" t="s">
        <v>346</v>
      </c>
      <c r="C239" s="306"/>
      <c r="D239" s="306"/>
      <c r="E239" s="306"/>
      <c r="F239" s="306"/>
      <c r="G239" s="306"/>
      <c r="H239" s="304"/>
      <c r="I239" s="304"/>
      <c r="J239" s="304"/>
    </row>
    <row r="240" spans="2:11">
      <c r="B240" s="54" t="s">
        <v>342</v>
      </c>
      <c r="C240" s="306">
        <v>2388.704664484605</v>
      </c>
      <c r="D240" s="306">
        <v>2618.3308975146783</v>
      </c>
      <c r="E240" s="306">
        <v>2907.2887037435266</v>
      </c>
      <c r="F240" s="306">
        <v>3411.6046528706302</v>
      </c>
      <c r="G240" s="306">
        <v>4056.073486174816</v>
      </c>
      <c r="H240" s="306">
        <v>3960.4957426513747</v>
      </c>
      <c r="I240" s="306">
        <v>3500.7932847378152</v>
      </c>
      <c r="J240" s="306">
        <v>3306.6422617897733</v>
      </c>
    </row>
    <row r="241" spans="2:10">
      <c r="B241" s="147" t="s">
        <v>341</v>
      </c>
      <c r="C241" s="228">
        <v>2388.704664484605</v>
      </c>
      <c r="D241" s="228">
        <v>2618.3308975146783</v>
      </c>
      <c r="E241" s="228">
        <v>2907.2887037435266</v>
      </c>
      <c r="F241" s="228">
        <v>3411.6046528706302</v>
      </c>
      <c r="G241" s="228">
        <v>4056.073486174816</v>
      </c>
      <c r="H241" s="306">
        <v>3960.4957426513747</v>
      </c>
      <c r="I241" s="306">
        <v>3500.7932847378152</v>
      </c>
      <c r="J241" s="306">
        <v>3306.6422617897733</v>
      </c>
    </row>
    <row r="242" spans="2:10">
      <c r="B242" s="147" t="s">
        <v>340</v>
      </c>
      <c r="C242" s="228"/>
      <c r="D242" s="228"/>
      <c r="E242" s="228"/>
      <c r="F242" s="228"/>
      <c r="G242" s="228"/>
      <c r="H242" s="306"/>
      <c r="I242" s="306"/>
      <c r="J242" s="306"/>
    </row>
    <row r="243" spans="2:10">
      <c r="B243" s="54" t="s">
        <v>339</v>
      </c>
      <c r="C243" s="228">
        <v>1582.665394356857</v>
      </c>
      <c r="D243" s="228">
        <v>1924.6120385620025</v>
      </c>
      <c r="E243" s="228">
        <v>2200.3227944288515</v>
      </c>
      <c r="F243" s="228">
        <v>2769.6895017801967</v>
      </c>
      <c r="G243" s="228">
        <v>1547.796884669134</v>
      </c>
      <c r="H243" s="306">
        <v>3349.1435433992115</v>
      </c>
      <c r="I243" s="306">
        <v>3315.1350148508263</v>
      </c>
      <c r="J243" s="306">
        <v>3444.7324959885304</v>
      </c>
    </row>
    <row r="244" spans="2:10">
      <c r="B244" s="54" t="s">
        <v>338</v>
      </c>
      <c r="C244" s="306"/>
      <c r="D244" s="306"/>
      <c r="E244" s="306"/>
      <c r="F244" s="306"/>
      <c r="G244" s="306"/>
      <c r="H244" s="306"/>
      <c r="I244" s="306"/>
      <c r="J244" s="306"/>
    </row>
    <row r="245" spans="2:10">
      <c r="B245" s="147" t="s">
        <v>337</v>
      </c>
      <c r="C245" s="307"/>
      <c r="D245" s="307"/>
      <c r="E245" s="307"/>
      <c r="F245" s="307"/>
      <c r="G245" s="307"/>
      <c r="H245" s="307"/>
      <c r="I245" s="307"/>
      <c r="J245" s="307"/>
    </row>
    <row r="246" spans="2:10">
      <c r="B246" s="147" t="s">
        <v>336</v>
      </c>
      <c r="C246" s="307"/>
      <c r="D246" s="307"/>
      <c r="E246" s="307"/>
      <c r="F246" s="307"/>
      <c r="G246" s="307"/>
      <c r="H246" s="307"/>
      <c r="I246" s="307"/>
      <c r="J246" s="307"/>
    </row>
    <row r="247" spans="2:10">
      <c r="B247" s="147" t="s">
        <v>335</v>
      </c>
      <c r="C247" s="307"/>
      <c r="D247" s="307"/>
      <c r="E247" s="307"/>
      <c r="F247" s="307"/>
      <c r="G247" s="307"/>
      <c r="H247" s="307"/>
      <c r="I247" s="307"/>
      <c r="J247" s="307"/>
    </row>
    <row r="248" spans="2:10">
      <c r="B248" s="147"/>
      <c r="C248" s="307"/>
      <c r="D248" s="307"/>
      <c r="E248" s="307"/>
      <c r="F248" s="307"/>
      <c r="G248" s="307"/>
      <c r="H248" s="307"/>
      <c r="I248" s="307"/>
      <c r="J248" s="307"/>
    </row>
    <row r="249" spans="2:10" ht="26">
      <c r="B249" s="148" t="s">
        <v>345</v>
      </c>
      <c r="C249" s="307"/>
      <c r="D249" s="307"/>
      <c r="E249" s="307"/>
      <c r="F249" s="307"/>
      <c r="G249" s="307"/>
      <c r="H249" s="307"/>
      <c r="I249" s="307"/>
      <c r="J249" s="307"/>
    </row>
    <row r="250" spans="2:10">
      <c r="B250" s="54" t="s">
        <v>342</v>
      </c>
      <c r="C250" s="306">
        <v>2388.704664484605</v>
      </c>
      <c r="D250" s="306">
        <v>2618.3308975146783</v>
      </c>
      <c r="E250" s="306">
        <v>2907.2887037435266</v>
      </c>
      <c r="F250" s="306">
        <v>3411.6046528706302</v>
      </c>
      <c r="G250" s="306">
        <v>4056.073486174816</v>
      </c>
      <c r="H250" s="306">
        <v>3960.4957426513747</v>
      </c>
      <c r="I250" s="306">
        <v>3500.7932847378152</v>
      </c>
      <c r="J250" s="306">
        <v>3306.6422617897733</v>
      </c>
    </row>
    <row r="251" spans="2:10">
      <c r="B251" s="147" t="s">
        <v>341</v>
      </c>
      <c r="C251" s="306">
        <v>2388.704664484605</v>
      </c>
      <c r="D251" s="306">
        <v>2618.3308975146783</v>
      </c>
      <c r="E251" s="306">
        <v>2907.2887037435266</v>
      </c>
      <c r="F251" s="306">
        <v>3411.6046528706302</v>
      </c>
      <c r="G251" s="306">
        <v>4056.073486174816</v>
      </c>
      <c r="H251" s="306">
        <v>3960.4957426513747</v>
      </c>
      <c r="I251" s="306">
        <v>3500.7932847378152</v>
      </c>
      <c r="J251" s="306">
        <v>3306.6422617897733</v>
      </c>
    </row>
    <row r="252" spans="2:10">
      <c r="B252" s="147" t="s">
        <v>340</v>
      </c>
      <c r="C252" s="306"/>
      <c r="D252" s="306"/>
      <c r="E252" s="306"/>
      <c r="F252" s="306"/>
      <c r="G252" s="306"/>
      <c r="H252" s="306"/>
      <c r="I252" s="306"/>
      <c r="J252" s="306"/>
    </row>
    <row r="253" spans="2:10">
      <c r="B253" s="54" t="s">
        <v>339</v>
      </c>
      <c r="C253" s="306">
        <v>1582.665394356857</v>
      </c>
      <c r="D253" s="306">
        <v>1924.6120385620025</v>
      </c>
      <c r="E253" s="306">
        <v>2200.3227944288515</v>
      </c>
      <c r="F253" s="306">
        <v>2769.6895017801967</v>
      </c>
      <c r="G253" s="306">
        <v>1547.796884669134</v>
      </c>
      <c r="H253" s="306">
        <v>3349.1435433992115</v>
      </c>
      <c r="I253" s="306">
        <v>3315.1350148508263</v>
      </c>
      <c r="J253" s="306">
        <v>3444.7324959885304</v>
      </c>
    </row>
    <row r="254" spans="2:10">
      <c r="B254" s="54" t="s">
        <v>338</v>
      </c>
      <c r="C254" s="306">
        <v>0</v>
      </c>
      <c r="D254" s="306">
        <v>0</v>
      </c>
      <c r="E254" s="306">
        <v>0</v>
      </c>
      <c r="F254" s="306">
        <v>0</v>
      </c>
      <c r="G254" s="306">
        <v>0</v>
      </c>
      <c r="H254" s="306">
        <v>0</v>
      </c>
      <c r="I254" s="306">
        <v>0</v>
      </c>
      <c r="J254" s="306">
        <v>0</v>
      </c>
    </row>
    <row r="255" spans="2:10">
      <c r="B255" s="147" t="s">
        <v>337</v>
      </c>
      <c r="C255" s="307">
        <v>0</v>
      </c>
      <c r="D255" s="307">
        <v>0</v>
      </c>
      <c r="E255" s="307">
        <v>0</v>
      </c>
      <c r="F255" s="307">
        <v>0</v>
      </c>
      <c r="G255" s="307">
        <v>0</v>
      </c>
      <c r="H255" s="307">
        <v>0</v>
      </c>
      <c r="I255" s="307">
        <v>0</v>
      </c>
      <c r="J255" s="307">
        <v>0</v>
      </c>
    </row>
    <row r="256" spans="2:10">
      <c r="B256" s="147" t="s">
        <v>336</v>
      </c>
      <c r="C256" s="307">
        <v>0</v>
      </c>
      <c r="D256" s="307">
        <v>0</v>
      </c>
      <c r="E256" s="307">
        <v>0</v>
      </c>
      <c r="F256" s="307">
        <v>0</v>
      </c>
      <c r="G256" s="307">
        <v>0</v>
      </c>
      <c r="H256" s="307">
        <v>0</v>
      </c>
      <c r="I256" s="307">
        <v>0</v>
      </c>
      <c r="J256" s="307">
        <v>0</v>
      </c>
    </row>
    <row r="257" spans="2:10">
      <c r="B257" s="147" t="s">
        <v>335</v>
      </c>
      <c r="C257" s="307">
        <v>0</v>
      </c>
      <c r="D257" s="307">
        <v>0</v>
      </c>
      <c r="E257" s="307">
        <v>0</v>
      </c>
      <c r="F257" s="307">
        <v>0</v>
      </c>
      <c r="G257" s="307">
        <v>0</v>
      </c>
      <c r="H257" s="307">
        <v>0</v>
      </c>
      <c r="I257" s="307">
        <v>0</v>
      </c>
      <c r="J257" s="307">
        <v>0</v>
      </c>
    </row>
    <row r="258" spans="2:10">
      <c r="B258" s="147"/>
      <c r="C258" s="449"/>
      <c r="D258" s="449"/>
      <c r="E258" s="449"/>
      <c r="F258" s="449"/>
      <c r="G258" s="449"/>
      <c r="H258" s="449"/>
      <c r="I258" s="449"/>
      <c r="J258" s="449"/>
    </row>
    <row r="259" spans="2:10" ht="26">
      <c r="B259" s="148" t="s">
        <v>344</v>
      </c>
      <c r="C259" s="449"/>
      <c r="D259" s="449"/>
      <c r="E259" s="449"/>
      <c r="F259" s="449"/>
      <c r="G259" s="449"/>
      <c r="H259" s="449"/>
      <c r="I259" s="449"/>
      <c r="J259" s="449"/>
    </row>
    <row r="260" spans="2:10">
      <c r="B260" s="54" t="s">
        <v>342</v>
      </c>
      <c r="C260" s="321">
        <v>0</v>
      </c>
      <c r="D260" s="321">
        <v>0</v>
      </c>
      <c r="E260" s="321">
        <v>0</v>
      </c>
      <c r="F260" s="321">
        <v>0</v>
      </c>
      <c r="G260" s="321">
        <v>0</v>
      </c>
      <c r="H260" s="321">
        <v>0</v>
      </c>
      <c r="I260" s="321">
        <v>0</v>
      </c>
      <c r="J260" s="321">
        <v>0</v>
      </c>
    </row>
    <row r="261" spans="2:10">
      <c r="B261" s="147" t="s">
        <v>341</v>
      </c>
      <c r="C261" s="321">
        <v>0</v>
      </c>
      <c r="D261" s="321">
        <v>0</v>
      </c>
      <c r="E261" s="321">
        <v>0</v>
      </c>
      <c r="F261" s="321">
        <v>0</v>
      </c>
      <c r="G261" s="321">
        <v>0</v>
      </c>
      <c r="H261" s="321">
        <v>0</v>
      </c>
      <c r="I261" s="321">
        <v>0</v>
      </c>
      <c r="J261" s="321">
        <v>0</v>
      </c>
    </row>
    <row r="262" spans="2:10">
      <c r="B262" s="147" t="s">
        <v>340</v>
      </c>
      <c r="C262" s="321">
        <v>0</v>
      </c>
      <c r="D262" s="321">
        <v>0</v>
      </c>
      <c r="E262" s="321">
        <v>0</v>
      </c>
      <c r="F262" s="321">
        <v>0</v>
      </c>
      <c r="G262" s="321">
        <v>0</v>
      </c>
      <c r="H262" s="321">
        <v>0</v>
      </c>
      <c r="I262" s="321">
        <v>0</v>
      </c>
      <c r="J262" s="321">
        <v>0</v>
      </c>
    </row>
    <row r="263" spans="2:10">
      <c r="B263" s="54" t="s">
        <v>339</v>
      </c>
      <c r="C263" s="321">
        <v>0</v>
      </c>
      <c r="D263" s="321">
        <v>0</v>
      </c>
      <c r="E263" s="321">
        <v>0</v>
      </c>
      <c r="F263" s="321">
        <v>0</v>
      </c>
      <c r="G263" s="321">
        <v>0</v>
      </c>
      <c r="H263" s="321">
        <v>0</v>
      </c>
      <c r="I263" s="321">
        <v>0</v>
      </c>
      <c r="J263" s="321">
        <v>0</v>
      </c>
    </row>
    <row r="264" spans="2:10">
      <c r="B264" s="54" t="s">
        <v>338</v>
      </c>
      <c r="C264" s="321">
        <v>0</v>
      </c>
      <c r="D264" s="321">
        <v>0</v>
      </c>
      <c r="E264" s="321">
        <v>0</v>
      </c>
      <c r="F264" s="321">
        <v>0</v>
      </c>
      <c r="G264" s="321">
        <v>0</v>
      </c>
      <c r="H264" s="321">
        <v>0</v>
      </c>
      <c r="I264" s="321">
        <v>0</v>
      </c>
      <c r="J264" s="321">
        <v>0</v>
      </c>
    </row>
    <row r="265" spans="2:10">
      <c r="B265" s="147" t="s">
        <v>337</v>
      </c>
      <c r="C265" s="321">
        <v>0</v>
      </c>
      <c r="D265" s="321">
        <v>0</v>
      </c>
      <c r="E265" s="321">
        <v>0</v>
      </c>
      <c r="F265" s="321">
        <v>0</v>
      </c>
      <c r="G265" s="321">
        <v>0</v>
      </c>
      <c r="H265" s="321">
        <v>0</v>
      </c>
      <c r="I265" s="321">
        <v>0</v>
      </c>
      <c r="J265" s="321">
        <v>0</v>
      </c>
    </row>
    <row r="266" spans="2:10">
      <c r="B266" s="147" t="s">
        <v>336</v>
      </c>
      <c r="C266" s="321">
        <v>0</v>
      </c>
      <c r="D266" s="321">
        <v>0</v>
      </c>
      <c r="E266" s="321">
        <v>0</v>
      </c>
      <c r="F266" s="321">
        <v>0</v>
      </c>
      <c r="G266" s="321">
        <v>0</v>
      </c>
      <c r="H266" s="321">
        <v>0</v>
      </c>
      <c r="I266" s="321">
        <v>0</v>
      </c>
      <c r="J266" s="321">
        <v>0</v>
      </c>
    </row>
    <row r="267" spans="2:10">
      <c r="B267" s="147" t="s">
        <v>335</v>
      </c>
      <c r="C267" s="321">
        <v>0</v>
      </c>
      <c r="D267" s="321">
        <v>0</v>
      </c>
      <c r="E267" s="321">
        <v>0</v>
      </c>
      <c r="F267" s="321">
        <v>0</v>
      </c>
      <c r="G267" s="321">
        <v>0</v>
      </c>
      <c r="H267" s="321">
        <v>0</v>
      </c>
      <c r="I267" s="321">
        <v>0</v>
      </c>
      <c r="J267" s="321">
        <v>0</v>
      </c>
    </row>
    <row r="268" spans="2:10">
      <c r="B268" s="147"/>
      <c r="C268" s="321"/>
      <c r="D268" s="321"/>
      <c r="E268" s="321"/>
      <c r="F268" s="321"/>
      <c r="G268" s="321"/>
      <c r="H268" s="321"/>
      <c r="I268" s="321"/>
      <c r="J268" s="321"/>
    </row>
    <row r="269" spans="2:10" ht="26">
      <c r="B269" s="148" t="s">
        <v>343</v>
      </c>
      <c r="C269" s="321"/>
      <c r="D269" s="321"/>
      <c r="E269" s="321"/>
      <c r="F269" s="321"/>
      <c r="G269" s="321"/>
      <c r="H269" s="321"/>
      <c r="I269" s="321"/>
      <c r="J269" s="321"/>
    </row>
    <row r="270" spans="2:10">
      <c r="B270" s="54" t="s">
        <v>342</v>
      </c>
      <c r="C270" s="321">
        <v>0</v>
      </c>
      <c r="D270" s="321">
        <v>0</v>
      </c>
      <c r="E270" s="321">
        <v>0</v>
      </c>
      <c r="F270" s="321">
        <v>0</v>
      </c>
      <c r="G270" s="321">
        <v>0</v>
      </c>
      <c r="H270" s="321">
        <v>0</v>
      </c>
      <c r="I270" s="321">
        <v>0</v>
      </c>
      <c r="J270" s="321">
        <v>0</v>
      </c>
    </row>
    <row r="271" spans="2:10">
      <c r="B271" s="147" t="s">
        <v>341</v>
      </c>
      <c r="C271" s="321">
        <v>0</v>
      </c>
      <c r="D271" s="321">
        <v>0</v>
      </c>
      <c r="E271" s="321">
        <v>0</v>
      </c>
      <c r="F271" s="321">
        <v>0</v>
      </c>
      <c r="G271" s="321">
        <v>0</v>
      </c>
      <c r="H271" s="321">
        <v>0</v>
      </c>
      <c r="I271" s="321">
        <v>0</v>
      </c>
      <c r="J271" s="321">
        <v>0</v>
      </c>
    </row>
    <row r="272" spans="2:10">
      <c r="B272" s="147" t="s">
        <v>340</v>
      </c>
      <c r="C272" s="321">
        <v>0</v>
      </c>
      <c r="D272" s="321">
        <v>0</v>
      </c>
      <c r="E272" s="321">
        <v>0</v>
      </c>
      <c r="F272" s="321">
        <v>0</v>
      </c>
      <c r="G272" s="321">
        <v>0</v>
      </c>
      <c r="H272" s="321">
        <v>0</v>
      </c>
      <c r="I272" s="321">
        <v>0</v>
      </c>
      <c r="J272" s="321">
        <v>0</v>
      </c>
    </row>
    <row r="273" spans="2:10">
      <c r="B273" s="54" t="s">
        <v>339</v>
      </c>
      <c r="C273" s="321">
        <v>0</v>
      </c>
      <c r="D273" s="321">
        <v>0</v>
      </c>
      <c r="E273" s="321">
        <v>0</v>
      </c>
      <c r="F273" s="321">
        <v>0</v>
      </c>
      <c r="G273" s="321">
        <v>0</v>
      </c>
      <c r="H273" s="321">
        <v>0</v>
      </c>
      <c r="I273" s="321">
        <v>0</v>
      </c>
      <c r="J273" s="321">
        <v>0</v>
      </c>
    </row>
    <row r="274" spans="2:10">
      <c r="B274" s="54" t="s">
        <v>338</v>
      </c>
      <c r="C274" s="321">
        <v>0</v>
      </c>
      <c r="D274" s="321">
        <v>0</v>
      </c>
      <c r="E274" s="321">
        <v>0</v>
      </c>
      <c r="F274" s="321">
        <v>0</v>
      </c>
      <c r="G274" s="321">
        <v>0</v>
      </c>
      <c r="H274" s="321">
        <v>0</v>
      </c>
      <c r="I274" s="321">
        <v>0</v>
      </c>
      <c r="J274" s="321">
        <v>0</v>
      </c>
    </row>
    <row r="275" spans="2:10">
      <c r="B275" s="147" t="s">
        <v>337</v>
      </c>
      <c r="C275" s="321">
        <v>0</v>
      </c>
      <c r="D275" s="321">
        <v>0</v>
      </c>
      <c r="E275" s="321">
        <v>0</v>
      </c>
      <c r="F275" s="321">
        <v>0</v>
      </c>
      <c r="G275" s="321">
        <v>0</v>
      </c>
      <c r="H275" s="321">
        <v>0</v>
      </c>
      <c r="I275" s="321">
        <v>0</v>
      </c>
      <c r="J275" s="321">
        <v>0</v>
      </c>
    </row>
    <row r="276" spans="2:10">
      <c r="B276" s="147" t="s">
        <v>336</v>
      </c>
      <c r="C276" s="321">
        <v>0</v>
      </c>
      <c r="D276" s="321">
        <v>0</v>
      </c>
      <c r="E276" s="321">
        <v>0</v>
      </c>
      <c r="F276" s="321">
        <v>0</v>
      </c>
      <c r="G276" s="321">
        <v>0</v>
      </c>
      <c r="H276" s="321">
        <v>0</v>
      </c>
      <c r="I276" s="321">
        <v>0</v>
      </c>
      <c r="J276" s="321">
        <v>0</v>
      </c>
    </row>
    <row r="277" spans="2:10" ht="15" thickBot="1">
      <c r="B277" s="146" t="s">
        <v>335</v>
      </c>
      <c r="C277" s="321">
        <v>0</v>
      </c>
      <c r="D277" s="321">
        <v>0</v>
      </c>
      <c r="E277" s="321">
        <v>0</v>
      </c>
      <c r="F277" s="321">
        <v>0</v>
      </c>
      <c r="G277" s="321">
        <v>0</v>
      </c>
      <c r="H277" s="321">
        <v>0</v>
      </c>
      <c r="I277" s="321">
        <v>0</v>
      </c>
      <c r="J277" s="321">
        <v>0</v>
      </c>
    </row>
    <row r="278" spans="2:10" ht="15" thickTop="1">
      <c r="B278" s="2025" t="s">
        <v>1574</v>
      </c>
      <c r="C278" s="2025"/>
      <c r="D278" s="2025"/>
      <c r="E278" s="2025"/>
      <c r="F278" s="2025"/>
      <c r="G278" s="2025"/>
      <c r="H278" s="2025"/>
      <c r="I278" s="2025"/>
      <c r="J278" s="2025"/>
    </row>
    <row r="279" spans="2:10">
      <c r="B279" s="2017"/>
      <c r="C279" s="2017"/>
      <c r="D279" s="2017"/>
      <c r="E279" s="2017"/>
      <c r="F279" s="2017"/>
      <c r="G279" s="2017"/>
      <c r="H279" s="2017"/>
      <c r="I279" s="2017"/>
      <c r="J279" s="2017"/>
    </row>
    <row r="280" spans="2:10">
      <c r="B280" s="64"/>
      <c r="C280" s="449"/>
      <c r="D280" s="449"/>
      <c r="E280" s="449"/>
      <c r="F280" s="449"/>
      <c r="G280" s="449"/>
      <c r="H280" s="449"/>
      <c r="I280" s="449"/>
      <c r="J280" s="449"/>
    </row>
    <row r="281" spans="2:10">
      <c r="B281" s="2100" t="s">
        <v>333</v>
      </c>
      <c r="C281" s="2100"/>
      <c r="D281" s="2100"/>
      <c r="E281" s="2100"/>
      <c r="F281" s="2100"/>
      <c r="G281" s="2100"/>
      <c r="H281" s="2100"/>
      <c r="I281" s="2100"/>
      <c r="J281" s="2100"/>
    </row>
    <row r="282" spans="2:10">
      <c r="B282" s="12" t="s">
        <v>332</v>
      </c>
      <c r="C282" s="449"/>
      <c r="D282" s="449"/>
      <c r="E282" s="449"/>
      <c r="F282" s="449"/>
      <c r="G282" s="449"/>
      <c r="H282" s="449"/>
      <c r="I282" s="449"/>
      <c r="J282" s="449"/>
    </row>
    <row r="283" spans="2:10">
      <c r="B283" s="62" t="s">
        <v>269</v>
      </c>
      <c r="C283" s="449"/>
      <c r="D283" s="449"/>
      <c r="E283" s="449"/>
      <c r="F283" s="449"/>
      <c r="G283" s="449"/>
      <c r="H283" s="449"/>
      <c r="I283" s="449"/>
      <c r="J283" s="449"/>
    </row>
    <row r="284" spans="2:10">
      <c r="B284" s="64"/>
      <c r="C284" s="449"/>
      <c r="D284" s="449"/>
      <c r="E284" s="449"/>
      <c r="F284" s="449"/>
      <c r="G284" s="449"/>
      <c r="H284" s="449"/>
      <c r="I284" s="449"/>
      <c r="J284" s="449"/>
    </row>
    <row r="285" spans="2:10">
      <c r="B285" s="61"/>
      <c r="C285" s="303">
        <v>2014</v>
      </c>
      <c r="D285" s="303">
        <v>2015</v>
      </c>
      <c r="E285" s="303">
        <v>2016</v>
      </c>
      <c r="F285" s="303">
        <v>2017</v>
      </c>
      <c r="G285" s="303">
        <v>2018</v>
      </c>
      <c r="H285" s="303">
        <v>2019</v>
      </c>
      <c r="I285" s="303">
        <v>2020</v>
      </c>
      <c r="J285" s="303">
        <v>2021</v>
      </c>
    </row>
    <row r="286" spans="2:10">
      <c r="B286" s="59" t="s">
        <v>1251</v>
      </c>
      <c r="C286" s="449"/>
      <c r="D286" s="449"/>
      <c r="E286" s="449"/>
      <c r="F286" s="449"/>
      <c r="G286" s="449"/>
      <c r="H286" s="449"/>
      <c r="I286" s="449"/>
      <c r="J286" s="449"/>
    </row>
    <row r="287" spans="2:10">
      <c r="B287" s="71" t="s">
        <v>331</v>
      </c>
      <c r="C287" s="235">
        <v>23</v>
      </c>
      <c r="D287" s="235">
        <v>24</v>
      </c>
      <c r="E287" s="235">
        <v>24</v>
      </c>
      <c r="F287" s="235">
        <v>24</v>
      </c>
      <c r="G287" s="235">
        <v>24</v>
      </c>
      <c r="H287" s="235">
        <v>24</v>
      </c>
      <c r="I287" s="235">
        <v>23</v>
      </c>
      <c r="J287" s="235">
        <v>23</v>
      </c>
    </row>
    <row r="288" spans="2:10">
      <c r="B288" s="133" t="s">
        <v>330</v>
      </c>
      <c r="C288" s="235">
        <v>21</v>
      </c>
      <c r="D288" s="235">
        <v>22</v>
      </c>
      <c r="E288" s="235">
        <v>22</v>
      </c>
      <c r="F288" s="235">
        <v>22</v>
      </c>
      <c r="G288" s="235">
        <v>22</v>
      </c>
      <c r="H288" s="235">
        <v>22</v>
      </c>
      <c r="I288" s="235">
        <v>21</v>
      </c>
      <c r="J288" s="235">
        <v>21</v>
      </c>
    </row>
    <row r="289" spans="2:10">
      <c r="B289" s="52" t="s">
        <v>260</v>
      </c>
      <c r="C289" s="235">
        <v>6</v>
      </c>
      <c r="D289" s="235">
        <v>6</v>
      </c>
      <c r="E289" s="235">
        <v>6</v>
      </c>
      <c r="F289" s="235">
        <v>8</v>
      </c>
      <c r="G289" s="235">
        <v>8</v>
      </c>
      <c r="H289" s="235">
        <v>8</v>
      </c>
      <c r="I289" s="235">
        <v>8</v>
      </c>
      <c r="J289" s="235">
        <v>8</v>
      </c>
    </row>
    <row r="290" spans="2:10">
      <c r="B290" s="52" t="s">
        <v>329</v>
      </c>
      <c r="C290" s="235">
        <v>1</v>
      </c>
      <c r="D290" s="235">
        <v>1</v>
      </c>
      <c r="E290" s="235">
        <v>1</v>
      </c>
      <c r="F290" s="235">
        <v>1</v>
      </c>
      <c r="G290" s="235">
        <v>1</v>
      </c>
      <c r="H290" s="235">
        <v>1</v>
      </c>
      <c r="I290" s="235">
        <v>1</v>
      </c>
      <c r="J290" s="235">
        <v>1</v>
      </c>
    </row>
    <row r="291" spans="2:10">
      <c r="B291" s="52" t="s">
        <v>328</v>
      </c>
      <c r="C291" s="235">
        <v>14</v>
      </c>
      <c r="D291" s="235">
        <v>15</v>
      </c>
      <c r="E291" s="235">
        <v>15</v>
      </c>
      <c r="F291" s="235">
        <v>13</v>
      </c>
      <c r="G291" s="235">
        <v>13</v>
      </c>
      <c r="H291" s="235">
        <v>13</v>
      </c>
      <c r="I291" s="235">
        <v>12</v>
      </c>
      <c r="J291" s="235">
        <v>12</v>
      </c>
    </row>
    <row r="292" spans="2:10">
      <c r="B292" s="136" t="s">
        <v>327</v>
      </c>
      <c r="C292" s="235">
        <v>1</v>
      </c>
      <c r="D292" s="235">
        <v>1</v>
      </c>
      <c r="E292" s="235">
        <v>1</v>
      </c>
      <c r="F292" s="235">
        <v>1</v>
      </c>
      <c r="G292" s="235">
        <v>1</v>
      </c>
      <c r="H292" s="235">
        <v>1</v>
      </c>
      <c r="I292" s="235">
        <v>1</v>
      </c>
      <c r="J292" s="235">
        <v>1</v>
      </c>
    </row>
    <row r="293" spans="2:10">
      <c r="B293" s="136" t="s">
        <v>326</v>
      </c>
      <c r="C293" s="235" t="s">
        <v>2086</v>
      </c>
      <c r="D293" s="235" t="s">
        <v>2086</v>
      </c>
      <c r="E293" s="235" t="s">
        <v>2086</v>
      </c>
      <c r="F293" s="235" t="s">
        <v>2086</v>
      </c>
      <c r="G293" s="235" t="s">
        <v>2086</v>
      </c>
      <c r="H293" s="235" t="s">
        <v>2086</v>
      </c>
      <c r="I293" s="235" t="s">
        <v>2086</v>
      </c>
      <c r="J293" s="235" t="s">
        <v>2086</v>
      </c>
    </row>
    <row r="294" spans="2:10">
      <c r="B294" s="136" t="s">
        <v>325</v>
      </c>
      <c r="C294" s="235" t="s">
        <v>2086</v>
      </c>
      <c r="D294" s="235" t="s">
        <v>2086</v>
      </c>
      <c r="E294" s="235" t="s">
        <v>2086</v>
      </c>
      <c r="F294" s="235" t="s">
        <v>2086</v>
      </c>
      <c r="G294" s="235" t="s">
        <v>2086</v>
      </c>
      <c r="H294" s="235" t="s">
        <v>2086</v>
      </c>
      <c r="I294" s="235" t="s">
        <v>2086</v>
      </c>
      <c r="J294" s="235" t="s">
        <v>2086</v>
      </c>
    </row>
    <row r="295" spans="2:10">
      <c r="B295" s="136" t="s">
        <v>323</v>
      </c>
      <c r="C295" s="235">
        <v>12</v>
      </c>
      <c r="D295" s="235">
        <v>12</v>
      </c>
      <c r="E295" s="235">
        <v>12</v>
      </c>
      <c r="F295" s="235">
        <v>10</v>
      </c>
      <c r="G295" s="235">
        <v>10</v>
      </c>
      <c r="H295" s="235">
        <v>10</v>
      </c>
      <c r="I295" s="235">
        <v>9</v>
      </c>
      <c r="J295" s="235">
        <v>9</v>
      </c>
    </row>
    <row r="296" spans="2:10">
      <c r="B296" s="136" t="s">
        <v>117</v>
      </c>
      <c r="C296" s="235">
        <v>1</v>
      </c>
      <c r="D296" s="235">
        <v>2</v>
      </c>
      <c r="E296" s="235">
        <v>2</v>
      </c>
      <c r="F296" s="235">
        <v>2</v>
      </c>
      <c r="G296" s="235">
        <v>2</v>
      </c>
      <c r="H296" s="235">
        <v>2</v>
      </c>
      <c r="I296" s="235">
        <v>2</v>
      </c>
      <c r="J296" s="235">
        <v>2</v>
      </c>
    </row>
    <row r="297" spans="2:10">
      <c r="B297" s="133" t="s">
        <v>322</v>
      </c>
      <c r="C297" s="235">
        <v>2</v>
      </c>
      <c r="D297" s="235">
        <v>2</v>
      </c>
      <c r="E297" s="235">
        <v>2</v>
      </c>
      <c r="F297" s="235">
        <v>2</v>
      </c>
      <c r="G297" s="235">
        <v>2</v>
      </c>
      <c r="H297" s="235">
        <v>2</v>
      </c>
      <c r="I297" s="235">
        <v>2</v>
      </c>
      <c r="J297" s="235">
        <v>2</v>
      </c>
    </row>
    <row r="298" spans="2:10">
      <c r="B298" s="133"/>
      <c r="C298" s="321"/>
      <c r="D298" s="321"/>
      <c r="E298" s="321"/>
      <c r="F298" s="321"/>
      <c r="G298" s="321"/>
      <c r="H298" s="321"/>
      <c r="I298" s="321"/>
      <c r="J298" s="321"/>
    </row>
    <row r="299" spans="2:10">
      <c r="B299" s="114" t="s">
        <v>302</v>
      </c>
      <c r="C299" s="321"/>
      <c r="D299" s="321"/>
      <c r="E299" s="321"/>
      <c r="F299" s="321"/>
      <c r="G299" s="321"/>
      <c r="H299" s="321"/>
      <c r="I299" s="321"/>
      <c r="J299" s="321"/>
    </row>
    <row r="300" spans="2:10">
      <c r="B300" s="114"/>
      <c r="C300" s="321"/>
      <c r="D300" s="321"/>
      <c r="E300" s="321"/>
      <c r="F300" s="321"/>
      <c r="G300" s="321"/>
      <c r="H300" s="321"/>
      <c r="I300" s="321"/>
      <c r="J300" s="321"/>
    </row>
    <row r="301" spans="2:10">
      <c r="B301" s="59" t="s">
        <v>1589</v>
      </c>
      <c r="C301" s="321"/>
      <c r="D301" s="321"/>
      <c r="E301" s="321"/>
      <c r="F301" s="321"/>
      <c r="G301" s="321"/>
      <c r="H301" s="321"/>
      <c r="I301" s="321"/>
      <c r="J301" s="321"/>
    </row>
    <row r="302" spans="2:10">
      <c r="B302" s="71" t="s">
        <v>331</v>
      </c>
      <c r="C302" s="1000"/>
      <c r="D302" s="1000"/>
      <c r="E302" s="1000"/>
      <c r="F302" s="1000"/>
      <c r="G302" s="1000"/>
      <c r="H302" s="1000"/>
      <c r="I302" s="1000"/>
      <c r="J302" s="1000"/>
    </row>
    <row r="303" spans="2:10">
      <c r="B303" s="133" t="s">
        <v>330</v>
      </c>
      <c r="C303" s="1000">
        <f>C304+C305</f>
        <v>8</v>
      </c>
      <c r="D303" s="1000">
        <f t="shared" ref="D303:I303" si="1">D304+D305</f>
        <v>8</v>
      </c>
      <c r="E303" s="1000">
        <f t="shared" si="1"/>
        <v>7</v>
      </c>
      <c r="F303" s="1000">
        <f t="shared" si="1"/>
        <v>9</v>
      </c>
      <c r="G303" s="1000">
        <f t="shared" si="1"/>
        <v>9</v>
      </c>
      <c r="H303" s="1000">
        <f t="shared" si="1"/>
        <v>9</v>
      </c>
      <c r="I303" s="1000">
        <f t="shared" si="1"/>
        <v>9</v>
      </c>
      <c r="J303" s="1000">
        <v>10</v>
      </c>
    </row>
    <row r="304" spans="2:10">
      <c r="B304" s="52" t="s">
        <v>260</v>
      </c>
      <c r="C304" s="323">
        <v>7</v>
      </c>
      <c r="D304" s="323">
        <v>7</v>
      </c>
      <c r="E304" s="323">
        <v>6</v>
      </c>
      <c r="F304" s="323">
        <v>8</v>
      </c>
      <c r="G304" s="323">
        <v>8</v>
      </c>
      <c r="H304" s="323">
        <v>8</v>
      </c>
      <c r="I304" s="323">
        <v>8</v>
      </c>
      <c r="J304" s="323">
        <v>8</v>
      </c>
    </row>
    <row r="305" spans="2:10">
      <c r="B305" s="52" t="s">
        <v>329</v>
      </c>
      <c r="C305" s="323">
        <v>1</v>
      </c>
      <c r="D305" s="323">
        <v>1</v>
      </c>
      <c r="E305" s="323">
        <v>1</v>
      </c>
      <c r="F305" s="323">
        <v>1</v>
      </c>
      <c r="G305" s="323">
        <v>1</v>
      </c>
      <c r="H305" s="323">
        <v>1</v>
      </c>
      <c r="I305" s="323">
        <v>1</v>
      </c>
      <c r="J305" s="323">
        <v>1</v>
      </c>
    </row>
    <row r="306" spans="2:10">
      <c r="B306" s="52" t="s">
        <v>328</v>
      </c>
      <c r="C306" s="1001">
        <v>0</v>
      </c>
      <c r="D306" s="1001">
        <v>0</v>
      </c>
      <c r="E306" s="1001">
        <v>0</v>
      </c>
      <c r="F306" s="1001">
        <v>0</v>
      </c>
      <c r="G306" s="1001">
        <v>0</v>
      </c>
      <c r="H306" s="1001">
        <v>0</v>
      </c>
      <c r="I306" s="1001">
        <v>0</v>
      </c>
      <c r="J306" s="1001">
        <v>1</v>
      </c>
    </row>
    <row r="307" spans="2:10">
      <c r="B307" s="136" t="s">
        <v>327</v>
      </c>
      <c r="C307" s="1001">
        <v>0</v>
      </c>
      <c r="D307" s="1001">
        <v>0</v>
      </c>
      <c r="E307" s="1001">
        <v>0</v>
      </c>
      <c r="F307" s="1001">
        <v>0</v>
      </c>
      <c r="G307" s="1001">
        <v>0</v>
      </c>
      <c r="H307" s="1001">
        <v>0</v>
      </c>
      <c r="I307" s="1001">
        <v>0</v>
      </c>
      <c r="J307" s="1001">
        <v>0</v>
      </c>
    </row>
    <row r="308" spans="2:10">
      <c r="B308" s="136" t="s">
        <v>326</v>
      </c>
      <c r="C308" s="1002" t="s">
        <v>2086</v>
      </c>
      <c r="D308" s="1002" t="s">
        <v>2086</v>
      </c>
      <c r="E308" s="1002" t="s">
        <v>2086</v>
      </c>
      <c r="F308" s="1002" t="s">
        <v>2086</v>
      </c>
      <c r="G308" s="1002" t="s">
        <v>2086</v>
      </c>
      <c r="H308" s="1002" t="s">
        <v>2086</v>
      </c>
      <c r="I308" s="1002" t="s">
        <v>2086</v>
      </c>
      <c r="J308" s="1002" t="s">
        <v>2086</v>
      </c>
    </row>
    <row r="309" spans="2:10">
      <c r="B309" s="136" t="s">
        <v>325</v>
      </c>
      <c r="C309" s="494" t="s">
        <v>2086</v>
      </c>
      <c r="D309" s="494" t="s">
        <v>2086</v>
      </c>
      <c r="E309" s="494" t="s">
        <v>2086</v>
      </c>
      <c r="F309" s="494" t="s">
        <v>2086</v>
      </c>
      <c r="G309" s="494" t="s">
        <v>2086</v>
      </c>
      <c r="H309" s="494" t="s">
        <v>2086</v>
      </c>
      <c r="I309" s="494" t="s">
        <v>2086</v>
      </c>
      <c r="J309" s="494" t="s">
        <v>2086</v>
      </c>
    </row>
    <row r="310" spans="2:10">
      <c r="B310" s="136" t="s">
        <v>323</v>
      </c>
      <c r="C310" s="494" t="s">
        <v>2086</v>
      </c>
      <c r="D310" s="494" t="s">
        <v>2086</v>
      </c>
      <c r="E310" s="494" t="s">
        <v>2086</v>
      </c>
      <c r="F310" s="494" t="s">
        <v>2086</v>
      </c>
      <c r="G310" s="494" t="s">
        <v>2086</v>
      </c>
      <c r="H310" s="494" t="s">
        <v>2086</v>
      </c>
      <c r="I310" s="494" t="s">
        <v>2086</v>
      </c>
      <c r="J310" s="494" t="s">
        <v>2086</v>
      </c>
    </row>
    <row r="311" spans="2:10">
      <c r="B311" s="136" t="s">
        <v>117</v>
      </c>
      <c r="C311" s="494" t="s">
        <v>2086</v>
      </c>
      <c r="D311" s="494" t="s">
        <v>2086</v>
      </c>
      <c r="E311" s="494" t="s">
        <v>2086</v>
      </c>
      <c r="F311" s="494" t="s">
        <v>2086</v>
      </c>
      <c r="G311" s="494" t="s">
        <v>2086</v>
      </c>
      <c r="H311" s="494" t="s">
        <v>2086</v>
      </c>
      <c r="I311" s="494" t="s">
        <v>2086</v>
      </c>
      <c r="J311" s="494" t="s">
        <v>2086</v>
      </c>
    </row>
    <row r="312" spans="2:10">
      <c r="B312" s="133" t="s">
        <v>322</v>
      </c>
      <c r="C312" s="494"/>
      <c r="D312" s="494"/>
      <c r="E312" s="494"/>
      <c r="F312" s="494"/>
      <c r="G312" s="494"/>
      <c r="H312" s="494"/>
      <c r="I312" s="494"/>
      <c r="J312" s="494"/>
    </row>
    <row r="313" spans="2:10">
      <c r="B313" s="133"/>
      <c r="C313" s="321"/>
      <c r="D313" s="321"/>
      <c r="E313" s="321"/>
      <c r="F313" s="321"/>
      <c r="G313" s="321"/>
      <c r="H313" s="321"/>
      <c r="I313" s="321"/>
      <c r="J313" s="321"/>
    </row>
    <row r="314" spans="2:10">
      <c r="B314" s="59" t="s">
        <v>1590</v>
      </c>
      <c r="C314" s="321"/>
      <c r="D314" s="321"/>
      <c r="E314" s="321"/>
      <c r="F314" s="321"/>
      <c r="G314" s="321"/>
      <c r="H314" s="321"/>
      <c r="I314" s="321"/>
      <c r="J314" s="321"/>
    </row>
    <row r="315" spans="2:10">
      <c r="B315" s="71" t="s">
        <v>331</v>
      </c>
      <c r="C315" s="323"/>
      <c r="D315" s="323"/>
      <c r="E315" s="323"/>
      <c r="F315" s="323"/>
      <c r="G315" s="323"/>
      <c r="H315" s="323"/>
      <c r="I315" s="323"/>
      <c r="J315" s="323"/>
    </row>
    <row r="316" spans="2:10">
      <c r="B316" s="133" t="s">
        <v>330</v>
      </c>
      <c r="C316" s="1003">
        <f>C317+C323</f>
        <v>7</v>
      </c>
      <c r="D316" s="1003">
        <f t="shared" ref="D316:J316" si="2">D317+D323</f>
        <v>7</v>
      </c>
      <c r="E316" s="1003">
        <f t="shared" si="2"/>
        <v>7</v>
      </c>
      <c r="F316" s="1003">
        <f t="shared" si="2"/>
        <v>8</v>
      </c>
      <c r="G316" s="1003">
        <f t="shared" si="2"/>
        <v>9</v>
      </c>
      <c r="H316" s="1003">
        <f t="shared" si="2"/>
        <v>8</v>
      </c>
      <c r="I316" s="1003">
        <f t="shared" si="2"/>
        <v>8</v>
      </c>
      <c r="J316" s="1003">
        <f t="shared" si="2"/>
        <v>8</v>
      </c>
    </row>
    <row r="317" spans="2:10">
      <c r="B317" s="52" t="s">
        <v>260</v>
      </c>
      <c r="C317" s="1003">
        <v>4</v>
      </c>
      <c r="D317" s="1003">
        <v>4</v>
      </c>
      <c r="E317" s="1003">
        <v>4</v>
      </c>
      <c r="F317" s="1003">
        <v>5</v>
      </c>
      <c r="G317" s="1003">
        <v>6</v>
      </c>
      <c r="H317" s="1003">
        <v>6</v>
      </c>
      <c r="I317" s="1003">
        <v>6</v>
      </c>
      <c r="J317" s="1003">
        <v>6</v>
      </c>
    </row>
    <row r="318" spans="2:10">
      <c r="B318" s="52" t="s">
        <v>329</v>
      </c>
      <c r="C318" s="235" t="s">
        <v>2086</v>
      </c>
      <c r="D318" s="235" t="s">
        <v>2086</v>
      </c>
      <c r="E318" s="235" t="s">
        <v>2086</v>
      </c>
      <c r="F318" s="235" t="s">
        <v>2086</v>
      </c>
      <c r="G318" s="235" t="s">
        <v>2086</v>
      </c>
      <c r="H318" s="235" t="s">
        <v>2086</v>
      </c>
      <c r="I318" s="235" t="s">
        <v>2086</v>
      </c>
      <c r="J318" s="235" t="s">
        <v>2086</v>
      </c>
    </row>
    <row r="319" spans="2:10">
      <c r="B319" s="52" t="s">
        <v>328</v>
      </c>
      <c r="C319" s="1003">
        <v>0</v>
      </c>
      <c r="D319" s="1003">
        <v>0</v>
      </c>
      <c r="E319" s="1003">
        <v>0</v>
      </c>
      <c r="F319" s="1003">
        <v>0</v>
      </c>
      <c r="G319" s="1003">
        <v>0</v>
      </c>
      <c r="H319" s="1003">
        <v>0</v>
      </c>
      <c r="I319" s="1003">
        <v>0</v>
      </c>
      <c r="J319" s="1003">
        <v>0</v>
      </c>
    </row>
    <row r="320" spans="2:10">
      <c r="B320" s="136" t="s">
        <v>327</v>
      </c>
      <c r="C320" s="235" t="s">
        <v>2086</v>
      </c>
      <c r="D320" s="235" t="s">
        <v>2086</v>
      </c>
      <c r="E320" s="235" t="s">
        <v>2086</v>
      </c>
      <c r="F320" s="235" t="s">
        <v>2086</v>
      </c>
      <c r="G320" s="235" t="s">
        <v>2086</v>
      </c>
      <c r="H320" s="235" t="s">
        <v>2086</v>
      </c>
      <c r="I320" s="235" t="s">
        <v>2086</v>
      </c>
      <c r="J320" s="235" t="s">
        <v>2086</v>
      </c>
    </row>
    <row r="321" spans="2:10">
      <c r="B321" s="136" t="s">
        <v>326</v>
      </c>
      <c r="C321" s="235" t="s">
        <v>2086</v>
      </c>
      <c r="D321" s="235" t="s">
        <v>2086</v>
      </c>
      <c r="E321" s="235" t="s">
        <v>2086</v>
      </c>
      <c r="F321" s="235" t="s">
        <v>2086</v>
      </c>
      <c r="G321" s="235" t="s">
        <v>2086</v>
      </c>
      <c r="H321" s="235" t="s">
        <v>2086</v>
      </c>
      <c r="I321" s="235" t="s">
        <v>2086</v>
      </c>
      <c r="J321" s="235" t="s">
        <v>2086</v>
      </c>
    </row>
    <row r="322" spans="2:10">
      <c r="B322" s="136" t="s">
        <v>325</v>
      </c>
      <c r="C322" s="235" t="s">
        <v>2086</v>
      </c>
      <c r="D322" s="235" t="s">
        <v>2086</v>
      </c>
      <c r="E322" s="235" t="s">
        <v>2086</v>
      </c>
      <c r="F322" s="235" t="s">
        <v>2086</v>
      </c>
      <c r="G322" s="235" t="s">
        <v>2086</v>
      </c>
      <c r="H322" s="235" t="s">
        <v>2086</v>
      </c>
      <c r="I322" s="235" t="s">
        <v>2086</v>
      </c>
      <c r="J322" s="235" t="s">
        <v>2086</v>
      </c>
    </row>
    <row r="323" spans="2:10">
      <c r="B323" s="136" t="s">
        <v>323</v>
      </c>
      <c r="C323" s="1003">
        <v>3</v>
      </c>
      <c r="D323" s="1003">
        <v>3</v>
      </c>
      <c r="E323" s="1003">
        <v>3</v>
      </c>
      <c r="F323" s="1003">
        <v>3</v>
      </c>
      <c r="G323" s="1003">
        <v>3</v>
      </c>
      <c r="H323" s="1003">
        <v>2</v>
      </c>
      <c r="I323" s="1003">
        <v>2</v>
      </c>
      <c r="J323" s="1003">
        <v>2</v>
      </c>
    </row>
    <row r="324" spans="2:10">
      <c r="B324" s="136" t="s">
        <v>117</v>
      </c>
      <c r="C324" s="235" t="s">
        <v>2086</v>
      </c>
      <c r="D324" s="235" t="s">
        <v>2086</v>
      </c>
      <c r="E324" s="235" t="s">
        <v>2086</v>
      </c>
      <c r="F324" s="235" t="s">
        <v>2086</v>
      </c>
      <c r="G324" s="235" t="s">
        <v>2086</v>
      </c>
      <c r="H324" s="235" t="s">
        <v>2086</v>
      </c>
      <c r="I324" s="235" t="s">
        <v>2086</v>
      </c>
      <c r="J324" s="235" t="s">
        <v>2086</v>
      </c>
    </row>
    <row r="325" spans="2:10" ht="15" thickBot="1">
      <c r="B325" s="133" t="s">
        <v>322</v>
      </c>
      <c r="C325" s="235" t="s">
        <v>2086</v>
      </c>
      <c r="D325" s="235" t="s">
        <v>2086</v>
      </c>
      <c r="E325" s="235" t="s">
        <v>2086</v>
      </c>
      <c r="F325" s="235" t="s">
        <v>2086</v>
      </c>
      <c r="G325" s="235" t="s">
        <v>2086</v>
      </c>
      <c r="H325" s="235" t="s">
        <v>2086</v>
      </c>
      <c r="I325" s="235" t="s">
        <v>2086</v>
      </c>
      <c r="J325" s="235" t="s">
        <v>2086</v>
      </c>
    </row>
    <row r="326" spans="2:10" ht="15" thickTop="1">
      <c r="B326" s="2025" t="s">
        <v>1574</v>
      </c>
      <c r="C326" s="2025"/>
      <c r="D326" s="2025"/>
      <c r="E326" s="2025"/>
      <c r="F326" s="2025"/>
      <c r="G326" s="2025"/>
      <c r="H326" s="2025"/>
      <c r="I326" s="2025"/>
      <c r="J326" s="2025"/>
    </row>
    <row r="327" spans="2:10">
      <c r="B327" s="2017"/>
      <c r="C327" s="2017"/>
      <c r="D327" s="2017"/>
      <c r="E327" s="2017"/>
      <c r="F327" s="2017"/>
      <c r="G327" s="2017"/>
      <c r="H327" s="2017"/>
      <c r="I327" s="2017"/>
      <c r="J327" s="2017"/>
    </row>
    <row r="328" spans="2:10">
      <c r="B328" s="64"/>
      <c r="C328" s="449"/>
      <c r="D328" s="449"/>
      <c r="E328" s="449"/>
      <c r="F328" s="449"/>
      <c r="G328" s="449"/>
      <c r="H328" s="449"/>
      <c r="I328" s="449"/>
      <c r="J328" s="449"/>
    </row>
    <row r="329" spans="2:10">
      <c r="B329" s="2100" t="s">
        <v>320</v>
      </c>
      <c r="C329" s="2100"/>
      <c r="D329" s="2100"/>
      <c r="E329" s="2100"/>
      <c r="F329" s="2100"/>
      <c r="G329" s="2100"/>
      <c r="H329" s="2100"/>
      <c r="I329" s="2100"/>
      <c r="J329" s="2100"/>
    </row>
    <row r="330" spans="2:10">
      <c r="B330" s="12" t="s">
        <v>319</v>
      </c>
      <c r="C330" s="449"/>
      <c r="D330" s="449"/>
      <c r="E330" s="449"/>
      <c r="F330" s="449"/>
      <c r="G330" s="449"/>
      <c r="H330" s="449"/>
      <c r="I330" s="449"/>
      <c r="J330" s="449"/>
    </row>
    <row r="331" spans="2:10">
      <c r="B331" s="62" t="s">
        <v>242</v>
      </c>
      <c r="C331" s="449"/>
      <c r="D331" s="449"/>
      <c r="E331" s="449"/>
      <c r="F331" s="449"/>
      <c r="G331" s="449"/>
      <c r="H331" s="449"/>
      <c r="I331" s="449"/>
      <c r="J331" s="449"/>
    </row>
    <row r="332" spans="2:10">
      <c r="B332" s="64"/>
      <c r="C332" s="449"/>
      <c r="D332" s="449"/>
      <c r="E332" s="449"/>
      <c r="F332" s="449"/>
      <c r="G332" s="449"/>
      <c r="H332" s="449"/>
      <c r="I332" s="449"/>
      <c r="J332" s="449"/>
    </row>
    <row r="333" spans="2:10">
      <c r="B333" s="61"/>
      <c r="C333" s="303">
        <v>2014</v>
      </c>
      <c r="D333" s="303">
        <v>2015</v>
      </c>
      <c r="E333" s="303">
        <v>2016</v>
      </c>
      <c r="F333" s="303">
        <v>2017</v>
      </c>
      <c r="G333" s="303">
        <v>2018</v>
      </c>
      <c r="H333" s="303">
        <v>2019</v>
      </c>
      <c r="I333" s="303">
        <v>2020</v>
      </c>
      <c r="J333" s="303">
        <v>2021</v>
      </c>
    </row>
    <row r="334" spans="2:10">
      <c r="B334" s="114" t="s">
        <v>310</v>
      </c>
      <c r="C334" s="217"/>
      <c r="D334" s="217"/>
      <c r="E334" s="217"/>
      <c r="F334" s="217"/>
      <c r="G334" s="217"/>
      <c r="H334" s="217"/>
      <c r="I334" s="217"/>
      <c r="J334" s="217"/>
    </row>
    <row r="335" spans="2:10">
      <c r="B335" s="114"/>
      <c r="C335" s="217"/>
      <c r="D335" s="217"/>
      <c r="E335" s="217"/>
      <c r="F335" s="217"/>
      <c r="G335" s="217"/>
      <c r="H335" s="217"/>
      <c r="I335" s="217"/>
      <c r="J335" s="217"/>
    </row>
    <row r="336" spans="2:10">
      <c r="B336" s="59" t="s">
        <v>1251</v>
      </c>
      <c r="C336" s="217"/>
      <c r="D336" s="217"/>
      <c r="E336" s="217"/>
      <c r="F336" s="217"/>
      <c r="G336" s="217"/>
      <c r="H336" s="217"/>
      <c r="I336" s="217"/>
      <c r="J336" s="217"/>
    </row>
    <row r="337" spans="2:11">
      <c r="B337" s="71" t="s">
        <v>297</v>
      </c>
      <c r="C337" s="860"/>
      <c r="D337" s="860"/>
      <c r="E337" s="860"/>
      <c r="F337" s="860"/>
      <c r="G337" s="860"/>
      <c r="H337" s="860"/>
      <c r="I337" s="860"/>
      <c r="J337" s="860"/>
    </row>
    <row r="338" spans="2:11">
      <c r="B338" s="133" t="s">
        <v>296</v>
      </c>
      <c r="C338" s="860">
        <v>0.29350199999999999</v>
      </c>
      <c r="D338" s="860">
        <v>0.34054499999999999</v>
      </c>
      <c r="E338" s="860">
        <v>0.52742800000000001</v>
      </c>
      <c r="F338" s="860">
        <v>0.71911999999999998</v>
      </c>
      <c r="G338" s="860">
        <v>0.91050900000000001</v>
      </c>
      <c r="H338" s="860">
        <v>1.0339229999999999</v>
      </c>
      <c r="I338" s="860">
        <v>1.567482</v>
      </c>
      <c r="J338" s="860">
        <v>2.8488389999999999</v>
      </c>
    </row>
    <row r="339" spans="2:11">
      <c r="B339" s="132" t="s">
        <v>295</v>
      </c>
      <c r="C339" s="860" t="s">
        <v>2086</v>
      </c>
      <c r="D339" s="860" t="s">
        <v>2086</v>
      </c>
      <c r="E339" s="860" t="s">
        <v>2086</v>
      </c>
      <c r="F339" s="860" t="s">
        <v>2086</v>
      </c>
      <c r="G339" s="860" t="s">
        <v>2086</v>
      </c>
      <c r="H339" s="860" t="s">
        <v>2086</v>
      </c>
      <c r="I339" s="860" t="s">
        <v>2086</v>
      </c>
      <c r="J339" s="860" t="s">
        <v>2086</v>
      </c>
    </row>
    <row r="340" spans="2:11">
      <c r="B340" s="132" t="s">
        <v>303</v>
      </c>
      <c r="C340" s="860" t="s">
        <v>2086</v>
      </c>
      <c r="D340" s="860" t="s">
        <v>2086</v>
      </c>
      <c r="E340" s="860" t="s">
        <v>2086</v>
      </c>
      <c r="F340" s="860" t="s">
        <v>2086</v>
      </c>
      <c r="G340" s="860" t="s">
        <v>2086</v>
      </c>
      <c r="H340" s="860" t="s">
        <v>2086</v>
      </c>
      <c r="I340" s="860" t="s">
        <v>2086</v>
      </c>
      <c r="J340" s="860" t="s">
        <v>2086</v>
      </c>
    </row>
    <row r="341" spans="2:11">
      <c r="B341" s="65" t="s">
        <v>287</v>
      </c>
      <c r="C341" s="860" t="s">
        <v>2086</v>
      </c>
      <c r="D341" s="860" t="s">
        <v>2086</v>
      </c>
      <c r="E341" s="860" t="s">
        <v>2086</v>
      </c>
      <c r="F341" s="860" t="s">
        <v>2086</v>
      </c>
      <c r="G341" s="860" t="s">
        <v>2086</v>
      </c>
      <c r="H341" s="860" t="s">
        <v>2086</v>
      </c>
      <c r="I341" s="860" t="s">
        <v>2086</v>
      </c>
      <c r="J341" s="860" t="s">
        <v>2086</v>
      </c>
    </row>
    <row r="342" spans="2:11">
      <c r="B342" s="136"/>
      <c r="C342" s="138"/>
      <c r="D342" s="138"/>
      <c r="E342" s="138"/>
      <c r="F342" s="138"/>
      <c r="G342" s="138"/>
      <c r="H342" s="138"/>
      <c r="I342" s="138"/>
      <c r="J342" s="138"/>
    </row>
    <row r="343" spans="2:11">
      <c r="B343" s="114" t="s">
        <v>302</v>
      </c>
      <c r="C343" s="138"/>
      <c r="D343" s="138"/>
      <c r="E343" s="138"/>
      <c r="F343" s="138"/>
      <c r="G343" s="138"/>
      <c r="H343" s="138"/>
      <c r="I343" s="138"/>
      <c r="J343" s="138"/>
    </row>
    <row r="344" spans="2:11">
      <c r="B344" s="114"/>
      <c r="C344" s="138"/>
      <c r="D344" s="138"/>
      <c r="E344" s="138"/>
      <c r="F344" s="138"/>
      <c r="G344" s="138"/>
      <c r="H344" s="138"/>
      <c r="I344" s="138"/>
      <c r="J344" s="138"/>
    </row>
    <row r="345" spans="2:11">
      <c r="B345" s="532" t="s">
        <v>1589</v>
      </c>
      <c r="C345" s="138"/>
      <c r="D345" s="138"/>
      <c r="E345" s="138"/>
      <c r="F345" s="138"/>
      <c r="G345" s="138"/>
      <c r="H345" s="138"/>
      <c r="I345" s="138"/>
      <c r="J345" s="138"/>
    </row>
    <row r="346" spans="2:11">
      <c r="B346" s="71" t="s">
        <v>297</v>
      </c>
      <c r="C346" s="139"/>
      <c r="D346" s="139">
        <v>20.816367</v>
      </c>
      <c r="E346" s="139">
        <v>22.274935999999997</v>
      </c>
      <c r="F346" s="139">
        <v>22.749208000000003</v>
      </c>
      <c r="G346" s="139">
        <v>24.576644999999999</v>
      </c>
      <c r="H346" s="139">
        <v>26.539055000000001</v>
      </c>
      <c r="I346" s="139">
        <v>25.524391999999999</v>
      </c>
      <c r="J346" s="139">
        <f>J348+J349+J353+J366</f>
        <v>28.624172000000002</v>
      </c>
    </row>
    <row r="347" spans="2:11">
      <c r="B347" s="133" t="s">
        <v>296</v>
      </c>
      <c r="C347" s="139"/>
      <c r="D347" s="139"/>
      <c r="E347" s="139"/>
      <c r="F347" s="139"/>
      <c r="G347" s="139"/>
      <c r="H347" s="139"/>
      <c r="I347" s="139"/>
      <c r="J347" s="139"/>
    </row>
    <row r="348" spans="2:11">
      <c r="B348" s="131" t="s">
        <v>294</v>
      </c>
      <c r="C348" s="541">
        <v>1.7851269999999999</v>
      </c>
      <c r="D348" s="541">
        <v>2.1033309999999998</v>
      </c>
      <c r="E348" s="541">
        <v>2.7975729999999999</v>
      </c>
      <c r="F348" s="541">
        <v>3.2586409999999999</v>
      </c>
      <c r="G348" s="541">
        <v>4.0600350000000001</v>
      </c>
      <c r="H348" s="541">
        <v>4.8960540000000004</v>
      </c>
      <c r="I348" s="541">
        <v>6.6055409999999997</v>
      </c>
      <c r="J348" s="541">
        <v>8.4586159999999992</v>
      </c>
      <c r="K348" s="1004"/>
    </row>
    <row r="349" spans="2:11">
      <c r="B349" s="131" t="s">
        <v>293</v>
      </c>
      <c r="C349" s="541">
        <v>0.45618700000000001</v>
      </c>
      <c r="D349" s="541">
        <v>0.44639499999999999</v>
      </c>
      <c r="E349" s="541">
        <v>0.51967300000000005</v>
      </c>
      <c r="F349" s="541">
        <v>0.51723399999999997</v>
      </c>
      <c r="G349" s="541">
        <v>0.53973700000000002</v>
      </c>
      <c r="H349" s="541">
        <v>0.58082199999999995</v>
      </c>
      <c r="I349" s="541">
        <v>0.56492500000000001</v>
      </c>
      <c r="J349" s="541">
        <v>0.58233500000000005</v>
      </c>
      <c r="K349" s="1004"/>
    </row>
    <row r="350" spans="2:11">
      <c r="B350" s="131" t="s">
        <v>292</v>
      </c>
      <c r="C350" s="541">
        <v>0</v>
      </c>
      <c r="D350" s="541">
        <v>0</v>
      </c>
      <c r="E350" s="541">
        <v>0</v>
      </c>
      <c r="F350" s="541">
        <v>0</v>
      </c>
      <c r="G350" s="541">
        <v>0</v>
      </c>
      <c r="H350" s="541">
        <v>0</v>
      </c>
      <c r="I350" s="541">
        <v>0</v>
      </c>
      <c r="J350" s="541">
        <v>0</v>
      </c>
    </row>
    <row r="351" spans="2:11">
      <c r="B351" s="131" t="s">
        <v>291</v>
      </c>
      <c r="C351" s="541">
        <v>0</v>
      </c>
      <c r="D351" s="541">
        <v>0</v>
      </c>
      <c r="E351" s="541">
        <v>0</v>
      </c>
      <c r="F351" s="541">
        <v>0</v>
      </c>
      <c r="G351" s="541">
        <v>0</v>
      </c>
      <c r="H351" s="541">
        <v>0</v>
      </c>
      <c r="I351" s="541">
        <v>0</v>
      </c>
      <c r="J351" s="541">
        <v>0</v>
      </c>
    </row>
    <row r="352" spans="2:11">
      <c r="B352" s="131" t="s">
        <v>290</v>
      </c>
      <c r="C352" s="541">
        <v>0</v>
      </c>
      <c r="D352" s="541">
        <v>0</v>
      </c>
      <c r="E352" s="541">
        <v>0</v>
      </c>
      <c r="F352" s="541">
        <v>0</v>
      </c>
      <c r="G352" s="541">
        <v>0</v>
      </c>
      <c r="H352" s="541">
        <v>0</v>
      </c>
      <c r="I352" s="541">
        <v>0</v>
      </c>
      <c r="J352" s="541">
        <v>0</v>
      </c>
    </row>
    <row r="353" spans="2:10">
      <c r="B353" s="131" t="s">
        <v>289</v>
      </c>
      <c r="C353" s="541">
        <v>6.9907820000000003</v>
      </c>
      <c r="D353" s="541">
        <v>6.7885949999999999</v>
      </c>
      <c r="E353" s="541">
        <v>6.6044029999999996</v>
      </c>
      <c r="F353" s="541">
        <v>6.2140310000000003</v>
      </c>
      <c r="G353" s="541">
        <v>6.0792640000000002</v>
      </c>
      <c r="H353" s="541">
        <v>5.7832509999999999</v>
      </c>
      <c r="I353" s="541">
        <v>4.6102489999999996</v>
      </c>
      <c r="J353" s="541">
        <v>3.911781</v>
      </c>
    </row>
    <row r="354" spans="2:10">
      <c r="B354" s="131" t="s">
        <v>288</v>
      </c>
      <c r="C354" s="541">
        <v>0</v>
      </c>
      <c r="D354" s="541">
        <v>0</v>
      </c>
      <c r="E354" s="541">
        <v>0</v>
      </c>
      <c r="F354" s="541">
        <v>0</v>
      </c>
      <c r="G354" s="541">
        <v>0</v>
      </c>
      <c r="H354" s="541">
        <v>0</v>
      </c>
      <c r="I354" s="541">
        <v>0</v>
      </c>
      <c r="J354" s="541">
        <v>0</v>
      </c>
    </row>
    <row r="355" spans="2:10">
      <c r="B355" s="132" t="s">
        <v>295</v>
      </c>
      <c r="C355" s="541">
        <v>0</v>
      </c>
      <c r="D355" s="541">
        <v>0</v>
      </c>
      <c r="E355" s="541">
        <v>0</v>
      </c>
      <c r="F355" s="541">
        <v>0</v>
      </c>
      <c r="G355" s="541">
        <v>0</v>
      </c>
      <c r="H355" s="541">
        <v>0</v>
      </c>
      <c r="I355" s="541">
        <v>0</v>
      </c>
      <c r="J355" s="541">
        <v>0</v>
      </c>
    </row>
    <row r="356" spans="2:10">
      <c r="B356" s="131" t="s">
        <v>294</v>
      </c>
      <c r="C356" s="541">
        <v>0</v>
      </c>
      <c r="D356" s="541">
        <v>0</v>
      </c>
      <c r="E356" s="541">
        <v>0</v>
      </c>
      <c r="F356" s="541">
        <v>0</v>
      </c>
      <c r="G356" s="541">
        <v>0</v>
      </c>
      <c r="H356" s="541">
        <v>0</v>
      </c>
      <c r="I356" s="541">
        <v>0</v>
      </c>
      <c r="J356" s="541">
        <v>0</v>
      </c>
    </row>
    <row r="357" spans="2:10">
      <c r="B357" s="131" t="s">
        <v>293</v>
      </c>
      <c r="C357" s="541">
        <v>0</v>
      </c>
      <c r="D357" s="541">
        <v>0</v>
      </c>
      <c r="E357" s="541">
        <v>0</v>
      </c>
      <c r="F357" s="541">
        <v>0</v>
      </c>
      <c r="G357" s="541">
        <v>0</v>
      </c>
      <c r="H357" s="541">
        <v>0</v>
      </c>
      <c r="I357" s="541">
        <v>0</v>
      </c>
      <c r="J357" s="541">
        <v>0</v>
      </c>
    </row>
    <row r="358" spans="2:10">
      <c r="B358" s="131" t="s">
        <v>292</v>
      </c>
      <c r="C358" s="541">
        <v>0</v>
      </c>
      <c r="D358" s="541">
        <v>0</v>
      </c>
      <c r="E358" s="541">
        <v>0</v>
      </c>
      <c r="F358" s="541">
        <v>0</v>
      </c>
      <c r="G358" s="541">
        <v>0</v>
      </c>
      <c r="H358" s="541">
        <v>0</v>
      </c>
      <c r="I358" s="541">
        <v>0</v>
      </c>
      <c r="J358" s="541">
        <v>0</v>
      </c>
    </row>
    <row r="359" spans="2:10">
      <c r="B359" s="131" t="s">
        <v>291</v>
      </c>
      <c r="C359" s="541">
        <v>0</v>
      </c>
      <c r="D359" s="541">
        <v>0</v>
      </c>
      <c r="E359" s="541">
        <v>0</v>
      </c>
      <c r="F359" s="541">
        <v>0</v>
      </c>
      <c r="G359" s="541">
        <v>0</v>
      </c>
      <c r="H359" s="541">
        <v>0</v>
      </c>
      <c r="I359" s="541">
        <v>0</v>
      </c>
      <c r="J359" s="541">
        <v>0</v>
      </c>
    </row>
    <row r="360" spans="2:10">
      <c r="B360" s="131" t="s">
        <v>290</v>
      </c>
      <c r="C360" s="541">
        <v>0</v>
      </c>
      <c r="D360" s="541">
        <v>0</v>
      </c>
      <c r="E360" s="541">
        <v>0</v>
      </c>
      <c r="F360" s="541">
        <v>0</v>
      </c>
      <c r="G360" s="541">
        <v>0</v>
      </c>
      <c r="H360" s="541">
        <v>0</v>
      </c>
      <c r="I360" s="541">
        <v>0</v>
      </c>
      <c r="J360" s="541">
        <v>0</v>
      </c>
    </row>
    <row r="361" spans="2:10">
      <c r="B361" s="131" t="s">
        <v>289</v>
      </c>
      <c r="C361" s="541">
        <v>0</v>
      </c>
      <c r="D361" s="541">
        <v>0</v>
      </c>
      <c r="E361" s="541">
        <v>0</v>
      </c>
      <c r="F361" s="541">
        <v>0</v>
      </c>
      <c r="G361" s="541">
        <v>0</v>
      </c>
      <c r="H361" s="541">
        <v>0</v>
      </c>
      <c r="I361" s="541">
        <v>0</v>
      </c>
      <c r="J361" s="541">
        <v>0</v>
      </c>
    </row>
    <row r="362" spans="2:10">
      <c r="B362" s="131" t="s">
        <v>288</v>
      </c>
      <c r="C362" s="541">
        <v>0</v>
      </c>
      <c r="D362" s="541">
        <v>0</v>
      </c>
      <c r="E362" s="541">
        <v>0</v>
      </c>
      <c r="F362" s="541">
        <v>0</v>
      </c>
      <c r="G362" s="541">
        <v>0</v>
      </c>
      <c r="H362" s="541">
        <v>0</v>
      </c>
      <c r="I362" s="541">
        <v>0</v>
      </c>
      <c r="J362" s="541">
        <v>0</v>
      </c>
    </row>
    <row r="363" spans="2:10">
      <c r="B363" s="65" t="s">
        <v>287</v>
      </c>
      <c r="C363" s="1005">
        <v>0.45919183872586333</v>
      </c>
      <c r="D363" s="1005">
        <v>0.4486047445262662</v>
      </c>
      <c r="E363" s="1005">
        <v>0.44541762095298498</v>
      </c>
      <c r="F363" s="1005">
        <v>0.43913203483831176</v>
      </c>
      <c r="G363" s="1005">
        <v>0.43451968321957696</v>
      </c>
      <c r="H363" s="1005">
        <v>0.42428515257984883</v>
      </c>
      <c r="I363" s="1005">
        <v>0.46154733088255301</v>
      </c>
      <c r="J363" s="1005">
        <f>(J348+J349+J353)/J346</f>
        <v>0.45251027697849211</v>
      </c>
    </row>
    <row r="364" spans="2:10">
      <c r="B364" s="133"/>
      <c r="C364" s="138"/>
      <c r="D364" s="138"/>
      <c r="E364" s="138"/>
      <c r="F364" s="138"/>
      <c r="G364" s="138"/>
      <c r="H364" s="138"/>
      <c r="I364" s="138"/>
      <c r="J364" s="138"/>
    </row>
    <row r="365" spans="2:10">
      <c r="B365" s="532" t="s">
        <v>1590</v>
      </c>
      <c r="C365" s="138"/>
      <c r="D365" s="138"/>
      <c r="E365" s="138"/>
      <c r="F365" s="138"/>
      <c r="G365" s="138"/>
      <c r="H365" s="138"/>
      <c r="I365" s="138"/>
      <c r="J365" s="138"/>
    </row>
    <row r="366" spans="2:10">
      <c r="B366" s="71" t="s">
        <v>297</v>
      </c>
      <c r="C366" s="468">
        <v>10.872999999999999</v>
      </c>
      <c r="D366" s="468">
        <v>11.478046000000001</v>
      </c>
      <c r="E366" s="468">
        <v>12.353287</v>
      </c>
      <c r="F366" s="468">
        <v>12.759302</v>
      </c>
      <c r="G366" s="468">
        <v>13.897608999999999</v>
      </c>
      <c r="H366" s="468">
        <v>15.278928000000001</v>
      </c>
      <c r="I366" s="468">
        <v>13.743677</v>
      </c>
      <c r="J366" s="468">
        <f>J371</f>
        <v>15.67144</v>
      </c>
    </row>
    <row r="367" spans="2:10">
      <c r="B367" s="133" t="s">
        <v>296</v>
      </c>
      <c r="C367" s="468"/>
      <c r="D367" s="468"/>
      <c r="E367" s="468"/>
      <c r="F367" s="468"/>
      <c r="G367" s="468"/>
      <c r="H367" s="468"/>
      <c r="I367" s="468"/>
      <c r="J367" s="468"/>
    </row>
    <row r="368" spans="2:10">
      <c r="B368" s="131" t="s">
        <v>294</v>
      </c>
      <c r="C368" s="1006">
        <v>0</v>
      </c>
      <c r="D368" s="1006">
        <v>0</v>
      </c>
      <c r="E368" s="1006">
        <v>0</v>
      </c>
      <c r="F368" s="1006">
        <v>0</v>
      </c>
      <c r="G368" s="1006">
        <v>0</v>
      </c>
      <c r="H368" s="1006">
        <v>0</v>
      </c>
      <c r="I368" s="1006">
        <v>0</v>
      </c>
      <c r="J368" s="1006">
        <v>0</v>
      </c>
    </row>
    <row r="369" spans="2:10">
      <c r="B369" s="131" t="s">
        <v>293</v>
      </c>
      <c r="C369" s="1006">
        <v>0</v>
      </c>
      <c r="D369" s="1006">
        <v>0</v>
      </c>
      <c r="E369" s="1006">
        <v>0</v>
      </c>
      <c r="F369" s="1006">
        <v>0</v>
      </c>
      <c r="G369" s="1006">
        <v>0</v>
      </c>
      <c r="H369" s="1006">
        <v>0</v>
      </c>
      <c r="I369" s="1006">
        <v>0</v>
      </c>
      <c r="J369" s="1006">
        <v>0</v>
      </c>
    </row>
    <row r="370" spans="2:10">
      <c r="B370" s="131" t="s">
        <v>292</v>
      </c>
      <c r="C370" s="1006"/>
      <c r="D370" s="1006"/>
      <c r="E370" s="1006"/>
      <c r="F370" s="1006"/>
      <c r="G370" s="1006"/>
      <c r="H370" s="1006"/>
      <c r="I370" s="1006"/>
      <c r="J370" s="1006"/>
    </row>
    <row r="371" spans="2:10">
      <c r="B371" s="131" t="s">
        <v>291</v>
      </c>
      <c r="C371" s="468">
        <v>10.872999999999999</v>
      </c>
      <c r="D371" s="468">
        <v>11.478046000000001</v>
      </c>
      <c r="E371" s="468">
        <v>12.353287</v>
      </c>
      <c r="F371" s="468">
        <v>12.759302</v>
      </c>
      <c r="G371" s="468">
        <v>13.897608999999999</v>
      </c>
      <c r="H371" s="468">
        <v>15.278928000000001</v>
      </c>
      <c r="I371" s="468">
        <v>13.743677</v>
      </c>
      <c r="J371" s="468">
        <v>15.67144</v>
      </c>
    </row>
    <row r="372" spans="2:10">
      <c r="B372" s="131" t="s">
        <v>290</v>
      </c>
      <c r="C372" s="1006">
        <v>0</v>
      </c>
      <c r="D372" s="1006">
        <v>0</v>
      </c>
      <c r="E372" s="1006">
        <v>0</v>
      </c>
      <c r="F372" s="1006">
        <v>0</v>
      </c>
      <c r="G372" s="1006">
        <v>0</v>
      </c>
      <c r="H372" s="1006">
        <v>0</v>
      </c>
      <c r="I372" s="1006">
        <v>0</v>
      </c>
      <c r="J372" s="1006">
        <v>0</v>
      </c>
    </row>
    <row r="373" spans="2:10">
      <c r="B373" s="131" t="s">
        <v>289</v>
      </c>
      <c r="C373" s="952">
        <v>0</v>
      </c>
      <c r="D373" s="952">
        <v>0</v>
      </c>
      <c r="E373" s="952">
        <v>0</v>
      </c>
      <c r="F373" s="952">
        <v>0</v>
      </c>
      <c r="G373" s="952">
        <v>0</v>
      </c>
      <c r="H373" s="952">
        <v>0</v>
      </c>
      <c r="I373" s="952">
        <v>0</v>
      </c>
      <c r="J373" s="952">
        <v>0</v>
      </c>
    </row>
    <row r="374" spans="2:10">
      <c r="B374" s="131" t="s">
        <v>288</v>
      </c>
      <c r="C374" s="952">
        <v>0</v>
      </c>
      <c r="D374" s="952">
        <v>0</v>
      </c>
      <c r="E374" s="952">
        <v>0</v>
      </c>
      <c r="F374" s="952">
        <v>0</v>
      </c>
      <c r="G374" s="952">
        <v>0</v>
      </c>
      <c r="H374" s="952">
        <v>0</v>
      </c>
      <c r="I374" s="952">
        <v>0</v>
      </c>
      <c r="J374" s="952">
        <v>0</v>
      </c>
    </row>
    <row r="375" spans="2:10">
      <c r="B375" s="132" t="s">
        <v>295</v>
      </c>
      <c r="C375" s="952">
        <v>0</v>
      </c>
      <c r="D375" s="952">
        <v>0</v>
      </c>
      <c r="E375" s="952">
        <v>0</v>
      </c>
      <c r="F375" s="952">
        <v>0</v>
      </c>
      <c r="G375" s="952">
        <v>0</v>
      </c>
      <c r="H375" s="952">
        <v>0</v>
      </c>
      <c r="I375" s="952">
        <v>0</v>
      </c>
      <c r="J375" s="952">
        <v>0</v>
      </c>
    </row>
    <row r="376" spans="2:10">
      <c r="B376" s="131" t="s">
        <v>294</v>
      </c>
      <c r="C376" s="952">
        <v>0</v>
      </c>
      <c r="D376" s="952">
        <v>0</v>
      </c>
      <c r="E376" s="952">
        <v>0</v>
      </c>
      <c r="F376" s="952">
        <v>0</v>
      </c>
      <c r="G376" s="952">
        <v>0</v>
      </c>
      <c r="H376" s="952">
        <v>0</v>
      </c>
      <c r="I376" s="952">
        <v>0</v>
      </c>
      <c r="J376" s="952">
        <v>0</v>
      </c>
    </row>
    <row r="377" spans="2:10">
      <c r="B377" s="131" t="s">
        <v>293</v>
      </c>
      <c r="C377" s="952">
        <v>0</v>
      </c>
      <c r="D377" s="952">
        <v>0</v>
      </c>
      <c r="E377" s="952">
        <v>0</v>
      </c>
      <c r="F377" s="952">
        <v>0</v>
      </c>
      <c r="G377" s="952">
        <v>0</v>
      </c>
      <c r="H377" s="952">
        <v>0</v>
      </c>
      <c r="I377" s="952">
        <v>0</v>
      </c>
      <c r="J377" s="952">
        <v>0</v>
      </c>
    </row>
    <row r="378" spans="2:10">
      <c r="B378" s="131" t="s">
        <v>292</v>
      </c>
      <c r="C378" s="952">
        <v>0</v>
      </c>
      <c r="D378" s="952">
        <v>0</v>
      </c>
      <c r="E378" s="952">
        <v>0</v>
      </c>
      <c r="F378" s="952">
        <v>0</v>
      </c>
      <c r="G378" s="952">
        <v>0</v>
      </c>
      <c r="H378" s="952">
        <v>0</v>
      </c>
      <c r="I378" s="952">
        <v>0</v>
      </c>
      <c r="J378" s="952">
        <v>0</v>
      </c>
    </row>
    <row r="379" spans="2:10">
      <c r="B379" s="131" t="s">
        <v>291</v>
      </c>
      <c r="C379" s="952">
        <v>0</v>
      </c>
      <c r="D379" s="952">
        <v>0</v>
      </c>
      <c r="E379" s="952">
        <v>0</v>
      </c>
      <c r="F379" s="952">
        <v>0</v>
      </c>
      <c r="G379" s="952">
        <v>0</v>
      </c>
      <c r="H379" s="952">
        <v>0</v>
      </c>
      <c r="I379" s="952">
        <v>0</v>
      </c>
      <c r="J379" s="952">
        <v>0</v>
      </c>
    </row>
    <row r="380" spans="2:10">
      <c r="B380" s="131" t="s">
        <v>290</v>
      </c>
      <c r="C380" s="952">
        <v>0</v>
      </c>
      <c r="D380" s="952">
        <v>0</v>
      </c>
      <c r="E380" s="952">
        <v>0</v>
      </c>
      <c r="F380" s="952">
        <v>0</v>
      </c>
      <c r="G380" s="952">
        <v>0</v>
      </c>
      <c r="H380" s="952">
        <v>0</v>
      </c>
      <c r="I380" s="952">
        <v>0</v>
      </c>
      <c r="J380" s="952">
        <v>0</v>
      </c>
    </row>
    <row r="381" spans="2:10">
      <c r="B381" s="131" t="s">
        <v>289</v>
      </c>
      <c r="C381" s="952">
        <v>0</v>
      </c>
      <c r="D381" s="952">
        <v>0</v>
      </c>
      <c r="E381" s="952">
        <v>0</v>
      </c>
      <c r="F381" s="952">
        <v>0</v>
      </c>
      <c r="G381" s="952">
        <v>0</v>
      </c>
      <c r="H381" s="952">
        <v>0</v>
      </c>
      <c r="I381" s="952">
        <v>0</v>
      </c>
      <c r="J381" s="952">
        <v>0</v>
      </c>
    </row>
    <row r="382" spans="2:10">
      <c r="B382" s="131" t="s">
        <v>288</v>
      </c>
      <c r="C382" s="952">
        <v>0</v>
      </c>
      <c r="D382" s="952">
        <v>0</v>
      </c>
      <c r="E382" s="952">
        <v>0</v>
      </c>
      <c r="F382" s="952">
        <v>0</v>
      </c>
      <c r="G382" s="952">
        <v>0</v>
      </c>
      <c r="H382" s="952">
        <v>0</v>
      </c>
      <c r="I382" s="952">
        <v>0</v>
      </c>
      <c r="J382" s="952">
        <v>0</v>
      </c>
    </row>
    <row r="383" spans="2:10" ht="15" thickBot="1">
      <c r="B383" s="65" t="s">
        <v>287</v>
      </c>
      <c r="C383" s="1007">
        <v>0.54080816127413667</v>
      </c>
      <c r="D383" s="1007">
        <v>0.5513952554737338</v>
      </c>
      <c r="E383" s="1007">
        <v>0.55458237904701502</v>
      </c>
      <c r="F383" s="1007">
        <v>0.56086796516168824</v>
      </c>
      <c r="G383" s="1007">
        <v>0.56548031678042299</v>
      </c>
      <c r="H383" s="1007">
        <v>0.57571484742015111</v>
      </c>
      <c r="I383" s="1007">
        <v>0.5384526691174466</v>
      </c>
      <c r="J383" s="1007">
        <f>J371/J346</f>
        <v>0.54748972302150778</v>
      </c>
    </row>
    <row r="384" spans="2:10" ht="15" thickTop="1">
      <c r="B384" s="2025" t="s">
        <v>1574</v>
      </c>
      <c r="C384" s="2025"/>
      <c r="D384" s="2025"/>
      <c r="E384" s="2025"/>
      <c r="F384" s="2025"/>
      <c r="G384" s="2025"/>
      <c r="H384" s="2025"/>
      <c r="I384" s="2025"/>
      <c r="J384" s="2025"/>
    </row>
    <row r="385" spans="2:10">
      <c r="B385" s="2017"/>
      <c r="C385" s="2017"/>
      <c r="D385" s="2017"/>
      <c r="E385" s="2017"/>
      <c r="F385" s="2017"/>
      <c r="G385" s="2017"/>
      <c r="H385" s="2017"/>
      <c r="I385" s="2017"/>
      <c r="J385" s="2017"/>
    </row>
    <row r="386" spans="2:10">
      <c r="B386" s="64"/>
      <c r="C386" s="449"/>
      <c r="D386" s="449"/>
      <c r="E386" s="449"/>
      <c r="F386" s="449"/>
      <c r="G386" s="449"/>
      <c r="H386" s="449"/>
      <c r="I386" s="449"/>
      <c r="J386" s="449"/>
    </row>
    <row r="387" spans="2:10">
      <c r="B387" s="2100" t="s">
        <v>313</v>
      </c>
      <c r="C387" s="2100"/>
      <c r="D387" s="2100"/>
      <c r="E387" s="2100"/>
      <c r="F387" s="2100"/>
      <c r="G387" s="2100"/>
      <c r="H387" s="2100"/>
      <c r="I387" s="2100"/>
      <c r="J387" s="2100"/>
    </row>
    <row r="388" spans="2:10">
      <c r="B388" s="12" t="s">
        <v>312</v>
      </c>
      <c r="C388" s="449"/>
      <c r="D388" s="449"/>
      <c r="E388" s="449"/>
      <c r="F388" s="449"/>
      <c r="G388" s="449"/>
      <c r="H388" s="449"/>
      <c r="I388" s="449"/>
      <c r="J388" s="449"/>
    </row>
    <row r="389" spans="2:10">
      <c r="B389" s="62" t="s">
        <v>311</v>
      </c>
      <c r="C389" s="449"/>
      <c r="D389" s="449"/>
      <c r="E389" s="449"/>
      <c r="F389" s="449"/>
      <c r="G389" s="449"/>
      <c r="H389" s="449"/>
      <c r="I389" s="449"/>
      <c r="J389" s="449"/>
    </row>
    <row r="390" spans="2:10">
      <c r="B390" s="64"/>
      <c r="C390" s="449"/>
      <c r="D390" s="449"/>
      <c r="E390" s="449"/>
      <c r="F390" s="449"/>
      <c r="G390" s="449"/>
      <c r="H390" s="449"/>
      <c r="I390" s="449"/>
      <c r="J390" s="449"/>
    </row>
    <row r="391" spans="2:10">
      <c r="B391" s="61"/>
      <c r="C391" s="303">
        <v>2014</v>
      </c>
      <c r="D391" s="303">
        <v>2015</v>
      </c>
      <c r="E391" s="303">
        <v>2016</v>
      </c>
      <c r="F391" s="303">
        <v>2017</v>
      </c>
      <c r="G391" s="303">
        <v>2018</v>
      </c>
      <c r="H391" s="303">
        <v>2019</v>
      </c>
      <c r="I391" s="303">
        <v>2020</v>
      </c>
      <c r="J391" s="303">
        <v>2021</v>
      </c>
    </row>
    <row r="392" spans="2:10">
      <c r="B392" s="114" t="s">
        <v>310</v>
      </c>
      <c r="C392" s="217"/>
      <c r="D392" s="217"/>
      <c r="E392" s="217"/>
      <c r="F392" s="217"/>
      <c r="G392" s="217"/>
      <c r="H392" s="217"/>
      <c r="I392" s="217"/>
      <c r="J392" s="217"/>
    </row>
    <row r="393" spans="2:10">
      <c r="B393" s="114"/>
      <c r="C393" s="217"/>
      <c r="D393" s="217"/>
      <c r="E393" s="217"/>
      <c r="F393" s="217"/>
      <c r="G393" s="217"/>
      <c r="H393" s="217"/>
      <c r="I393" s="217"/>
      <c r="J393" s="217"/>
    </row>
    <row r="394" spans="2:10">
      <c r="B394" s="59" t="s">
        <v>1251</v>
      </c>
      <c r="C394" s="217"/>
      <c r="D394" s="217"/>
      <c r="E394" s="217"/>
      <c r="F394" s="217"/>
      <c r="G394" s="217"/>
      <c r="H394" s="217"/>
      <c r="I394" s="217"/>
      <c r="J394" s="217"/>
    </row>
    <row r="395" spans="2:10">
      <c r="B395" s="71" t="s">
        <v>297</v>
      </c>
      <c r="C395" s="102"/>
      <c r="D395" s="102"/>
      <c r="E395" s="102"/>
      <c r="F395" s="102"/>
      <c r="G395" s="102"/>
      <c r="H395" s="102"/>
      <c r="I395" s="102"/>
      <c r="J395" s="102"/>
    </row>
    <row r="396" spans="2:10">
      <c r="B396" s="133" t="s">
        <v>296</v>
      </c>
      <c r="C396" s="228">
        <v>127355.91159515073</v>
      </c>
      <c r="D396" s="228">
        <v>131145.92217782667</v>
      </c>
      <c r="E396" s="228">
        <v>146952.30907696797</v>
      </c>
      <c r="F396" s="228">
        <v>233982.14281847898</v>
      </c>
      <c r="G396" s="228">
        <v>328941.12549448933</v>
      </c>
      <c r="H396" s="102">
        <v>175929.69480586564</v>
      </c>
      <c r="I396" s="102">
        <v>118134.08470297401</v>
      </c>
      <c r="J396" s="102">
        <v>138216.1816145177</v>
      </c>
    </row>
    <row r="397" spans="2:10">
      <c r="B397" s="132" t="s">
        <v>295</v>
      </c>
      <c r="C397" s="129">
        <v>0</v>
      </c>
      <c r="D397" s="129">
        <v>0</v>
      </c>
      <c r="E397" s="129">
        <v>0</v>
      </c>
      <c r="F397" s="129">
        <v>0</v>
      </c>
      <c r="G397" s="129">
        <v>0</v>
      </c>
      <c r="H397" s="129">
        <v>0</v>
      </c>
      <c r="I397" s="129">
        <v>0</v>
      </c>
      <c r="J397" s="129">
        <v>0</v>
      </c>
    </row>
    <row r="398" spans="2:10">
      <c r="B398" s="132" t="s">
        <v>303</v>
      </c>
      <c r="C398" s="129">
        <v>0</v>
      </c>
      <c r="D398" s="129">
        <v>0</v>
      </c>
      <c r="E398" s="129">
        <v>0</v>
      </c>
      <c r="F398" s="129">
        <v>0</v>
      </c>
      <c r="G398" s="129">
        <v>0</v>
      </c>
      <c r="H398" s="129">
        <v>0</v>
      </c>
      <c r="I398" s="129">
        <v>0</v>
      </c>
      <c r="J398" s="129">
        <v>0</v>
      </c>
    </row>
    <row r="399" spans="2:10">
      <c r="B399" s="65" t="s">
        <v>301</v>
      </c>
      <c r="C399" s="129">
        <v>0</v>
      </c>
      <c r="D399" s="129">
        <v>0</v>
      </c>
      <c r="E399" s="129">
        <v>0</v>
      </c>
      <c r="F399" s="129">
        <v>0</v>
      </c>
      <c r="G399" s="129">
        <v>0</v>
      </c>
      <c r="H399" s="129">
        <v>0</v>
      </c>
      <c r="I399" s="129">
        <v>0</v>
      </c>
      <c r="J399" s="129">
        <v>0</v>
      </c>
    </row>
    <row r="400" spans="2:10">
      <c r="B400" s="302"/>
      <c r="C400" s="129"/>
      <c r="D400" s="129"/>
      <c r="E400" s="129"/>
      <c r="F400" s="129"/>
      <c r="G400" s="129"/>
      <c r="H400" s="129"/>
      <c r="I400" s="129"/>
      <c r="J400" s="129"/>
    </row>
    <row r="401" spans="2:10">
      <c r="B401" s="114" t="s">
        <v>302</v>
      </c>
      <c r="C401" s="129"/>
      <c r="D401" s="129"/>
      <c r="E401" s="129"/>
      <c r="F401" s="129"/>
      <c r="G401" s="129"/>
      <c r="H401" s="129"/>
      <c r="I401" s="129"/>
      <c r="J401" s="129"/>
    </row>
    <row r="402" spans="2:10">
      <c r="B402" s="114"/>
      <c r="C402" s="129"/>
      <c r="D402" s="129"/>
      <c r="E402" s="129"/>
      <c r="F402" s="129"/>
      <c r="G402" s="129"/>
      <c r="H402" s="129"/>
      <c r="I402" s="129"/>
      <c r="J402" s="129"/>
    </row>
    <row r="403" spans="2:10">
      <c r="B403" s="532" t="s">
        <v>1589</v>
      </c>
      <c r="C403" s="129"/>
      <c r="D403" s="129"/>
      <c r="E403" s="129"/>
      <c r="F403" s="129"/>
      <c r="G403" s="129"/>
      <c r="H403" s="129"/>
      <c r="I403" s="129"/>
      <c r="J403" s="129"/>
    </row>
    <row r="404" spans="2:10">
      <c r="B404" s="71" t="s">
        <v>297</v>
      </c>
      <c r="C404" s="129">
        <v>10416.911121978323</v>
      </c>
      <c r="D404" s="129">
        <v>10254.920681731346</v>
      </c>
      <c r="E404" s="129">
        <v>9334.8393742884637</v>
      </c>
      <c r="F404" s="129">
        <v>9183.0970711564933</v>
      </c>
      <c r="G404" s="129">
        <v>9620.3570431935022</v>
      </c>
      <c r="H404" s="129">
        <v>9744.6278068881875</v>
      </c>
      <c r="I404" s="129">
        <v>8344.5932030305776</v>
      </c>
      <c r="J404" s="129">
        <v>8317.854933786346</v>
      </c>
    </row>
    <row r="405" spans="2:10">
      <c r="B405" s="133" t="s">
        <v>296</v>
      </c>
      <c r="C405" s="129">
        <v>1343.9740650791421</v>
      </c>
      <c r="D405" s="129">
        <v>1555.4261833026617</v>
      </c>
      <c r="E405" s="129">
        <v>1749.4952005425862</v>
      </c>
      <c r="F405" s="129">
        <v>1997.9369645027537</v>
      </c>
      <c r="G405" s="129">
        <v>2360.9560242743673</v>
      </c>
      <c r="H405" s="129">
        <v>2721.6834231130956</v>
      </c>
      <c r="I405" s="129">
        <v>3086.6937421277912</v>
      </c>
      <c r="J405" s="129">
        <v>3594.3398075061359</v>
      </c>
    </row>
    <row r="406" spans="2:10">
      <c r="B406" s="131" t="s">
        <v>294</v>
      </c>
      <c r="C406" s="1008">
        <v>1256.772520498741</v>
      </c>
      <c r="D406" s="1008">
        <v>1479.6636499545739</v>
      </c>
      <c r="E406" s="1008">
        <v>1676.2191169108007</v>
      </c>
      <c r="F406" s="1008">
        <v>1920.6425044592656</v>
      </c>
      <c r="G406" s="1008">
        <v>2283.6185701643958</v>
      </c>
      <c r="H406" s="1008">
        <v>2662.4132134038878</v>
      </c>
      <c r="I406" s="1008">
        <v>3028.5025436707365</v>
      </c>
      <c r="J406" s="1008">
        <v>3535.5673043069801</v>
      </c>
    </row>
    <row r="407" spans="2:10">
      <c r="B407" s="131" t="s">
        <v>293</v>
      </c>
      <c r="C407" s="1008">
        <v>87.201544580401134</v>
      </c>
      <c r="D407" s="1008">
        <v>75.762533348087857</v>
      </c>
      <c r="E407" s="1008">
        <v>73.276083631785639</v>
      </c>
      <c r="F407" s="1008">
        <v>77.294460043487845</v>
      </c>
      <c r="G407" s="1008">
        <v>77.337454109971958</v>
      </c>
      <c r="H407" s="1008">
        <v>59.270209709208046</v>
      </c>
      <c r="I407" s="1008">
        <v>58.191198457055158</v>
      </c>
      <c r="J407" s="1008">
        <v>58.772503199155587</v>
      </c>
    </row>
    <row r="408" spans="2:10">
      <c r="B408" s="131" t="s">
        <v>292</v>
      </c>
      <c r="C408" s="1009">
        <v>0</v>
      </c>
      <c r="D408" s="1009">
        <v>0</v>
      </c>
      <c r="E408" s="1009">
        <v>0</v>
      </c>
      <c r="F408" s="1009">
        <v>0</v>
      </c>
      <c r="G408" s="1009">
        <v>0</v>
      </c>
      <c r="H408" s="1009">
        <v>0</v>
      </c>
      <c r="I408" s="1009">
        <v>0</v>
      </c>
      <c r="J408" s="1009">
        <v>0</v>
      </c>
    </row>
    <row r="409" spans="2:10">
      <c r="B409" s="131" t="s">
        <v>291</v>
      </c>
      <c r="C409" s="1009">
        <v>0</v>
      </c>
      <c r="D409" s="1009">
        <v>0</v>
      </c>
      <c r="E409" s="1009">
        <v>0</v>
      </c>
      <c r="F409" s="1009">
        <v>0</v>
      </c>
      <c r="G409" s="1009">
        <v>0</v>
      </c>
      <c r="H409" s="1009">
        <v>0</v>
      </c>
      <c r="I409" s="1009">
        <v>0</v>
      </c>
      <c r="J409" s="1009">
        <v>0</v>
      </c>
    </row>
    <row r="410" spans="2:10">
      <c r="B410" s="131" t="s">
        <v>290</v>
      </c>
      <c r="C410" s="1009">
        <v>0</v>
      </c>
      <c r="D410" s="1009">
        <v>0</v>
      </c>
      <c r="E410" s="1009">
        <v>0</v>
      </c>
      <c r="F410" s="1009">
        <v>0</v>
      </c>
      <c r="G410" s="1009">
        <v>0</v>
      </c>
      <c r="H410" s="1009">
        <v>0</v>
      </c>
      <c r="I410" s="1009">
        <v>0</v>
      </c>
      <c r="J410" s="1009">
        <v>0</v>
      </c>
    </row>
    <row r="411" spans="2:10">
      <c r="B411" s="131" t="s">
        <v>289</v>
      </c>
      <c r="C411" s="1008">
        <v>8496.486869520244</v>
      </c>
      <c r="D411" s="1008">
        <v>8093.2169711531787</v>
      </c>
      <c r="E411" s="1008">
        <v>6922.9241968538699</v>
      </c>
      <c r="F411" s="1008">
        <v>6416.27764387762</v>
      </c>
      <c r="G411" s="1008">
        <v>6392.7979114041927</v>
      </c>
      <c r="H411" s="1008">
        <v>6072.3870006481911</v>
      </c>
      <c r="I411" s="1008">
        <v>4355.3189337320264</v>
      </c>
      <c r="J411" s="1008">
        <v>3642.9617636043586</v>
      </c>
    </row>
    <row r="412" spans="2:10">
      <c r="B412" s="131" t="s">
        <v>288</v>
      </c>
      <c r="C412" s="1009">
        <v>0</v>
      </c>
      <c r="D412" s="1009">
        <v>0</v>
      </c>
      <c r="E412" s="1009">
        <v>0</v>
      </c>
      <c r="F412" s="1009">
        <v>0</v>
      </c>
      <c r="G412" s="1009">
        <v>0</v>
      </c>
      <c r="H412" s="1009">
        <v>0</v>
      </c>
      <c r="I412" s="1009">
        <v>0</v>
      </c>
      <c r="J412" s="1009">
        <v>0</v>
      </c>
    </row>
    <row r="413" spans="2:10">
      <c r="B413" s="132" t="s">
        <v>295</v>
      </c>
      <c r="C413" s="1009">
        <v>0</v>
      </c>
      <c r="D413" s="1009">
        <v>0</v>
      </c>
      <c r="E413" s="1009">
        <v>0</v>
      </c>
      <c r="F413" s="1009">
        <v>0</v>
      </c>
      <c r="G413" s="1009">
        <v>0</v>
      </c>
      <c r="H413" s="1009">
        <v>0</v>
      </c>
      <c r="I413" s="1009">
        <v>0</v>
      </c>
      <c r="J413" s="1009">
        <v>0</v>
      </c>
    </row>
    <row r="414" spans="2:10">
      <c r="B414" s="131" t="s">
        <v>294</v>
      </c>
      <c r="C414" s="1009">
        <v>0</v>
      </c>
      <c r="D414" s="1009">
        <v>0</v>
      </c>
      <c r="E414" s="1009">
        <v>0</v>
      </c>
      <c r="F414" s="1009">
        <v>0</v>
      </c>
      <c r="G414" s="1009">
        <v>0</v>
      </c>
      <c r="H414" s="1009">
        <v>0</v>
      </c>
      <c r="I414" s="1009">
        <v>0</v>
      </c>
      <c r="J414" s="1009">
        <v>0</v>
      </c>
    </row>
    <row r="415" spans="2:10">
      <c r="B415" s="131" t="s">
        <v>293</v>
      </c>
      <c r="C415" s="1009">
        <v>0</v>
      </c>
      <c r="D415" s="1009">
        <v>0</v>
      </c>
      <c r="E415" s="1009">
        <v>0</v>
      </c>
      <c r="F415" s="1009">
        <v>0</v>
      </c>
      <c r="G415" s="1009">
        <v>0</v>
      </c>
      <c r="H415" s="1009">
        <v>0</v>
      </c>
      <c r="I415" s="1009">
        <v>0</v>
      </c>
      <c r="J415" s="1009">
        <v>0</v>
      </c>
    </row>
    <row r="416" spans="2:10">
      <c r="B416" s="131" t="s">
        <v>292</v>
      </c>
      <c r="C416" s="1009">
        <v>0</v>
      </c>
      <c r="D416" s="1009">
        <v>0</v>
      </c>
      <c r="E416" s="1009">
        <v>0</v>
      </c>
      <c r="F416" s="1009">
        <v>0</v>
      </c>
      <c r="G416" s="1009">
        <v>0</v>
      </c>
      <c r="H416" s="1009">
        <v>0</v>
      </c>
      <c r="I416" s="1009">
        <v>0</v>
      </c>
      <c r="J416" s="1009">
        <v>0</v>
      </c>
    </row>
    <row r="417" spans="2:10">
      <c r="B417" s="131" t="s">
        <v>291</v>
      </c>
      <c r="C417" s="1009">
        <v>0</v>
      </c>
      <c r="D417" s="1009">
        <v>0</v>
      </c>
      <c r="E417" s="1009">
        <v>0</v>
      </c>
      <c r="F417" s="1009">
        <v>0</v>
      </c>
      <c r="G417" s="1009">
        <v>0</v>
      </c>
      <c r="H417" s="1009">
        <v>0</v>
      </c>
      <c r="I417" s="1009">
        <v>0</v>
      </c>
      <c r="J417" s="1009">
        <v>0</v>
      </c>
    </row>
    <row r="418" spans="2:10">
      <c r="B418" s="131" t="s">
        <v>290</v>
      </c>
      <c r="C418" s="1009">
        <v>0</v>
      </c>
      <c r="D418" s="1009">
        <v>0</v>
      </c>
      <c r="E418" s="1009">
        <v>0</v>
      </c>
      <c r="F418" s="1009">
        <v>0</v>
      </c>
      <c r="G418" s="1009">
        <v>0</v>
      </c>
      <c r="H418" s="1009">
        <v>0</v>
      </c>
      <c r="I418" s="1009">
        <v>0</v>
      </c>
      <c r="J418" s="1009">
        <v>0</v>
      </c>
    </row>
    <row r="419" spans="2:10">
      <c r="B419" s="131" t="s">
        <v>289</v>
      </c>
      <c r="C419" s="1009">
        <v>0</v>
      </c>
      <c r="D419" s="1009">
        <v>0</v>
      </c>
      <c r="E419" s="1009">
        <v>0</v>
      </c>
      <c r="F419" s="1009">
        <v>0</v>
      </c>
      <c r="G419" s="1009">
        <v>0</v>
      </c>
      <c r="H419" s="1009">
        <v>0</v>
      </c>
      <c r="I419" s="1009">
        <v>0</v>
      </c>
      <c r="J419" s="1009">
        <v>0</v>
      </c>
    </row>
    <row r="420" spans="2:10">
      <c r="B420" s="131" t="s">
        <v>288</v>
      </c>
      <c r="C420" s="1009">
        <v>0</v>
      </c>
      <c r="D420" s="1009">
        <v>0</v>
      </c>
      <c r="E420" s="1009">
        <v>0</v>
      </c>
      <c r="F420" s="1009">
        <v>0</v>
      </c>
      <c r="G420" s="1009">
        <v>0</v>
      </c>
      <c r="H420" s="1009">
        <v>0</v>
      </c>
      <c r="I420" s="1009">
        <v>0</v>
      </c>
      <c r="J420" s="1009">
        <v>0</v>
      </c>
    </row>
    <row r="421" spans="2:10">
      <c r="B421" s="65" t="s">
        <v>301</v>
      </c>
      <c r="C421" s="1007">
        <v>0.94463214905717763</v>
      </c>
      <c r="D421" s="1007">
        <v>0.94087935479056795</v>
      </c>
      <c r="E421" s="1007">
        <v>0.92903788160334599</v>
      </c>
      <c r="F421" s="1007">
        <v>0.91627198789054198</v>
      </c>
      <c r="G421" s="1007">
        <v>0.90991986018563908</v>
      </c>
      <c r="H421" s="1007">
        <v>0.9024531873392867</v>
      </c>
      <c r="I421" s="1007">
        <v>0.89183648558890061</v>
      </c>
      <c r="J421" s="1007">
        <f>(J406+J407+J411)/J404</f>
        <v>0.87009230489380796</v>
      </c>
    </row>
    <row r="422" spans="2:10">
      <c r="B422" s="133"/>
      <c r="C422" s="133"/>
      <c r="D422" s="133"/>
      <c r="E422" s="133"/>
      <c r="F422" s="133"/>
      <c r="G422" s="133"/>
      <c r="H422" s="133"/>
      <c r="I422" s="133"/>
      <c r="J422" s="133"/>
    </row>
    <row r="423" spans="2:10">
      <c r="B423" s="532" t="s">
        <v>1590</v>
      </c>
      <c r="C423" s="133"/>
      <c r="D423" s="133"/>
      <c r="E423" s="133"/>
      <c r="F423" s="133"/>
      <c r="G423" s="133"/>
      <c r="H423" s="133"/>
      <c r="I423" s="133"/>
      <c r="J423" s="133"/>
    </row>
    <row r="424" spans="2:10">
      <c r="B424" s="71" t="s">
        <v>297</v>
      </c>
      <c r="C424" s="1010"/>
      <c r="D424" s="1010"/>
      <c r="E424" s="1010"/>
      <c r="F424" s="1010"/>
      <c r="G424" s="1010"/>
      <c r="H424" s="1010"/>
      <c r="I424" s="1010"/>
      <c r="J424" s="1010"/>
    </row>
    <row r="425" spans="2:10">
      <c r="B425" s="133" t="s">
        <v>296</v>
      </c>
      <c r="C425" s="1010"/>
      <c r="D425" s="1010"/>
      <c r="E425" s="1010"/>
      <c r="F425" s="1010"/>
      <c r="G425" s="1010"/>
      <c r="H425" s="1010"/>
      <c r="I425" s="1010"/>
      <c r="J425" s="1010"/>
    </row>
    <row r="426" spans="2:10">
      <c r="B426" s="131" t="s">
        <v>294</v>
      </c>
      <c r="C426" s="200">
        <v>0</v>
      </c>
      <c r="D426" s="200">
        <v>0</v>
      </c>
      <c r="E426" s="200">
        <v>0</v>
      </c>
      <c r="F426" s="200">
        <v>0</v>
      </c>
      <c r="G426" s="200">
        <v>0</v>
      </c>
      <c r="H426" s="200">
        <v>0</v>
      </c>
      <c r="I426" s="200">
        <v>0</v>
      </c>
      <c r="J426" s="200">
        <v>0</v>
      </c>
    </row>
    <row r="427" spans="2:10">
      <c r="B427" s="131" t="s">
        <v>293</v>
      </c>
      <c r="C427" s="200">
        <v>0</v>
      </c>
      <c r="D427" s="200">
        <v>0</v>
      </c>
      <c r="E427" s="200">
        <v>0</v>
      </c>
      <c r="F427" s="200">
        <v>0</v>
      </c>
      <c r="G427" s="200">
        <v>0</v>
      </c>
      <c r="H427" s="200">
        <v>0</v>
      </c>
      <c r="I427" s="200">
        <v>0</v>
      </c>
      <c r="J427" s="200">
        <v>0</v>
      </c>
    </row>
    <row r="428" spans="2:10">
      <c r="B428" s="131" t="s">
        <v>292</v>
      </c>
      <c r="C428" s="200"/>
      <c r="D428" s="200"/>
      <c r="E428" s="200"/>
      <c r="F428" s="200"/>
      <c r="G428" s="200"/>
      <c r="H428" s="200"/>
      <c r="I428" s="200"/>
      <c r="J428" s="200"/>
    </row>
    <row r="429" spans="2:10">
      <c r="B429" s="131" t="s">
        <v>291</v>
      </c>
      <c r="C429" s="1010">
        <v>576.45018737893622</v>
      </c>
      <c r="D429" s="1010">
        <v>606.27752727550546</v>
      </c>
      <c r="E429" s="1010">
        <v>662.41997689200582</v>
      </c>
      <c r="F429" s="1010">
        <v>768.88246277611904</v>
      </c>
      <c r="G429" s="1010">
        <v>866.6031075149433</v>
      </c>
      <c r="H429" s="1010">
        <v>950.55738312690005</v>
      </c>
      <c r="I429" s="1010">
        <v>902.58052717076066</v>
      </c>
      <c r="J429" s="1010">
        <v>1080.553362675852</v>
      </c>
    </row>
    <row r="430" spans="2:10">
      <c r="B430" s="131" t="s">
        <v>290</v>
      </c>
      <c r="C430" s="260">
        <v>0</v>
      </c>
      <c r="D430" s="260">
        <v>0</v>
      </c>
      <c r="E430" s="260">
        <v>0</v>
      </c>
      <c r="F430" s="260">
        <v>0</v>
      </c>
      <c r="G430" s="260">
        <v>0</v>
      </c>
      <c r="H430" s="260">
        <v>0</v>
      </c>
      <c r="I430" s="260">
        <v>0</v>
      </c>
      <c r="J430" s="260">
        <v>0</v>
      </c>
    </row>
    <row r="431" spans="2:10">
      <c r="B431" s="131" t="s">
        <v>289</v>
      </c>
      <c r="C431" s="260">
        <v>0</v>
      </c>
      <c r="D431" s="260">
        <v>0</v>
      </c>
      <c r="E431" s="260">
        <v>0</v>
      </c>
      <c r="F431" s="260">
        <v>0</v>
      </c>
      <c r="G431" s="260">
        <v>0</v>
      </c>
      <c r="H431" s="260">
        <v>0</v>
      </c>
      <c r="I431" s="260">
        <v>0</v>
      </c>
      <c r="J431" s="260">
        <v>0</v>
      </c>
    </row>
    <row r="432" spans="2:10">
      <c r="B432" s="131" t="s">
        <v>288</v>
      </c>
      <c r="C432" s="260">
        <v>0</v>
      </c>
      <c r="D432" s="260">
        <v>0</v>
      </c>
      <c r="E432" s="260">
        <v>0</v>
      </c>
      <c r="F432" s="260">
        <v>0</v>
      </c>
      <c r="G432" s="260">
        <v>0</v>
      </c>
      <c r="H432" s="260">
        <v>0</v>
      </c>
      <c r="I432" s="260">
        <v>0</v>
      </c>
      <c r="J432" s="260">
        <v>0</v>
      </c>
    </row>
    <row r="433" spans="2:10">
      <c r="B433" s="132" t="s">
        <v>295</v>
      </c>
      <c r="C433" s="260">
        <v>0</v>
      </c>
      <c r="D433" s="260">
        <v>0</v>
      </c>
      <c r="E433" s="260">
        <v>0</v>
      </c>
      <c r="F433" s="260">
        <v>0</v>
      </c>
      <c r="G433" s="260">
        <v>0</v>
      </c>
      <c r="H433" s="260">
        <v>0</v>
      </c>
      <c r="I433" s="260">
        <v>0</v>
      </c>
      <c r="J433" s="260">
        <v>0</v>
      </c>
    </row>
    <row r="434" spans="2:10">
      <c r="B434" s="131" t="s">
        <v>294</v>
      </c>
      <c r="C434" s="260">
        <v>0</v>
      </c>
      <c r="D434" s="260">
        <v>0</v>
      </c>
      <c r="E434" s="260">
        <v>0</v>
      </c>
      <c r="F434" s="260">
        <v>0</v>
      </c>
      <c r="G434" s="260">
        <v>0</v>
      </c>
      <c r="H434" s="260">
        <v>0</v>
      </c>
      <c r="I434" s="260">
        <v>0</v>
      </c>
      <c r="J434" s="260">
        <v>0</v>
      </c>
    </row>
    <row r="435" spans="2:10">
      <c r="B435" s="131" t="s">
        <v>293</v>
      </c>
      <c r="C435" s="260">
        <v>0</v>
      </c>
      <c r="D435" s="260">
        <v>0</v>
      </c>
      <c r="E435" s="260">
        <v>0</v>
      </c>
      <c r="F435" s="260">
        <v>0</v>
      </c>
      <c r="G435" s="260">
        <v>0</v>
      </c>
      <c r="H435" s="260">
        <v>0</v>
      </c>
      <c r="I435" s="260">
        <v>0</v>
      </c>
      <c r="J435" s="260">
        <v>0</v>
      </c>
    </row>
    <row r="436" spans="2:10">
      <c r="B436" s="131" t="s">
        <v>292</v>
      </c>
      <c r="C436" s="260">
        <v>0</v>
      </c>
      <c r="D436" s="260">
        <v>0</v>
      </c>
      <c r="E436" s="260">
        <v>0</v>
      </c>
      <c r="F436" s="260">
        <v>0</v>
      </c>
      <c r="G436" s="260">
        <v>0</v>
      </c>
      <c r="H436" s="260">
        <v>0</v>
      </c>
      <c r="I436" s="260">
        <v>0</v>
      </c>
      <c r="J436" s="260">
        <v>0</v>
      </c>
    </row>
    <row r="437" spans="2:10">
      <c r="B437" s="131" t="s">
        <v>291</v>
      </c>
      <c r="C437" s="260">
        <v>0</v>
      </c>
      <c r="D437" s="260">
        <v>0</v>
      </c>
      <c r="E437" s="260">
        <v>0</v>
      </c>
      <c r="F437" s="260">
        <v>0</v>
      </c>
      <c r="G437" s="260">
        <v>0</v>
      </c>
      <c r="H437" s="260">
        <v>0</v>
      </c>
      <c r="I437" s="260">
        <v>0</v>
      </c>
      <c r="J437" s="260">
        <v>0</v>
      </c>
    </row>
    <row r="438" spans="2:10">
      <c r="B438" s="131" t="s">
        <v>290</v>
      </c>
      <c r="C438" s="260">
        <v>0</v>
      </c>
      <c r="D438" s="260">
        <v>0</v>
      </c>
      <c r="E438" s="260">
        <v>0</v>
      </c>
      <c r="F438" s="260">
        <v>0</v>
      </c>
      <c r="G438" s="260">
        <v>0</v>
      </c>
      <c r="H438" s="260">
        <v>0</v>
      </c>
      <c r="I438" s="260">
        <v>0</v>
      </c>
      <c r="J438" s="260">
        <v>0</v>
      </c>
    </row>
    <row r="439" spans="2:10">
      <c r="B439" s="131" t="s">
        <v>289</v>
      </c>
      <c r="C439" s="260">
        <v>0</v>
      </c>
      <c r="D439" s="260">
        <v>0</v>
      </c>
      <c r="E439" s="260">
        <v>0</v>
      </c>
      <c r="F439" s="260">
        <v>0</v>
      </c>
      <c r="G439" s="260">
        <v>0</v>
      </c>
      <c r="H439" s="260">
        <v>0</v>
      </c>
      <c r="I439" s="260">
        <v>0</v>
      </c>
      <c r="J439" s="260">
        <v>0</v>
      </c>
    </row>
    <row r="440" spans="2:10">
      <c r="B440" s="131" t="s">
        <v>288</v>
      </c>
      <c r="C440" s="260">
        <v>0</v>
      </c>
      <c r="D440" s="260">
        <v>0</v>
      </c>
      <c r="E440" s="260">
        <v>0</v>
      </c>
      <c r="F440" s="260">
        <v>0</v>
      </c>
      <c r="G440" s="260">
        <v>0</v>
      </c>
      <c r="H440" s="260">
        <v>0</v>
      </c>
      <c r="I440" s="260">
        <v>0</v>
      </c>
      <c r="J440" s="260">
        <v>0</v>
      </c>
    </row>
    <row r="441" spans="2:10" ht="15" thickBot="1">
      <c r="B441" s="65" t="s">
        <v>301</v>
      </c>
      <c r="C441" s="137">
        <v>5.5367850942822358E-2</v>
      </c>
      <c r="D441" s="137">
        <v>5.9120645209432013E-2</v>
      </c>
      <c r="E441" s="137">
        <v>7.0962118396654048E-2</v>
      </c>
      <c r="F441" s="137">
        <v>8.3728012109457989E-2</v>
      </c>
      <c r="G441" s="137">
        <v>9.0080139814360985E-2</v>
      </c>
      <c r="H441" s="137">
        <v>9.7546812660713356E-2</v>
      </c>
      <c r="I441" s="137">
        <v>0.10816351441109948</v>
      </c>
      <c r="J441" s="137">
        <f>J429/J404</f>
        <v>0.12990769510619207</v>
      </c>
    </row>
    <row r="442" spans="2:10" ht="15" thickTop="1">
      <c r="B442" s="2025" t="s">
        <v>1574</v>
      </c>
      <c r="C442" s="2025"/>
      <c r="D442" s="2025"/>
      <c r="E442" s="2025"/>
      <c r="F442" s="2025"/>
      <c r="G442" s="2025"/>
      <c r="H442" s="2025"/>
      <c r="I442" s="2025"/>
      <c r="J442" s="2025"/>
    </row>
    <row r="443" spans="2:10">
      <c r="B443" s="2017"/>
      <c r="C443" s="2017"/>
      <c r="D443" s="2017"/>
      <c r="E443" s="2017"/>
      <c r="F443" s="2017"/>
      <c r="G443" s="2017"/>
      <c r="H443" s="2017"/>
      <c r="I443" s="2017"/>
      <c r="J443" s="2017"/>
    </row>
    <row r="444" spans="2:10">
      <c r="B444" s="2100" t="s">
        <v>271</v>
      </c>
      <c r="C444" s="2100"/>
      <c r="D444" s="2100"/>
      <c r="E444" s="2100"/>
      <c r="F444" s="2100"/>
      <c r="G444" s="2100"/>
      <c r="H444" s="2100"/>
      <c r="I444" s="2100"/>
      <c r="J444" s="2100"/>
    </row>
    <row r="445" spans="2:10">
      <c r="B445" s="12" t="s">
        <v>270</v>
      </c>
      <c r="C445" s="449"/>
      <c r="D445" s="449"/>
      <c r="E445" s="449"/>
      <c r="F445" s="449"/>
      <c r="G445" s="449"/>
      <c r="H445" s="449"/>
      <c r="I445" s="449"/>
      <c r="J445" s="449"/>
    </row>
    <row r="446" spans="2:10">
      <c r="B446" s="77" t="s">
        <v>269</v>
      </c>
      <c r="C446" s="449"/>
      <c r="D446" s="449"/>
      <c r="E446" s="449"/>
      <c r="F446" s="449"/>
      <c r="G446" s="449"/>
      <c r="H446" s="449"/>
      <c r="I446" s="449"/>
      <c r="J446" s="449"/>
    </row>
    <row r="447" spans="2:10">
      <c r="B447" s="76"/>
      <c r="C447" s="449"/>
      <c r="D447" s="449"/>
      <c r="E447" s="449"/>
      <c r="F447" s="449"/>
      <c r="G447" s="449"/>
      <c r="H447" s="449"/>
      <c r="I447" s="449"/>
      <c r="J447" s="449"/>
    </row>
    <row r="448" spans="2:10">
      <c r="B448" s="61"/>
      <c r="C448" s="303">
        <v>2014</v>
      </c>
      <c r="D448" s="303">
        <v>2015</v>
      </c>
      <c r="E448" s="303">
        <v>2016</v>
      </c>
      <c r="F448" s="303">
        <v>2017</v>
      </c>
      <c r="G448" s="303">
        <v>2018</v>
      </c>
      <c r="H448" s="303">
        <v>2019</v>
      </c>
      <c r="I448" s="303">
        <v>2020</v>
      </c>
      <c r="J448" s="303">
        <v>2021</v>
      </c>
    </row>
    <row r="449" spans="2:10">
      <c r="B449" s="76" t="s">
        <v>1348</v>
      </c>
      <c r="C449" s="449"/>
      <c r="D449" s="449"/>
      <c r="E449" s="449"/>
      <c r="F449" s="449"/>
      <c r="G449" s="449"/>
      <c r="H449" s="449"/>
      <c r="I449" s="449"/>
      <c r="J449" s="449"/>
    </row>
    <row r="450" spans="2:10">
      <c r="B450" s="71" t="s">
        <v>265</v>
      </c>
      <c r="C450" s="449">
        <v>17</v>
      </c>
      <c r="D450" s="449">
        <v>22</v>
      </c>
      <c r="E450" s="449">
        <v>22</v>
      </c>
      <c r="F450" s="449">
        <v>19</v>
      </c>
      <c r="G450" s="449">
        <v>20</v>
      </c>
      <c r="H450" s="449">
        <v>19</v>
      </c>
      <c r="I450" s="449">
        <v>19</v>
      </c>
      <c r="J450" s="449">
        <v>21</v>
      </c>
    </row>
    <row r="451" spans="2:10">
      <c r="B451" s="52" t="s">
        <v>262</v>
      </c>
      <c r="C451" s="321">
        <v>0</v>
      </c>
      <c r="D451" s="321">
        <v>0</v>
      </c>
      <c r="E451" s="321">
        <v>0</v>
      </c>
      <c r="F451" s="321">
        <v>0</v>
      </c>
      <c r="G451" s="321">
        <v>0</v>
      </c>
      <c r="H451" s="321">
        <v>0</v>
      </c>
      <c r="I451" s="321">
        <v>0</v>
      </c>
      <c r="J451" s="321">
        <v>0</v>
      </c>
    </row>
    <row r="452" spans="2:10">
      <c r="B452" s="52" t="s">
        <v>261</v>
      </c>
      <c r="C452" s="321">
        <v>0</v>
      </c>
      <c r="D452" s="321">
        <v>0</v>
      </c>
      <c r="E452" s="321">
        <v>0</v>
      </c>
      <c r="F452" s="321">
        <v>0</v>
      </c>
      <c r="G452" s="321">
        <v>0</v>
      </c>
      <c r="H452" s="321">
        <v>0</v>
      </c>
      <c r="I452" s="321">
        <v>0</v>
      </c>
      <c r="J452" s="321">
        <v>0</v>
      </c>
    </row>
    <row r="453" spans="2:10">
      <c r="B453" s="52" t="s">
        <v>260</v>
      </c>
      <c r="C453" s="321">
        <v>0</v>
      </c>
      <c r="D453" s="321">
        <v>0</v>
      </c>
      <c r="E453" s="321">
        <v>0</v>
      </c>
      <c r="F453" s="321">
        <v>1</v>
      </c>
      <c r="G453" s="321">
        <v>1</v>
      </c>
      <c r="H453" s="321">
        <v>2</v>
      </c>
      <c r="I453" s="321">
        <v>2</v>
      </c>
      <c r="J453" s="321">
        <v>2</v>
      </c>
    </row>
    <row r="454" spans="2:10">
      <c r="B454" s="52" t="s">
        <v>117</v>
      </c>
      <c r="C454" s="449">
        <v>17</v>
      </c>
      <c r="D454" s="449">
        <v>22</v>
      </c>
      <c r="E454" s="449">
        <v>22</v>
      </c>
      <c r="F454" s="449">
        <v>18</v>
      </c>
      <c r="G454" s="449">
        <v>19</v>
      </c>
      <c r="H454" s="449">
        <v>17</v>
      </c>
      <c r="I454" s="449">
        <v>17</v>
      </c>
      <c r="J454" s="449">
        <v>19</v>
      </c>
    </row>
    <row r="455" spans="2:10">
      <c r="B455" s="52"/>
      <c r="C455" s="449"/>
      <c r="D455" s="449"/>
      <c r="E455" s="449"/>
      <c r="F455" s="449"/>
      <c r="G455" s="449"/>
      <c r="H455" s="449"/>
      <c r="I455" s="449"/>
      <c r="J455" s="449"/>
    </row>
    <row r="456" spans="2:10">
      <c r="B456" s="71" t="s">
        <v>264</v>
      </c>
      <c r="C456" s="449">
        <v>17</v>
      </c>
      <c r="D456" s="449">
        <v>22</v>
      </c>
      <c r="E456" s="449">
        <v>22</v>
      </c>
      <c r="F456" s="449">
        <v>19</v>
      </c>
      <c r="G456" s="449">
        <v>20</v>
      </c>
      <c r="H456" s="449">
        <v>19</v>
      </c>
      <c r="I456" s="449">
        <v>19</v>
      </c>
      <c r="J456" s="449">
        <v>21</v>
      </c>
    </row>
    <row r="457" spans="2:10">
      <c r="B457" s="52" t="s">
        <v>262</v>
      </c>
      <c r="C457" s="321">
        <v>0</v>
      </c>
      <c r="D457" s="321">
        <v>0</v>
      </c>
      <c r="E457" s="321">
        <v>0</v>
      </c>
      <c r="F457" s="321">
        <v>0</v>
      </c>
      <c r="G457" s="321">
        <v>0</v>
      </c>
      <c r="H457" s="321">
        <v>0</v>
      </c>
      <c r="I457" s="321">
        <v>0</v>
      </c>
      <c r="J457" s="321">
        <v>0</v>
      </c>
    </row>
    <row r="458" spans="2:10">
      <c r="B458" s="52" t="s">
        <v>261</v>
      </c>
      <c r="C458" s="321">
        <v>0</v>
      </c>
      <c r="D458" s="321">
        <v>0</v>
      </c>
      <c r="E458" s="321">
        <v>0</v>
      </c>
      <c r="F458" s="321">
        <v>0</v>
      </c>
      <c r="G458" s="321">
        <v>0</v>
      </c>
      <c r="H458" s="321">
        <v>0</v>
      </c>
      <c r="I458" s="321">
        <v>0</v>
      </c>
      <c r="J458" s="321">
        <v>0</v>
      </c>
    </row>
    <row r="459" spans="2:10">
      <c r="B459" s="52" t="s">
        <v>260</v>
      </c>
      <c r="C459" s="321">
        <v>0</v>
      </c>
      <c r="D459" s="321">
        <v>0</v>
      </c>
      <c r="E459" s="321">
        <v>0</v>
      </c>
      <c r="F459" s="321">
        <v>1</v>
      </c>
      <c r="G459" s="321">
        <v>1</v>
      </c>
      <c r="H459" s="321">
        <v>2</v>
      </c>
      <c r="I459" s="321">
        <v>2</v>
      </c>
      <c r="J459" s="321">
        <v>2</v>
      </c>
    </row>
    <row r="460" spans="2:10">
      <c r="B460" s="52" t="s">
        <v>117</v>
      </c>
      <c r="C460" s="449">
        <v>17</v>
      </c>
      <c r="D460" s="449">
        <v>22</v>
      </c>
      <c r="E460" s="449">
        <v>22</v>
      </c>
      <c r="F460" s="449">
        <v>18</v>
      </c>
      <c r="G460" s="449">
        <v>19</v>
      </c>
      <c r="H460" s="449">
        <v>17</v>
      </c>
      <c r="I460" s="449">
        <v>17</v>
      </c>
      <c r="J460" s="449">
        <v>19</v>
      </c>
    </row>
    <row r="461" spans="2:10">
      <c r="B461" s="52"/>
      <c r="C461" s="449"/>
      <c r="D461" s="449"/>
      <c r="E461" s="449"/>
      <c r="F461" s="449"/>
      <c r="G461" s="449"/>
      <c r="H461" s="449"/>
      <c r="I461" s="449"/>
      <c r="J461" s="449"/>
    </row>
    <row r="462" spans="2:10">
      <c r="B462" s="71" t="s">
        <v>263</v>
      </c>
      <c r="C462" s="321">
        <v>0</v>
      </c>
      <c r="D462" s="321">
        <v>0</v>
      </c>
      <c r="E462" s="321">
        <v>0</v>
      </c>
      <c r="F462" s="321">
        <v>0</v>
      </c>
      <c r="G462" s="321">
        <v>0</v>
      </c>
      <c r="H462" s="321">
        <v>0</v>
      </c>
      <c r="I462" s="321">
        <v>0</v>
      </c>
      <c r="J462" s="321">
        <v>0</v>
      </c>
    </row>
    <row r="463" spans="2:10">
      <c r="B463" s="52" t="s">
        <v>262</v>
      </c>
      <c r="C463" s="321">
        <v>0</v>
      </c>
      <c r="D463" s="321">
        <v>0</v>
      </c>
      <c r="E463" s="321">
        <v>0</v>
      </c>
      <c r="F463" s="321">
        <v>0</v>
      </c>
      <c r="G463" s="321">
        <v>0</v>
      </c>
      <c r="H463" s="321">
        <v>0</v>
      </c>
      <c r="I463" s="321">
        <v>0</v>
      </c>
      <c r="J463" s="321">
        <v>0</v>
      </c>
    </row>
    <row r="464" spans="2:10">
      <c r="B464" s="52" t="s">
        <v>261</v>
      </c>
      <c r="C464" s="321">
        <v>0</v>
      </c>
      <c r="D464" s="321">
        <v>0</v>
      </c>
      <c r="E464" s="321">
        <v>0</v>
      </c>
      <c r="F464" s="321">
        <v>0</v>
      </c>
      <c r="G464" s="321">
        <v>0</v>
      </c>
      <c r="H464" s="321">
        <v>0</v>
      </c>
      <c r="I464" s="321">
        <v>0</v>
      </c>
      <c r="J464" s="321">
        <v>0</v>
      </c>
    </row>
    <row r="465" spans="2:10">
      <c r="B465" s="52" t="s">
        <v>260</v>
      </c>
      <c r="C465" s="321">
        <v>0</v>
      </c>
      <c r="D465" s="321">
        <v>0</v>
      </c>
      <c r="E465" s="321">
        <v>0</v>
      </c>
      <c r="F465" s="321">
        <v>0</v>
      </c>
      <c r="G465" s="321">
        <v>0</v>
      </c>
      <c r="H465" s="321">
        <v>0</v>
      </c>
      <c r="I465" s="321">
        <v>0</v>
      </c>
      <c r="J465" s="321">
        <v>0</v>
      </c>
    </row>
    <row r="466" spans="2:10">
      <c r="B466" s="52" t="s">
        <v>117</v>
      </c>
      <c r="C466" s="321">
        <v>0</v>
      </c>
      <c r="D466" s="321">
        <v>0</v>
      </c>
      <c r="E466" s="321">
        <v>0</v>
      </c>
      <c r="F466" s="321">
        <v>0</v>
      </c>
      <c r="G466" s="321">
        <v>0</v>
      </c>
      <c r="H466" s="321">
        <v>0</v>
      </c>
      <c r="I466" s="321">
        <v>0</v>
      </c>
      <c r="J466" s="321">
        <v>0</v>
      </c>
    </row>
    <row r="467" spans="2:10">
      <c r="B467" s="52"/>
      <c r="C467" s="449"/>
      <c r="D467" s="449"/>
      <c r="E467" s="449"/>
      <c r="F467" s="449"/>
      <c r="G467" s="449"/>
      <c r="H467" s="449"/>
      <c r="I467" s="449"/>
      <c r="J467" s="449"/>
    </row>
    <row r="468" spans="2:10">
      <c r="B468" s="59" t="s">
        <v>1591</v>
      </c>
      <c r="C468" s="449"/>
      <c r="D468" s="449"/>
      <c r="E468" s="449"/>
      <c r="F468" s="449"/>
      <c r="G468" s="449"/>
      <c r="H468" s="449"/>
      <c r="I468" s="449"/>
      <c r="J468" s="449"/>
    </row>
    <row r="469" spans="2:10">
      <c r="B469" s="71" t="s">
        <v>265</v>
      </c>
      <c r="C469" s="449"/>
      <c r="D469" s="449"/>
      <c r="E469" s="449"/>
      <c r="F469" s="449"/>
      <c r="G469" s="449"/>
      <c r="H469" s="449"/>
      <c r="I469" s="449"/>
      <c r="J469" s="449"/>
    </row>
    <row r="470" spans="2:10">
      <c r="B470" s="52" t="s">
        <v>262</v>
      </c>
      <c r="C470" s="449"/>
      <c r="D470" s="449"/>
      <c r="E470" s="449"/>
      <c r="F470" s="449"/>
      <c r="G470" s="449"/>
      <c r="H470" s="449"/>
      <c r="I470" s="449"/>
      <c r="J470" s="449"/>
    </row>
    <row r="471" spans="2:10">
      <c r="B471" s="52" t="s">
        <v>261</v>
      </c>
      <c r="C471" s="449"/>
      <c r="D471" s="449"/>
      <c r="E471" s="449"/>
      <c r="F471" s="449"/>
      <c r="G471" s="449"/>
      <c r="H471" s="449"/>
      <c r="I471" s="449"/>
      <c r="J471" s="449"/>
    </row>
    <row r="472" spans="2:10">
      <c r="B472" s="52" t="s">
        <v>260</v>
      </c>
      <c r="C472" s="449"/>
      <c r="D472" s="449"/>
      <c r="E472" s="449"/>
      <c r="F472" s="449"/>
      <c r="G472" s="449"/>
      <c r="H472" s="449"/>
      <c r="I472" s="449"/>
      <c r="J472" s="449"/>
    </row>
    <row r="473" spans="2:10">
      <c r="B473" s="52" t="s">
        <v>117</v>
      </c>
      <c r="C473" s="449"/>
      <c r="D473" s="449"/>
      <c r="E473" s="449"/>
      <c r="F473" s="449"/>
      <c r="G473" s="449"/>
      <c r="H473" s="449"/>
      <c r="I473" s="449"/>
      <c r="J473" s="449"/>
    </row>
    <row r="474" spans="2:10">
      <c r="B474" s="52"/>
      <c r="C474" s="449"/>
      <c r="D474" s="449"/>
      <c r="E474" s="449"/>
      <c r="F474" s="449"/>
      <c r="G474" s="449"/>
      <c r="H474" s="449"/>
      <c r="I474" s="449"/>
      <c r="J474" s="449"/>
    </row>
    <row r="475" spans="2:10">
      <c r="B475" s="71" t="s">
        <v>264</v>
      </c>
      <c r="C475" s="449"/>
      <c r="D475" s="449"/>
      <c r="E475" s="449"/>
      <c r="F475" s="449"/>
      <c r="G475" s="449"/>
      <c r="H475" s="449"/>
      <c r="I475" s="449"/>
      <c r="J475" s="449"/>
    </row>
    <row r="476" spans="2:10">
      <c r="B476" s="52" t="s">
        <v>262</v>
      </c>
      <c r="C476" s="449"/>
      <c r="D476" s="449"/>
      <c r="E476" s="449"/>
      <c r="F476" s="449"/>
      <c r="G476" s="449"/>
      <c r="H476" s="449"/>
      <c r="I476" s="449"/>
      <c r="J476" s="449"/>
    </row>
    <row r="477" spans="2:10">
      <c r="B477" s="52" t="s">
        <v>261</v>
      </c>
      <c r="C477" s="449"/>
      <c r="D477" s="449"/>
      <c r="E477" s="449"/>
      <c r="F477" s="449"/>
      <c r="G477" s="449"/>
      <c r="H477" s="449"/>
      <c r="I477" s="449"/>
      <c r="J477" s="449"/>
    </row>
    <row r="478" spans="2:10">
      <c r="B478" s="52" t="s">
        <v>260</v>
      </c>
      <c r="C478" s="449"/>
      <c r="D478" s="449"/>
      <c r="E478" s="449"/>
      <c r="F478" s="449"/>
      <c r="G478" s="449"/>
      <c r="H478" s="449"/>
      <c r="I478" s="449"/>
      <c r="J478" s="449"/>
    </row>
    <row r="479" spans="2:10">
      <c r="B479" s="52" t="s">
        <v>117</v>
      </c>
      <c r="C479" s="449"/>
      <c r="D479" s="449"/>
      <c r="E479" s="449"/>
      <c r="F479" s="449"/>
      <c r="G479" s="449"/>
      <c r="H479" s="449"/>
      <c r="I479" s="449"/>
      <c r="J479" s="449"/>
    </row>
    <row r="480" spans="2:10">
      <c r="B480" s="52"/>
      <c r="C480" s="449"/>
      <c r="D480" s="449"/>
      <c r="E480" s="449"/>
      <c r="F480" s="449"/>
      <c r="G480" s="449"/>
      <c r="H480" s="449"/>
      <c r="I480" s="449"/>
      <c r="J480" s="449"/>
    </row>
    <row r="481" spans="2:10">
      <c r="B481" s="71" t="s">
        <v>263</v>
      </c>
      <c r="C481" s="449"/>
      <c r="D481" s="449"/>
      <c r="E481" s="449"/>
      <c r="F481" s="449"/>
      <c r="G481" s="449"/>
      <c r="H481" s="449"/>
      <c r="I481" s="449"/>
      <c r="J481" s="449"/>
    </row>
    <row r="482" spans="2:10">
      <c r="B482" s="52" t="s">
        <v>262</v>
      </c>
      <c r="C482" s="449"/>
      <c r="D482" s="449"/>
      <c r="E482" s="449"/>
      <c r="F482" s="449"/>
      <c r="G482" s="449"/>
      <c r="H482" s="449"/>
      <c r="I482" s="449"/>
      <c r="J482" s="449"/>
    </row>
    <row r="483" spans="2:10">
      <c r="B483" s="52" t="s">
        <v>261</v>
      </c>
      <c r="C483" s="449"/>
      <c r="D483" s="449"/>
      <c r="E483" s="449"/>
      <c r="F483" s="449"/>
      <c r="G483" s="449"/>
      <c r="H483" s="449"/>
      <c r="I483" s="449"/>
      <c r="J483" s="449"/>
    </row>
    <row r="484" spans="2:10">
      <c r="B484" s="52" t="s">
        <v>260</v>
      </c>
      <c r="C484" s="449"/>
      <c r="D484" s="449"/>
      <c r="E484" s="449"/>
      <c r="F484" s="449"/>
      <c r="G484" s="449"/>
      <c r="H484" s="449"/>
      <c r="I484" s="449"/>
      <c r="J484" s="449"/>
    </row>
    <row r="485" spans="2:10" ht="15" thickBot="1">
      <c r="B485" s="52" t="s">
        <v>117</v>
      </c>
      <c r="C485" s="1011"/>
      <c r="D485" s="1011"/>
      <c r="E485" s="1011"/>
      <c r="F485" s="1011"/>
      <c r="G485" s="1011"/>
      <c r="H485" s="1011"/>
      <c r="I485" s="1011"/>
      <c r="J485" s="1011"/>
    </row>
    <row r="486" spans="2:10" ht="15" thickTop="1">
      <c r="B486" s="2025" t="s">
        <v>1574</v>
      </c>
      <c r="C486" s="2025"/>
      <c r="D486" s="2025"/>
      <c r="E486" s="2025"/>
      <c r="F486" s="2025"/>
      <c r="G486" s="2025"/>
      <c r="H486" s="2025"/>
      <c r="I486" s="2025"/>
      <c r="J486" s="2025"/>
    </row>
    <row r="487" spans="2:10">
      <c r="B487" s="2017"/>
      <c r="C487" s="2017"/>
      <c r="D487" s="2017"/>
      <c r="E487" s="2017"/>
      <c r="F487" s="2017"/>
      <c r="G487" s="2017"/>
      <c r="H487" s="2017"/>
      <c r="I487" s="2017"/>
      <c r="J487" s="2017"/>
    </row>
    <row r="488" spans="2:10">
      <c r="B488" s="62"/>
      <c r="C488" s="449"/>
      <c r="D488" s="449"/>
      <c r="E488" s="449"/>
      <c r="F488" s="449"/>
      <c r="G488" s="449"/>
      <c r="H488" s="449"/>
      <c r="I488" s="449"/>
      <c r="J488" s="449"/>
    </row>
    <row r="489" spans="2:10">
      <c r="B489" s="2100" t="s">
        <v>258</v>
      </c>
      <c r="C489" s="2100"/>
      <c r="D489" s="2100"/>
      <c r="E489" s="2100"/>
      <c r="F489" s="2100"/>
      <c r="G489" s="2100"/>
      <c r="H489" s="2100"/>
      <c r="I489" s="2100"/>
      <c r="J489" s="2100"/>
    </row>
    <row r="490" spans="2:10">
      <c r="B490" s="12" t="s">
        <v>257</v>
      </c>
      <c r="C490" s="449"/>
      <c r="D490" s="449"/>
      <c r="E490" s="449"/>
      <c r="F490" s="449"/>
      <c r="G490" s="449"/>
      <c r="H490" s="449"/>
      <c r="I490" s="449"/>
      <c r="J490" s="449"/>
    </row>
    <row r="491" spans="2:10">
      <c r="B491" s="77" t="s">
        <v>256</v>
      </c>
      <c r="C491" s="449"/>
      <c r="D491" s="449"/>
      <c r="E491" s="449"/>
      <c r="F491" s="449"/>
      <c r="G491" s="449"/>
      <c r="H491" s="449"/>
      <c r="I491" s="449"/>
      <c r="J491" s="449"/>
    </row>
    <row r="492" spans="2:10">
      <c r="B492" s="62"/>
      <c r="C492" s="449"/>
      <c r="D492" s="449"/>
      <c r="E492" s="449"/>
      <c r="F492" s="449"/>
      <c r="G492" s="449"/>
      <c r="H492" s="449"/>
      <c r="I492" s="449"/>
      <c r="J492" s="449"/>
    </row>
    <row r="493" spans="2:10">
      <c r="B493" s="61"/>
      <c r="C493" s="303">
        <v>2014</v>
      </c>
      <c r="D493" s="303">
        <v>2015</v>
      </c>
      <c r="E493" s="303">
        <v>2016</v>
      </c>
      <c r="F493" s="303">
        <v>2017</v>
      </c>
      <c r="G493" s="303">
        <v>2018</v>
      </c>
      <c r="H493" s="303">
        <v>2019</v>
      </c>
      <c r="I493" s="303">
        <v>2020</v>
      </c>
      <c r="J493" s="303">
        <v>2021</v>
      </c>
    </row>
    <row r="494" spans="2:10">
      <c r="B494" s="59" t="s">
        <v>1318</v>
      </c>
      <c r="C494" s="449"/>
      <c r="D494" s="449"/>
      <c r="E494" s="449"/>
      <c r="F494" s="449"/>
      <c r="G494" s="449"/>
      <c r="H494" s="449"/>
      <c r="I494" s="449"/>
      <c r="J494" s="449"/>
    </row>
    <row r="495" spans="2:10">
      <c r="B495" s="71" t="s">
        <v>247</v>
      </c>
      <c r="C495" s="1012">
        <f>C499</f>
        <v>36</v>
      </c>
      <c r="D495" s="1012">
        <f>D499+D498</f>
        <v>75</v>
      </c>
      <c r="E495" s="1012">
        <f t="shared" ref="E495:J495" si="3">E499+E498</f>
        <v>88</v>
      </c>
      <c r="F495" s="1012">
        <f t="shared" si="3"/>
        <v>97</v>
      </c>
      <c r="G495" s="1012">
        <f t="shared" si="3"/>
        <v>110</v>
      </c>
      <c r="H495" s="1012">
        <f t="shared" si="3"/>
        <v>122</v>
      </c>
      <c r="I495" s="1012">
        <f t="shared" si="3"/>
        <v>127</v>
      </c>
      <c r="J495" s="1012">
        <f t="shared" si="3"/>
        <v>141</v>
      </c>
    </row>
    <row r="496" spans="2:10">
      <c r="B496" s="52" t="s">
        <v>121</v>
      </c>
      <c r="C496" s="867">
        <v>0</v>
      </c>
      <c r="D496" s="867">
        <v>0</v>
      </c>
      <c r="E496" s="867">
        <v>0</v>
      </c>
      <c r="F496" s="867">
        <v>0</v>
      </c>
      <c r="G496" s="867">
        <v>0</v>
      </c>
      <c r="H496" s="867">
        <v>0</v>
      </c>
      <c r="I496" s="867">
        <v>0</v>
      </c>
      <c r="J496" s="867">
        <v>0</v>
      </c>
    </row>
    <row r="497" spans="2:10">
      <c r="B497" s="53" t="s">
        <v>120</v>
      </c>
      <c r="C497" s="867">
        <v>0</v>
      </c>
      <c r="D497" s="867">
        <v>0</v>
      </c>
      <c r="E497" s="867">
        <v>0</v>
      </c>
      <c r="F497" s="867">
        <v>0</v>
      </c>
      <c r="G497" s="867">
        <v>0</v>
      </c>
      <c r="H497" s="867">
        <v>0</v>
      </c>
      <c r="I497" s="867">
        <v>0</v>
      </c>
      <c r="J497" s="867">
        <v>0</v>
      </c>
    </row>
    <row r="498" spans="2:10">
      <c r="B498" s="53" t="s">
        <v>119</v>
      </c>
      <c r="C498" s="867">
        <v>0</v>
      </c>
      <c r="D498" s="867">
        <v>2</v>
      </c>
      <c r="E498" s="867">
        <v>2</v>
      </c>
      <c r="F498" s="867">
        <v>4</v>
      </c>
      <c r="G498" s="867">
        <v>4</v>
      </c>
      <c r="H498" s="867">
        <v>4</v>
      </c>
      <c r="I498" s="867">
        <v>3</v>
      </c>
      <c r="J498" s="867">
        <v>7</v>
      </c>
    </row>
    <row r="499" spans="2:10">
      <c r="B499" s="52" t="s">
        <v>118</v>
      </c>
      <c r="C499" s="1012">
        <v>36</v>
      </c>
      <c r="D499" s="1012">
        <v>73</v>
      </c>
      <c r="E499" s="1012">
        <v>86</v>
      </c>
      <c r="F499" s="1012">
        <v>93</v>
      </c>
      <c r="G499" s="1012">
        <v>106</v>
      </c>
      <c r="H499" s="1012">
        <v>118</v>
      </c>
      <c r="I499" s="1012">
        <v>124</v>
      </c>
      <c r="J499" s="1012">
        <v>134</v>
      </c>
    </row>
    <row r="500" spans="2:10" ht="15" thickBot="1">
      <c r="B500" s="52" t="s">
        <v>117</v>
      </c>
      <c r="C500" s="321">
        <v>0</v>
      </c>
      <c r="D500" s="321">
        <v>0</v>
      </c>
      <c r="E500" s="321">
        <v>0</v>
      </c>
      <c r="F500" s="321">
        <v>0</v>
      </c>
      <c r="G500" s="321">
        <v>0</v>
      </c>
      <c r="H500" s="321">
        <v>0</v>
      </c>
      <c r="I500" s="321">
        <v>0</v>
      </c>
      <c r="J500" s="321">
        <v>0</v>
      </c>
    </row>
    <row r="501" spans="2:10" ht="15" thickTop="1">
      <c r="B501" s="2025" t="s">
        <v>1574</v>
      </c>
      <c r="C501" s="2025"/>
      <c r="D501" s="2025"/>
      <c r="E501" s="2025"/>
      <c r="F501" s="2025"/>
      <c r="G501" s="2025"/>
      <c r="H501" s="2025"/>
      <c r="I501" s="2025"/>
      <c r="J501" s="2025"/>
    </row>
    <row r="502" spans="2:10">
      <c r="B502" s="2017"/>
      <c r="C502" s="2017"/>
      <c r="D502" s="2017"/>
      <c r="E502" s="2017"/>
      <c r="F502" s="2017"/>
      <c r="G502" s="2017"/>
      <c r="H502" s="2017"/>
      <c r="I502" s="2017"/>
      <c r="J502" s="2017"/>
    </row>
    <row r="503" spans="2:10">
      <c r="B503" s="64"/>
      <c r="C503" s="449"/>
      <c r="D503" s="449"/>
      <c r="E503" s="449"/>
      <c r="F503" s="449"/>
      <c r="G503" s="449"/>
      <c r="H503" s="449"/>
      <c r="I503" s="449"/>
      <c r="J503" s="449"/>
    </row>
    <row r="504" spans="2:10">
      <c r="B504" s="2100" t="s">
        <v>244</v>
      </c>
      <c r="C504" s="2100"/>
      <c r="D504" s="2100"/>
      <c r="E504" s="2100"/>
      <c r="F504" s="2100"/>
      <c r="G504" s="2100"/>
      <c r="H504" s="2100"/>
      <c r="I504" s="2100"/>
      <c r="J504" s="2100"/>
    </row>
    <row r="505" spans="2:10">
      <c r="B505" s="12" t="s">
        <v>243</v>
      </c>
      <c r="C505" s="449"/>
      <c r="D505" s="449"/>
      <c r="E505" s="449"/>
      <c r="F505" s="449"/>
      <c r="G505" s="449"/>
      <c r="H505" s="449"/>
      <c r="I505" s="449"/>
      <c r="J505" s="449"/>
    </row>
    <row r="506" spans="2:10">
      <c r="B506" s="62" t="s">
        <v>242</v>
      </c>
      <c r="C506" s="449"/>
      <c r="D506" s="449"/>
      <c r="E506" s="449"/>
      <c r="F506" s="449"/>
      <c r="G506" s="449"/>
      <c r="H506" s="449"/>
      <c r="I506" s="449"/>
      <c r="J506" s="449"/>
    </row>
    <row r="507" spans="2:10">
      <c r="B507" s="64"/>
      <c r="C507" s="449"/>
      <c r="D507" s="449"/>
      <c r="E507" s="449"/>
      <c r="F507" s="449"/>
      <c r="G507" s="449"/>
      <c r="H507" s="449"/>
      <c r="I507" s="449"/>
      <c r="J507" s="449"/>
    </row>
    <row r="508" spans="2:10">
      <c r="B508" s="61"/>
      <c r="C508" s="303">
        <v>2014</v>
      </c>
      <c r="D508" s="303">
        <v>2015</v>
      </c>
      <c r="E508" s="303">
        <v>2016</v>
      </c>
      <c r="F508" s="303">
        <v>2017</v>
      </c>
      <c r="G508" s="303">
        <v>2018</v>
      </c>
      <c r="H508" s="303">
        <v>2019</v>
      </c>
      <c r="I508" s="303">
        <v>2020</v>
      </c>
      <c r="J508" s="303">
        <v>2021</v>
      </c>
    </row>
    <row r="509" spans="2:10">
      <c r="B509" s="114" t="s">
        <v>486</v>
      </c>
      <c r="C509" s="449"/>
      <c r="D509" s="449"/>
      <c r="E509" s="449"/>
      <c r="F509" s="449"/>
      <c r="G509" s="449"/>
      <c r="H509" s="449"/>
      <c r="I509" s="449"/>
      <c r="J509" s="449"/>
    </row>
    <row r="510" spans="2:10">
      <c r="B510" s="71" t="s">
        <v>239</v>
      </c>
      <c r="C510" s="304">
        <v>2588.8282733316646</v>
      </c>
      <c r="D510" s="304">
        <v>5111.9841381887636</v>
      </c>
      <c r="E510" s="304">
        <v>5430.120312611919</v>
      </c>
      <c r="F510" s="304">
        <v>9308.2522931491421</v>
      </c>
      <c r="G510" s="304">
        <v>11929.667105660832</v>
      </c>
      <c r="H510" s="304">
        <v>15699.779284749829</v>
      </c>
      <c r="I510" s="304">
        <v>11684.731653011966</v>
      </c>
      <c r="J510" s="304">
        <v>12055.420413469015</v>
      </c>
    </row>
    <row r="511" spans="2:10">
      <c r="B511" s="71"/>
      <c r="C511" s="449"/>
      <c r="D511" s="449"/>
      <c r="E511" s="449"/>
      <c r="F511" s="449"/>
      <c r="G511" s="449"/>
      <c r="H511" s="449"/>
      <c r="I511" s="449"/>
      <c r="J511" s="449"/>
    </row>
    <row r="512" spans="2:10">
      <c r="B512" s="59" t="s">
        <v>1591</v>
      </c>
      <c r="C512" s="449"/>
      <c r="D512" s="449"/>
      <c r="E512" s="449"/>
      <c r="F512" s="449"/>
      <c r="G512" s="449"/>
      <c r="H512" s="449"/>
      <c r="I512" s="449"/>
      <c r="J512" s="449"/>
    </row>
    <row r="513" spans="2:10" ht="15" thickBot="1">
      <c r="B513" s="278" t="s">
        <v>239</v>
      </c>
      <c r="C513" s="1011"/>
      <c r="D513" s="1011"/>
      <c r="E513" s="1011"/>
      <c r="F513" s="1011"/>
      <c r="G513" s="1011"/>
      <c r="H513" s="1011"/>
      <c r="I513" s="1011"/>
      <c r="J513" s="1011"/>
    </row>
    <row r="514" spans="2:10" ht="15" thickTop="1">
      <c r="B514" s="2025" t="s">
        <v>1574</v>
      </c>
      <c r="C514" s="2025"/>
      <c r="D514" s="2025"/>
      <c r="E514" s="2025"/>
      <c r="F514" s="2025"/>
      <c r="G514" s="2025"/>
      <c r="H514" s="2025"/>
      <c r="I514" s="2025"/>
      <c r="J514" s="2025"/>
    </row>
    <row r="515" spans="2:10">
      <c r="B515" s="2017"/>
      <c r="C515" s="2017"/>
      <c r="D515" s="2017"/>
      <c r="E515" s="2017"/>
      <c r="F515" s="2017"/>
      <c r="G515" s="2017"/>
      <c r="H515" s="2017"/>
      <c r="I515" s="2017"/>
      <c r="J515" s="2017"/>
    </row>
    <row r="516" spans="2:10">
      <c r="B516" s="64"/>
      <c r="C516" s="449"/>
      <c r="D516" s="449"/>
      <c r="E516" s="449"/>
      <c r="F516" s="449"/>
      <c r="G516" s="449"/>
      <c r="H516" s="449"/>
      <c r="I516" s="449"/>
      <c r="J516" s="449"/>
    </row>
    <row r="517" spans="2:10">
      <c r="B517" s="2100" t="s">
        <v>238</v>
      </c>
      <c r="C517" s="2100"/>
      <c r="D517" s="2100"/>
      <c r="E517" s="2100"/>
      <c r="F517" s="2100"/>
      <c r="G517" s="2100"/>
      <c r="H517" s="2100"/>
      <c r="I517" s="2100"/>
      <c r="J517" s="2100"/>
    </row>
    <row r="518" spans="2:10">
      <c r="B518" s="12" t="s">
        <v>237</v>
      </c>
      <c r="C518" s="449"/>
      <c r="D518" s="449"/>
      <c r="E518" s="449"/>
      <c r="F518" s="449"/>
      <c r="G518" s="449"/>
      <c r="H518" s="449"/>
      <c r="I518" s="449"/>
      <c r="J518" s="449"/>
    </row>
    <row r="519" spans="2:10">
      <c r="B519" s="62" t="s">
        <v>236</v>
      </c>
      <c r="C519" s="449"/>
      <c r="D519" s="449"/>
      <c r="E519" s="449"/>
      <c r="F519" s="449"/>
      <c r="G519" s="449"/>
      <c r="H519" s="449"/>
      <c r="I519" s="449"/>
      <c r="J519" s="449"/>
    </row>
    <row r="520" spans="2:10">
      <c r="B520" s="64"/>
      <c r="C520" s="449"/>
      <c r="D520" s="449"/>
      <c r="E520" s="449"/>
      <c r="F520" s="449"/>
      <c r="G520" s="449"/>
      <c r="H520" s="449"/>
      <c r="I520" s="449"/>
      <c r="J520" s="449"/>
    </row>
    <row r="521" spans="2:10">
      <c r="B521" s="61"/>
      <c r="C521" s="303">
        <v>2014</v>
      </c>
      <c r="D521" s="303">
        <v>2015</v>
      </c>
      <c r="E521" s="303">
        <v>2016</v>
      </c>
      <c r="F521" s="303">
        <v>2017</v>
      </c>
      <c r="G521" s="303">
        <v>2018</v>
      </c>
      <c r="H521" s="303">
        <v>2019</v>
      </c>
      <c r="I521" s="303">
        <v>2020</v>
      </c>
      <c r="J521" s="303">
        <v>2021</v>
      </c>
    </row>
    <row r="522" spans="2:10">
      <c r="B522" s="59" t="s">
        <v>1348</v>
      </c>
      <c r="C522" s="449"/>
      <c r="D522" s="449"/>
      <c r="E522" s="449"/>
      <c r="F522" s="449"/>
      <c r="G522" s="449"/>
      <c r="H522" s="449"/>
      <c r="I522" s="449"/>
      <c r="J522" s="449"/>
    </row>
    <row r="523" spans="2:10">
      <c r="B523" s="71" t="s">
        <v>231</v>
      </c>
      <c r="C523" s="307">
        <v>0</v>
      </c>
      <c r="D523" s="307">
        <v>0</v>
      </c>
      <c r="E523" s="307">
        <v>0</v>
      </c>
      <c r="F523" s="307">
        <v>0</v>
      </c>
      <c r="G523" s="307">
        <v>0</v>
      </c>
      <c r="H523" s="307">
        <v>0</v>
      </c>
      <c r="I523" s="307">
        <v>0</v>
      </c>
      <c r="J523" s="307">
        <v>0</v>
      </c>
    </row>
    <row r="524" spans="2:10">
      <c r="B524" s="52" t="s">
        <v>121</v>
      </c>
      <c r="C524" s="307">
        <v>0</v>
      </c>
      <c r="D524" s="307">
        <v>0</v>
      </c>
      <c r="E524" s="307">
        <v>0</v>
      </c>
      <c r="F524" s="307">
        <v>0</v>
      </c>
      <c r="G524" s="307">
        <v>0</v>
      </c>
      <c r="H524" s="307">
        <v>0</v>
      </c>
      <c r="I524" s="307">
        <v>0</v>
      </c>
      <c r="J524" s="307">
        <v>0</v>
      </c>
    </row>
    <row r="525" spans="2:10">
      <c r="B525" s="53" t="s">
        <v>120</v>
      </c>
      <c r="C525" s="307">
        <v>0</v>
      </c>
      <c r="D525" s="307">
        <v>0</v>
      </c>
      <c r="E525" s="307">
        <v>0</v>
      </c>
      <c r="F525" s="307">
        <v>0</v>
      </c>
      <c r="G525" s="307">
        <v>0</v>
      </c>
      <c r="H525" s="307">
        <v>0</v>
      </c>
      <c r="I525" s="307">
        <v>0</v>
      </c>
      <c r="J525" s="307">
        <v>0</v>
      </c>
    </row>
    <row r="526" spans="2:10">
      <c r="B526" s="53" t="s">
        <v>119</v>
      </c>
      <c r="C526" s="307">
        <v>0</v>
      </c>
      <c r="D526" s="307">
        <v>9</v>
      </c>
      <c r="E526" s="306">
        <v>3</v>
      </c>
      <c r="F526" s="307">
        <v>8</v>
      </c>
      <c r="G526" s="306">
        <v>4</v>
      </c>
      <c r="H526" s="307">
        <v>0</v>
      </c>
      <c r="I526" s="307">
        <v>0</v>
      </c>
      <c r="J526" s="307">
        <v>67</v>
      </c>
    </row>
    <row r="527" spans="2:10">
      <c r="B527" s="52" t="s">
        <v>118</v>
      </c>
      <c r="C527" s="304">
        <v>20716</v>
      </c>
      <c r="D527" s="304">
        <v>30172</v>
      </c>
      <c r="E527" s="304">
        <v>46329</v>
      </c>
      <c r="F527" s="304">
        <v>67066</v>
      </c>
      <c r="G527" s="304">
        <v>88928</v>
      </c>
      <c r="H527" s="304">
        <v>173585</v>
      </c>
      <c r="I527" s="304">
        <v>244639</v>
      </c>
      <c r="J527" s="304">
        <v>285567</v>
      </c>
    </row>
    <row r="528" spans="2:10">
      <c r="B528" s="52" t="s">
        <v>117</v>
      </c>
      <c r="C528" s="307">
        <v>0</v>
      </c>
      <c r="D528" s="307">
        <v>0</v>
      </c>
      <c r="E528" s="307">
        <v>0</v>
      </c>
      <c r="F528" s="307">
        <v>0</v>
      </c>
      <c r="G528" s="307">
        <v>0</v>
      </c>
      <c r="H528" s="307">
        <v>0</v>
      </c>
      <c r="I528" s="307">
        <v>0</v>
      </c>
      <c r="J528" s="307">
        <v>0</v>
      </c>
    </row>
    <row r="529" spans="2:10">
      <c r="B529" s="52"/>
      <c r="C529" s="307"/>
      <c r="D529" s="307"/>
      <c r="E529" s="307"/>
      <c r="F529" s="307"/>
      <c r="G529" s="307"/>
      <c r="H529" s="307"/>
      <c r="I529" s="307"/>
      <c r="J529" s="307"/>
    </row>
    <row r="530" spans="2:10">
      <c r="B530" s="71" t="s">
        <v>230</v>
      </c>
      <c r="C530" s="307">
        <v>0</v>
      </c>
      <c r="D530" s="307">
        <v>0</v>
      </c>
      <c r="E530" s="307">
        <v>0</v>
      </c>
      <c r="F530" s="307">
        <v>0</v>
      </c>
      <c r="G530" s="307">
        <v>0</v>
      </c>
      <c r="H530" s="307">
        <v>0</v>
      </c>
      <c r="I530" s="307">
        <v>0</v>
      </c>
      <c r="J530" s="307">
        <v>0</v>
      </c>
    </row>
    <row r="531" spans="2:10">
      <c r="B531" s="52" t="s">
        <v>169</v>
      </c>
      <c r="C531" s="321">
        <v>0</v>
      </c>
      <c r="D531" s="321">
        <v>0</v>
      </c>
      <c r="E531" s="321">
        <v>0</v>
      </c>
      <c r="F531" s="321">
        <v>0</v>
      </c>
      <c r="G531" s="321">
        <v>0</v>
      </c>
      <c r="H531" s="321">
        <v>0</v>
      </c>
      <c r="I531" s="321">
        <v>0</v>
      </c>
      <c r="J531" s="321">
        <v>0</v>
      </c>
    </row>
    <row r="532" spans="2:10">
      <c r="B532" s="52" t="s">
        <v>168</v>
      </c>
      <c r="C532" s="321">
        <v>0</v>
      </c>
      <c r="D532" s="321">
        <v>0</v>
      </c>
      <c r="E532" s="321">
        <v>0</v>
      </c>
      <c r="F532" s="321">
        <v>0</v>
      </c>
      <c r="G532" s="321">
        <v>0</v>
      </c>
      <c r="H532" s="321">
        <v>0</v>
      </c>
      <c r="I532" s="321">
        <v>0</v>
      </c>
      <c r="J532" s="321">
        <v>0</v>
      </c>
    </row>
    <row r="533" spans="2:10">
      <c r="B533" s="52" t="s">
        <v>167</v>
      </c>
      <c r="C533" s="321">
        <v>0</v>
      </c>
      <c r="D533" s="321">
        <v>0</v>
      </c>
      <c r="E533" s="321">
        <v>0</v>
      </c>
      <c r="F533" s="321">
        <v>0</v>
      </c>
      <c r="G533" s="321">
        <v>0</v>
      </c>
      <c r="H533" s="321">
        <v>0</v>
      </c>
      <c r="I533" s="321">
        <v>0</v>
      </c>
      <c r="J533" s="321">
        <v>0</v>
      </c>
    </row>
    <row r="534" spans="2:10">
      <c r="B534" s="52" t="s">
        <v>166</v>
      </c>
      <c r="C534" s="321">
        <v>0</v>
      </c>
      <c r="D534" s="321">
        <v>0</v>
      </c>
      <c r="E534" s="321">
        <v>0</v>
      </c>
      <c r="F534" s="321">
        <v>0</v>
      </c>
      <c r="G534" s="321">
        <v>0</v>
      </c>
      <c r="H534" s="321">
        <v>0</v>
      </c>
      <c r="I534" s="321">
        <v>0</v>
      </c>
      <c r="J534" s="321">
        <v>0</v>
      </c>
    </row>
    <row r="535" spans="2:10">
      <c r="B535" s="52" t="s">
        <v>165</v>
      </c>
      <c r="C535" s="321">
        <v>0</v>
      </c>
      <c r="D535" s="321">
        <v>0</v>
      </c>
      <c r="E535" s="321">
        <v>0</v>
      </c>
      <c r="F535" s="321">
        <v>0</v>
      </c>
      <c r="G535" s="321">
        <v>0</v>
      </c>
      <c r="H535" s="321">
        <v>0</v>
      </c>
      <c r="I535" s="321">
        <v>0</v>
      </c>
      <c r="J535" s="321">
        <v>0</v>
      </c>
    </row>
    <row r="536" spans="2:10">
      <c r="B536" s="52" t="s">
        <v>164</v>
      </c>
      <c r="C536" s="321">
        <v>0</v>
      </c>
      <c r="D536" s="321">
        <v>0</v>
      </c>
      <c r="E536" s="321">
        <v>0</v>
      </c>
      <c r="F536" s="321">
        <v>0</v>
      </c>
      <c r="G536" s="321">
        <v>0</v>
      </c>
      <c r="H536" s="321">
        <v>0</v>
      </c>
      <c r="I536" s="321">
        <v>0</v>
      </c>
      <c r="J536" s="321">
        <v>0</v>
      </c>
    </row>
    <row r="537" spans="2:10">
      <c r="B537" s="71"/>
      <c r="C537" s="321"/>
      <c r="D537" s="449"/>
      <c r="E537" s="449"/>
      <c r="F537" s="449"/>
      <c r="G537" s="449"/>
      <c r="H537" s="449"/>
      <c r="I537" s="449"/>
      <c r="J537" s="449"/>
    </row>
    <row r="538" spans="2:10">
      <c r="B538" s="59" t="s">
        <v>1592</v>
      </c>
      <c r="C538" s="321">
        <v>0</v>
      </c>
      <c r="D538" s="321">
        <v>0</v>
      </c>
      <c r="E538" s="321">
        <v>0</v>
      </c>
      <c r="F538" s="321">
        <v>0</v>
      </c>
      <c r="G538" s="321">
        <v>0</v>
      </c>
      <c r="H538" s="321">
        <v>0</v>
      </c>
      <c r="I538" s="321">
        <v>0</v>
      </c>
      <c r="J538" s="321">
        <v>0</v>
      </c>
    </row>
    <row r="539" spans="2:10">
      <c r="B539" s="71" t="s">
        <v>231</v>
      </c>
      <c r="C539" s="321">
        <v>0</v>
      </c>
      <c r="D539" s="321">
        <v>0</v>
      </c>
      <c r="E539" s="321">
        <v>0</v>
      </c>
      <c r="F539" s="321">
        <v>0</v>
      </c>
      <c r="G539" s="321">
        <v>0</v>
      </c>
      <c r="H539" s="321">
        <v>0</v>
      </c>
      <c r="I539" s="321">
        <v>0</v>
      </c>
      <c r="J539" s="321">
        <v>0</v>
      </c>
    </row>
    <row r="540" spans="2:10">
      <c r="B540" s="52" t="s">
        <v>121</v>
      </c>
      <c r="C540" s="321">
        <v>0</v>
      </c>
      <c r="D540" s="321">
        <v>0</v>
      </c>
      <c r="E540" s="321">
        <v>0</v>
      </c>
      <c r="F540" s="321">
        <v>0</v>
      </c>
      <c r="G540" s="321">
        <v>0</v>
      </c>
      <c r="H540" s="321">
        <v>0</v>
      </c>
      <c r="I540" s="321">
        <v>0</v>
      </c>
      <c r="J540" s="321">
        <v>0</v>
      </c>
    </row>
    <row r="541" spans="2:10">
      <c r="B541" s="53" t="s">
        <v>120</v>
      </c>
      <c r="C541" s="321">
        <v>0</v>
      </c>
      <c r="D541" s="321">
        <v>0</v>
      </c>
      <c r="E541" s="321">
        <v>0</v>
      </c>
      <c r="F541" s="321">
        <v>0</v>
      </c>
      <c r="G541" s="321">
        <v>0</v>
      </c>
      <c r="H541" s="321">
        <v>0</v>
      </c>
      <c r="I541" s="321">
        <v>0</v>
      </c>
      <c r="J541" s="321">
        <v>0</v>
      </c>
    </row>
    <row r="542" spans="2:10">
      <c r="B542" s="53" t="s">
        <v>119</v>
      </c>
      <c r="C542" s="321">
        <v>0</v>
      </c>
      <c r="D542" s="321">
        <v>0</v>
      </c>
      <c r="E542" s="321">
        <v>0</v>
      </c>
      <c r="F542" s="321">
        <v>0</v>
      </c>
      <c r="G542" s="321">
        <v>0</v>
      </c>
      <c r="H542" s="321">
        <v>0</v>
      </c>
      <c r="I542" s="321">
        <v>0</v>
      </c>
      <c r="J542" s="321">
        <v>0</v>
      </c>
    </row>
    <row r="543" spans="2:10">
      <c r="B543" s="52" t="s">
        <v>118</v>
      </c>
      <c r="C543" s="321">
        <v>0</v>
      </c>
      <c r="D543" s="321">
        <v>0</v>
      </c>
      <c r="E543" s="321">
        <v>0</v>
      </c>
      <c r="F543" s="321">
        <v>0</v>
      </c>
      <c r="G543" s="321">
        <v>0</v>
      </c>
      <c r="H543" s="321">
        <v>0</v>
      </c>
      <c r="I543" s="321">
        <v>0</v>
      </c>
      <c r="J543" s="321">
        <v>0</v>
      </c>
    </row>
    <row r="544" spans="2:10">
      <c r="B544" s="52" t="s">
        <v>117</v>
      </c>
      <c r="C544" s="321">
        <v>0</v>
      </c>
      <c r="D544" s="321">
        <v>0</v>
      </c>
      <c r="E544" s="321">
        <v>0</v>
      </c>
      <c r="F544" s="321">
        <v>0</v>
      </c>
      <c r="G544" s="321">
        <v>0</v>
      </c>
      <c r="H544" s="321">
        <v>0</v>
      </c>
      <c r="I544" s="321">
        <v>0</v>
      </c>
      <c r="J544" s="321">
        <v>0</v>
      </c>
    </row>
    <row r="545" spans="2:10">
      <c r="B545" s="52"/>
      <c r="C545" s="321"/>
      <c r="D545" s="449"/>
      <c r="E545" s="449"/>
      <c r="F545" s="449"/>
      <c r="G545" s="449"/>
      <c r="H545" s="449"/>
      <c r="I545" s="449"/>
      <c r="J545" s="449"/>
    </row>
    <row r="546" spans="2:10">
      <c r="B546" s="71" t="s">
        <v>230</v>
      </c>
      <c r="C546" s="321">
        <v>0</v>
      </c>
      <c r="D546" s="321">
        <v>0</v>
      </c>
      <c r="E546" s="321">
        <v>0</v>
      </c>
      <c r="F546" s="321">
        <v>0</v>
      </c>
      <c r="G546" s="321">
        <v>0</v>
      </c>
      <c r="H546" s="321">
        <v>0</v>
      </c>
      <c r="I546" s="321">
        <v>0</v>
      </c>
      <c r="J546" s="321">
        <v>0</v>
      </c>
    </row>
    <row r="547" spans="2:10">
      <c r="B547" s="52" t="s">
        <v>169</v>
      </c>
      <c r="C547" s="321">
        <v>0</v>
      </c>
      <c r="D547" s="321">
        <v>0</v>
      </c>
      <c r="E547" s="321">
        <v>0</v>
      </c>
      <c r="F547" s="321">
        <v>0</v>
      </c>
      <c r="G547" s="321">
        <v>0</v>
      </c>
      <c r="H547" s="321">
        <v>0</v>
      </c>
      <c r="I547" s="321">
        <v>0</v>
      </c>
      <c r="J547" s="321">
        <v>0</v>
      </c>
    </row>
    <row r="548" spans="2:10">
      <c r="B548" s="52" t="s">
        <v>168</v>
      </c>
      <c r="C548" s="321">
        <v>0</v>
      </c>
      <c r="D548" s="321">
        <v>0</v>
      </c>
      <c r="E548" s="321">
        <v>0</v>
      </c>
      <c r="F548" s="321">
        <v>0</v>
      </c>
      <c r="G548" s="321">
        <v>0</v>
      </c>
      <c r="H548" s="321">
        <v>0</v>
      </c>
      <c r="I548" s="321">
        <v>0</v>
      </c>
      <c r="J548" s="321">
        <v>0</v>
      </c>
    </row>
    <row r="549" spans="2:10">
      <c r="B549" s="52" t="s">
        <v>167</v>
      </c>
      <c r="C549" s="321">
        <v>0</v>
      </c>
      <c r="D549" s="321">
        <v>0</v>
      </c>
      <c r="E549" s="321">
        <v>0</v>
      </c>
      <c r="F549" s="321">
        <v>0</v>
      </c>
      <c r="G549" s="321">
        <v>0</v>
      </c>
      <c r="H549" s="321">
        <v>0</v>
      </c>
      <c r="I549" s="321">
        <v>0</v>
      </c>
      <c r="J549" s="321">
        <v>0</v>
      </c>
    </row>
    <row r="550" spans="2:10">
      <c r="B550" s="52" t="s">
        <v>166</v>
      </c>
      <c r="C550" s="321">
        <v>0</v>
      </c>
      <c r="D550" s="321">
        <v>0</v>
      </c>
      <c r="E550" s="321">
        <v>0</v>
      </c>
      <c r="F550" s="321">
        <v>0</v>
      </c>
      <c r="G550" s="321">
        <v>0</v>
      </c>
      <c r="H550" s="321">
        <v>0</v>
      </c>
      <c r="I550" s="321">
        <v>0</v>
      </c>
      <c r="J550" s="321">
        <v>0</v>
      </c>
    </row>
    <row r="551" spans="2:10">
      <c r="B551" s="52" t="s">
        <v>165</v>
      </c>
      <c r="C551" s="321">
        <v>0</v>
      </c>
      <c r="D551" s="321">
        <v>0</v>
      </c>
      <c r="E551" s="321">
        <v>0</v>
      </c>
      <c r="F551" s="321">
        <v>0</v>
      </c>
      <c r="G551" s="321">
        <v>0</v>
      </c>
      <c r="H551" s="321">
        <v>0</v>
      </c>
      <c r="I551" s="321">
        <v>0</v>
      </c>
      <c r="J551" s="321">
        <v>0</v>
      </c>
    </row>
    <row r="552" spans="2:10" ht="15" thickBot="1">
      <c r="B552" s="50" t="s">
        <v>164</v>
      </c>
      <c r="C552" s="321">
        <v>0</v>
      </c>
      <c r="D552" s="321">
        <v>0</v>
      </c>
      <c r="E552" s="321">
        <v>0</v>
      </c>
      <c r="F552" s="321">
        <v>0</v>
      </c>
      <c r="G552" s="321">
        <v>0</v>
      </c>
      <c r="H552" s="321">
        <v>0</v>
      </c>
      <c r="I552" s="321">
        <v>0</v>
      </c>
      <c r="J552" s="321">
        <v>0</v>
      </c>
    </row>
    <row r="553" spans="2:10" ht="15" thickTop="1">
      <c r="B553" s="2025" t="s">
        <v>1574</v>
      </c>
      <c r="C553" s="2025"/>
      <c r="D553" s="2025"/>
      <c r="E553" s="2025"/>
      <c r="F553" s="2025"/>
      <c r="G553" s="2025"/>
      <c r="H553" s="2025"/>
      <c r="I553" s="2025"/>
      <c r="J553" s="2025"/>
    </row>
    <row r="554" spans="2:10">
      <c r="B554" s="2017"/>
      <c r="C554" s="2017"/>
      <c r="D554" s="2017"/>
      <c r="E554" s="2017"/>
      <c r="F554" s="2017"/>
      <c r="G554" s="2017"/>
      <c r="H554" s="2017"/>
      <c r="I554" s="2017"/>
      <c r="J554" s="2017"/>
    </row>
    <row r="555" spans="2:10">
      <c r="B555" s="64"/>
      <c r="C555" s="449"/>
      <c r="D555" s="449"/>
      <c r="E555" s="449"/>
      <c r="F555" s="449"/>
      <c r="G555" s="449"/>
      <c r="H555" s="449"/>
      <c r="I555" s="449"/>
      <c r="J555" s="449"/>
    </row>
    <row r="556" spans="2:10">
      <c r="B556" s="2100" t="s">
        <v>228</v>
      </c>
      <c r="C556" s="2100"/>
      <c r="D556" s="2100"/>
      <c r="E556" s="2100"/>
      <c r="F556" s="2100"/>
      <c r="G556" s="2100"/>
      <c r="H556" s="2100"/>
      <c r="I556" s="2100"/>
      <c r="J556" s="2100"/>
    </row>
    <row r="557" spans="2:10">
      <c r="B557" s="12" t="s">
        <v>227</v>
      </c>
      <c r="C557" s="449"/>
      <c r="D557" s="449"/>
      <c r="E557" s="449"/>
      <c r="F557" s="449"/>
      <c r="G557" s="449"/>
      <c r="H557" s="449"/>
      <c r="I557" s="449"/>
      <c r="J557" s="449"/>
    </row>
    <row r="558" spans="2:10">
      <c r="B558" s="62" t="s">
        <v>127</v>
      </c>
      <c r="C558" s="449"/>
      <c r="D558" s="449"/>
      <c r="E558" s="449"/>
      <c r="F558" s="449"/>
      <c r="G558" s="449"/>
      <c r="H558" s="449"/>
      <c r="I558" s="449"/>
      <c r="J558" s="449"/>
    </row>
    <row r="559" spans="2:10">
      <c r="B559" s="62"/>
      <c r="C559" s="449"/>
      <c r="D559" s="449"/>
      <c r="E559" s="449"/>
      <c r="F559" s="449"/>
      <c r="G559" s="449"/>
      <c r="H559" s="449"/>
      <c r="I559" s="449"/>
      <c r="J559" s="449"/>
    </row>
    <row r="560" spans="2:10">
      <c r="B560" s="61"/>
      <c r="C560" s="303">
        <v>2014</v>
      </c>
      <c r="D560" s="303">
        <v>2015</v>
      </c>
      <c r="E560" s="303">
        <v>2016</v>
      </c>
      <c r="F560" s="303">
        <v>2017</v>
      </c>
      <c r="G560" s="303">
        <v>2018</v>
      </c>
      <c r="H560" s="303">
        <v>2019</v>
      </c>
      <c r="I560" s="303">
        <v>2020</v>
      </c>
      <c r="J560" s="303">
        <v>2021</v>
      </c>
    </row>
    <row r="561" spans="2:10">
      <c r="B561" s="59" t="s">
        <v>1348</v>
      </c>
      <c r="C561" s="449"/>
      <c r="D561" s="449"/>
      <c r="E561" s="449"/>
      <c r="F561" s="449"/>
      <c r="G561" s="449"/>
      <c r="H561" s="449"/>
      <c r="I561" s="449"/>
      <c r="J561" s="449"/>
    </row>
    <row r="562" spans="2:10">
      <c r="B562" s="71" t="s">
        <v>222</v>
      </c>
      <c r="C562" s="304">
        <f>C565+C566</f>
        <v>133.49661825717092</v>
      </c>
      <c r="D562" s="304">
        <f t="shared" ref="D562:G562" si="4">D565+D566</f>
        <v>599.13781505626366</v>
      </c>
      <c r="E562" s="304">
        <f t="shared" si="4"/>
        <v>428.82862401549664</v>
      </c>
      <c r="F562" s="304">
        <f t="shared" si="4"/>
        <v>466.50586718122503</v>
      </c>
      <c r="G562" s="304">
        <f t="shared" si="4"/>
        <v>637.22072845887999</v>
      </c>
      <c r="H562" s="304">
        <f>H566</f>
        <v>875.73474945122928</v>
      </c>
      <c r="I562" s="304">
        <f>I566+I563</f>
        <v>443.82972787107963</v>
      </c>
      <c r="J562" s="304">
        <f>J566+J563</f>
        <v>739.14589026345084</v>
      </c>
    </row>
    <row r="563" spans="2:10">
      <c r="B563" s="52" t="s">
        <v>121</v>
      </c>
      <c r="C563" s="306">
        <v>0</v>
      </c>
      <c r="D563" s="306">
        <v>4.2353527384462061E-2</v>
      </c>
      <c r="E563" s="306">
        <v>4.9049987387146096E-2</v>
      </c>
      <c r="F563" s="306">
        <v>105.58166213868115</v>
      </c>
      <c r="G563" s="306">
        <v>0.50941070905648622</v>
      </c>
      <c r="H563" s="306"/>
      <c r="I563" s="306"/>
      <c r="J563" s="306">
        <v>246.57000744094637</v>
      </c>
    </row>
    <row r="564" spans="2:10">
      <c r="B564" s="53" t="s">
        <v>120</v>
      </c>
      <c r="C564" s="306">
        <v>0</v>
      </c>
      <c r="D564" s="306">
        <v>0</v>
      </c>
      <c r="E564" s="306">
        <v>0</v>
      </c>
      <c r="F564" s="306">
        <v>0</v>
      </c>
      <c r="G564" s="306">
        <v>0</v>
      </c>
      <c r="H564" s="306">
        <v>0</v>
      </c>
      <c r="I564" s="306">
        <v>0</v>
      </c>
      <c r="J564" s="306"/>
    </row>
    <row r="565" spans="2:10">
      <c r="B565" s="53" t="s">
        <v>119</v>
      </c>
      <c r="C565" s="306"/>
      <c r="D565" s="306">
        <v>4.2353527384462061E-2</v>
      </c>
      <c r="E565" s="306">
        <v>4.9049987387146096E-2</v>
      </c>
      <c r="F565" s="306">
        <v>105.58166213868115</v>
      </c>
      <c r="G565" s="306">
        <v>0.50941070905648622</v>
      </c>
      <c r="H565" s="306"/>
      <c r="I565" s="306"/>
      <c r="J565" s="306">
        <v>246.57000744094637</v>
      </c>
    </row>
    <row r="566" spans="2:10">
      <c r="B566" s="52" t="s">
        <v>118</v>
      </c>
      <c r="C566" s="304">
        <v>133.49661825717092</v>
      </c>
      <c r="D566" s="304">
        <v>599.09546152887924</v>
      </c>
      <c r="E566" s="304">
        <v>428.77957402810949</v>
      </c>
      <c r="F566" s="304">
        <v>360.92420504254386</v>
      </c>
      <c r="G566" s="306">
        <v>636.71131774982348</v>
      </c>
      <c r="H566" s="306">
        <v>875.73474945122928</v>
      </c>
      <c r="I566" s="306">
        <v>443.82972787107963</v>
      </c>
      <c r="J566" s="306">
        <v>492.57588282250441</v>
      </c>
    </row>
    <row r="567" spans="2:10">
      <c r="B567" s="52" t="s">
        <v>117</v>
      </c>
      <c r="C567" s="321">
        <v>0</v>
      </c>
      <c r="D567" s="321">
        <v>0</v>
      </c>
      <c r="E567" s="321">
        <v>0</v>
      </c>
      <c r="F567" s="321">
        <v>0</v>
      </c>
      <c r="G567" s="321">
        <v>0</v>
      </c>
      <c r="H567" s="321">
        <v>0</v>
      </c>
      <c r="I567" s="321">
        <v>0</v>
      </c>
      <c r="J567" s="321"/>
    </row>
    <row r="568" spans="2:10">
      <c r="B568" s="52"/>
      <c r="C568" s="449"/>
      <c r="D568" s="449"/>
      <c r="E568" s="449"/>
      <c r="F568" s="449"/>
      <c r="G568" s="449"/>
      <c r="H568" s="449"/>
      <c r="I568" s="449"/>
      <c r="J568" s="449"/>
    </row>
    <row r="569" spans="2:10">
      <c r="B569" s="71" t="s">
        <v>221</v>
      </c>
      <c r="C569" s="321">
        <v>0</v>
      </c>
      <c r="D569" s="321">
        <v>0</v>
      </c>
      <c r="E569" s="321">
        <v>0</v>
      </c>
      <c r="F569" s="321">
        <v>0</v>
      </c>
      <c r="G569" s="321">
        <v>0</v>
      </c>
      <c r="H569" s="321">
        <v>0</v>
      </c>
      <c r="I569" s="321">
        <v>0</v>
      </c>
      <c r="J569" s="321">
        <v>0</v>
      </c>
    </row>
    <row r="570" spans="2:10">
      <c r="B570" s="52" t="s">
        <v>169</v>
      </c>
      <c r="C570" s="321">
        <v>0</v>
      </c>
      <c r="D570" s="321">
        <v>0</v>
      </c>
      <c r="E570" s="321">
        <v>0</v>
      </c>
      <c r="F570" s="321">
        <v>0</v>
      </c>
      <c r="G570" s="321">
        <v>0</v>
      </c>
      <c r="H570" s="321">
        <v>0</v>
      </c>
      <c r="I570" s="321">
        <v>0</v>
      </c>
      <c r="J570" s="321">
        <v>0</v>
      </c>
    </row>
    <row r="571" spans="2:10">
      <c r="B571" s="52" t="s">
        <v>168</v>
      </c>
      <c r="C571" s="321">
        <v>0</v>
      </c>
      <c r="D571" s="321">
        <v>0</v>
      </c>
      <c r="E571" s="321">
        <v>0</v>
      </c>
      <c r="F571" s="321">
        <v>0</v>
      </c>
      <c r="G571" s="321">
        <v>0</v>
      </c>
      <c r="H571" s="321">
        <v>0</v>
      </c>
      <c r="I571" s="321">
        <v>0</v>
      </c>
      <c r="J571" s="321">
        <v>0</v>
      </c>
    </row>
    <row r="572" spans="2:10">
      <c r="B572" s="52" t="s">
        <v>167</v>
      </c>
      <c r="C572" s="321">
        <v>0</v>
      </c>
      <c r="D572" s="321">
        <v>0</v>
      </c>
      <c r="E572" s="321">
        <v>0</v>
      </c>
      <c r="F572" s="321">
        <v>0</v>
      </c>
      <c r="G572" s="321">
        <v>0</v>
      </c>
      <c r="H572" s="321">
        <v>0</v>
      </c>
      <c r="I572" s="321">
        <v>0</v>
      </c>
      <c r="J572" s="321">
        <v>0</v>
      </c>
    </row>
    <row r="573" spans="2:10">
      <c r="B573" s="52" t="s">
        <v>166</v>
      </c>
      <c r="C573" s="321">
        <v>0</v>
      </c>
      <c r="D573" s="321">
        <v>0</v>
      </c>
      <c r="E573" s="321">
        <v>0</v>
      </c>
      <c r="F573" s="321">
        <v>0</v>
      </c>
      <c r="G573" s="321">
        <v>0</v>
      </c>
      <c r="H573" s="321">
        <v>0</v>
      </c>
      <c r="I573" s="321">
        <v>0</v>
      </c>
      <c r="J573" s="321">
        <v>0</v>
      </c>
    </row>
    <row r="574" spans="2:10">
      <c r="B574" s="52" t="s">
        <v>165</v>
      </c>
      <c r="C574" s="321">
        <v>0</v>
      </c>
      <c r="D574" s="321">
        <v>0</v>
      </c>
      <c r="E574" s="321">
        <v>0</v>
      </c>
      <c r="F574" s="321">
        <v>0</v>
      </c>
      <c r="G574" s="321">
        <v>0</v>
      </c>
      <c r="H574" s="321">
        <v>0</v>
      </c>
      <c r="I574" s="321">
        <v>0</v>
      </c>
      <c r="J574" s="321">
        <v>0</v>
      </c>
    </row>
    <row r="575" spans="2:10">
      <c r="B575" s="52" t="s">
        <v>164</v>
      </c>
      <c r="C575" s="321">
        <v>0</v>
      </c>
      <c r="D575" s="321">
        <v>0</v>
      </c>
      <c r="E575" s="321">
        <v>0</v>
      </c>
      <c r="F575" s="321">
        <v>0</v>
      </c>
      <c r="G575" s="321">
        <v>0</v>
      </c>
      <c r="H575" s="321">
        <v>0</v>
      </c>
      <c r="I575" s="321">
        <v>0</v>
      </c>
      <c r="J575" s="321">
        <v>0</v>
      </c>
    </row>
    <row r="576" spans="2:10">
      <c r="B576" s="71"/>
      <c r="C576" s="321"/>
      <c r="D576" s="449"/>
      <c r="E576" s="449"/>
      <c r="F576" s="449"/>
      <c r="G576" s="449"/>
      <c r="H576" s="449"/>
      <c r="I576" s="449"/>
      <c r="J576" s="449"/>
    </row>
    <row r="577" spans="2:10">
      <c r="B577" s="59" t="s">
        <v>1592</v>
      </c>
      <c r="C577" s="321">
        <v>0</v>
      </c>
      <c r="D577" s="321">
        <v>0</v>
      </c>
      <c r="E577" s="321">
        <v>0</v>
      </c>
      <c r="F577" s="321">
        <v>0</v>
      </c>
      <c r="G577" s="321">
        <v>0</v>
      </c>
      <c r="H577" s="321">
        <v>0</v>
      </c>
      <c r="I577" s="321">
        <v>0</v>
      </c>
      <c r="J577" s="321">
        <v>0</v>
      </c>
    </row>
    <row r="578" spans="2:10">
      <c r="B578" s="71" t="s">
        <v>222</v>
      </c>
      <c r="C578" s="321">
        <v>0</v>
      </c>
      <c r="D578" s="321">
        <v>0</v>
      </c>
      <c r="E578" s="321">
        <v>0</v>
      </c>
      <c r="F578" s="321">
        <v>0</v>
      </c>
      <c r="G578" s="321">
        <v>0</v>
      </c>
      <c r="H578" s="321">
        <v>0</v>
      </c>
      <c r="I578" s="321">
        <v>0</v>
      </c>
      <c r="J578" s="321">
        <v>0</v>
      </c>
    </row>
    <row r="579" spans="2:10">
      <c r="B579" s="52" t="s">
        <v>121</v>
      </c>
      <c r="C579" s="321">
        <v>0</v>
      </c>
      <c r="D579" s="321">
        <v>0</v>
      </c>
      <c r="E579" s="321">
        <v>0</v>
      </c>
      <c r="F579" s="321">
        <v>0</v>
      </c>
      <c r="G579" s="321">
        <v>0</v>
      </c>
      <c r="H579" s="321">
        <v>0</v>
      </c>
      <c r="I579" s="321">
        <v>0</v>
      </c>
      <c r="J579" s="321">
        <v>0</v>
      </c>
    </row>
    <row r="580" spans="2:10">
      <c r="B580" s="53" t="s">
        <v>120</v>
      </c>
      <c r="C580" s="321">
        <v>0</v>
      </c>
      <c r="D580" s="321">
        <v>0</v>
      </c>
      <c r="E580" s="321">
        <v>0</v>
      </c>
      <c r="F580" s="321">
        <v>0</v>
      </c>
      <c r="G580" s="321">
        <v>0</v>
      </c>
      <c r="H580" s="321">
        <v>0</v>
      </c>
      <c r="I580" s="321">
        <v>0</v>
      </c>
      <c r="J580" s="321">
        <v>0</v>
      </c>
    </row>
    <row r="581" spans="2:10">
      <c r="B581" s="53" t="s">
        <v>119</v>
      </c>
      <c r="C581" s="321">
        <v>0</v>
      </c>
      <c r="D581" s="321">
        <v>0</v>
      </c>
      <c r="E581" s="321">
        <v>0</v>
      </c>
      <c r="F581" s="321">
        <v>0</v>
      </c>
      <c r="G581" s="321">
        <v>0</v>
      </c>
      <c r="H581" s="321">
        <v>0</v>
      </c>
      <c r="I581" s="321">
        <v>0</v>
      </c>
      <c r="J581" s="321">
        <v>0</v>
      </c>
    </row>
    <row r="582" spans="2:10">
      <c r="B582" s="52" t="s">
        <v>118</v>
      </c>
      <c r="C582" s="321">
        <v>0</v>
      </c>
      <c r="D582" s="321">
        <v>0</v>
      </c>
      <c r="E582" s="321">
        <v>0</v>
      </c>
      <c r="F582" s="321">
        <v>0</v>
      </c>
      <c r="G582" s="321">
        <v>0</v>
      </c>
      <c r="H582" s="321">
        <v>0</v>
      </c>
      <c r="I582" s="321">
        <v>0</v>
      </c>
      <c r="J582" s="321">
        <v>0</v>
      </c>
    </row>
    <row r="583" spans="2:10">
      <c r="B583" s="52" t="s">
        <v>117</v>
      </c>
      <c r="C583" s="321">
        <v>0</v>
      </c>
      <c r="D583" s="321">
        <v>0</v>
      </c>
      <c r="E583" s="321">
        <v>0</v>
      </c>
      <c r="F583" s="321">
        <v>0</v>
      </c>
      <c r="G583" s="321">
        <v>0</v>
      </c>
      <c r="H583" s="321">
        <v>0</v>
      </c>
      <c r="I583" s="321">
        <v>0</v>
      </c>
      <c r="J583" s="321">
        <v>0</v>
      </c>
    </row>
    <row r="584" spans="2:10">
      <c r="B584" s="52"/>
      <c r="C584" s="321"/>
      <c r="D584" s="449"/>
      <c r="E584" s="449"/>
      <c r="F584" s="449"/>
      <c r="G584" s="449"/>
      <c r="H584" s="449"/>
      <c r="I584" s="449"/>
      <c r="J584" s="449"/>
    </row>
    <row r="585" spans="2:10">
      <c r="B585" s="71" t="s">
        <v>221</v>
      </c>
      <c r="C585" s="321">
        <v>0</v>
      </c>
      <c r="D585" s="321">
        <v>0</v>
      </c>
      <c r="E585" s="321">
        <v>0</v>
      </c>
      <c r="F585" s="321">
        <v>0</v>
      </c>
      <c r="G585" s="321">
        <v>0</v>
      </c>
      <c r="H585" s="321">
        <v>0</v>
      </c>
      <c r="I585" s="321">
        <v>0</v>
      </c>
      <c r="J585" s="321">
        <v>0</v>
      </c>
    </row>
    <row r="586" spans="2:10">
      <c r="B586" s="52" t="s">
        <v>169</v>
      </c>
      <c r="C586" s="321">
        <v>0</v>
      </c>
      <c r="D586" s="321">
        <v>0</v>
      </c>
      <c r="E586" s="321">
        <v>0</v>
      </c>
      <c r="F586" s="321">
        <v>0</v>
      </c>
      <c r="G586" s="321">
        <v>0</v>
      </c>
      <c r="H586" s="321">
        <v>0</v>
      </c>
      <c r="I586" s="321">
        <v>0</v>
      </c>
      <c r="J586" s="321">
        <v>0</v>
      </c>
    </row>
    <row r="587" spans="2:10">
      <c r="B587" s="52" t="s">
        <v>168</v>
      </c>
      <c r="C587" s="321">
        <v>0</v>
      </c>
      <c r="D587" s="321">
        <v>0</v>
      </c>
      <c r="E587" s="321">
        <v>0</v>
      </c>
      <c r="F587" s="321">
        <v>0</v>
      </c>
      <c r="G587" s="321">
        <v>0</v>
      </c>
      <c r="H587" s="321">
        <v>0</v>
      </c>
      <c r="I587" s="321">
        <v>0</v>
      </c>
      <c r="J587" s="321">
        <v>0</v>
      </c>
    </row>
    <row r="588" spans="2:10">
      <c r="B588" s="52" t="s">
        <v>167</v>
      </c>
      <c r="C588" s="321">
        <v>0</v>
      </c>
      <c r="D588" s="321">
        <v>0</v>
      </c>
      <c r="E588" s="321">
        <v>0</v>
      </c>
      <c r="F588" s="321">
        <v>0</v>
      </c>
      <c r="G588" s="321">
        <v>0</v>
      </c>
      <c r="H588" s="321">
        <v>0</v>
      </c>
      <c r="I588" s="321">
        <v>0</v>
      </c>
      <c r="J588" s="321">
        <v>0</v>
      </c>
    </row>
    <row r="589" spans="2:10">
      <c r="B589" s="52" t="s">
        <v>166</v>
      </c>
      <c r="C589" s="321">
        <v>0</v>
      </c>
      <c r="D589" s="321">
        <v>0</v>
      </c>
      <c r="E589" s="321">
        <v>0</v>
      </c>
      <c r="F589" s="321">
        <v>0</v>
      </c>
      <c r="G589" s="321">
        <v>0</v>
      </c>
      <c r="H589" s="321">
        <v>0</v>
      </c>
      <c r="I589" s="321">
        <v>0</v>
      </c>
      <c r="J589" s="321">
        <v>0</v>
      </c>
    </row>
    <row r="590" spans="2:10">
      <c r="B590" s="52" t="s">
        <v>165</v>
      </c>
      <c r="C590" s="321">
        <v>0</v>
      </c>
      <c r="D590" s="321">
        <v>0</v>
      </c>
      <c r="E590" s="321">
        <v>0</v>
      </c>
      <c r="F590" s="321">
        <v>0</v>
      </c>
      <c r="G590" s="321">
        <v>0</v>
      </c>
      <c r="H590" s="321">
        <v>0</v>
      </c>
      <c r="I590" s="321">
        <v>0</v>
      </c>
      <c r="J590" s="321">
        <v>0</v>
      </c>
    </row>
    <row r="591" spans="2:10" ht="15" thickBot="1">
      <c r="B591" s="50" t="s">
        <v>164</v>
      </c>
      <c r="C591" s="321">
        <v>0</v>
      </c>
      <c r="D591" s="321">
        <v>0</v>
      </c>
      <c r="E591" s="321">
        <v>0</v>
      </c>
      <c r="F591" s="321">
        <v>0</v>
      </c>
      <c r="G591" s="321">
        <v>0</v>
      </c>
      <c r="H591" s="321">
        <v>0</v>
      </c>
      <c r="I591" s="321">
        <v>0</v>
      </c>
      <c r="J591" s="321">
        <v>0</v>
      </c>
    </row>
    <row r="592" spans="2:10" ht="15" thickTop="1">
      <c r="B592" s="2025" t="s">
        <v>1574</v>
      </c>
      <c r="C592" s="2025"/>
      <c r="D592" s="2025"/>
      <c r="E592" s="2025"/>
      <c r="F592" s="2025"/>
      <c r="G592" s="2025"/>
      <c r="H592" s="2025"/>
      <c r="I592" s="2025"/>
      <c r="J592" s="2025"/>
    </row>
    <row r="593" spans="2:10">
      <c r="B593" s="2017"/>
      <c r="C593" s="2017"/>
      <c r="D593" s="2017"/>
      <c r="E593" s="2017"/>
      <c r="F593" s="2017"/>
      <c r="G593" s="2017"/>
      <c r="H593" s="2017"/>
      <c r="I593" s="2017"/>
      <c r="J593" s="2017"/>
    </row>
    <row r="594" spans="2:10">
      <c r="B594" s="64"/>
      <c r="C594" s="449"/>
      <c r="D594" s="449"/>
      <c r="E594" s="449"/>
      <c r="F594" s="449"/>
      <c r="G594" s="449"/>
      <c r="H594" s="449"/>
      <c r="I594" s="449"/>
      <c r="J594" s="449"/>
    </row>
    <row r="595" spans="2:10">
      <c r="B595" s="2100" t="s">
        <v>219</v>
      </c>
      <c r="C595" s="2100"/>
      <c r="D595" s="2100"/>
      <c r="E595" s="2100"/>
      <c r="F595" s="2100"/>
      <c r="G595" s="2100"/>
      <c r="H595" s="2100"/>
      <c r="I595" s="2100"/>
      <c r="J595" s="2100"/>
    </row>
    <row r="596" spans="2:10">
      <c r="B596" s="12" t="s">
        <v>218</v>
      </c>
      <c r="C596" s="449"/>
      <c r="D596" s="449"/>
      <c r="E596" s="449"/>
      <c r="F596" s="449"/>
      <c r="G596" s="449"/>
      <c r="H596" s="449"/>
      <c r="I596" s="449"/>
      <c r="J596" s="449"/>
    </row>
    <row r="597" spans="2:10">
      <c r="B597" s="77" t="s">
        <v>269</v>
      </c>
      <c r="C597" s="449"/>
      <c r="D597" s="449"/>
      <c r="E597" s="449"/>
      <c r="F597" s="449"/>
      <c r="G597" s="449"/>
      <c r="H597" s="449"/>
      <c r="I597" s="449"/>
      <c r="J597" s="449"/>
    </row>
    <row r="598" spans="2:10">
      <c r="B598" s="76"/>
      <c r="C598" s="449"/>
      <c r="D598" s="449"/>
      <c r="E598" s="449"/>
      <c r="F598" s="449"/>
      <c r="G598" s="449"/>
      <c r="H598" s="449"/>
      <c r="I598" s="449"/>
      <c r="J598" s="449"/>
    </row>
    <row r="599" spans="2:10">
      <c r="B599" s="61"/>
      <c r="C599" s="303">
        <v>2014</v>
      </c>
      <c r="D599" s="303">
        <v>2015</v>
      </c>
      <c r="E599" s="303">
        <v>2016</v>
      </c>
      <c r="F599" s="303">
        <v>2017</v>
      </c>
      <c r="G599" s="303">
        <v>2018</v>
      </c>
      <c r="H599" s="303">
        <v>2019</v>
      </c>
      <c r="I599" s="303">
        <v>2020</v>
      </c>
      <c r="J599" s="303">
        <v>2021</v>
      </c>
    </row>
    <row r="600" spans="2:10">
      <c r="B600" s="59" t="s">
        <v>1348</v>
      </c>
      <c r="C600" s="449"/>
      <c r="D600" s="449"/>
      <c r="E600" s="449"/>
      <c r="F600" s="449"/>
      <c r="G600" s="449"/>
      <c r="H600" s="449"/>
      <c r="I600" s="449"/>
      <c r="J600" s="449"/>
    </row>
    <row r="601" spans="2:10">
      <c r="B601" s="71" t="s">
        <v>217</v>
      </c>
      <c r="C601" s="865"/>
      <c r="D601" s="865"/>
      <c r="E601" s="865"/>
      <c r="F601" s="865"/>
      <c r="G601" s="865"/>
      <c r="H601" s="865"/>
      <c r="I601" s="865"/>
      <c r="J601" s="865"/>
    </row>
    <row r="602" spans="2:10">
      <c r="B602" s="52" t="s">
        <v>150</v>
      </c>
      <c r="C602" s="865">
        <v>0</v>
      </c>
      <c r="D602" s="865">
        <v>0</v>
      </c>
      <c r="E602" s="865">
        <v>0</v>
      </c>
      <c r="F602" s="865">
        <v>0</v>
      </c>
      <c r="G602" s="865">
        <v>0</v>
      </c>
      <c r="H602" s="865">
        <v>0</v>
      </c>
      <c r="I602" s="865">
        <v>0</v>
      </c>
      <c r="J602" s="865">
        <v>0</v>
      </c>
    </row>
    <row r="603" spans="2:10">
      <c r="B603" s="52" t="s">
        <v>214</v>
      </c>
      <c r="C603" s="865">
        <v>0</v>
      </c>
      <c r="D603" s="865">
        <v>0</v>
      </c>
      <c r="E603" s="865">
        <v>0</v>
      </c>
      <c r="F603" s="865">
        <v>0</v>
      </c>
      <c r="G603" s="865">
        <v>0</v>
      </c>
      <c r="H603" s="865">
        <v>0</v>
      </c>
      <c r="I603" s="865">
        <v>0</v>
      </c>
      <c r="J603" s="865">
        <v>0</v>
      </c>
    </row>
    <row r="604" spans="2:10">
      <c r="B604" s="52" t="s">
        <v>147</v>
      </c>
      <c r="C604" s="865">
        <v>0</v>
      </c>
      <c r="D604" s="865">
        <v>0</v>
      </c>
      <c r="E604" s="865">
        <v>0</v>
      </c>
      <c r="F604" s="865">
        <v>0</v>
      </c>
      <c r="G604" s="865">
        <v>0</v>
      </c>
      <c r="H604" s="865">
        <v>0</v>
      </c>
      <c r="I604" s="865">
        <v>0</v>
      </c>
      <c r="J604" s="865">
        <v>0</v>
      </c>
    </row>
    <row r="605" spans="2:10">
      <c r="B605" s="52" t="s">
        <v>146</v>
      </c>
      <c r="C605" s="865">
        <v>12</v>
      </c>
      <c r="D605" s="865">
        <v>12</v>
      </c>
      <c r="E605" s="865">
        <v>13</v>
      </c>
      <c r="F605" s="865">
        <v>13</v>
      </c>
      <c r="G605" s="865">
        <v>13</v>
      </c>
      <c r="H605" s="865">
        <v>13</v>
      </c>
      <c r="I605" s="865">
        <v>13</v>
      </c>
      <c r="J605" s="865">
        <v>14</v>
      </c>
    </row>
    <row r="606" spans="2:10">
      <c r="B606" s="52"/>
      <c r="C606" s="1013"/>
      <c r="D606" s="1013"/>
      <c r="E606" s="1013"/>
      <c r="F606" s="1013"/>
      <c r="G606" s="1013"/>
      <c r="H606" s="1013"/>
      <c r="I606" s="1013"/>
      <c r="J606" s="1013"/>
    </row>
    <row r="607" spans="2:10">
      <c r="B607" s="71" t="s">
        <v>216</v>
      </c>
      <c r="C607" s="865"/>
      <c r="D607" s="865"/>
      <c r="E607" s="865"/>
      <c r="F607" s="865"/>
      <c r="G607" s="865"/>
      <c r="H607" s="865"/>
      <c r="I607" s="865"/>
      <c r="J607" s="865"/>
    </row>
    <row r="608" spans="2:10">
      <c r="B608" s="52" t="s">
        <v>150</v>
      </c>
      <c r="C608" s="865">
        <v>0</v>
      </c>
      <c r="D608" s="865">
        <v>0</v>
      </c>
      <c r="E608" s="865">
        <v>0</v>
      </c>
      <c r="F608" s="865">
        <v>0</v>
      </c>
      <c r="G608" s="865">
        <v>0</v>
      </c>
      <c r="H608" s="865">
        <v>0</v>
      </c>
      <c r="I608" s="865">
        <v>0</v>
      </c>
      <c r="J608" s="865">
        <v>0</v>
      </c>
    </row>
    <row r="609" spans="2:10">
      <c r="B609" s="52" t="s">
        <v>214</v>
      </c>
      <c r="C609" s="865">
        <v>0</v>
      </c>
      <c r="D609" s="865">
        <v>0</v>
      </c>
      <c r="E609" s="865">
        <v>0</v>
      </c>
      <c r="F609" s="865">
        <v>0</v>
      </c>
      <c r="G609" s="865">
        <v>0</v>
      </c>
      <c r="H609" s="865">
        <v>0</v>
      </c>
      <c r="I609" s="865">
        <v>0</v>
      </c>
      <c r="J609" s="865">
        <v>0</v>
      </c>
    </row>
    <row r="610" spans="2:10">
      <c r="B610" s="52" t="s">
        <v>147</v>
      </c>
      <c r="C610" s="865">
        <v>0</v>
      </c>
      <c r="D610" s="865">
        <v>0</v>
      </c>
      <c r="E610" s="865">
        <v>0</v>
      </c>
      <c r="F610" s="865">
        <v>0</v>
      </c>
      <c r="G610" s="865">
        <v>0</v>
      </c>
      <c r="H610" s="865">
        <v>0</v>
      </c>
      <c r="I610" s="865">
        <v>0</v>
      </c>
      <c r="J610" s="865">
        <v>0</v>
      </c>
    </row>
    <row r="611" spans="2:10">
      <c r="B611" s="52" t="s">
        <v>146</v>
      </c>
      <c r="C611" s="865">
        <v>12</v>
      </c>
      <c r="D611" s="865">
        <v>12</v>
      </c>
      <c r="E611" s="865">
        <v>13</v>
      </c>
      <c r="F611" s="865">
        <v>13</v>
      </c>
      <c r="G611" s="865">
        <v>13</v>
      </c>
      <c r="H611" s="865">
        <v>13</v>
      </c>
      <c r="I611" s="865">
        <v>13</v>
      </c>
      <c r="J611" s="865">
        <v>14</v>
      </c>
    </row>
    <row r="612" spans="2:10">
      <c r="B612" s="52"/>
      <c r="C612" s="1014"/>
      <c r="D612" s="1014"/>
      <c r="E612" s="1014"/>
      <c r="F612" s="1014"/>
      <c r="G612" s="1014"/>
      <c r="H612" s="1014"/>
      <c r="I612" s="1014"/>
      <c r="J612" s="1014"/>
    </row>
    <row r="613" spans="2:10">
      <c r="B613" s="71" t="s">
        <v>215</v>
      </c>
      <c r="C613" s="865"/>
      <c r="D613" s="865"/>
      <c r="E613" s="865"/>
      <c r="F613" s="865"/>
      <c r="G613" s="865"/>
      <c r="H613" s="865"/>
      <c r="I613" s="865"/>
      <c r="J613" s="865"/>
    </row>
    <row r="614" spans="2:10">
      <c r="B614" s="52" t="s">
        <v>150</v>
      </c>
      <c r="C614" s="865">
        <v>0</v>
      </c>
      <c r="D614" s="865">
        <v>0</v>
      </c>
      <c r="E614" s="865">
        <v>0</v>
      </c>
      <c r="F614" s="865">
        <v>0</v>
      </c>
      <c r="G614" s="865">
        <v>0</v>
      </c>
      <c r="H614" s="865">
        <v>0</v>
      </c>
      <c r="I614" s="865">
        <v>0</v>
      </c>
      <c r="J614" s="865">
        <v>0</v>
      </c>
    </row>
    <row r="615" spans="2:10">
      <c r="B615" s="52" t="s">
        <v>214</v>
      </c>
      <c r="C615" s="865">
        <v>0</v>
      </c>
      <c r="D615" s="865">
        <v>0</v>
      </c>
      <c r="E615" s="865">
        <v>0</v>
      </c>
      <c r="F615" s="865">
        <v>0</v>
      </c>
      <c r="G615" s="865">
        <v>0</v>
      </c>
      <c r="H615" s="865">
        <v>0</v>
      </c>
      <c r="I615" s="865">
        <v>0</v>
      </c>
      <c r="J615" s="865">
        <v>0</v>
      </c>
    </row>
    <row r="616" spans="2:10">
      <c r="B616" s="52" t="s">
        <v>147</v>
      </c>
      <c r="C616" s="865">
        <v>0</v>
      </c>
      <c r="D616" s="865">
        <v>0</v>
      </c>
      <c r="E616" s="865">
        <v>0</v>
      </c>
      <c r="F616" s="865">
        <v>0</v>
      </c>
      <c r="G616" s="865">
        <v>0</v>
      </c>
      <c r="H616" s="865">
        <v>0</v>
      </c>
      <c r="I616" s="865">
        <v>0</v>
      </c>
      <c r="J616" s="865">
        <v>0</v>
      </c>
    </row>
    <row r="617" spans="2:10" ht="15" thickBot="1">
      <c r="B617" s="52" t="s">
        <v>146</v>
      </c>
      <c r="C617" s="865">
        <v>0</v>
      </c>
      <c r="D617" s="865">
        <v>0</v>
      </c>
      <c r="E617" s="865">
        <v>0</v>
      </c>
      <c r="F617" s="865">
        <v>0</v>
      </c>
      <c r="G617" s="865">
        <v>0</v>
      </c>
      <c r="H617" s="865">
        <v>0</v>
      </c>
      <c r="I617" s="865">
        <v>0</v>
      </c>
      <c r="J617" s="865">
        <v>0</v>
      </c>
    </row>
    <row r="618" spans="2:10" ht="15" thickTop="1">
      <c r="B618" s="2025" t="s">
        <v>1574</v>
      </c>
      <c r="C618" s="2025"/>
      <c r="D618" s="2025"/>
      <c r="E618" s="2025"/>
      <c r="F618" s="2025"/>
      <c r="G618" s="2025"/>
      <c r="H618" s="2025"/>
      <c r="I618" s="2025"/>
      <c r="J618" s="2025"/>
    </row>
    <row r="619" spans="2:10">
      <c r="B619" s="2017"/>
      <c r="C619" s="2017"/>
      <c r="D619" s="2017"/>
      <c r="E619" s="2017"/>
      <c r="F619" s="2017"/>
      <c r="G619" s="2017"/>
      <c r="H619" s="2017"/>
      <c r="I619" s="2017"/>
      <c r="J619" s="2017"/>
    </row>
    <row r="620" spans="2:10">
      <c r="B620" s="62"/>
      <c r="C620" s="449"/>
      <c r="D620" s="449"/>
      <c r="E620" s="449"/>
      <c r="F620" s="449"/>
      <c r="G620" s="449"/>
      <c r="H620" s="449"/>
      <c r="I620" s="449"/>
      <c r="J620" s="449"/>
    </row>
    <row r="621" spans="2:10">
      <c r="B621" s="2100" t="s">
        <v>212</v>
      </c>
      <c r="C621" s="2100"/>
      <c r="D621" s="2100"/>
      <c r="E621" s="2100"/>
      <c r="F621" s="2100"/>
      <c r="G621" s="2100"/>
      <c r="H621" s="2100"/>
      <c r="I621" s="2100"/>
      <c r="J621" s="2100"/>
    </row>
    <row r="622" spans="2:10">
      <c r="B622" s="12" t="s">
        <v>211</v>
      </c>
      <c r="C622" s="449"/>
      <c r="D622" s="449"/>
      <c r="E622" s="449"/>
      <c r="F622" s="449"/>
      <c r="G622" s="449"/>
      <c r="H622" s="449"/>
      <c r="I622" s="449"/>
      <c r="J622" s="449"/>
    </row>
    <row r="623" spans="2:10">
      <c r="B623" s="64" t="s">
        <v>210</v>
      </c>
      <c r="C623" s="449"/>
      <c r="D623" s="449"/>
      <c r="E623" s="449"/>
      <c r="F623" s="449"/>
      <c r="G623" s="449"/>
      <c r="H623" s="449"/>
      <c r="I623" s="449"/>
      <c r="J623" s="449"/>
    </row>
    <row r="624" spans="2:10">
      <c r="B624" s="61"/>
      <c r="C624" s="303">
        <v>2014</v>
      </c>
      <c r="D624" s="303">
        <v>2015</v>
      </c>
      <c r="E624" s="303">
        <v>2016</v>
      </c>
      <c r="F624" s="303">
        <v>2017</v>
      </c>
      <c r="G624" s="303">
        <v>2018</v>
      </c>
      <c r="H624" s="303">
        <v>2019</v>
      </c>
      <c r="I624" s="303">
        <v>2020</v>
      </c>
      <c r="J624" s="303">
        <v>2021</v>
      </c>
    </row>
    <row r="625" spans="2:10">
      <c r="B625" s="1015" t="s">
        <v>1593</v>
      </c>
      <c r="C625" s="449"/>
      <c r="D625" s="449"/>
      <c r="E625" s="449"/>
      <c r="F625" s="449"/>
      <c r="G625" s="449"/>
      <c r="H625" s="449"/>
      <c r="I625" s="449"/>
      <c r="J625" s="449"/>
    </row>
    <row r="626" spans="2:10">
      <c r="B626" s="71" t="s">
        <v>209</v>
      </c>
      <c r="C626" s="814">
        <v>14.763999999999999</v>
      </c>
      <c r="D626" s="814">
        <v>17.108000000000001</v>
      </c>
      <c r="E626" s="814">
        <v>24.972000000000001</v>
      </c>
      <c r="F626" s="814">
        <v>24.134</v>
      </c>
      <c r="G626" s="814">
        <v>18.582000000000001</v>
      </c>
      <c r="H626" s="814">
        <v>19.272000000000002</v>
      </c>
      <c r="I626" s="814">
        <v>16.963000000000001</v>
      </c>
      <c r="J626" s="814">
        <v>17.071999999999999</v>
      </c>
    </row>
    <row r="627" spans="2:10">
      <c r="B627" s="71"/>
      <c r="C627" s="304"/>
      <c r="D627" s="304"/>
      <c r="E627" s="304"/>
      <c r="F627" s="304"/>
      <c r="G627" s="304"/>
      <c r="H627" s="304"/>
      <c r="I627" s="304"/>
      <c r="J627" s="304"/>
    </row>
    <row r="628" spans="2:10">
      <c r="B628" s="71" t="s">
        <v>208</v>
      </c>
      <c r="C628" s="814"/>
      <c r="D628" s="814"/>
      <c r="E628" s="814"/>
      <c r="F628" s="814"/>
      <c r="G628" s="814"/>
      <c r="H628" s="814"/>
      <c r="I628" s="814"/>
      <c r="J628" s="814"/>
    </row>
    <row r="629" spans="2:10">
      <c r="B629" s="52" t="s">
        <v>121</v>
      </c>
      <c r="C629" s="814"/>
      <c r="D629" s="814"/>
      <c r="E629" s="814"/>
      <c r="F629" s="814"/>
      <c r="G629" s="814"/>
      <c r="H629" s="814"/>
      <c r="I629" s="814"/>
      <c r="J629" s="814"/>
    </row>
    <row r="630" spans="2:10">
      <c r="B630" s="53" t="s">
        <v>120</v>
      </c>
      <c r="C630" s="814">
        <v>0.46500000000000002</v>
      </c>
      <c r="D630" s="814">
        <v>0.57099999999999995</v>
      </c>
      <c r="E630" s="814">
        <v>0.57599999999999996</v>
      </c>
      <c r="F630" s="814">
        <v>0.33100000000000002</v>
      </c>
      <c r="G630" s="814">
        <v>0.21299999999999999</v>
      </c>
      <c r="H630" s="814">
        <v>0.91400000000000003</v>
      </c>
      <c r="I630" s="814">
        <v>0.67700000000000005</v>
      </c>
      <c r="J630" s="814">
        <v>0.624</v>
      </c>
    </row>
    <row r="631" spans="2:10">
      <c r="B631" s="53" t="s">
        <v>119</v>
      </c>
      <c r="C631" s="814"/>
      <c r="D631" s="814"/>
      <c r="E631" s="814"/>
      <c r="F631" s="814"/>
      <c r="G631" s="814"/>
      <c r="H631" s="814"/>
      <c r="I631" s="814"/>
      <c r="J631" s="814"/>
    </row>
    <row r="632" spans="2:10">
      <c r="B632" s="53" t="s">
        <v>172</v>
      </c>
      <c r="C632" s="814">
        <v>14.298999999999999</v>
      </c>
      <c r="D632" s="814">
        <v>16.536999999999999</v>
      </c>
      <c r="E632" s="814">
        <v>24.396000000000001</v>
      </c>
      <c r="F632" s="814">
        <v>23.803000000000001</v>
      </c>
      <c r="G632" s="814">
        <v>18.369</v>
      </c>
      <c r="H632" s="814">
        <v>18.358000000000001</v>
      </c>
      <c r="I632" s="814">
        <v>16.286000000000001</v>
      </c>
      <c r="J632" s="814">
        <v>16.448</v>
      </c>
    </row>
    <row r="633" spans="2:10">
      <c r="B633" s="52" t="s">
        <v>118</v>
      </c>
      <c r="C633" s="814"/>
      <c r="D633" s="814"/>
      <c r="E633" s="814"/>
      <c r="F633" s="814"/>
      <c r="G633" s="814"/>
      <c r="H633" s="814"/>
      <c r="I633" s="814"/>
      <c r="J633" s="814"/>
    </row>
    <row r="634" spans="2:10">
      <c r="B634" s="52" t="s">
        <v>117</v>
      </c>
      <c r="C634" s="814"/>
      <c r="D634" s="814"/>
      <c r="E634" s="814"/>
      <c r="F634" s="814"/>
      <c r="G634" s="814"/>
      <c r="H634" s="814"/>
      <c r="I634" s="814"/>
      <c r="J634" s="814"/>
    </row>
    <row r="635" spans="2:10">
      <c r="B635" s="52"/>
      <c r="C635" s="304"/>
      <c r="D635" s="304"/>
      <c r="E635" s="304"/>
      <c r="F635" s="304"/>
      <c r="G635" s="304"/>
      <c r="H635" s="304"/>
      <c r="I635" s="304"/>
      <c r="J635" s="304"/>
    </row>
    <row r="636" spans="2:10">
      <c r="B636" s="83" t="s">
        <v>205</v>
      </c>
      <c r="C636" s="814"/>
      <c r="D636" s="814"/>
      <c r="E636" s="814"/>
      <c r="F636" s="814"/>
      <c r="G636" s="814"/>
      <c r="H636" s="814"/>
      <c r="I636" s="814"/>
      <c r="J636" s="814"/>
    </row>
    <row r="637" spans="2:10">
      <c r="B637" s="81" t="s">
        <v>121</v>
      </c>
      <c r="C637" s="814"/>
      <c r="D637" s="814"/>
      <c r="E637" s="814"/>
      <c r="F637" s="814"/>
      <c r="G637" s="814"/>
      <c r="H637" s="814"/>
      <c r="I637" s="814"/>
      <c r="J637" s="814"/>
    </row>
    <row r="638" spans="2:10">
      <c r="B638" s="82" t="s">
        <v>120</v>
      </c>
      <c r="C638" s="814">
        <v>0.46500000000000002</v>
      </c>
      <c r="D638" s="814">
        <v>0.57099999999999995</v>
      </c>
      <c r="E638" s="814">
        <v>0.57599999999999996</v>
      </c>
      <c r="F638" s="814">
        <v>0.33100000000000002</v>
      </c>
      <c r="G638" s="814">
        <v>0.21299999999999999</v>
      </c>
      <c r="H638" s="814">
        <v>0.91400000000000003</v>
      </c>
      <c r="I638" s="814">
        <v>0.67700000000000005</v>
      </c>
      <c r="J638" s="814">
        <v>0.624</v>
      </c>
    </row>
    <row r="639" spans="2:10">
      <c r="B639" s="82" t="s">
        <v>119</v>
      </c>
      <c r="C639" s="1016"/>
      <c r="D639" s="1016"/>
      <c r="E639" s="1016"/>
      <c r="F639" s="1016"/>
      <c r="G639" s="1016"/>
      <c r="H639" s="1016"/>
      <c r="I639" s="1016"/>
      <c r="J639" s="1016"/>
    </row>
    <row r="640" spans="2:10">
      <c r="B640" s="82" t="s">
        <v>172</v>
      </c>
      <c r="C640" s="814">
        <v>14.298999999999999</v>
      </c>
      <c r="D640" s="814">
        <v>16.536999999999999</v>
      </c>
      <c r="E640" s="814">
        <v>24.396000000000001</v>
      </c>
      <c r="F640" s="814">
        <v>23.803000000000001</v>
      </c>
      <c r="G640" s="814">
        <v>18.369</v>
      </c>
      <c r="H640" s="814">
        <v>18.358000000000001</v>
      </c>
      <c r="I640" s="814">
        <v>16.286000000000001</v>
      </c>
      <c r="J640" s="814">
        <v>16.448</v>
      </c>
    </row>
    <row r="641" spans="2:10">
      <c r="B641" s="81" t="s">
        <v>118</v>
      </c>
      <c r="C641" s="1016"/>
      <c r="D641" s="1016"/>
      <c r="E641" s="1016"/>
      <c r="F641" s="1016"/>
      <c r="G641" s="1016"/>
      <c r="H641" s="1016"/>
      <c r="I641" s="1016"/>
      <c r="J641" s="1016"/>
    </row>
    <row r="642" spans="2:10">
      <c r="B642" s="81" t="s">
        <v>117</v>
      </c>
      <c r="C642" s="1016"/>
      <c r="D642" s="1016"/>
      <c r="E642" s="1016"/>
      <c r="F642" s="1016"/>
      <c r="G642" s="1016"/>
      <c r="H642" s="1016"/>
      <c r="I642" s="1016"/>
      <c r="J642" s="1016"/>
    </row>
    <row r="643" spans="2:10">
      <c r="B643" s="81"/>
      <c r="C643" s="305"/>
      <c r="D643" s="305"/>
      <c r="E643" s="305"/>
      <c r="F643" s="305"/>
      <c r="G643" s="305"/>
      <c r="H643" s="305"/>
      <c r="I643" s="305"/>
      <c r="J643" s="305"/>
    </row>
    <row r="644" spans="2:10">
      <c r="B644" s="83" t="s">
        <v>204</v>
      </c>
      <c r="C644" s="305"/>
      <c r="D644" s="305"/>
      <c r="E644" s="305"/>
      <c r="F644" s="305"/>
      <c r="G644" s="305"/>
      <c r="H644" s="305"/>
      <c r="I644" s="305"/>
      <c r="J644" s="305"/>
    </row>
    <row r="645" spans="2:10">
      <c r="B645" s="81" t="s">
        <v>121</v>
      </c>
      <c r="C645" s="1009">
        <v>0</v>
      </c>
      <c r="D645" s="1009">
        <v>0</v>
      </c>
      <c r="E645" s="1009">
        <v>0</v>
      </c>
      <c r="F645" s="1009">
        <v>0</v>
      </c>
      <c r="G645" s="1009">
        <v>0</v>
      </c>
      <c r="H645" s="1009">
        <v>0</v>
      </c>
      <c r="I645" s="1009">
        <v>0</v>
      </c>
      <c r="J645" s="1009">
        <v>0</v>
      </c>
    </row>
    <row r="646" spans="2:10">
      <c r="B646" s="82" t="s">
        <v>120</v>
      </c>
      <c r="C646" s="1009">
        <v>0</v>
      </c>
      <c r="D646" s="1009">
        <v>0</v>
      </c>
      <c r="E646" s="1009">
        <v>0</v>
      </c>
      <c r="F646" s="1009">
        <v>0</v>
      </c>
      <c r="G646" s="1009">
        <v>0</v>
      </c>
      <c r="H646" s="1009">
        <v>0</v>
      </c>
      <c r="I646" s="1009">
        <v>0</v>
      </c>
      <c r="J646" s="1009">
        <v>0</v>
      </c>
    </row>
    <row r="647" spans="2:10">
      <c r="B647" s="82" t="s">
        <v>119</v>
      </c>
      <c r="C647" s="1009">
        <v>0</v>
      </c>
      <c r="D647" s="1009">
        <v>0</v>
      </c>
      <c r="E647" s="1009">
        <v>0</v>
      </c>
      <c r="F647" s="1009">
        <v>0</v>
      </c>
      <c r="G647" s="1009">
        <v>0</v>
      </c>
      <c r="H647" s="1009">
        <v>0</v>
      </c>
      <c r="I647" s="1009">
        <v>0</v>
      </c>
      <c r="J647" s="1009">
        <v>0</v>
      </c>
    </row>
    <row r="648" spans="2:10">
      <c r="B648" s="82" t="s">
        <v>172</v>
      </c>
      <c r="C648" s="1009">
        <v>0</v>
      </c>
      <c r="D648" s="1009">
        <v>0</v>
      </c>
      <c r="E648" s="1009">
        <v>0</v>
      </c>
      <c r="F648" s="1009">
        <v>0</v>
      </c>
      <c r="G648" s="1009">
        <v>0</v>
      </c>
      <c r="H648" s="1009">
        <v>0</v>
      </c>
      <c r="I648" s="1009">
        <v>0</v>
      </c>
      <c r="J648" s="1009">
        <v>0</v>
      </c>
    </row>
    <row r="649" spans="2:10">
      <c r="B649" s="81" t="s">
        <v>118</v>
      </c>
      <c r="C649" s="1009">
        <v>0</v>
      </c>
      <c r="D649" s="1009">
        <v>0</v>
      </c>
      <c r="E649" s="1009">
        <v>0</v>
      </c>
      <c r="F649" s="1009">
        <v>0</v>
      </c>
      <c r="G649" s="1009">
        <v>0</v>
      </c>
      <c r="H649" s="1009">
        <v>0</v>
      </c>
      <c r="I649" s="1009">
        <v>0</v>
      </c>
      <c r="J649" s="1009">
        <v>0</v>
      </c>
    </row>
    <row r="650" spans="2:10">
      <c r="B650" s="81" t="s">
        <v>117</v>
      </c>
      <c r="C650" s="1009">
        <v>0</v>
      </c>
      <c r="D650" s="1009">
        <v>0</v>
      </c>
      <c r="E650" s="1009">
        <v>0</v>
      </c>
      <c r="F650" s="1009">
        <v>0</v>
      </c>
      <c r="G650" s="1009">
        <v>0</v>
      </c>
      <c r="H650" s="1009">
        <v>0</v>
      </c>
      <c r="I650" s="1009">
        <v>0</v>
      </c>
      <c r="J650" s="1009">
        <v>0</v>
      </c>
    </row>
    <row r="651" spans="2:10">
      <c r="B651" s="81"/>
      <c r="C651" s="305"/>
      <c r="D651" s="305"/>
      <c r="E651" s="305"/>
      <c r="F651" s="305"/>
      <c r="G651" s="305"/>
      <c r="H651" s="305"/>
      <c r="I651" s="305"/>
      <c r="J651" s="305"/>
    </row>
    <row r="652" spans="2:10" ht="25">
      <c r="B652" s="71" t="s">
        <v>203</v>
      </c>
      <c r="C652" s="1016"/>
      <c r="D652" s="1016"/>
      <c r="E652" s="1016"/>
      <c r="F652" s="1016"/>
      <c r="G652" s="1016"/>
      <c r="H652" s="1016"/>
      <c r="I652" s="1016"/>
      <c r="J652" s="1016"/>
    </row>
    <row r="653" spans="2:10">
      <c r="B653" s="52" t="s">
        <v>169</v>
      </c>
      <c r="C653" s="1009">
        <v>0</v>
      </c>
      <c r="D653" s="1009">
        <v>0</v>
      </c>
      <c r="E653" s="1009">
        <v>0</v>
      </c>
      <c r="F653" s="1009">
        <v>0</v>
      </c>
      <c r="G653" s="1009">
        <v>0</v>
      </c>
      <c r="H653" s="1009">
        <v>0</v>
      </c>
      <c r="I653" s="1009">
        <v>0</v>
      </c>
      <c r="J653" s="1009">
        <v>0</v>
      </c>
    </row>
    <row r="654" spans="2:10">
      <c r="B654" s="52" t="s">
        <v>168</v>
      </c>
      <c r="C654" s="1009">
        <v>0</v>
      </c>
      <c r="D654" s="1009">
        <v>0</v>
      </c>
      <c r="E654" s="1009">
        <v>0</v>
      </c>
      <c r="F654" s="1009">
        <v>0</v>
      </c>
      <c r="G654" s="1009">
        <v>0</v>
      </c>
      <c r="H654" s="1009">
        <v>0</v>
      </c>
      <c r="I654" s="1009">
        <v>0</v>
      </c>
      <c r="J654" s="1009">
        <v>0</v>
      </c>
    </row>
    <row r="655" spans="2:10">
      <c r="B655" s="52" t="s">
        <v>167</v>
      </c>
      <c r="C655" s="1009">
        <v>0</v>
      </c>
      <c r="D655" s="1009">
        <v>0</v>
      </c>
      <c r="E655" s="1009">
        <v>0</v>
      </c>
      <c r="F655" s="1009">
        <v>0</v>
      </c>
      <c r="G655" s="1009">
        <v>0</v>
      </c>
      <c r="H655" s="1009">
        <v>0</v>
      </c>
      <c r="I655" s="1009">
        <v>0</v>
      </c>
      <c r="J655" s="1009">
        <v>0</v>
      </c>
    </row>
    <row r="656" spans="2:10">
      <c r="B656" s="52" t="s">
        <v>166</v>
      </c>
      <c r="C656" s="1009">
        <v>0</v>
      </c>
      <c r="D656" s="1009">
        <v>0</v>
      </c>
      <c r="E656" s="1009">
        <v>0</v>
      </c>
      <c r="F656" s="1009">
        <v>0</v>
      </c>
      <c r="G656" s="1009">
        <v>0</v>
      </c>
      <c r="H656" s="1009">
        <v>0</v>
      </c>
      <c r="I656" s="1009">
        <v>0</v>
      </c>
      <c r="J656" s="1009">
        <v>0</v>
      </c>
    </row>
    <row r="657" spans="2:10">
      <c r="B657" s="52" t="s">
        <v>165</v>
      </c>
      <c r="C657" s="1009">
        <v>0</v>
      </c>
      <c r="D657" s="1009">
        <v>0</v>
      </c>
      <c r="E657" s="1009">
        <v>0</v>
      </c>
      <c r="F657" s="1009">
        <v>0</v>
      </c>
      <c r="G657" s="1009">
        <v>0</v>
      </c>
      <c r="H657" s="1009">
        <v>0</v>
      </c>
      <c r="I657" s="1009">
        <v>0</v>
      </c>
      <c r="J657" s="1009">
        <v>0</v>
      </c>
    </row>
    <row r="658" spans="2:10">
      <c r="B658" s="52" t="s">
        <v>164</v>
      </c>
      <c r="C658" s="1009">
        <v>0</v>
      </c>
      <c r="D658" s="1009">
        <v>0</v>
      </c>
      <c r="E658" s="1009">
        <v>0</v>
      </c>
      <c r="F658" s="1009">
        <v>0</v>
      </c>
      <c r="G658" s="1009">
        <v>0</v>
      </c>
      <c r="H658" s="1009">
        <v>0</v>
      </c>
      <c r="I658" s="1009">
        <v>0</v>
      </c>
      <c r="J658" s="1009">
        <v>0</v>
      </c>
    </row>
    <row r="659" spans="2:10">
      <c r="B659" s="52"/>
      <c r="C659" s="305"/>
      <c r="D659" s="305"/>
      <c r="E659" s="305"/>
      <c r="F659" s="305"/>
      <c r="G659" s="305"/>
      <c r="H659" s="305"/>
      <c r="I659" s="305"/>
      <c r="J659" s="305"/>
    </row>
    <row r="660" spans="2:10">
      <c r="B660" s="80" t="s">
        <v>202</v>
      </c>
      <c r="C660" s="1016"/>
      <c r="D660" s="1016"/>
      <c r="E660" s="1016"/>
      <c r="F660" s="1016"/>
      <c r="G660" s="1016"/>
      <c r="H660" s="1016"/>
      <c r="I660" s="1016"/>
      <c r="J660" s="1016"/>
    </row>
    <row r="661" spans="2:10">
      <c r="B661" s="52" t="s">
        <v>169</v>
      </c>
      <c r="C661" s="1009">
        <v>0</v>
      </c>
      <c r="D661" s="1009">
        <v>0</v>
      </c>
      <c r="E661" s="1009">
        <v>0</v>
      </c>
      <c r="F661" s="1009">
        <v>0</v>
      </c>
      <c r="G661" s="1009">
        <v>0</v>
      </c>
      <c r="H661" s="1009">
        <v>0</v>
      </c>
      <c r="I661" s="1009">
        <v>0</v>
      </c>
      <c r="J661" s="1009">
        <v>0</v>
      </c>
    </row>
    <row r="662" spans="2:10">
      <c r="B662" s="52" t="s">
        <v>168</v>
      </c>
      <c r="C662" s="1009">
        <v>0</v>
      </c>
      <c r="D662" s="1009">
        <v>0</v>
      </c>
      <c r="E662" s="1009">
        <v>0</v>
      </c>
      <c r="F662" s="1009">
        <v>0</v>
      </c>
      <c r="G662" s="1009">
        <v>0</v>
      </c>
      <c r="H662" s="1009">
        <v>0</v>
      </c>
      <c r="I662" s="1009">
        <v>0</v>
      </c>
      <c r="J662" s="1009">
        <v>0</v>
      </c>
    </row>
    <row r="663" spans="2:10">
      <c r="B663" s="52" t="s">
        <v>167</v>
      </c>
      <c r="C663" s="1009">
        <v>0</v>
      </c>
      <c r="D663" s="1009">
        <v>0</v>
      </c>
      <c r="E663" s="1009">
        <v>0</v>
      </c>
      <c r="F663" s="1009">
        <v>0</v>
      </c>
      <c r="G663" s="1009">
        <v>0</v>
      </c>
      <c r="H663" s="1009">
        <v>0</v>
      </c>
      <c r="I663" s="1009">
        <v>0</v>
      </c>
      <c r="J663" s="1009">
        <v>0</v>
      </c>
    </row>
    <row r="664" spans="2:10">
      <c r="B664" s="52" t="s">
        <v>166</v>
      </c>
      <c r="C664" s="1009">
        <v>0</v>
      </c>
      <c r="D664" s="1009">
        <v>0</v>
      </c>
      <c r="E664" s="1009">
        <v>0</v>
      </c>
      <c r="F664" s="1009">
        <v>0</v>
      </c>
      <c r="G664" s="1009">
        <v>0</v>
      </c>
      <c r="H664" s="1009">
        <v>0</v>
      </c>
      <c r="I664" s="1009">
        <v>0</v>
      </c>
      <c r="J664" s="1009">
        <v>0</v>
      </c>
    </row>
    <row r="665" spans="2:10">
      <c r="B665" s="52" t="s">
        <v>165</v>
      </c>
      <c r="C665" s="1009">
        <v>0</v>
      </c>
      <c r="D665" s="1009">
        <v>0</v>
      </c>
      <c r="E665" s="1009">
        <v>0</v>
      </c>
      <c r="F665" s="1009">
        <v>0</v>
      </c>
      <c r="G665" s="1009">
        <v>0</v>
      </c>
      <c r="H665" s="1009">
        <v>0</v>
      </c>
      <c r="I665" s="1009">
        <v>0</v>
      </c>
      <c r="J665" s="1009">
        <v>0</v>
      </c>
    </row>
    <row r="666" spans="2:10">
      <c r="B666" s="52" t="s">
        <v>164</v>
      </c>
      <c r="C666" s="1009">
        <v>0</v>
      </c>
      <c r="D666" s="1009">
        <v>0</v>
      </c>
      <c r="E666" s="1009">
        <v>0</v>
      </c>
      <c r="F666" s="1009">
        <v>0</v>
      </c>
      <c r="G666" s="1009">
        <v>0</v>
      </c>
      <c r="H666" s="1009">
        <v>0</v>
      </c>
      <c r="I666" s="1009">
        <v>0</v>
      </c>
      <c r="J666" s="1009">
        <v>0</v>
      </c>
    </row>
    <row r="667" spans="2:10">
      <c r="B667" s="52"/>
      <c r="C667" s="1016"/>
      <c r="D667" s="1016"/>
      <c r="E667" s="1016"/>
      <c r="F667" s="1016"/>
      <c r="G667" s="1016"/>
      <c r="H667" s="1016"/>
      <c r="I667" s="1016"/>
      <c r="J667" s="1016"/>
    </row>
    <row r="668" spans="2:10">
      <c r="B668" s="59" t="s">
        <v>1348</v>
      </c>
      <c r="C668" s="449"/>
      <c r="D668" s="449"/>
      <c r="E668" s="449"/>
      <c r="F668" s="449"/>
      <c r="G668" s="449"/>
      <c r="H668" s="449"/>
      <c r="I668" s="449"/>
      <c r="J668" s="449"/>
    </row>
    <row r="669" spans="2:10">
      <c r="B669" s="71" t="s">
        <v>209</v>
      </c>
      <c r="C669" s="815">
        <v>20716</v>
      </c>
      <c r="D669" s="815">
        <v>30181</v>
      </c>
      <c r="E669" s="815">
        <v>46332</v>
      </c>
      <c r="F669" s="815">
        <v>67074</v>
      </c>
      <c r="G669" s="815">
        <v>88932</v>
      </c>
      <c r="H669" s="815">
        <v>347170</v>
      </c>
      <c r="I669" s="815">
        <v>489278</v>
      </c>
      <c r="J669" s="815">
        <v>285634</v>
      </c>
    </row>
    <row r="670" spans="2:10">
      <c r="B670" s="71"/>
      <c r="C670" s="305"/>
      <c r="D670" s="305"/>
      <c r="E670" s="305"/>
      <c r="F670" s="305"/>
      <c r="G670" s="305"/>
      <c r="H670" s="305"/>
      <c r="I670" s="305"/>
      <c r="J670" s="305"/>
    </row>
    <row r="671" spans="2:10">
      <c r="B671" s="71" t="s">
        <v>208</v>
      </c>
      <c r="C671" s="815"/>
      <c r="D671" s="815"/>
      <c r="E671" s="815"/>
      <c r="F671" s="815"/>
      <c r="G671" s="815"/>
      <c r="H671" s="815"/>
      <c r="I671" s="815"/>
      <c r="J671" s="815"/>
    </row>
    <row r="672" spans="2:10">
      <c r="B672" s="52" t="s">
        <v>121</v>
      </c>
      <c r="C672" s="307">
        <v>0</v>
      </c>
      <c r="D672" s="307">
        <v>0</v>
      </c>
      <c r="E672" s="307">
        <v>0</v>
      </c>
      <c r="F672" s="307">
        <v>0</v>
      </c>
      <c r="G672" s="307">
        <v>0</v>
      </c>
      <c r="H672" s="307">
        <v>0</v>
      </c>
      <c r="I672" s="307">
        <v>0</v>
      </c>
      <c r="J672" s="307"/>
    </row>
    <row r="673" spans="2:10">
      <c r="B673" s="53" t="s">
        <v>120</v>
      </c>
      <c r="C673" s="1009">
        <v>0</v>
      </c>
      <c r="D673" s="1009">
        <v>0</v>
      </c>
      <c r="E673" s="1009">
        <v>0</v>
      </c>
      <c r="F673" s="1009">
        <v>0</v>
      </c>
      <c r="G673" s="1009">
        <v>0</v>
      </c>
      <c r="H673" s="1009">
        <v>0</v>
      </c>
      <c r="I673" s="1009">
        <v>0</v>
      </c>
      <c r="J673" s="1009"/>
    </row>
    <row r="674" spans="2:10">
      <c r="B674" s="53" t="s">
        <v>119</v>
      </c>
      <c r="C674" s="1009">
        <v>0</v>
      </c>
      <c r="D674" s="1009">
        <v>9</v>
      </c>
      <c r="E674" s="1009">
        <v>3</v>
      </c>
      <c r="F674" s="1009">
        <v>8</v>
      </c>
      <c r="G674" s="1009">
        <v>4</v>
      </c>
      <c r="H674" s="1009">
        <v>0</v>
      </c>
      <c r="I674" s="1009">
        <v>0</v>
      </c>
      <c r="J674" s="1009">
        <v>67</v>
      </c>
    </row>
    <row r="675" spans="2:10">
      <c r="B675" s="53" t="s">
        <v>172</v>
      </c>
      <c r="C675" s="1009">
        <v>0</v>
      </c>
      <c r="D675" s="1009">
        <v>0</v>
      </c>
      <c r="E675" s="1009">
        <v>0</v>
      </c>
      <c r="F675" s="1009">
        <v>0</v>
      </c>
      <c r="G675" s="1009">
        <v>0</v>
      </c>
      <c r="H675" s="1009">
        <v>0</v>
      </c>
      <c r="I675" s="1009">
        <v>0</v>
      </c>
      <c r="J675" s="1009"/>
    </row>
    <row r="676" spans="2:10">
      <c r="B676" s="52" t="s">
        <v>118</v>
      </c>
      <c r="C676" s="815">
        <v>20716</v>
      </c>
      <c r="D676" s="815">
        <v>30172</v>
      </c>
      <c r="E676" s="815">
        <v>46329</v>
      </c>
      <c r="F676" s="815">
        <v>67066</v>
      </c>
      <c r="G676" s="815">
        <v>88928</v>
      </c>
      <c r="H676" s="815">
        <v>347170</v>
      </c>
      <c r="I676" s="815">
        <v>489278</v>
      </c>
      <c r="J676" s="815">
        <v>285567</v>
      </c>
    </row>
    <row r="677" spans="2:10">
      <c r="B677" s="52" t="s">
        <v>117</v>
      </c>
      <c r="C677" s="1009">
        <v>0</v>
      </c>
      <c r="D677" s="1009">
        <v>0</v>
      </c>
      <c r="E677" s="1009">
        <v>0</v>
      </c>
      <c r="F677" s="1009">
        <v>0</v>
      </c>
      <c r="G677" s="1009">
        <v>0</v>
      </c>
      <c r="H677" s="1009">
        <v>0</v>
      </c>
      <c r="I677" s="1009">
        <v>0</v>
      </c>
      <c r="J677" s="1009"/>
    </row>
    <row r="678" spans="2:10">
      <c r="B678" s="52"/>
      <c r="C678" s="305"/>
      <c r="D678" s="305"/>
      <c r="E678" s="305"/>
      <c r="F678" s="305"/>
      <c r="G678" s="305"/>
      <c r="H678" s="305"/>
      <c r="I678" s="305"/>
      <c r="J678" s="305"/>
    </row>
    <row r="679" spans="2:10">
      <c r="B679" s="83" t="s">
        <v>205</v>
      </c>
      <c r="C679" s="305"/>
      <c r="D679" s="305"/>
      <c r="E679" s="305"/>
      <c r="F679" s="305"/>
      <c r="G679" s="305"/>
      <c r="H679" s="305"/>
      <c r="I679" s="305"/>
      <c r="J679" s="305"/>
    </row>
    <row r="680" spans="2:10">
      <c r="B680" s="81" t="s">
        <v>121</v>
      </c>
      <c r="C680" s="1009"/>
      <c r="D680" s="1009"/>
      <c r="E680" s="1009"/>
      <c r="F680" s="1009"/>
      <c r="G680" s="1009"/>
      <c r="H680" s="1009"/>
      <c r="I680" s="1009"/>
      <c r="J680" s="1009"/>
    </row>
    <row r="681" spans="2:10">
      <c r="B681" s="82" t="s">
        <v>120</v>
      </c>
      <c r="C681" s="1009">
        <v>0</v>
      </c>
      <c r="D681" s="1009">
        <v>0</v>
      </c>
      <c r="E681" s="1009">
        <v>0</v>
      </c>
      <c r="F681" s="1009">
        <v>0</v>
      </c>
      <c r="G681" s="1009">
        <v>0</v>
      </c>
      <c r="H681" s="1009">
        <v>0</v>
      </c>
      <c r="I681" s="1009">
        <v>0</v>
      </c>
      <c r="J681" s="1009">
        <v>0</v>
      </c>
    </row>
    <row r="682" spans="2:10">
      <c r="B682" s="82" t="s">
        <v>119</v>
      </c>
      <c r="C682" s="1009">
        <v>0</v>
      </c>
      <c r="D682" s="1009">
        <v>0</v>
      </c>
      <c r="E682" s="1009">
        <v>0</v>
      </c>
      <c r="F682" s="1009">
        <v>0</v>
      </c>
      <c r="G682" s="1009">
        <v>0</v>
      </c>
      <c r="H682" s="1009">
        <v>0</v>
      </c>
      <c r="I682" s="1009">
        <v>0</v>
      </c>
      <c r="J682" s="1009">
        <v>0</v>
      </c>
    </row>
    <row r="683" spans="2:10">
      <c r="B683" s="82" t="s">
        <v>172</v>
      </c>
      <c r="C683" s="1009">
        <v>0</v>
      </c>
      <c r="D683" s="1009">
        <v>0</v>
      </c>
      <c r="E683" s="1009">
        <v>0</v>
      </c>
      <c r="F683" s="1009">
        <v>0</v>
      </c>
      <c r="G683" s="1009">
        <v>0</v>
      </c>
      <c r="H683" s="1009">
        <v>0</v>
      </c>
      <c r="I683" s="1009">
        <v>0</v>
      </c>
      <c r="J683" s="1009">
        <v>0</v>
      </c>
    </row>
    <row r="684" spans="2:10">
      <c r="B684" s="81" t="s">
        <v>118</v>
      </c>
      <c r="C684" s="1009">
        <v>0</v>
      </c>
      <c r="D684" s="1009">
        <v>0</v>
      </c>
      <c r="E684" s="1009">
        <v>0</v>
      </c>
      <c r="F684" s="1009">
        <v>0</v>
      </c>
      <c r="G684" s="1009">
        <v>0</v>
      </c>
      <c r="H684" s="1009">
        <v>0</v>
      </c>
      <c r="I684" s="1009">
        <v>0</v>
      </c>
      <c r="J684" s="1009">
        <v>0</v>
      </c>
    </row>
    <row r="685" spans="2:10">
      <c r="B685" s="81" t="s">
        <v>117</v>
      </c>
      <c r="C685" s="1009">
        <v>0</v>
      </c>
      <c r="D685" s="1009">
        <v>0</v>
      </c>
      <c r="E685" s="1009">
        <v>0</v>
      </c>
      <c r="F685" s="1009">
        <v>0</v>
      </c>
      <c r="G685" s="1009">
        <v>0</v>
      </c>
      <c r="H685" s="1009">
        <v>0</v>
      </c>
      <c r="I685" s="1009">
        <v>0</v>
      </c>
      <c r="J685" s="1009">
        <v>0</v>
      </c>
    </row>
    <row r="686" spans="2:10">
      <c r="B686" s="81"/>
      <c r="C686" s="305"/>
      <c r="D686" s="305"/>
      <c r="E686" s="305"/>
      <c r="F686" s="305"/>
      <c r="G686" s="305"/>
      <c r="H686" s="305"/>
      <c r="I686" s="305"/>
      <c r="J686" s="305"/>
    </row>
    <row r="687" spans="2:10">
      <c r="B687" s="83" t="s">
        <v>204</v>
      </c>
      <c r="C687" s="305"/>
      <c r="D687" s="305"/>
      <c r="E687" s="305"/>
      <c r="F687" s="305"/>
      <c r="G687" s="305"/>
      <c r="H687" s="305"/>
      <c r="I687" s="305"/>
      <c r="J687" s="305"/>
    </row>
    <row r="688" spans="2:10">
      <c r="B688" s="81" t="s">
        <v>121</v>
      </c>
      <c r="C688" s="1009">
        <v>0</v>
      </c>
      <c r="D688" s="1009">
        <v>0</v>
      </c>
      <c r="E688" s="1009">
        <v>0</v>
      </c>
      <c r="F688" s="1009">
        <v>0</v>
      </c>
      <c r="G688" s="1009">
        <v>0</v>
      </c>
      <c r="H688" s="1009">
        <v>0</v>
      </c>
      <c r="I688" s="1009">
        <v>0</v>
      </c>
      <c r="J688" s="1009">
        <v>0</v>
      </c>
    </row>
    <row r="689" spans="2:10">
      <c r="B689" s="82" t="s">
        <v>120</v>
      </c>
      <c r="C689" s="1009">
        <v>0</v>
      </c>
      <c r="D689" s="1009">
        <v>0</v>
      </c>
      <c r="E689" s="1009">
        <v>0</v>
      </c>
      <c r="F689" s="1009">
        <v>0</v>
      </c>
      <c r="G689" s="1009">
        <v>0</v>
      </c>
      <c r="H689" s="1009">
        <v>0</v>
      </c>
      <c r="I689" s="1009">
        <v>0</v>
      </c>
      <c r="J689" s="1009">
        <v>0</v>
      </c>
    </row>
    <row r="690" spans="2:10">
      <c r="B690" s="82" t="s">
        <v>119</v>
      </c>
      <c r="C690" s="1009">
        <v>0</v>
      </c>
      <c r="D690" s="1009">
        <v>0</v>
      </c>
      <c r="E690" s="1009">
        <v>0</v>
      </c>
      <c r="F690" s="1009">
        <v>0</v>
      </c>
      <c r="G690" s="1009">
        <v>0</v>
      </c>
      <c r="H690" s="1009">
        <v>0</v>
      </c>
      <c r="I690" s="1009">
        <v>0</v>
      </c>
      <c r="J690" s="1009">
        <v>0</v>
      </c>
    </row>
    <row r="691" spans="2:10">
      <c r="B691" s="82" t="s">
        <v>172</v>
      </c>
      <c r="C691" s="1009">
        <v>0</v>
      </c>
      <c r="D691" s="1009">
        <v>0</v>
      </c>
      <c r="E691" s="1009">
        <v>0</v>
      </c>
      <c r="F691" s="1009">
        <v>0</v>
      </c>
      <c r="G691" s="1009">
        <v>0</v>
      </c>
      <c r="H691" s="1009">
        <v>0</v>
      </c>
      <c r="I691" s="1009">
        <v>0</v>
      </c>
      <c r="J691" s="1009">
        <v>0</v>
      </c>
    </row>
    <row r="692" spans="2:10">
      <c r="B692" s="81" t="s">
        <v>118</v>
      </c>
      <c r="C692" s="1009">
        <v>0</v>
      </c>
      <c r="D692" s="1009">
        <v>0</v>
      </c>
      <c r="E692" s="1009">
        <v>0</v>
      </c>
      <c r="F692" s="1009">
        <v>0</v>
      </c>
      <c r="G692" s="1009">
        <v>0</v>
      </c>
      <c r="H692" s="1009">
        <v>0</v>
      </c>
      <c r="I692" s="1009">
        <v>0</v>
      </c>
      <c r="J692" s="1009">
        <v>0</v>
      </c>
    </row>
    <row r="693" spans="2:10">
      <c r="B693" s="81" t="s">
        <v>117</v>
      </c>
      <c r="C693" s="1009">
        <v>0</v>
      </c>
      <c r="D693" s="1009">
        <v>0</v>
      </c>
      <c r="E693" s="1009">
        <v>0</v>
      </c>
      <c r="F693" s="1009">
        <v>0</v>
      </c>
      <c r="G693" s="1009">
        <v>0</v>
      </c>
      <c r="H693" s="1009">
        <v>0</v>
      </c>
      <c r="I693" s="1009">
        <v>0</v>
      </c>
      <c r="J693" s="1009">
        <v>0</v>
      </c>
    </row>
    <row r="694" spans="2:10">
      <c r="B694" s="81"/>
      <c r="C694" s="305"/>
      <c r="D694" s="305"/>
      <c r="E694" s="305"/>
      <c r="F694" s="305"/>
      <c r="G694" s="305"/>
      <c r="H694" s="305"/>
      <c r="I694" s="305"/>
      <c r="J694" s="305"/>
    </row>
    <row r="695" spans="2:10" ht="25">
      <c r="B695" s="71" t="s">
        <v>203</v>
      </c>
      <c r="C695" s="1009"/>
      <c r="D695" s="1009"/>
      <c r="E695" s="1009"/>
      <c r="F695" s="1009"/>
      <c r="G695" s="1009"/>
      <c r="H695" s="1009"/>
      <c r="I695" s="1009"/>
      <c r="J695" s="1009"/>
    </row>
    <row r="696" spans="2:10">
      <c r="B696" s="52" t="s">
        <v>169</v>
      </c>
      <c r="C696" s="1009">
        <v>0</v>
      </c>
      <c r="D696" s="1009">
        <v>0</v>
      </c>
      <c r="E696" s="1009">
        <v>0</v>
      </c>
      <c r="F696" s="1009">
        <v>0</v>
      </c>
      <c r="G696" s="1009">
        <v>0</v>
      </c>
      <c r="H696" s="1009">
        <v>0</v>
      </c>
      <c r="I696" s="1009">
        <v>0</v>
      </c>
      <c r="J696" s="1009">
        <v>0</v>
      </c>
    </row>
    <row r="697" spans="2:10">
      <c r="B697" s="52" t="s">
        <v>168</v>
      </c>
      <c r="C697" s="1009">
        <v>0</v>
      </c>
      <c r="D697" s="1009">
        <v>0</v>
      </c>
      <c r="E697" s="1009">
        <v>0</v>
      </c>
      <c r="F697" s="1009">
        <v>0</v>
      </c>
      <c r="G697" s="1009">
        <v>0</v>
      </c>
      <c r="H697" s="1009">
        <v>0</v>
      </c>
      <c r="I697" s="1009">
        <v>0</v>
      </c>
      <c r="J697" s="1009">
        <v>0</v>
      </c>
    </row>
    <row r="698" spans="2:10">
      <c r="B698" s="52" t="s">
        <v>167</v>
      </c>
      <c r="C698" s="1009">
        <v>0</v>
      </c>
      <c r="D698" s="1009">
        <v>0</v>
      </c>
      <c r="E698" s="1009">
        <v>0</v>
      </c>
      <c r="F698" s="1009">
        <v>0</v>
      </c>
      <c r="G698" s="1009">
        <v>0</v>
      </c>
      <c r="H698" s="1009">
        <v>0</v>
      </c>
      <c r="I698" s="1009">
        <v>0</v>
      </c>
      <c r="J698" s="1009">
        <v>0</v>
      </c>
    </row>
    <row r="699" spans="2:10">
      <c r="B699" s="52" t="s">
        <v>166</v>
      </c>
      <c r="C699" s="1009">
        <v>0</v>
      </c>
      <c r="D699" s="1009">
        <v>0</v>
      </c>
      <c r="E699" s="1009">
        <v>0</v>
      </c>
      <c r="F699" s="1009">
        <v>0</v>
      </c>
      <c r="G699" s="1009">
        <v>0</v>
      </c>
      <c r="H699" s="1009">
        <v>0</v>
      </c>
      <c r="I699" s="1009">
        <v>0</v>
      </c>
      <c r="J699" s="1009">
        <v>0</v>
      </c>
    </row>
    <row r="700" spans="2:10">
      <c r="B700" s="52" t="s">
        <v>165</v>
      </c>
      <c r="C700" s="1009">
        <v>0</v>
      </c>
      <c r="D700" s="1009">
        <v>0</v>
      </c>
      <c r="E700" s="1009">
        <v>0</v>
      </c>
      <c r="F700" s="1009">
        <v>0</v>
      </c>
      <c r="G700" s="1009">
        <v>0</v>
      </c>
      <c r="H700" s="1009">
        <v>0</v>
      </c>
      <c r="I700" s="1009">
        <v>0</v>
      </c>
      <c r="J700" s="1009">
        <v>0</v>
      </c>
    </row>
    <row r="701" spans="2:10">
      <c r="B701" s="52" t="s">
        <v>164</v>
      </c>
      <c r="C701" s="1009">
        <v>0</v>
      </c>
      <c r="D701" s="1009">
        <v>0</v>
      </c>
      <c r="E701" s="1009">
        <v>0</v>
      </c>
      <c r="F701" s="1009">
        <v>0</v>
      </c>
      <c r="G701" s="1009">
        <v>0</v>
      </c>
      <c r="H701" s="1009">
        <v>0</v>
      </c>
      <c r="I701" s="1009">
        <v>0</v>
      </c>
      <c r="J701" s="1009">
        <v>0</v>
      </c>
    </row>
    <row r="702" spans="2:10">
      <c r="B702" s="52"/>
      <c r="C702" s="305"/>
      <c r="D702" s="305"/>
      <c r="E702" s="305"/>
      <c r="F702" s="305"/>
      <c r="G702" s="305"/>
      <c r="H702" s="305"/>
      <c r="I702" s="305"/>
      <c r="J702" s="305"/>
    </row>
    <row r="703" spans="2:10">
      <c r="B703" s="80" t="s">
        <v>202</v>
      </c>
      <c r="C703" s="1009"/>
      <c r="D703" s="1009"/>
      <c r="E703" s="1009"/>
      <c r="F703" s="1009"/>
      <c r="G703" s="1009"/>
      <c r="H703" s="1009"/>
      <c r="I703" s="1009"/>
      <c r="J703" s="1009"/>
    </row>
    <row r="704" spans="2:10">
      <c r="B704" s="52" t="s">
        <v>169</v>
      </c>
      <c r="C704" s="1009">
        <v>0</v>
      </c>
      <c r="D704" s="1009">
        <v>0</v>
      </c>
      <c r="E704" s="1009">
        <v>0</v>
      </c>
      <c r="F704" s="1009">
        <v>0</v>
      </c>
      <c r="G704" s="1009">
        <v>0</v>
      </c>
      <c r="H704" s="1009">
        <v>0</v>
      </c>
      <c r="I704" s="1009">
        <v>0</v>
      </c>
      <c r="J704" s="1009">
        <v>0</v>
      </c>
    </row>
    <row r="705" spans="2:10">
      <c r="B705" s="52" t="s">
        <v>168</v>
      </c>
      <c r="C705" s="1009">
        <v>0</v>
      </c>
      <c r="D705" s="1009">
        <v>0</v>
      </c>
      <c r="E705" s="1009">
        <v>0</v>
      </c>
      <c r="F705" s="1009">
        <v>0</v>
      </c>
      <c r="G705" s="1009">
        <v>0</v>
      </c>
      <c r="H705" s="1009">
        <v>0</v>
      </c>
      <c r="I705" s="1009">
        <v>0</v>
      </c>
      <c r="J705" s="1009">
        <v>0</v>
      </c>
    </row>
    <row r="706" spans="2:10">
      <c r="B706" s="52" t="s">
        <v>167</v>
      </c>
      <c r="C706" s="1009">
        <v>0</v>
      </c>
      <c r="D706" s="1009">
        <v>0</v>
      </c>
      <c r="E706" s="1009">
        <v>0</v>
      </c>
      <c r="F706" s="1009">
        <v>0</v>
      </c>
      <c r="G706" s="1009">
        <v>0</v>
      </c>
      <c r="H706" s="1009">
        <v>0</v>
      </c>
      <c r="I706" s="1009">
        <v>0</v>
      </c>
      <c r="J706" s="1009">
        <v>0</v>
      </c>
    </row>
    <row r="707" spans="2:10">
      <c r="B707" s="52" t="s">
        <v>166</v>
      </c>
      <c r="C707" s="1009">
        <v>0</v>
      </c>
      <c r="D707" s="1009">
        <v>0</v>
      </c>
      <c r="E707" s="1009">
        <v>0</v>
      </c>
      <c r="F707" s="1009">
        <v>0</v>
      </c>
      <c r="G707" s="1009">
        <v>0</v>
      </c>
      <c r="H707" s="1009">
        <v>0</v>
      </c>
      <c r="I707" s="1009">
        <v>0</v>
      </c>
      <c r="J707" s="1009">
        <v>0</v>
      </c>
    </row>
    <row r="708" spans="2:10">
      <c r="B708" s="52" t="s">
        <v>165</v>
      </c>
      <c r="C708" s="1009">
        <v>0</v>
      </c>
      <c r="D708" s="1009">
        <v>0</v>
      </c>
      <c r="E708" s="1009">
        <v>0</v>
      </c>
      <c r="F708" s="1009">
        <v>0</v>
      </c>
      <c r="G708" s="1009">
        <v>0</v>
      </c>
      <c r="H708" s="1009">
        <v>0</v>
      </c>
      <c r="I708" s="1009">
        <v>0</v>
      </c>
      <c r="J708" s="1009">
        <v>0</v>
      </c>
    </row>
    <row r="709" spans="2:10" ht="15" thickBot="1">
      <c r="B709" s="52" t="s">
        <v>164</v>
      </c>
      <c r="C709" s="1009">
        <v>0</v>
      </c>
      <c r="D709" s="1009">
        <v>0</v>
      </c>
      <c r="E709" s="1009">
        <v>0</v>
      </c>
      <c r="F709" s="1009">
        <v>0</v>
      </c>
      <c r="G709" s="1009">
        <v>0</v>
      </c>
      <c r="H709" s="1009">
        <v>0</v>
      </c>
      <c r="I709" s="1009">
        <v>0</v>
      </c>
      <c r="J709" s="1009">
        <v>0</v>
      </c>
    </row>
    <row r="710" spans="2:10" ht="15" thickTop="1">
      <c r="B710" s="2025" t="s">
        <v>1574</v>
      </c>
      <c r="C710" s="2025"/>
      <c r="D710" s="2025"/>
      <c r="E710" s="2025"/>
      <c r="F710" s="2025"/>
      <c r="G710" s="2025"/>
      <c r="H710" s="2025"/>
      <c r="I710" s="2025"/>
      <c r="J710" s="2025"/>
    </row>
    <row r="711" spans="2:10">
      <c r="B711" s="2017"/>
      <c r="C711" s="2017"/>
      <c r="D711" s="2017"/>
      <c r="E711" s="2017"/>
      <c r="F711" s="2017"/>
      <c r="G711" s="2017"/>
      <c r="H711" s="2017"/>
      <c r="I711" s="2017"/>
      <c r="J711" s="2017"/>
    </row>
    <row r="712" spans="2:10">
      <c r="B712" s="64"/>
      <c r="C712" s="449"/>
      <c r="D712" s="449"/>
      <c r="E712" s="449"/>
      <c r="F712" s="449"/>
      <c r="G712" s="449"/>
      <c r="H712" s="449"/>
      <c r="I712" s="449"/>
      <c r="J712" s="449"/>
    </row>
    <row r="713" spans="2:10">
      <c r="B713" s="2100" t="s">
        <v>199</v>
      </c>
      <c r="C713" s="2100"/>
      <c r="D713" s="2100"/>
      <c r="E713" s="2100"/>
      <c r="F713" s="2100"/>
      <c r="G713" s="2100"/>
      <c r="H713" s="2100"/>
      <c r="I713" s="2100"/>
      <c r="J713" s="2100"/>
    </row>
    <row r="714" spans="2:10">
      <c r="B714" s="12" t="s">
        <v>198</v>
      </c>
      <c r="C714" s="449"/>
      <c r="D714" s="449"/>
      <c r="E714" s="449"/>
      <c r="F714" s="449"/>
      <c r="G714" s="449"/>
      <c r="H714" s="449"/>
      <c r="I714" s="449"/>
      <c r="J714" s="449"/>
    </row>
    <row r="715" spans="2:10">
      <c r="B715" s="62" t="s">
        <v>127</v>
      </c>
      <c r="C715" s="449"/>
      <c r="D715" s="449"/>
      <c r="E715" s="449"/>
      <c r="F715" s="449"/>
      <c r="G715" s="449"/>
      <c r="H715" s="449"/>
      <c r="I715" s="449"/>
      <c r="J715" s="449"/>
    </row>
    <row r="716" spans="2:10">
      <c r="B716" s="62"/>
      <c r="C716" s="449"/>
      <c r="D716" s="449"/>
      <c r="E716" s="449"/>
      <c r="F716" s="449"/>
      <c r="G716" s="449"/>
      <c r="H716" s="449"/>
      <c r="I716" s="449"/>
      <c r="J716" s="449"/>
    </row>
    <row r="717" spans="2:10">
      <c r="B717" s="61"/>
      <c r="C717" s="303">
        <v>2014</v>
      </c>
      <c r="D717" s="303">
        <v>2015</v>
      </c>
      <c r="E717" s="303">
        <v>2016</v>
      </c>
      <c r="F717" s="303">
        <v>2017</v>
      </c>
      <c r="G717" s="303">
        <v>2018</v>
      </c>
      <c r="H717" s="303">
        <v>2019</v>
      </c>
      <c r="I717" s="303">
        <v>2020</v>
      </c>
      <c r="J717" s="303">
        <v>2021</v>
      </c>
    </row>
    <row r="718" spans="2:10">
      <c r="B718" s="1015" t="s">
        <v>1593</v>
      </c>
      <c r="C718" s="449"/>
      <c r="D718" s="449"/>
      <c r="E718" s="449"/>
      <c r="F718" s="449"/>
      <c r="G718" s="449"/>
      <c r="H718" s="449"/>
      <c r="I718" s="449"/>
      <c r="J718" s="449"/>
    </row>
    <row r="719" spans="2:10">
      <c r="B719" s="71" t="s">
        <v>186</v>
      </c>
      <c r="C719" s="818">
        <v>31714.2973118515</v>
      </c>
      <c r="D719" s="818">
        <v>30670.435208106544</v>
      </c>
      <c r="E719" s="818">
        <v>42437.464067423636</v>
      </c>
      <c r="F719" s="818">
        <v>33078.560388606755</v>
      </c>
      <c r="G719" s="818">
        <v>25240.611974048712</v>
      </c>
      <c r="H719" s="818">
        <v>44935.42505542533</v>
      </c>
      <c r="I719" s="818">
        <v>26486.91265922791</v>
      </c>
      <c r="J719" s="818">
        <v>42911.768817405369</v>
      </c>
    </row>
    <row r="720" spans="2:10">
      <c r="B720" s="71"/>
      <c r="C720" s="306"/>
      <c r="D720" s="306"/>
      <c r="E720" s="306"/>
      <c r="F720" s="306"/>
      <c r="G720" s="306"/>
      <c r="H720" s="306"/>
      <c r="I720" s="306"/>
      <c r="J720" s="306"/>
    </row>
    <row r="721" spans="2:10">
      <c r="B721" s="71" t="s">
        <v>190</v>
      </c>
      <c r="C721" s="818"/>
      <c r="D721" s="818"/>
      <c r="E721" s="818"/>
      <c r="F721" s="818"/>
      <c r="G721" s="818"/>
      <c r="H721" s="818"/>
      <c r="I721" s="818"/>
      <c r="J721" s="818"/>
    </row>
    <row r="722" spans="2:10">
      <c r="B722" s="52" t="s">
        <v>121</v>
      </c>
      <c r="C722" s="818"/>
      <c r="D722" s="818"/>
      <c r="E722" s="818"/>
      <c r="F722" s="818"/>
      <c r="G722" s="818"/>
      <c r="H722" s="818"/>
      <c r="I722" s="818"/>
      <c r="J722" s="818"/>
    </row>
    <row r="723" spans="2:10">
      <c r="B723" s="53" t="s">
        <v>120</v>
      </c>
      <c r="C723" s="818">
        <v>431.08277901669879</v>
      </c>
      <c r="D723" s="818">
        <v>620.36213511605695</v>
      </c>
      <c r="E723" s="818">
        <v>879.02979124948217</v>
      </c>
      <c r="F723" s="818">
        <v>1297.5832077337354</v>
      </c>
      <c r="G723" s="818">
        <v>384.46240179397756</v>
      </c>
      <c r="H723" s="818">
        <v>13642.554195249268</v>
      </c>
      <c r="I723" s="818">
        <v>3938.3478222465865</v>
      </c>
      <c r="J723" s="818">
        <v>2213.6961127825662</v>
      </c>
    </row>
    <row r="724" spans="2:10">
      <c r="B724" s="53" t="s">
        <v>119</v>
      </c>
      <c r="C724" s="818"/>
      <c r="D724" s="818"/>
      <c r="E724" s="818"/>
      <c r="F724" s="818"/>
      <c r="G724" s="818"/>
      <c r="H724" s="818"/>
      <c r="I724" s="818"/>
      <c r="J724" s="818"/>
    </row>
    <row r="725" spans="2:10">
      <c r="B725" s="53" t="s">
        <v>197</v>
      </c>
      <c r="C725" s="818">
        <v>31283.214532834798</v>
      </c>
      <c r="D725" s="818">
        <v>30050.073072990486</v>
      </c>
      <c r="E725" s="818">
        <v>41558.434276174157</v>
      </c>
      <c r="F725" s="818">
        <v>31780.977180873022</v>
      </c>
      <c r="G725" s="818">
        <v>24856.149572254733</v>
      </c>
      <c r="H725" s="818">
        <v>31292.870860176063</v>
      </c>
      <c r="I725" s="818">
        <v>22548.564836981324</v>
      </c>
      <c r="J725" s="818">
        <v>40698.072704622798</v>
      </c>
    </row>
    <row r="726" spans="2:10">
      <c r="B726" s="52" t="s">
        <v>118</v>
      </c>
      <c r="C726" s="818"/>
      <c r="D726" s="818"/>
      <c r="E726" s="818"/>
      <c r="F726" s="818"/>
      <c r="G726" s="818"/>
      <c r="H726" s="818"/>
      <c r="I726" s="818"/>
      <c r="J726" s="818"/>
    </row>
    <row r="727" spans="2:10">
      <c r="B727" s="52" t="s">
        <v>117</v>
      </c>
      <c r="C727" s="818"/>
      <c r="D727" s="818"/>
      <c r="E727" s="818"/>
      <c r="F727" s="818"/>
      <c r="G727" s="818"/>
      <c r="H727" s="818"/>
      <c r="I727" s="818"/>
      <c r="J727" s="818"/>
    </row>
    <row r="728" spans="2:10">
      <c r="B728" s="52"/>
      <c r="C728" s="306"/>
      <c r="D728" s="306"/>
      <c r="E728" s="306"/>
      <c r="F728" s="306"/>
      <c r="G728" s="306"/>
      <c r="H728" s="306"/>
      <c r="I728" s="306"/>
      <c r="J728" s="306"/>
    </row>
    <row r="729" spans="2:10">
      <c r="B729" s="83" t="s">
        <v>187</v>
      </c>
      <c r="C729" s="818"/>
      <c r="D729" s="818"/>
      <c r="E729" s="818"/>
      <c r="F729" s="818"/>
      <c r="G729" s="818"/>
      <c r="H729" s="818"/>
      <c r="I729" s="818"/>
      <c r="J729" s="818"/>
    </row>
    <row r="730" spans="2:10">
      <c r="B730" s="81" t="s">
        <v>121</v>
      </c>
      <c r="C730" s="818"/>
      <c r="D730" s="818"/>
      <c r="E730" s="818"/>
      <c r="F730" s="818"/>
      <c r="G730" s="818"/>
      <c r="H730" s="818"/>
      <c r="I730" s="818"/>
      <c r="J730" s="818"/>
    </row>
    <row r="731" spans="2:10">
      <c r="B731" s="82" t="s">
        <v>120</v>
      </c>
      <c r="C731" s="818">
        <v>431.08277901669879</v>
      </c>
      <c r="D731" s="818">
        <v>620.36213511605695</v>
      </c>
      <c r="E731" s="818">
        <v>879.02979124948217</v>
      </c>
      <c r="F731" s="818">
        <v>1297.5832077337354</v>
      </c>
      <c r="G731" s="818">
        <v>384.46240179397756</v>
      </c>
      <c r="H731" s="818">
        <v>13642.554195249268</v>
      </c>
      <c r="I731" s="818">
        <v>3938.3478222465865</v>
      </c>
      <c r="J731" s="818">
        <v>2213.6961127825662</v>
      </c>
    </row>
    <row r="732" spans="2:10">
      <c r="B732" s="82" t="s">
        <v>119</v>
      </c>
      <c r="C732" s="818"/>
      <c r="D732" s="818"/>
      <c r="E732" s="818"/>
      <c r="F732" s="818"/>
      <c r="G732" s="818"/>
      <c r="H732" s="818"/>
      <c r="I732" s="818"/>
      <c r="J732" s="818"/>
    </row>
    <row r="733" spans="2:10">
      <c r="B733" s="82" t="s">
        <v>172</v>
      </c>
      <c r="C733" s="818">
        <v>31283.214532834798</v>
      </c>
      <c r="D733" s="818">
        <v>30050.073072990486</v>
      </c>
      <c r="E733" s="818">
        <v>41558.434276174157</v>
      </c>
      <c r="F733" s="818">
        <v>31780.977180873022</v>
      </c>
      <c r="G733" s="818">
        <v>24856.149572254733</v>
      </c>
      <c r="H733" s="818">
        <v>31292.870860176063</v>
      </c>
      <c r="I733" s="818">
        <v>22548.564836981324</v>
      </c>
      <c r="J733" s="818">
        <v>40698.072704622798</v>
      </c>
    </row>
    <row r="734" spans="2:10">
      <c r="B734" s="81" t="s">
        <v>118</v>
      </c>
      <c r="C734" s="1017"/>
      <c r="D734" s="1017"/>
      <c r="E734" s="1017"/>
      <c r="F734" s="1017"/>
      <c r="G734" s="1017"/>
      <c r="H734" s="1017"/>
      <c r="I734" s="1017"/>
      <c r="J734" s="1017"/>
    </row>
    <row r="735" spans="2:10">
      <c r="B735" s="81" t="s">
        <v>117</v>
      </c>
      <c r="C735" s="1017"/>
      <c r="D735" s="1017"/>
      <c r="E735" s="1017"/>
      <c r="F735" s="1017"/>
      <c r="G735" s="1017"/>
      <c r="H735" s="1017"/>
      <c r="I735" s="1017"/>
      <c r="J735" s="1017"/>
    </row>
    <row r="736" spans="2:10">
      <c r="B736" s="81"/>
      <c r="C736" s="307"/>
      <c r="D736" s="307"/>
      <c r="E736" s="307"/>
      <c r="F736" s="307"/>
      <c r="G736" s="307"/>
      <c r="H736" s="307"/>
      <c r="I736" s="307"/>
      <c r="J736" s="307"/>
    </row>
    <row r="737" spans="2:10">
      <c r="B737" s="83" t="s">
        <v>173</v>
      </c>
      <c r="C737" s="307"/>
      <c r="D737" s="307"/>
      <c r="E737" s="307"/>
      <c r="F737" s="307"/>
      <c r="G737" s="307"/>
      <c r="H737" s="307"/>
      <c r="I737" s="307"/>
      <c r="J737" s="307"/>
    </row>
    <row r="738" spans="2:10">
      <c r="B738" s="81" t="s">
        <v>121</v>
      </c>
      <c r="C738" s="1017" t="s">
        <v>2086</v>
      </c>
      <c r="D738" s="1017" t="s">
        <v>2086</v>
      </c>
      <c r="E738" s="1017" t="s">
        <v>2086</v>
      </c>
      <c r="F738" s="1017" t="s">
        <v>2086</v>
      </c>
      <c r="G738" s="1017" t="s">
        <v>2086</v>
      </c>
      <c r="H738" s="1017" t="s">
        <v>2086</v>
      </c>
      <c r="I738" s="1017" t="s">
        <v>2086</v>
      </c>
      <c r="J738" s="1017" t="s">
        <v>2086</v>
      </c>
    </row>
    <row r="739" spans="2:10">
      <c r="B739" s="82" t="s">
        <v>120</v>
      </c>
      <c r="C739" s="1017" t="s">
        <v>2086</v>
      </c>
      <c r="D739" s="1017" t="s">
        <v>2086</v>
      </c>
      <c r="E739" s="1017" t="s">
        <v>2086</v>
      </c>
      <c r="F739" s="1017" t="s">
        <v>2086</v>
      </c>
      <c r="G739" s="1017" t="s">
        <v>2086</v>
      </c>
      <c r="H739" s="1017" t="s">
        <v>2086</v>
      </c>
      <c r="I739" s="1017" t="s">
        <v>2086</v>
      </c>
      <c r="J739" s="1017" t="s">
        <v>2086</v>
      </c>
    </row>
    <row r="740" spans="2:10">
      <c r="B740" s="82" t="s">
        <v>119</v>
      </c>
      <c r="C740" s="1017" t="s">
        <v>2086</v>
      </c>
      <c r="D740" s="1017" t="s">
        <v>2086</v>
      </c>
      <c r="E740" s="1017" t="s">
        <v>2086</v>
      </c>
      <c r="F740" s="1017" t="s">
        <v>2086</v>
      </c>
      <c r="G740" s="1017" t="s">
        <v>2086</v>
      </c>
      <c r="H740" s="1017" t="s">
        <v>2086</v>
      </c>
      <c r="I740" s="1017" t="s">
        <v>2086</v>
      </c>
      <c r="J740" s="1017" t="s">
        <v>2086</v>
      </c>
    </row>
    <row r="741" spans="2:10">
      <c r="B741" s="82" t="s">
        <v>197</v>
      </c>
      <c r="C741" s="1017" t="s">
        <v>2086</v>
      </c>
      <c r="D741" s="1017" t="s">
        <v>2086</v>
      </c>
      <c r="E741" s="1017" t="s">
        <v>2086</v>
      </c>
      <c r="F741" s="1017" t="s">
        <v>2086</v>
      </c>
      <c r="G741" s="1017" t="s">
        <v>2086</v>
      </c>
      <c r="H741" s="1017" t="s">
        <v>2086</v>
      </c>
      <c r="I741" s="1017" t="s">
        <v>2086</v>
      </c>
      <c r="J741" s="1017" t="s">
        <v>2086</v>
      </c>
    </row>
    <row r="742" spans="2:10">
      <c r="B742" s="81" t="s">
        <v>118</v>
      </c>
      <c r="C742" s="1017" t="s">
        <v>2086</v>
      </c>
      <c r="D742" s="1017" t="s">
        <v>2086</v>
      </c>
      <c r="E742" s="1017" t="s">
        <v>2086</v>
      </c>
      <c r="F742" s="1017" t="s">
        <v>2086</v>
      </c>
      <c r="G742" s="1017" t="s">
        <v>2086</v>
      </c>
      <c r="H742" s="1017" t="s">
        <v>2086</v>
      </c>
      <c r="I742" s="1017" t="s">
        <v>2086</v>
      </c>
      <c r="J742" s="1017" t="s">
        <v>2086</v>
      </c>
    </row>
    <row r="743" spans="2:10">
      <c r="B743" s="81" t="s">
        <v>117</v>
      </c>
      <c r="C743" s="1017" t="s">
        <v>2086</v>
      </c>
      <c r="D743" s="1017" t="s">
        <v>2086</v>
      </c>
      <c r="E743" s="1017" t="s">
        <v>2086</v>
      </c>
      <c r="F743" s="1017" t="s">
        <v>2086</v>
      </c>
      <c r="G743" s="1017" t="s">
        <v>2086</v>
      </c>
      <c r="H743" s="1017" t="s">
        <v>2086</v>
      </c>
      <c r="I743" s="1017" t="s">
        <v>2086</v>
      </c>
      <c r="J743" s="1017" t="s">
        <v>2086</v>
      </c>
    </row>
    <row r="744" spans="2:10">
      <c r="B744" s="81"/>
      <c r="C744" s="232"/>
      <c r="D744" s="232"/>
      <c r="E744" s="232"/>
      <c r="F744" s="232"/>
      <c r="G744" s="232"/>
      <c r="H744" s="232"/>
      <c r="I744" s="232"/>
      <c r="J744" s="232"/>
    </row>
    <row r="745" spans="2:10">
      <c r="B745" s="71" t="s">
        <v>171</v>
      </c>
      <c r="C745" s="232"/>
      <c r="D745" s="232"/>
      <c r="E745" s="232"/>
      <c r="F745" s="232"/>
      <c r="G745" s="232"/>
      <c r="H745" s="232"/>
      <c r="I745" s="232"/>
      <c r="J745" s="232"/>
    </row>
    <row r="746" spans="2:10">
      <c r="B746" s="52" t="s">
        <v>169</v>
      </c>
      <c r="C746" s="1017" t="s">
        <v>2086</v>
      </c>
      <c r="D746" s="1017" t="s">
        <v>2086</v>
      </c>
      <c r="E746" s="1017" t="s">
        <v>2086</v>
      </c>
      <c r="F746" s="1017" t="s">
        <v>2086</v>
      </c>
      <c r="G746" s="1017" t="s">
        <v>2086</v>
      </c>
      <c r="H746" s="1017" t="s">
        <v>2086</v>
      </c>
      <c r="I746" s="1017" t="s">
        <v>2086</v>
      </c>
      <c r="J746" s="1017" t="s">
        <v>2086</v>
      </c>
    </row>
    <row r="747" spans="2:10">
      <c r="B747" s="52" t="s">
        <v>168</v>
      </c>
      <c r="C747" s="1017" t="s">
        <v>2086</v>
      </c>
      <c r="D747" s="1017" t="s">
        <v>2086</v>
      </c>
      <c r="E747" s="1017" t="s">
        <v>2086</v>
      </c>
      <c r="F747" s="1017" t="s">
        <v>2086</v>
      </c>
      <c r="G747" s="1017" t="s">
        <v>2086</v>
      </c>
      <c r="H747" s="1017" t="s">
        <v>2086</v>
      </c>
      <c r="I747" s="1017" t="s">
        <v>2086</v>
      </c>
      <c r="J747" s="1017" t="s">
        <v>2086</v>
      </c>
    </row>
    <row r="748" spans="2:10">
      <c r="B748" s="52" t="s">
        <v>167</v>
      </c>
      <c r="C748" s="1017" t="s">
        <v>2086</v>
      </c>
      <c r="D748" s="1017" t="s">
        <v>2086</v>
      </c>
      <c r="E748" s="1017" t="s">
        <v>2086</v>
      </c>
      <c r="F748" s="1017" t="s">
        <v>2086</v>
      </c>
      <c r="G748" s="1017" t="s">
        <v>2086</v>
      </c>
      <c r="H748" s="1017" t="s">
        <v>2086</v>
      </c>
      <c r="I748" s="1017" t="s">
        <v>2086</v>
      </c>
      <c r="J748" s="1017" t="s">
        <v>2086</v>
      </c>
    </row>
    <row r="749" spans="2:10">
      <c r="B749" s="52" t="s">
        <v>166</v>
      </c>
      <c r="C749" s="1017" t="s">
        <v>2086</v>
      </c>
      <c r="D749" s="1017" t="s">
        <v>2086</v>
      </c>
      <c r="E749" s="1017" t="s">
        <v>2086</v>
      </c>
      <c r="F749" s="1017" t="s">
        <v>2086</v>
      </c>
      <c r="G749" s="1017" t="s">
        <v>2086</v>
      </c>
      <c r="H749" s="1017" t="s">
        <v>2086</v>
      </c>
      <c r="I749" s="1017" t="s">
        <v>2086</v>
      </c>
      <c r="J749" s="1017" t="s">
        <v>2086</v>
      </c>
    </row>
    <row r="750" spans="2:10">
      <c r="B750" s="52" t="s">
        <v>165</v>
      </c>
      <c r="C750" s="1017" t="s">
        <v>2086</v>
      </c>
      <c r="D750" s="1017" t="s">
        <v>2086</v>
      </c>
      <c r="E750" s="1017" t="s">
        <v>2086</v>
      </c>
      <c r="F750" s="1017" t="s">
        <v>2086</v>
      </c>
      <c r="G750" s="1017" t="s">
        <v>2086</v>
      </c>
      <c r="H750" s="1017" t="s">
        <v>2086</v>
      </c>
      <c r="I750" s="1017" t="s">
        <v>2086</v>
      </c>
      <c r="J750" s="1017" t="s">
        <v>2086</v>
      </c>
    </row>
    <row r="751" spans="2:10">
      <c r="B751" s="52" t="s">
        <v>164</v>
      </c>
      <c r="C751" s="1017" t="s">
        <v>2086</v>
      </c>
      <c r="D751" s="1017" t="s">
        <v>2086</v>
      </c>
      <c r="E751" s="1017" t="s">
        <v>2086</v>
      </c>
      <c r="F751" s="1017" t="s">
        <v>2086</v>
      </c>
      <c r="G751" s="1017" t="s">
        <v>2086</v>
      </c>
      <c r="H751" s="1017" t="s">
        <v>2086</v>
      </c>
      <c r="I751" s="1017" t="s">
        <v>2086</v>
      </c>
      <c r="J751" s="1017" t="s">
        <v>2086</v>
      </c>
    </row>
    <row r="752" spans="2:10">
      <c r="B752" s="52"/>
      <c r="C752" s="232"/>
      <c r="D752" s="232"/>
      <c r="E752" s="232"/>
      <c r="F752" s="232"/>
      <c r="G752" s="232"/>
      <c r="H752" s="232"/>
      <c r="I752" s="232"/>
      <c r="J752" s="232"/>
    </row>
    <row r="753" spans="2:10">
      <c r="B753" s="80" t="s">
        <v>170</v>
      </c>
      <c r="C753" s="232"/>
      <c r="D753" s="232"/>
      <c r="E753" s="232"/>
      <c r="F753" s="232"/>
      <c r="G753" s="232"/>
      <c r="H753" s="232"/>
      <c r="I753" s="232"/>
      <c r="J753" s="232"/>
    </row>
    <row r="754" spans="2:10">
      <c r="B754" s="52" t="s">
        <v>169</v>
      </c>
      <c r="C754" s="1017" t="s">
        <v>2086</v>
      </c>
      <c r="D754" s="1017" t="s">
        <v>2086</v>
      </c>
      <c r="E754" s="1017" t="s">
        <v>2086</v>
      </c>
      <c r="F754" s="1017" t="s">
        <v>2086</v>
      </c>
      <c r="G754" s="1017" t="s">
        <v>2086</v>
      </c>
      <c r="H754" s="1017" t="s">
        <v>2086</v>
      </c>
      <c r="I754" s="1017" t="s">
        <v>2086</v>
      </c>
      <c r="J754" s="1017" t="s">
        <v>2086</v>
      </c>
    </row>
    <row r="755" spans="2:10">
      <c r="B755" s="52" t="s">
        <v>168</v>
      </c>
      <c r="C755" s="1017" t="s">
        <v>2086</v>
      </c>
      <c r="D755" s="1017" t="s">
        <v>2086</v>
      </c>
      <c r="E755" s="1017" t="s">
        <v>2086</v>
      </c>
      <c r="F755" s="1017" t="s">
        <v>2086</v>
      </c>
      <c r="G755" s="1017" t="s">
        <v>2086</v>
      </c>
      <c r="H755" s="1017" t="s">
        <v>2086</v>
      </c>
      <c r="I755" s="1017" t="s">
        <v>2086</v>
      </c>
      <c r="J755" s="1017" t="s">
        <v>2086</v>
      </c>
    </row>
    <row r="756" spans="2:10">
      <c r="B756" s="52" t="s">
        <v>167</v>
      </c>
      <c r="C756" s="1017" t="s">
        <v>2086</v>
      </c>
      <c r="D756" s="1017" t="s">
        <v>2086</v>
      </c>
      <c r="E756" s="1017" t="s">
        <v>2086</v>
      </c>
      <c r="F756" s="1017" t="s">
        <v>2086</v>
      </c>
      <c r="G756" s="1017" t="s">
        <v>2086</v>
      </c>
      <c r="H756" s="1017" t="s">
        <v>2086</v>
      </c>
      <c r="I756" s="1017" t="s">
        <v>2086</v>
      </c>
      <c r="J756" s="1017" t="s">
        <v>2086</v>
      </c>
    </row>
    <row r="757" spans="2:10">
      <c r="B757" s="52" t="s">
        <v>166</v>
      </c>
      <c r="C757" s="1017" t="s">
        <v>2086</v>
      </c>
      <c r="D757" s="1017" t="s">
        <v>2086</v>
      </c>
      <c r="E757" s="1017" t="s">
        <v>2086</v>
      </c>
      <c r="F757" s="1017" t="s">
        <v>2086</v>
      </c>
      <c r="G757" s="1017" t="s">
        <v>2086</v>
      </c>
      <c r="H757" s="1017" t="s">
        <v>2086</v>
      </c>
      <c r="I757" s="1017" t="s">
        <v>2086</v>
      </c>
      <c r="J757" s="1017" t="s">
        <v>2086</v>
      </c>
    </row>
    <row r="758" spans="2:10">
      <c r="B758" s="52" t="s">
        <v>165</v>
      </c>
      <c r="C758" s="1017" t="s">
        <v>2086</v>
      </c>
      <c r="D758" s="1017" t="s">
        <v>2086</v>
      </c>
      <c r="E758" s="1017" t="s">
        <v>2086</v>
      </c>
      <c r="F758" s="1017" t="s">
        <v>2086</v>
      </c>
      <c r="G758" s="1017" t="s">
        <v>2086</v>
      </c>
      <c r="H758" s="1017" t="s">
        <v>2086</v>
      </c>
      <c r="I758" s="1017" t="s">
        <v>2086</v>
      </c>
      <c r="J758" s="1017" t="s">
        <v>2086</v>
      </c>
    </row>
    <row r="759" spans="2:10">
      <c r="B759" s="52" t="s">
        <v>164</v>
      </c>
      <c r="C759" s="1017" t="s">
        <v>2086</v>
      </c>
      <c r="D759" s="1017" t="s">
        <v>2086</v>
      </c>
      <c r="E759" s="1017" t="s">
        <v>2086</v>
      </c>
      <c r="F759" s="1017" t="s">
        <v>2086</v>
      </c>
      <c r="G759" s="1017" t="s">
        <v>2086</v>
      </c>
      <c r="H759" s="1017" t="s">
        <v>2086</v>
      </c>
      <c r="I759" s="1017" t="s">
        <v>2086</v>
      </c>
      <c r="J759" s="1017" t="s">
        <v>2086</v>
      </c>
    </row>
    <row r="760" spans="2:10">
      <c r="B760" s="52"/>
      <c r="C760" s="1016"/>
      <c r="D760" s="1016"/>
      <c r="E760" s="1016"/>
      <c r="F760" s="1016"/>
      <c r="G760" s="1016"/>
      <c r="H760" s="1016"/>
      <c r="I760" s="1016"/>
      <c r="J760" s="1016"/>
    </row>
    <row r="761" spans="2:10">
      <c r="B761" s="59" t="s">
        <v>1348</v>
      </c>
      <c r="C761" s="449"/>
      <c r="D761" s="449"/>
      <c r="E761" s="449"/>
      <c r="F761" s="449"/>
      <c r="G761" s="449"/>
      <c r="H761" s="449"/>
      <c r="I761" s="449"/>
      <c r="J761" s="449"/>
    </row>
    <row r="762" spans="2:10">
      <c r="B762" s="71" t="s">
        <v>186</v>
      </c>
      <c r="C762" s="819">
        <v>133.49661825717092</v>
      </c>
      <c r="D762" s="819">
        <v>599.13781505626378</v>
      </c>
      <c r="E762" s="819">
        <v>428.8286240154967</v>
      </c>
      <c r="F762" s="819">
        <v>466.50586718122503</v>
      </c>
      <c r="G762" s="819">
        <v>635.09562608345686</v>
      </c>
      <c r="H762" s="819">
        <v>875.73474945122928</v>
      </c>
      <c r="I762" s="819">
        <v>443.82972787107963</v>
      </c>
      <c r="J762" s="819">
        <v>739.14589026345084</v>
      </c>
    </row>
    <row r="763" spans="2:10">
      <c r="B763" s="71"/>
      <c r="C763" s="307"/>
      <c r="D763" s="307"/>
      <c r="E763" s="307"/>
      <c r="F763" s="307"/>
      <c r="G763" s="307"/>
      <c r="H763" s="307"/>
      <c r="I763" s="307"/>
      <c r="J763" s="307"/>
    </row>
    <row r="764" spans="2:10">
      <c r="B764" s="71" t="s">
        <v>190</v>
      </c>
      <c r="C764" s="307"/>
      <c r="D764" s="307"/>
      <c r="E764" s="307"/>
      <c r="F764" s="307"/>
      <c r="G764" s="307"/>
      <c r="H764" s="307"/>
      <c r="I764" s="307"/>
      <c r="J764" s="307"/>
    </row>
    <row r="765" spans="2:10">
      <c r="B765" s="52" t="s">
        <v>121</v>
      </c>
      <c r="C765" s="1009"/>
      <c r="D765" s="1009">
        <v>4.2353527384462061E-2</v>
      </c>
      <c r="E765" s="1009">
        <v>4.9049987387146096E-2</v>
      </c>
      <c r="F765" s="1009">
        <v>105.58166213868115</v>
      </c>
      <c r="G765" s="1009">
        <v>0.50894091744038739</v>
      </c>
      <c r="H765" s="1009"/>
      <c r="I765" s="1009"/>
      <c r="J765" s="1009">
        <v>246.57000744094637</v>
      </c>
    </row>
    <row r="766" spans="2:10">
      <c r="B766" s="53" t="s">
        <v>120</v>
      </c>
      <c r="C766" s="1009">
        <v>0</v>
      </c>
      <c r="D766" s="1009">
        <v>0</v>
      </c>
      <c r="E766" s="1009">
        <v>0</v>
      </c>
      <c r="F766" s="1009">
        <v>0</v>
      </c>
      <c r="G766" s="1009">
        <v>0</v>
      </c>
      <c r="H766" s="1009">
        <v>0</v>
      </c>
      <c r="I766" s="1009">
        <v>0</v>
      </c>
      <c r="J766" s="1009">
        <v>0</v>
      </c>
    </row>
    <row r="767" spans="2:10">
      <c r="B767" s="53" t="s">
        <v>119</v>
      </c>
      <c r="C767" s="1009">
        <v>0</v>
      </c>
      <c r="D767" s="1009">
        <v>0</v>
      </c>
      <c r="E767" s="1009">
        <v>0</v>
      </c>
      <c r="F767" s="1009">
        <v>0</v>
      </c>
      <c r="G767" s="1009">
        <v>0</v>
      </c>
      <c r="H767" s="1009">
        <v>0</v>
      </c>
      <c r="I767" s="1009">
        <v>0</v>
      </c>
      <c r="J767" s="1009">
        <v>0</v>
      </c>
    </row>
    <row r="768" spans="2:10">
      <c r="B768" s="53" t="s">
        <v>197</v>
      </c>
      <c r="C768" s="1009">
        <v>0</v>
      </c>
      <c r="D768" s="1009">
        <v>0</v>
      </c>
      <c r="E768" s="1009">
        <v>0</v>
      </c>
      <c r="F768" s="1009">
        <v>0</v>
      </c>
      <c r="G768" s="1009">
        <v>0</v>
      </c>
      <c r="H768" s="1009">
        <v>0</v>
      </c>
      <c r="I768" s="1009">
        <v>0</v>
      </c>
      <c r="J768" s="1009">
        <v>0</v>
      </c>
    </row>
    <row r="769" spans="2:10">
      <c r="B769" s="52" t="s">
        <v>118</v>
      </c>
      <c r="C769" s="819">
        <v>133.49661825717092</v>
      </c>
      <c r="D769" s="819">
        <v>599.09546152887924</v>
      </c>
      <c r="E769" s="819">
        <v>428.77957402810949</v>
      </c>
      <c r="F769" s="819">
        <v>360.92420504254386</v>
      </c>
      <c r="G769" s="819">
        <v>634.58668516601654</v>
      </c>
      <c r="H769" s="819">
        <v>875.73474945122928</v>
      </c>
      <c r="I769" s="819">
        <v>443.82972787107963</v>
      </c>
      <c r="J769" s="819">
        <v>492.57588282250441</v>
      </c>
    </row>
    <row r="770" spans="2:10">
      <c r="B770" s="52" t="s">
        <v>117</v>
      </c>
      <c r="C770" s="1009">
        <v>0</v>
      </c>
      <c r="D770" s="1009">
        <v>0</v>
      </c>
      <c r="E770" s="1009">
        <v>0</v>
      </c>
      <c r="F770" s="1009">
        <v>0</v>
      </c>
      <c r="G770" s="1009">
        <v>0</v>
      </c>
      <c r="H770" s="1009">
        <v>0</v>
      </c>
      <c r="I770" s="1009">
        <v>0</v>
      </c>
      <c r="J770" s="1009">
        <v>0</v>
      </c>
    </row>
    <row r="771" spans="2:10">
      <c r="B771" s="52"/>
      <c r="C771" s="307"/>
      <c r="D771" s="307"/>
      <c r="E771" s="307"/>
      <c r="F771" s="307"/>
      <c r="G771" s="307"/>
      <c r="H771" s="307"/>
      <c r="I771" s="307"/>
      <c r="J771" s="307"/>
    </row>
    <row r="772" spans="2:10">
      <c r="B772" s="83" t="s">
        <v>187</v>
      </c>
      <c r="C772" s="307"/>
      <c r="D772" s="307"/>
      <c r="E772" s="307"/>
      <c r="F772" s="307"/>
      <c r="G772" s="307"/>
      <c r="H772" s="307"/>
      <c r="I772" s="307"/>
      <c r="J772" s="307"/>
    </row>
    <row r="773" spans="2:10">
      <c r="B773" s="81" t="s">
        <v>121</v>
      </c>
      <c r="C773" s="1009">
        <v>0</v>
      </c>
      <c r="D773" s="1009">
        <v>0</v>
      </c>
      <c r="E773" s="1009">
        <v>0</v>
      </c>
      <c r="F773" s="1009">
        <v>0</v>
      </c>
      <c r="G773" s="1009">
        <v>0</v>
      </c>
      <c r="H773" s="1009">
        <v>0</v>
      </c>
      <c r="I773" s="1009">
        <v>0</v>
      </c>
      <c r="J773" s="1009">
        <v>0</v>
      </c>
    </row>
    <row r="774" spans="2:10">
      <c r="B774" s="82" t="s">
        <v>120</v>
      </c>
      <c r="C774" s="1009">
        <v>0</v>
      </c>
      <c r="D774" s="1009">
        <v>0</v>
      </c>
      <c r="E774" s="1009">
        <v>0</v>
      </c>
      <c r="F774" s="1009">
        <v>0</v>
      </c>
      <c r="G774" s="1009">
        <v>0</v>
      </c>
      <c r="H774" s="1009">
        <v>0</v>
      </c>
      <c r="I774" s="1009">
        <v>0</v>
      </c>
      <c r="J774" s="1009">
        <v>0</v>
      </c>
    </row>
    <row r="775" spans="2:10">
      <c r="B775" s="82" t="s">
        <v>119</v>
      </c>
      <c r="C775" s="1009">
        <v>0</v>
      </c>
      <c r="D775" s="1009">
        <v>0</v>
      </c>
      <c r="E775" s="1009">
        <v>0</v>
      </c>
      <c r="F775" s="1009">
        <v>0</v>
      </c>
      <c r="G775" s="1009">
        <v>0</v>
      </c>
      <c r="H775" s="1009">
        <v>0</v>
      </c>
      <c r="I775" s="1009">
        <v>0</v>
      </c>
      <c r="J775" s="1009">
        <v>0</v>
      </c>
    </row>
    <row r="776" spans="2:10">
      <c r="B776" s="82" t="s">
        <v>172</v>
      </c>
      <c r="C776" s="1009">
        <v>0</v>
      </c>
      <c r="D776" s="1009">
        <v>0</v>
      </c>
      <c r="E776" s="1009">
        <v>0</v>
      </c>
      <c r="F776" s="1009">
        <v>0</v>
      </c>
      <c r="G776" s="1009">
        <v>0</v>
      </c>
      <c r="H776" s="1009">
        <v>0</v>
      </c>
      <c r="I776" s="1009">
        <v>0</v>
      </c>
      <c r="J776" s="1009">
        <v>0</v>
      </c>
    </row>
    <row r="777" spans="2:10">
      <c r="B777" s="81" t="s">
        <v>118</v>
      </c>
      <c r="C777" s="1009">
        <v>0</v>
      </c>
      <c r="D777" s="1009">
        <v>0</v>
      </c>
      <c r="E777" s="1009">
        <v>0</v>
      </c>
      <c r="F777" s="1009">
        <v>0</v>
      </c>
      <c r="G777" s="1009">
        <v>0</v>
      </c>
      <c r="H777" s="1009">
        <v>0</v>
      </c>
      <c r="I777" s="1009">
        <v>0</v>
      </c>
      <c r="J777" s="1009">
        <v>0</v>
      </c>
    </row>
    <row r="778" spans="2:10">
      <c r="B778" s="81" t="s">
        <v>117</v>
      </c>
      <c r="C778" s="1009">
        <v>0</v>
      </c>
      <c r="D778" s="1009">
        <v>0</v>
      </c>
      <c r="E778" s="1009">
        <v>0</v>
      </c>
      <c r="F778" s="1009">
        <v>0</v>
      </c>
      <c r="G778" s="1009">
        <v>0</v>
      </c>
      <c r="H778" s="1009">
        <v>0</v>
      </c>
      <c r="I778" s="1009">
        <v>0</v>
      </c>
      <c r="J778" s="1009">
        <v>0</v>
      </c>
    </row>
    <row r="779" spans="2:10">
      <c r="B779" s="81"/>
      <c r="C779" s="307"/>
      <c r="D779" s="307"/>
      <c r="E779" s="307"/>
      <c r="F779" s="307"/>
      <c r="G779" s="307"/>
      <c r="H779" s="307"/>
      <c r="I779" s="307"/>
      <c r="J779" s="307"/>
    </row>
    <row r="780" spans="2:10">
      <c r="B780" s="83" t="s">
        <v>173</v>
      </c>
      <c r="C780" s="307"/>
      <c r="D780" s="307"/>
      <c r="E780" s="307"/>
      <c r="F780" s="307"/>
      <c r="G780" s="307"/>
      <c r="H780" s="307"/>
      <c r="I780" s="307"/>
      <c r="J780" s="307"/>
    </row>
    <row r="781" spans="2:10">
      <c r="B781" s="81" t="s">
        <v>121</v>
      </c>
      <c r="C781" s="1009">
        <v>0</v>
      </c>
      <c r="D781" s="1009">
        <v>0</v>
      </c>
      <c r="E781" s="1009">
        <v>0</v>
      </c>
      <c r="F781" s="1009">
        <v>0</v>
      </c>
      <c r="G781" s="1009">
        <v>0</v>
      </c>
      <c r="H781" s="1009">
        <v>0</v>
      </c>
      <c r="I781" s="1009">
        <v>0</v>
      </c>
      <c r="J781" s="1009">
        <v>0</v>
      </c>
    </row>
    <row r="782" spans="2:10">
      <c r="B782" s="82" t="s">
        <v>120</v>
      </c>
      <c r="C782" s="1009">
        <v>0</v>
      </c>
      <c r="D782" s="1009">
        <v>0</v>
      </c>
      <c r="E782" s="1009">
        <v>0</v>
      </c>
      <c r="F782" s="1009">
        <v>0</v>
      </c>
      <c r="G782" s="1009">
        <v>0</v>
      </c>
      <c r="H782" s="1009">
        <v>0</v>
      </c>
      <c r="I782" s="1009">
        <v>0</v>
      </c>
      <c r="J782" s="1009">
        <v>0</v>
      </c>
    </row>
    <row r="783" spans="2:10">
      <c r="B783" s="82" t="s">
        <v>119</v>
      </c>
      <c r="C783" s="1009">
        <v>0</v>
      </c>
      <c r="D783" s="1009">
        <v>0</v>
      </c>
      <c r="E783" s="1009">
        <v>0</v>
      </c>
      <c r="F783" s="1009">
        <v>0</v>
      </c>
      <c r="G783" s="1009">
        <v>0</v>
      </c>
      <c r="H783" s="1009">
        <v>0</v>
      </c>
      <c r="I783" s="1009">
        <v>0</v>
      </c>
      <c r="J783" s="1009">
        <v>0</v>
      </c>
    </row>
    <row r="784" spans="2:10">
      <c r="B784" s="82" t="s">
        <v>197</v>
      </c>
      <c r="C784" s="1009">
        <v>0</v>
      </c>
      <c r="D784" s="1009">
        <v>0</v>
      </c>
      <c r="E784" s="1009">
        <v>0</v>
      </c>
      <c r="F784" s="1009">
        <v>0</v>
      </c>
      <c r="G784" s="1009">
        <v>0</v>
      </c>
      <c r="H784" s="1009">
        <v>0</v>
      </c>
      <c r="I784" s="1009">
        <v>0</v>
      </c>
      <c r="J784" s="1009">
        <v>0</v>
      </c>
    </row>
    <row r="785" spans="2:10">
      <c r="B785" s="81" t="s">
        <v>118</v>
      </c>
      <c r="C785" s="1009">
        <v>0</v>
      </c>
      <c r="D785" s="1009">
        <v>0</v>
      </c>
      <c r="E785" s="1009">
        <v>0</v>
      </c>
      <c r="F785" s="1009">
        <v>0</v>
      </c>
      <c r="G785" s="1009">
        <v>0</v>
      </c>
      <c r="H785" s="1009">
        <v>0</v>
      </c>
      <c r="I785" s="1009">
        <v>0</v>
      </c>
      <c r="J785" s="1009">
        <v>0</v>
      </c>
    </row>
    <row r="786" spans="2:10">
      <c r="B786" s="81" t="s">
        <v>117</v>
      </c>
      <c r="C786" s="1009"/>
      <c r="D786" s="1009"/>
      <c r="E786" s="1009"/>
      <c r="F786" s="1009"/>
      <c r="G786" s="1009"/>
      <c r="H786" s="1009"/>
      <c r="I786" s="1009"/>
      <c r="J786" s="1009"/>
    </row>
    <row r="787" spans="2:10">
      <c r="B787" s="81"/>
      <c r="C787" s="307"/>
      <c r="D787" s="307"/>
      <c r="E787" s="307"/>
      <c r="F787" s="307"/>
      <c r="G787" s="307"/>
      <c r="H787" s="307"/>
      <c r="I787" s="307"/>
      <c r="J787" s="307"/>
    </row>
    <row r="788" spans="2:10">
      <c r="B788" s="71" t="s">
        <v>171</v>
      </c>
      <c r="C788" s="307"/>
      <c r="D788" s="307"/>
      <c r="E788" s="307"/>
      <c r="F788" s="307"/>
      <c r="G788" s="307"/>
      <c r="H788" s="307"/>
      <c r="I788" s="307"/>
      <c r="J788" s="307"/>
    </row>
    <row r="789" spans="2:10">
      <c r="B789" s="52" t="s">
        <v>169</v>
      </c>
      <c r="C789" s="232" t="s">
        <v>2086</v>
      </c>
      <c r="D789" s="232" t="s">
        <v>2086</v>
      </c>
      <c r="E789" s="232" t="s">
        <v>2086</v>
      </c>
      <c r="F789" s="232" t="s">
        <v>2086</v>
      </c>
      <c r="G789" s="232" t="s">
        <v>2086</v>
      </c>
      <c r="H789" s="232" t="s">
        <v>2086</v>
      </c>
      <c r="I789" s="232" t="s">
        <v>2086</v>
      </c>
      <c r="J789" s="232" t="s">
        <v>2086</v>
      </c>
    </row>
    <row r="790" spans="2:10">
      <c r="B790" s="52" t="s">
        <v>168</v>
      </c>
      <c r="C790" s="232" t="s">
        <v>2086</v>
      </c>
      <c r="D790" s="232" t="s">
        <v>2086</v>
      </c>
      <c r="E790" s="232" t="s">
        <v>2086</v>
      </c>
      <c r="F790" s="232" t="s">
        <v>2086</v>
      </c>
      <c r="G790" s="232" t="s">
        <v>2086</v>
      </c>
      <c r="H790" s="232" t="s">
        <v>2086</v>
      </c>
      <c r="I790" s="232" t="s">
        <v>2086</v>
      </c>
      <c r="J790" s="232" t="s">
        <v>2086</v>
      </c>
    </row>
    <row r="791" spans="2:10">
      <c r="B791" s="52" t="s">
        <v>167</v>
      </c>
      <c r="C791" s="232" t="s">
        <v>2086</v>
      </c>
      <c r="D791" s="232" t="s">
        <v>2086</v>
      </c>
      <c r="E791" s="232" t="s">
        <v>2086</v>
      </c>
      <c r="F791" s="232" t="s">
        <v>2086</v>
      </c>
      <c r="G791" s="232" t="s">
        <v>2086</v>
      </c>
      <c r="H791" s="232" t="s">
        <v>2086</v>
      </c>
      <c r="I791" s="232" t="s">
        <v>2086</v>
      </c>
      <c r="J791" s="232" t="s">
        <v>2086</v>
      </c>
    </row>
    <row r="792" spans="2:10">
      <c r="B792" s="52" t="s">
        <v>166</v>
      </c>
      <c r="C792" s="232" t="s">
        <v>2086</v>
      </c>
      <c r="D792" s="232" t="s">
        <v>2086</v>
      </c>
      <c r="E792" s="232" t="s">
        <v>2086</v>
      </c>
      <c r="F792" s="232" t="s">
        <v>2086</v>
      </c>
      <c r="G792" s="232" t="s">
        <v>2086</v>
      </c>
      <c r="H792" s="232" t="s">
        <v>2086</v>
      </c>
      <c r="I792" s="232" t="s">
        <v>2086</v>
      </c>
      <c r="J792" s="232" t="s">
        <v>2086</v>
      </c>
    </row>
    <row r="793" spans="2:10">
      <c r="B793" s="52" t="s">
        <v>165</v>
      </c>
      <c r="C793" s="232" t="s">
        <v>2086</v>
      </c>
      <c r="D793" s="232" t="s">
        <v>2086</v>
      </c>
      <c r="E793" s="232" t="s">
        <v>2086</v>
      </c>
      <c r="F793" s="232" t="s">
        <v>2086</v>
      </c>
      <c r="G793" s="232" t="s">
        <v>2086</v>
      </c>
      <c r="H793" s="232" t="s">
        <v>2086</v>
      </c>
      <c r="I793" s="232" t="s">
        <v>2086</v>
      </c>
      <c r="J793" s="232" t="s">
        <v>2086</v>
      </c>
    </row>
    <row r="794" spans="2:10">
      <c r="B794" s="52" t="s">
        <v>164</v>
      </c>
      <c r="C794" s="232" t="s">
        <v>2086</v>
      </c>
      <c r="D794" s="232" t="s">
        <v>2086</v>
      </c>
      <c r="E794" s="232" t="s">
        <v>2086</v>
      </c>
      <c r="F794" s="232" t="s">
        <v>2086</v>
      </c>
      <c r="G794" s="232" t="s">
        <v>2086</v>
      </c>
      <c r="H794" s="232" t="s">
        <v>2086</v>
      </c>
      <c r="I794" s="232" t="s">
        <v>2086</v>
      </c>
      <c r="J794" s="232" t="s">
        <v>2086</v>
      </c>
    </row>
    <row r="795" spans="2:10">
      <c r="B795" s="52"/>
      <c r="C795" s="307"/>
      <c r="D795" s="307"/>
      <c r="E795" s="307"/>
      <c r="F795" s="307"/>
      <c r="G795" s="307"/>
      <c r="H795" s="307"/>
      <c r="I795" s="307"/>
      <c r="J795" s="307"/>
    </row>
    <row r="796" spans="2:10">
      <c r="B796" s="80" t="s">
        <v>170</v>
      </c>
      <c r="C796" s="307"/>
      <c r="D796" s="307"/>
      <c r="E796" s="307"/>
      <c r="F796" s="307"/>
      <c r="G796" s="307"/>
      <c r="H796" s="307"/>
      <c r="I796" s="307"/>
      <c r="J796" s="307"/>
    </row>
    <row r="797" spans="2:10">
      <c r="B797" s="52" t="s">
        <v>169</v>
      </c>
      <c r="C797" s="232" t="s">
        <v>2086</v>
      </c>
      <c r="D797" s="232" t="s">
        <v>2086</v>
      </c>
      <c r="E797" s="232" t="s">
        <v>2086</v>
      </c>
      <c r="F797" s="232" t="s">
        <v>2086</v>
      </c>
      <c r="G797" s="232" t="s">
        <v>2086</v>
      </c>
      <c r="H797" s="232" t="s">
        <v>2086</v>
      </c>
      <c r="I797" s="232" t="s">
        <v>2086</v>
      </c>
      <c r="J797" s="232" t="s">
        <v>2086</v>
      </c>
    </row>
    <row r="798" spans="2:10">
      <c r="B798" s="52" t="s">
        <v>168</v>
      </c>
      <c r="C798" s="232" t="s">
        <v>2086</v>
      </c>
      <c r="D798" s="232" t="s">
        <v>2086</v>
      </c>
      <c r="E798" s="232" t="s">
        <v>2086</v>
      </c>
      <c r="F798" s="232" t="s">
        <v>2086</v>
      </c>
      <c r="G798" s="232" t="s">
        <v>2086</v>
      </c>
      <c r="H798" s="232" t="s">
        <v>2086</v>
      </c>
      <c r="I798" s="232" t="s">
        <v>2086</v>
      </c>
      <c r="J798" s="232" t="s">
        <v>2086</v>
      </c>
    </row>
    <row r="799" spans="2:10">
      <c r="B799" s="52" t="s">
        <v>167</v>
      </c>
      <c r="C799" s="232" t="s">
        <v>2086</v>
      </c>
      <c r="D799" s="232" t="s">
        <v>2086</v>
      </c>
      <c r="E799" s="232" t="s">
        <v>2086</v>
      </c>
      <c r="F799" s="232" t="s">
        <v>2086</v>
      </c>
      <c r="G799" s="232" t="s">
        <v>2086</v>
      </c>
      <c r="H799" s="232" t="s">
        <v>2086</v>
      </c>
      <c r="I799" s="232" t="s">
        <v>2086</v>
      </c>
      <c r="J799" s="232" t="s">
        <v>2086</v>
      </c>
    </row>
    <row r="800" spans="2:10">
      <c r="B800" s="52" t="s">
        <v>166</v>
      </c>
      <c r="C800" s="232" t="s">
        <v>2086</v>
      </c>
      <c r="D800" s="232" t="s">
        <v>2086</v>
      </c>
      <c r="E800" s="232" t="s">
        <v>2086</v>
      </c>
      <c r="F800" s="232" t="s">
        <v>2086</v>
      </c>
      <c r="G800" s="232" t="s">
        <v>2086</v>
      </c>
      <c r="H800" s="232" t="s">
        <v>2086</v>
      </c>
      <c r="I800" s="232" t="s">
        <v>2086</v>
      </c>
      <c r="J800" s="232" t="s">
        <v>2086</v>
      </c>
    </row>
    <row r="801" spans="2:10">
      <c r="B801" s="52" t="s">
        <v>165</v>
      </c>
      <c r="C801" s="232" t="s">
        <v>2086</v>
      </c>
      <c r="D801" s="232" t="s">
        <v>2086</v>
      </c>
      <c r="E801" s="232" t="s">
        <v>2086</v>
      </c>
      <c r="F801" s="232" t="s">
        <v>2086</v>
      </c>
      <c r="G801" s="232" t="s">
        <v>2086</v>
      </c>
      <c r="H801" s="232" t="s">
        <v>2086</v>
      </c>
      <c r="I801" s="232" t="s">
        <v>2086</v>
      </c>
      <c r="J801" s="232" t="s">
        <v>2086</v>
      </c>
    </row>
    <row r="802" spans="2:10" ht="15" thickBot="1">
      <c r="B802" s="52" t="s">
        <v>164</v>
      </c>
      <c r="C802" s="232" t="s">
        <v>2086</v>
      </c>
      <c r="D802" s="232" t="s">
        <v>2086</v>
      </c>
      <c r="E802" s="232" t="s">
        <v>2086</v>
      </c>
      <c r="F802" s="232" t="s">
        <v>2086</v>
      </c>
      <c r="G802" s="232" t="s">
        <v>2086</v>
      </c>
      <c r="H802" s="232" t="s">
        <v>2086</v>
      </c>
      <c r="I802" s="232" t="s">
        <v>2086</v>
      </c>
      <c r="J802" s="232" t="s">
        <v>2086</v>
      </c>
    </row>
    <row r="803" spans="2:10" ht="15" thickTop="1">
      <c r="B803" s="2025" t="s">
        <v>1574</v>
      </c>
      <c r="C803" s="2025"/>
      <c r="D803" s="2025"/>
      <c r="E803" s="2025"/>
      <c r="F803" s="2025"/>
      <c r="G803" s="2025"/>
      <c r="H803" s="2025"/>
      <c r="I803" s="2025"/>
      <c r="J803" s="2025"/>
    </row>
    <row r="804" spans="2:10">
      <c r="B804" s="2017"/>
      <c r="C804" s="2017"/>
      <c r="D804" s="2017"/>
      <c r="E804" s="2017"/>
      <c r="F804" s="2017"/>
      <c r="G804" s="2017"/>
      <c r="H804" s="2017"/>
      <c r="I804" s="2017"/>
      <c r="J804" s="2017"/>
    </row>
    <row r="805" spans="2:10">
      <c r="B805" s="64"/>
      <c r="C805" s="449"/>
      <c r="D805" s="449"/>
      <c r="E805" s="449"/>
      <c r="F805" s="449"/>
      <c r="G805" s="449"/>
      <c r="H805" s="449"/>
      <c r="I805" s="449"/>
      <c r="J805" s="449"/>
    </row>
    <row r="806" spans="2:10">
      <c r="B806" s="2100" t="s">
        <v>161</v>
      </c>
      <c r="C806" s="2100"/>
      <c r="D806" s="2100"/>
      <c r="E806" s="2100"/>
      <c r="F806" s="2100"/>
      <c r="G806" s="2100"/>
      <c r="H806" s="2100"/>
      <c r="I806" s="2100"/>
      <c r="J806" s="2100"/>
    </row>
    <row r="807" spans="2:10">
      <c r="B807" s="12" t="s">
        <v>160</v>
      </c>
      <c r="C807" s="449"/>
      <c r="D807" s="449"/>
      <c r="E807" s="449"/>
      <c r="F807" s="449"/>
      <c r="G807" s="449"/>
      <c r="H807" s="449"/>
      <c r="I807" s="449"/>
      <c r="J807" s="449"/>
    </row>
    <row r="808" spans="2:10">
      <c r="B808" s="77" t="s">
        <v>269</v>
      </c>
      <c r="C808" s="449"/>
      <c r="D808" s="449"/>
      <c r="E808" s="449"/>
      <c r="F808" s="449"/>
      <c r="G808" s="449"/>
      <c r="H808" s="449"/>
      <c r="I808" s="449"/>
      <c r="J808" s="449"/>
    </row>
    <row r="809" spans="2:10">
      <c r="B809" s="76"/>
      <c r="C809" s="449"/>
      <c r="D809" s="449"/>
      <c r="E809" s="449"/>
      <c r="F809" s="449"/>
      <c r="G809" s="449"/>
      <c r="H809" s="449"/>
      <c r="I809" s="449"/>
      <c r="J809" s="449"/>
    </row>
    <row r="810" spans="2:10">
      <c r="B810" s="61"/>
      <c r="C810" s="303">
        <v>2014</v>
      </c>
      <c r="D810" s="303">
        <v>2015</v>
      </c>
      <c r="E810" s="303">
        <v>2016</v>
      </c>
      <c r="F810" s="303">
        <v>2017</v>
      </c>
      <c r="G810" s="303">
        <v>2018</v>
      </c>
      <c r="H810" s="303">
        <v>2019</v>
      </c>
      <c r="I810" s="303">
        <v>2020</v>
      </c>
      <c r="J810" s="303">
        <v>2021</v>
      </c>
    </row>
    <row r="811" spans="2:10">
      <c r="B811" s="59" t="s">
        <v>1594</v>
      </c>
      <c r="C811" s="449"/>
      <c r="D811" s="449"/>
      <c r="E811" s="449"/>
      <c r="F811" s="449"/>
      <c r="G811" s="449"/>
      <c r="H811" s="449"/>
      <c r="I811" s="449"/>
      <c r="J811" s="449"/>
    </row>
    <row r="812" spans="2:10">
      <c r="B812" s="71" t="s">
        <v>516</v>
      </c>
      <c r="C812" s="1003">
        <v>43</v>
      </c>
      <c r="D812" s="1003">
        <v>41</v>
      </c>
      <c r="E812" s="1003">
        <v>40</v>
      </c>
      <c r="F812" s="1003">
        <v>41</v>
      </c>
      <c r="G812" s="1003">
        <v>40</v>
      </c>
      <c r="H812" s="1003">
        <v>40</v>
      </c>
      <c r="I812" s="1003">
        <v>39</v>
      </c>
      <c r="J812" s="1003">
        <v>39</v>
      </c>
    </row>
    <row r="813" spans="2:10">
      <c r="B813" s="52" t="s">
        <v>150</v>
      </c>
      <c r="C813" s="453">
        <v>1</v>
      </c>
      <c r="D813" s="453">
        <v>1</v>
      </c>
      <c r="E813" s="453">
        <v>1</v>
      </c>
      <c r="F813" s="453">
        <v>1</v>
      </c>
      <c r="G813" s="453">
        <v>1</v>
      </c>
      <c r="H813" s="453">
        <v>1</v>
      </c>
      <c r="I813" s="453">
        <v>1</v>
      </c>
      <c r="J813" s="453">
        <v>1</v>
      </c>
    </row>
    <row r="814" spans="2:10">
      <c r="B814" s="52" t="s">
        <v>149</v>
      </c>
      <c r="C814" s="865">
        <v>0</v>
      </c>
      <c r="D814" s="865">
        <v>0</v>
      </c>
      <c r="E814" s="865">
        <v>0</v>
      </c>
      <c r="F814" s="865">
        <v>0</v>
      </c>
      <c r="G814" s="865">
        <v>0</v>
      </c>
      <c r="H814" s="865">
        <v>0</v>
      </c>
      <c r="I814" s="865">
        <v>0</v>
      </c>
      <c r="J814" s="865">
        <v>0</v>
      </c>
    </row>
    <row r="815" spans="2:10">
      <c r="B815" s="52" t="s">
        <v>148</v>
      </c>
      <c r="C815" s="865">
        <v>0</v>
      </c>
      <c r="D815" s="865">
        <v>0</v>
      </c>
      <c r="E815" s="865">
        <v>0</v>
      </c>
      <c r="F815" s="865">
        <v>0</v>
      </c>
      <c r="G815" s="865">
        <v>0</v>
      </c>
      <c r="H815" s="865">
        <v>0</v>
      </c>
      <c r="I815" s="865">
        <v>0</v>
      </c>
      <c r="J815" s="865">
        <v>0</v>
      </c>
    </row>
    <row r="816" spans="2:10">
      <c r="B816" s="52" t="s">
        <v>147</v>
      </c>
      <c r="C816" s="453">
        <v>8</v>
      </c>
      <c r="D816" s="453">
        <v>8</v>
      </c>
      <c r="E816" s="453">
        <v>8</v>
      </c>
      <c r="F816" s="453">
        <v>9</v>
      </c>
      <c r="G816" s="453">
        <v>9</v>
      </c>
      <c r="H816" s="453">
        <v>9</v>
      </c>
      <c r="I816" s="453">
        <v>9</v>
      </c>
      <c r="J816" s="453">
        <v>9</v>
      </c>
    </row>
    <row r="817" spans="2:10">
      <c r="B817" s="52" t="s">
        <v>146</v>
      </c>
      <c r="C817" s="453">
        <v>34</v>
      </c>
      <c r="D817" s="453">
        <v>32</v>
      </c>
      <c r="E817" s="453">
        <v>31</v>
      </c>
      <c r="F817" s="453">
        <v>31</v>
      </c>
      <c r="G817" s="453">
        <v>30</v>
      </c>
      <c r="H817" s="453">
        <v>30</v>
      </c>
      <c r="I817" s="453">
        <v>29</v>
      </c>
      <c r="J817" s="453">
        <v>29</v>
      </c>
    </row>
    <row r="818" spans="2:10">
      <c r="B818" s="52"/>
      <c r="C818" s="449"/>
      <c r="D818" s="449"/>
      <c r="E818" s="449"/>
      <c r="F818" s="449"/>
      <c r="G818" s="449"/>
      <c r="H818" s="449"/>
      <c r="I818" s="449"/>
      <c r="J818" s="449"/>
    </row>
    <row r="819" spans="2:10">
      <c r="B819" s="71" t="s">
        <v>152</v>
      </c>
      <c r="C819" s="1003">
        <v>43</v>
      </c>
      <c r="D819" s="1003">
        <v>41</v>
      </c>
      <c r="E819" s="1003">
        <v>40</v>
      </c>
      <c r="F819" s="1003">
        <v>41</v>
      </c>
      <c r="G819" s="1003">
        <v>40</v>
      </c>
      <c r="H819" s="1003">
        <v>40</v>
      </c>
      <c r="I819" s="1003">
        <v>39</v>
      </c>
      <c r="J819" s="1003">
        <v>39</v>
      </c>
    </row>
    <row r="820" spans="2:10">
      <c r="B820" s="52" t="s">
        <v>150</v>
      </c>
      <c r="C820" s="453">
        <v>1</v>
      </c>
      <c r="D820" s="453">
        <v>1</v>
      </c>
      <c r="E820" s="453">
        <v>1</v>
      </c>
      <c r="F820" s="453">
        <v>1</v>
      </c>
      <c r="G820" s="453">
        <v>1</v>
      </c>
      <c r="H820" s="453">
        <v>1</v>
      </c>
      <c r="I820" s="453">
        <v>1</v>
      </c>
      <c r="J820" s="453">
        <v>1</v>
      </c>
    </row>
    <row r="821" spans="2:10">
      <c r="B821" s="52" t="s">
        <v>149</v>
      </c>
      <c r="C821" s="865">
        <v>0</v>
      </c>
      <c r="D821" s="865">
        <v>0</v>
      </c>
      <c r="E821" s="865">
        <v>0</v>
      </c>
      <c r="F821" s="865">
        <v>0</v>
      </c>
      <c r="G821" s="865">
        <v>0</v>
      </c>
      <c r="H821" s="865">
        <v>0</v>
      </c>
      <c r="I821" s="865">
        <v>0</v>
      </c>
      <c r="J821" s="865">
        <v>0</v>
      </c>
    </row>
    <row r="822" spans="2:10">
      <c r="B822" s="52" t="s">
        <v>148</v>
      </c>
      <c r="C822" s="865">
        <v>0</v>
      </c>
      <c r="D822" s="865">
        <v>0</v>
      </c>
      <c r="E822" s="865">
        <v>0</v>
      </c>
      <c r="F822" s="865">
        <v>0</v>
      </c>
      <c r="G822" s="865">
        <v>0</v>
      </c>
      <c r="H822" s="865">
        <v>0</v>
      </c>
      <c r="I822" s="865">
        <v>0</v>
      </c>
      <c r="J822" s="865">
        <v>0</v>
      </c>
    </row>
    <row r="823" spans="2:10">
      <c r="B823" s="52" t="s">
        <v>147</v>
      </c>
      <c r="C823" s="453">
        <v>8</v>
      </c>
      <c r="D823" s="453">
        <v>8</v>
      </c>
      <c r="E823" s="453">
        <v>8</v>
      </c>
      <c r="F823" s="453">
        <v>9</v>
      </c>
      <c r="G823" s="453">
        <v>9</v>
      </c>
      <c r="H823" s="453">
        <v>9</v>
      </c>
      <c r="I823" s="453">
        <v>9</v>
      </c>
      <c r="J823" s="453">
        <v>9</v>
      </c>
    </row>
    <row r="824" spans="2:10">
      <c r="B824" s="52" t="s">
        <v>146</v>
      </c>
      <c r="C824" s="453">
        <v>34</v>
      </c>
      <c r="D824" s="453">
        <v>32</v>
      </c>
      <c r="E824" s="453">
        <v>31</v>
      </c>
      <c r="F824" s="453">
        <v>31</v>
      </c>
      <c r="G824" s="453">
        <v>30</v>
      </c>
      <c r="H824" s="453">
        <v>30</v>
      </c>
      <c r="I824" s="453">
        <v>29</v>
      </c>
      <c r="J824" s="453">
        <v>29</v>
      </c>
    </row>
    <row r="825" spans="2:10">
      <c r="B825" s="52"/>
      <c r="C825" s="449"/>
      <c r="D825" s="449"/>
      <c r="E825" s="449"/>
      <c r="F825" s="449"/>
      <c r="G825" s="449"/>
      <c r="H825" s="449"/>
      <c r="I825" s="449"/>
      <c r="J825" s="449"/>
    </row>
    <row r="826" spans="2:10">
      <c r="B826" s="71" t="s">
        <v>151</v>
      </c>
      <c r="C826" s="449"/>
      <c r="D826" s="449"/>
      <c r="E826" s="449"/>
      <c r="F826" s="449"/>
      <c r="G826" s="449"/>
      <c r="H826" s="449"/>
      <c r="I826" s="449"/>
      <c r="J826" s="449"/>
    </row>
    <row r="827" spans="2:10">
      <c r="B827" s="52" t="s">
        <v>150</v>
      </c>
      <c r="C827" s="865">
        <v>0</v>
      </c>
      <c r="D827" s="865">
        <v>0</v>
      </c>
      <c r="E827" s="865">
        <v>0</v>
      </c>
      <c r="F827" s="865">
        <v>0</v>
      </c>
      <c r="G827" s="865">
        <v>0</v>
      </c>
      <c r="H827" s="865">
        <v>0</v>
      </c>
      <c r="I827" s="865">
        <v>0</v>
      </c>
      <c r="J827" s="865">
        <v>0</v>
      </c>
    </row>
    <row r="828" spans="2:10">
      <c r="B828" s="52" t="s">
        <v>149</v>
      </c>
      <c r="C828" s="865">
        <v>0</v>
      </c>
      <c r="D828" s="865">
        <v>0</v>
      </c>
      <c r="E828" s="865">
        <v>0</v>
      </c>
      <c r="F828" s="865">
        <v>0</v>
      </c>
      <c r="G828" s="865">
        <v>0</v>
      </c>
      <c r="H828" s="865">
        <v>0</v>
      </c>
      <c r="I828" s="865">
        <v>0</v>
      </c>
      <c r="J828" s="865">
        <v>0</v>
      </c>
    </row>
    <row r="829" spans="2:10">
      <c r="B829" s="52" t="s">
        <v>148</v>
      </c>
      <c r="C829" s="865">
        <v>0</v>
      </c>
      <c r="D829" s="865">
        <v>0</v>
      </c>
      <c r="E829" s="865">
        <v>0</v>
      </c>
      <c r="F829" s="865">
        <v>0</v>
      </c>
      <c r="G829" s="865">
        <v>0</v>
      </c>
      <c r="H829" s="865">
        <v>0</v>
      </c>
      <c r="I829" s="865">
        <v>0</v>
      </c>
      <c r="J829" s="865">
        <v>0</v>
      </c>
    </row>
    <row r="830" spans="2:10">
      <c r="B830" s="52" t="s">
        <v>147</v>
      </c>
      <c r="C830" s="865">
        <v>0</v>
      </c>
      <c r="D830" s="865">
        <v>0</v>
      </c>
      <c r="E830" s="865">
        <v>0</v>
      </c>
      <c r="F830" s="865">
        <v>0</v>
      </c>
      <c r="G830" s="865">
        <v>0</v>
      </c>
      <c r="H830" s="865">
        <v>0</v>
      </c>
      <c r="I830" s="865">
        <v>0</v>
      </c>
      <c r="J830" s="865">
        <v>0</v>
      </c>
    </row>
    <row r="831" spans="2:10">
      <c r="B831" s="52" t="s">
        <v>146</v>
      </c>
      <c r="C831" s="865">
        <v>0</v>
      </c>
      <c r="D831" s="865">
        <v>0</v>
      </c>
      <c r="E831" s="865">
        <v>0</v>
      </c>
      <c r="F831" s="865">
        <v>0</v>
      </c>
      <c r="G831" s="865">
        <v>0</v>
      </c>
      <c r="H831" s="865">
        <v>0</v>
      </c>
      <c r="I831" s="865">
        <v>0</v>
      </c>
      <c r="J831" s="865">
        <v>0</v>
      </c>
    </row>
    <row r="832" spans="2:10">
      <c r="B832" s="1018"/>
      <c r="C832" s="449"/>
      <c r="D832" s="449"/>
      <c r="E832" s="449"/>
      <c r="F832" s="449"/>
      <c r="G832" s="449"/>
      <c r="H832" s="449"/>
      <c r="I832" s="449"/>
      <c r="J832" s="449"/>
    </row>
    <row r="833" spans="2:10">
      <c r="B833" s="59" t="s">
        <v>1348</v>
      </c>
      <c r="C833" s="449"/>
      <c r="D833" s="449"/>
      <c r="E833" s="449"/>
      <c r="F833" s="449"/>
      <c r="G833" s="449"/>
      <c r="H833" s="449"/>
      <c r="I833" s="449"/>
      <c r="J833" s="449"/>
    </row>
    <row r="834" spans="2:10">
      <c r="B834" s="71" t="s">
        <v>516</v>
      </c>
      <c r="C834" s="453">
        <v>17</v>
      </c>
      <c r="D834" s="453">
        <v>22</v>
      </c>
      <c r="E834" s="453">
        <v>21</v>
      </c>
      <c r="F834" s="453">
        <v>19</v>
      </c>
      <c r="G834" s="453">
        <v>20</v>
      </c>
      <c r="H834" s="453">
        <v>19</v>
      </c>
      <c r="I834" s="453">
        <v>19</v>
      </c>
      <c r="J834" s="453">
        <v>21</v>
      </c>
    </row>
    <row r="835" spans="2:10">
      <c r="B835" s="52" t="s">
        <v>150</v>
      </c>
      <c r="C835" s="865">
        <v>0</v>
      </c>
      <c r="D835" s="865">
        <v>0</v>
      </c>
      <c r="E835" s="865">
        <v>0</v>
      </c>
      <c r="F835" s="865">
        <v>0</v>
      </c>
      <c r="G835" s="865">
        <v>0</v>
      </c>
      <c r="H835" s="865">
        <v>0</v>
      </c>
      <c r="I835" s="865">
        <v>0</v>
      </c>
      <c r="J835" s="865">
        <v>0</v>
      </c>
    </row>
    <row r="836" spans="2:10">
      <c r="B836" s="52" t="s">
        <v>149</v>
      </c>
      <c r="C836" s="865">
        <v>0</v>
      </c>
      <c r="D836" s="865">
        <v>0</v>
      </c>
      <c r="E836" s="865">
        <v>0</v>
      </c>
      <c r="F836" s="865">
        <v>0</v>
      </c>
      <c r="G836" s="865">
        <v>0</v>
      </c>
      <c r="H836" s="865">
        <v>0</v>
      </c>
      <c r="I836" s="865">
        <v>0</v>
      </c>
      <c r="J836" s="865">
        <v>0</v>
      </c>
    </row>
    <row r="837" spans="2:10">
      <c r="B837" s="52" t="s">
        <v>148</v>
      </c>
      <c r="C837" s="865">
        <v>0</v>
      </c>
      <c r="D837" s="865">
        <v>0</v>
      </c>
      <c r="E837" s="865">
        <v>0</v>
      </c>
      <c r="F837" s="865">
        <v>0</v>
      </c>
      <c r="G837" s="865">
        <v>0</v>
      </c>
      <c r="H837" s="865">
        <v>0</v>
      </c>
      <c r="I837" s="865">
        <v>0</v>
      </c>
      <c r="J837" s="865">
        <v>0</v>
      </c>
    </row>
    <row r="838" spans="2:10">
      <c r="B838" s="52" t="s">
        <v>147</v>
      </c>
      <c r="C838" s="865"/>
      <c r="D838" s="865"/>
      <c r="E838" s="865"/>
      <c r="F838" s="865">
        <v>1</v>
      </c>
      <c r="G838" s="865">
        <v>1</v>
      </c>
      <c r="H838" s="865">
        <v>2</v>
      </c>
      <c r="I838" s="865">
        <v>2</v>
      </c>
      <c r="J838" s="865">
        <v>2</v>
      </c>
    </row>
    <row r="839" spans="2:10">
      <c r="B839" s="52" t="s">
        <v>146</v>
      </c>
      <c r="C839" s="453">
        <v>17</v>
      </c>
      <c r="D839" s="453">
        <v>22</v>
      </c>
      <c r="E839" s="453">
        <v>21</v>
      </c>
      <c r="F839" s="453">
        <v>18</v>
      </c>
      <c r="G839" s="453">
        <v>19</v>
      </c>
      <c r="H839" s="453">
        <v>17</v>
      </c>
      <c r="I839" s="453">
        <v>17</v>
      </c>
      <c r="J839" s="453">
        <v>19</v>
      </c>
    </row>
    <row r="840" spans="2:10">
      <c r="B840" s="52"/>
      <c r="C840" s="449"/>
      <c r="D840" s="449"/>
      <c r="E840" s="449"/>
      <c r="F840" s="449"/>
      <c r="G840" s="449"/>
      <c r="H840" s="449"/>
      <c r="I840" s="449"/>
      <c r="J840" s="449"/>
    </row>
    <row r="841" spans="2:10">
      <c r="B841" s="71" t="s">
        <v>152</v>
      </c>
      <c r="C841" s="453">
        <v>17</v>
      </c>
      <c r="D841" s="453">
        <v>22</v>
      </c>
      <c r="E841" s="453">
        <v>21</v>
      </c>
      <c r="F841" s="453">
        <v>19</v>
      </c>
      <c r="G841" s="453">
        <v>20</v>
      </c>
      <c r="H841" s="453">
        <v>19</v>
      </c>
      <c r="I841" s="453">
        <v>19</v>
      </c>
      <c r="J841" s="453">
        <v>21</v>
      </c>
    </row>
    <row r="842" spans="2:10">
      <c r="B842" s="52" t="s">
        <v>150</v>
      </c>
      <c r="C842" s="865">
        <v>0</v>
      </c>
      <c r="D842" s="865">
        <v>0</v>
      </c>
      <c r="E842" s="865">
        <v>0</v>
      </c>
      <c r="F842" s="865">
        <v>0</v>
      </c>
      <c r="G842" s="865">
        <v>0</v>
      </c>
      <c r="H842" s="865">
        <v>0</v>
      </c>
      <c r="I842" s="865">
        <v>0</v>
      </c>
      <c r="J842" s="865">
        <v>0</v>
      </c>
    </row>
    <row r="843" spans="2:10">
      <c r="B843" s="52" t="s">
        <v>149</v>
      </c>
      <c r="C843" s="865">
        <v>0</v>
      </c>
      <c r="D843" s="865">
        <v>0</v>
      </c>
      <c r="E843" s="865">
        <v>0</v>
      </c>
      <c r="F843" s="865">
        <v>0</v>
      </c>
      <c r="G843" s="865">
        <v>0</v>
      </c>
      <c r="H843" s="865">
        <v>0</v>
      </c>
      <c r="I843" s="865">
        <v>0</v>
      </c>
      <c r="J843" s="865">
        <v>0</v>
      </c>
    </row>
    <row r="844" spans="2:10">
      <c r="B844" s="52" t="s">
        <v>148</v>
      </c>
      <c r="C844" s="865">
        <v>0</v>
      </c>
      <c r="D844" s="865">
        <v>0</v>
      </c>
      <c r="E844" s="865">
        <v>0</v>
      </c>
      <c r="F844" s="865">
        <v>0</v>
      </c>
      <c r="G844" s="865">
        <v>0</v>
      </c>
      <c r="H844" s="865">
        <v>0</v>
      </c>
      <c r="I844" s="865">
        <v>0</v>
      </c>
      <c r="J844" s="865">
        <v>0</v>
      </c>
    </row>
    <row r="845" spans="2:10">
      <c r="B845" s="52" t="s">
        <v>147</v>
      </c>
      <c r="C845" s="865"/>
      <c r="D845" s="865"/>
      <c r="E845" s="865"/>
      <c r="F845" s="865">
        <v>1</v>
      </c>
      <c r="G845" s="865">
        <v>1</v>
      </c>
      <c r="H845" s="865">
        <v>2</v>
      </c>
      <c r="I845" s="865">
        <v>2</v>
      </c>
      <c r="J845" s="865">
        <v>2</v>
      </c>
    </row>
    <row r="846" spans="2:10">
      <c r="B846" s="52" t="s">
        <v>146</v>
      </c>
      <c r="C846" s="453">
        <v>17</v>
      </c>
      <c r="D846" s="453">
        <v>22</v>
      </c>
      <c r="E846" s="453">
        <v>21</v>
      </c>
      <c r="F846" s="453">
        <v>18</v>
      </c>
      <c r="G846" s="453">
        <v>19</v>
      </c>
      <c r="H846" s="453">
        <v>17</v>
      </c>
      <c r="I846" s="453">
        <v>17</v>
      </c>
      <c r="J846" s="453">
        <v>19</v>
      </c>
    </row>
    <row r="847" spans="2:10">
      <c r="B847" s="52"/>
      <c r="C847" s="449"/>
      <c r="D847" s="449"/>
      <c r="E847" s="449"/>
      <c r="F847" s="449"/>
      <c r="G847" s="449"/>
      <c r="H847" s="449"/>
      <c r="I847" s="449"/>
      <c r="J847" s="449"/>
    </row>
    <row r="848" spans="2:10">
      <c r="B848" s="71" t="s">
        <v>151</v>
      </c>
      <c r="C848" s="449"/>
      <c r="D848" s="449"/>
      <c r="E848" s="449"/>
      <c r="F848" s="449"/>
      <c r="G848" s="449"/>
      <c r="H848" s="449"/>
      <c r="I848" s="449"/>
      <c r="J848" s="449"/>
    </row>
    <row r="849" spans="2:10">
      <c r="B849" s="52" t="s">
        <v>150</v>
      </c>
      <c r="C849" s="865">
        <v>0</v>
      </c>
      <c r="D849" s="865">
        <v>0</v>
      </c>
      <c r="E849" s="865">
        <v>0</v>
      </c>
      <c r="F849" s="865">
        <v>0</v>
      </c>
      <c r="G849" s="865">
        <v>0</v>
      </c>
      <c r="H849" s="865">
        <v>0</v>
      </c>
      <c r="I849" s="865">
        <v>0</v>
      </c>
      <c r="J849" s="865">
        <v>0</v>
      </c>
    </row>
    <row r="850" spans="2:10">
      <c r="B850" s="52" t="s">
        <v>149</v>
      </c>
      <c r="C850" s="865">
        <v>0</v>
      </c>
      <c r="D850" s="865">
        <v>0</v>
      </c>
      <c r="E850" s="865">
        <v>0</v>
      </c>
      <c r="F850" s="865">
        <v>0</v>
      </c>
      <c r="G850" s="865">
        <v>0</v>
      </c>
      <c r="H850" s="865">
        <v>0</v>
      </c>
      <c r="I850" s="865">
        <v>0</v>
      </c>
      <c r="J850" s="865">
        <v>0</v>
      </c>
    </row>
    <row r="851" spans="2:10">
      <c r="B851" s="52" t="s">
        <v>148</v>
      </c>
      <c r="C851" s="865">
        <v>0</v>
      </c>
      <c r="D851" s="865">
        <v>0</v>
      </c>
      <c r="E851" s="865">
        <v>0</v>
      </c>
      <c r="F851" s="865">
        <v>0</v>
      </c>
      <c r="G851" s="865">
        <v>0</v>
      </c>
      <c r="H851" s="865">
        <v>0</v>
      </c>
      <c r="I851" s="865">
        <v>0</v>
      </c>
      <c r="J851" s="865">
        <v>0</v>
      </c>
    </row>
    <row r="852" spans="2:10">
      <c r="B852" s="52" t="s">
        <v>147</v>
      </c>
      <c r="C852" s="865">
        <v>0</v>
      </c>
      <c r="D852" s="865">
        <v>0</v>
      </c>
      <c r="E852" s="865">
        <v>0</v>
      </c>
      <c r="F852" s="865">
        <v>0</v>
      </c>
      <c r="G852" s="865">
        <v>0</v>
      </c>
      <c r="H852" s="865">
        <v>0</v>
      </c>
      <c r="I852" s="865">
        <v>0</v>
      </c>
      <c r="J852" s="865">
        <v>0</v>
      </c>
    </row>
    <row r="853" spans="2:10" ht="15" thickBot="1">
      <c r="B853" s="50" t="s">
        <v>146</v>
      </c>
      <c r="C853" s="865">
        <v>0</v>
      </c>
      <c r="D853" s="865">
        <v>0</v>
      </c>
      <c r="E853" s="865">
        <v>0</v>
      </c>
      <c r="F853" s="865">
        <v>0</v>
      </c>
      <c r="G853" s="865">
        <v>0</v>
      </c>
      <c r="H853" s="865">
        <v>0</v>
      </c>
      <c r="I853" s="865">
        <v>0</v>
      </c>
      <c r="J853" s="865">
        <v>0</v>
      </c>
    </row>
    <row r="854" spans="2:10" ht="15" thickTop="1">
      <c r="B854" s="2025" t="s">
        <v>1574</v>
      </c>
      <c r="C854" s="2025"/>
      <c r="D854" s="2025"/>
      <c r="E854" s="2025"/>
      <c r="F854" s="2025"/>
      <c r="G854" s="2025"/>
      <c r="H854" s="2025"/>
      <c r="I854" s="2025"/>
      <c r="J854" s="2025"/>
    </row>
    <row r="855" spans="2:10">
      <c r="B855" s="2017"/>
      <c r="C855" s="2017"/>
      <c r="D855" s="2017"/>
      <c r="E855" s="2017"/>
      <c r="F855" s="2017"/>
      <c r="G855" s="2017"/>
      <c r="H855" s="2017"/>
      <c r="I855" s="2017"/>
      <c r="J855" s="2017"/>
    </row>
    <row r="856" spans="2:10">
      <c r="B856" s="62"/>
      <c r="C856" s="449"/>
      <c r="D856" s="449"/>
      <c r="E856" s="449"/>
      <c r="F856" s="449"/>
      <c r="G856" s="449"/>
      <c r="H856" s="449"/>
      <c r="I856" s="449"/>
      <c r="J856" s="449"/>
    </row>
    <row r="857" spans="2:10">
      <c r="B857" s="2100" t="s">
        <v>144</v>
      </c>
      <c r="C857" s="2100"/>
      <c r="D857" s="2100"/>
      <c r="E857" s="2100"/>
      <c r="F857" s="2100"/>
      <c r="G857" s="2100"/>
      <c r="H857" s="2100"/>
      <c r="I857" s="2100"/>
      <c r="J857" s="2100"/>
    </row>
    <row r="858" spans="2:10">
      <c r="B858" s="12" t="s">
        <v>143</v>
      </c>
      <c r="C858" s="449"/>
      <c r="D858" s="449"/>
      <c r="E858" s="449"/>
      <c r="F858" s="449"/>
      <c r="G858" s="449"/>
      <c r="H858" s="449"/>
      <c r="I858" s="449"/>
      <c r="J858" s="449"/>
    </row>
    <row r="859" spans="2:10">
      <c r="B859" s="62" t="s">
        <v>142</v>
      </c>
      <c r="C859" s="449"/>
      <c r="D859" s="449"/>
      <c r="E859" s="449"/>
      <c r="F859" s="449"/>
      <c r="G859" s="449"/>
      <c r="H859" s="449"/>
      <c r="I859" s="449"/>
      <c r="J859" s="449"/>
    </row>
    <row r="860" spans="2:10">
      <c r="B860" s="62"/>
      <c r="C860" s="449"/>
      <c r="D860" s="449"/>
      <c r="E860" s="449"/>
      <c r="F860" s="449"/>
      <c r="G860" s="449"/>
      <c r="H860" s="449"/>
      <c r="I860" s="449"/>
      <c r="J860" s="449"/>
    </row>
    <row r="861" spans="2:10">
      <c r="B861" s="61"/>
      <c r="C861" s="303">
        <v>2014</v>
      </c>
      <c r="D861" s="303">
        <v>2015</v>
      </c>
      <c r="E861" s="303">
        <v>2016</v>
      </c>
      <c r="F861" s="303">
        <v>2017</v>
      </c>
      <c r="G861" s="303">
        <v>2018</v>
      </c>
      <c r="H861" s="303">
        <v>2019</v>
      </c>
      <c r="I861" s="303">
        <v>2020</v>
      </c>
      <c r="J861" s="303">
        <v>2021</v>
      </c>
    </row>
    <row r="862" spans="2:10">
      <c r="B862" s="59" t="s">
        <v>1594</v>
      </c>
      <c r="C862" s="449"/>
      <c r="D862" s="449"/>
      <c r="E862" s="449"/>
      <c r="F862" s="449"/>
      <c r="G862" s="449"/>
      <c r="H862" s="449"/>
      <c r="I862" s="449"/>
      <c r="J862" s="449"/>
    </row>
    <row r="863" spans="2:10">
      <c r="B863" s="71" t="s">
        <v>141</v>
      </c>
      <c r="C863" s="814">
        <v>0.871</v>
      </c>
      <c r="D863" s="814">
        <v>0.74099999999999999</v>
      </c>
      <c r="E863" s="814">
        <v>0.72399999999999998</v>
      </c>
      <c r="F863" s="814">
        <v>0.45199999999999996</v>
      </c>
      <c r="G863" s="814">
        <v>0.13800000000000001</v>
      </c>
      <c r="H863" s="814">
        <v>0.11799999999999999</v>
      </c>
      <c r="I863" s="814">
        <v>0.10100000000000001</v>
      </c>
      <c r="J863" s="814">
        <v>8.8000000000000009E-2</v>
      </c>
    </row>
    <row r="864" spans="2:10">
      <c r="B864" s="52" t="s">
        <v>121</v>
      </c>
      <c r="C864" s="200"/>
      <c r="D864" s="200"/>
      <c r="E864" s="200"/>
      <c r="F864" s="200"/>
      <c r="G864" s="200"/>
      <c r="H864" s="200"/>
      <c r="I864" s="200"/>
      <c r="J864" s="200"/>
    </row>
    <row r="865" spans="2:10">
      <c r="B865" s="53" t="s">
        <v>120</v>
      </c>
      <c r="C865" s="1019">
        <v>0.70699999999999996</v>
      </c>
      <c r="D865" s="1019">
        <v>0.64200000000000002</v>
      </c>
      <c r="E865" s="1019">
        <v>0.63300000000000001</v>
      </c>
      <c r="F865" s="1019">
        <v>0.35399999999999998</v>
      </c>
      <c r="G865" s="1019">
        <v>1.7000000000000001E-2</v>
      </c>
      <c r="H865" s="1019">
        <v>1.9000000000000003E-2</v>
      </c>
      <c r="I865" s="1019">
        <v>1.9E-2</v>
      </c>
      <c r="J865" s="1019">
        <v>7.0000000000000007E-2</v>
      </c>
    </row>
    <row r="866" spans="2:10">
      <c r="B866" s="53" t="s">
        <v>119</v>
      </c>
      <c r="C866" s="1019">
        <v>0.16400000000000001</v>
      </c>
      <c r="D866" s="1019">
        <v>9.9000000000000005E-2</v>
      </c>
      <c r="E866" s="1019">
        <v>9.0999999999999998E-2</v>
      </c>
      <c r="F866" s="1019">
        <v>9.8000000000000004E-2</v>
      </c>
      <c r="G866" s="1019">
        <v>0.121</v>
      </c>
      <c r="H866" s="1019">
        <v>9.8999999999999991E-2</v>
      </c>
      <c r="I866" s="1019">
        <v>8.2000000000000003E-2</v>
      </c>
      <c r="J866" s="1019">
        <v>1.7999999999999999E-2</v>
      </c>
    </row>
    <row r="867" spans="2:10" ht="15" customHeight="1">
      <c r="B867" s="52" t="s">
        <v>118</v>
      </c>
      <c r="C867" s="814">
        <v>0</v>
      </c>
      <c r="D867" s="814">
        <v>0</v>
      </c>
      <c r="E867" s="814">
        <v>0</v>
      </c>
      <c r="F867" s="814">
        <v>0</v>
      </c>
      <c r="G867" s="814">
        <v>0</v>
      </c>
      <c r="H867" s="814">
        <v>0</v>
      </c>
      <c r="I867" s="814">
        <v>0</v>
      </c>
      <c r="J867" s="814">
        <v>0</v>
      </c>
    </row>
    <row r="868" spans="2:10">
      <c r="B868" s="52" t="s">
        <v>117</v>
      </c>
      <c r="C868" s="814">
        <v>0</v>
      </c>
      <c r="D868" s="814">
        <v>0</v>
      </c>
      <c r="E868" s="814">
        <v>0</v>
      </c>
      <c r="F868" s="814">
        <v>0</v>
      </c>
      <c r="G868" s="814">
        <v>0</v>
      </c>
      <c r="H868" s="814">
        <v>0</v>
      </c>
      <c r="I868" s="814">
        <v>0</v>
      </c>
      <c r="J868" s="814">
        <v>0</v>
      </c>
    </row>
    <row r="869" spans="2:10">
      <c r="B869" s="71"/>
      <c r="C869" s="304"/>
      <c r="D869" s="304"/>
      <c r="E869" s="304"/>
      <c r="F869" s="304"/>
      <c r="G869" s="304"/>
      <c r="H869" s="304"/>
      <c r="I869" s="304"/>
      <c r="J869" s="304"/>
    </row>
    <row r="870" spans="2:10">
      <c r="B870" s="59" t="s">
        <v>1348</v>
      </c>
      <c r="C870" s="304"/>
      <c r="D870" s="304"/>
      <c r="E870" s="304"/>
      <c r="F870" s="304"/>
      <c r="G870" s="304"/>
      <c r="H870" s="304"/>
      <c r="I870" s="304"/>
      <c r="J870" s="304"/>
    </row>
    <row r="871" spans="2:10">
      <c r="B871" s="71" t="s">
        <v>141</v>
      </c>
      <c r="C871" s="306">
        <v>66</v>
      </c>
      <c r="D871" s="306">
        <v>71</v>
      </c>
      <c r="E871" s="306">
        <v>105</v>
      </c>
      <c r="F871" s="306">
        <v>145</v>
      </c>
      <c r="G871" s="306">
        <v>218</v>
      </c>
      <c r="H871" s="306">
        <v>320</v>
      </c>
      <c r="I871" s="306">
        <v>341</v>
      </c>
      <c r="J871" s="306">
        <v>407</v>
      </c>
    </row>
    <row r="872" spans="2:10">
      <c r="B872" s="52" t="s">
        <v>121</v>
      </c>
      <c r="C872" s="1020"/>
      <c r="D872" s="1020"/>
      <c r="E872" s="1020"/>
      <c r="F872" s="1020"/>
      <c r="G872" s="1020"/>
      <c r="H872" s="1020"/>
      <c r="I872" s="1020"/>
      <c r="J872" s="1020"/>
    </row>
    <row r="873" spans="2:10">
      <c r="B873" s="53" t="s">
        <v>120</v>
      </c>
      <c r="C873" s="814">
        <v>0</v>
      </c>
      <c r="D873" s="814">
        <v>0</v>
      </c>
      <c r="E873" s="814">
        <v>0</v>
      </c>
      <c r="F873" s="814">
        <v>0</v>
      </c>
      <c r="G873" s="814">
        <v>0</v>
      </c>
      <c r="H873" s="814">
        <v>0</v>
      </c>
      <c r="I873" s="814">
        <v>0</v>
      </c>
      <c r="J873" s="814">
        <v>0</v>
      </c>
    </row>
    <row r="874" spans="2:10">
      <c r="B874" s="53" t="s">
        <v>119</v>
      </c>
      <c r="C874" s="814">
        <v>4</v>
      </c>
      <c r="D874" s="814">
        <v>5</v>
      </c>
      <c r="E874" s="814">
        <v>24</v>
      </c>
      <c r="F874" s="814">
        <v>52</v>
      </c>
      <c r="G874" s="814">
        <v>104</v>
      </c>
      <c r="H874" s="814">
        <v>157</v>
      </c>
      <c r="I874" s="814">
        <v>180</v>
      </c>
      <c r="J874" s="814">
        <v>244</v>
      </c>
    </row>
    <row r="875" spans="2:10">
      <c r="B875" s="52" t="s">
        <v>118</v>
      </c>
      <c r="C875" s="306">
        <v>62</v>
      </c>
      <c r="D875" s="306">
        <v>66</v>
      </c>
      <c r="E875" s="306">
        <v>81</v>
      </c>
      <c r="F875" s="1021">
        <v>93</v>
      </c>
      <c r="G875" s="1021">
        <v>114</v>
      </c>
      <c r="H875" s="1021">
        <v>163</v>
      </c>
      <c r="I875" s="1021">
        <v>161</v>
      </c>
      <c r="J875" s="1021">
        <v>163</v>
      </c>
    </row>
    <row r="876" spans="2:10" ht="15" thickBot="1">
      <c r="B876" s="50" t="s">
        <v>117</v>
      </c>
      <c r="C876" s="865">
        <v>0</v>
      </c>
      <c r="D876" s="865">
        <v>0</v>
      </c>
      <c r="E876" s="865">
        <v>0</v>
      </c>
      <c r="F876" s="865">
        <v>0</v>
      </c>
      <c r="G876" s="865">
        <v>0</v>
      </c>
      <c r="H876" s="865">
        <v>0</v>
      </c>
      <c r="I876" s="865">
        <v>0</v>
      </c>
      <c r="J876" s="865">
        <v>0</v>
      </c>
    </row>
    <row r="877" spans="2:10" ht="15" thickTop="1">
      <c r="B877" s="2025" t="s">
        <v>1574</v>
      </c>
      <c r="C877" s="2025"/>
      <c r="D877" s="2025"/>
      <c r="E877" s="2025"/>
      <c r="F877" s="2025"/>
      <c r="G877" s="2025"/>
      <c r="H877" s="2025"/>
      <c r="I877" s="2025"/>
      <c r="J877" s="2025"/>
    </row>
    <row r="878" spans="2:10">
      <c r="B878" s="2017"/>
      <c r="C878" s="2017"/>
      <c r="D878" s="2017"/>
      <c r="E878" s="2017"/>
      <c r="F878" s="2017"/>
      <c r="G878" s="2017"/>
      <c r="H878" s="2017"/>
      <c r="I878" s="2017"/>
      <c r="J878" s="2017"/>
    </row>
    <row r="879" spans="2:10">
      <c r="B879" s="64"/>
      <c r="C879" s="449"/>
      <c r="D879" s="449"/>
      <c r="E879" s="449"/>
      <c r="F879" s="449"/>
      <c r="G879" s="449"/>
      <c r="H879" s="449"/>
      <c r="I879" s="449"/>
      <c r="J879" s="449"/>
    </row>
    <row r="880" spans="2:10">
      <c r="B880" s="2100" t="s">
        <v>140</v>
      </c>
      <c r="C880" s="2100"/>
      <c r="D880" s="2100"/>
      <c r="E880" s="2100"/>
      <c r="F880" s="2100"/>
      <c r="G880" s="2100"/>
      <c r="H880" s="2100"/>
      <c r="I880" s="2100"/>
      <c r="J880" s="2100"/>
    </row>
    <row r="881" spans="2:10">
      <c r="B881" s="12" t="s">
        <v>139</v>
      </c>
      <c r="C881" s="449"/>
      <c r="D881" s="449"/>
      <c r="E881" s="449"/>
      <c r="F881" s="449"/>
      <c r="G881" s="449"/>
      <c r="H881" s="449"/>
      <c r="I881" s="449"/>
      <c r="J881" s="449"/>
    </row>
    <row r="882" spans="2:10">
      <c r="B882" s="62" t="s">
        <v>138</v>
      </c>
      <c r="C882" s="449"/>
      <c r="D882" s="449"/>
      <c r="E882" s="449"/>
      <c r="F882" s="449"/>
      <c r="G882" s="449"/>
      <c r="H882" s="449"/>
      <c r="I882" s="449"/>
      <c r="J882" s="449"/>
    </row>
    <row r="883" spans="2:10">
      <c r="B883" s="64"/>
      <c r="C883" s="449"/>
      <c r="D883" s="449"/>
      <c r="E883" s="449"/>
      <c r="F883" s="449"/>
      <c r="G883" s="449"/>
      <c r="H883" s="449"/>
      <c r="I883" s="449"/>
      <c r="J883" s="449"/>
    </row>
    <row r="884" spans="2:10">
      <c r="B884" s="61"/>
      <c r="C884" s="303">
        <v>2014</v>
      </c>
      <c r="D884" s="303">
        <v>2015</v>
      </c>
      <c r="E884" s="303">
        <v>2016</v>
      </c>
      <c r="F884" s="303">
        <v>2017</v>
      </c>
      <c r="G884" s="303">
        <v>2018</v>
      </c>
      <c r="H884" s="303">
        <v>2019</v>
      </c>
      <c r="I884" s="303">
        <v>2020</v>
      </c>
      <c r="J884" s="303">
        <v>2021</v>
      </c>
    </row>
    <row r="885" spans="2:10">
      <c r="B885" s="59" t="s">
        <v>1594</v>
      </c>
      <c r="C885" s="449"/>
      <c r="D885" s="449"/>
      <c r="E885" s="449"/>
      <c r="F885" s="449"/>
      <c r="G885" s="449"/>
      <c r="H885" s="449"/>
      <c r="I885" s="449"/>
      <c r="J885" s="449"/>
    </row>
    <row r="886" spans="2:10">
      <c r="B886" s="71" t="s">
        <v>137</v>
      </c>
      <c r="C886" s="814">
        <v>9018.0892148835665</v>
      </c>
      <c r="D886" s="814">
        <v>8412.7559777654933</v>
      </c>
      <c r="E886" s="814">
        <v>7948.7811960818053</v>
      </c>
      <c r="F886" s="814">
        <v>7427.9533486457649</v>
      </c>
      <c r="G886" s="814">
        <v>6997.1846817935202</v>
      </c>
      <c r="H886" s="814">
        <v>6431.1376494504757</v>
      </c>
      <c r="I886" s="814">
        <v>6745.9142261346533</v>
      </c>
      <c r="J886" s="814">
        <v>6434.864960364388</v>
      </c>
    </row>
    <row r="887" spans="2:10">
      <c r="B887" s="52" t="s">
        <v>121</v>
      </c>
      <c r="C887" s="814"/>
      <c r="D887" s="814"/>
      <c r="E887" s="814"/>
      <c r="F887" s="814"/>
      <c r="G887" s="814"/>
      <c r="H887" s="814"/>
      <c r="I887" s="814"/>
      <c r="J887" s="814"/>
    </row>
    <row r="888" spans="2:10">
      <c r="B888" s="53" t="s">
        <v>120</v>
      </c>
      <c r="C888" s="1022">
        <v>277.42958136484424</v>
      </c>
      <c r="D888" s="1022">
        <v>210.8319627953328</v>
      </c>
      <c r="E888" s="1022">
        <v>212.7111173742841</v>
      </c>
      <c r="F888" s="1022">
        <v>482.28328869347615</v>
      </c>
      <c r="G888" s="1022">
        <v>583.53086687514974</v>
      </c>
      <c r="H888" s="1022">
        <v>446.5599046534258</v>
      </c>
      <c r="I888" s="1022">
        <v>492.36985502207165</v>
      </c>
      <c r="J888" s="1022">
        <v>301.76454885555154</v>
      </c>
    </row>
    <row r="889" spans="2:10">
      <c r="B889" s="53" t="s">
        <v>119</v>
      </c>
      <c r="C889" s="1022">
        <v>8740.6596335187205</v>
      </c>
      <c r="D889" s="1022">
        <v>8201.92401497016</v>
      </c>
      <c r="E889" s="1022">
        <v>7736.0700787075211</v>
      </c>
      <c r="F889" s="1022">
        <v>6945.6700599522883</v>
      </c>
      <c r="G889" s="1022">
        <v>6413.6538149183707</v>
      </c>
      <c r="H889" s="1022">
        <v>5984.5777447970495</v>
      </c>
      <c r="I889" s="1022">
        <v>6253.5443711125808</v>
      </c>
      <c r="J889" s="1022">
        <v>6133.1004115088363</v>
      </c>
    </row>
    <row r="890" spans="2:10">
      <c r="B890" s="52" t="s">
        <v>118</v>
      </c>
      <c r="C890" s="814">
        <v>0</v>
      </c>
      <c r="D890" s="814">
        <v>0</v>
      </c>
      <c r="E890" s="814">
        <v>0</v>
      </c>
      <c r="F890" s="814">
        <v>0</v>
      </c>
      <c r="G890" s="814">
        <v>0</v>
      </c>
      <c r="H890" s="814">
        <v>0</v>
      </c>
      <c r="I890" s="814">
        <v>0</v>
      </c>
      <c r="J890" s="814"/>
    </row>
    <row r="891" spans="2:10">
      <c r="B891" s="52" t="s">
        <v>117</v>
      </c>
      <c r="C891" s="814">
        <v>0</v>
      </c>
      <c r="D891" s="814">
        <v>0</v>
      </c>
      <c r="E891" s="814">
        <v>0</v>
      </c>
      <c r="F891" s="814">
        <v>0</v>
      </c>
      <c r="G891" s="814">
        <v>0</v>
      </c>
      <c r="H891" s="814">
        <v>0</v>
      </c>
      <c r="I891" s="814">
        <v>0</v>
      </c>
      <c r="J891" s="814"/>
    </row>
    <row r="892" spans="2:10">
      <c r="B892" s="71"/>
      <c r="C892" s="304"/>
      <c r="D892" s="304"/>
      <c r="E892" s="304"/>
      <c r="F892" s="304"/>
      <c r="G892" s="304"/>
      <c r="H892" s="304"/>
      <c r="I892" s="304"/>
      <c r="J892" s="304"/>
    </row>
    <row r="893" spans="2:10">
      <c r="B893" s="59" t="s">
        <v>1348</v>
      </c>
      <c r="C893" s="304"/>
      <c r="D893" s="304"/>
      <c r="E893" s="304"/>
      <c r="F893" s="304"/>
      <c r="G893" s="304"/>
      <c r="H893" s="304"/>
      <c r="I893" s="304"/>
      <c r="J893" s="304"/>
    </row>
    <row r="894" spans="2:10">
      <c r="B894" s="71" t="s">
        <v>137</v>
      </c>
      <c r="C894" s="1021">
        <v>486.47880224000028</v>
      </c>
      <c r="D894" s="1021">
        <v>6377.909728854378</v>
      </c>
      <c r="E894" s="1021">
        <v>8097.1407750209428</v>
      </c>
      <c r="F894" s="1021">
        <v>9999.9680001023989</v>
      </c>
      <c r="G894" s="1021">
        <v>25055.552858603685</v>
      </c>
      <c r="H894" s="1021">
        <v>20644.298440811956</v>
      </c>
      <c r="I894" s="1021">
        <v>39328.009320760772</v>
      </c>
      <c r="J894" s="1021">
        <v>40274.689562944346</v>
      </c>
    </row>
    <row r="895" spans="2:10">
      <c r="B895" s="52" t="s">
        <v>121</v>
      </c>
      <c r="C895" s="814"/>
      <c r="D895" s="814"/>
      <c r="E895" s="814"/>
      <c r="F895" s="814"/>
      <c r="G895" s="814"/>
      <c r="H895" s="814"/>
      <c r="I895" s="814"/>
      <c r="J895" s="814"/>
    </row>
    <row r="896" spans="2:10">
      <c r="B896" s="53" t="s">
        <v>120</v>
      </c>
      <c r="C896" s="814">
        <v>0</v>
      </c>
      <c r="D896" s="814">
        <v>0</v>
      </c>
      <c r="E896" s="814">
        <v>0</v>
      </c>
      <c r="F896" s="814">
        <v>0</v>
      </c>
      <c r="G896" s="814">
        <v>0</v>
      </c>
      <c r="H896" s="814">
        <v>0</v>
      </c>
      <c r="I896" s="814">
        <v>0</v>
      </c>
      <c r="J896" s="814"/>
    </row>
    <row r="897" spans="2:10">
      <c r="B897" s="53" t="s">
        <v>119</v>
      </c>
      <c r="C897" s="814">
        <v>0</v>
      </c>
      <c r="D897" s="814">
        <v>0</v>
      </c>
      <c r="E897" s="814">
        <v>0</v>
      </c>
      <c r="F897" s="814">
        <v>0</v>
      </c>
      <c r="G897" s="814">
        <v>0</v>
      </c>
      <c r="H897" s="814">
        <v>0</v>
      </c>
      <c r="I897" s="814">
        <v>0</v>
      </c>
      <c r="J897" s="814"/>
    </row>
    <row r="898" spans="2:10">
      <c r="B898" s="52" t="s">
        <v>118</v>
      </c>
      <c r="C898" s="1021">
        <v>0</v>
      </c>
      <c r="D898" s="1021">
        <v>0</v>
      </c>
      <c r="E898" s="1021">
        <v>0</v>
      </c>
      <c r="F898" s="1021">
        <v>0</v>
      </c>
      <c r="G898" s="1021">
        <v>0</v>
      </c>
      <c r="H898" s="1021">
        <v>0</v>
      </c>
      <c r="I898" s="1021">
        <v>0</v>
      </c>
      <c r="J898" s="1021"/>
    </row>
    <row r="899" spans="2:10" ht="15" thickBot="1">
      <c r="B899" s="50" t="s">
        <v>117</v>
      </c>
      <c r="C899" s="1009">
        <v>0</v>
      </c>
      <c r="D899" s="1009">
        <v>0</v>
      </c>
      <c r="E899" s="1009">
        <v>0</v>
      </c>
      <c r="F899" s="1009">
        <v>0</v>
      </c>
      <c r="G899" s="1009">
        <v>0</v>
      </c>
      <c r="H899" s="1009">
        <v>0</v>
      </c>
      <c r="I899" s="1009">
        <v>0</v>
      </c>
      <c r="J899" s="1009"/>
    </row>
    <row r="900" spans="2:10" ht="15" thickTop="1">
      <c r="B900" s="2025" t="s">
        <v>1574</v>
      </c>
      <c r="C900" s="2025"/>
      <c r="D900" s="2025"/>
      <c r="E900" s="2025"/>
      <c r="F900" s="2025"/>
      <c r="G900" s="2025"/>
      <c r="H900" s="2025"/>
      <c r="I900" s="2025"/>
      <c r="J900" s="2025"/>
    </row>
    <row r="901" spans="2:10">
      <c r="B901" s="2017"/>
      <c r="C901" s="2017"/>
      <c r="D901" s="2017"/>
      <c r="E901" s="2017"/>
      <c r="F901" s="2017"/>
      <c r="G901" s="2017"/>
      <c r="H901" s="2017"/>
      <c r="I901" s="2017"/>
      <c r="J901" s="2017"/>
    </row>
    <row r="902" spans="2:10">
      <c r="B902" s="64"/>
      <c r="C902" s="449"/>
      <c r="D902" s="449"/>
      <c r="E902" s="449"/>
      <c r="F902" s="449"/>
      <c r="G902" s="449"/>
      <c r="H902" s="449"/>
      <c r="I902" s="449"/>
      <c r="J902" s="449"/>
    </row>
    <row r="903" spans="2:10">
      <c r="B903" s="2100" t="s">
        <v>133</v>
      </c>
      <c r="C903" s="2100"/>
      <c r="D903" s="2100"/>
      <c r="E903" s="2100"/>
      <c r="F903" s="2100"/>
      <c r="G903" s="2100"/>
      <c r="H903" s="2100"/>
      <c r="I903" s="2100"/>
      <c r="J903" s="2100"/>
    </row>
    <row r="904" spans="2:10">
      <c r="B904" s="12" t="s">
        <v>132</v>
      </c>
      <c r="C904" s="449"/>
      <c r="D904" s="449"/>
      <c r="E904" s="449"/>
      <c r="F904" s="449"/>
      <c r="G904" s="449"/>
      <c r="H904" s="449"/>
      <c r="I904" s="449"/>
      <c r="J904" s="449"/>
    </row>
    <row r="905" spans="2:10">
      <c r="B905" s="62" t="s">
        <v>131</v>
      </c>
      <c r="C905" s="449"/>
      <c r="D905" s="449"/>
      <c r="E905" s="449"/>
      <c r="F905" s="449"/>
      <c r="G905" s="449"/>
      <c r="H905" s="449"/>
      <c r="I905" s="449"/>
      <c r="J905" s="449"/>
    </row>
    <row r="906" spans="2:10">
      <c r="B906" s="62"/>
      <c r="C906" s="449"/>
      <c r="D906" s="449"/>
      <c r="E906" s="449"/>
      <c r="F906" s="449"/>
      <c r="G906" s="449"/>
      <c r="H906" s="449"/>
      <c r="I906" s="449"/>
      <c r="J906" s="449"/>
    </row>
    <row r="907" spans="2:10">
      <c r="B907" s="61"/>
      <c r="C907" s="303">
        <v>2014</v>
      </c>
      <c r="D907" s="303">
        <v>2015</v>
      </c>
      <c r="E907" s="303">
        <v>2016</v>
      </c>
      <c r="F907" s="303">
        <v>2017</v>
      </c>
      <c r="G907" s="303">
        <v>2018</v>
      </c>
      <c r="H907" s="303">
        <v>2019</v>
      </c>
      <c r="I907" s="303">
        <v>2020</v>
      </c>
      <c r="J907" s="303">
        <v>2021</v>
      </c>
    </row>
    <row r="908" spans="2:10">
      <c r="B908" s="71" t="s">
        <v>130</v>
      </c>
      <c r="C908" s="229">
        <f>C910+C926</f>
        <v>20731.525000000001</v>
      </c>
      <c r="D908" s="229">
        <f t="shared" ref="D908:J908" si="5">D910+D926</f>
        <v>30193.576000000001</v>
      </c>
      <c r="E908" s="229">
        <f t="shared" si="5"/>
        <v>46339.341999999997</v>
      </c>
      <c r="F908" s="229">
        <f t="shared" si="5"/>
        <v>67079.252999999997</v>
      </c>
      <c r="G908" s="229">
        <f t="shared" si="5"/>
        <v>60816.432000000001</v>
      </c>
      <c r="H908" s="229">
        <f t="shared" si="5"/>
        <v>347173.49200000003</v>
      </c>
      <c r="I908" s="229">
        <f t="shared" si="5"/>
        <v>489282.098</v>
      </c>
      <c r="J908" s="229">
        <f t="shared" si="5"/>
        <v>285637.01400000002</v>
      </c>
    </row>
    <row r="909" spans="2:10">
      <c r="B909" s="71"/>
      <c r="C909" s="305"/>
      <c r="D909" s="305"/>
      <c r="E909" s="305"/>
      <c r="F909" s="305"/>
      <c r="G909" s="305"/>
      <c r="H909" s="305"/>
      <c r="I909" s="305"/>
      <c r="J909" s="305"/>
    </row>
    <row r="910" spans="2:10">
      <c r="B910" s="59" t="s">
        <v>1594</v>
      </c>
      <c r="C910" s="229">
        <f>C911+C918</f>
        <v>15.525</v>
      </c>
      <c r="D910" s="229">
        <f t="shared" ref="D910:J910" si="6">D911+D918</f>
        <v>12.576000000000001</v>
      </c>
      <c r="E910" s="229">
        <f t="shared" si="6"/>
        <v>7.3419999999999996</v>
      </c>
      <c r="F910" s="229">
        <f t="shared" si="6"/>
        <v>5.253000000000001</v>
      </c>
      <c r="G910" s="229">
        <f t="shared" si="6"/>
        <v>4.4320000000000004</v>
      </c>
      <c r="H910" s="229">
        <f t="shared" si="6"/>
        <v>3.4919999999999995</v>
      </c>
      <c r="I910" s="229">
        <f t="shared" si="6"/>
        <v>4.0979999999999999</v>
      </c>
      <c r="J910" s="229">
        <f t="shared" si="6"/>
        <v>3.0139999999999998</v>
      </c>
    </row>
    <row r="911" spans="2:10">
      <c r="B911" s="54" t="s">
        <v>123</v>
      </c>
      <c r="C911" s="306">
        <v>5.6000000000000001E-2</v>
      </c>
      <c r="D911" s="306">
        <v>0.14799999999999999</v>
      </c>
      <c r="E911" s="306">
        <v>0.13</v>
      </c>
      <c r="F911" s="306">
        <v>7.8E-2</v>
      </c>
      <c r="G911" s="306">
        <v>0.25600000000000001</v>
      </c>
      <c r="H911" s="1023">
        <v>0.14699999999999999</v>
      </c>
      <c r="I911" s="1023">
        <v>0.20300000000000001</v>
      </c>
      <c r="J911" s="1023">
        <v>0.214</v>
      </c>
    </row>
    <row r="912" spans="2:10">
      <c r="B912" s="52" t="s">
        <v>121</v>
      </c>
      <c r="C912" s="306">
        <v>5.6000000000000001E-2</v>
      </c>
      <c r="D912" s="306"/>
      <c r="E912" s="306"/>
      <c r="F912" s="306"/>
      <c r="G912" s="306"/>
      <c r="H912" s="1023"/>
      <c r="I912" s="1023"/>
      <c r="J912" s="1023"/>
    </row>
    <row r="913" spans="2:10">
      <c r="B913" s="53" t="s">
        <v>120</v>
      </c>
      <c r="C913" s="306">
        <v>1E-3</v>
      </c>
      <c r="D913" s="306">
        <v>0</v>
      </c>
      <c r="E913" s="306">
        <v>0</v>
      </c>
      <c r="F913" s="306">
        <v>0</v>
      </c>
      <c r="G913" s="306">
        <v>1.0999999999999999E-2</v>
      </c>
      <c r="H913" s="1023">
        <v>6.0000000000000001E-3</v>
      </c>
      <c r="I913" s="1023">
        <v>7.0000000000000001E-3</v>
      </c>
      <c r="J913" s="1023">
        <v>3.4000000000000002E-2</v>
      </c>
    </row>
    <row r="914" spans="2:10">
      <c r="B914" s="53" t="s">
        <v>119</v>
      </c>
      <c r="C914" s="306">
        <v>5.5E-2</v>
      </c>
      <c r="D914" s="306">
        <v>0.14799999999999999</v>
      </c>
      <c r="E914" s="306">
        <v>0.13</v>
      </c>
      <c r="F914" s="306">
        <v>7.8E-2</v>
      </c>
      <c r="G914" s="306">
        <v>0.245</v>
      </c>
      <c r="H914" s="1023">
        <v>0.14099999999999999</v>
      </c>
      <c r="I914" s="1023">
        <v>0.19600000000000001</v>
      </c>
      <c r="J914" s="1023">
        <v>0.18</v>
      </c>
    </row>
    <row r="915" spans="2:10">
      <c r="B915" s="52" t="s">
        <v>118</v>
      </c>
      <c r="C915" s="306">
        <v>0</v>
      </c>
      <c r="D915" s="306">
        <v>0</v>
      </c>
      <c r="E915" s="306">
        <v>0</v>
      </c>
      <c r="F915" s="306">
        <v>0</v>
      </c>
      <c r="G915" s="306">
        <v>0</v>
      </c>
      <c r="H915" s="1023" t="s">
        <v>2086</v>
      </c>
      <c r="I915" s="1023" t="s">
        <v>2086</v>
      </c>
      <c r="J915" s="1023" t="s">
        <v>2086</v>
      </c>
    </row>
    <row r="916" spans="2:10">
      <c r="B916" s="52" t="s">
        <v>117</v>
      </c>
      <c r="C916" s="306">
        <v>0</v>
      </c>
      <c r="D916" s="306">
        <v>0</v>
      </c>
      <c r="E916" s="306">
        <v>0</v>
      </c>
      <c r="F916" s="306">
        <v>0</v>
      </c>
      <c r="G916" s="306">
        <v>0</v>
      </c>
      <c r="H916" s="1023" t="s">
        <v>2086</v>
      </c>
      <c r="I916" s="1023" t="s">
        <v>2086</v>
      </c>
      <c r="J916" s="1023" t="s">
        <v>2086</v>
      </c>
    </row>
    <row r="917" spans="2:10">
      <c r="B917" s="52"/>
      <c r="C917" s="304"/>
      <c r="D917" s="304"/>
      <c r="E917" s="304"/>
      <c r="F917" s="304"/>
      <c r="G917" s="304"/>
      <c r="H917" s="304"/>
      <c r="I917" s="304"/>
      <c r="J917" s="304"/>
    </row>
    <row r="918" spans="2:10">
      <c r="B918" s="54" t="s">
        <v>122</v>
      </c>
      <c r="C918" s="200">
        <v>15.469000000000001</v>
      </c>
      <c r="D918" s="200">
        <v>12.428000000000001</v>
      </c>
      <c r="E918" s="200">
        <v>7.2119999999999997</v>
      </c>
      <c r="F918" s="200">
        <v>5.1750000000000007</v>
      </c>
      <c r="G918" s="200">
        <v>4.1760000000000002</v>
      </c>
      <c r="H918" s="200">
        <v>3.3449999999999998</v>
      </c>
      <c r="I918" s="200">
        <v>3.895</v>
      </c>
      <c r="J918" s="200">
        <v>2.8</v>
      </c>
    </row>
    <row r="919" spans="2:10">
      <c r="B919" s="52" t="s">
        <v>121</v>
      </c>
      <c r="C919" s="200">
        <v>15.469000000000001</v>
      </c>
      <c r="D919" s="200">
        <v>12.428000000000001</v>
      </c>
      <c r="E919" s="200">
        <v>7.2119999999999997</v>
      </c>
      <c r="F919" s="200">
        <v>5.1750000000000007</v>
      </c>
      <c r="G919" s="200">
        <v>4.1760000000000002</v>
      </c>
      <c r="H919" s="200">
        <v>3.3449999999999998</v>
      </c>
      <c r="I919" s="200">
        <v>3.895</v>
      </c>
      <c r="J919" s="200">
        <v>2.8</v>
      </c>
    </row>
    <row r="920" spans="2:10">
      <c r="B920" s="53" t="s">
        <v>120</v>
      </c>
      <c r="C920" s="210">
        <v>4.4119999999999999</v>
      </c>
      <c r="D920" s="210">
        <v>4.2050000000000001</v>
      </c>
      <c r="E920" s="210">
        <v>3.5840000000000001</v>
      </c>
      <c r="F920" s="210">
        <v>1.9950000000000001</v>
      </c>
      <c r="G920" s="210">
        <v>1.7169999999999999</v>
      </c>
      <c r="H920" s="210">
        <v>1.3009999999999999</v>
      </c>
      <c r="I920" s="210">
        <v>0.97299999999999998</v>
      </c>
      <c r="J920" s="210">
        <v>0.8</v>
      </c>
    </row>
    <row r="921" spans="2:10">
      <c r="B921" s="53" t="s">
        <v>119</v>
      </c>
      <c r="C921" s="210">
        <v>11.057</v>
      </c>
      <c r="D921" s="210">
        <v>8.2230000000000008</v>
      </c>
      <c r="E921" s="210">
        <v>3.6280000000000001</v>
      </c>
      <c r="F921" s="210">
        <v>3.18</v>
      </c>
      <c r="G921" s="210">
        <v>2.4590000000000001</v>
      </c>
      <c r="H921" s="210">
        <v>2.044</v>
      </c>
      <c r="I921" s="210">
        <v>2.9220000000000002</v>
      </c>
      <c r="J921" s="210">
        <v>2</v>
      </c>
    </row>
    <row r="922" spans="2:10">
      <c r="B922" s="52" t="s">
        <v>118</v>
      </c>
      <c r="C922" s="814">
        <v>0</v>
      </c>
      <c r="D922" s="814">
        <v>0</v>
      </c>
      <c r="E922" s="814">
        <v>0</v>
      </c>
      <c r="F922" s="814">
        <v>0</v>
      </c>
      <c r="G922" s="814">
        <v>0</v>
      </c>
      <c r="H922" s="814">
        <v>0</v>
      </c>
      <c r="I922" s="814">
        <v>0</v>
      </c>
      <c r="J922" s="814">
        <v>0</v>
      </c>
    </row>
    <row r="923" spans="2:10">
      <c r="B923" s="52" t="s">
        <v>117</v>
      </c>
      <c r="C923" s="814">
        <v>0</v>
      </c>
      <c r="D923" s="814">
        <v>0</v>
      </c>
      <c r="E923" s="814">
        <v>0</v>
      </c>
      <c r="F923" s="814">
        <v>0</v>
      </c>
      <c r="G923" s="814">
        <v>0</v>
      </c>
      <c r="H923" s="814">
        <v>0</v>
      </c>
      <c r="I923" s="814">
        <v>0</v>
      </c>
      <c r="J923" s="814">
        <v>0</v>
      </c>
    </row>
    <row r="924" spans="2:10">
      <c r="B924" s="52"/>
      <c r="C924" s="305"/>
      <c r="D924" s="305"/>
      <c r="E924" s="305"/>
      <c r="F924" s="305"/>
      <c r="G924" s="305"/>
      <c r="H924" s="305"/>
      <c r="I924" s="305"/>
      <c r="J924" s="305"/>
    </row>
    <row r="925" spans="2:10">
      <c r="B925" s="59" t="s">
        <v>1348</v>
      </c>
      <c r="C925" s="305"/>
      <c r="D925" s="305"/>
      <c r="E925" s="305"/>
      <c r="F925" s="305"/>
      <c r="G925" s="305"/>
      <c r="H925" s="305"/>
      <c r="I925" s="305"/>
      <c r="J925" s="305"/>
    </row>
    <row r="926" spans="2:10">
      <c r="B926" s="54" t="s">
        <v>123</v>
      </c>
      <c r="C926" s="1024">
        <v>20716</v>
      </c>
      <c r="D926" s="1024">
        <v>30181</v>
      </c>
      <c r="E926" s="1024">
        <v>46332</v>
      </c>
      <c r="F926" s="1024">
        <v>67074</v>
      </c>
      <c r="G926" s="1024">
        <v>60812</v>
      </c>
      <c r="H926" s="1024">
        <v>347170</v>
      </c>
      <c r="I926" s="1024">
        <v>489278</v>
      </c>
      <c r="J926" s="1024">
        <v>285634</v>
      </c>
    </row>
    <row r="927" spans="2:10">
      <c r="B927" s="52" t="s">
        <v>121</v>
      </c>
      <c r="C927" s="1009">
        <v>0</v>
      </c>
      <c r="D927" s="1009">
        <v>0</v>
      </c>
      <c r="E927" s="1009">
        <v>0</v>
      </c>
      <c r="F927" s="1009">
        <v>0</v>
      </c>
      <c r="G927" s="1009">
        <v>0</v>
      </c>
      <c r="H927" s="1009">
        <v>0</v>
      </c>
      <c r="I927" s="1009">
        <v>0</v>
      </c>
      <c r="J927" s="1009">
        <v>0</v>
      </c>
    </row>
    <row r="928" spans="2:10">
      <c r="B928" s="53" t="s">
        <v>120</v>
      </c>
      <c r="C928" s="1009">
        <v>0</v>
      </c>
      <c r="D928" s="1009">
        <v>0</v>
      </c>
      <c r="E928" s="1009">
        <v>0</v>
      </c>
      <c r="F928" s="1009">
        <v>0</v>
      </c>
      <c r="G928" s="1009">
        <v>0</v>
      </c>
      <c r="H928" s="1009">
        <v>0</v>
      </c>
      <c r="I928" s="1009">
        <v>0</v>
      </c>
      <c r="J928" s="1009">
        <v>0</v>
      </c>
    </row>
    <row r="929" spans="2:10">
      <c r="B929" s="53" t="s">
        <v>119</v>
      </c>
      <c r="C929" s="1009"/>
      <c r="D929" s="1009">
        <v>9</v>
      </c>
      <c r="E929" s="814">
        <v>3</v>
      </c>
      <c r="F929" s="814">
        <v>8</v>
      </c>
      <c r="G929" s="814">
        <v>4</v>
      </c>
      <c r="H929" s="814">
        <v>0</v>
      </c>
      <c r="I929" s="814">
        <v>0</v>
      </c>
      <c r="J929" s="814">
        <v>67</v>
      </c>
    </row>
    <row r="930" spans="2:10">
      <c r="B930" s="52" t="s">
        <v>118</v>
      </c>
      <c r="C930" s="1024">
        <v>20716</v>
      </c>
      <c r="D930" s="1024">
        <v>30172</v>
      </c>
      <c r="E930" s="1024">
        <v>46329</v>
      </c>
      <c r="F930" s="1024">
        <v>67066</v>
      </c>
      <c r="G930" s="1024">
        <v>60810</v>
      </c>
      <c r="H930" s="1024">
        <v>347170</v>
      </c>
      <c r="I930" s="1024">
        <v>489278</v>
      </c>
      <c r="J930" s="1024">
        <v>285567</v>
      </c>
    </row>
    <row r="931" spans="2:10">
      <c r="B931" s="52" t="s">
        <v>117</v>
      </c>
      <c r="C931" s="1009"/>
      <c r="D931" s="1009">
        <v>0</v>
      </c>
      <c r="E931" s="1009">
        <v>0</v>
      </c>
      <c r="F931" s="1009">
        <v>0</v>
      </c>
      <c r="G931" s="1009">
        <v>0</v>
      </c>
      <c r="H931" s="1009">
        <v>0</v>
      </c>
      <c r="I931" s="1009">
        <v>0</v>
      </c>
      <c r="J931" s="1009">
        <v>0</v>
      </c>
    </row>
    <row r="932" spans="2:10">
      <c r="B932" s="52"/>
      <c r="C932" s="305"/>
      <c r="D932" s="305"/>
      <c r="E932" s="305"/>
      <c r="F932" s="305"/>
      <c r="G932" s="305"/>
      <c r="H932" s="305"/>
      <c r="I932" s="305"/>
      <c r="J932" s="305"/>
    </row>
    <row r="933" spans="2:10">
      <c r="B933" s="54" t="s">
        <v>122</v>
      </c>
      <c r="C933" s="1009">
        <v>0</v>
      </c>
      <c r="D933" s="1009">
        <v>0</v>
      </c>
      <c r="E933" s="1009">
        <v>0</v>
      </c>
      <c r="F933" s="1009">
        <v>0</v>
      </c>
      <c r="G933" s="1009">
        <v>0</v>
      </c>
      <c r="H933" s="1009">
        <v>0</v>
      </c>
      <c r="I933" s="1009">
        <v>0</v>
      </c>
      <c r="J933" s="1009"/>
    </row>
    <row r="934" spans="2:10">
      <c r="B934" s="52" t="s">
        <v>121</v>
      </c>
      <c r="C934" s="1009">
        <v>0</v>
      </c>
      <c r="D934" s="1009">
        <v>0</v>
      </c>
      <c r="E934" s="1009">
        <v>0</v>
      </c>
      <c r="F934" s="1009">
        <v>0</v>
      </c>
      <c r="G934" s="1009">
        <v>0</v>
      </c>
      <c r="H934" s="1009">
        <v>0</v>
      </c>
      <c r="I934" s="1009">
        <v>0</v>
      </c>
      <c r="J934" s="1009"/>
    </row>
    <row r="935" spans="2:10">
      <c r="B935" s="53" t="s">
        <v>120</v>
      </c>
      <c r="C935" s="1009">
        <v>0</v>
      </c>
      <c r="D935" s="1009">
        <v>0</v>
      </c>
      <c r="E935" s="1009">
        <v>0</v>
      </c>
      <c r="F935" s="1009">
        <v>0</v>
      </c>
      <c r="G935" s="1009">
        <v>0</v>
      </c>
      <c r="H935" s="1009">
        <v>0</v>
      </c>
      <c r="I935" s="1009">
        <v>0</v>
      </c>
      <c r="J935" s="1009"/>
    </row>
    <row r="936" spans="2:10">
      <c r="B936" s="53" t="s">
        <v>119</v>
      </c>
      <c r="C936" s="1009">
        <v>0</v>
      </c>
      <c r="D936" s="1009">
        <v>0</v>
      </c>
      <c r="E936" s="1009">
        <v>0</v>
      </c>
      <c r="F936" s="1009">
        <v>0</v>
      </c>
      <c r="G936" s="1009">
        <v>0</v>
      </c>
      <c r="H936" s="1009">
        <v>0</v>
      </c>
      <c r="I936" s="1009">
        <v>0</v>
      </c>
      <c r="J936" s="1009"/>
    </row>
    <row r="937" spans="2:10">
      <c r="B937" s="52" t="s">
        <v>118</v>
      </c>
      <c r="C937" s="1009">
        <v>0</v>
      </c>
      <c r="D937" s="1009">
        <v>0</v>
      </c>
      <c r="E937" s="1009">
        <v>0</v>
      </c>
      <c r="F937" s="1009">
        <v>0</v>
      </c>
      <c r="G937" s="1009">
        <v>0</v>
      </c>
      <c r="H937" s="1009">
        <v>0</v>
      </c>
      <c r="I937" s="1009">
        <v>0</v>
      </c>
      <c r="J937" s="1009"/>
    </row>
    <row r="938" spans="2:10" ht="15" thickBot="1">
      <c r="B938" s="50" t="s">
        <v>117</v>
      </c>
      <c r="C938" s="1009">
        <v>0</v>
      </c>
      <c r="D938" s="1009">
        <v>0</v>
      </c>
      <c r="E938" s="1009">
        <v>0</v>
      </c>
      <c r="F938" s="1009">
        <v>0</v>
      </c>
      <c r="G938" s="1009">
        <v>0</v>
      </c>
      <c r="H938" s="1009">
        <v>0</v>
      </c>
      <c r="I938" s="1009">
        <v>0</v>
      </c>
      <c r="J938" s="1009"/>
    </row>
    <row r="939" spans="2:10" ht="15" thickTop="1">
      <c r="B939" s="2025" t="s">
        <v>1574</v>
      </c>
      <c r="C939" s="2025"/>
      <c r="D939" s="2025"/>
      <c r="E939" s="2025"/>
      <c r="F939" s="2025"/>
      <c r="G939" s="2025"/>
      <c r="H939" s="2025"/>
      <c r="I939" s="2025"/>
      <c r="J939" s="2025"/>
    </row>
    <row r="940" spans="2:10">
      <c r="B940" s="2017"/>
      <c r="C940" s="2017"/>
      <c r="D940" s="2017"/>
      <c r="E940" s="2017"/>
      <c r="F940" s="2017"/>
      <c r="G940" s="2017"/>
      <c r="H940" s="2017"/>
      <c r="I940" s="2017"/>
      <c r="J940" s="2017"/>
    </row>
    <row r="941" spans="2:10">
      <c r="B941" s="2100" t="s">
        <v>129</v>
      </c>
      <c r="C941" s="2100"/>
      <c r="D941" s="2100"/>
      <c r="E941" s="2100"/>
      <c r="F941" s="2100"/>
      <c r="G941" s="2100"/>
      <c r="H941" s="2100"/>
      <c r="I941" s="2100"/>
      <c r="J941" s="2100"/>
    </row>
    <row r="942" spans="2:10">
      <c r="B942" s="12" t="s">
        <v>128</v>
      </c>
      <c r="C942" s="449"/>
      <c r="D942" s="449"/>
      <c r="E942" s="449"/>
      <c r="F942" s="449"/>
      <c r="G942" s="449"/>
      <c r="H942" s="449"/>
      <c r="I942" s="449"/>
      <c r="J942" s="449"/>
    </row>
    <row r="943" spans="2:10">
      <c r="B943" s="62" t="s">
        <v>127</v>
      </c>
      <c r="C943" s="449"/>
      <c r="D943" s="449"/>
      <c r="E943" s="449"/>
      <c r="F943" s="449"/>
      <c r="G943" s="449"/>
      <c r="H943" s="449"/>
      <c r="I943" s="449"/>
      <c r="J943" s="449"/>
    </row>
    <row r="944" spans="2:10">
      <c r="B944" s="62"/>
      <c r="C944" s="449"/>
      <c r="D944" s="449"/>
      <c r="E944" s="449"/>
      <c r="F944" s="449"/>
      <c r="G944" s="449"/>
      <c r="H944" s="449"/>
      <c r="I944" s="449"/>
      <c r="J944" s="449"/>
    </row>
    <row r="945" spans="2:10">
      <c r="B945" s="61"/>
      <c r="C945" s="303">
        <v>2014</v>
      </c>
      <c r="D945" s="303">
        <v>2015</v>
      </c>
      <c r="E945" s="303">
        <v>2016</v>
      </c>
      <c r="F945" s="303">
        <v>2017</v>
      </c>
      <c r="G945" s="303">
        <v>2018</v>
      </c>
      <c r="H945" s="303">
        <v>2019</v>
      </c>
      <c r="I945" s="303">
        <v>2020</v>
      </c>
      <c r="J945" s="303">
        <v>2021</v>
      </c>
    </row>
    <row r="946" spans="2:10">
      <c r="B946" s="71" t="s">
        <v>124</v>
      </c>
      <c r="C946" s="306">
        <f>C949+C966</f>
        <v>29687.773763262823</v>
      </c>
      <c r="D946" s="306">
        <f t="shared" ref="D946:J946" si="7">D949+D966</f>
        <v>16537.0347783898</v>
      </c>
      <c r="E946" s="306">
        <f t="shared" si="7"/>
        <v>5063.2605212870503</v>
      </c>
      <c r="F946" s="306">
        <f t="shared" si="7"/>
        <v>7087.0479449925679</v>
      </c>
      <c r="G946" s="306">
        <f t="shared" si="7"/>
        <v>8419.8074309418844</v>
      </c>
      <c r="H946" s="306">
        <f t="shared" si="7"/>
        <v>6561.5624376199576</v>
      </c>
      <c r="I946" s="306">
        <f t="shared" si="7"/>
        <v>5535.7733053443653</v>
      </c>
      <c r="J946" s="306">
        <f t="shared" si="7"/>
        <v>6800.1598674741026</v>
      </c>
    </row>
    <row r="947" spans="2:10">
      <c r="B947" s="71"/>
      <c r="C947" s="449"/>
      <c r="D947" s="449"/>
      <c r="E947" s="449"/>
      <c r="F947" s="449"/>
      <c r="G947" s="449"/>
      <c r="H947" s="449"/>
      <c r="I947" s="449"/>
      <c r="J947" s="449"/>
    </row>
    <row r="948" spans="2:10">
      <c r="B948" s="59" t="s">
        <v>1594</v>
      </c>
      <c r="C948" s="449"/>
      <c r="D948" s="449"/>
      <c r="E948" s="449"/>
      <c r="F948" s="449"/>
      <c r="G948" s="449"/>
      <c r="H948" s="449"/>
      <c r="I948" s="449"/>
      <c r="J948" s="449"/>
    </row>
    <row r="949" spans="2:10">
      <c r="B949" s="54" t="s">
        <v>124</v>
      </c>
      <c r="C949" s="1025">
        <f t="shared" ref="C949:J949" si="8">C950+C957</f>
        <v>29554.275537628408</v>
      </c>
      <c r="D949" s="1025">
        <f t="shared" si="8"/>
        <v>15937.897627702592</v>
      </c>
      <c r="E949" s="1025">
        <f t="shared" si="8"/>
        <v>4629.7575113306812</v>
      </c>
      <c r="F949" s="1025">
        <f t="shared" si="8"/>
        <v>6620.5374378261904</v>
      </c>
      <c r="G949" s="1025">
        <f t="shared" si="8"/>
        <v>7784.711804858428</v>
      </c>
      <c r="H949" s="1025">
        <f t="shared" si="8"/>
        <v>5685.8276881687279</v>
      </c>
      <c r="I949" s="1025">
        <f t="shared" si="8"/>
        <v>5091.9435774732856</v>
      </c>
      <c r="J949" s="1025">
        <f t="shared" si="8"/>
        <v>6060.975289447978</v>
      </c>
    </row>
    <row r="950" spans="2:10">
      <c r="B950" s="54" t="s">
        <v>123</v>
      </c>
      <c r="C950" s="1025">
        <v>353.8150952331531</v>
      </c>
      <c r="D950" s="1025">
        <v>288.36880268677908</v>
      </c>
      <c r="E950" s="1025">
        <v>216.67448075060494</v>
      </c>
      <c r="F950" s="1025">
        <v>232.86981420516415</v>
      </c>
      <c r="G950" s="1025">
        <v>1045.5564900928778</v>
      </c>
      <c r="H950" s="1025">
        <v>428.43058016580045</v>
      </c>
      <c r="I950" s="1025">
        <v>668.02520810126646</v>
      </c>
      <c r="J950" s="1025">
        <v>449.51512507753671</v>
      </c>
    </row>
    <row r="951" spans="2:10">
      <c r="B951" s="52" t="s">
        <v>121</v>
      </c>
      <c r="C951" s="1025">
        <v>353.8150952331531</v>
      </c>
      <c r="D951" s="1025">
        <v>288.36880268677908</v>
      </c>
      <c r="E951" s="1025">
        <v>216.67448075060494</v>
      </c>
      <c r="F951" s="1025">
        <v>232.86981420516415</v>
      </c>
      <c r="G951" s="1025">
        <v>1045.5564900928778</v>
      </c>
      <c r="H951" s="1025">
        <v>428.43058016580045</v>
      </c>
      <c r="I951" s="1025">
        <v>668.02520810126646</v>
      </c>
      <c r="J951" s="1025">
        <v>449.51512507753671</v>
      </c>
    </row>
    <row r="952" spans="2:10">
      <c r="B952" s="53" t="s">
        <v>120</v>
      </c>
      <c r="C952" s="1025">
        <v>7.78819595554536E-2</v>
      </c>
      <c r="D952" s="1025">
        <v>0</v>
      </c>
      <c r="E952" s="1025">
        <v>0</v>
      </c>
      <c r="F952" s="1025">
        <v>0</v>
      </c>
      <c r="G952" s="1025">
        <v>29.38772841659868</v>
      </c>
      <c r="H952" s="1025">
        <v>27.152593743635393</v>
      </c>
      <c r="I952" s="1025">
        <v>27.974143581496719</v>
      </c>
      <c r="J952" s="1025">
        <v>72.380032471928814</v>
      </c>
    </row>
    <row r="953" spans="2:10">
      <c r="B953" s="53" t="s">
        <v>119</v>
      </c>
      <c r="C953" s="1025">
        <v>353.73721327359766</v>
      </c>
      <c r="D953" s="1025">
        <v>288.36880268677908</v>
      </c>
      <c r="E953" s="1025">
        <v>216.67448075060494</v>
      </c>
      <c r="F953" s="1025">
        <v>232.86981420516415</v>
      </c>
      <c r="G953" s="1025">
        <v>1016.168761676279</v>
      </c>
      <c r="H953" s="1025">
        <v>401.2779864221651</v>
      </c>
      <c r="I953" s="1025">
        <v>640.05106451976974</v>
      </c>
      <c r="J953" s="1025">
        <v>377.13509260560795</v>
      </c>
    </row>
    <row r="954" spans="2:10">
      <c r="B954" s="52" t="s">
        <v>118</v>
      </c>
      <c r="C954" s="1025">
        <v>0</v>
      </c>
      <c r="D954" s="1025">
        <v>0</v>
      </c>
      <c r="E954" s="1025">
        <v>0</v>
      </c>
      <c r="F954" s="1025">
        <v>0</v>
      </c>
      <c r="G954" s="1025">
        <v>0</v>
      </c>
      <c r="H954" s="1025">
        <v>0</v>
      </c>
      <c r="I954" s="1025">
        <v>0</v>
      </c>
      <c r="J954" s="1025">
        <v>0</v>
      </c>
    </row>
    <row r="955" spans="2:10">
      <c r="B955" s="52" t="s">
        <v>117</v>
      </c>
      <c r="C955" s="1025">
        <v>0</v>
      </c>
      <c r="D955" s="1025">
        <v>0</v>
      </c>
      <c r="E955" s="1025">
        <v>0</v>
      </c>
      <c r="F955" s="1025">
        <v>0</v>
      </c>
      <c r="G955" s="1025">
        <v>0</v>
      </c>
      <c r="H955" s="1025">
        <v>0</v>
      </c>
      <c r="I955" s="1025">
        <v>0</v>
      </c>
      <c r="J955" s="1025">
        <v>0</v>
      </c>
    </row>
    <row r="956" spans="2:10">
      <c r="B956" s="52"/>
      <c r="C956" s="1025"/>
      <c r="D956" s="1025"/>
      <c r="E956" s="1025"/>
      <c r="F956" s="1025"/>
      <c r="G956" s="1025"/>
      <c r="H956" s="1025"/>
      <c r="I956" s="1025"/>
      <c r="J956" s="1025"/>
    </row>
    <row r="957" spans="2:10">
      <c r="B957" s="54" t="s">
        <v>122</v>
      </c>
      <c r="C957" s="1025">
        <v>29200.460442395255</v>
      </c>
      <c r="D957" s="1025">
        <v>15649.528825015814</v>
      </c>
      <c r="E957" s="1025">
        <v>4413.0830305800764</v>
      </c>
      <c r="F957" s="1025">
        <v>6387.667623621026</v>
      </c>
      <c r="G957" s="1025">
        <v>6739.1553147655504</v>
      </c>
      <c r="H957" s="1025">
        <v>5257.3971080029278</v>
      </c>
      <c r="I957" s="1025">
        <v>4423.9183693720188</v>
      </c>
      <c r="J957" s="1025">
        <v>5611.4601643704409</v>
      </c>
    </row>
    <row r="958" spans="2:10">
      <c r="B958" s="52" t="s">
        <v>121</v>
      </c>
      <c r="C958" s="1025">
        <v>29200.460442395255</v>
      </c>
      <c r="D958" s="1025">
        <v>15649.528825015814</v>
      </c>
      <c r="E958" s="1025">
        <v>4413.0830305800764</v>
      </c>
      <c r="F958" s="1025">
        <v>6387.667623621026</v>
      </c>
      <c r="G958" s="1025">
        <v>6739.1553147655504</v>
      </c>
      <c r="H958" s="1025">
        <v>5257.3971080029278</v>
      </c>
      <c r="I958" s="1025">
        <v>4423.9183693720188</v>
      </c>
      <c r="J958" s="1025">
        <v>5611.4601643704409</v>
      </c>
    </row>
    <row r="959" spans="2:10">
      <c r="B959" s="53" t="s">
        <v>120</v>
      </c>
      <c r="C959" s="1025">
        <v>398.01492228810741</v>
      </c>
      <c r="D959" s="1025">
        <v>484.42498525931154</v>
      </c>
      <c r="E959" s="1025">
        <v>434.5830774429229</v>
      </c>
      <c r="F959" s="1025">
        <v>290.7136457163337</v>
      </c>
      <c r="G959" s="1025">
        <v>703.55575721795663</v>
      </c>
      <c r="H959" s="1025">
        <v>687.60582790848548</v>
      </c>
      <c r="I959" s="1025">
        <v>637.09592774447538</v>
      </c>
      <c r="J959" s="1025">
        <v>703.2526478549571</v>
      </c>
    </row>
    <row r="960" spans="2:10">
      <c r="B960" s="53" t="s">
        <v>119</v>
      </c>
      <c r="C960" s="1025">
        <v>28802.445520107147</v>
      </c>
      <c r="D960" s="1025">
        <v>15165.103839756503</v>
      </c>
      <c r="E960" s="1025">
        <v>3978.4999531371527</v>
      </c>
      <c r="F960" s="1025">
        <v>6096.9539779046918</v>
      </c>
      <c r="G960" s="1025">
        <v>6035.5995575475936</v>
      </c>
      <c r="H960" s="1025">
        <v>4569.7912800944423</v>
      </c>
      <c r="I960" s="1025">
        <v>3786.8224416275439</v>
      </c>
      <c r="J960" s="1025">
        <v>4908.2075165154838</v>
      </c>
    </row>
    <row r="961" spans="2:10">
      <c r="B961" s="52" t="s">
        <v>118</v>
      </c>
      <c r="C961" s="1025">
        <v>0</v>
      </c>
      <c r="D961" s="1025">
        <v>0</v>
      </c>
      <c r="E961" s="1025">
        <v>0</v>
      </c>
      <c r="F961" s="1025">
        <v>0</v>
      </c>
      <c r="G961" s="1025">
        <v>0</v>
      </c>
      <c r="H961" s="1025">
        <v>0</v>
      </c>
      <c r="I961" s="1025">
        <v>0</v>
      </c>
      <c r="J961" s="1025">
        <v>0</v>
      </c>
    </row>
    <row r="962" spans="2:10">
      <c r="B962" s="52" t="s">
        <v>117</v>
      </c>
      <c r="C962" s="1025">
        <v>0</v>
      </c>
      <c r="D962" s="1025">
        <v>0</v>
      </c>
      <c r="E962" s="1025">
        <v>0</v>
      </c>
      <c r="F962" s="1025">
        <v>0</v>
      </c>
      <c r="G962" s="1025">
        <v>0</v>
      </c>
      <c r="H962" s="1025">
        <v>0</v>
      </c>
      <c r="I962" s="1025">
        <v>0</v>
      </c>
      <c r="J962" s="1025">
        <v>0</v>
      </c>
    </row>
    <row r="963" spans="2:10">
      <c r="B963" s="52"/>
      <c r="C963" s="1025"/>
      <c r="D963" s="1025"/>
      <c r="E963" s="1025"/>
      <c r="F963" s="1025"/>
      <c r="G963" s="1025"/>
      <c r="H963" s="1025"/>
      <c r="I963" s="1025"/>
      <c r="J963" s="1025"/>
    </row>
    <row r="964" spans="2:10">
      <c r="B964" s="59" t="s">
        <v>1348</v>
      </c>
      <c r="C964" s="1025"/>
      <c r="D964" s="1025"/>
      <c r="E964" s="1025"/>
      <c r="F964" s="1025"/>
      <c r="G964" s="1025"/>
      <c r="H964" s="1025"/>
      <c r="I964" s="1025"/>
      <c r="J964" s="1025"/>
    </row>
    <row r="965" spans="2:10">
      <c r="B965" s="54" t="s">
        <v>124</v>
      </c>
      <c r="C965" s="1025"/>
      <c r="D965" s="1025"/>
      <c r="E965" s="1025"/>
      <c r="F965" s="1025"/>
      <c r="G965" s="1025"/>
      <c r="H965" s="1025"/>
      <c r="I965" s="1025"/>
      <c r="J965" s="1025"/>
    </row>
    <row r="966" spans="2:10">
      <c r="B966" s="54" t="s">
        <v>123</v>
      </c>
      <c r="C966" s="1025">
        <v>133.49822563441526</v>
      </c>
      <c r="D966" s="1025">
        <v>599.13715068720671</v>
      </c>
      <c r="E966" s="1025">
        <v>433.50300995636883</v>
      </c>
      <c r="F966" s="1025">
        <v>466.51050716637707</v>
      </c>
      <c r="G966" s="1025">
        <v>635.09562608345686</v>
      </c>
      <c r="H966" s="1025">
        <v>875.73474945122928</v>
      </c>
      <c r="I966" s="1025">
        <v>443.82972787107963</v>
      </c>
      <c r="J966" s="1025">
        <v>739.18457802612454</v>
      </c>
    </row>
    <row r="967" spans="2:10">
      <c r="B967" s="52" t="s">
        <v>121</v>
      </c>
      <c r="C967" s="1025">
        <v>0</v>
      </c>
      <c r="D967" s="1025">
        <v>0</v>
      </c>
      <c r="E967" s="1025">
        <v>0</v>
      </c>
      <c r="F967" s="1025">
        <v>0</v>
      </c>
      <c r="G967" s="1025">
        <v>0</v>
      </c>
      <c r="H967" s="1025">
        <v>0</v>
      </c>
      <c r="I967" s="1025">
        <v>0</v>
      </c>
      <c r="J967" s="1025"/>
    </row>
    <row r="968" spans="2:10">
      <c r="B968" s="53" t="s">
        <v>120</v>
      </c>
      <c r="C968" s="1025">
        <v>0</v>
      </c>
      <c r="D968" s="1025">
        <v>0</v>
      </c>
      <c r="E968" s="1025">
        <v>0</v>
      </c>
      <c r="F968" s="1025">
        <v>0</v>
      </c>
      <c r="G968" s="1025">
        <v>0</v>
      </c>
      <c r="H968" s="1025">
        <v>0</v>
      </c>
      <c r="I968" s="1025">
        <v>0</v>
      </c>
      <c r="J968" s="1025"/>
    </row>
    <row r="969" spans="2:10">
      <c r="B969" s="53" t="s">
        <v>119</v>
      </c>
      <c r="C969" s="1025">
        <v>0</v>
      </c>
      <c r="D969" s="1025">
        <v>4.2353527384462061E-2</v>
      </c>
      <c r="E969" s="1025">
        <v>4.9049987387146096E-2</v>
      </c>
      <c r="F969" s="1025">
        <v>105.58366213228118</v>
      </c>
      <c r="G969" s="1025">
        <v>0.50894091744038739</v>
      </c>
      <c r="H969" s="1025"/>
      <c r="I969" s="1025"/>
      <c r="J969" s="1025">
        <v>246.60869520362016</v>
      </c>
    </row>
    <row r="970" spans="2:10">
      <c r="B970" s="52" t="s">
        <v>118</v>
      </c>
      <c r="C970" s="1025">
        <v>133.49822563441526</v>
      </c>
      <c r="D970" s="1025">
        <v>599.09479715982229</v>
      </c>
      <c r="E970" s="1025">
        <v>433.45395996898168</v>
      </c>
      <c r="F970" s="1025">
        <v>360.92684503409589</v>
      </c>
      <c r="G970" s="1025">
        <v>634.58668516601654</v>
      </c>
      <c r="H970" s="1025">
        <v>875.73474945122928</v>
      </c>
      <c r="I970" s="1025">
        <v>443.82972787107963</v>
      </c>
      <c r="J970" s="1025">
        <v>492.57588282250441</v>
      </c>
    </row>
    <row r="971" spans="2:10">
      <c r="B971" s="52" t="s">
        <v>117</v>
      </c>
      <c r="C971" s="1025">
        <v>0</v>
      </c>
      <c r="D971" s="1025">
        <v>0</v>
      </c>
      <c r="E971" s="1025">
        <v>0</v>
      </c>
      <c r="F971" s="1025">
        <v>0</v>
      </c>
      <c r="G971" s="1025">
        <v>0</v>
      </c>
      <c r="H971" s="1025">
        <v>0</v>
      </c>
      <c r="I971" s="1025">
        <v>0</v>
      </c>
      <c r="J971" s="1025">
        <v>0</v>
      </c>
    </row>
    <row r="972" spans="2:10">
      <c r="B972" s="52"/>
      <c r="C972" s="307"/>
      <c r="D972" s="307"/>
      <c r="E972" s="307"/>
      <c r="F972" s="307"/>
      <c r="G972" s="307"/>
      <c r="H972" s="307"/>
      <c r="I972" s="307"/>
      <c r="J972" s="307"/>
    </row>
    <row r="973" spans="2:10">
      <c r="B973" s="54" t="s">
        <v>122</v>
      </c>
      <c r="C973" s="307">
        <v>0</v>
      </c>
      <c r="D973" s="307">
        <v>0</v>
      </c>
      <c r="E973" s="307">
        <v>0</v>
      </c>
      <c r="F973" s="307">
        <v>0</v>
      </c>
      <c r="G973" s="307">
        <v>0</v>
      </c>
      <c r="H973" s="307">
        <v>0</v>
      </c>
      <c r="I973" s="307">
        <v>0</v>
      </c>
      <c r="J973" s="307">
        <v>0</v>
      </c>
    </row>
    <row r="974" spans="2:10">
      <c r="B974" s="52" t="s">
        <v>121</v>
      </c>
      <c r="C974" s="321">
        <v>0</v>
      </c>
      <c r="D974" s="321">
        <v>0</v>
      </c>
      <c r="E974" s="321">
        <v>0</v>
      </c>
      <c r="F974" s="321">
        <v>0</v>
      </c>
      <c r="G974" s="321">
        <v>0</v>
      </c>
      <c r="H974" s="321">
        <v>0</v>
      </c>
      <c r="I974" s="321">
        <v>0</v>
      </c>
      <c r="J974" s="321">
        <v>0</v>
      </c>
    </row>
    <row r="975" spans="2:10">
      <c r="B975" s="53" t="s">
        <v>120</v>
      </c>
      <c r="C975" s="321">
        <v>0</v>
      </c>
      <c r="D975" s="321">
        <v>0</v>
      </c>
      <c r="E975" s="321">
        <v>0</v>
      </c>
      <c r="F975" s="321">
        <v>0</v>
      </c>
      <c r="G975" s="321">
        <v>0</v>
      </c>
      <c r="H975" s="321">
        <v>0</v>
      </c>
      <c r="I975" s="321">
        <v>0</v>
      </c>
      <c r="J975" s="321">
        <v>0</v>
      </c>
    </row>
    <row r="976" spans="2:10">
      <c r="B976" s="53" t="s">
        <v>119</v>
      </c>
      <c r="C976" s="321">
        <v>0</v>
      </c>
      <c r="D976" s="321">
        <v>0</v>
      </c>
      <c r="E976" s="321">
        <v>0</v>
      </c>
      <c r="F976" s="321">
        <v>0</v>
      </c>
      <c r="G976" s="321">
        <v>0</v>
      </c>
      <c r="H976" s="321">
        <v>0</v>
      </c>
      <c r="I976" s="321">
        <v>0</v>
      </c>
      <c r="J976" s="321">
        <v>0</v>
      </c>
    </row>
    <row r="977" spans="2:10">
      <c r="B977" s="52" t="s">
        <v>118</v>
      </c>
      <c r="C977" s="321">
        <v>0</v>
      </c>
      <c r="D977" s="321">
        <v>0</v>
      </c>
      <c r="E977" s="321">
        <v>0</v>
      </c>
      <c r="F977" s="321">
        <v>0</v>
      </c>
      <c r="G977" s="321">
        <v>0</v>
      </c>
      <c r="H977" s="321">
        <v>0</v>
      </c>
      <c r="I977" s="321">
        <v>0</v>
      </c>
      <c r="J977" s="321">
        <v>0</v>
      </c>
    </row>
    <row r="978" spans="2:10" ht="15" thickBot="1">
      <c r="B978" s="50" t="s">
        <v>117</v>
      </c>
      <c r="C978" s="321">
        <v>0</v>
      </c>
      <c r="D978" s="321">
        <v>0</v>
      </c>
      <c r="E978" s="321">
        <v>0</v>
      </c>
      <c r="F978" s="321">
        <v>0</v>
      </c>
      <c r="G978" s="321">
        <v>0</v>
      </c>
      <c r="H978" s="321">
        <v>0</v>
      </c>
      <c r="I978" s="321">
        <v>0</v>
      </c>
      <c r="J978" s="321">
        <v>0</v>
      </c>
    </row>
    <row r="979" spans="2:10" ht="15" thickTop="1">
      <c r="B979" s="2025" t="s">
        <v>1574</v>
      </c>
      <c r="C979" s="2025"/>
      <c r="D979" s="2025"/>
      <c r="E979" s="2025"/>
      <c r="F979" s="2025"/>
      <c r="G979" s="2025"/>
      <c r="H979" s="2025"/>
      <c r="I979" s="2025"/>
      <c r="J979" s="2025"/>
    </row>
    <row r="980" spans="2:10">
      <c r="B980" s="2017"/>
      <c r="C980" s="2017"/>
      <c r="D980" s="2017"/>
      <c r="E980" s="2017"/>
      <c r="F980" s="2017"/>
      <c r="G980" s="2017"/>
      <c r="H980" s="2017"/>
      <c r="I980" s="2017"/>
      <c r="J980" s="2017"/>
    </row>
    <row r="981" spans="2:10">
      <c r="B981" s="2100" t="s">
        <v>115</v>
      </c>
      <c r="C981" s="2100"/>
      <c r="D981" s="2100"/>
      <c r="E981" s="2100"/>
      <c r="F981" s="2100"/>
      <c r="G981" s="2100"/>
      <c r="H981" s="2100"/>
      <c r="I981" s="2100"/>
      <c r="J981" s="2100"/>
    </row>
    <row r="982" spans="2:10">
      <c r="B982" s="12" t="s">
        <v>114</v>
      </c>
      <c r="C982" s="449"/>
      <c r="D982" s="449"/>
      <c r="E982" s="449"/>
      <c r="F982" s="449"/>
      <c r="G982" s="449"/>
      <c r="H982" s="449"/>
      <c r="I982" s="449"/>
      <c r="J982" s="449"/>
    </row>
    <row r="983" spans="2:10">
      <c r="B983" s="302"/>
      <c r="C983" s="449"/>
      <c r="D983" s="449"/>
      <c r="E983" s="449"/>
      <c r="F983" s="449"/>
      <c r="G983" s="449"/>
      <c r="H983" s="449"/>
      <c r="I983" s="449"/>
      <c r="J983" s="449"/>
    </row>
    <row r="984" spans="2:10">
      <c r="B984" s="2109" t="s">
        <v>11</v>
      </c>
      <c r="C984" s="2132" t="s">
        <v>604</v>
      </c>
      <c r="D984" s="2132" t="s">
        <v>113</v>
      </c>
      <c r="E984" s="2134" t="s">
        <v>24</v>
      </c>
      <c r="F984" s="2132" t="s">
        <v>112</v>
      </c>
      <c r="G984" s="2132" t="s">
        <v>111</v>
      </c>
      <c r="H984" s="2134" t="s">
        <v>110</v>
      </c>
      <c r="I984" s="2130"/>
      <c r="J984" s="2130"/>
    </row>
    <row r="985" spans="2:10">
      <c r="B985" s="2108"/>
      <c r="C985" s="2135"/>
      <c r="D985" s="2135"/>
      <c r="E985" s="2135"/>
      <c r="F985" s="2135"/>
      <c r="G985" s="2135"/>
      <c r="H985" s="2135"/>
      <c r="I985" s="2131"/>
      <c r="J985" s="2131"/>
    </row>
    <row r="986" spans="2:10">
      <c r="B986" s="1026" t="s">
        <v>1251</v>
      </c>
      <c r="C986" s="1027" t="s">
        <v>701</v>
      </c>
      <c r="D986" s="1028" t="s">
        <v>94</v>
      </c>
      <c r="E986" s="1029" t="s">
        <v>1</v>
      </c>
      <c r="F986" s="1029" t="s">
        <v>106</v>
      </c>
      <c r="G986" s="1029" t="s">
        <v>103</v>
      </c>
      <c r="H986" s="1029" t="s">
        <v>102</v>
      </c>
      <c r="I986" s="1029"/>
      <c r="J986" s="1029"/>
    </row>
    <row r="987" spans="2:10">
      <c r="B987" s="1026" t="s">
        <v>1252</v>
      </c>
      <c r="C987" s="1027" t="s">
        <v>103</v>
      </c>
      <c r="D987" s="1028" t="s">
        <v>105</v>
      </c>
      <c r="E987" s="1029" t="s">
        <v>5</v>
      </c>
      <c r="F987" s="1029" t="s">
        <v>489</v>
      </c>
      <c r="G987" s="1029" t="s">
        <v>103</v>
      </c>
      <c r="H987" s="1029" t="s">
        <v>102</v>
      </c>
      <c r="I987" s="1029"/>
      <c r="J987" s="1029"/>
    </row>
    <row r="988" spans="2:10" ht="15" thickBot="1">
      <c r="B988" s="1030" t="s">
        <v>1254</v>
      </c>
      <c r="C988" s="1031" t="s">
        <v>103</v>
      </c>
      <c r="D988" s="1032" t="s">
        <v>105</v>
      </c>
      <c r="E988" s="1033" t="s">
        <v>5</v>
      </c>
      <c r="F988" s="1033" t="s">
        <v>489</v>
      </c>
      <c r="G988" s="1033" t="s">
        <v>103</v>
      </c>
      <c r="H988" s="1033" t="s">
        <v>102</v>
      </c>
      <c r="I988" s="1029"/>
      <c r="J988" s="1029"/>
    </row>
    <row r="989" spans="2:10" ht="15" thickTop="1">
      <c r="B989" s="2112"/>
      <c r="C989" s="2112"/>
      <c r="D989" s="2112"/>
      <c r="E989" s="449"/>
      <c r="F989" s="449"/>
      <c r="G989" s="449"/>
      <c r="H989" s="449"/>
      <c r="I989" s="449"/>
      <c r="J989" s="449"/>
    </row>
    <row r="990" spans="2:10">
      <c r="B990" s="2123"/>
      <c r="C990" s="2123"/>
      <c r="D990" s="2123"/>
      <c r="E990" s="449"/>
      <c r="F990" s="449"/>
      <c r="G990" s="449"/>
      <c r="H990" s="449"/>
      <c r="I990" s="449"/>
      <c r="J990" s="449"/>
    </row>
    <row r="991" spans="2:10">
      <c r="B991" s="2109" t="s">
        <v>11</v>
      </c>
      <c r="C991" s="2132" t="s">
        <v>610</v>
      </c>
      <c r="D991" s="2134" t="s">
        <v>101</v>
      </c>
      <c r="E991" s="2134" t="s">
        <v>100</v>
      </c>
      <c r="F991" s="2134" t="s">
        <v>99</v>
      </c>
      <c r="G991" s="2132" t="s">
        <v>98</v>
      </c>
      <c r="H991" s="2132"/>
      <c r="I991" s="1034"/>
      <c r="J991" s="1034"/>
    </row>
    <row r="992" spans="2:10">
      <c r="B992" s="2110"/>
      <c r="C992" s="2133"/>
      <c r="D992" s="2133"/>
      <c r="E992" s="2133"/>
      <c r="F992" s="2133"/>
      <c r="G992" s="1035" t="s">
        <v>97</v>
      </c>
      <c r="H992" s="1035" t="s">
        <v>96</v>
      </c>
      <c r="I992" s="1036"/>
      <c r="J992" s="1036"/>
    </row>
    <row r="993" spans="2:10">
      <c r="B993" s="242" t="s">
        <v>1251</v>
      </c>
      <c r="C993" s="1027" t="s">
        <v>1222</v>
      </c>
      <c r="D993" s="1028" t="s">
        <v>1595</v>
      </c>
      <c r="E993" s="1029" t="s">
        <v>1225</v>
      </c>
      <c r="F993" s="1029">
        <v>0.61805555555555558</v>
      </c>
      <c r="G993" s="1029">
        <v>0.3125</v>
      </c>
      <c r="H993" s="1029">
        <v>0.64583333333333337</v>
      </c>
      <c r="I993" s="1029"/>
      <c r="J993" s="1029"/>
    </row>
    <row r="994" spans="2:10">
      <c r="B994" s="242" t="s">
        <v>1252</v>
      </c>
      <c r="C994" s="1027" t="s">
        <v>1222</v>
      </c>
      <c r="D994" s="1028" t="s">
        <v>1253</v>
      </c>
      <c r="E994" s="1029" t="s">
        <v>711</v>
      </c>
      <c r="F994" s="1029">
        <v>0</v>
      </c>
      <c r="G994" s="1029">
        <v>0</v>
      </c>
      <c r="H994" s="1029">
        <v>0</v>
      </c>
      <c r="I994" s="1029"/>
      <c r="J994" s="1029"/>
    </row>
    <row r="995" spans="2:10" ht="15" thickBot="1">
      <c r="B995" s="244" t="s">
        <v>1254</v>
      </c>
      <c r="C995" s="1031" t="s">
        <v>1222</v>
      </c>
      <c r="D995" s="1032" t="s">
        <v>1234</v>
      </c>
      <c r="E995" s="1033" t="s">
        <v>711</v>
      </c>
      <c r="F995" s="1033">
        <v>0</v>
      </c>
      <c r="G995" s="1033">
        <v>0</v>
      </c>
      <c r="H995" s="1033">
        <v>0</v>
      </c>
      <c r="I995" s="1029"/>
      <c r="J995" s="1029"/>
    </row>
    <row r="996" spans="2:10" ht="15" thickTop="1">
      <c r="B996" s="2127" t="s">
        <v>1574</v>
      </c>
      <c r="C996" s="2127"/>
      <c r="D996" s="2127"/>
      <c r="E996" s="449"/>
      <c r="F996" s="449"/>
      <c r="G996" s="449"/>
      <c r="H996" s="449"/>
      <c r="I996" s="449"/>
      <c r="J996" s="449"/>
    </row>
    <row r="997" spans="2:10">
      <c r="B997" s="364"/>
      <c r="C997" s="364"/>
      <c r="D997" s="364"/>
      <c r="E997" s="449"/>
      <c r="F997" s="449"/>
      <c r="G997" s="449"/>
      <c r="H997" s="449"/>
      <c r="I997" s="449"/>
      <c r="J997" s="449"/>
    </row>
    <row r="998" spans="2:10">
      <c r="B998" s="302"/>
      <c r="C998" s="449"/>
      <c r="D998" s="449"/>
      <c r="E998" s="449"/>
      <c r="F998" s="449"/>
      <c r="G998" s="449"/>
      <c r="H998" s="449"/>
      <c r="I998" s="449"/>
      <c r="J998" s="449"/>
    </row>
    <row r="999" spans="2:10">
      <c r="B999" s="2100" t="s">
        <v>76</v>
      </c>
      <c r="C999" s="2100"/>
      <c r="D999" s="2100"/>
      <c r="E999" s="2100"/>
      <c r="F999" s="2100"/>
      <c r="G999" s="2100"/>
      <c r="H999" s="2100"/>
      <c r="I999" s="2100"/>
      <c r="J999" s="2100"/>
    </row>
    <row r="1000" spans="2:10">
      <c r="B1000" s="12" t="s">
        <v>75</v>
      </c>
      <c r="C1000" s="449"/>
      <c r="D1000" s="449"/>
      <c r="E1000" s="449"/>
      <c r="F1000" s="449"/>
      <c r="G1000" s="449"/>
      <c r="H1000" s="449"/>
      <c r="I1000" s="449"/>
      <c r="J1000" s="449"/>
    </row>
    <row r="1001" spans="2:10">
      <c r="B1001" s="302"/>
      <c r="C1001" s="449"/>
      <c r="D1001" s="449"/>
      <c r="E1001" s="449"/>
      <c r="F1001" s="449"/>
      <c r="G1001" s="449"/>
      <c r="H1001" s="449"/>
      <c r="I1001" s="449"/>
      <c r="J1001" s="449"/>
    </row>
    <row r="1002" spans="2:10" ht="24">
      <c r="B1002" s="1037" t="s">
        <v>11</v>
      </c>
      <c r="C1002" s="1038" t="s">
        <v>24</v>
      </c>
      <c r="D1002" s="1038" t="s">
        <v>74</v>
      </c>
      <c r="E1002" s="1038" t="s">
        <v>73</v>
      </c>
      <c r="F1002" s="1038" t="s">
        <v>72</v>
      </c>
      <c r="G1002" s="1038" t="s">
        <v>71</v>
      </c>
      <c r="H1002" s="449"/>
      <c r="I1002" s="449"/>
      <c r="J1002" s="449"/>
    </row>
    <row r="1003" spans="2:10">
      <c r="B1003" s="503" t="s">
        <v>1304</v>
      </c>
      <c r="C1003" s="346" t="s">
        <v>1596</v>
      </c>
      <c r="D1003" s="346" t="s">
        <v>1597</v>
      </c>
      <c r="E1003" s="346">
        <v>0</v>
      </c>
      <c r="F1003" s="346" t="s">
        <v>1598</v>
      </c>
      <c r="G1003" s="346" t="s">
        <v>1599</v>
      </c>
      <c r="H1003" s="449"/>
      <c r="I1003" s="449"/>
      <c r="J1003" s="449"/>
    </row>
    <row r="1004" spans="2:10" ht="15" thickBot="1">
      <c r="B1004" s="1039" t="s">
        <v>1600</v>
      </c>
      <c r="C1004" s="350" t="s">
        <v>1596</v>
      </c>
      <c r="D1004" s="350" t="s">
        <v>1597</v>
      </c>
      <c r="E1004" s="350"/>
      <c r="F1004" s="350" t="s">
        <v>1598</v>
      </c>
      <c r="G1004" s="350" t="s">
        <v>1599</v>
      </c>
      <c r="H1004" s="449"/>
      <c r="I1004" s="449"/>
      <c r="J1004" s="449"/>
    </row>
    <row r="1005" spans="2:10" ht="15" thickTop="1">
      <c r="B1005" s="2112"/>
      <c r="C1005" s="2112"/>
      <c r="D1005" s="2112"/>
      <c r="E1005" s="449"/>
      <c r="F1005" s="449"/>
      <c r="G1005" s="449"/>
      <c r="H1005" s="449"/>
      <c r="I1005" s="449"/>
      <c r="J1005" s="449"/>
    </row>
    <row r="1006" spans="2:10">
      <c r="B1006" s="511"/>
      <c r="C1006" s="449"/>
      <c r="D1006" s="449"/>
      <c r="E1006" s="449"/>
      <c r="F1006" s="449"/>
      <c r="G1006" s="449"/>
      <c r="H1006" s="449"/>
      <c r="I1006" s="449"/>
      <c r="J1006" s="449"/>
    </row>
    <row r="1007" spans="2:10">
      <c r="B1007" s="302"/>
      <c r="C1007" s="449"/>
      <c r="D1007" s="449"/>
      <c r="E1007" s="449"/>
      <c r="F1007" s="449"/>
      <c r="G1007" s="449"/>
      <c r="H1007" s="449"/>
      <c r="I1007" s="449"/>
      <c r="J1007" s="449"/>
    </row>
    <row r="1008" spans="2:10">
      <c r="B1008" s="2100" t="s">
        <v>52</v>
      </c>
      <c r="C1008" s="2100"/>
      <c r="D1008" s="2100"/>
      <c r="E1008" s="2100"/>
      <c r="F1008" s="2100"/>
      <c r="G1008" s="2100"/>
      <c r="H1008" s="2100"/>
      <c r="I1008" s="2100"/>
      <c r="J1008" s="2100"/>
    </row>
    <row r="1009" spans="2:10">
      <c r="B1009" s="12" t="s">
        <v>51</v>
      </c>
      <c r="C1009" s="449"/>
      <c r="D1009" s="449"/>
      <c r="E1009" s="449"/>
      <c r="F1009" s="449"/>
      <c r="G1009" s="449"/>
      <c r="H1009" s="449"/>
      <c r="I1009" s="449"/>
      <c r="J1009" s="449"/>
    </row>
    <row r="1010" spans="2:10">
      <c r="B1010" s="302"/>
      <c r="C1010" s="449"/>
      <c r="D1010" s="449"/>
      <c r="E1010" s="449"/>
      <c r="F1010" s="449"/>
      <c r="G1010" s="449"/>
      <c r="H1010" s="449"/>
      <c r="I1010" s="449"/>
      <c r="J1010" s="449"/>
    </row>
    <row r="1011" spans="2:10">
      <c r="B1011" s="2109" t="s">
        <v>38</v>
      </c>
      <c r="C1011" s="2134" t="s">
        <v>530</v>
      </c>
      <c r="D1011" s="2134" t="s">
        <v>24</v>
      </c>
      <c r="E1011" s="2134" t="s">
        <v>50</v>
      </c>
      <c r="F1011" s="2134" t="s">
        <v>49</v>
      </c>
      <c r="G1011" s="2134" t="s">
        <v>48</v>
      </c>
      <c r="H1011" s="2134" t="s">
        <v>47</v>
      </c>
      <c r="I1011" s="2130"/>
      <c r="J1011" s="2130"/>
    </row>
    <row r="1012" spans="2:10">
      <c r="B1012" s="2110"/>
      <c r="C1012" s="2133"/>
      <c r="D1012" s="2133"/>
      <c r="E1012" s="2133"/>
      <c r="F1012" s="2133"/>
      <c r="G1012" s="2133"/>
      <c r="H1012" s="2133"/>
      <c r="I1012" s="2131"/>
      <c r="J1012" s="2131"/>
    </row>
    <row r="1013" spans="2:10" ht="15" thickBot="1">
      <c r="B1013" s="244" t="s">
        <v>1348</v>
      </c>
      <c r="C1013" s="1040" t="s">
        <v>1601</v>
      </c>
      <c r="D1013" s="1041" t="s">
        <v>1602</v>
      </c>
      <c r="E1013" s="1041" t="s">
        <v>1603</v>
      </c>
      <c r="F1013" s="1041" t="s">
        <v>1603</v>
      </c>
      <c r="G1013" s="1041">
        <v>0</v>
      </c>
      <c r="H1013" s="1041" t="s">
        <v>1305</v>
      </c>
      <c r="I1013" s="346"/>
      <c r="J1013" s="346"/>
    </row>
    <row r="1014" spans="2:10" ht="15" thickTop="1">
      <c r="B1014" s="367"/>
      <c r="C1014" s="449"/>
      <c r="D1014" s="449"/>
      <c r="E1014" s="449"/>
      <c r="F1014" s="449"/>
      <c r="G1014" s="449"/>
      <c r="H1014" s="449"/>
      <c r="I1014" s="449"/>
      <c r="J1014" s="449"/>
    </row>
    <row r="1015" spans="2:10">
      <c r="B1015" s="2109" t="s">
        <v>38</v>
      </c>
      <c r="C1015" s="2132" t="s">
        <v>538</v>
      </c>
      <c r="D1015" s="2134" t="s">
        <v>37</v>
      </c>
      <c r="E1015" s="2134" t="s">
        <v>8</v>
      </c>
      <c r="F1015" s="2134" t="s">
        <v>36</v>
      </c>
      <c r="G1015" s="449"/>
      <c r="H1015" s="449"/>
      <c r="I1015" s="449"/>
      <c r="J1015" s="449"/>
    </row>
    <row r="1016" spans="2:10">
      <c r="B1016" s="2110"/>
      <c r="C1016" s="2133"/>
      <c r="D1016" s="2133"/>
      <c r="E1016" s="2133"/>
      <c r="F1016" s="2133"/>
      <c r="G1016" s="449"/>
      <c r="H1016" s="449"/>
      <c r="I1016" s="449"/>
      <c r="J1016" s="449"/>
    </row>
    <row r="1017" spans="2:10" ht="15" thickBot="1">
      <c r="B1017" s="244" t="s">
        <v>1348</v>
      </c>
      <c r="C1017" s="365" t="s">
        <v>1349</v>
      </c>
      <c r="D1017" s="362">
        <v>0</v>
      </c>
      <c r="E1017" s="362" t="s">
        <v>1604</v>
      </c>
      <c r="F1017" s="362">
        <v>0</v>
      </c>
      <c r="G1017" s="449"/>
      <c r="H1017" s="449"/>
      <c r="I1017" s="449"/>
      <c r="J1017" s="449"/>
    </row>
    <row r="1018" spans="2:10" ht="15" thickTop="1">
      <c r="B1018" s="2127" t="s">
        <v>1574</v>
      </c>
      <c r="C1018" s="2127"/>
      <c r="D1018" s="2127"/>
      <c r="E1018" s="239"/>
      <c r="F1018" s="239"/>
      <c r="G1018" s="449"/>
      <c r="H1018" s="449"/>
      <c r="I1018" s="449"/>
      <c r="J1018" s="449"/>
    </row>
    <row r="1019" spans="2:10">
      <c r="B1019" s="302"/>
      <c r="C1019" s="449"/>
      <c r="D1019" s="449"/>
      <c r="E1019" s="449"/>
      <c r="F1019" s="449"/>
      <c r="G1019" s="449"/>
      <c r="H1019" s="449"/>
      <c r="I1019" s="449"/>
      <c r="J1019" s="449"/>
    </row>
    <row r="1020" spans="2:10">
      <c r="B1020" s="2100" t="s">
        <v>26</v>
      </c>
      <c r="C1020" s="2100"/>
      <c r="D1020" s="2100"/>
      <c r="E1020" s="2100"/>
      <c r="F1020" s="2100"/>
      <c r="G1020" s="2100"/>
      <c r="H1020" s="2100"/>
      <c r="I1020" s="2100"/>
      <c r="J1020" s="2100"/>
    </row>
    <row r="1021" spans="2:10">
      <c r="B1021" s="12" t="s">
        <v>25</v>
      </c>
      <c r="C1021" s="449"/>
      <c r="D1021" s="449"/>
      <c r="E1021" s="449"/>
      <c r="F1021" s="449"/>
      <c r="G1021" s="449"/>
      <c r="H1021" s="449"/>
      <c r="I1021" s="449"/>
      <c r="J1021" s="449"/>
    </row>
    <row r="1022" spans="2:10">
      <c r="B1022" s="302"/>
      <c r="C1022" s="449"/>
      <c r="D1022" s="449"/>
      <c r="E1022" s="449"/>
      <c r="F1022" s="449"/>
      <c r="G1022" s="449"/>
      <c r="H1022" s="449"/>
      <c r="I1022" s="449"/>
      <c r="J1022" s="449"/>
    </row>
    <row r="1023" spans="2:10">
      <c r="B1023" s="2109" t="s">
        <v>11</v>
      </c>
      <c r="C1023" s="2134" t="s">
        <v>541</v>
      </c>
      <c r="D1023" s="2134" t="s">
        <v>24</v>
      </c>
      <c r="E1023" s="2134" t="s">
        <v>23</v>
      </c>
      <c r="F1023" s="2134" t="s">
        <v>22</v>
      </c>
      <c r="G1023" s="2134" t="s">
        <v>21</v>
      </c>
      <c r="H1023" s="2134" t="s">
        <v>20</v>
      </c>
      <c r="I1023" s="2130"/>
      <c r="J1023" s="2130"/>
    </row>
    <row r="1024" spans="2:10">
      <c r="B1024" s="2110"/>
      <c r="C1024" s="2133"/>
      <c r="D1024" s="2133"/>
      <c r="E1024" s="2133"/>
      <c r="F1024" s="2133"/>
      <c r="G1024" s="2133"/>
      <c r="H1024" s="2133"/>
      <c r="I1024" s="2131"/>
      <c r="J1024" s="2131"/>
    </row>
    <row r="1025" spans="2:10" ht="24">
      <c r="B1025" s="242" t="s">
        <v>1381</v>
      </c>
      <c r="C1025" s="1042" t="s">
        <v>1382</v>
      </c>
      <c r="D1025" s="1027" t="s">
        <v>1</v>
      </c>
      <c r="E1025" s="1042" t="s">
        <v>1381</v>
      </c>
      <c r="F1025" s="1027" t="s">
        <v>1383</v>
      </c>
      <c r="G1025" s="1027">
        <v>0</v>
      </c>
      <c r="H1025" s="1027" t="s">
        <v>12</v>
      </c>
      <c r="I1025" s="1027"/>
      <c r="J1025" s="1027"/>
    </row>
    <row r="1026" spans="2:10" ht="24.5" thickBot="1">
      <c r="B1026" s="244" t="s">
        <v>1348</v>
      </c>
      <c r="C1026" s="1043" t="s">
        <v>1378</v>
      </c>
      <c r="D1026" s="1031" t="s">
        <v>522</v>
      </c>
      <c r="E1026" s="1031" t="s">
        <v>1385</v>
      </c>
      <c r="F1026" s="1031" t="s">
        <v>1522</v>
      </c>
      <c r="G1026" s="1031">
        <v>0</v>
      </c>
      <c r="H1026" s="1044" t="s">
        <v>1605</v>
      </c>
      <c r="I1026" s="1042"/>
      <c r="J1026" s="1042"/>
    </row>
    <row r="1027" spans="2:10" ht="15" thickTop="1">
      <c r="B1027" s="503"/>
      <c r="C1027" s="249"/>
      <c r="D1027" s="449"/>
      <c r="E1027" s="449"/>
      <c r="F1027" s="449"/>
      <c r="G1027" s="449"/>
      <c r="H1027" s="449"/>
      <c r="I1027" s="449"/>
      <c r="J1027" s="449"/>
    </row>
    <row r="1028" spans="2:10">
      <c r="B1028" s="2109" t="s">
        <v>11</v>
      </c>
      <c r="C1028" s="2132" t="s">
        <v>546</v>
      </c>
      <c r="D1028" s="2134" t="s">
        <v>10</v>
      </c>
      <c r="E1028" s="2134" t="s">
        <v>9</v>
      </c>
      <c r="F1028" s="2134" t="s">
        <v>8</v>
      </c>
      <c r="G1028" s="449"/>
      <c r="H1028" s="449"/>
      <c r="I1028" s="449"/>
      <c r="J1028" s="449"/>
    </row>
    <row r="1029" spans="2:10">
      <c r="B1029" s="2110"/>
      <c r="C1029" s="2133"/>
      <c r="D1029" s="2133"/>
      <c r="E1029" s="2133"/>
      <c r="F1029" s="2133"/>
      <c r="G1029" s="449"/>
      <c r="H1029" s="449"/>
      <c r="I1029" s="449"/>
      <c r="J1029" s="449"/>
    </row>
    <row r="1030" spans="2:10">
      <c r="B1030" s="238" t="s">
        <v>1381</v>
      </c>
      <c r="C1030" s="1027" t="s">
        <v>547</v>
      </c>
      <c r="D1030" s="1045" t="s">
        <v>1606</v>
      </c>
      <c r="E1030" s="1027" t="s">
        <v>1384</v>
      </c>
      <c r="F1030" s="1046" t="s">
        <v>1</v>
      </c>
      <c r="G1030" s="449"/>
      <c r="H1030" s="449"/>
      <c r="I1030" s="449"/>
      <c r="J1030" s="449"/>
    </row>
    <row r="1031" spans="2:10" ht="15" thickBot="1">
      <c r="B1031" s="244" t="s">
        <v>1348</v>
      </c>
      <c r="C1031" s="1043" t="s">
        <v>1371</v>
      </c>
      <c r="D1031" s="1047"/>
      <c r="E1031" s="1031" t="s">
        <v>1384</v>
      </c>
      <c r="F1031" s="1048" t="s">
        <v>1</v>
      </c>
      <c r="G1031" s="449"/>
      <c r="H1031" s="449"/>
      <c r="I1031" s="449"/>
      <c r="J1031" s="449"/>
    </row>
    <row r="1032" spans="2:10" ht="15" thickTop="1">
      <c r="B1032" s="2127" t="s">
        <v>1574</v>
      </c>
      <c r="C1032" s="2127"/>
      <c r="D1032" s="2127"/>
      <c r="E1032" s="449"/>
      <c r="F1032" s="449"/>
      <c r="G1032" s="449"/>
      <c r="H1032" s="449"/>
      <c r="I1032" s="449"/>
      <c r="J1032" s="449"/>
    </row>
    <row r="1033" spans="2:10">
      <c r="B1033" s="302"/>
      <c r="C1033" s="449"/>
      <c r="D1033" s="449"/>
      <c r="E1033" s="449"/>
      <c r="F1033" s="449"/>
      <c r="G1033" s="449"/>
      <c r="H1033" s="449"/>
      <c r="I1033" s="449"/>
      <c r="J1033" s="449"/>
    </row>
  </sheetData>
  <protectedRanges>
    <protectedRange sqref="I10:J10 I8:J8" name="Range1"/>
    <protectedRange sqref="I20:J20" name="Range1_1_3"/>
    <protectedRange sqref="I23:J23" name="Range1_2_1"/>
    <protectedRange sqref="I24:J24" name="Range1_2_2"/>
    <protectedRange sqref="I25:J25" name="Range1_3_1"/>
    <protectedRange sqref="C40:J40 C42:J42" name="Range1_4"/>
    <protectedRange sqref="C57:J57" name="Range1_6"/>
    <protectedRange sqref="C61:J65" name="Range1_1_4"/>
    <protectedRange sqref="C69:H75 I68:J74" name="Range1_3_2"/>
    <protectedRange sqref="C78:H78 C77:E77 I77:J78" name="Range1_2_3"/>
    <protectedRange sqref="C366:J367 C371:J371" name="Range1_11"/>
    <protectedRange sqref="C424:J425 I429:J429" name="Range1_1_7"/>
    <protectedRange sqref="C813:J813" name="Range1_13"/>
    <protectedRange sqref="C816:J817" name="Range1_1_9"/>
    <protectedRange sqref="C820:J820" name="Range1_14"/>
    <protectedRange sqref="C823:J824" name="Range1_1_10"/>
    <protectedRange sqref="C865:J866" name="Range1_15"/>
    <protectedRange sqref="I888:J889" name="Range1_1_11"/>
    <protectedRange sqref="C920:J921" name="Range1_1_13"/>
    <protectedRange sqref="C986:C988" name="Range1_17"/>
    <protectedRange sqref="C993:G995 D986:J988" name="Range1_1_15"/>
    <protectedRange sqref="C1026:F1026" name="Range1_19"/>
    <protectedRange sqref="C1031:F1031 G1026:J1026" name="Range1_1_17"/>
    <protectedRange sqref="C1030:F1030 C1025:J1025" name="Range1_2_7"/>
    <protectedRange sqref="C7:C12 D8:H8 D10:H10" name="Range1_8"/>
    <protectedRange sqref="C20:H20" name="Range1_1_3_1"/>
    <protectedRange sqref="C23:H23" name="Range1_2_1_1"/>
    <protectedRange sqref="C24:H24" name="Range1_2_2_1"/>
    <protectedRange sqref="C25:H25" name="Range1_3_1_1"/>
    <protectedRange sqref="F77:H77" name="Range1_2_3_1"/>
    <protectedRange sqref="C88:J88" name="Range1_7_1"/>
    <protectedRange sqref="C91:J91" name="Range1_1_5_1"/>
    <protectedRange sqref="C94:J97" name="Range1_2_5_1"/>
    <protectedRange sqref="C429:H429" name="Range1_1_7_1"/>
    <protectedRange sqref="C888:H889" name="Range1_1_11_1"/>
  </protectedRanges>
  <mergeCells count="126">
    <mergeCell ref="B34:J34"/>
    <mergeCell ref="B49:J49"/>
    <mergeCell ref="B50:J50"/>
    <mergeCell ref="B52:J52"/>
    <mergeCell ref="B79:J79"/>
    <mergeCell ref="B80:J80"/>
    <mergeCell ref="B2:J2"/>
    <mergeCell ref="B13:J13"/>
    <mergeCell ref="B14:J14"/>
    <mergeCell ref="B16:J16"/>
    <mergeCell ref="B31:J31"/>
    <mergeCell ref="B32:J32"/>
    <mergeCell ref="B145:J145"/>
    <mergeCell ref="B147:J147"/>
    <mergeCell ref="B211:J211"/>
    <mergeCell ref="B212:J212"/>
    <mergeCell ref="B214:J214"/>
    <mergeCell ref="B278:J278"/>
    <mergeCell ref="B82:J82"/>
    <mergeCell ref="B109:J109"/>
    <mergeCell ref="B110:J110"/>
    <mergeCell ref="B111:J111"/>
    <mergeCell ref="B113:J113"/>
    <mergeCell ref="B144:J144"/>
    <mergeCell ref="B385:J385"/>
    <mergeCell ref="B387:J387"/>
    <mergeCell ref="B442:J442"/>
    <mergeCell ref="B443:J443"/>
    <mergeCell ref="B444:J444"/>
    <mergeCell ref="B486:J486"/>
    <mergeCell ref="B279:J279"/>
    <mergeCell ref="B281:J281"/>
    <mergeCell ref="B326:J326"/>
    <mergeCell ref="B327:J327"/>
    <mergeCell ref="B329:J329"/>
    <mergeCell ref="B384:J384"/>
    <mergeCell ref="B515:J515"/>
    <mergeCell ref="B517:J517"/>
    <mergeCell ref="B553:J553"/>
    <mergeCell ref="B554:J554"/>
    <mergeCell ref="B556:J556"/>
    <mergeCell ref="B592:J592"/>
    <mergeCell ref="B487:J487"/>
    <mergeCell ref="B489:J489"/>
    <mergeCell ref="B501:J501"/>
    <mergeCell ref="B502:J502"/>
    <mergeCell ref="B504:J504"/>
    <mergeCell ref="B514:J514"/>
    <mergeCell ref="B711:J711"/>
    <mergeCell ref="B713:J713"/>
    <mergeCell ref="B803:J803"/>
    <mergeCell ref="B804:J804"/>
    <mergeCell ref="B806:J806"/>
    <mergeCell ref="B854:J854"/>
    <mergeCell ref="B593:J593"/>
    <mergeCell ref="B595:J595"/>
    <mergeCell ref="B618:J618"/>
    <mergeCell ref="B619:J619"/>
    <mergeCell ref="B621:J621"/>
    <mergeCell ref="B710:J710"/>
    <mergeCell ref="B901:J901"/>
    <mergeCell ref="B903:J903"/>
    <mergeCell ref="B939:J939"/>
    <mergeCell ref="B940:J940"/>
    <mergeCell ref="B941:J941"/>
    <mergeCell ref="B979:J979"/>
    <mergeCell ref="B855:J855"/>
    <mergeCell ref="B857:J857"/>
    <mergeCell ref="B877:J877"/>
    <mergeCell ref="B878:J878"/>
    <mergeCell ref="B880:J880"/>
    <mergeCell ref="B900:J900"/>
    <mergeCell ref="B980:J980"/>
    <mergeCell ref="B981:J981"/>
    <mergeCell ref="B984:B985"/>
    <mergeCell ref="C984:C985"/>
    <mergeCell ref="D984:D985"/>
    <mergeCell ref="E984:E985"/>
    <mergeCell ref="F984:F985"/>
    <mergeCell ref="G984:G985"/>
    <mergeCell ref="H984:H985"/>
    <mergeCell ref="I984:I985"/>
    <mergeCell ref="J984:J985"/>
    <mergeCell ref="B989:D989"/>
    <mergeCell ref="B990:D990"/>
    <mergeCell ref="B991:B992"/>
    <mergeCell ref="C991:C992"/>
    <mergeCell ref="D991:D992"/>
    <mergeCell ref="E991:E992"/>
    <mergeCell ref="F991:F992"/>
    <mergeCell ref="G991:H991"/>
    <mergeCell ref="H1011:H1012"/>
    <mergeCell ref="I1011:I1012"/>
    <mergeCell ref="J1011:J1012"/>
    <mergeCell ref="B1015:B1016"/>
    <mergeCell ref="C1015:C1016"/>
    <mergeCell ref="D1015:D1016"/>
    <mergeCell ref="E1015:E1016"/>
    <mergeCell ref="F1015:F1016"/>
    <mergeCell ref="B996:D996"/>
    <mergeCell ref="B999:J999"/>
    <mergeCell ref="B1005:D1005"/>
    <mergeCell ref="B1008:J1008"/>
    <mergeCell ref="B1011:B1012"/>
    <mergeCell ref="C1011:C1012"/>
    <mergeCell ref="D1011:D1012"/>
    <mergeCell ref="E1011:E1012"/>
    <mergeCell ref="F1011:F1012"/>
    <mergeCell ref="G1011:G1012"/>
    <mergeCell ref="B1032:D1032"/>
    <mergeCell ref="J1023:J1024"/>
    <mergeCell ref="B1028:B1029"/>
    <mergeCell ref="C1028:C1029"/>
    <mergeCell ref="D1028:D1029"/>
    <mergeCell ref="E1028:E1029"/>
    <mergeCell ref="F1028:F1029"/>
    <mergeCell ref="B1018:D1018"/>
    <mergeCell ref="B1020:J1020"/>
    <mergeCell ref="B1023:B1024"/>
    <mergeCell ref="C1023:C1024"/>
    <mergeCell ref="D1023:D1024"/>
    <mergeCell ref="E1023:E1024"/>
    <mergeCell ref="F1023:F1024"/>
    <mergeCell ref="G1023:G1024"/>
    <mergeCell ref="H1023:H1024"/>
    <mergeCell ref="I1023:I1024"/>
  </mergeCells>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D9A73-9CBE-4111-9920-CC5BA0DC830B}">
  <dimension ref="B1:J896"/>
  <sheetViews>
    <sheetView topLeftCell="A748" zoomScale="85" zoomScaleNormal="85" zoomScaleSheetLayoutView="85" workbookViewId="0">
      <selection activeCell="B765" sqref="B765"/>
    </sheetView>
  </sheetViews>
  <sheetFormatPr baseColWidth="10" defaultColWidth="11.453125" defaultRowHeight="14.5"/>
  <cols>
    <col min="1" max="1" width="6.1796875" customWidth="1"/>
    <col min="2" max="2" width="46.26953125" customWidth="1"/>
    <col min="3" max="3" width="12" customWidth="1"/>
    <col min="4" max="4" width="12.26953125" customWidth="1"/>
    <col min="5" max="5" width="14.7265625" customWidth="1"/>
    <col min="6" max="10" width="13.81640625" customWidth="1"/>
  </cols>
  <sheetData>
    <row r="1" spans="2:10">
      <c r="B1" s="302"/>
      <c r="C1" s="302"/>
      <c r="D1" s="302"/>
      <c r="E1" s="302"/>
      <c r="F1" s="302"/>
      <c r="G1" s="302"/>
      <c r="H1" s="302"/>
      <c r="I1" s="302"/>
      <c r="J1" s="302"/>
    </row>
    <row r="2" spans="2:10">
      <c r="B2" s="2100" t="s">
        <v>464</v>
      </c>
      <c r="C2" s="2100"/>
      <c r="D2" s="2100"/>
      <c r="E2" s="2100"/>
      <c r="F2" s="2100"/>
      <c r="G2" s="2100"/>
      <c r="H2" s="2100"/>
      <c r="I2" s="2100"/>
      <c r="J2" s="2100"/>
    </row>
    <row r="3" spans="2:10">
      <c r="B3" s="12" t="s">
        <v>463</v>
      </c>
      <c r="C3" s="302"/>
      <c r="D3" s="302"/>
      <c r="E3" s="302"/>
      <c r="F3" s="302"/>
      <c r="G3" s="302"/>
      <c r="H3" s="302"/>
      <c r="I3" s="302"/>
      <c r="J3" s="302"/>
    </row>
    <row r="4" spans="2:10">
      <c r="B4" s="76"/>
      <c r="C4" s="302"/>
      <c r="D4" s="302"/>
      <c r="E4" s="302"/>
      <c r="F4" s="302"/>
      <c r="G4" s="302"/>
      <c r="H4" s="302"/>
      <c r="I4" s="302"/>
      <c r="J4" s="302"/>
    </row>
    <row r="5" spans="2:10">
      <c r="B5" s="61"/>
      <c r="C5" s="303">
        <v>2014</v>
      </c>
      <c r="D5" s="303">
        <v>2015</v>
      </c>
      <c r="E5" s="303">
        <v>2016</v>
      </c>
      <c r="F5" s="303">
        <v>2017</v>
      </c>
      <c r="G5" s="303">
        <v>2018</v>
      </c>
      <c r="H5" s="303">
        <v>2019</v>
      </c>
      <c r="I5" s="303">
        <v>2020</v>
      </c>
      <c r="J5" s="303">
        <v>2021</v>
      </c>
    </row>
    <row r="6" spans="2:10">
      <c r="B6" s="64" t="s">
        <v>462</v>
      </c>
      <c r="C6" s="304">
        <v>9.8834859999999995</v>
      </c>
      <c r="D6" s="304">
        <v>9.9802429999999998</v>
      </c>
      <c r="E6" s="304">
        <v>10.075044999999999</v>
      </c>
      <c r="F6" s="304">
        <v>10.169172</v>
      </c>
      <c r="G6" s="304">
        <v>10.266149</v>
      </c>
      <c r="H6" s="304">
        <v>10.358320000000001</v>
      </c>
      <c r="I6" s="304">
        <v>10.448499</v>
      </c>
      <c r="J6" s="304">
        <v>10.535534999999999</v>
      </c>
    </row>
    <row r="7" spans="2:10">
      <c r="B7" s="64" t="s">
        <v>461</v>
      </c>
      <c r="C7" s="304">
        <v>66186.576610121148</v>
      </c>
      <c r="D7" s="304">
        <v>70501.838306617108</v>
      </c>
      <c r="E7" s="304">
        <v>74807.152583553019</v>
      </c>
      <c r="F7" s="304">
        <v>78904.732480703431</v>
      </c>
      <c r="G7" s="304">
        <v>84374.711509089684</v>
      </c>
      <c r="H7" s="304">
        <v>86239.042530106395</v>
      </c>
      <c r="I7" s="304">
        <v>76689.376005621249</v>
      </c>
      <c r="J7" s="304">
        <v>94375.068507083677</v>
      </c>
    </row>
    <row r="8" spans="2:10">
      <c r="B8" s="64" t="s">
        <v>460</v>
      </c>
      <c r="C8" s="304">
        <v>6696.6833979550483</v>
      </c>
      <c r="D8" s="304">
        <v>7064.1404529546126</v>
      </c>
      <c r="E8" s="304">
        <v>7424.9943879707744</v>
      </c>
      <c r="F8" s="304">
        <v>7759.2091549541519</v>
      </c>
      <c r="G8" s="304">
        <v>8218.730461547917</v>
      </c>
      <c r="H8" s="304">
        <v>8325.581998828613</v>
      </c>
      <c r="I8" s="304">
        <v>7339.7505235557037</v>
      </c>
      <c r="J8" s="304">
        <v>8957.7860552011534</v>
      </c>
    </row>
    <row r="9" spans="2:10">
      <c r="B9" s="64" t="s">
        <v>466</v>
      </c>
      <c r="C9" s="304">
        <v>1.58</v>
      </c>
      <c r="D9" s="304">
        <v>2.34</v>
      </c>
      <c r="E9" s="304">
        <v>1.695335759179617</v>
      </c>
      <c r="F9" s="304">
        <v>4.2042774660486115</v>
      </c>
      <c r="G9" s="304">
        <v>1.1705946620883312</v>
      </c>
      <c r="H9" s="304">
        <v>3.6562789262573281</v>
      </c>
      <c r="I9" s="304">
        <v>5.5536478118097365</v>
      </c>
      <c r="J9" s="304">
        <v>8.4956989865317958</v>
      </c>
    </row>
    <row r="10" spans="2:10">
      <c r="B10" s="64" t="s">
        <v>467</v>
      </c>
      <c r="C10" s="305"/>
      <c r="D10" s="305"/>
      <c r="E10" s="305"/>
      <c r="F10" s="305"/>
      <c r="G10" s="305"/>
      <c r="H10" s="305"/>
      <c r="I10" s="305"/>
      <c r="J10" s="305"/>
    </row>
    <row r="11" spans="2:10">
      <c r="B11" s="190" t="s">
        <v>468</v>
      </c>
      <c r="C11" s="304">
        <v>44.203299999999999</v>
      </c>
      <c r="D11" s="304">
        <v>45.469099999999997</v>
      </c>
      <c r="E11" s="304">
        <v>46.617100000000001</v>
      </c>
      <c r="F11" s="304">
        <v>48.192999999999998</v>
      </c>
      <c r="G11" s="304">
        <v>50.202800000000003</v>
      </c>
      <c r="H11" s="304">
        <v>52.902200000000001</v>
      </c>
      <c r="I11" s="304">
        <v>58.113100000000003</v>
      </c>
      <c r="J11" s="304">
        <v>57.141300000000001</v>
      </c>
    </row>
    <row r="12" spans="2:10" ht="15" thickBot="1">
      <c r="B12" s="196" t="s">
        <v>456</v>
      </c>
      <c r="C12" s="304">
        <v>43.441276580445674</v>
      </c>
      <c r="D12" s="304">
        <v>44.932725148433228</v>
      </c>
      <c r="E12" s="304">
        <v>45.976334411340297</v>
      </c>
      <c r="F12" s="304">
        <v>47.435066030809075</v>
      </c>
      <c r="G12" s="304">
        <v>49.425633730158722</v>
      </c>
      <c r="H12" s="304">
        <v>51.190858333333324</v>
      </c>
      <c r="I12" s="304">
        <v>56.412533333333329</v>
      </c>
      <c r="J12" s="304">
        <v>56.961178571428569</v>
      </c>
    </row>
    <row r="13" spans="2:10" ht="15" thickTop="1">
      <c r="B13" s="2025" t="s">
        <v>636</v>
      </c>
      <c r="C13" s="2025"/>
      <c r="D13" s="2025"/>
      <c r="E13" s="2025"/>
      <c r="F13" s="2025"/>
      <c r="G13" s="2025"/>
      <c r="H13" s="2025"/>
      <c r="I13" s="2025"/>
      <c r="J13" s="2025"/>
    </row>
    <row r="14" spans="2:10">
      <c r="B14" s="2066"/>
      <c r="C14" s="2066"/>
      <c r="D14" s="2066"/>
      <c r="E14" s="2066"/>
      <c r="F14" s="2066"/>
      <c r="G14" s="2066"/>
      <c r="H14" s="2066"/>
      <c r="I14" s="2066"/>
      <c r="J14" s="2066"/>
    </row>
    <row r="15" spans="2:10">
      <c r="B15" s="2100" t="s">
        <v>454</v>
      </c>
      <c r="C15" s="2100"/>
      <c r="D15" s="2100"/>
      <c r="E15" s="2100"/>
      <c r="F15" s="2100"/>
      <c r="G15" s="2100"/>
      <c r="H15" s="2100"/>
      <c r="I15" s="2100"/>
      <c r="J15" s="2100"/>
    </row>
    <row r="16" spans="2:10">
      <c r="B16" s="12" t="s">
        <v>453</v>
      </c>
      <c r="C16" s="302"/>
      <c r="D16" s="302"/>
      <c r="E16" s="302"/>
      <c r="F16" s="302"/>
      <c r="G16" s="302"/>
      <c r="H16" s="302"/>
      <c r="I16" s="302"/>
      <c r="J16" s="302"/>
    </row>
    <row r="17" spans="2:10">
      <c r="B17" s="62" t="s">
        <v>242</v>
      </c>
      <c r="C17" s="302"/>
      <c r="D17" s="302"/>
      <c r="E17" s="302"/>
      <c r="F17" s="302"/>
      <c r="G17" s="302"/>
      <c r="H17" s="302"/>
      <c r="I17" s="302"/>
      <c r="J17" s="302"/>
    </row>
    <row r="18" spans="2:10">
      <c r="B18" s="64"/>
      <c r="C18" s="302"/>
      <c r="D18" s="302"/>
      <c r="E18" s="302"/>
      <c r="F18" s="302"/>
      <c r="G18" s="302"/>
      <c r="H18" s="302"/>
      <c r="I18" s="302"/>
      <c r="J18" s="302"/>
    </row>
    <row r="19" spans="2:10">
      <c r="B19" s="61"/>
      <c r="C19" s="303">
        <v>2014</v>
      </c>
      <c r="D19" s="303">
        <v>2015</v>
      </c>
      <c r="E19" s="303">
        <v>2016</v>
      </c>
      <c r="F19" s="303">
        <v>2017</v>
      </c>
      <c r="G19" s="303">
        <v>2018</v>
      </c>
      <c r="H19" s="303">
        <v>2019</v>
      </c>
      <c r="I19" s="303">
        <v>2020</v>
      </c>
      <c r="J19" s="303">
        <v>2021</v>
      </c>
    </row>
    <row r="20" spans="2:10">
      <c r="B20" s="188" t="s">
        <v>413</v>
      </c>
      <c r="C20" s="306">
        <v>1867.4057645578498</v>
      </c>
      <c r="D20" s="306">
        <v>1965.5655881246823</v>
      </c>
      <c r="E20" s="306">
        <v>2026.0659461386488</v>
      </c>
      <c r="F20" s="306">
        <v>2125.1073542396198</v>
      </c>
      <c r="G20" s="306">
        <v>2331.4694584485324</v>
      </c>
      <c r="H20" s="306">
        <v>2530.3655979002765</v>
      </c>
      <c r="I20" s="306">
        <v>3215.5742093459135</v>
      </c>
      <c r="J20" s="306">
        <v>3665.0902695860664</v>
      </c>
    </row>
    <row r="21" spans="2:10">
      <c r="B21" s="197" t="s">
        <v>452</v>
      </c>
      <c r="C21" s="306">
        <v>3643.7226220178136</v>
      </c>
      <c r="D21" s="306">
        <v>4045.5089118918122</v>
      </c>
      <c r="E21" s="306">
        <v>4480.3310438444269</v>
      </c>
      <c r="F21" s="306">
        <v>4935.0568339049241</v>
      </c>
      <c r="G21" s="306">
        <v>4893.5650588096669</v>
      </c>
      <c r="H21" s="306">
        <v>5747.8379313438763</v>
      </c>
      <c r="I21" s="306">
        <v>6494.748846079111</v>
      </c>
      <c r="J21" s="306">
        <v>8261.6849966346581</v>
      </c>
    </row>
    <row r="22" spans="2:10">
      <c r="B22" s="194" t="s">
        <v>379</v>
      </c>
      <c r="C22" s="306"/>
      <c r="D22" s="306"/>
      <c r="E22" s="306"/>
      <c r="F22" s="306"/>
      <c r="G22" s="306"/>
      <c r="H22" s="306"/>
      <c r="I22" s="306"/>
      <c r="J22" s="306"/>
    </row>
    <row r="23" spans="2:10">
      <c r="B23" s="198" t="s">
        <v>451</v>
      </c>
      <c r="C23" s="306">
        <v>3643.7226220178136</v>
      </c>
      <c r="D23" s="306">
        <v>4045.5089118918122</v>
      </c>
      <c r="E23" s="306">
        <v>4480.3310438444269</v>
      </c>
      <c r="F23" s="306">
        <v>4935.0568339049241</v>
      </c>
      <c r="G23" s="306">
        <v>4893.5650588096669</v>
      </c>
      <c r="H23" s="306">
        <v>5747.8379313438763</v>
      </c>
      <c r="I23" s="306">
        <v>6494.748846079111</v>
      </c>
      <c r="J23" s="306">
        <v>8261.6849966346581</v>
      </c>
    </row>
    <row r="24" spans="2:10">
      <c r="B24" s="198" t="s">
        <v>450</v>
      </c>
      <c r="C24" s="306">
        <v>0</v>
      </c>
      <c r="D24" s="306">
        <v>0</v>
      </c>
      <c r="E24" s="306">
        <v>0</v>
      </c>
      <c r="F24" s="306">
        <v>0</v>
      </c>
      <c r="G24" s="306">
        <v>0</v>
      </c>
      <c r="H24" s="306">
        <v>0</v>
      </c>
      <c r="I24" s="306">
        <v>0</v>
      </c>
      <c r="J24" s="306">
        <v>0</v>
      </c>
    </row>
    <row r="25" spans="2:10">
      <c r="B25" s="197" t="s">
        <v>449</v>
      </c>
      <c r="C25" s="306">
        <v>5511.1283865756632</v>
      </c>
      <c r="D25" s="306">
        <v>6011.0745000164943</v>
      </c>
      <c r="E25" s="306">
        <v>6506.3969899830754</v>
      </c>
      <c r="F25" s="306">
        <v>7060.1641881445439</v>
      </c>
      <c r="G25" s="306">
        <v>7225.0345172582001</v>
      </c>
      <c r="H25" s="306">
        <v>8278.2035292441524</v>
      </c>
      <c r="I25" s="306">
        <v>9710.3230554250258</v>
      </c>
      <c r="J25" s="306">
        <v>11926.775266220724</v>
      </c>
    </row>
    <row r="26" spans="2:10">
      <c r="B26" s="197" t="s">
        <v>448</v>
      </c>
      <c r="C26" s="307"/>
      <c r="D26" s="307"/>
      <c r="E26" s="307"/>
      <c r="F26" s="307"/>
      <c r="G26" s="307"/>
      <c r="H26" s="307"/>
      <c r="I26" s="307"/>
      <c r="J26" s="307"/>
    </row>
    <row r="27" spans="2:10">
      <c r="B27" s="195" t="s">
        <v>447</v>
      </c>
      <c r="C27" s="306">
        <v>0</v>
      </c>
      <c r="D27" s="306">
        <v>0</v>
      </c>
      <c r="E27" s="306">
        <v>0</v>
      </c>
      <c r="F27" s="306">
        <v>0</v>
      </c>
      <c r="G27" s="306">
        <v>0</v>
      </c>
      <c r="H27" s="306">
        <v>0</v>
      </c>
      <c r="I27" s="306">
        <v>0</v>
      </c>
      <c r="J27" s="306">
        <v>0</v>
      </c>
    </row>
    <row r="28" spans="2:10">
      <c r="B28" s="195" t="s">
        <v>445</v>
      </c>
      <c r="C28" s="306">
        <v>0</v>
      </c>
      <c r="D28" s="306">
        <v>0</v>
      </c>
      <c r="E28" s="306">
        <v>0</v>
      </c>
      <c r="F28" s="306">
        <v>0</v>
      </c>
      <c r="G28" s="306">
        <v>0</v>
      </c>
      <c r="H28" s="306">
        <v>0</v>
      </c>
      <c r="I28" s="306">
        <v>0</v>
      </c>
      <c r="J28" s="306">
        <v>0</v>
      </c>
    </row>
    <row r="29" spans="2:10">
      <c r="B29" s="195" t="s">
        <v>444</v>
      </c>
      <c r="C29" s="306">
        <v>0</v>
      </c>
      <c r="D29" s="306">
        <v>0</v>
      </c>
      <c r="E29" s="306">
        <v>0</v>
      </c>
      <c r="F29" s="306">
        <v>0</v>
      </c>
      <c r="G29" s="306">
        <v>0</v>
      </c>
      <c r="H29" s="306">
        <v>0</v>
      </c>
      <c r="I29" s="306">
        <v>0</v>
      </c>
      <c r="J29" s="306">
        <v>0</v>
      </c>
    </row>
    <row r="30" spans="2:10" ht="15" thickBot="1">
      <c r="B30" s="196" t="s">
        <v>443</v>
      </c>
      <c r="C30" s="306">
        <v>0</v>
      </c>
      <c r="D30" s="306">
        <v>0</v>
      </c>
      <c r="E30" s="306">
        <v>0</v>
      </c>
      <c r="F30" s="306">
        <v>0</v>
      </c>
      <c r="G30" s="306">
        <v>0</v>
      </c>
      <c r="H30" s="306">
        <v>0</v>
      </c>
      <c r="I30" s="306">
        <v>0</v>
      </c>
      <c r="J30" s="306">
        <v>0</v>
      </c>
    </row>
    <row r="31" spans="2:10" ht="15" thickTop="1">
      <c r="B31" s="2025" t="s">
        <v>636</v>
      </c>
      <c r="C31" s="2025"/>
      <c r="D31" s="2025"/>
      <c r="E31" s="2025"/>
      <c r="F31" s="2025"/>
      <c r="G31" s="2025"/>
      <c r="H31" s="2025"/>
      <c r="I31" s="2025"/>
      <c r="J31" s="2025"/>
    </row>
    <row r="32" spans="2:10">
      <c r="B32" s="108"/>
      <c r="C32" s="108"/>
      <c r="D32" s="108"/>
      <c r="E32" s="108"/>
      <c r="F32" s="108"/>
      <c r="G32" s="108"/>
      <c r="H32" s="108"/>
      <c r="I32" s="108"/>
      <c r="J32" s="108"/>
    </row>
    <row r="33" spans="2:10">
      <c r="B33" s="2017"/>
      <c r="C33" s="2017"/>
      <c r="D33" s="2017"/>
      <c r="E33" s="2017"/>
      <c r="F33" s="2017"/>
      <c r="G33" s="2017"/>
      <c r="H33" s="2017"/>
      <c r="I33" s="2017"/>
      <c r="J33" s="2017"/>
    </row>
    <row r="34" spans="2:10">
      <c r="B34" s="2100" t="s">
        <v>442</v>
      </c>
      <c r="C34" s="2100"/>
      <c r="D34" s="2100"/>
      <c r="E34" s="2100"/>
      <c r="F34" s="2100"/>
      <c r="G34" s="2100"/>
      <c r="H34" s="2100"/>
      <c r="I34" s="2100"/>
      <c r="J34" s="2100"/>
    </row>
    <row r="35" spans="2:10">
      <c r="B35" s="12" t="s">
        <v>441</v>
      </c>
      <c r="C35" s="302"/>
      <c r="D35" s="302"/>
      <c r="E35" s="302"/>
      <c r="F35" s="302"/>
      <c r="G35" s="302"/>
      <c r="H35" s="302"/>
      <c r="I35" s="302"/>
      <c r="J35" s="302"/>
    </row>
    <row r="36" spans="2:10">
      <c r="B36" s="77" t="s">
        <v>242</v>
      </c>
      <c r="C36" s="302"/>
      <c r="D36" s="302"/>
      <c r="E36" s="302"/>
      <c r="F36" s="302"/>
      <c r="G36" s="302"/>
      <c r="H36" s="302"/>
      <c r="I36" s="302"/>
      <c r="J36" s="302"/>
    </row>
    <row r="37" spans="2:10">
      <c r="B37" s="64"/>
      <c r="C37" s="302"/>
      <c r="D37" s="302"/>
      <c r="E37" s="302"/>
      <c r="F37" s="302"/>
      <c r="G37" s="302"/>
      <c r="H37" s="302"/>
      <c r="I37" s="302"/>
      <c r="J37" s="302"/>
    </row>
    <row r="38" spans="2:10">
      <c r="B38" s="61"/>
      <c r="C38" s="303">
        <v>2014</v>
      </c>
      <c r="D38" s="303">
        <v>2015</v>
      </c>
      <c r="E38" s="303">
        <v>2016</v>
      </c>
      <c r="F38" s="303">
        <v>2017</v>
      </c>
      <c r="G38" s="303">
        <v>2018</v>
      </c>
      <c r="H38" s="303">
        <v>2019</v>
      </c>
      <c r="I38" s="303">
        <v>2020</v>
      </c>
      <c r="J38" s="303">
        <v>2021</v>
      </c>
    </row>
    <row r="39" spans="2:10">
      <c r="B39" s="188" t="s">
        <v>440</v>
      </c>
      <c r="C39" s="308">
        <f>SUM(C41:C42,C44:C45)</f>
        <v>2884.584113277494</v>
      </c>
      <c r="D39" s="308">
        <f t="shared" ref="D39:I39" si="0">SUM(D41:D42,D44:D45)</f>
        <v>3384.4577942204728</v>
      </c>
      <c r="E39" s="308">
        <f t="shared" si="0"/>
        <v>3875.9520668539026</v>
      </c>
      <c r="F39" s="308">
        <f t="shared" si="0"/>
        <v>3531.2628010087396</v>
      </c>
      <c r="G39" s="308">
        <f t="shared" si="0"/>
        <v>3921.0647228299863</v>
      </c>
      <c r="H39" s="308">
        <f t="shared" si="0"/>
        <v>3767.9134657356176</v>
      </c>
      <c r="I39" s="308">
        <f t="shared" si="0"/>
        <v>4819.4082320462194</v>
      </c>
      <c r="J39" s="308">
        <f>SUM(J41:J42,J44:J45)</f>
        <v>5109.6780937802814</v>
      </c>
    </row>
    <row r="40" spans="2:10">
      <c r="B40" s="195" t="s">
        <v>470</v>
      </c>
      <c r="C40" s="306"/>
      <c r="D40" s="306"/>
      <c r="E40" s="306"/>
      <c r="F40" s="306"/>
      <c r="G40" s="306"/>
      <c r="H40" s="306"/>
      <c r="I40" s="306"/>
      <c r="J40" s="306"/>
    </row>
    <row r="41" spans="2:10">
      <c r="B41" s="150" t="s">
        <v>352</v>
      </c>
      <c r="C41" s="306">
        <v>1626.5390134917061</v>
      </c>
      <c r="D41" s="306">
        <v>2040.6431175271107</v>
      </c>
      <c r="E41" s="306">
        <v>2227.5130069066195</v>
      </c>
      <c r="F41" s="306">
        <v>1993.2949547828455</v>
      </c>
      <c r="G41" s="306">
        <v>2005.2022127891776</v>
      </c>
      <c r="H41" s="306">
        <v>1853.9578952214217</v>
      </c>
      <c r="I41" s="306">
        <v>1892.9674632112633</v>
      </c>
      <c r="J41" s="306">
        <v>2335.4268534059465</v>
      </c>
    </row>
    <row r="42" spans="2:10">
      <c r="B42" s="150" t="s">
        <v>351</v>
      </c>
      <c r="C42" s="306">
        <v>1084.3262056253038</v>
      </c>
      <c r="D42" s="306">
        <v>1205.0230503975729</v>
      </c>
      <c r="E42" s="306">
        <v>1259.4212209022553</v>
      </c>
      <c r="F42" s="306">
        <v>1320.7065866761029</v>
      </c>
      <c r="G42" s="306">
        <v>1471.9809129901157</v>
      </c>
      <c r="H42" s="306">
        <v>1626.693346256912</v>
      </c>
      <c r="I42" s="306">
        <v>1981.661838650635</v>
      </c>
      <c r="J42" s="306">
        <v>2233.071942555413</v>
      </c>
    </row>
    <row r="43" spans="2:10">
      <c r="B43" s="195" t="s">
        <v>471</v>
      </c>
      <c r="C43" s="306"/>
      <c r="D43" s="306"/>
      <c r="E43" s="306"/>
      <c r="F43" s="306"/>
      <c r="G43" s="306"/>
      <c r="H43" s="306"/>
      <c r="I43" s="306"/>
      <c r="J43" s="306"/>
    </row>
    <row r="44" spans="2:10">
      <c r="B44" s="150" t="s">
        <v>352</v>
      </c>
      <c r="C44" s="306">
        <v>32.557230232682812</v>
      </c>
      <c r="D44" s="306">
        <v>41.844048961525999</v>
      </c>
      <c r="E44" s="306">
        <v>46.310526654592316</v>
      </c>
      <c r="F44" s="306">
        <v>43.866710621410142</v>
      </c>
      <c r="G44" s="306">
        <v>38.388324831265336</v>
      </c>
      <c r="H44" s="306">
        <v>43.032181870814263</v>
      </c>
      <c r="I44" s="306">
        <v>62.618890380810697</v>
      </c>
      <c r="J44" s="306">
        <v>64.521930632895604</v>
      </c>
    </row>
    <row r="45" spans="2:10">
      <c r="B45" s="150" t="s">
        <v>351</v>
      </c>
      <c r="C45" s="306">
        <v>141.16166392780119</v>
      </c>
      <c r="D45" s="306">
        <v>96.9475773342634</v>
      </c>
      <c r="E45" s="306">
        <v>342.70731239043539</v>
      </c>
      <c r="F45" s="306">
        <v>173.394548928381</v>
      </c>
      <c r="G45" s="306">
        <v>405.49327221942752</v>
      </c>
      <c r="H45" s="306">
        <v>244.23004238646948</v>
      </c>
      <c r="I45" s="306">
        <v>882.16003980351081</v>
      </c>
      <c r="J45" s="306">
        <v>476.65736718602716</v>
      </c>
    </row>
    <row r="46" spans="2:10">
      <c r="B46" s="150"/>
      <c r="C46" s="306"/>
      <c r="D46" s="306"/>
      <c r="E46" s="306"/>
      <c r="F46" s="306"/>
      <c r="G46" s="306"/>
      <c r="H46" s="306"/>
      <c r="I46" s="306"/>
      <c r="J46" s="306"/>
    </row>
    <row r="47" spans="2:10">
      <c r="B47" s="188" t="s">
        <v>437</v>
      </c>
      <c r="C47" s="306">
        <v>847.41443317580354</v>
      </c>
      <c r="D47" s="306">
        <v>943.88406711371022</v>
      </c>
      <c r="E47" s="306">
        <v>1001.5180839863483</v>
      </c>
      <c r="F47" s="306">
        <v>1223.934600211649</v>
      </c>
      <c r="G47" s="306">
        <v>1255.1381200470889</v>
      </c>
      <c r="H47" s="306">
        <v>1007.7820138750373</v>
      </c>
      <c r="I47" s="306">
        <v>1307.9319532429004</v>
      </c>
      <c r="J47" s="306">
        <v>1729.6365663364327</v>
      </c>
    </row>
    <row r="48" spans="2:10" ht="15" thickBot="1">
      <c r="B48" s="193" t="s">
        <v>436</v>
      </c>
      <c r="C48" s="309">
        <v>8.342651505039834</v>
      </c>
      <c r="D48" s="309">
        <v>258.12814736721316</v>
      </c>
      <c r="E48" s="309">
        <v>74.28222291709551</v>
      </c>
      <c r="F48" s="309">
        <v>5.461374058473222</v>
      </c>
      <c r="G48" s="309">
        <v>21.516952385372559</v>
      </c>
      <c r="H48" s="309">
        <v>9.5947247616491218</v>
      </c>
      <c r="I48" s="309">
        <v>253.19933946704398</v>
      </c>
      <c r="J48" s="309">
        <v>45.300137201463741</v>
      </c>
    </row>
    <row r="49" spans="2:10" ht="15" thickTop="1">
      <c r="B49" s="2025" t="s">
        <v>636</v>
      </c>
      <c r="C49" s="2025"/>
      <c r="D49" s="2025"/>
      <c r="E49" s="2025"/>
      <c r="F49" s="2025"/>
      <c r="G49" s="2025"/>
      <c r="H49" s="2025"/>
      <c r="I49" s="2025"/>
      <c r="J49" s="2025"/>
    </row>
    <row r="50" spans="2:10">
      <c r="B50" s="2017"/>
      <c r="C50" s="2017"/>
      <c r="D50" s="2017"/>
      <c r="E50" s="2017"/>
      <c r="F50" s="2017"/>
      <c r="G50" s="2017"/>
      <c r="H50" s="2017"/>
      <c r="I50" s="2017"/>
      <c r="J50" s="2017"/>
    </row>
    <row r="51" spans="2:10">
      <c r="B51" s="64"/>
      <c r="C51" s="302"/>
      <c r="D51" s="302"/>
      <c r="E51" s="302"/>
      <c r="F51" s="302"/>
      <c r="G51" s="302"/>
      <c r="H51" s="302"/>
      <c r="I51" s="302"/>
      <c r="J51" s="302"/>
    </row>
    <row r="52" spans="2:10">
      <c r="B52" s="2100" t="s">
        <v>434</v>
      </c>
      <c r="C52" s="2100"/>
      <c r="D52" s="2100"/>
      <c r="E52" s="2100"/>
      <c r="F52" s="2100"/>
      <c r="G52" s="2100"/>
      <c r="H52" s="2100"/>
      <c r="I52" s="2100"/>
      <c r="J52" s="2100"/>
    </row>
    <row r="53" spans="2:10">
      <c r="B53" s="12" t="s">
        <v>637</v>
      </c>
      <c r="C53" s="302"/>
      <c r="D53" s="302"/>
      <c r="E53" s="302"/>
      <c r="F53" s="302"/>
      <c r="G53" s="302"/>
      <c r="H53" s="302"/>
      <c r="I53" s="302"/>
      <c r="J53" s="302"/>
    </row>
    <row r="54" spans="2:10">
      <c r="B54" s="62" t="s">
        <v>242</v>
      </c>
      <c r="C54" s="302"/>
      <c r="D54" s="302"/>
      <c r="E54" s="302"/>
      <c r="F54" s="302"/>
      <c r="G54" s="302"/>
      <c r="H54" s="302"/>
      <c r="I54" s="302"/>
      <c r="J54" s="302"/>
    </row>
    <row r="55" spans="2:10">
      <c r="B55" s="64"/>
      <c r="C55" s="302"/>
      <c r="D55" s="302"/>
      <c r="E55" s="302"/>
      <c r="F55" s="302"/>
      <c r="G55" s="302"/>
      <c r="H55" s="302"/>
      <c r="I55" s="302"/>
      <c r="J55" s="302"/>
    </row>
    <row r="56" spans="2:10">
      <c r="B56" s="61"/>
      <c r="C56" s="303">
        <v>2014</v>
      </c>
      <c r="D56" s="303">
        <v>2015</v>
      </c>
      <c r="E56" s="303">
        <v>2016</v>
      </c>
      <c r="F56" s="303">
        <v>2017</v>
      </c>
      <c r="G56" s="303">
        <v>2018</v>
      </c>
      <c r="H56" s="303">
        <v>2019</v>
      </c>
      <c r="I56" s="303">
        <v>2020</v>
      </c>
      <c r="J56" s="303">
        <v>2021</v>
      </c>
    </row>
    <row r="57" spans="2:10">
      <c r="B57" s="64" t="s">
        <v>432</v>
      </c>
      <c r="C57" s="306">
        <v>2368.8061876149523</v>
      </c>
      <c r="D57" s="306">
        <v>2453.1132279284175</v>
      </c>
      <c r="E57" s="306">
        <v>2531.5996021417031</v>
      </c>
      <c r="F57" s="306">
        <v>2771.0263543045667</v>
      </c>
      <c r="G57" s="306">
        <v>2919.5410222736582</v>
      </c>
      <c r="H57" s="306">
        <v>3146.5248243740339</v>
      </c>
      <c r="I57" s="306">
        <v>3836.414760234783</v>
      </c>
      <c r="J57" s="306">
        <v>4290.5329163494707</v>
      </c>
    </row>
    <row r="58" spans="2:10">
      <c r="B58" s="62"/>
      <c r="C58" s="306"/>
      <c r="D58" s="306"/>
      <c r="E58" s="306"/>
      <c r="F58" s="306"/>
      <c r="G58" s="306"/>
      <c r="H58" s="306"/>
      <c r="I58" s="306"/>
      <c r="J58" s="306"/>
    </row>
    <row r="59" spans="2:10">
      <c r="B59" s="64" t="s">
        <v>431</v>
      </c>
      <c r="C59" s="306">
        <v>2367.0868589675429</v>
      </c>
      <c r="D59" s="306">
        <v>2451.4417631314454</v>
      </c>
      <c r="E59" s="306">
        <v>2529.9692990983995</v>
      </c>
      <c r="F59" s="306">
        <v>2769.4493617952817</v>
      </c>
      <c r="G59" s="306">
        <v>2918.0271624889447</v>
      </c>
      <c r="H59" s="306">
        <v>3145.0882111518995</v>
      </c>
      <c r="I59" s="306">
        <v>3835.1069656067216</v>
      </c>
      <c r="J59" s="306">
        <v>4289.2028801059832</v>
      </c>
    </row>
    <row r="60" spans="2:10">
      <c r="B60" s="190" t="s">
        <v>379</v>
      </c>
      <c r="C60" s="306"/>
      <c r="D60" s="306"/>
      <c r="E60" s="306"/>
      <c r="F60" s="306"/>
      <c r="G60" s="306"/>
      <c r="H60" s="306"/>
      <c r="I60" s="306"/>
      <c r="J60" s="306"/>
    </row>
    <row r="61" spans="2:10">
      <c r="B61" s="189" t="s">
        <v>638</v>
      </c>
      <c r="C61" s="306">
        <v>881.79158569609058</v>
      </c>
      <c r="D61" s="306">
        <v>922.27402785628044</v>
      </c>
      <c r="E61" s="306">
        <v>955.16173249730252</v>
      </c>
      <c r="F61" s="306">
        <v>1034.5222750191938</v>
      </c>
      <c r="G61" s="306">
        <v>1108.3020070593673</v>
      </c>
      <c r="H61" s="306">
        <v>1262.942750963098</v>
      </c>
      <c r="I61" s="306">
        <v>1696.2329664051649</v>
      </c>
      <c r="J61" s="306">
        <v>1922.3444338858233</v>
      </c>
    </row>
    <row r="62" spans="2:10">
      <c r="B62" s="189" t="s">
        <v>639</v>
      </c>
      <c r="C62" s="306">
        <v>846.78365642384165</v>
      </c>
      <c r="D62" s="306">
        <v>917.37802155749739</v>
      </c>
      <c r="E62" s="306">
        <v>955.1453222100904</v>
      </c>
      <c r="F62" s="306">
        <v>1089.6955366962006</v>
      </c>
      <c r="G62" s="306">
        <v>1153.6692375724062</v>
      </c>
      <c r="H62" s="306">
        <v>1202.429880042796</v>
      </c>
      <c r="I62" s="306">
        <v>1326.6807656105079</v>
      </c>
      <c r="J62" s="306">
        <v>1572.8150042088648</v>
      </c>
    </row>
    <row r="63" spans="2:10">
      <c r="B63" s="189" t="s">
        <v>640</v>
      </c>
      <c r="C63" s="306">
        <v>359.64349946723434</v>
      </c>
      <c r="D63" s="306">
        <v>326.22787783351771</v>
      </c>
      <c r="E63" s="306">
        <v>320.05169776755741</v>
      </c>
      <c r="F63" s="306">
        <v>328.18375075218393</v>
      </c>
      <c r="G63" s="306">
        <v>330.5927956209614</v>
      </c>
      <c r="H63" s="306">
        <v>348.83007701002981</v>
      </c>
      <c r="I63" s="306">
        <v>475.12683887109785</v>
      </c>
      <c r="J63" s="306">
        <v>415.4241240573806</v>
      </c>
    </row>
    <row r="64" spans="2:10">
      <c r="B64" s="189" t="s">
        <v>641</v>
      </c>
      <c r="C64" s="306">
        <v>50.789805286030685</v>
      </c>
      <c r="D64" s="306">
        <v>58.704962271080809</v>
      </c>
      <c r="E64" s="306">
        <v>57.083181922513411</v>
      </c>
      <c r="F64" s="306">
        <v>59.627315170252949</v>
      </c>
      <c r="G64" s="306">
        <v>59.55202897049567</v>
      </c>
      <c r="H64" s="306">
        <v>61.931462207620854</v>
      </c>
      <c r="I64" s="306">
        <v>64.462057608353362</v>
      </c>
      <c r="J64" s="306">
        <v>68.259129561280545</v>
      </c>
    </row>
    <row r="65" spans="2:10">
      <c r="B65" s="189" t="s">
        <v>642</v>
      </c>
      <c r="C65" s="306">
        <v>109.71689217773333</v>
      </c>
      <c r="D65" s="306">
        <v>109.89340013327732</v>
      </c>
      <c r="E65" s="306">
        <v>107.90521503911654</v>
      </c>
      <c r="F65" s="306">
        <v>119.89126014151434</v>
      </c>
      <c r="G65" s="306">
        <v>120.36714884428756</v>
      </c>
      <c r="H65" s="306">
        <v>119.21704201337562</v>
      </c>
      <c r="I65" s="306">
        <v>119.6409071276528</v>
      </c>
      <c r="J65" s="306">
        <v>134.22380134858673</v>
      </c>
    </row>
    <row r="66" spans="2:10">
      <c r="B66" s="189" t="s">
        <v>643</v>
      </c>
      <c r="C66" s="306">
        <v>31.852494044562285</v>
      </c>
      <c r="D66" s="306">
        <v>25.922921280605948</v>
      </c>
      <c r="E66" s="306">
        <v>33.675674806026109</v>
      </c>
      <c r="F66" s="306">
        <v>33.079419210258749</v>
      </c>
      <c r="G66" s="306">
        <v>35.316912602484315</v>
      </c>
      <c r="H66" s="306">
        <v>34.858499268461422</v>
      </c>
      <c r="I66" s="306">
        <v>35.380747198136042</v>
      </c>
      <c r="J66" s="306">
        <v>40.782623076478835</v>
      </c>
    </row>
    <row r="67" spans="2:10">
      <c r="B67" s="189" t="s">
        <v>644</v>
      </c>
      <c r="C67" s="306">
        <v>33.195844541018431</v>
      </c>
      <c r="D67" s="306">
        <v>35.190951657279342</v>
      </c>
      <c r="E67" s="306">
        <v>42.40951978994832</v>
      </c>
      <c r="F67" s="306">
        <v>44.207548814143138</v>
      </c>
      <c r="G67" s="306">
        <v>47.614990100153769</v>
      </c>
      <c r="H67" s="306">
        <v>50.824523838328084</v>
      </c>
      <c r="I67" s="306">
        <v>52.686543567629322</v>
      </c>
      <c r="J67" s="306">
        <v>61.822380222361055</v>
      </c>
    </row>
    <row r="68" spans="2:10">
      <c r="B68" s="189" t="s">
        <v>645</v>
      </c>
      <c r="C68" s="306">
        <v>7.5733205439412901</v>
      </c>
      <c r="D68" s="306">
        <v>7.9758614091767814</v>
      </c>
      <c r="E68" s="306">
        <v>6.42823985189984</v>
      </c>
      <c r="F68" s="306">
        <v>5.8562724877056835</v>
      </c>
      <c r="G68" s="306">
        <v>5.5135414757742582</v>
      </c>
      <c r="H68" s="306">
        <v>5.2023598262454112</v>
      </c>
      <c r="I68" s="306">
        <v>4.7201735925290507</v>
      </c>
      <c r="J68" s="306">
        <v>4.7915374693960411</v>
      </c>
    </row>
    <row r="69" spans="2:10">
      <c r="B69" s="189" t="s">
        <v>646</v>
      </c>
      <c r="C69" s="306">
        <v>21.748333269235555</v>
      </c>
      <c r="D69" s="306">
        <v>22.123535983777995</v>
      </c>
      <c r="E69" s="306">
        <v>25.157488346550945</v>
      </c>
      <c r="F69" s="306">
        <v>26.548205756022661</v>
      </c>
      <c r="G69" s="306">
        <v>28.466377771757749</v>
      </c>
      <c r="H69" s="306">
        <v>30.012084941647039</v>
      </c>
      <c r="I69" s="306">
        <v>31.231994679340801</v>
      </c>
      <c r="J69" s="306">
        <v>36.291400265657238</v>
      </c>
    </row>
    <row r="70" spans="2:10">
      <c r="B70" s="189" t="s">
        <v>647</v>
      </c>
      <c r="C70" s="306">
        <v>16.315713080245139</v>
      </c>
      <c r="D70" s="306">
        <v>17.888489215753118</v>
      </c>
      <c r="E70" s="306">
        <v>18.880606472732108</v>
      </c>
      <c r="F70" s="306">
        <v>19.430593550930634</v>
      </c>
      <c r="G70" s="306">
        <v>20.058684973746484</v>
      </c>
      <c r="H70" s="306">
        <v>20.023576713255782</v>
      </c>
      <c r="I70" s="306">
        <v>20.236516981541165</v>
      </c>
      <c r="J70" s="306">
        <v>22.747262050390873</v>
      </c>
    </row>
    <row r="71" spans="2:10">
      <c r="B71" s="189" t="s">
        <v>648</v>
      </c>
      <c r="C71" s="306">
        <v>7.6759180423181075</v>
      </c>
      <c r="D71" s="306">
        <v>7.8617139331985904</v>
      </c>
      <c r="E71" s="306">
        <v>8.0706203946620452</v>
      </c>
      <c r="F71" s="306">
        <v>8.4071841968750647</v>
      </c>
      <c r="G71" s="306">
        <v>8.5734374975100991</v>
      </c>
      <c r="H71" s="306">
        <v>8.8159543270412186</v>
      </c>
      <c r="I71" s="306">
        <v>8.7074539647686997</v>
      </c>
      <c r="J71" s="306">
        <v>9.7011839597629024</v>
      </c>
    </row>
    <row r="72" spans="2:10">
      <c r="B72" s="189"/>
      <c r="C72" s="306"/>
      <c r="D72" s="306"/>
      <c r="E72" s="306"/>
      <c r="F72" s="306"/>
      <c r="G72" s="306"/>
      <c r="H72" s="306"/>
      <c r="I72" s="306"/>
      <c r="J72" s="306"/>
    </row>
    <row r="73" spans="2:10">
      <c r="B73" s="64" t="s">
        <v>424</v>
      </c>
      <c r="C73" s="306">
        <v>1.7193286474086777</v>
      </c>
      <c r="D73" s="306">
        <v>1.6714647969720096</v>
      </c>
      <c r="E73" s="306">
        <v>1.6303030433038519</v>
      </c>
      <c r="F73" s="306">
        <v>1.576992509285581</v>
      </c>
      <c r="G73" s="306">
        <v>1.5138597847132031</v>
      </c>
      <c r="H73" s="306">
        <v>1.4366132221344292</v>
      </c>
      <c r="I73" s="306">
        <v>1.3077946280614869</v>
      </c>
      <c r="J73" s="306">
        <v>1.3300362434876349</v>
      </c>
    </row>
    <row r="74" spans="2:10">
      <c r="B74" s="190" t="s">
        <v>379</v>
      </c>
      <c r="C74" s="306"/>
      <c r="D74" s="306"/>
      <c r="E74" s="306"/>
      <c r="F74" s="306"/>
      <c r="G74" s="306"/>
      <c r="H74" s="306"/>
      <c r="I74" s="306"/>
      <c r="J74" s="306"/>
    </row>
    <row r="75" spans="2:10">
      <c r="B75" s="310" t="s">
        <v>642</v>
      </c>
      <c r="C75" s="306">
        <v>9.0490981442561985E-2</v>
      </c>
      <c r="D75" s="306">
        <v>8.7971831419579455E-2</v>
      </c>
      <c r="E75" s="306">
        <v>8.5805423331781677E-2</v>
      </c>
      <c r="F75" s="306">
        <v>8.2999605751872679E-2</v>
      </c>
      <c r="G75" s="306">
        <v>7.9676830774379107E-2</v>
      </c>
      <c r="H75" s="306">
        <v>7.561122221760154E-2</v>
      </c>
      <c r="I75" s="306">
        <v>6.8831296213762466E-2</v>
      </c>
      <c r="J75" s="306">
        <v>7.0001907551980797E-2</v>
      </c>
    </row>
    <row r="76" spans="2:10">
      <c r="B76" s="310" t="s">
        <v>649</v>
      </c>
      <c r="C76" s="306">
        <v>4.2983216185216937E-2</v>
      </c>
      <c r="D76" s="306">
        <v>4.1786619924300238E-2</v>
      </c>
      <c r="E76" s="306">
        <v>4.0757576082596295E-2</v>
      </c>
      <c r="F76" s="306">
        <v>3.9424812732139519E-2</v>
      </c>
      <c r="G76" s="306">
        <v>3.784649461783008E-2</v>
      </c>
      <c r="H76" s="306">
        <v>3.5915330553360728E-2</v>
      </c>
      <c r="I76" s="306">
        <v>3.2694865701537172E-2</v>
      </c>
      <c r="J76" s="306">
        <v>3.3250906087190876E-2</v>
      </c>
    </row>
    <row r="77" spans="2:10">
      <c r="B77" s="310" t="s">
        <v>646</v>
      </c>
      <c r="C77" s="306">
        <v>2.9409568968832647E-2</v>
      </c>
      <c r="D77" s="306">
        <v>2.8590845211363323E-2</v>
      </c>
      <c r="E77" s="306">
        <v>2.7886762582829048E-2</v>
      </c>
      <c r="F77" s="306">
        <v>2.6974871869358624E-2</v>
      </c>
      <c r="G77" s="306">
        <v>2.5894970001673213E-2</v>
      </c>
      <c r="H77" s="306">
        <v>2.4573647220720501E-2</v>
      </c>
      <c r="I77" s="306">
        <v>2.2370171269472803E-2</v>
      </c>
      <c r="J77" s="306">
        <v>2.2750619954393758E-2</v>
      </c>
    </row>
    <row r="78" spans="2:10">
      <c r="B78" s="311" t="s">
        <v>648</v>
      </c>
      <c r="C78" s="306">
        <v>1.8098196288512398E-2</v>
      </c>
      <c r="D78" s="306">
        <v>1.7594366283915891E-2</v>
      </c>
      <c r="E78" s="306">
        <v>1.7161084666356338E-2</v>
      </c>
      <c r="F78" s="306">
        <v>1.6599921150374536E-2</v>
      </c>
      <c r="G78" s="306">
        <v>1.5935366154875823E-2</v>
      </c>
      <c r="H78" s="306">
        <v>1.5122244443520307E-2</v>
      </c>
      <c r="I78" s="306">
        <v>1.3766259242752495E-2</v>
      </c>
      <c r="J78" s="306">
        <v>1.4000381510396159E-2</v>
      </c>
    </row>
    <row r="79" spans="2:10">
      <c r="B79" s="311" t="s">
        <v>650</v>
      </c>
      <c r="C79" s="306">
        <v>0.33255435680141526</v>
      </c>
      <c r="D79" s="306">
        <v>0.32329648046695447</v>
      </c>
      <c r="E79" s="306">
        <v>0.31533493074429769</v>
      </c>
      <c r="F79" s="306">
        <v>0.30502355113813207</v>
      </c>
      <c r="G79" s="306">
        <v>0.29281235309584325</v>
      </c>
      <c r="H79" s="306">
        <v>0.27787124164968563</v>
      </c>
      <c r="I79" s="306">
        <v>0.25295501358557709</v>
      </c>
      <c r="J79" s="306">
        <v>0.25725701025352937</v>
      </c>
    </row>
    <row r="80" spans="2:10">
      <c r="B80" s="311" t="s">
        <v>651</v>
      </c>
      <c r="C80" s="306">
        <v>0.67642008628315076</v>
      </c>
      <c r="D80" s="306">
        <v>0.65758943986135643</v>
      </c>
      <c r="E80" s="306">
        <v>0.6413955394050681</v>
      </c>
      <c r="F80" s="306">
        <v>0.62042205299524822</v>
      </c>
      <c r="G80" s="306">
        <v>0.59558431003848389</v>
      </c>
      <c r="H80" s="306">
        <v>0.56519388607657151</v>
      </c>
      <c r="I80" s="306">
        <v>0.51451393919787447</v>
      </c>
      <c r="J80" s="306">
        <v>0.52326425895105633</v>
      </c>
    </row>
    <row r="81" spans="2:10">
      <c r="B81" s="311" t="s">
        <v>652</v>
      </c>
      <c r="C81" s="306">
        <v>0.35065255308992771</v>
      </c>
      <c r="D81" s="306">
        <v>0.34089084675087039</v>
      </c>
      <c r="E81" s="306">
        <v>0.33249601541065404</v>
      </c>
      <c r="F81" s="306">
        <v>0.32162347228850663</v>
      </c>
      <c r="G81" s="306">
        <v>0.30874771925071909</v>
      </c>
      <c r="H81" s="306">
        <v>0.29299348609320597</v>
      </c>
      <c r="I81" s="306">
        <v>0.26672127282832958</v>
      </c>
      <c r="J81" s="306">
        <v>0.27125739176392555</v>
      </c>
    </row>
    <row r="82" spans="2:10">
      <c r="B82" s="311" t="s">
        <v>653</v>
      </c>
      <c r="C82" s="306">
        <v>0.14704784484416322</v>
      </c>
      <c r="D82" s="306">
        <v>0.14295422605681662</v>
      </c>
      <c r="E82" s="306">
        <v>0.13943381291414525</v>
      </c>
      <c r="F82" s="306">
        <v>0.13487435934679312</v>
      </c>
      <c r="G82" s="306">
        <v>0.12947485000836606</v>
      </c>
      <c r="H82" s="306">
        <v>0.12286823610360249</v>
      </c>
      <c r="I82" s="306">
        <v>0.11185085634736401</v>
      </c>
      <c r="J82" s="306">
        <v>0.11375309977196879</v>
      </c>
    </row>
    <row r="83" spans="2:10">
      <c r="B83" s="311" t="s">
        <v>654</v>
      </c>
      <c r="C83" s="306">
        <v>3.1671843504896692E-2</v>
      </c>
      <c r="D83" s="306">
        <v>3.0790140996852809E-2</v>
      </c>
      <c r="E83" s="306">
        <v>3.0031898166123588E-2</v>
      </c>
      <c r="F83" s="306">
        <v>2.9049862013155438E-2</v>
      </c>
      <c r="G83" s="306">
        <v>2.7886890771032687E-2</v>
      </c>
      <c r="H83" s="306">
        <v>2.6463927776160537E-2</v>
      </c>
      <c r="I83" s="306">
        <v>2.4090953674816864E-2</v>
      </c>
      <c r="J83" s="306">
        <v>2.4500667643193277E-2</v>
      </c>
    </row>
    <row r="84" spans="2:10">
      <c r="B84" s="190"/>
      <c r="C84" s="306"/>
      <c r="D84" s="306"/>
      <c r="E84" s="306"/>
      <c r="F84" s="306"/>
      <c r="G84" s="306"/>
      <c r="H84" s="306"/>
      <c r="I84" s="306"/>
      <c r="J84" s="306"/>
    </row>
    <row r="85" spans="2:10">
      <c r="B85" s="197" t="s">
        <v>655</v>
      </c>
      <c r="C85" s="306">
        <v>501.40042305710222</v>
      </c>
      <c r="D85" s="306">
        <v>487.54763980373502</v>
      </c>
      <c r="E85" s="306">
        <v>505.5336560030546</v>
      </c>
      <c r="F85" s="306">
        <v>645.919000064947</v>
      </c>
      <c r="G85" s="306">
        <v>588.07156382512562</v>
      </c>
      <c r="H85" s="306">
        <v>616.12573012124278</v>
      </c>
      <c r="I85" s="306">
        <v>620.84055088887044</v>
      </c>
      <c r="J85" s="306">
        <v>625.44264676340401</v>
      </c>
    </row>
    <row r="86" spans="2:10" ht="15" thickBot="1">
      <c r="B86" s="208" t="s">
        <v>413</v>
      </c>
      <c r="C86" s="312">
        <v>1867.4057645578498</v>
      </c>
      <c r="D86" s="312">
        <v>1965.5655881246823</v>
      </c>
      <c r="E86" s="312">
        <v>2026.0659461386488</v>
      </c>
      <c r="F86" s="312">
        <v>2125.1073542396198</v>
      </c>
      <c r="G86" s="312">
        <v>2331.4694584485324</v>
      </c>
      <c r="H86" s="312">
        <v>2530.3655979002765</v>
      </c>
      <c r="I86" s="312">
        <v>3215.574209345913</v>
      </c>
      <c r="J86" s="312">
        <v>3665.0902695860664</v>
      </c>
    </row>
    <row r="87" spans="2:10" ht="15" thickTop="1">
      <c r="B87" s="2025" t="s">
        <v>656</v>
      </c>
      <c r="C87" s="2025"/>
      <c r="D87" s="2025"/>
      <c r="E87" s="2025"/>
      <c r="F87" s="2025"/>
      <c r="G87" s="2025"/>
      <c r="H87" s="2025"/>
      <c r="I87" s="2025"/>
      <c r="J87" s="2025"/>
    </row>
    <row r="88" spans="2:10">
      <c r="B88" s="2066" t="s">
        <v>657</v>
      </c>
      <c r="C88" s="2066"/>
      <c r="D88" s="2066"/>
      <c r="E88" s="2066"/>
      <c r="F88" s="2066"/>
      <c r="G88" s="2066"/>
      <c r="H88" s="2066"/>
      <c r="I88" s="2066"/>
      <c r="J88" s="2066"/>
    </row>
    <row r="89" spans="2:10">
      <c r="B89" s="64"/>
      <c r="C89" s="302"/>
      <c r="D89" s="302"/>
      <c r="E89" s="302"/>
      <c r="F89" s="302"/>
      <c r="G89" s="302"/>
      <c r="H89" s="302"/>
      <c r="I89" s="302"/>
      <c r="J89" s="302"/>
    </row>
    <row r="90" spans="2:10">
      <c r="B90" s="2100" t="s">
        <v>411</v>
      </c>
      <c r="C90" s="2100"/>
      <c r="D90" s="2100"/>
      <c r="E90" s="2100"/>
      <c r="F90" s="2100"/>
      <c r="G90" s="2100"/>
      <c r="H90" s="2100"/>
      <c r="I90" s="2100"/>
      <c r="J90" s="2100"/>
    </row>
    <row r="91" spans="2:10">
      <c r="B91" s="12" t="s">
        <v>410</v>
      </c>
      <c r="C91" s="302"/>
      <c r="D91" s="302"/>
      <c r="E91" s="302"/>
      <c r="F91" s="302"/>
      <c r="G91" s="302"/>
      <c r="H91" s="302"/>
      <c r="I91" s="302"/>
      <c r="J91" s="302"/>
    </row>
    <row r="92" spans="2:10">
      <c r="B92" s="62" t="s">
        <v>409</v>
      </c>
      <c r="C92" s="302"/>
      <c r="D92" s="302"/>
      <c r="E92" s="302"/>
      <c r="F92" s="302"/>
      <c r="G92" s="302"/>
      <c r="H92" s="302"/>
      <c r="I92" s="302"/>
      <c r="J92" s="302"/>
    </row>
    <row r="93" spans="2:10">
      <c r="B93" s="64"/>
      <c r="C93" s="302"/>
      <c r="D93" s="302"/>
      <c r="E93" s="302"/>
      <c r="F93" s="302"/>
      <c r="G93" s="302"/>
      <c r="H93" s="302"/>
      <c r="I93" s="302"/>
      <c r="J93" s="302"/>
    </row>
    <row r="94" spans="2:10">
      <c r="B94" s="61"/>
      <c r="C94" s="303">
        <v>2014</v>
      </c>
      <c r="D94" s="303">
        <v>2015</v>
      </c>
      <c r="E94" s="303">
        <v>2016</v>
      </c>
      <c r="F94" s="303">
        <v>2017</v>
      </c>
      <c r="G94" s="303">
        <v>2018</v>
      </c>
      <c r="H94" s="303">
        <v>2019</v>
      </c>
      <c r="I94" s="303">
        <v>2020</v>
      </c>
      <c r="J94" s="303">
        <v>2021</v>
      </c>
    </row>
    <row r="95" spans="2:10">
      <c r="B95" s="114" t="s">
        <v>262</v>
      </c>
      <c r="C95" s="302"/>
      <c r="D95" s="302"/>
      <c r="E95" s="302"/>
      <c r="F95" s="302"/>
      <c r="G95" s="302"/>
      <c r="H95" s="302"/>
      <c r="I95" s="302"/>
      <c r="J95" s="302"/>
    </row>
    <row r="96" spans="2:10">
      <c r="B96" s="186" t="s">
        <v>408</v>
      </c>
      <c r="C96" s="158">
        <v>2</v>
      </c>
      <c r="D96" s="158">
        <v>2</v>
      </c>
      <c r="E96" s="158">
        <v>2</v>
      </c>
      <c r="F96" s="158">
        <v>2</v>
      </c>
      <c r="G96" s="158">
        <v>2</v>
      </c>
      <c r="H96" s="158">
        <v>2</v>
      </c>
      <c r="I96" s="158">
        <v>2</v>
      </c>
      <c r="J96" s="158">
        <v>2</v>
      </c>
    </row>
    <row r="97" spans="2:10">
      <c r="B97" s="65" t="s">
        <v>407</v>
      </c>
      <c r="C97" s="158"/>
      <c r="D97" s="158"/>
      <c r="E97" s="158"/>
      <c r="F97" s="158"/>
      <c r="G97" s="158"/>
      <c r="H97" s="158"/>
      <c r="I97" s="158"/>
      <c r="J97" s="158"/>
    </row>
    <row r="98" spans="2:10">
      <c r="B98" s="313" t="s">
        <v>658</v>
      </c>
      <c r="C98" s="158">
        <v>68</v>
      </c>
      <c r="D98" s="158">
        <v>66</v>
      </c>
      <c r="E98" s="158">
        <v>66</v>
      </c>
      <c r="F98" s="158">
        <v>66</v>
      </c>
      <c r="G98" s="158">
        <v>66</v>
      </c>
      <c r="H98" s="158">
        <v>51</v>
      </c>
      <c r="I98" s="158">
        <v>50</v>
      </c>
      <c r="J98" s="158">
        <v>49</v>
      </c>
    </row>
    <row r="99" spans="2:10">
      <c r="B99" s="313" t="s">
        <v>659</v>
      </c>
      <c r="C99" s="158">
        <v>17</v>
      </c>
      <c r="D99" s="158">
        <v>17</v>
      </c>
      <c r="E99" s="158">
        <v>18</v>
      </c>
      <c r="F99" s="158">
        <v>19</v>
      </c>
      <c r="G99" s="158">
        <v>18</v>
      </c>
      <c r="H99" s="158">
        <v>42</v>
      </c>
      <c r="I99" s="158">
        <v>41</v>
      </c>
      <c r="J99" s="158">
        <v>40</v>
      </c>
    </row>
    <row r="100" spans="2:10">
      <c r="B100" s="65" t="s">
        <v>406</v>
      </c>
      <c r="C100" s="158"/>
      <c r="D100" s="158"/>
      <c r="E100" s="158"/>
      <c r="F100" s="158"/>
      <c r="G100" s="158"/>
      <c r="H100" s="158"/>
      <c r="I100" s="158"/>
      <c r="J100" s="158"/>
    </row>
    <row r="101" spans="2:10">
      <c r="B101" s="313" t="s">
        <v>658</v>
      </c>
      <c r="C101" s="158">
        <v>21</v>
      </c>
      <c r="D101" s="158">
        <v>26</v>
      </c>
      <c r="E101" s="158">
        <v>27</v>
      </c>
      <c r="F101" s="158">
        <v>27</v>
      </c>
      <c r="G101" s="158">
        <v>26</v>
      </c>
      <c r="H101" s="158">
        <v>23</v>
      </c>
      <c r="I101" s="158">
        <v>21</v>
      </c>
      <c r="J101" s="158">
        <v>21</v>
      </c>
    </row>
    <row r="102" spans="2:10">
      <c r="B102" s="313" t="s">
        <v>659</v>
      </c>
      <c r="C102" s="158">
        <v>20</v>
      </c>
      <c r="D102" s="158">
        <v>23</v>
      </c>
      <c r="E102" s="158">
        <v>25</v>
      </c>
      <c r="F102" s="158">
        <v>24</v>
      </c>
      <c r="G102" s="158">
        <v>24</v>
      </c>
      <c r="H102" s="158">
        <v>23</v>
      </c>
      <c r="I102" s="158">
        <v>23</v>
      </c>
      <c r="J102" s="158">
        <v>23</v>
      </c>
    </row>
    <row r="103" spans="2:10">
      <c r="B103" s="186" t="s">
        <v>660</v>
      </c>
      <c r="C103" s="158"/>
      <c r="D103" s="158"/>
      <c r="E103" s="158"/>
      <c r="F103" s="158"/>
      <c r="G103" s="158"/>
      <c r="H103" s="158"/>
      <c r="I103" s="158"/>
      <c r="J103" s="158"/>
    </row>
    <row r="104" spans="2:10" ht="15.5">
      <c r="B104" s="314" t="s">
        <v>661</v>
      </c>
      <c r="C104" s="158">
        <v>1.8339852086172299</v>
      </c>
      <c r="D104" s="158">
        <v>2.4087835987074744</v>
      </c>
      <c r="E104" s="158">
        <v>2.5424804999096904</v>
      </c>
      <c r="F104" s="158">
        <v>2.0024710060263939</v>
      </c>
      <c r="G104" s="158">
        <v>1.9322273660620515</v>
      </c>
      <c r="H104" s="158">
        <v>1.8722318649984311</v>
      </c>
      <c r="I104" s="158">
        <v>1.7341984335901881</v>
      </c>
      <c r="J104" s="158">
        <v>2.0896685787995724</v>
      </c>
    </row>
    <row r="105" spans="2:10">
      <c r="B105" s="314" t="s">
        <v>659</v>
      </c>
      <c r="C105" s="158">
        <v>1.19621373568</v>
      </c>
      <c r="D105" s="158">
        <v>1.3740421395</v>
      </c>
      <c r="E105" s="158">
        <v>1.7545540296799995</v>
      </c>
      <c r="F105" s="158">
        <v>1.5344737854481074</v>
      </c>
      <c r="G105" s="158">
        <v>2.4184646140437001</v>
      </c>
      <c r="H105" s="158">
        <v>2.3243751314202203</v>
      </c>
      <c r="I105" s="158">
        <v>2.6807993980277014</v>
      </c>
      <c r="J105" s="158">
        <v>2.6674170874270788</v>
      </c>
    </row>
    <row r="106" spans="2:10">
      <c r="B106" s="186"/>
      <c r="C106" s="158"/>
      <c r="D106" s="158"/>
      <c r="E106" s="158"/>
      <c r="F106" s="158"/>
      <c r="G106" s="158"/>
      <c r="H106" s="158"/>
      <c r="I106" s="158"/>
      <c r="J106" s="158"/>
    </row>
    <row r="107" spans="2:10" ht="15">
      <c r="B107" s="114" t="s">
        <v>662</v>
      </c>
      <c r="C107" s="158"/>
      <c r="D107" s="158"/>
      <c r="E107" s="158"/>
      <c r="F107" s="158"/>
      <c r="G107" s="158"/>
      <c r="H107" s="158"/>
      <c r="I107" s="158"/>
      <c r="J107" s="158"/>
    </row>
    <row r="108" spans="2:10">
      <c r="B108" s="186" t="s">
        <v>399</v>
      </c>
      <c r="C108" s="158">
        <v>17</v>
      </c>
      <c r="D108" s="158">
        <v>17</v>
      </c>
      <c r="E108" s="158">
        <v>18</v>
      </c>
      <c r="F108" s="158">
        <v>18</v>
      </c>
      <c r="G108" s="158">
        <v>18</v>
      </c>
      <c r="H108" s="158">
        <v>18</v>
      </c>
      <c r="I108" s="158">
        <v>17</v>
      </c>
      <c r="J108" s="158">
        <v>16</v>
      </c>
    </row>
    <row r="109" spans="2:10">
      <c r="B109" s="186" t="s">
        <v>408</v>
      </c>
      <c r="C109" s="158">
        <v>591</v>
      </c>
      <c r="D109" s="158">
        <v>645</v>
      </c>
      <c r="E109" s="158">
        <v>651</v>
      </c>
      <c r="F109" s="158">
        <v>659</v>
      </c>
      <c r="G109" s="158">
        <v>656</v>
      </c>
      <c r="H109" s="158">
        <v>682</v>
      </c>
      <c r="I109" s="158">
        <v>644</v>
      </c>
      <c r="J109" s="158">
        <v>633</v>
      </c>
    </row>
    <row r="110" spans="2:10">
      <c r="B110" s="186" t="s">
        <v>402</v>
      </c>
      <c r="C110" s="158">
        <v>2689888</v>
      </c>
      <c r="D110" s="158">
        <v>2855872</v>
      </c>
      <c r="E110" s="158">
        <v>3031514</v>
      </c>
      <c r="F110" s="158">
        <v>2859157</v>
      </c>
      <c r="G110" s="158">
        <v>3170225</v>
      </c>
      <c r="H110" s="158">
        <v>3170349</v>
      </c>
      <c r="I110" s="158">
        <v>3444708</v>
      </c>
      <c r="J110" s="158">
        <v>3423485</v>
      </c>
    </row>
    <row r="111" spans="2:10">
      <c r="B111" s="186" t="s">
        <v>401</v>
      </c>
      <c r="C111" s="158">
        <v>7.7947222569129462</v>
      </c>
      <c r="D111" s="158">
        <v>8.4741058808289598</v>
      </c>
      <c r="E111" s="158">
        <v>8.9685953272511583</v>
      </c>
      <c r="F111" s="158">
        <v>9.0447712340588886</v>
      </c>
      <c r="G111" s="158">
        <v>9.261622662042754</v>
      </c>
      <c r="H111" s="158">
        <v>10.839941027178453</v>
      </c>
      <c r="I111" s="158">
        <v>11.945972878354622</v>
      </c>
      <c r="J111" s="158">
        <v>14.410903913143033</v>
      </c>
    </row>
    <row r="112" spans="2:10">
      <c r="B112" s="186"/>
      <c r="C112" s="158"/>
      <c r="D112" s="158"/>
      <c r="E112" s="158"/>
      <c r="F112" s="158"/>
      <c r="G112" s="158"/>
      <c r="H112" s="158"/>
      <c r="I112" s="158"/>
      <c r="J112" s="158"/>
    </row>
    <row r="113" spans="2:10" ht="26">
      <c r="B113" s="148" t="s">
        <v>404</v>
      </c>
      <c r="C113" s="158"/>
      <c r="D113" s="158"/>
      <c r="E113" s="158"/>
      <c r="F113" s="158"/>
      <c r="G113" s="158"/>
      <c r="H113" s="158"/>
      <c r="I113" s="158"/>
      <c r="J113" s="158"/>
    </row>
    <row r="114" spans="2:10">
      <c r="B114" s="186" t="s">
        <v>399</v>
      </c>
      <c r="C114" s="158">
        <v>47</v>
      </c>
      <c r="D114" s="158">
        <v>47</v>
      </c>
      <c r="E114" s="158">
        <v>41</v>
      </c>
      <c r="F114" s="158">
        <v>40</v>
      </c>
      <c r="G114" s="158">
        <v>33</v>
      </c>
      <c r="H114" s="158">
        <v>31</v>
      </c>
      <c r="I114" s="158">
        <v>31</v>
      </c>
      <c r="J114" s="158">
        <v>31</v>
      </c>
    </row>
    <row r="115" spans="2:10">
      <c r="B115" s="186" t="s">
        <v>408</v>
      </c>
      <c r="C115" s="158">
        <v>332</v>
      </c>
      <c r="D115" s="158">
        <v>410</v>
      </c>
      <c r="E115" s="158">
        <v>416</v>
      </c>
      <c r="F115" s="158">
        <v>412</v>
      </c>
      <c r="G115" s="158">
        <v>420</v>
      </c>
      <c r="H115" s="158">
        <v>456</v>
      </c>
      <c r="I115" s="158">
        <v>391</v>
      </c>
      <c r="J115" s="158">
        <v>389</v>
      </c>
    </row>
    <row r="116" spans="2:10">
      <c r="B116" s="186" t="s">
        <v>402</v>
      </c>
      <c r="C116" s="158">
        <v>631089</v>
      </c>
      <c r="D116" s="158">
        <v>632069</v>
      </c>
      <c r="E116" s="158">
        <v>424405</v>
      </c>
      <c r="F116" s="158">
        <v>462268</v>
      </c>
      <c r="G116" s="158">
        <v>450878</v>
      </c>
      <c r="H116" s="158">
        <v>459220</v>
      </c>
      <c r="I116" s="158">
        <v>472417</v>
      </c>
      <c r="J116" s="158">
        <v>530017</v>
      </c>
    </row>
    <row r="117" spans="2:10">
      <c r="B117" s="186" t="s">
        <v>401</v>
      </c>
      <c r="C117" s="158">
        <v>0.12205784649562364</v>
      </c>
      <c r="D117" s="158">
        <v>0.11331980883721032</v>
      </c>
      <c r="E117" s="158">
        <v>0.12353542920945319</v>
      </c>
      <c r="F117" s="158">
        <v>0.14945548426119978</v>
      </c>
      <c r="G117" s="158">
        <v>0.14720415275641993</v>
      </c>
      <c r="H117" s="158">
        <v>0.15437921296278792</v>
      </c>
      <c r="I117" s="158">
        <v>0.19659395830785142</v>
      </c>
      <c r="J117" s="158">
        <v>0.24839185955657292</v>
      </c>
    </row>
    <row r="118" spans="2:10">
      <c r="B118" s="186"/>
      <c r="C118" s="158"/>
      <c r="D118" s="158"/>
      <c r="E118" s="158"/>
      <c r="F118" s="158"/>
      <c r="G118" s="158"/>
      <c r="H118" s="158"/>
      <c r="I118" s="158"/>
      <c r="J118" s="158"/>
    </row>
    <row r="119" spans="2:10">
      <c r="B119" s="114" t="s">
        <v>400</v>
      </c>
      <c r="C119" s="158"/>
      <c r="D119" s="158"/>
      <c r="E119" s="158"/>
      <c r="F119" s="158"/>
      <c r="G119" s="158"/>
      <c r="H119" s="158"/>
      <c r="I119" s="158"/>
      <c r="J119" s="158"/>
    </row>
    <row r="120" spans="2:10">
      <c r="B120" s="186" t="s">
        <v>399</v>
      </c>
      <c r="C120" s="158">
        <v>0</v>
      </c>
      <c r="D120" s="158">
        <v>0</v>
      </c>
      <c r="E120" s="158">
        <v>0</v>
      </c>
      <c r="F120" s="158">
        <v>0</v>
      </c>
      <c r="G120" s="158">
        <v>0</v>
      </c>
      <c r="H120" s="158">
        <v>0</v>
      </c>
      <c r="I120" s="158">
        <v>0</v>
      </c>
      <c r="J120" s="158">
        <v>0</v>
      </c>
    </row>
    <row r="121" spans="2:10">
      <c r="B121" s="186" t="s">
        <v>401</v>
      </c>
      <c r="C121" s="158">
        <v>0</v>
      </c>
      <c r="D121" s="158">
        <v>0</v>
      </c>
      <c r="E121" s="158">
        <v>0</v>
      </c>
      <c r="F121" s="158">
        <v>0</v>
      </c>
      <c r="G121" s="158">
        <v>0</v>
      </c>
      <c r="H121" s="158">
        <v>0</v>
      </c>
      <c r="I121" s="158">
        <v>0</v>
      </c>
      <c r="J121" s="158">
        <v>0</v>
      </c>
    </row>
    <row r="122" spans="2:10" ht="15" thickBot="1">
      <c r="B122" s="183" t="s">
        <v>395</v>
      </c>
      <c r="C122" s="158">
        <v>0</v>
      </c>
      <c r="D122" s="158">
        <v>0</v>
      </c>
      <c r="E122" s="158">
        <v>0</v>
      </c>
      <c r="F122" s="158">
        <v>0</v>
      </c>
      <c r="G122" s="158">
        <v>0</v>
      </c>
      <c r="H122" s="158">
        <v>0</v>
      </c>
      <c r="I122" s="158">
        <v>0</v>
      </c>
      <c r="J122" s="158">
        <v>0</v>
      </c>
    </row>
    <row r="123" spans="2:10" ht="15" thickTop="1">
      <c r="B123" s="2025" t="s">
        <v>663</v>
      </c>
      <c r="C123" s="2025"/>
      <c r="D123" s="2025"/>
      <c r="E123" s="2025"/>
      <c r="F123" s="2025"/>
      <c r="G123" s="2025"/>
      <c r="H123" s="2025"/>
      <c r="I123" s="2025"/>
      <c r="J123" s="2025"/>
    </row>
    <row r="124" spans="2:10">
      <c r="B124" s="2066" t="s">
        <v>664</v>
      </c>
      <c r="C124" s="2066"/>
      <c r="D124" s="2066"/>
      <c r="E124" s="2066"/>
      <c r="F124" s="2066"/>
      <c r="G124" s="2066"/>
      <c r="H124" s="2066"/>
      <c r="I124" s="2066"/>
      <c r="J124" s="2066"/>
    </row>
    <row r="125" spans="2:10">
      <c r="B125" s="64"/>
      <c r="C125" s="302"/>
      <c r="D125" s="302"/>
      <c r="E125" s="302"/>
      <c r="F125" s="302"/>
      <c r="G125" s="302"/>
      <c r="H125" s="302"/>
      <c r="I125" s="302"/>
      <c r="J125" s="302"/>
    </row>
    <row r="126" spans="2:10">
      <c r="B126" s="2100" t="s">
        <v>393</v>
      </c>
      <c r="C126" s="2100"/>
      <c r="D126" s="2100"/>
      <c r="E126" s="2100"/>
      <c r="F126" s="2100"/>
      <c r="G126" s="2100"/>
      <c r="H126" s="2100"/>
      <c r="I126" s="2100"/>
      <c r="J126" s="2100"/>
    </row>
    <row r="127" spans="2:10">
      <c r="B127" s="12" t="s">
        <v>392</v>
      </c>
      <c r="C127" s="302"/>
      <c r="D127" s="302"/>
      <c r="E127" s="302"/>
      <c r="F127" s="302"/>
      <c r="G127" s="302"/>
      <c r="H127" s="302"/>
      <c r="I127" s="302"/>
      <c r="J127" s="302"/>
    </row>
    <row r="128" spans="2:10">
      <c r="B128" s="62" t="s">
        <v>269</v>
      </c>
      <c r="C128" s="302"/>
      <c r="D128" s="302"/>
      <c r="E128" s="302"/>
      <c r="F128" s="302"/>
      <c r="G128" s="302"/>
      <c r="H128" s="302"/>
      <c r="I128" s="302"/>
      <c r="J128" s="302"/>
    </row>
    <row r="129" spans="2:10">
      <c r="B129" s="64"/>
      <c r="C129" s="302"/>
      <c r="D129" s="302"/>
      <c r="E129" s="302"/>
      <c r="F129" s="302"/>
      <c r="G129" s="302"/>
      <c r="H129" s="302"/>
      <c r="I129" s="302"/>
      <c r="J129" s="302"/>
    </row>
    <row r="130" spans="2:10">
      <c r="B130" s="61"/>
      <c r="C130" s="303">
        <v>2014</v>
      </c>
      <c r="D130" s="303">
        <v>2015</v>
      </c>
      <c r="E130" s="303">
        <v>2016</v>
      </c>
      <c r="F130" s="303">
        <v>2017</v>
      </c>
      <c r="G130" s="303">
        <v>2018</v>
      </c>
      <c r="H130" s="303">
        <v>2019</v>
      </c>
      <c r="I130" s="303">
        <v>2020</v>
      </c>
      <c r="J130" s="303">
        <v>2021</v>
      </c>
    </row>
    <row r="131" spans="2:10">
      <c r="B131" s="179" t="s">
        <v>391</v>
      </c>
      <c r="C131" s="158"/>
      <c r="D131" s="158"/>
      <c r="E131" s="158"/>
      <c r="F131" s="158"/>
      <c r="G131" s="158"/>
      <c r="H131" s="158"/>
      <c r="I131" s="158"/>
      <c r="J131" s="158"/>
    </row>
    <row r="132" spans="2:10">
      <c r="B132" s="149" t="s">
        <v>390</v>
      </c>
      <c r="C132" s="158">
        <v>0</v>
      </c>
      <c r="D132" s="158">
        <v>0</v>
      </c>
      <c r="E132" s="158">
        <v>0</v>
      </c>
      <c r="F132" s="158">
        <v>0</v>
      </c>
      <c r="G132" s="158">
        <v>0</v>
      </c>
      <c r="H132" s="158">
        <v>0</v>
      </c>
      <c r="I132" s="158">
        <v>0</v>
      </c>
      <c r="J132" s="158">
        <v>0</v>
      </c>
    </row>
    <row r="133" spans="2:10">
      <c r="B133" s="149" t="s">
        <v>389</v>
      </c>
      <c r="C133" s="158">
        <v>3327324</v>
      </c>
      <c r="D133" s="158">
        <v>3294960</v>
      </c>
      <c r="E133" s="158">
        <v>3898940</v>
      </c>
      <c r="F133" s="158">
        <v>4563504</v>
      </c>
      <c r="G133" s="158">
        <v>4828451</v>
      </c>
      <c r="H133" s="158">
        <v>5424514</v>
      </c>
      <c r="I133" s="158">
        <v>5576300</v>
      </c>
      <c r="J133" s="158">
        <v>5835929</v>
      </c>
    </row>
    <row r="134" spans="2:10">
      <c r="B134" s="149" t="s">
        <v>388</v>
      </c>
      <c r="C134" s="158">
        <v>0</v>
      </c>
      <c r="D134" s="158">
        <v>0</v>
      </c>
      <c r="E134" s="158">
        <v>0</v>
      </c>
      <c r="F134" s="158">
        <v>0</v>
      </c>
      <c r="G134" s="158">
        <v>0</v>
      </c>
      <c r="H134" s="158">
        <v>0</v>
      </c>
      <c r="I134" s="158">
        <v>0</v>
      </c>
      <c r="J134" s="158">
        <v>0</v>
      </c>
    </row>
    <row r="135" spans="2:10">
      <c r="B135" s="149" t="s">
        <v>387</v>
      </c>
      <c r="C135" s="158">
        <v>2339569.0001945822</v>
      </c>
      <c r="D135" s="158">
        <v>2241696</v>
      </c>
      <c r="E135" s="158">
        <v>2460763</v>
      </c>
      <c r="F135" s="158">
        <v>2465819</v>
      </c>
      <c r="G135" s="158">
        <v>2538564</v>
      </c>
      <c r="H135" s="158">
        <v>2655032</v>
      </c>
      <c r="I135" s="158">
        <v>2450340.0000000005</v>
      </c>
      <c r="J135" s="158">
        <v>2687010</v>
      </c>
    </row>
    <row r="136" spans="2:10">
      <c r="B136" s="149" t="s">
        <v>665</v>
      </c>
      <c r="C136" s="158">
        <v>76797</v>
      </c>
      <c r="D136" s="158">
        <v>83274</v>
      </c>
      <c r="E136" s="158">
        <v>194758</v>
      </c>
      <c r="F136" s="158">
        <v>235218</v>
      </c>
      <c r="G136" s="158">
        <v>241755</v>
      </c>
      <c r="H136" s="158">
        <v>228723</v>
      </c>
      <c r="I136" s="158">
        <v>208328</v>
      </c>
      <c r="J136" s="158">
        <v>202355</v>
      </c>
    </row>
    <row r="137" spans="2:10" ht="26">
      <c r="B137" s="147" t="s">
        <v>385</v>
      </c>
      <c r="C137" s="158">
        <v>0</v>
      </c>
      <c r="D137" s="158">
        <v>0</v>
      </c>
      <c r="E137" s="158">
        <v>0</v>
      </c>
      <c r="F137" s="158">
        <v>0</v>
      </c>
      <c r="G137" s="158">
        <v>0</v>
      </c>
      <c r="H137" s="158">
        <v>0</v>
      </c>
      <c r="I137" s="158">
        <v>0</v>
      </c>
      <c r="J137" s="158">
        <v>0</v>
      </c>
    </row>
    <row r="138" spans="2:10">
      <c r="B138" s="149" t="s">
        <v>666</v>
      </c>
      <c r="C138" s="158">
        <v>924648</v>
      </c>
      <c r="D138" s="158">
        <v>975399</v>
      </c>
      <c r="E138" s="158">
        <v>988445</v>
      </c>
      <c r="F138" s="158">
        <v>1053811</v>
      </c>
      <c r="G138" s="158">
        <v>1035557</v>
      </c>
      <c r="H138" s="158">
        <v>1028985</v>
      </c>
      <c r="I138" s="158">
        <v>2678371</v>
      </c>
      <c r="J138" s="158">
        <v>1822451</v>
      </c>
    </row>
    <row r="139" spans="2:10">
      <c r="B139" s="54" t="s">
        <v>384</v>
      </c>
      <c r="C139" s="158">
        <v>6668338.0001945822</v>
      </c>
      <c r="D139" s="158">
        <v>6595329</v>
      </c>
      <c r="E139" s="158">
        <v>7542906</v>
      </c>
      <c r="F139" s="158">
        <v>8318352</v>
      </c>
      <c r="G139" s="158">
        <v>8644327</v>
      </c>
      <c r="H139" s="158">
        <v>9337254</v>
      </c>
      <c r="I139" s="158">
        <v>10913339</v>
      </c>
      <c r="J139" s="158">
        <v>10547745</v>
      </c>
    </row>
    <row r="140" spans="2:10" ht="26">
      <c r="B140" s="147" t="s">
        <v>383</v>
      </c>
      <c r="C140" s="158"/>
      <c r="D140" s="158"/>
      <c r="E140" s="158"/>
      <c r="F140" s="158"/>
      <c r="G140" s="158"/>
      <c r="H140" s="158"/>
      <c r="I140" s="158"/>
      <c r="J140" s="158"/>
    </row>
    <row r="141" spans="2:10">
      <c r="B141" s="302" t="s">
        <v>382</v>
      </c>
      <c r="C141" s="158"/>
      <c r="D141" s="158"/>
      <c r="E141" s="158"/>
      <c r="F141" s="158"/>
      <c r="G141" s="158"/>
      <c r="H141" s="158"/>
      <c r="I141" s="158"/>
      <c r="J141" s="158"/>
    </row>
    <row r="142" spans="2:10">
      <c r="B142" s="149"/>
      <c r="C142" s="158"/>
      <c r="D142" s="158"/>
      <c r="E142" s="158"/>
      <c r="F142" s="158"/>
      <c r="G142" s="158"/>
      <c r="H142" s="158"/>
      <c r="I142" s="158"/>
      <c r="J142" s="158"/>
    </row>
    <row r="143" spans="2:10">
      <c r="B143" s="175" t="s">
        <v>381</v>
      </c>
      <c r="C143" s="158"/>
      <c r="D143" s="158"/>
      <c r="E143" s="158"/>
      <c r="F143" s="158"/>
      <c r="G143" s="158"/>
      <c r="H143" s="158"/>
      <c r="I143" s="158"/>
      <c r="J143" s="158"/>
    </row>
    <row r="144" spans="2:10">
      <c r="B144" s="149" t="s">
        <v>380</v>
      </c>
      <c r="C144" s="315">
        <v>2446</v>
      </c>
      <c r="D144" s="315">
        <v>2672</v>
      </c>
      <c r="E144" s="315">
        <v>2847</v>
      </c>
      <c r="F144" s="315">
        <v>2966</v>
      </c>
      <c r="G144" s="315">
        <v>3077</v>
      </c>
      <c r="H144" s="315">
        <v>3280</v>
      </c>
      <c r="I144" s="315">
        <v>3285</v>
      </c>
      <c r="J144" s="158">
        <v>3408</v>
      </c>
    </row>
    <row r="145" spans="2:10">
      <c r="B145" s="172" t="s">
        <v>379</v>
      </c>
      <c r="C145" s="158"/>
      <c r="D145" s="158"/>
      <c r="E145" s="158"/>
      <c r="F145" s="158"/>
      <c r="G145" s="158"/>
      <c r="H145" s="158"/>
      <c r="I145" s="158"/>
      <c r="J145" s="158"/>
    </row>
    <row r="146" spans="2:10">
      <c r="B146" s="168" t="s">
        <v>378</v>
      </c>
      <c r="C146" s="315">
        <v>2446</v>
      </c>
      <c r="D146" s="315">
        <v>2672</v>
      </c>
      <c r="E146" s="315">
        <v>2847</v>
      </c>
      <c r="F146" s="315">
        <v>2966</v>
      </c>
      <c r="G146" s="315">
        <v>3077</v>
      </c>
      <c r="H146" s="315">
        <v>3280</v>
      </c>
      <c r="I146" s="315">
        <v>3285</v>
      </c>
      <c r="J146" s="158">
        <v>3408</v>
      </c>
    </row>
    <row r="147" spans="2:10">
      <c r="B147" s="168" t="s">
        <v>377</v>
      </c>
      <c r="C147" s="158">
        <v>0</v>
      </c>
      <c r="D147" s="158">
        <v>0</v>
      </c>
      <c r="E147" s="158">
        <v>0</v>
      </c>
      <c r="F147" s="158">
        <v>0</v>
      </c>
      <c r="G147" s="158">
        <v>0</v>
      </c>
      <c r="H147" s="158">
        <v>0</v>
      </c>
      <c r="I147" s="158">
        <v>0</v>
      </c>
      <c r="J147" s="158">
        <v>0</v>
      </c>
    </row>
    <row r="148" spans="2:10">
      <c r="B148" s="149" t="s">
        <v>376</v>
      </c>
      <c r="C148" s="158">
        <v>1</v>
      </c>
      <c r="D148" s="158">
        <v>1</v>
      </c>
      <c r="E148" s="158">
        <v>1</v>
      </c>
      <c r="F148" s="158">
        <v>1</v>
      </c>
      <c r="G148" s="158">
        <v>1</v>
      </c>
      <c r="H148" s="158">
        <v>3</v>
      </c>
      <c r="I148" s="158">
        <v>3</v>
      </c>
      <c r="J148" s="158">
        <v>3</v>
      </c>
    </row>
    <row r="149" spans="2:10">
      <c r="B149" s="149"/>
      <c r="C149" s="158"/>
      <c r="D149" s="158"/>
      <c r="E149" s="158"/>
      <c r="F149" s="158"/>
      <c r="G149" s="158"/>
      <c r="H149" s="158"/>
      <c r="I149" s="158"/>
      <c r="J149" s="158"/>
    </row>
    <row r="150" spans="2:10">
      <c r="B150" s="149" t="s">
        <v>375</v>
      </c>
      <c r="C150" s="158">
        <v>42216</v>
      </c>
      <c r="D150" s="158">
        <v>52483</v>
      </c>
      <c r="E150" s="158">
        <v>58669</v>
      </c>
      <c r="F150" s="158">
        <v>65192</v>
      </c>
      <c r="G150" s="158">
        <v>70476</v>
      </c>
      <c r="H150" s="158">
        <v>84410</v>
      </c>
      <c r="I150" s="158">
        <v>89042</v>
      </c>
      <c r="J150" s="158">
        <v>103121</v>
      </c>
    </row>
    <row r="151" spans="2:10">
      <c r="B151" s="168" t="s">
        <v>374</v>
      </c>
      <c r="C151" s="158"/>
      <c r="D151" s="158"/>
      <c r="E151" s="158"/>
      <c r="F151" s="158"/>
      <c r="G151" s="158"/>
      <c r="H151" s="158"/>
      <c r="I151" s="158"/>
      <c r="J151" s="158"/>
    </row>
    <row r="152" spans="2:10">
      <c r="B152" s="149" t="s">
        <v>478</v>
      </c>
      <c r="C152" s="158">
        <v>0</v>
      </c>
      <c r="D152" s="158">
        <v>0</v>
      </c>
      <c r="E152" s="158">
        <v>0</v>
      </c>
      <c r="F152" s="158">
        <v>0</v>
      </c>
      <c r="G152" s="158">
        <v>0</v>
      </c>
      <c r="H152" s="158">
        <v>0</v>
      </c>
      <c r="I152" s="158">
        <v>0</v>
      </c>
      <c r="J152" s="158">
        <v>0</v>
      </c>
    </row>
    <row r="153" spans="2:10">
      <c r="B153" s="165" t="s">
        <v>373</v>
      </c>
      <c r="C153" s="158">
        <v>0</v>
      </c>
      <c r="D153" s="158">
        <v>0</v>
      </c>
      <c r="E153" s="158">
        <v>0</v>
      </c>
      <c r="F153" s="158">
        <v>0</v>
      </c>
      <c r="G153" s="158">
        <v>0</v>
      </c>
      <c r="H153" s="158">
        <v>0</v>
      </c>
      <c r="I153" s="158">
        <v>0</v>
      </c>
      <c r="J153" s="158">
        <v>0</v>
      </c>
    </row>
    <row r="154" spans="2:10">
      <c r="B154" s="149" t="s">
        <v>372</v>
      </c>
      <c r="C154" s="158">
        <v>0</v>
      </c>
      <c r="D154" s="158">
        <v>0</v>
      </c>
      <c r="E154" s="158">
        <v>0</v>
      </c>
      <c r="F154" s="158">
        <v>0</v>
      </c>
      <c r="G154" s="158">
        <v>0</v>
      </c>
      <c r="H154" s="158">
        <v>0</v>
      </c>
      <c r="I154" s="158">
        <v>0</v>
      </c>
      <c r="J154" s="158">
        <v>0</v>
      </c>
    </row>
    <row r="155" spans="2:10">
      <c r="B155" s="149" t="s">
        <v>371</v>
      </c>
      <c r="C155" s="158"/>
      <c r="D155" s="158"/>
      <c r="E155" s="158"/>
      <c r="F155" s="158"/>
      <c r="G155" s="158"/>
      <c r="H155" s="158"/>
      <c r="I155" s="158"/>
      <c r="J155" s="158"/>
    </row>
    <row r="156" spans="2:10">
      <c r="B156" s="147" t="s">
        <v>370</v>
      </c>
      <c r="C156" s="158">
        <v>3</v>
      </c>
      <c r="D156" s="158">
        <v>3</v>
      </c>
      <c r="E156" s="158">
        <v>3</v>
      </c>
      <c r="F156" s="158">
        <v>3</v>
      </c>
      <c r="G156" s="158">
        <v>3</v>
      </c>
      <c r="H156" s="158">
        <v>3</v>
      </c>
      <c r="I156" s="158">
        <v>3</v>
      </c>
      <c r="J156" s="158">
        <v>3</v>
      </c>
    </row>
    <row r="157" spans="2:10" ht="15" thickBot="1">
      <c r="B157" s="209" t="s">
        <v>369</v>
      </c>
      <c r="C157" s="158">
        <v>0</v>
      </c>
      <c r="D157" s="158">
        <v>0</v>
      </c>
      <c r="E157" s="158">
        <v>0</v>
      </c>
      <c r="F157" s="158">
        <v>0</v>
      </c>
      <c r="G157" s="158">
        <v>0</v>
      </c>
      <c r="H157" s="158">
        <v>0</v>
      </c>
      <c r="I157" s="158">
        <v>0</v>
      </c>
      <c r="J157" s="158">
        <v>0</v>
      </c>
    </row>
    <row r="158" spans="2:10" ht="15" thickTop="1">
      <c r="B158" s="2025" t="s">
        <v>636</v>
      </c>
      <c r="C158" s="2025"/>
      <c r="D158" s="2025"/>
      <c r="E158" s="2025"/>
      <c r="F158" s="2025"/>
      <c r="G158" s="2025"/>
      <c r="H158" s="2025"/>
      <c r="I158" s="2025"/>
      <c r="J158" s="2025"/>
    </row>
    <row r="159" spans="2:10">
      <c r="B159" s="2017"/>
      <c r="C159" s="2017"/>
      <c r="D159" s="2017"/>
      <c r="E159" s="2017"/>
      <c r="F159" s="2017"/>
      <c r="G159" s="2017"/>
      <c r="H159" s="2017"/>
      <c r="I159" s="2017"/>
      <c r="J159" s="2017"/>
    </row>
    <row r="160" spans="2:10">
      <c r="B160" s="64"/>
      <c r="C160" s="302"/>
      <c r="D160" s="302"/>
      <c r="E160" s="302"/>
      <c r="F160" s="302"/>
      <c r="G160" s="302"/>
      <c r="H160" s="302"/>
      <c r="I160" s="302"/>
      <c r="J160" s="302"/>
    </row>
    <row r="161" spans="2:10">
      <c r="B161" s="2100" t="s">
        <v>367</v>
      </c>
      <c r="C161" s="2100"/>
      <c r="D161" s="2100"/>
      <c r="E161" s="2100"/>
      <c r="F161" s="2100"/>
      <c r="G161" s="2100"/>
      <c r="H161" s="2100"/>
      <c r="I161" s="2100"/>
      <c r="J161" s="2100"/>
    </row>
    <row r="162" spans="2:10">
      <c r="B162" s="12" t="s">
        <v>366</v>
      </c>
      <c r="C162" s="302"/>
      <c r="D162" s="302"/>
      <c r="E162" s="302"/>
      <c r="F162" s="302"/>
      <c r="G162" s="302"/>
      <c r="H162" s="302"/>
      <c r="I162" s="302"/>
      <c r="J162" s="302"/>
    </row>
    <row r="163" spans="2:10">
      <c r="B163" s="62" t="s">
        <v>210</v>
      </c>
      <c r="C163" s="302"/>
      <c r="D163" s="302"/>
      <c r="E163" s="302"/>
      <c r="F163" s="302"/>
      <c r="G163" s="302"/>
      <c r="H163" s="302"/>
      <c r="I163" s="302"/>
      <c r="J163" s="302"/>
    </row>
    <row r="164" spans="2:10">
      <c r="B164" s="64"/>
      <c r="C164" s="302"/>
      <c r="D164" s="302"/>
      <c r="E164" s="302"/>
      <c r="F164" s="302"/>
      <c r="G164" s="302"/>
      <c r="H164" s="302"/>
      <c r="I164" s="302"/>
      <c r="J164" s="302"/>
    </row>
    <row r="165" spans="2:10">
      <c r="B165" s="61"/>
      <c r="C165" s="303">
        <v>2014</v>
      </c>
      <c r="D165" s="303">
        <v>2015</v>
      </c>
      <c r="E165" s="303">
        <v>2016</v>
      </c>
      <c r="F165" s="303">
        <v>2017</v>
      </c>
      <c r="G165" s="303">
        <v>2018</v>
      </c>
      <c r="H165" s="303">
        <v>2019</v>
      </c>
      <c r="I165" s="303">
        <v>2020</v>
      </c>
      <c r="J165" s="303">
        <v>2021</v>
      </c>
    </row>
    <row r="166" spans="2:10">
      <c r="B166" s="114" t="s">
        <v>362</v>
      </c>
      <c r="C166" s="302"/>
      <c r="D166" s="302"/>
      <c r="E166" s="302"/>
      <c r="F166" s="302"/>
      <c r="G166" s="302"/>
      <c r="H166" s="302"/>
      <c r="I166" s="302"/>
      <c r="J166" s="302"/>
    </row>
    <row r="167" spans="2:10">
      <c r="B167" s="54" t="s">
        <v>361</v>
      </c>
      <c r="C167" s="307">
        <f>C168+C169</f>
        <v>44462.536</v>
      </c>
      <c r="D167" s="307">
        <f t="shared" ref="D167:F167" si="1">D168+D169</f>
        <v>50625.976999999999</v>
      </c>
      <c r="E167" s="307">
        <f t="shared" si="1"/>
        <v>56064.789000000004</v>
      </c>
      <c r="F167" s="307">
        <f t="shared" si="1"/>
        <v>61164.960999999996</v>
      </c>
      <c r="G167" s="307">
        <f>G169</f>
        <v>61339.483</v>
      </c>
      <c r="H167" s="307">
        <f t="shared" ref="H167:J167" si="2">H169</f>
        <v>76914.468999999997</v>
      </c>
      <c r="I167" s="307">
        <f t="shared" si="2"/>
        <v>89264.694000000003</v>
      </c>
      <c r="J167" s="307">
        <f t="shared" si="2"/>
        <v>118370.773</v>
      </c>
    </row>
    <row r="168" spans="2:10">
      <c r="B168" s="151" t="s">
        <v>360</v>
      </c>
      <c r="C168" s="307">
        <v>592.476</v>
      </c>
      <c r="D168" s="306">
        <v>816.43899999999996</v>
      </c>
      <c r="E168" s="306">
        <v>1159.1179999999999</v>
      </c>
      <c r="F168" s="306">
        <v>884.66399999999999</v>
      </c>
      <c r="G168" s="306">
        <v>0</v>
      </c>
      <c r="H168" s="306">
        <v>0</v>
      </c>
      <c r="I168" s="306">
        <v>0</v>
      </c>
      <c r="J168" s="306">
        <v>0</v>
      </c>
    </row>
    <row r="169" spans="2:10">
      <c r="B169" s="151" t="s">
        <v>359</v>
      </c>
      <c r="C169" s="307">
        <v>43870.06</v>
      </c>
      <c r="D169" s="307">
        <v>49809.538</v>
      </c>
      <c r="E169" s="307">
        <v>54905.671000000002</v>
      </c>
      <c r="F169" s="307">
        <v>60280.296999999999</v>
      </c>
      <c r="G169" s="307">
        <v>61339.483</v>
      </c>
      <c r="H169" s="307">
        <v>76914.468999999997</v>
      </c>
      <c r="I169" s="307">
        <v>89264.694000000003</v>
      </c>
      <c r="J169" s="307">
        <v>118370.773</v>
      </c>
    </row>
    <row r="170" spans="2:10">
      <c r="B170" s="152" t="s">
        <v>358</v>
      </c>
      <c r="C170" s="316">
        <v>8476.7729999999992</v>
      </c>
      <c r="D170" s="316">
        <v>8116.8760000000002</v>
      </c>
      <c r="E170" s="316">
        <v>7732.8140000000003</v>
      </c>
      <c r="F170" s="316">
        <v>8659.5653499999989</v>
      </c>
      <c r="G170" s="316">
        <v>18459.939999999999</v>
      </c>
      <c r="H170" s="316">
        <v>21072.58913</v>
      </c>
      <c r="I170" s="316">
        <v>19146.068360000001</v>
      </c>
      <c r="J170" s="307">
        <v>21854.901999999998</v>
      </c>
    </row>
    <row r="171" spans="2:10">
      <c r="B171" s="71" t="s">
        <v>357</v>
      </c>
      <c r="C171" s="260">
        <f>C172+C174+C175</f>
        <v>113215.942</v>
      </c>
      <c r="D171" s="260">
        <f t="shared" ref="D171:J171" si="3">D172+D174+D175</f>
        <v>137403.34329000002</v>
      </c>
      <c r="E171" s="260">
        <f t="shared" si="3"/>
        <v>158436.06580151807</v>
      </c>
      <c r="F171" s="260">
        <f t="shared" si="3"/>
        <v>185506.96016268339</v>
      </c>
      <c r="G171" s="260">
        <f t="shared" si="3"/>
        <v>204394.5103625</v>
      </c>
      <c r="H171" s="260">
        <f t="shared" si="3"/>
        <v>230444.56819999998</v>
      </c>
      <c r="I171" s="260">
        <f t="shared" si="3"/>
        <v>206242.3505</v>
      </c>
      <c r="J171" s="260">
        <f t="shared" si="3"/>
        <v>272668.52699999994</v>
      </c>
    </row>
    <row r="172" spans="2:10">
      <c r="B172" s="151" t="s">
        <v>356</v>
      </c>
      <c r="C172" s="305">
        <v>32625.135590380167</v>
      </c>
      <c r="D172" s="305">
        <v>41804.093179999996</v>
      </c>
      <c r="E172" s="305">
        <v>48254.407657118056</v>
      </c>
      <c r="F172" s="305">
        <v>59963.947625021341</v>
      </c>
      <c r="G172" s="305">
        <v>73588.627000000008</v>
      </c>
      <c r="H172" s="305">
        <v>89698.152222222227</v>
      </c>
      <c r="I172" s="305">
        <v>92397.196500000005</v>
      </c>
      <c r="J172" s="305">
        <v>126658.152</v>
      </c>
    </row>
    <row r="173" spans="2:10">
      <c r="B173" s="151" t="s">
        <v>355</v>
      </c>
      <c r="C173" s="306">
        <v>0</v>
      </c>
      <c r="D173" s="306">
        <v>0</v>
      </c>
      <c r="E173" s="306">
        <v>0</v>
      </c>
      <c r="F173" s="306">
        <v>0</v>
      </c>
      <c r="G173" s="306">
        <v>0</v>
      </c>
      <c r="H173" s="306">
        <v>0</v>
      </c>
      <c r="I173" s="306">
        <v>0</v>
      </c>
      <c r="J173" s="306">
        <v>0</v>
      </c>
    </row>
    <row r="174" spans="2:10">
      <c r="B174" s="151" t="s">
        <v>354</v>
      </c>
      <c r="C174" s="306">
        <v>79429.141409619842</v>
      </c>
      <c r="D174" s="307">
        <v>95112.966109999994</v>
      </c>
      <c r="E174" s="307">
        <v>109645.99614439999</v>
      </c>
      <c r="F174" s="307">
        <v>125185.14353766204</v>
      </c>
      <c r="G174" s="307">
        <v>130505.6457125</v>
      </c>
      <c r="H174" s="307">
        <v>140458.70397777777</v>
      </c>
      <c r="I174" s="316">
        <v>113623.417</v>
      </c>
      <c r="J174" s="307">
        <v>145748.09</v>
      </c>
    </row>
    <row r="175" spans="2:10">
      <c r="B175" s="151" t="s">
        <v>667</v>
      </c>
      <c r="C175" s="307">
        <v>1161.665</v>
      </c>
      <c r="D175" s="307">
        <v>486.28399999999999</v>
      </c>
      <c r="E175" s="307">
        <v>535.66200000000003</v>
      </c>
      <c r="F175" s="307">
        <v>357.86900000000003</v>
      </c>
      <c r="G175" s="307">
        <v>300.23765000000003</v>
      </c>
      <c r="H175" s="307">
        <v>287.71199999999999</v>
      </c>
      <c r="I175" s="316">
        <v>221.73699999999999</v>
      </c>
      <c r="J175" s="307">
        <v>262.28500000000003</v>
      </c>
    </row>
    <row r="176" spans="2:10">
      <c r="B176" s="71" t="s">
        <v>338</v>
      </c>
      <c r="C176" s="306"/>
      <c r="D176" s="306"/>
      <c r="E176" s="306"/>
      <c r="F176" s="306"/>
      <c r="G176" s="306"/>
      <c r="H176" s="306"/>
      <c r="I176" s="306"/>
      <c r="J176" s="306"/>
    </row>
    <row r="177" spans="2:10">
      <c r="B177" s="71" t="s">
        <v>353</v>
      </c>
      <c r="C177" s="307">
        <f>C178</f>
        <v>25368.782999999999</v>
      </c>
      <c r="D177" s="307">
        <f t="shared" ref="D177:J177" si="4">D178</f>
        <v>25714.294999999998</v>
      </c>
      <c r="E177" s="307">
        <f t="shared" si="4"/>
        <v>25366.094000000001</v>
      </c>
      <c r="F177" s="307">
        <f t="shared" si="4"/>
        <v>24273.90984</v>
      </c>
      <c r="G177" s="307">
        <f t="shared" si="4"/>
        <v>23298.866000000002</v>
      </c>
      <c r="H177" s="307">
        <f t="shared" si="4"/>
        <v>21601.91</v>
      </c>
      <c r="I177" s="307">
        <f t="shared" si="4"/>
        <v>14506.24</v>
      </c>
      <c r="J177" s="307">
        <f t="shared" si="4"/>
        <v>14991.880999999999</v>
      </c>
    </row>
    <row r="178" spans="2:10">
      <c r="B178" s="150" t="s">
        <v>352</v>
      </c>
      <c r="C178" s="307">
        <v>25368.782999999999</v>
      </c>
      <c r="D178" s="307">
        <v>25714.294999999998</v>
      </c>
      <c r="E178" s="307">
        <v>25366.094000000001</v>
      </c>
      <c r="F178" s="307">
        <v>24273.90984</v>
      </c>
      <c r="G178" s="307">
        <v>23298.866000000002</v>
      </c>
      <c r="H178" s="307">
        <v>21601.91</v>
      </c>
      <c r="I178" s="307">
        <v>14506.24</v>
      </c>
      <c r="J178" s="307">
        <v>14991.880999999999</v>
      </c>
    </row>
    <row r="179" spans="2:10">
      <c r="B179" s="150" t="s">
        <v>351</v>
      </c>
      <c r="C179" s="306">
        <v>0</v>
      </c>
      <c r="D179" s="306">
        <v>0</v>
      </c>
      <c r="E179" s="306">
        <v>0</v>
      </c>
      <c r="F179" s="306">
        <v>0</v>
      </c>
      <c r="G179" s="306">
        <v>0</v>
      </c>
      <c r="H179" s="306">
        <v>0</v>
      </c>
      <c r="I179" s="306">
        <v>0</v>
      </c>
      <c r="J179" s="306">
        <v>0</v>
      </c>
    </row>
    <row r="180" spans="2:10">
      <c r="B180" s="54" t="s">
        <v>350</v>
      </c>
      <c r="C180" s="306">
        <v>0</v>
      </c>
      <c r="D180" s="306">
        <v>0</v>
      </c>
      <c r="E180" s="306">
        <v>0</v>
      </c>
      <c r="F180" s="306">
        <v>0</v>
      </c>
      <c r="G180" s="306">
        <v>0</v>
      </c>
      <c r="H180" s="306">
        <v>0</v>
      </c>
      <c r="I180" s="306">
        <v>0</v>
      </c>
      <c r="J180" s="306">
        <v>0</v>
      </c>
    </row>
    <row r="181" spans="2:10">
      <c r="B181" s="54"/>
      <c r="C181" s="306"/>
      <c r="D181" s="306"/>
      <c r="E181" s="306"/>
      <c r="F181" s="306"/>
      <c r="G181" s="306"/>
      <c r="H181" s="306"/>
      <c r="I181" s="306"/>
      <c r="J181" s="306"/>
    </row>
    <row r="182" spans="2:10">
      <c r="B182" s="54" t="s">
        <v>365</v>
      </c>
      <c r="C182" s="306">
        <f>SUM(C168,C169,C170,C172,C174,C178,C175)</f>
        <v>191524.03400000001</v>
      </c>
      <c r="D182" s="307">
        <f t="shared" ref="D182:J182" si="5">SUM(D168,D169,D170,D172,D174,D178,D175)</f>
        <v>221860.49129000001</v>
      </c>
      <c r="E182" s="307">
        <f t="shared" si="5"/>
        <v>247599.76280151805</v>
      </c>
      <c r="F182" s="307">
        <f t="shared" si="5"/>
        <v>279605.39635268337</v>
      </c>
      <c r="G182" s="307">
        <f t="shared" si="5"/>
        <v>307492.79936250002</v>
      </c>
      <c r="H182" s="307">
        <f t="shared" si="5"/>
        <v>350033.53632999992</v>
      </c>
      <c r="I182" s="307">
        <f t="shared" si="5"/>
        <v>329159.35286000004</v>
      </c>
      <c r="J182" s="307">
        <f t="shared" si="5"/>
        <v>427886.08299999998</v>
      </c>
    </row>
    <row r="183" spans="2:10">
      <c r="B183" s="147" t="s">
        <v>348</v>
      </c>
      <c r="C183" s="306">
        <v>0</v>
      </c>
      <c r="D183" s="306">
        <v>0</v>
      </c>
      <c r="E183" s="306">
        <v>0</v>
      </c>
      <c r="F183" s="306">
        <v>0</v>
      </c>
      <c r="G183" s="306">
        <v>0</v>
      </c>
      <c r="H183" s="306">
        <v>0</v>
      </c>
      <c r="I183" s="306">
        <v>0</v>
      </c>
      <c r="J183" s="306">
        <v>0</v>
      </c>
    </row>
    <row r="184" spans="2:10">
      <c r="B184" s="147"/>
      <c r="C184" s="317"/>
      <c r="D184" s="317"/>
      <c r="E184" s="317"/>
      <c r="F184" s="317"/>
      <c r="G184" s="317"/>
      <c r="H184" s="317"/>
      <c r="I184" s="317"/>
      <c r="J184" s="317"/>
    </row>
    <row r="185" spans="2:10">
      <c r="B185" s="54" t="s">
        <v>347</v>
      </c>
      <c r="C185" s="306">
        <v>0</v>
      </c>
      <c r="D185" s="306">
        <v>0</v>
      </c>
      <c r="E185" s="306">
        <v>0</v>
      </c>
      <c r="F185" s="306">
        <v>0</v>
      </c>
      <c r="G185" s="306">
        <v>0</v>
      </c>
      <c r="H185" s="306">
        <v>0</v>
      </c>
      <c r="I185" s="306">
        <v>0</v>
      </c>
      <c r="J185" s="306">
        <v>0</v>
      </c>
    </row>
    <row r="186" spans="2:10">
      <c r="B186" s="54"/>
      <c r="C186" s="317"/>
      <c r="D186" s="317"/>
      <c r="E186" s="317"/>
      <c r="F186" s="317"/>
      <c r="G186" s="317"/>
      <c r="H186" s="317"/>
      <c r="I186" s="317"/>
      <c r="J186" s="317"/>
    </row>
    <row r="187" spans="2:10">
      <c r="B187" s="114" t="s">
        <v>346</v>
      </c>
      <c r="C187" s="306"/>
      <c r="D187" s="306"/>
      <c r="E187" s="306"/>
      <c r="F187" s="306"/>
      <c r="G187" s="306"/>
      <c r="H187" s="306"/>
      <c r="I187" s="306"/>
      <c r="J187" s="306"/>
    </row>
    <row r="188" spans="2:10">
      <c r="B188" s="54" t="s">
        <v>342</v>
      </c>
      <c r="C188" s="306"/>
      <c r="D188" s="306"/>
      <c r="E188" s="306"/>
      <c r="F188" s="306"/>
      <c r="G188" s="306"/>
      <c r="H188" s="306"/>
      <c r="I188" s="306"/>
      <c r="J188" s="306"/>
    </row>
    <row r="189" spans="2:10">
      <c r="B189" s="147" t="s">
        <v>341</v>
      </c>
      <c r="C189" s="307">
        <v>75920.13470416666</v>
      </c>
      <c r="D189" s="307">
        <v>86805.664418</v>
      </c>
      <c r="E189" s="307">
        <v>96624.408190400005</v>
      </c>
      <c r="F189" s="307">
        <v>105134.00371666667</v>
      </c>
      <c r="G189" s="307">
        <v>111914.608515</v>
      </c>
      <c r="H189" s="307">
        <v>116544.5408</v>
      </c>
      <c r="I189" s="307">
        <v>100441.189</v>
      </c>
      <c r="J189" s="307">
        <v>107780.19751</v>
      </c>
    </row>
    <row r="190" spans="2:10">
      <c r="B190" s="147" t="s">
        <v>340</v>
      </c>
      <c r="C190" s="306">
        <v>0</v>
      </c>
      <c r="D190" s="307">
        <v>0</v>
      </c>
      <c r="E190" s="307">
        <v>0</v>
      </c>
      <c r="F190" s="307">
        <v>0</v>
      </c>
      <c r="G190" s="307">
        <v>5780.9430000000002</v>
      </c>
      <c r="H190" s="307">
        <v>7386.5969999999998</v>
      </c>
      <c r="I190" s="307">
        <v>6697.5659999999998</v>
      </c>
      <c r="J190" s="307">
        <v>8378.9380000000001</v>
      </c>
    </row>
    <row r="191" spans="2:10">
      <c r="B191" s="54" t="s">
        <v>339</v>
      </c>
      <c r="C191" s="307">
        <v>113215.94200000001</v>
      </c>
      <c r="D191" s="307">
        <v>143755.01629</v>
      </c>
      <c r="E191" s="307">
        <v>167966.37480151805</v>
      </c>
      <c r="F191" s="307">
        <v>195923.72216268332</v>
      </c>
      <c r="G191" s="307">
        <v>215864.5133625</v>
      </c>
      <c r="H191" s="307">
        <v>243306.06319999998</v>
      </c>
      <c r="I191" s="307">
        <v>214112.3315</v>
      </c>
      <c r="J191" s="307">
        <v>288639.31099999999</v>
      </c>
    </row>
    <row r="192" spans="2:10">
      <c r="B192" s="54" t="s">
        <v>338</v>
      </c>
      <c r="C192" s="306"/>
      <c r="D192" s="307"/>
      <c r="E192" s="307"/>
      <c r="F192" s="307"/>
      <c r="G192" s="307"/>
      <c r="H192" s="307"/>
      <c r="I192" s="307"/>
      <c r="J192" s="307"/>
    </row>
    <row r="193" spans="2:10">
      <c r="B193" s="147" t="s">
        <v>337</v>
      </c>
      <c r="C193" s="306">
        <v>0</v>
      </c>
      <c r="D193" s="307">
        <v>0</v>
      </c>
      <c r="E193" s="307">
        <v>0</v>
      </c>
      <c r="F193" s="307">
        <v>0</v>
      </c>
      <c r="G193" s="307">
        <v>0</v>
      </c>
      <c r="H193" s="307">
        <v>0</v>
      </c>
      <c r="I193" s="307">
        <v>0</v>
      </c>
      <c r="J193" s="307">
        <v>0</v>
      </c>
    </row>
    <row r="194" spans="2:10">
      <c r="B194" s="147" t="s">
        <v>668</v>
      </c>
      <c r="C194" s="307">
        <v>756.06700000000001</v>
      </c>
      <c r="D194" s="307">
        <v>374.85199999999998</v>
      </c>
      <c r="E194" s="307">
        <v>348.27499999999998</v>
      </c>
      <c r="F194" s="307">
        <v>212.04900000000001</v>
      </c>
      <c r="G194" s="307">
        <v>159.72665000000001</v>
      </c>
      <c r="H194" s="307">
        <v>151.43299999999999</v>
      </c>
      <c r="I194" s="307">
        <v>87.891999999999996</v>
      </c>
      <c r="J194" s="307">
        <v>115.965</v>
      </c>
    </row>
    <row r="195" spans="2:10">
      <c r="B195" s="147" t="s">
        <v>335</v>
      </c>
      <c r="C195" s="306">
        <v>0</v>
      </c>
      <c r="D195" s="307">
        <v>0</v>
      </c>
      <c r="E195" s="307">
        <v>0</v>
      </c>
      <c r="F195" s="307">
        <v>0</v>
      </c>
      <c r="G195" s="307">
        <v>0</v>
      </c>
      <c r="H195" s="307">
        <v>0</v>
      </c>
      <c r="I195" s="307">
        <v>0</v>
      </c>
      <c r="J195" s="307">
        <v>0</v>
      </c>
    </row>
    <row r="196" spans="2:10">
      <c r="B196" s="147"/>
      <c r="C196" s="306"/>
      <c r="D196" s="318"/>
      <c r="E196" s="318"/>
      <c r="F196" s="318"/>
      <c r="G196" s="318"/>
      <c r="H196" s="318"/>
      <c r="I196" s="318"/>
      <c r="J196" s="318"/>
    </row>
    <row r="197" spans="2:10" ht="26">
      <c r="B197" s="148" t="s">
        <v>345</v>
      </c>
      <c r="C197" s="306"/>
      <c r="D197" s="318"/>
      <c r="E197" s="318"/>
      <c r="F197" s="318"/>
      <c r="G197" s="318"/>
      <c r="H197" s="318"/>
      <c r="I197" s="318"/>
      <c r="J197" s="318"/>
    </row>
    <row r="198" spans="2:10">
      <c r="B198" s="54" t="s">
        <v>342</v>
      </c>
      <c r="C198" s="306">
        <v>0</v>
      </c>
      <c r="D198" s="306">
        <v>0</v>
      </c>
      <c r="E198" s="306">
        <v>0</v>
      </c>
      <c r="F198" s="306">
        <v>0</v>
      </c>
      <c r="G198" s="306">
        <v>0</v>
      </c>
      <c r="H198" s="306">
        <v>0</v>
      </c>
      <c r="I198" s="306">
        <v>0</v>
      </c>
      <c r="J198" s="306">
        <v>0</v>
      </c>
    </row>
    <row r="199" spans="2:10">
      <c r="B199" s="147" t="s">
        <v>341</v>
      </c>
      <c r="C199" s="306">
        <v>0</v>
      </c>
      <c r="D199" s="306">
        <v>0</v>
      </c>
      <c r="E199" s="306">
        <v>0</v>
      </c>
      <c r="F199" s="306">
        <v>0</v>
      </c>
      <c r="G199" s="306">
        <v>0</v>
      </c>
      <c r="H199" s="306">
        <v>0</v>
      </c>
      <c r="I199" s="306">
        <v>0</v>
      </c>
      <c r="J199" s="306">
        <v>0</v>
      </c>
    </row>
    <row r="200" spans="2:10">
      <c r="B200" s="147" t="s">
        <v>340</v>
      </c>
      <c r="C200" s="306">
        <v>0</v>
      </c>
      <c r="D200" s="306">
        <v>0</v>
      </c>
      <c r="E200" s="306">
        <v>0</v>
      </c>
      <c r="F200" s="306">
        <v>0</v>
      </c>
      <c r="G200" s="306">
        <v>0</v>
      </c>
      <c r="H200" s="306">
        <v>0</v>
      </c>
      <c r="I200" s="306">
        <v>0</v>
      </c>
      <c r="J200" s="306">
        <v>0</v>
      </c>
    </row>
    <row r="201" spans="2:10">
      <c r="B201" s="54" t="s">
        <v>339</v>
      </c>
      <c r="C201" s="307">
        <v>104656.91500000001</v>
      </c>
      <c r="D201" s="307">
        <v>126127.01598</v>
      </c>
      <c r="E201" s="307">
        <v>142089.94730606666</v>
      </c>
      <c r="F201" s="307">
        <v>163832.45857292123</v>
      </c>
      <c r="G201" s="307">
        <v>171252.765128</v>
      </c>
      <c r="H201" s="307">
        <v>188927.54308888887</v>
      </c>
      <c r="I201" s="307">
        <v>165525.97</v>
      </c>
      <c r="J201" s="307">
        <v>219990.83499999999</v>
      </c>
    </row>
    <row r="202" spans="2:10">
      <c r="B202" s="54" t="s">
        <v>338</v>
      </c>
      <c r="C202" s="306">
        <v>0</v>
      </c>
      <c r="D202" s="306">
        <v>0</v>
      </c>
      <c r="E202" s="306">
        <v>0</v>
      </c>
      <c r="F202" s="306">
        <v>0</v>
      </c>
      <c r="G202" s="306">
        <v>0</v>
      </c>
      <c r="H202" s="306">
        <v>0</v>
      </c>
      <c r="I202" s="306">
        <v>0</v>
      </c>
      <c r="J202" s="306">
        <v>0</v>
      </c>
    </row>
    <row r="203" spans="2:10">
      <c r="B203" s="147" t="s">
        <v>337</v>
      </c>
      <c r="C203" s="306">
        <v>0</v>
      </c>
      <c r="D203" s="306">
        <v>0</v>
      </c>
      <c r="E203" s="306">
        <v>0</v>
      </c>
      <c r="F203" s="306">
        <v>0</v>
      </c>
      <c r="G203" s="306">
        <v>0</v>
      </c>
      <c r="H203" s="306">
        <v>0</v>
      </c>
      <c r="I203" s="306">
        <v>0</v>
      </c>
      <c r="J203" s="306">
        <v>0</v>
      </c>
    </row>
    <row r="204" spans="2:10">
      <c r="B204" s="147" t="s">
        <v>336</v>
      </c>
      <c r="C204" s="306">
        <v>0</v>
      </c>
      <c r="D204" s="306">
        <v>0</v>
      </c>
      <c r="E204" s="306">
        <v>0</v>
      </c>
      <c r="F204" s="306">
        <v>0</v>
      </c>
      <c r="G204" s="306">
        <v>0</v>
      </c>
      <c r="H204" s="306">
        <v>0</v>
      </c>
      <c r="I204" s="306">
        <v>0</v>
      </c>
      <c r="J204" s="306">
        <v>0</v>
      </c>
    </row>
    <row r="205" spans="2:10">
      <c r="B205" s="147" t="s">
        <v>335</v>
      </c>
      <c r="C205" s="306">
        <v>0</v>
      </c>
      <c r="D205" s="306">
        <v>0</v>
      </c>
      <c r="E205" s="306">
        <v>0</v>
      </c>
      <c r="F205" s="306">
        <v>0</v>
      </c>
      <c r="G205" s="306">
        <v>0</v>
      </c>
      <c r="H205" s="306">
        <v>0</v>
      </c>
      <c r="I205" s="306">
        <v>0</v>
      </c>
      <c r="J205" s="306">
        <v>0</v>
      </c>
    </row>
    <row r="206" spans="2:10">
      <c r="B206" s="147"/>
      <c r="C206" s="306"/>
      <c r="D206" s="306"/>
      <c r="E206" s="306"/>
      <c r="F206" s="306"/>
      <c r="G206" s="306"/>
      <c r="H206" s="306"/>
      <c r="I206" s="306"/>
      <c r="J206" s="306"/>
    </row>
    <row r="207" spans="2:10" ht="26">
      <c r="B207" s="148" t="s">
        <v>344</v>
      </c>
      <c r="C207" s="306"/>
      <c r="D207" s="306"/>
      <c r="E207" s="306"/>
      <c r="F207" s="306"/>
      <c r="G207" s="306"/>
      <c r="H207" s="306"/>
      <c r="I207" s="306"/>
      <c r="J207" s="306"/>
    </row>
    <row r="208" spans="2:10">
      <c r="B208" s="54" t="s">
        <v>342</v>
      </c>
      <c r="C208" s="306">
        <v>0</v>
      </c>
      <c r="D208" s="306">
        <v>0</v>
      </c>
      <c r="E208" s="306">
        <v>0</v>
      </c>
      <c r="F208" s="306">
        <v>0</v>
      </c>
      <c r="G208" s="306">
        <v>0</v>
      </c>
      <c r="H208" s="306">
        <v>0</v>
      </c>
      <c r="I208" s="306">
        <v>0</v>
      </c>
      <c r="J208" s="306">
        <v>0</v>
      </c>
    </row>
    <row r="209" spans="2:10">
      <c r="B209" s="147" t="s">
        <v>341</v>
      </c>
      <c r="C209" s="306">
        <v>0</v>
      </c>
      <c r="D209" s="306">
        <v>0</v>
      </c>
      <c r="E209" s="306">
        <v>0</v>
      </c>
      <c r="F209" s="306">
        <v>0</v>
      </c>
      <c r="G209" s="306">
        <v>0</v>
      </c>
      <c r="H209" s="306">
        <v>0</v>
      </c>
      <c r="I209" s="306">
        <v>0</v>
      </c>
      <c r="J209" s="306">
        <v>0</v>
      </c>
    </row>
    <row r="210" spans="2:10">
      <c r="B210" s="147" t="s">
        <v>340</v>
      </c>
      <c r="C210" s="306">
        <v>0</v>
      </c>
      <c r="D210" s="306">
        <v>0</v>
      </c>
      <c r="E210" s="306">
        <v>0</v>
      </c>
      <c r="F210" s="306">
        <v>0</v>
      </c>
      <c r="G210" s="306">
        <v>0</v>
      </c>
      <c r="H210" s="306">
        <v>0</v>
      </c>
      <c r="I210" s="306">
        <v>0</v>
      </c>
      <c r="J210" s="306">
        <v>0</v>
      </c>
    </row>
    <row r="211" spans="2:10">
      <c r="B211" s="54" t="s">
        <v>339</v>
      </c>
      <c r="C211" s="306">
        <v>0</v>
      </c>
      <c r="D211" s="307">
        <v>6351.6729999999998</v>
      </c>
      <c r="E211" s="307">
        <v>9530.3089999999993</v>
      </c>
      <c r="F211" s="307">
        <v>10416.762000000001</v>
      </c>
      <c r="G211" s="307">
        <v>11470.003000000001</v>
      </c>
      <c r="H211" s="307">
        <v>12861.495000000001</v>
      </c>
      <c r="I211" s="307">
        <v>7869.9809999999998</v>
      </c>
      <c r="J211" s="307">
        <v>15970.784</v>
      </c>
    </row>
    <row r="212" spans="2:10">
      <c r="B212" s="54" t="s">
        <v>338</v>
      </c>
      <c r="C212" s="306">
        <v>0</v>
      </c>
      <c r="D212" s="306">
        <v>0</v>
      </c>
      <c r="E212" s="306">
        <v>0</v>
      </c>
      <c r="F212" s="306">
        <v>0</v>
      </c>
      <c r="G212" s="306">
        <v>0</v>
      </c>
      <c r="H212" s="306">
        <v>0</v>
      </c>
      <c r="I212" s="306">
        <v>0</v>
      </c>
      <c r="J212" s="306">
        <v>0</v>
      </c>
    </row>
    <row r="213" spans="2:10">
      <c r="B213" s="147" t="s">
        <v>337</v>
      </c>
      <c r="C213" s="306">
        <v>0</v>
      </c>
      <c r="D213" s="306">
        <v>0</v>
      </c>
      <c r="E213" s="306">
        <v>0</v>
      </c>
      <c r="F213" s="306">
        <v>0</v>
      </c>
      <c r="G213" s="306">
        <v>0</v>
      </c>
      <c r="H213" s="306">
        <v>0</v>
      </c>
      <c r="I213" s="306">
        <v>0</v>
      </c>
      <c r="J213" s="306">
        <v>0</v>
      </c>
    </row>
    <row r="214" spans="2:10">
      <c r="B214" s="147" t="s">
        <v>336</v>
      </c>
      <c r="C214" s="306">
        <v>0</v>
      </c>
      <c r="D214" s="306">
        <v>0</v>
      </c>
      <c r="E214" s="306">
        <v>0</v>
      </c>
      <c r="F214" s="306">
        <v>0</v>
      </c>
      <c r="G214" s="306">
        <v>0</v>
      </c>
      <c r="H214" s="306">
        <v>0</v>
      </c>
      <c r="I214" s="306">
        <v>0</v>
      </c>
      <c r="J214" s="306">
        <v>0</v>
      </c>
    </row>
    <row r="215" spans="2:10">
      <c r="B215" s="147" t="s">
        <v>335</v>
      </c>
      <c r="C215" s="306">
        <v>0</v>
      </c>
      <c r="D215" s="306">
        <v>0</v>
      </c>
      <c r="E215" s="306">
        <v>0</v>
      </c>
      <c r="F215" s="306">
        <v>0</v>
      </c>
      <c r="G215" s="306">
        <v>0</v>
      </c>
      <c r="H215" s="306">
        <v>0</v>
      </c>
      <c r="I215" s="306">
        <v>0</v>
      </c>
      <c r="J215" s="306">
        <v>0</v>
      </c>
    </row>
    <row r="216" spans="2:10">
      <c r="B216" s="147"/>
      <c r="C216" s="306"/>
      <c r="D216" s="318"/>
      <c r="E216" s="318"/>
      <c r="F216" s="318"/>
      <c r="G216" s="318"/>
      <c r="H216" s="318"/>
      <c r="I216" s="318"/>
      <c r="J216" s="318"/>
    </row>
    <row r="217" spans="2:10" ht="26">
      <c r="B217" s="148" t="s">
        <v>343</v>
      </c>
      <c r="C217" s="306"/>
      <c r="D217" s="318"/>
      <c r="E217" s="318"/>
      <c r="F217" s="318"/>
      <c r="G217" s="318"/>
      <c r="H217" s="318"/>
      <c r="I217" s="318"/>
      <c r="J217" s="318"/>
    </row>
    <row r="218" spans="2:10">
      <c r="B218" s="54" t="s">
        <v>342</v>
      </c>
      <c r="C218" s="306">
        <v>0</v>
      </c>
      <c r="D218" s="306">
        <v>0</v>
      </c>
      <c r="E218" s="306">
        <v>0</v>
      </c>
      <c r="F218" s="306">
        <v>0</v>
      </c>
      <c r="G218" s="306">
        <v>0</v>
      </c>
      <c r="H218" s="306">
        <v>0</v>
      </c>
      <c r="I218" s="306">
        <v>0</v>
      </c>
      <c r="J218" s="306">
        <v>0</v>
      </c>
    </row>
    <row r="219" spans="2:10">
      <c r="B219" s="147" t="s">
        <v>341</v>
      </c>
      <c r="C219" s="306">
        <v>0</v>
      </c>
      <c r="D219" s="306">
        <v>0</v>
      </c>
      <c r="E219" s="306">
        <v>0</v>
      </c>
      <c r="F219" s="306">
        <v>0</v>
      </c>
      <c r="G219" s="306">
        <v>0</v>
      </c>
      <c r="H219" s="306">
        <v>0</v>
      </c>
      <c r="I219" s="306">
        <v>0</v>
      </c>
      <c r="J219" s="306">
        <v>0</v>
      </c>
    </row>
    <row r="220" spans="2:10">
      <c r="B220" s="147" t="s">
        <v>340</v>
      </c>
      <c r="C220" s="306">
        <v>0</v>
      </c>
      <c r="D220" s="306">
        <v>0</v>
      </c>
      <c r="E220" s="306">
        <v>0</v>
      </c>
      <c r="F220" s="306">
        <v>0</v>
      </c>
      <c r="G220" s="306">
        <v>0</v>
      </c>
      <c r="H220" s="306">
        <v>0</v>
      </c>
      <c r="I220" s="306">
        <v>0</v>
      </c>
      <c r="J220" s="306">
        <v>0</v>
      </c>
    </row>
    <row r="221" spans="2:10">
      <c r="B221" s="54" t="s">
        <v>339</v>
      </c>
      <c r="C221" s="307">
        <v>8559.027</v>
      </c>
      <c r="D221" s="307">
        <v>11276.327310000001</v>
      </c>
      <c r="E221" s="307">
        <v>16346.118495451388</v>
      </c>
      <c r="F221" s="307">
        <v>21674.501589762112</v>
      </c>
      <c r="G221" s="307">
        <v>33141.745234499998</v>
      </c>
      <c r="H221" s="307">
        <v>41517.025111111114</v>
      </c>
      <c r="I221" s="307">
        <v>40716.380500000007</v>
      </c>
      <c r="J221" s="307">
        <v>52677.691999999995</v>
      </c>
    </row>
    <row r="222" spans="2:10">
      <c r="B222" s="54" t="s">
        <v>338</v>
      </c>
      <c r="C222" s="306">
        <v>0</v>
      </c>
      <c r="D222" s="306">
        <v>0</v>
      </c>
      <c r="E222" s="306">
        <v>0</v>
      </c>
      <c r="F222" s="306">
        <v>0</v>
      </c>
      <c r="G222" s="306">
        <v>0</v>
      </c>
      <c r="H222" s="306">
        <v>0</v>
      </c>
      <c r="I222" s="306">
        <v>0</v>
      </c>
      <c r="J222" s="306">
        <v>0</v>
      </c>
    </row>
    <row r="223" spans="2:10">
      <c r="B223" s="147" t="s">
        <v>337</v>
      </c>
      <c r="C223" s="306">
        <v>0</v>
      </c>
      <c r="D223" s="306">
        <v>0</v>
      </c>
      <c r="E223" s="306">
        <v>0</v>
      </c>
      <c r="F223" s="306">
        <v>0</v>
      </c>
      <c r="G223" s="306">
        <v>0</v>
      </c>
      <c r="H223" s="306">
        <v>0</v>
      </c>
      <c r="I223" s="306">
        <v>0</v>
      </c>
      <c r="J223" s="306">
        <v>0</v>
      </c>
    </row>
    <row r="224" spans="2:10">
      <c r="B224" s="147" t="s">
        <v>336</v>
      </c>
      <c r="C224" s="306">
        <v>0</v>
      </c>
      <c r="D224" s="306">
        <v>0</v>
      </c>
      <c r="E224" s="306">
        <v>0</v>
      </c>
      <c r="F224" s="306">
        <v>0</v>
      </c>
      <c r="G224" s="306">
        <v>0</v>
      </c>
      <c r="H224" s="306">
        <v>0</v>
      </c>
      <c r="I224" s="306">
        <v>0</v>
      </c>
      <c r="J224" s="306">
        <v>0</v>
      </c>
    </row>
    <row r="225" spans="2:10" ht="15" thickBot="1">
      <c r="B225" s="146" t="s">
        <v>335</v>
      </c>
      <c r="C225" s="306">
        <v>0</v>
      </c>
      <c r="D225" s="306">
        <v>0</v>
      </c>
      <c r="E225" s="306">
        <v>0</v>
      </c>
      <c r="F225" s="306">
        <v>0</v>
      </c>
      <c r="G225" s="306">
        <v>0</v>
      </c>
      <c r="H225" s="306">
        <v>0</v>
      </c>
      <c r="I225" s="306">
        <v>0</v>
      </c>
      <c r="J225" s="306">
        <v>0</v>
      </c>
    </row>
    <row r="226" spans="2:10" ht="15" thickTop="1">
      <c r="B226" s="2025" t="s">
        <v>656</v>
      </c>
      <c r="C226" s="2025"/>
      <c r="D226" s="2025"/>
      <c r="E226" s="2025"/>
      <c r="F226" s="2025"/>
      <c r="G226" s="2025"/>
      <c r="H226" s="2025"/>
      <c r="I226" s="2025"/>
      <c r="J226" s="2025"/>
    </row>
    <row r="227" spans="2:10">
      <c r="B227" s="2017"/>
      <c r="C227" s="2017"/>
      <c r="D227" s="2017"/>
      <c r="E227" s="2017"/>
      <c r="F227" s="2017"/>
      <c r="G227" s="2017"/>
      <c r="H227" s="2017"/>
      <c r="I227" s="2017"/>
      <c r="J227" s="2017"/>
    </row>
    <row r="228" spans="2:10">
      <c r="B228" s="64"/>
      <c r="C228" s="302"/>
      <c r="D228" s="302"/>
      <c r="E228" s="302"/>
      <c r="F228" s="302"/>
      <c r="G228" s="302"/>
      <c r="H228" s="302"/>
      <c r="I228" s="302"/>
      <c r="J228" s="302"/>
    </row>
    <row r="229" spans="2:10">
      <c r="B229" s="2100" t="s">
        <v>364</v>
      </c>
      <c r="C229" s="2100"/>
      <c r="D229" s="2100"/>
      <c r="E229" s="2100"/>
      <c r="F229" s="2100"/>
      <c r="G229" s="2100"/>
      <c r="H229" s="2100"/>
      <c r="I229" s="2100"/>
      <c r="J229" s="2100"/>
    </row>
    <row r="230" spans="2:10">
      <c r="B230" s="12" t="s">
        <v>363</v>
      </c>
      <c r="C230" s="302"/>
      <c r="D230" s="302"/>
      <c r="E230" s="302"/>
      <c r="F230" s="302"/>
      <c r="G230" s="302"/>
      <c r="H230" s="302"/>
      <c r="I230" s="302"/>
      <c r="J230" s="302"/>
    </row>
    <row r="231" spans="2:10">
      <c r="B231" s="62" t="s">
        <v>311</v>
      </c>
      <c r="C231" s="302"/>
      <c r="D231" s="302"/>
      <c r="E231" s="302"/>
      <c r="F231" s="302"/>
      <c r="G231" s="302"/>
      <c r="H231" s="302"/>
      <c r="I231" s="302"/>
      <c r="J231" s="302"/>
    </row>
    <row r="232" spans="2:10">
      <c r="B232" s="64"/>
      <c r="C232" s="302"/>
      <c r="D232" s="302"/>
      <c r="E232" s="302"/>
      <c r="F232" s="302"/>
      <c r="G232" s="302"/>
      <c r="H232" s="302"/>
      <c r="I232" s="302"/>
      <c r="J232" s="302"/>
    </row>
    <row r="233" spans="2:10">
      <c r="B233" s="61"/>
      <c r="C233" s="303">
        <v>2014</v>
      </c>
      <c r="D233" s="303">
        <v>2015</v>
      </c>
      <c r="E233" s="303">
        <v>2016</v>
      </c>
      <c r="F233" s="303">
        <v>2017</v>
      </c>
      <c r="G233" s="303">
        <v>2018</v>
      </c>
      <c r="H233" s="303">
        <v>2019</v>
      </c>
      <c r="I233" s="303">
        <v>2020</v>
      </c>
      <c r="J233" s="303">
        <v>2021</v>
      </c>
    </row>
    <row r="234" spans="2:10">
      <c r="B234" s="114" t="s">
        <v>362</v>
      </c>
      <c r="C234" s="302"/>
      <c r="D234" s="302"/>
      <c r="E234" s="302"/>
      <c r="F234" s="302"/>
      <c r="G234" s="302"/>
      <c r="H234" s="302"/>
      <c r="I234" s="302"/>
      <c r="J234" s="302"/>
    </row>
    <row r="235" spans="2:10">
      <c r="B235" s="54" t="s">
        <v>361</v>
      </c>
      <c r="C235" s="307">
        <f>C236+C237</f>
        <v>75789.66415286652</v>
      </c>
      <c r="D235" s="307">
        <f t="shared" ref="D235:F235" si="6">D236+D237</f>
        <v>75574.428609889874</v>
      </c>
      <c r="E235" s="307">
        <f t="shared" si="6"/>
        <v>84522.324162836754</v>
      </c>
      <c r="F235" s="307">
        <f t="shared" si="6"/>
        <v>89092.187072209083</v>
      </c>
      <c r="G235" s="307">
        <f>IF(ISNUMBER(G236),G236,0)+G237</f>
        <v>73143.472356404323</v>
      </c>
      <c r="H235" s="307">
        <f t="shared" ref="H235:J235" si="7">IF(ISNUMBER(H236),H236,0)+H237</f>
        <v>80474.972777621791</v>
      </c>
      <c r="I235" s="307">
        <f t="shared" si="7"/>
        <v>82484.293426328295</v>
      </c>
      <c r="J235" s="307">
        <f t="shared" si="7"/>
        <v>102599.94736764826</v>
      </c>
    </row>
    <row r="236" spans="2:10">
      <c r="B236" s="151" t="s">
        <v>360</v>
      </c>
      <c r="C236" s="307">
        <v>8296.5218613346606</v>
      </c>
      <c r="D236" s="307">
        <v>8475.3997429345764</v>
      </c>
      <c r="E236" s="307">
        <v>10099.946298767003</v>
      </c>
      <c r="F236" s="307">
        <v>12290.0410416918</v>
      </c>
      <c r="G236" s="306">
        <v>0</v>
      </c>
      <c r="H236" s="306">
        <v>0</v>
      </c>
      <c r="I236" s="306">
        <v>0</v>
      </c>
      <c r="J236" s="306">
        <v>0</v>
      </c>
    </row>
    <row r="237" spans="2:10">
      <c r="B237" s="151" t="s">
        <v>359</v>
      </c>
      <c r="C237" s="307">
        <v>67493.142291531854</v>
      </c>
      <c r="D237" s="307">
        <v>67099.028866955297</v>
      </c>
      <c r="E237" s="307">
        <v>74422.377864069756</v>
      </c>
      <c r="F237" s="307">
        <v>76802.14603051728</v>
      </c>
      <c r="G237" s="307">
        <v>73143.472356404323</v>
      </c>
      <c r="H237" s="307">
        <v>80474.972777621791</v>
      </c>
      <c r="I237" s="307">
        <v>82484.293426328295</v>
      </c>
      <c r="J237" s="307">
        <v>102599.94736764826</v>
      </c>
    </row>
    <row r="238" spans="2:10">
      <c r="B238" s="152" t="s">
        <v>358</v>
      </c>
      <c r="C238" s="316">
        <v>8772.0556877409417</v>
      </c>
      <c r="D238" s="316">
        <v>8485.9251730672586</v>
      </c>
      <c r="E238" s="316">
        <v>4772.5129471087494</v>
      </c>
      <c r="F238" s="316">
        <v>3425.2480481749576</v>
      </c>
      <c r="G238" s="316">
        <v>4339.7087160169276</v>
      </c>
      <c r="H238" s="316">
        <v>4558.5476894947424</v>
      </c>
      <c r="I238" s="316">
        <v>4856.2923773792736</v>
      </c>
      <c r="J238" s="307">
        <v>7050.9121559807554</v>
      </c>
    </row>
    <row r="239" spans="2:10">
      <c r="B239" s="71" t="s">
        <v>357</v>
      </c>
      <c r="C239" s="260">
        <f>C240+C242+C243</f>
        <v>5927.5183493825434</v>
      </c>
      <c r="D239" s="260">
        <f t="shared" ref="D239:J239" si="8">D240+D242+D243</f>
        <v>6826.1119004170687</v>
      </c>
      <c r="E239" s="260">
        <f t="shared" si="8"/>
        <v>7456.0100405709809</v>
      </c>
      <c r="F239" s="260">
        <f t="shared" si="8"/>
        <v>8376.6356760078488</v>
      </c>
      <c r="G239" s="260">
        <f t="shared" si="8"/>
        <v>8777.9315802860438</v>
      </c>
      <c r="H239" s="260">
        <f t="shared" si="8"/>
        <v>9365.3272289164506</v>
      </c>
      <c r="I239" s="260">
        <f t="shared" si="8"/>
        <v>8077.9346685441205</v>
      </c>
      <c r="J239" s="260">
        <f t="shared" si="8"/>
        <v>11224.533156572665</v>
      </c>
    </row>
    <row r="240" spans="2:10">
      <c r="B240" s="151" t="s">
        <v>356</v>
      </c>
      <c r="C240" s="307">
        <v>1030.066621148615</v>
      </c>
      <c r="D240" s="307">
        <v>1299.2609332883283</v>
      </c>
      <c r="E240" s="316">
        <v>1379.9229715472384</v>
      </c>
      <c r="F240" s="307">
        <v>1619.9127751897438</v>
      </c>
      <c r="G240" s="316">
        <v>1922.9029697747567</v>
      </c>
      <c r="H240" s="307">
        <v>2216.5319938900338</v>
      </c>
      <c r="I240" s="307">
        <v>2332.8060592050911</v>
      </c>
      <c r="J240" s="307">
        <v>3388.7522378727349</v>
      </c>
    </row>
    <row r="241" spans="2:10">
      <c r="B241" s="151" t="s">
        <v>355</v>
      </c>
      <c r="C241" s="307">
        <v>0</v>
      </c>
      <c r="D241" s="307">
        <v>0</v>
      </c>
      <c r="E241" s="307">
        <v>0</v>
      </c>
      <c r="F241" s="307">
        <v>0</v>
      </c>
      <c r="G241" s="307">
        <v>0</v>
      </c>
      <c r="H241" s="307">
        <v>0</v>
      </c>
      <c r="I241" s="307">
        <v>0</v>
      </c>
      <c r="J241" s="307">
        <v>0</v>
      </c>
    </row>
    <row r="242" spans="2:10">
      <c r="B242" s="151" t="s">
        <v>354</v>
      </c>
      <c r="C242" s="307">
        <v>4856.2242589896778</v>
      </c>
      <c r="D242" s="307">
        <v>5512.55145792231</v>
      </c>
      <c r="E242" s="307">
        <v>6061.6960903284771</v>
      </c>
      <c r="F242" s="307">
        <v>6748.4408809184197</v>
      </c>
      <c r="G242" s="307">
        <v>6848.008746990211</v>
      </c>
      <c r="H242" s="316">
        <v>7142.6794114873501</v>
      </c>
      <c r="I242" s="316">
        <v>5740.7593403871006</v>
      </c>
      <c r="J242" s="307">
        <v>7829.7025495396711</v>
      </c>
    </row>
    <row r="243" spans="2:10">
      <c r="B243" s="151" t="s">
        <v>667</v>
      </c>
      <c r="C243" s="307">
        <v>41.227469244250983</v>
      </c>
      <c r="D243" s="307">
        <v>14.299509206429786</v>
      </c>
      <c r="E243" s="307">
        <v>14.390978695265494</v>
      </c>
      <c r="F243" s="307">
        <v>8.2820198996843093</v>
      </c>
      <c r="G243" s="307">
        <v>7.0198635210759042</v>
      </c>
      <c r="H243" s="316">
        <v>6.11582353906614</v>
      </c>
      <c r="I243" s="316">
        <v>4.369268951929123</v>
      </c>
      <c r="J243" s="307">
        <v>6.0783691602594025</v>
      </c>
    </row>
    <row r="244" spans="2:10">
      <c r="B244" s="71" t="s">
        <v>338</v>
      </c>
      <c r="C244" s="306"/>
      <c r="D244" s="306"/>
      <c r="E244" s="306"/>
      <c r="F244" s="306"/>
      <c r="G244" s="306"/>
      <c r="H244" s="306"/>
      <c r="I244" s="306"/>
      <c r="J244" s="306"/>
    </row>
    <row r="245" spans="2:10">
      <c r="B245" s="71" t="s">
        <v>353</v>
      </c>
      <c r="C245" s="306"/>
      <c r="D245" s="306"/>
      <c r="E245" s="306"/>
      <c r="F245" s="306"/>
      <c r="G245" s="306"/>
      <c r="H245" s="306"/>
      <c r="I245" s="306"/>
      <c r="J245" s="306"/>
    </row>
    <row r="246" spans="2:10" ht="15">
      <c r="B246" s="150" t="s">
        <v>669</v>
      </c>
      <c r="C246" s="307">
        <v>34704.590182211519</v>
      </c>
      <c r="D246" s="307">
        <v>34456.284543595619</v>
      </c>
      <c r="E246" s="307">
        <v>33720.731569042757</v>
      </c>
      <c r="F246" s="307">
        <v>32869.942485292253</v>
      </c>
      <c r="G246" s="307">
        <v>32722.566532542998</v>
      </c>
      <c r="H246" s="307">
        <v>30311.481966821655</v>
      </c>
      <c r="I246" s="307">
        <v>20305.992709509446</v>
      </c>
      <c r="J246" s="307">
        <v>22666.318237912794</v>
      </c>
    </row>
    <row r="247" spans="2:10" ht="15">
      <c r="B247" s="205" t="s">
        <v>670</v>
      </c>
      <c r="C247" s="307">
        <v>0</v>
      </c>
      <c r="D247" s="307">
        <v>0</v>
      </c>
      <c r="E247" s="307">
        <v>0</v>
      </c>
      <c r="F247" s="307">
        <v>0</v>
      </c>
      <c r="G247" s="307">
        <v>0</v>
      </c>
      <c r="H247" s="307">
        <v>0</v>
      </c>
      <c r="I247" s="307">
        <v>0</v>
      </c>
      <c r="J247" s="306">
        <v>0</v>
      </c>
    </row>
    <row r="248" spans="2:10">
      <c r="B248" s="54" t="s">
        <v>350</v>
      </c>
      <c r="C248" s="307">
        <v>0</v>
      </c>
      <c r="D248" s="307">
        <v>0</v>
      </c>
      <c r="E248" s="307">
        <v>0</v>
      </c>
      <c r="F248" s="307">
        <v>0</v>
      </c>
      <c r="G248" s="307">
        <v>0</v>
      </c>
      <c r="H248" s="307">
        <v>0</v>
      </c>
      <c r="I248" s="307">
        <v>0</v>
      </c>
      <c r="J248" s="306">
        <v>0</v>
      </c>
    </row>
    <row r="249" spans="2:10">
      <c r="B249" s="54"/>
      <c r="C249" s="307"/>
      <c r="D249" s="307"/>
      <c r="E249" s="307"/>
      <c r="F249" s="307"/>
      <c r="G249" s="307"/>
      <c r="H249" s="307"/>
      <c r="I249" s="307"/>
      <c r="J249" s="306"/>
    </row>
    <row r="250" spans="2:10">
      <c r="B250" s="54" t="s">
        <v>349</v>
      </c>
      <c r="C250" s="307">
        <f>SUM(C236,C237,C238,C240,C242,C246,C243)</f>
        <v>125193.8283722015</v>
      </c>
      <c r="D250" s="307">
        <f t="shared" ref="D250:J250" si="9">SUM(D236,D237,D238,D240,D242,D246,D243)</f>
        <v>125342.75022696982</v>
      </c>
      <c r="E250" s="307">
        <f t="shared" si="9"/>
        <v>130471.57871955924</v>
      </c>
      <c r="F250" s="307">
        <f t="shared" si="9"/>
        <v>133764.01328168414</v>
      </c>
      <c r="G250" s="307">
        <f t="shared" si="9"/>
        <v>118983.67918525029</v>
      </c>
      <c r="H250" s="307">
        <f t="shared" si="9"/>
        <v>124710.32966285462</v>
      </c>
      <c r="I250" s="307">
        <f t="shared" si="9"/>
        <v>115724.51318176113</v>
      </c>
      <c r="J250" s="307">
        <f t="shared" si="9"/>
        <v>143541.71091811446</v>
      </c>
    </row>
    <row r="251" spans="2:10">
      <c r="B251" s="147" t="s">
        <v>348</v>
      </c>
      <c r="C251" s="306">
        <v>0</v>
      </c>
      <c r="D251" s="306">
        <v>0</v>
      </c>
      <c r="E251" s="306">
        <v>0</v>
      </c>
      <c r="F251" s="306">
        <v>0</v>
      </c>
      <c r="G251" s="306">
        <v>0</v>
      </c>
      <c r="H251" s="306">
        <v>0</v>
      </c>
      <c r="I251" s="306">
        <v>0</v>
      </c>
      <c r="J251" s="306">
        <v>0</v>
      </c>
    </row>
    <row r="252" spans="2:10">
      <c r="B252" s="147"/>
      <c r="C252" s="147"/>
      <c r="D252" s="147"/>
      <c r="E252" s="147"/>
      <c r="F252" s="147"/>
      <c r="G252" s="147"/>
      <c r="H252" s="147"/>
      <c r="I252" s="147"/>
      <c r="J252" s="147"/>
    </row>
    <row r="253" spans="2:10">
      <c r="B253" s="54" t="s">
        <v>347</v>
      </c>
      <c r="C253" s="306">
        <v>0</v>
      </c>
      <c r="D253" s="306">
        <v>0</v>
      </c>
      <c r="E253" s="306">
        <v>0</v>
      </c>
      <c r="F253" s="306">
        <v>0</v>
      </c>
      <c r="G253" s="306">
        <v>0</v>
      </c>
      <c r="H253" s="306">
        <v>0</v>
      </c>
      <c r="I253" s="306">
        <v>0</v>
      </c>
      <c r="J253" s="306">
        <v>0</v>
      </c>
    </row>
    <row r="254" spans="2:10">
      <c r="B254" s="54"/>
      <c r="C254" s="306"/>
      <c r="D254" s="306"/>
      <c r="E254" s="306"/>
      <c r="F254" s="306"/>
      <c r="G254" s="306"/>
      <c r="H254" s="306"/>
      <c r="I254" s="306"/>
      <c r="J254" s="306"/>
    </row>
    <row r="255" spans="2:10">
      <c r="B255" s="114" t="s">
        <v>346</v>
      </c>
      <c r="C255" s="306"/>
      <c r="D255" s="306"/>
      <c r="E255" s="306"/>
      <c r="F255" s="306"/>
      <c r="G255" s="306"/>
      <c r="H255" s="306"/>
      <c r="I255" s="306"/>
      <c r="J255" s="306"/>
    </row>
    <row r="256" spans="2:10">
      <c r="B256" s="54" t="s">
        <v>342</v>
      </c>
      <c r="C256" s="306"/>
      <c r="D256" s="306"/>
      <c r="E256" s="306"/>
      <c r="F256" s="306"/>
      <c r="G256" s="306"/>
      <c r="H256" s="306"/>
      <c r="I256" s="306"/>
      <c r="J256" s="306"/>
    </row>
    <row r="257" spans="2:10">
      <c r="B257" s="147" t="s">
        <v>341</v>
      </c>
      <c r="C257" s="307">
        <v>5691.0723461601447</v>
      </c>
      <c r="D257" s="307">
        <v>6597.314449011702</v>
      </c>
      <c r="E257" s="307">
        <v>7364.0634541407544</v>
      </c>
      <c r="F257" s="307">
        <v>8197.74908768979</v>
      </c>
      <c r="G257" s="307">
        <v>9003.6695485295259</v>
      </c>
      <c r="H257" s="307">
        <v>9478.9167824950528</v>
      </c>
      <c r="I257" s="307">
        <v>8280.3893119002696</v>
      </c>
      <c r="J257" s="307">
        <v>9885.1597961567313</v>
      </c>
    </row>
    <row r="258" spans="2:10">
      <c r="B258" s="147" t="s">
        <v>340</v>
      </c>
      <c r="C258" s="307">
        <v>0</v>
      </c>
      <c r="D258" s="307">
        <v>0</v>
      </c>
      <c r="E258" s="307">
        <v>0</v>
      </c>
      <c r="F258" s="307">
        <v>0</v>
      </c>
      <c r="G258" s="307">
        <v>910.62087119455259</v>
      </c>
      <c r="H258" s="307">
        <v>1127.8723563194146</v>
      </c>
      <c r="I258" s="307">
        <v>996.68095343154562</v>
      </c>
      <c r="J258" s="307">
        <v>1437.7788803776507</v>
      </c>
    </row>
    <row r="259" spans="2:10">
      <c r="B259" s="54" t="s">
        <v>339</v>
      </c>
      <c r="C259" s="316">
        <v>5927.5183493825452</v>
      </c>
      <c r="D259" s="316">
        <v>7787.8680195495072</v>
      </c>
      <c r="E259" s="316">
        <v>8948.3286165195932</v>
      </c>
      <c r="F259" s="316">
        <v>9768.1300589175989</v>
      </c>
      <c r="G259" s="316">
        <v>10247.70172133807</v>
      </c>
      <c r="H259" s="316">
        <v>10893.284329135957</v>
      </c>
      <c r="I259" s="316">
        <v>8905.9020823772371</v>
      </c>
      <c r="J259" s="307">
        <v>13021.467693591152</v>
      </c>
    </row>
    <row r="260" spans="2:10">
      <c r="B260" s="54" t="s">
        <v>338</v>
      </c>
      <c r="C260" s="307"/>
      <c r="D260" s="307"/>
      <c r="E260" s="307"/>
      <c r="F260" s="307"/>
      <c r="G260" s="307"/>
      <c r="H260" s="307"/>
      <c r="I260" s="307"/>
      <c r="J260" s="307"/>
    </row>
    <row r="261" spans="2:10">
      <c r="B261" s="147" t="s">
        <v>337</v>
      </c>
      <c r="C261" s="307">
        <v>0</v>
      </c>
      <c r="D261" s="307">
        <v>0</v>
      </c>
      <c r="E261" s="307">
        <v>0</v>
      </c>
      <c r="F261" s="307">
        <v>0</v>
      </c>
      <c r="G261" s="307">
        <v>0</v>
      </c>
      <c r="H261" s="307">
        <v>0</v>
      </c>
      <c r="I261" s="307">
        <v>0</v>
      </c>
      <c r="J261" s="307">
        <v>0</v>
      </c>
    </row>
    <row r="262" spans="2:10">
      <c r="B262" s="147" t="s">
        <v>668</v>
      </c>
      <c r="C262" s="307">
        <v>26.344429775550097</v>
      </c>
      <c r="D262" s="307">
        <v>10.886024505617058</v>
      </c>
      <c r="E262" s="307">
        <v>9.1859948109701435</v>
      </c>
      <c r="F262" s="307">
        <v>3.9934185567901705</v>
      </c>
      <c r="G262" s="307">
        <v>2.2874010015235253</v>
      </c>
      <c r="H262" s="307">
        <v>2.5155309129647661</v>
      </c>
      <c r="I262" s="307">
        <v>1.7056004234584987</v>
      </c>
      <c r="J262" s="307">
        <v>3.3878011364883225</v>
      </c>
    </row>
    <row r="263" spans="2:10">
      <c r="B263" s="147" t="s">
        <v>335</v>
      </c>
      <c r="C263" s="306"/>
      <c r="D263" s="306"/>
      <c r="E263" s="306"/>
      <c r="F263" s="306"/>
      <c r="G263" s="306"/>
      <c r="H263" s="306"/>
      <c r="I263" s="306"/>
      <c r="J263" s="306"/>
    </row>
    <row r="264" spans="2:10">
      <c r="B264" s="147"/>
      <c r="C264" s="319"/>
      <c r="D264" s="319"/>
      <c r="E264" s="319"/>
      <c r="F264" s="319"/>
      <c r="G264" s="319"/>
      <c r="H264" s="319"/>
      <c r="I264" s="319"/>
      <c r="J264" s="319"/>
    </row>
    <row r="265" spans="2:10" ht="26">
      <c r="B265" s="148" t="s">
        <v>345</v>
      </c>
      <c r="C265" s="319"/>
      <c r="D265" s="319"/>
      <c r="E265" s="319"/>
      <c r="F265" s="319"/>
      <c r="G265" s="319"/>
      <c r="H265" s="319"/>
      <c r="I265" s="319"/>
      <c r="J265" s="319"/>
    </row>
    <row r="266" spans="2:10">
      <c r="B266" s="54" t="s">
        <v>342</v>
      </c>
      <c r="C266" s="306">
        <v>0</v>
      </c>
      <c r="D266" s="306">
        <v>0</v>
      </c>
      <c r="E266" s="306">
        <v>0</v>
      </c>
      <c r="F266" s="306">
        <v>0</v>
      </c>
      <c r="G266" s="306">
        <v>0</v>
      </c>
      <c r="H266" s="306">
        <v>0</v>
      </c>
      <c r="I266" s="306">
        <v>0</v>
      </c>
      <c r="J266" s="306">
        <v>0</v>
      </c>
    </row>
    <row r="267" spans="2:10">
      <c r="B267" s="147" t="s">
        <v>341</v>
      </c>
      <c r="C267" s="306">
        <v>0</v>
      </c>
      <c r="D267" s="306">
        <v>0</v>
      </c>
      <c r="E267" s="306">
        <v>0</v>
      </c>
      <c r="F267" s="306">
        <v>0</v>
      </c>
      <c r="G267" s="306">
        <v>0</v>
      </c>
      <c r="H267" s="306">
        <v>0</v>
      </c>
      <c r="I267" s="306">
        <v>0</v>
      </c>
      <c r="J267" s="306">
        <v>0</v>
      </c>
    </row>
    <row r="268" spans="2:10">
      <c r="B268" s="147" t="s">
        <v>340</v>
      </c>
      <c r="C268" s="306">
        <v>0</v>
      </c>
      <c r="D268" s="306">
        <v>0</v>
      </c>
      <c r="E268" s="306">
        <v>0</v>
      </c>
      <c r="F268" s="306">
        <v>0</v>
      </c>
      <c r="G268" s="306">
        <v>0</v>
      </c>
      <c r="H268" s="306">
        <v>0</v>
      </c>
      <c r="I268" s="306">
        <v>0</v>
      </c>
      <c r="J268" s="306">
        <v>0</v>
      </c>
    </row>
    <row r="269" spans="2:10">
      <c r="B269" s="54" t="s">
        <v>339</v>
      </c>
      <c r="C269" s="307">
        <v>4834.1116131798062</v>
      </c>
      <c r="D269" s="307">
        <v>5542.1012221964547</v>
      </c>
      <c r="E269" s="307">
        <v>5963.1968045189788</v>
      </c>
      <c r="F269" s="307">
        <v>6713.4853184017666</v>
      </c>
      <c r="G269" s="307">
        <v>6820.7732031992846</v>
      </c>
      <c r="H269" s="307">
        <v>7280.3469345329167</v>
      </c>
      <c r="I269" s="307">
        <v>6443.0431666204149</v>
      </c>
      <c r="J269" s="307">
        <v>8895.966162466555</v>
      </c>
    </row>
    <row r="270" spans="2:10">
      <c r="B270" s="54" t="s">
        <v>338</v>
      </c>
      <c r="C270" s="306">
        <v>0</v>
      </c>
      <c r="D270" s="306">
        <v>0</v>
      </c>
      <c r="E270" s="306">
        <v>0</v>
      </c>
      <c r="F270" s="306">
        <v>0</v>
      </c>
      <c r="G270" s="306">
        <v>0</v>
      </c>
      <c r="H270" s="306">
        <v>0</v>
      </c>
      <c r="I270" s="306">
        <v>0</v>
      </c>
      <c r="J270" s="306">
        <v>0</v>
      </c>
    </row>
    <row r="271" spans="2:10">
      <c r="B271" s="147" t="s">
        <v>337</v>
      </c>
      <c r="C271" s="306">
        <v>0</v>
      </c>
      <c r="D271" s="306">
        <v>0</v>
      </c>
      <c r="E271" s="306">
        <v>0</v>
      </c>
      <c r="F271" s="306">
        <v>0</v>
      </c>
      <c r="G271" s="306">
        <v>0</v>
      </c>
      <c r="H271" s="306">
        <v>0</v>
      </c>
      <c r="I271" s="306">
        <v>0</v>
      </c>
      <c r="J271" s="306">
        <v>0</v>
      </c>
    </row>
    <row r="272" spans="2:10">
      <c r="B272" s="147" t="s">
        <v>336</v>
      </c>
      <c r="C272" s="306">
        <v>0</v>
      </c>
      <c r="D272" s="306">
        <v>0</v>
      </c>
      <c r="E272" s="306">
        <v>0</v>
      </c>
      <c r="F272" s="306">
        <v>0</v>
      </c>
      <c r="G272" s="306">
        <v>0</v>
      </c>
      <c r="H272" s="306">
        <v>0</v>
      </c>
      <c r="I272" s="306">
        <v>0</v>
      </c>
      <c r="J272" s="306">
        <v>0</v>
      </c>
    </row>
    <row r="273" spans="2:10">
      <c r="B273" s="147" t="s">
        <v>335</v>
      </c>
      <c r="C273" s="306">
        <v>0</v>
      </c>
      <c r="D273" s="306">
        <v>0</v>
      </c>
      <c r="E273" s="306">
        <v>0</v>
      </c>
      <c r="F273" s="306">
        <v>0</v>
      </c>
      <c r="G273" s="306">
        <v>0</v>
      </c>
      <c r="H273" s="306">
        <v>0</v>
      </c>
      <c r="I273" s="306">
        <v>0</v>
      </c>
      <c r="J273" s="306">
        <v>0</v>
      </c>
    </row>
    <row r="274" spans="2:10">
      <c r="B274" s="147"/>
      <c r="C274" s="306"/>
      <c r="D274" s="306"/>
      <c r="E274" s="306"/>
      <c r="F274" s="306"/>
      <c r="G274" s="306"/>
      <c r="H274" s="306"/>
      <c r="I274" s="306"/>
      <c r="J274" s="306"/>
    </row>
    <row r="275" spans="2:10" ht="26">
      <c r="B275" s="148" t="s">
        <v>344</v>
      </c>
      <c r="C275" s="306"/>
      <c r="D275" s="306"/>
      <c r="E275" s="306"/>
      <c r="F275" s="306"/>
      <c r="G275" s="306"/>
      <c r="H275" s="306"/>
      <c r="I275" s="306"/>
      <c r="J275" s="306"/>
    </row>
    <row r="276" spans="2:10">
      <c r="B276" s="54" t="s">
        <v>342</v>
      </c>
      <c r="C276" s="306">
        <v>0</v>
      </c>
      <c r="D276" s="306">
        <v>0</v>
      </c>
      <c r="E276" s="306">
        <v>0</v>
      </c>
      <c r="F276" s="306">
        <v>0</v>
      </c>
      <c r="G276" s="306">
        <v>0</v>
      </c>
      <c r="H276" s="306">
        <v>0</v>
      </c>
      <c r="I276" s="306">
        <v>0</v>
      </c>
      <c r="J276" s="306">
        <v>0</v>
      </c>
    </row>
    <row r="277" spans="2:10">
      <c r="B277" s="147" t="s">
        <v>341</v>
      </c>
      <c r="C277" s="306">
        <v>0</v>
      </c>
      <c r="D277" s="306">
        <v>0</v>
      </c>
      <c r="E277" s="306">
        <v>0</v>
      </c>
      <c r="F277" s="306">
        <v>0</v>
      </c>
      <c r="G277" s="306">
        <v>0</v>
      </c>
      <c r="H277" s="306">
        <v>0</v>
      </c>
      <c r="I277" s="306">
        <v>0</v>
      </c>
      <c r="J277" s="306">
        <v>0</v>
      </c>
    </row>
    <row r="278" spans="2:10">
      <c r="B278" s="147" t="s">
        <v>340</v>
      </c>
      <c r="C278" s="306">
        <v>0</v>
      </c>
      <c r="D278" s="306">
        <v>0</v>
      </c>
      <c r="E278" s="306">
        <v>0</v>
      </c>
      <c r="F278" s="306">
        <v>0</v>
      </c>
      <c r="G278" s="306">
        <v>0</v>
      </c>
      <c r="H278" s="306">
        <v>0</v>
      </c>
      <c r="I278" s="306">
        <v>0</v>
      </c>
      <c r="J278" s="306">
        <v>0</v>
      </c>
    </row>
    <row r="279" spans="2:10">
      <c r="B279" s="54" t="s">
        <v>339</v>
      </c>
      <c r="C279" s="306">
        <v>0</v>
      </c>
      <c r="D279" s="307">
        <v>961.7561191324387</v>
      </c>
      <c r="E279" s="307">
        <v>1492.3185759486089</v>
      </c>
      <c r="F279" s="307">
        <v>1391.4943829097538</v>
      </c>
      <c r="G279" s="307">
        <v>1469.7701410520276</v>
      </c>
      <c r="H279" s="307">
        <v>1527.9571002195062</v>
      </c>
      <c r="I279" s="307">
        <v>827.96741383311564</v>
      </c>
      <c r="J279" s="307">
        <v>1796.9345370184874</v>
      </c>
    </row>
    <row r="280" spans="2:10">
      <c r="B280" s="54" t="s">
        <v>338</v>
      </c>
      <c r="C280" s="306">
        <v>0</v>
      </c>
      <c r="D280" s="306">
        <v>0</v>
      </c>
      <c r="E280" s="306">
        <v>0</v>
      </c>
      <c r="F280" s="306">
        <v>0</v>
      </c>
      <c r="G280" s="306">
        <v>0</v>
      </c>
      <c r="H280" s="306">
        <v>0</v>
      </c>
      <c r="I280" s="306">
        <v>0</v>
      </c>
      <c r="J280" s="306">
        <v>0</v>
      </c>
    </row>
    <row r="281" spans="2:10">
      <c r="B281" s="147" t="s">
        <v>337</v>
      </c>
      <c r="C281" s="306">
        <v>0</v>
      </c>
      <c r="D281" s="306">
        <v>0</v>
      </c>
      <c r="E281" s="306">
        <v>0</v>
      </c>
      <c r="F281" s="306">
        <v>0</v>
      </c>
      <c r="G281" s="306">
        <v>0</v>
      </c>
      <c r="H281" s="306">
        <v>0</v>
      </c>
      <c r="I281" s="306">
        <v>0</v>
      </c>
      <c r="J281" s="306">
        <v>0</v>
      </c>
    </row>
    <row r="282" spans="2:10">
      <c r="B282" s="147" t="s">
        <v>336</v>
      </c>
      <c r="C282" s="306">
        <v>0</v>
      </c>
      <c r="D282" s="306">
        <v>0</v>
      </c>
      <c r="E282" s="306">
        <v>0</v>
      </c>
      <c r="F282" s="306">
        <v>0</v>
      </c>
      <c r="G282" s="306">
        <v>0</v>
      </c>
      <c r="H282" s="306">
        <v>0</v>
      </c>
      <c r="I282" s="306">
        <v>0</v>
      </c>
      <c r="J282" s="306">
        <v>0</v>
      </c>
    </row>
    <row r="283" spans="2:10">
      <c r="B283" s="147" t="s">
        <v>335</v>
      </c>
      <c r="C283" s="306">
        <v>0</v>
      </c>
      <c r="D283" s="306">
        <v>0</v>
      </c>
      <c r="E283" s="306">
        <v>0</v>
      </c>
      <c r="F283" s="306">
        <v>0</v>
      </c>
      <c r="G283" s="306">
        <v>0</v>
      </c>
      <c r="H283" s="306">
        <v>0</v>
      </c>
      <c r="I283" s="306">
        <v>0</v>
      </c>
      <c r="J283" s="306">
        <v>0</v>
      </c>
    </row>
    <row r="284" spans="2:10">
      <c r="B284" s="147"/>
      <c r="C284" s="306"/>
      <c r="D284" s="306"/>
      <c r="E284" s="306"/>
      <c r="F284" s="306"/>
      <c r="G284" s="306"/>
      <c r="H284" s="306"/>
      <c r="I284" s="306"/>
      <c r="J284" s="306"/>
    </row>
    <row r="285" spans="2:10" ht="26">
      <c r="B285" s="148" t="s">
        <v>343</v>
      </c>
      <c r="C285" s="306"/>
      <c r="D285" s="318"/>
      <c r="E285" s="320"/>
      <c r="F285" s="320"/>
      <c r="G285" s="320"/>
      <c r="H285" s="320"/>
      <c r="I285" s="320"/>
      <c r="J285" s="320"/>
    </row>
    <row r="286" spans="2:10">
      <c r="B286" s="54" t="s">
        <v>342</v>
      </c>
      <c r="C286" s="306">
        <v>0</v>
      </c>
      <c r="D286" s="306">
        <v>0</v>
      </c>
      <c r="E286" s="306">
        <v>0</v>
      </c>
      <c r="F286" s="306">
        <v>0</v>
      </c>
      <c r="G286" s="306">
        <v>0</v>
      </c>
      <c r="H286" s="306">
        <v>0</v>
      </c>
      <c r="I286" s="306">
        <v>0</v>
      </c>
      <c r="J286" s="306">
        <v>0</v>
      </c>
    </row>
    <row r="287" spans="2:10">
      <c r="B287" s="147" t="s">
        <v>341</v>
      </c>
      <c r="C287" s="306">
        <v>0</v>
      </c>
      <c r="D287" s="306">
        <v>0</v>
      </c>
      <c r="E287" s="306">
        <v>0</v>
      </c>
      <c r="F287" s="306">
        <v>0</v>
      </c>
      <c r="G287" s="306">
        <v>0</v>
      </c>
      <c r="H287" s="306">
        <v>0</v>
      </c>
      <c r="I287" s="306">
        <v>0</v>
      </c>
      <c r="J287" s="306">
        <v>0</v>
      </c>
    </row>
    <row r="288" spans="2:10">
      <c r="B288" s="147" t="s">
        <v>340</v>
      </c>
      <c r="C288" s="306">
        <v>0</v>
      </c>
      <c r="D288" s="306">
        <v>0</v>
      </c>
      <c r="E288" s="306">
        <v>0</v>
      </c>
      <c r="F288" s="306">
        <v>0</v>
      </c>
      <c r="G288" s="306">
        <v>0</v>
      </c>
      <c r="H288" s="306">
        <v>0</v>
      </c>
      <c r="I288" s="306">
        <v>0</v>
      </c>
      <c r="J288" s="306">
        <v>0</v>
      </c>
    </row>
    <row r="289" spans="2:10">
      <c r="B289" s="54" t="s">
        <v>339</v>
      </c>
      <c r="C289" s="316">
        <v>1093.4067362027386</v>
      </c>
      <c r="D289" s="316">
        <v>1284.0106782206133</v>
      </c>
      <c r="E289" s="316">
        <v>1492.813236052004</v>
      </c>
      <c r="F289" s="316">
        <v>1663.1503576060788</v>
      </c>
      <c r="G289" s="316">
        <v>1957.158377086758</v>
      </c>
      <c r="H289" s="316">
        <v>2084.9802943835339</v>
      </c>
      <c r="I289" s="316">
        <v>1634.8915019237068</v>
      </c>
      <c r="J289" s="307">
        <v>2328.5669941061105</v>
      </c>
    </row>
    <row r="290" spans="2:10">
      <c r="B290" s="54" t="s">
        <v>338</v>
      </c>
      <c r="C290" s="306">
        <v>0</v>
      </c>
      <c r="D290" s="306">
        <v>0</v>
      </c>
      <c r="E290" s="306">
        <v>0</v>
      </c>
      <c r="F290" s="306">
        <v>0</v>
      </c>
      <c r="G290" s="306">
        <v>0</v>
      </c>
      <c r="H290" s="306">
        <v>0</v>
      </c>
      <c r="I290" s="306">
        <v>0</v>
      </c>
      <c r="J290" s="306">
        <v>0</v>
      </c>
    </row>
    <row r="291" spans="2:10">
      <c r="B291" s="147" t="s">
        <v>337</v>
      </c>
      <c r="C291" s="307">
        <v>0</v>
      </c>
      <c r="D291" s="307">
        <v>0</v>
      </c>
      <c r="E291" s="307">
        <v>0</v>
      </c>
      <c r="F291" s="307">
        <v>0</v>
      </c>
      <c r="G291" s="307">
        <v>0</v>
      </c>
      <c r="H291" s="307">
        <v>0</v>
      </c>
      <c r="I291" s="307">
        <v>0</v>
      </c>
      <c r="J291" s="307">
        <v>0</v>
      </c>
    </row>
    <row r="292" spans="2:10">
      <c r="B292" s="147" t="s">
        <v>336</v>
      </c>
      <c r="C292" s="307">
        <v>0</v>
      </c>
      <c r="D292" s="307">
        <v>0</v>
      </c>
      <c r="E292" s="307">
        <v>0</v>
      </c>
      <c r="F292" s="307">
        <v>0</v>
      </c>
      <c r="G292" s="307">
        <v>0</v>
      </c>
      <c r="H292" s="307">
        <v>0</v>
      </c>
      <c r="I292" s="307">
        <v>0</v>
      </c>
      <c r="J292" s="307">
        <v>0</v>
      </c>
    </row>
    <row r="293" spans="2:10" ht="15" thickBot="1">
      <c r="B293" s="146" t="s">
        <v>335</v>
      </c>
      <c r="C293" s="307">
        <v>0</v>
      </c>
      <c r="D293" s="307">
        <v>0</v>
      </c>
      <c r="E293" s="307">
        <v>0</v>
      </c>
      <c r="F293" s="307">
        <v>0</v>
      </c>
      <c r="G293" s="307">
        <v>0</v>
      </c>
      <c r="H293" s="307">
        <v>0</v>
      </c>
      <c r="I293" s="307">
        <v>0</v>
      </c>
      <c r="J293" s="307">
        <v>0</v>
      </c>
    </row>
    <row r="294" spans="2:10" ht="15" thickTop="1">
      <c r="B294" s="2025" t="s">
        <v>656</v>
      </c>
      <c r="C294" s="2025"/>
      <c r="D294" s="2025"/>
      <c r="E294" s="2025"/>
      <c r="F294" s="2025"/>
      <c r="G294" s="2025"/>
      <c r="H294" s="2025"/>
      <c r="I294" s="2025"/>
      <c r="J294" s="2025"/>
    </row>
    <row r="295" spans="2:10">
      <c r="B295" s="64"/>
      <c r="C295" s="302"/>
      <c r="D295" s="302"/>
      <c r="E295" s="302"/>
      <c r="F295" s="302"/>
      <c r="G295" s="302"/>
      <c r="H295" s="302"/>
      <c r="I295" s="302"/>
      <c r="J295" s="302"/>
    </row>
    <row r="296" spans="2:10">
      <c r="B296" s="2100" t="s">
        <v>333</v>
      </c>
      <c r="C296" s="2100"/>
      <c r="D296" s="2100"/>
      <c r="E296" s="2100"/>
      <c r="F296" s="2100"/>
      <c r="G296" s="2100"/>
      <c r="H296" s="2100"/>
      <c r="I296" s="2100"/>
      <c r="J296" s="2100"/>
    </row>
    <row r="297" spans="2:10">
      <c r="B297" s="12" t="s">
        <v>332</v>
      </c>
      <c r="C297" s="302"/>
      <c r="D297" s="302"/>
      <c r="E297" s="302"/>
      <c r="F297" s="302"/>
      <c r="G297" s="302"/>
      <c r="H297" s="302"/>
      <c r="I297" s="302"/>
      <c r="J297" s="302"/>
    </row>
    <row r="298" spans="2:10">
      <c r="B298" s="62" t="s">
        <v>269</v>
      </c>
      <c r="C298" s="302"/>
      <c r="D298" s="302"/>
      <c r="E298" s="302"/>
      <c r="F298" s="302"/>
      <c r="G298" s="302"/>
      <c r="H298" s="302"/>
      <c r="I298" s="302"/>
      <c r="J298" s="302"/>
    </row>
    <row r="299" spans="2:10">
      <c r="B299" s="302"/>
      <c r="C299" s="302"/>
      <c r="D299" s="302"/>
      <c r="E299" s="302"/>
      <c r="F299" s="302"/>
      <c r="G299" s="302"/>
      <c r="H299" s="302"/>
      <c r="I299" s="302"/>
      <c r="J299" s="302"/>
    </row>
    <row r="300" spans="2:10">
      <c r="B300" s="61"/>
      <c r="C300" s="303">
        <v>2014</v>
      </c>
      <c r="D300" s="303">
        <v>2015</v>
      </c>
      <c r="E300" s="303">
        <v>2016</v>
      </c>
      <c r="F300" s="303">
        <v>2017</v>
      </c>
      <c r="G300" s="303">
        <v>2018</v>
      </c>
      <c r="H300" s="303">
        <v>2019</v>
      </c>
      <c r="I300" s="303">
        <v>2020</v>
      </c>
      <c r="J300" s="303">
        <v>2021</v>
      </c>
    </row>
    <row r="301" spans="2:10">
      <c r="B301" s="114" t="s">
        <v>310</v>
      </c>
      <c r="C301" s="302"/>
      <c r="D301" s="302"/>
      <c r="E301" s="302"/>
      <c r="F301" s="302"/>
      <c r="G301" s="302"/>
      <c r="H301" s="302"/>
      <c r="I301" s="302"/>
      <c r="J301" s="302"/>
    </row>
    <row r="302" spans="2:10">
      <c r="B302" s="114"/>
      <c r="C302" s="302"/>
      <c r="D302" s="302"/>
      <c r="E302" s="302"/>
      <c r="F302" s="302"/>
      <c r="G302" s="302"/>
      <c r="H302" s="302"/>
      <c r="I302" s="302"/>
      <c r="J302" s="302"/>
    </row>
    <row r="303" spans="2:10">
      <c r="B303" s="59" t="s">
        <v>671</v>
      </c>
      <c r="C303" s="321"/>
      <c r="D303" s="321"/>
      <c r="E303" s="321"/>
      <c r="F303" s="321"/>
      <c r="G303" s="321"/>
      <c r="H303" s="321"/>
      <c r="I303" s="321"/>
      <c r="J303" s="321"/>
    </row>
    <row r="304" spans="2:10">
      <c r="B304" s="71" t="s">
        <v>331</v>
      </c>
      <c r="C304" s="321">
        <v>90</v>
      </c>
      <c r="D304" s="321">
        <v>89</v>
      </c>
      <c r="E304" s="321">
        <v>89</v>
      </c>
      <c r="F304" s="321">
        <v>89</v>
      </c>
      <c r="G304" s="321">
        <v>80</v>
      </c>
      <c r="H304" s="321">
        <v>83</v>
      </c>
      <c r="I304" s="321">
        <v>71</v>
      </c>
      <c r="J304" s="321">
        <f>J305</f>
        <v>69</v>
      </c>
    </row>
    <row r="305" spans="2:10">
      <c r="B305" s="133" t="s">
        <v>330</v>
      </c>
      <c r="C305" s="321">
        <v>90</v>
      </c>
      <c r="D305" s="321">
        <v>89</v>
      </c>
      <c r="E305" s="321">
        <v>89</v>
      </c>
      <c r="F305" s="321">
        <v>89</v>
      </c>
      <c r="G305" s="321">
        <v>80</v>
      </c>
      <c r="H305" s="321">
        <v>83</v>
      </c>
      <c r="I305" s="321">
        <v>71</v>
      </c>
      <c r="J305" s="321">
        <f>SUM(J306:J308)</f>
        <v>69</v>
      </c>
    </row>
    <row r="306" spans="2:10">
      <c r="B306" s="52" t="s">
        <v>260</v>
      </c>
      <c r="C306" s="321">
        <v>68</v>
      </c>
      <c r="D306" s="321">
        <v>67</v>
      </c>
      <c r="E306" s="321">
        <v>66</v>
      </c>
      <c r="F306" s="321">
        <v>66</v>
      </c>
      <c r="G306" s="321">
        <v>56</v>
      </c>
      <c r="H306" s="321">
        <v>59</v>
      </c>
      <c r="I306" s="321">
        <v>51</v>
      </c>
      <c r="J306" s="321">
        <v>50</v>
      </c>
    </row>
    <row r="307" spans="2:10">
      <c r="B307" s="52" t="s">
        <v>329</v>
      </c>
      <c r="C307" s="321">
        <v>1</v>
      </c>
      <c r="D307" s="321">
        <v>1</v>
      </c>
      <c r="E307" s="321">
        <v>1</v>
      </c>
      <c r="F307" s="321">
        <v>1</v>
      </c>
      <c r="G307" s="321">
        <v>1</v>
      </c>
      <c r="H307" s="321">
        <v>1</v>
      </c>
      <c r="I307" s="321">
        <v>1</v>
      </c>
      <c r="J307" s="321">
        <v>1</v>
      </c>
    </row>
    <row r="308" spans="2:10">
      <c r="B308" s="52" t="s">
        <v>328</v>
      </c>
      <c r="C308" s="321">
        <v>21</v>
      </c>
      <c r="D308" s="321">
        <v>21</v>
      </c>
      <c r="E308" s="321">
        <v>22</v>
      </c>
      <c r="F308" s="321">
        <v>22</v>
      </c>
      <c r="G308" s="321">
        <v>23</v>
      </c>
      <c r="H308" s="321">
        <v>23</v>
      </c>
      <c r="I308" s="321">
        <v>19</v>
      </c>
      <c r="J308" s="321">
        <f>SUM(J309:J313)</f>
        <v>18</v>
      </c>
    </row>
    <row r="309" spans="2:10">
      <c r="B309" s="136" t="s">
        <v>327</v>
      </c>
      <c r="C309" s="321">
        <v>2</v>
      </c>
      <c r="D309" s="321">
        <v>2</v>
      </c>
      <c r="E309" s="321">
        <v>2</v>
      </c>
      <c r="F309" s="321">
        <v>2</v>
      </c>
      <c r="G309" s="321">
        <v>2</v>
      </c>
      <c r="H309" s="321">
        <v>2</v>
      </c>
      <c r="I309" s="321">
        <v>2</v>
      </c>
      <c r="J309" s="321">
        <v>2</v>
      </c>
    </row>
    <row r="310" spans="2:10">
      <c r="B310" s="136" t="s">
        <v>326</v>
      </c>
      <c r="C310" s="321">
        <v>0</v>
      </c>
      <c r="D310" s="321">
        <v>0</v>
      </c>
      <c r="E310" s="321">
        <v>0</v>
      </c>
      <c r="F310" s="321">
        <v>0</v>
      </c>
      <c r="G310" s="321">
        <v>0</v>
      </c>
      <c r="H310" s="321">
        <v>0</v>
      </c>
      <c r="I310" s="321">
        <v>0</v>
      </c>
      <c r="J310" s="321">
        <v>0</v>
      </c>
    </row>
    <row r="311" spans="2:10">
      <c r="B311" s="136" t="s">
        <v>325</v>
      </c>
      <c r="C311" s="321">
        <v>1</v>
      </c>
      <c r="D311" s="321">
        <v>1</v>
      </c>
      <c r="E311" s="321">
        <v>1</v>
      </c>
      <c r="F311" s="321">
        <v>1</v>
      </c>
      <c r="G311" s="321">
        <v>1</v>
      </c>
      <c r="H311" s="321">
        <v>1</v>
      </c>
      <c r="I311" s="321">
        <v>1</v>
      </c>
      <c r="J311" s="321">
        <v>1</v>
      </c>
    </row>
    <row r="312" spans="2:10">
      <c r="B312" s="136" t="s">
        <v>323</v>
      </c>
      <c r="C312" s="321">
        <v>0</v>
      </c>
      <c r="D312" s="321">
        <v>0</v>
      </c>
      <c r="E312" s="321">
        <v>0</v>
      </c>
      <c r="F312" s="321">
        <v>0</v>
      </c>
      <c r="G312" s="321">
        <v>0</v>
      </c>
      <c r="H312" s="321">
        <v>0</v>
      </c>
      <c r="I312" s="321">
        <v>0</v>
      </c>
      <c r="J312" s="321">
        <v>0</v>
      </c>
    </row>
    <row r="313" spans="2:10" ht="15.5">
      <c r="B313" s="136" t="s">
        <v>672</v>
      </c>
      <c r="C313" s="321">
        <v>18</v>
      </c>
      <c r="D313" s="321">
        <v>18</v>
      </c>
      <c r="E313" s="321">
        <v>19</v>
      </c>
      <c r="F313" s="321">
        <v>19</v>
      </c>
      <c r="G313" s="321">
        <v>20</v>
      </c>
      <c r="H313" s="321">
        <v>20</v>
      </c>
      <c r="I313" s="321">
        <v>16</v>
      </c>
      <c r="J313" s="321">
        <v>15</v>
      </c>
    </row>
    <row r="314" spans="2:10">
      <c r="B314" s="133" t="s">
        <v>322</v>
      </c>
      <c r="C314" s="321">
        <v>0</v>
      </c>
      <c r="D314" s="321">
        <v>0</v>
      </c>
      <c r="E314" s="321">
        <v>0</v>
      </c>
      <c r="F314" s="321">
        <v>0</v>
      </c>
      <c r="G314" s="321">
        <v>0</v>
      </c>
      <c r="H314" s="321">
        <v>0</v>
      </c>
      <c r="I314" s="321">
        <v>0</v>
      </c>
      <c r="J314" s="321">
        <v>0</v>
      </c>
    </row>
    <row r="315" spans="2:10">
      <c r="B315" s="65"/>
      <c r="C315" s="321"/>
      <c r="D315" s="321"/>
      <c r="E315" s="321"/>
      <c r="F315" s="321"/>
      <c r="G315" s="321"/>
      <c r="H315" s="321"/>
      <c r="I315" s="321"/>
      <c r="J315" s="321"/>
    </row>
    <row r="316" spans="2:10">
      <c r="B316" s="114" t="s">
        <v>302</v>
      </c>
      <c r="C316" s="321"/>
      <c r="D316" s="321"/>
      <c r="E316" s="321"/>
      <c r="F316" s="321"/>
      <c r="G316" s="321"/>
      <c r="H316" s="321"/>
      <c r="I316" s="321"/>
      <c r="J316" s="321"/>
    </row>
    <row r="317" spans="2:10">
      <c r="B317" s="114"/>
      <c r="C317" s="321"/>
      <c r="D317" s="321"/>
      <c r="E317" s="321"/>
      <c r="F317" s="321"/>
      <c r="G317" s="321"/>
      <c r="H317" s="321"/>
      <c r="I317" s="321"/>
      <c r="J317" s="321"/>
    </row>
    <row r="318" spans="2:10">
      <c r="B318" s="59" t="s">
        <v>673</v>
      </c>
      <c r="C318" s="321"/>
      <c r="D318" s="321"/>
      <c r="E318" s="321"/>
      <c r="F318" s="321"/>
      <c r="G318" s="321"/>
      <c r="H318" s="321"/>
      <c r="I318" s="321"/>
      <c r="J318" s="321"/>
    </row>
    <row r="319" spans="2:10">
      <c r="B319" s="71" t="s">
        <v>331</v>
      </c>
      <c r="C319" s="321">
        <v>46</v>
      </c>
      <c r="D319" s="321">
        <v>47</v>
      </c>
      <c r="E319" s="321">
        <v>46</v>
      </c>
      <c r="F319" s="321">
        <v>48</v>
      </c>
      <c r="G319" s="321">
        <v>48</v>
      </c>
      <c r="H319" s="321">
        <v>46</v>
      </c>
      <c r="I319" s="321">
        <v>44</v>
      </c>
      <c r="J319" s="321">
        <f>J321</f>
        <v>43</v>
      </c>
    </row>
    <row r="320" spans="2:10">
      <c r="B320" s="133" t="s">
        <v>330</v>
      </c>
      <c r="C320" s="321"/>
      <c r="D320" s="321"/>
      <c r="E320" s="321"/>
      <c r="F320" s="321"/>
      <c r="G320" s="321"/>
      <c r="H320" s="321"/>
      <c r="I320" s="321"/>
      <c r="J320" s="321"/>
    </row>
    <row r="321" spans="2:10">
      <c r="B321" s="52" t="s">
        <v>260</v>
      </c>
      <c r="C321" s="321">
        <v>46</v>
      </c>
      <c r="D321" s="321">
        <v>47</v>
      </c>
      <c r="E321" s="321">
        <v>46</v>
      </c>
      <c r="F321" s="321">
        <v>48</v>
      </c>
      <c r="G321" s="321">
        <v>48</v>
      </c>
      <c r="H321" s="321">
        <v>46</v>
      </c>
      <c r="I321" s="321">
        <v>44</v>
      </c>
      <c r="J321" s="321">
        <v>43</v>
      </c>
    </row>
    <row r="322" spans="2:10">
      <c r="B322" s="133" t="s">
        <v>322</v>
      </c>
      <c r="C322" s="321"/>
      <c r="D322" s="321"/>
      <c r="E322" s="321"/>
      <c r="F322" s="321"/>
      <c r="G322" s="321"/>
      <c r="H322" s="321"/>
      <c r="I322" s="321"/>
      <c r="J322" s="321"/>
    </row>
    <row r="323" spans="2:10">
      <c r="B323" s="133"/>
      <c r="C323" s="321"/>
      <c r="D323" s="321"/>
      <c r="E323" s="321"/>
      <c r="F323" s="321"/>
      <c r="G323" s="321"/>
      <c r="H323" s="321"/>
      <c r="I323" s="321"/>
      <c r="J323" s="321"/>
    </row>
    <row r="324" spans="2:10">
      <c r="B324" s="59" t="s">
        <v>674</v>
      </c>
    </row>
    <row r="325" spans="2:10">
      <c r="B325" s="71" t="s">
        <v>331</v>
      </c>
      <c r="C325" s="302">
        <v>25</v>
      </c>
      <c r="D325" s="302">
        <v>25</v>
      </c>
      <c r="E325" s="302">
        <v>25</v>
      </c>
      <c r="F325" s="302">
        <v>25</v>
      </c>
      <c r="G325" s="302">
        <v>49</v>
      </c>
      <c r="H325" s="302">
        <v>50</v>
      </c>
      <c r="I325" s="321">
        <v>54</v>
      </c>
      <c r="J325" s="321">
        <f>SUM(J327:J328)</f>
        <v>34</v>
      </c>
    </row>
    <row r="326" spans="2:10">
      <c r="B326" s="133" t="s">
        <v>330</v>
      </c>
      <c r="C326" s="321"/>
      <c r="D326" s="321"/>
      <c r="E326" s="321"/>
      <c r="F326" s="321"/>
      <c r="G326" s="321"/>
      <c r="H326" s="321"/>
      <c r="I326" s="321"/>
      <c r="J326" s="321"/>
    </row>
    <row r="327" spans="2:10">
      <c r="B327" s="52" t="s">
        <v>260</v>
      </c>
      <c r="C327" s="321">
        <v>25</v>
      </c>
      <c r="D327" s="321">
        <v>25</v>
      </c>
      <c r="E327" s="321">
        <v>25</v>
      </c>
      <c r="F327" s="321">
        <v>25</v>
      </c>
      <c r="G327" s="321">
        <v>24</v>
      </c>
      <c r="H327" s="321">
        <v>23</v>
      </c>
      <c r="I327" s="321">
        <v>24</v>
      </c>
      <c r="J327" s="321">
        <v>25</v>
      </c>
    </row>
    <row r="328" spans="2:10">
      <c r="B328" s="133" t="s">
        <v>322</v>
      </c>
      <c r="C328" s="321"/>
      <c r="D328" s="321"/>
      <c r="E328" s="321"/>
      <c r="F328" s="321"/>
      <c r="G328" s="321">
        <v>25</v>
      </c>
      <c r="H328" s="321">
        <v>27</v>
      </c>
      <c r="I328" s="321">
        <v>30</v>
      </c>
      <c r="J328" s="321">
        <v>9</v>
      </c>
    </row>
    <row r="329" spans="2:10">
      <c r="B329" s="133"/>
      <c r="C329" s="302"/>
      <c r="D329" s="302"/>
      <c r="E329" s="302"/>
      <c r="F329" s="302"/>
      <c r="G329" s="302"/>
      <c r="H329" s="302"/>
      <c r="I329" s="302"/>
      <c r="J329" s="302"/>
    </row>
    <row r="330" spans="2:10">
      <c r="B330" s="59" t="s">
        <v>675</v>
      </c>
    </row>
    <row r="331" spans="2:10">
      <c r="B331" s="71" t="s">
        <v>331</v>
      </c>
      <c r="C331" s="302">
        <v>26</v>
      </c>
      <c r="D331" s="302">
        <v>26</v>
      </c>
      <c r="E331" s="302">
        <v>25</v>
      </c>
      <c r="F331" s="302">
        <v>26</v>
      </c>
      <c r="G331" s="302">
        <v>27</v>
      </c>
      <c r="H331" s="302">
        <v>26</v>
      </c>
      <c r="I331" s="321">
        <v>26</v>
      </c>
      <c r="J331" s="321">
        <f>SUM(J333:J334)</f>
        <v>23</v>
      </c>
    </row>
    <row r="332" spans="2:10">
      <c r="B332" s="133" t="s">
        <v>330</v>
      </c>
      <c r="C332" s="321"/>
      <c r="D332" s="321"/>
      <c r="E332" s="321"/>
      <c r="F332" s="321"/>
      <c r="G332" s="321"/>
      <c r="H332" s="321"/>
      <c r="I332" s="321"/>
      <c r="J332" s="321"/>
    </row>
    <row r="333" spans="2:10">
      <c r="B333" s="52" t="s">
        <v>260</v>
      </c>
      <c r="C333" s="321">
        <v>23</v>
      </c>
      <c r="D333" s="321">
        <v>23</v>
      </c>
      <c r="E333" s="321">
        <v>22</v>
      </c>
      <c r="F333" s="321">
        <v>22</v>
      </c>
      <c r="G333" s="321">
        <v>23</v>
      </c>
      <c r="H333" s="321">
        <v>22</v>
      </c>
      <c r="I333" s="321">
        <v>22</v>
      </c>
      <c r="J333" s="321">
        <v>23</v>
      </c>
    </row>
    <row r="334" spans="2:10">
      <c r="B334" s="133" t="s">
        <v>676</v>
      </c>
      <c r="C334" s="321">
        <v>3</v>
      </c>
      <c r="D334" s="321">
        <v>3</v>
      </c>
      <c r="E334" s="321">
        <v>3</v>
      </c>
      <c r="F334" s="321">
        <v>4</v>
      </c>
      <c r="G334" s="321">
        <v>4</v>
      </c>
      <c r="H334" s="321">
        <v>4</v>
      </c>
      <c r="I334" s="321">
        <v>4</v>
      </c>
      <c r="J334" s="321"/>
    </row>
    <row r="335" spans="2:10">
      <c r="B335" s="133"/>
      <c r="C335" s="302"/>
      <c r="D335" s="302"/>
      <c r="E335" s="302"/>
      <c r="F335" s="302"/>
      <c r="G335" s="302"/>
      <c r="H335" s="302"/>
      <c r="I335" s="302"/>
      <c r="J335" s="302"/>
    </row>
    <row r="336" spans="2:10">
      <c r="B336" s="59" t="s">
        <v>677</v>
      </c>
    </row>
    <row r="337" spans="2:10">
      <c r="B337" s="71" t="s">
        <v>331</v>
      </c>
      <c r="C337" s="302">
        <v>31</v>
      </c>
      <c r="D337" s="302">
        <v>31</v>
      </c>
      <c r="E337" s="302">
        <v>31</v>
      </c>
      <c r="F337" s="302">
        <v>32</v>
      </c>
      <c r="G337" s="302">
        <v>37</v>
      </c>
      <c r="H337" s="302">
        <v>39</v>
      </c>
      <c r="I337" s="321">
        <v>42</v>
      </c>
      <c r="J337" s="321">
        <f>SUM(J339:J340)</f>
        <v>23</v>
      </c>
    </row>
    <row r="338" spans="2:10">
      <c r="B338" s="133" t="s">
        <v>330</v>
      </c>
      <c r="C338" s="321"/>
      <c r="D338" s="321"/>
      <c r="E338" s="321"/>
      <c r="F338" s="321"/>
      <c r="G338" s="321"/>
      <c r="H338" s="321"/>
      <c r="I338" s="321"/>
      <c r="J338" s="321"/>
    </row>
    <row r="339" spans="2:10">
      <c r="B339" s="52" t="s">
        <v>260</v>
      </c>
      <c r="C339" s="321">
        <v>11</v>
      </c>
      <c r="D339" s="321">
        <v>11</v>
      </c>
      <c r="E339" s="321">
        <v>11</v>
      </c>
      <c r="F339" s="321">
        <v>11</v>
      </c>
      <c r="G339" s="321">
        <v>10</v>
      </c>
      <c r="H339" s="321">
        <v>10</v>
      </c>
      <c r="I339" s="321">
        <v>10</v>
      </c>
      <c r="J339" s="321">
        <v>12</v>
      </c>
    </row>
    <row r="340" spans="2:10">
      <c r="B340" s="133" t="s">
        <v>322</v>
      </c>
      <c r="C340" s="321">
        <v>20</v>
      </c>
      <c r="D340" s="321">
        <v>20</v>
      </c>
      <c r="E340" s="321">
        <v>20</v>
      </c>
      <c r="F340" s="321">
        <v>21</v>
      </c>
      <c r="G340" s="321">
        <v>27</v>
      </c>
      <c r="H340" s="321">
        <v>29</v>
      </c>
      <c r="I340" s="321">
        <v>32</v>
      </c>
      <c r="J340" s="321">
        <v>11</v>
      </c>
    </row>
    <row r="341" spans="2:10">
      <c r="B341" s="133"/>
      <c r="C341" s="302"/>
      <c r="D341" s="302"/>
      <c r="E341" s="302"/>
      <c r="F341" s="302"/>
      <c r="G341" s="302"/>
      <c r="H341" s="302"/>
      <c r="I341" s="302"/>
      <c r="J341" s="302"/>
    </row>
    <row r="342" spans="2:10">
      <c r="B342" s="59" t="s">
        <v>678</v>
      </c>
    </row>
    <row r="343" spans="2:10">
      <c r="B343" s="71" t="s">
        <v>331</v>
      </c>
      <c r="C343" s="302">
        <v>19</v>
      </c>
      <c r="D343" s="302">
        <v>22</v>
      </c>
      <c r="E343" s="302">
        <v>38</v>
      </c>
      <c r="F343" s="302">
        <v>39</v>
      </c>
      <c r="G343" s="302">
        <v>52</v>
      </c>
      <c r="H343" s="302">
        <v>56</v>
      </c>
      <c r="I343" s="322">
        <v>58</v>
      </c>
      <c r="J343" s="321">
        <f>SUM(J345:J346)</f>
        <v>32</v>
      </c>
    </row>
    <row r="344" spans="2:10">
      <c r="B344" s="133" t="s">
        <v>330</v>
      </c>
      <c r="C344" s="322"/>
      <c r="D344" s="322"/>
      <c r="E344" s="322"/>
      <c r="F344" s="322"/>
      <c r="G344" s="322"/>
      <c r="H344" s="322"/>
      <c r="I344" s="322"/>
      <c r="J344" s="322"/>
    </row>
    <row r="345" spans="2:10">
      <c r="B345" s="52" t="s">
        <v>260</v>
      </c>
      <c r="C345" s="322">
        <v>8</v>
      </c>
      <c r="D345" s="322">
        <v>8</v>
      </c>
      <c r="E345" s="322">
        <v>13</v>
      </c>
      <c r="F345" s="322">
        <v>14</v>
      </c>
      <c r="G345" s="322">
        <v>20</v>
      </c>
      <c r="H345" s="322">
        <v>23</v>
      </c>
      <c r="I345" s="323">
        <v>25</v>
      </c>
      <c r="J345" s="323">
        <v>26</v>
      </c>
    </row>
    <row r="346" spans="2:10">
      <c r="B346" s="133" t="s">
        <v>322</v>
      </c>
      <c r="C346" s="323">
        <v>11</v>
      </c>
      <c r="D346" s="323">
        <v>14</v>
      </c>
      <c r="E346" s="323">
        <v>25</v>
      </c>
      <c r="F346" s="323">
        <v>25</v>
      </c>
      <c r="G346" s="323">
        <v>32</v>
      </c>
      <c r="H346" s="323">
        <v>33</v>
      </c>
      <c r="I346" s="322">
        <v>33</v>
      </c>
      <c r="J346" s="322">
        <v>6</v>
      </c>
    </row>
    <row r="347" spans="2:10">
      <c r="B347" s="133"/>
      <c r="C347" s="322"/>
      <c r="D347" s="322"/>
      <c r="E347" s="322"/>
      <c r="F347" s="324"/>
      <c r="G347" s="324"/>
      <c r="H347" s="324"/>
      <c r="I347" s="302"/>
      <c r="J347" s="302"/>
    </row>
    <row r="348" spans="2:10">
      <c r="B348" s="59" t="s">
        <v>679</v>
      </c>
    </row>
    <row r="349" spans="2:10">
      <c r="B349" s="71" t="s">
        <v>331</v>
      </c>
      <c r="C349" s="302">
        <v>24</v>
      </c>
      <c r="D349" s="302">
        <v>26</v>
      </c>
      <c r="E349" s="302">
        <v>26</v>
      </c>
      <c r="F349" s="302">
        <v>26</v>
      </c>
      <c r="G349" s="302">
        <v>26</v>
      </c>
      <c r="H349" s="302">
        <v>25</v>
      </c>
      <c r="I349" s="324">
        <v>26</v>
      </c>
      <c r="J349" s="321">
        <f>SUM(J351:J352)</f>
        <v>26</v>
      </c>
    </row>
    <row r="350" spans="2:10">
      <c r="B350" s="133" t="s">
        <v>330</v>
      </c>
      <c r="C350" s="322"/>
      <c r="D350" s="322"/>
      <c r="E350" s="324"/>
      <c r="F350" s="324"/>
      <c r="G350" s="324"/>
      <c r="H350" s="324"/>
      <c r="I350" s="324"/>
      <c r="J350" s="324"/>
    </row>
    <row r="351" spans="2:10">
      <c r="B351" s="52" t="s">
        <v>260</v>
      </c>
      <c r="C351" s="322">
        <v>21</v>
      </c>
      <c r="D351" s="322">
        <v>23</v>
      </c>
      <c r="E351" s="324">
        <v>23</v>
      </c>
      <c r="F351" s="324">
        <v>23</v>
      </c>
      <c r="G351" s="324">
        <v>23</v>
      </c>
      <c r="H351" s="324">
        <v>22</v>
      </c>
      <c r="I351" s="324">
        <v>22</v>
      </c>
      <c r="J351" s="324">
        <v>22</v>
      </c>
    </row>
    <row r="352" spans="2:10">
      <c r="B352" s="133" t="s">
        <v>322</v>
      </c>
      <c r="C352" s="322">
        <v>3</v>
      </c>
      <c r="D352" s="322">
        <v>3</v>
      </c>
      <c r="E352" s="324">
        <v>3</v>
      </c>
      <c r="F352" s="324">
        <v>3</v>
      </c>
      <c r="G352" s="324">
        <v>3</v>
      </c>
      <c r="H352" s="324">
        <v>3</v>
      </c>
      <c r="I352" s="322">
        <v>4</v>
      </c>
      <c r="J352" s="322">
        <v>4</v>
      </c>
    </row>
    <row r="353" spans="2:10">
      <c r="B353" s="133"/>
      <c r="C353" s="302"/>
      <c r="D353" s="302"/>
      <c r="E353" s="302"/>
      <c r="F353" s="302"/>
      <c r="G353" s="302"/>
      <c r="H353" s="302"/>
      <c r="I353" s="302"/>
      <c r="J353" s="302"/>
    </row>
    <row r="354" spans="2:10">
      <c r="B354" s="59" t="s">
        <v>680</v>
      </c>
    </row>
    <row r="355" spans="2:10">
      <c r="B355" s="71" t="s">
        <v>331</v>
      </c>
      <c r="C355" s="302">
        <v>11</v>
      </c>
      <c r="D355" s="302">
        <v>11</v>
      </c>
      <c r="E355" s="302">
        <v>13</v>
      </c>
      <c r="F355" s="302">
        <v>13</v>
      </c>
      <c r="G355" s="302">
        <v>13</v>
      </c>
      <c r="H355" s="302">
        <v>12</v>
      </c>
      <c r="I355" s="323">
        <v>10</v>
      </c>
      <c r="J355" s="321">
        <f>SUM(J357:J358)</f>
        <v>10</v>
      </c>
    </row>
    <row r="356" spans="2:10">
      <c r="B356" s="133" t="s">
        <v>330</v>
      </c>
      <c r="C356" s="323"/>
      <c r="D356" s="323"/>
      <c r="E356" s="323"/>
      <c r="F356" s="323"/>
      <c r="G356" s="323"/>
      <c r="H356" s="323"/>
      <c r="I356" s="323"/>
      <c r="J356" s="323"/>
    </row>
    <row r="357" spans="2:10">
      <c r="B357" s="52" t="s">
        <v>260</v>
      </c>
      <c r="C357" s="323">
        <v>10</v>
      </c>
      <c r="D357" s="323">
        <v>9</v>
      </c>
      <c r="E357" s="323">
        <v>11</v>
      </c>
      <c r="F357" s="323">
        <v>11</v>
      </c>
      <c r="G357" s="323">
        <v>11</v>
      </c>
      <c r="H357" s="323">
        <v>10</v>
      </c>
      <c r="I357" s="323">
        <v>8</v>
      </c>
      <c r="J357" s="323">
        <v>8</v>
      </c>
    </row>
    <row r="358" spans="2:10">
      <c r="B358" s="133" t="s">
        <v>322</v>
      </c>
      <c r="C358" s="323">
        <v>1</v>
      </c>
      <c r="D358" s="323">
        <v>2</v>
      </c>
      <c r="E358" s="323">
        <v>2</v>
      </c>
      <c r="F358" s="323">
        <v>2</v>
      </c>
      <c r="G358" s="323">
        <v>2</v>
      </c>
      <c r="H358" s="323">
        <v>2</v>
      </c>
      <c r="I358" s="322">
        <v>2</v>
      </c>
      <c r="J358" s="322">
        <v>2</v>
      </c>
    </row>
    <row r="359" spans="2:10">
      <c r="B359" s="133"/>
      <c r="C359" s="322"/>
      <c r="D359" s="322"/>
      <c r="E359" s="322"/>
      <c r="F359" s="322"/>
      <c r="G359" s="322"/>
      <c r="H359" s="322"/>
      <c r="I359" s="302"/>
      <c r="J359" s="302"/>
    </row>
    <row r="360" spans="2:10">
      <c r="B360" s="59" t="s">
        <v>681</v>
      </c>
    </row>
    <row r="361" spans="2:10">
      <c r="B361" s="71" t="s">
        <v>331</v>
      </c>
      <c r="C361" s="323">
        <v>0</v>
      </c>
      <c r="D361" s="323">
        <v>0</v>
      </c>
      <c r="E361" s="302">
        <v>22</v>
      </c>
      <c r="F361" s="302">
        <v>25</v>
      </c>
      <c r="G361" s="302">
        <v>33</v>
      </c>
      <c r="H361" s="302">
        <v>34</v>
      </c>
      <c r="I361" s="323">
        <v>39</v>
      </c>
      <c r="J361" s="321">
        <f>SUM(J363:J364)</f>
        <v>21</v>
      </c>
    </row>
    <row r="362" spans="2:10">
      <c r="B362" s="133" t="s">
        <v>330</v>
      </c>
      <c r="C362" s="323"/>
      <c r="D362" s="323"/>
      <c r="E362" s="323"/>
      <c r="F362" s="323"/>
      <c r="G362" s="323"/>
      <c r="H362" s="323"/>
      <c r="I362" s="323"/>
      <c r="J362" s="323"/>
    </row>
    <row r="363" spans="2:10">
      <c r="B363" s="52" t="s">
        <v>260</v>
      </c>
      <c r="C363" s="323">
        <v>0</v>
      </c>
      <c r="D363" s="323">
        <v>0</v>
      </c>
      <c r="E363" s="323">
        <v>5</v>
      </c>
      <c r="F363" s="323">
        <v>6</v>
      </c>
      <c r="G363" s="323">
        <v>8</v>
      </c>
      <c r="H363" s="323">
        <v>7</v>
      </c>
      <c r="I363" s="323">
        <v>9</v>
      </c>
      <c r="J363" s="323">
        <v>12</v>
      </c>
    </row>
    <row r="364" spans="2:10" ht="15" thickBot="1">
      <c r="B364" s="133" t="s">
        <v>322</v>
      </c>
      <c r="C364" s="323">
        <v>0</v>
      </c>
      <c r="D364" s="323">
        <v>0</v>
      </c>
      <c r="E364" s="323">
        <v>17</v>
      </c>
      <c r="F364" s="323">
        <v>19</v>
      </c>
      <c r="G364" s="323">
        <v>25</v>
      </c>
      <c r="H364" s="323">
        <v>27</v>
      </c>
      <c r="I364" s="322">
        <v>30</v>
      </c>
      <c r="J364" s="322">
        <v>9</v>
      </c>
    </row>
    <row r="365" spans="2:10" ht="15" thickTop="1">
      <c r="B365" s="2025" t="s">
        <v>656</v>
      </c>
      <c r="C365" s="2025"/>
      <c r="D365" s="2025"/>
      <c r="E365" s="2025"/>
      <c r="F365" s="2025"/>
      <c r="G365" s="2025"/>
      <c r="H365" s="2025"/>
      <c r="I365" s="2025"/>
      <c r="J365" s="2025"/>
    </row>
    <row r="366" spans="2:10" ht="15" customHeight="1">
      <c r="B366" s="2066" t="s">
        <v>682</v>
      </c>
      <c r="C366" s="2066"/>
      <c r="D366" s="2066"/>
      <c r="E366" s="2066"/>
      <c r="F366" s="2066"/>
      <c r="G366" s="2066"/>
      <c r="H366" s="2066"/>
      <c r="I366" s="2066"/>
      <c r="J366" s="2066"/>
    </row>
    <row r="367" spans="2:10">
      <c r="B367" s="2066"/>
      <c r="C367" s="2066"/>
      <c r="D367" s="2066"/>
      <c r="E367" s="2066"/>
      <c r="F367" s="2066"/>
      <c r="G367" s="2066"/>
      <c r="H367" s="2066"/>
      <c r="I367" s="2066"/>
      <c r="J367" s="2066"/>
    </row>
    <row r="368" spans="2:10">
      <c r="B368" s="2066"/>
      <c r="C368" s="2066"/>
      <c r="D368" s="2066"/>
      <c r="E368" s="2066"/>
      <c r="F368" s="2066"/>
      <c r="G368" s="2066"/>
      <c r="H368" s="2066"/>
      <c r="I368" s="2066"/>
      <c r="J368" s="2066"/>
    </row>
    <row r="369" spans="2:10">
      <c r="B369" s="2066"/>
      <c r="C369" s="2066"/>
      <c r="D369" s="2066"/>
      <c r="E369" s="2066"/>
      <c r="F369" s="2066"/>
      <c r="G369" s="2066"/>
      <c r="H369" s="2066"/>
      <c r="I369" s="2066"/>
      <c r="J369" s="2066"/>
    </row>
    <row r="370" spans="2:10">
      <c r="B370" s="2066"/>
      <c r="C370" s="2066"/>
      <c r="D370" s="2066"/>
      <c r="E370" s="2066"/>
      <c r="F370" s="2066"/>
      <c r="G370" s="2066"/>
      <c r="H370" s="2066"/>
      <c r="I370" s="2066"/>
      <c r="J370" s="2066"/>
    </row>
    <row r="371" spans="2:10">
      <c r="B371" s="64"/>
      <c r="C371" s="302"/>
      <c r="D371" s="302"/>
      <c r="E371" s="302"/>
      <c r="F371" s="302"/>
      <c r="G371" s="302"/>
      <c r="H371" s="302"/>
      <c r="I371" s="302"/>
      <c r="J371" s="302"/>
    </row>
    <row r="372" spans="2:10">
      <c r="B372" s="2100" t="s">
        <v>320</v>
      </c>
      <c r="C372" s="2100"/>
      <c r="D372" s="2100"/>
      <c r="E372" s="2100"/>
      <c r="F372" s="2100"/>
      <c r="G372" s="2100"/>
      <c r="H372" s="2100"/>
      <c r="I372" s="2100"/>
      <c r="J372" s="2100"/>
    </row>
    <row r="373" spans="2:10">
      <c r="B373" s="12" t="s">
        <v>319</v>
      </c>
      <c r="C373" s="302"/>
      <c r="D373" s="302"/>
      <c r="E373" s="302"/>
      <c r="F373" s="302"/>
      <c r="G373" s="302"/>
      <c r="H373" s="302"/>
      <c r="I373" s="302"/>
      <c r="J373" s="302"/>
    </row>
    <row r="374" spans="2:10">
      <c r="B374" s="62" t="s">
        <v>242</v>
      </c>
      <c r="C374" s="302"/>
      <c r="D374" s="302"/>
      <c r="E374" s="302"/>
      <c r="F374" s="302"/>
      <c r="G374" s="302"/>
      <c r="H374" s="302"/>
      <c r="I374" s="302"/>
      <c r="J374" s="302"/>
    </row>
    <row r="375" spans="2:10">
      <c r="B375" s="64"/>
      <c r="C375" s="302"/>
      <c r="D375" s="302"/>
      <c r="E375" s="302"/>
      <c r="F375" s="302"/>
      <c r="G375" s="302"/>
      <c r="H375" s="302"/>
      <c r="I375" s="302"/>
      <c r="J375" s="302"/>
    </row>
    <row r="376" spans="2:10">
      <c r="B376" s="61"/>
      <c r="C376" s="303">
        <v>2014</v>
      </c>
      <c r="D376" s="303">
        <v>2015</v>
      </c>
      <c r="E376" s="303">
        <v>2016</v>
      </c>
      <c r="F376" s="303">
        <v>2017</v>
      </c>
      <c r="G376" s="303">
        <v>2018</v>
      </c>
      <c r="H376" s="303">
        <v>2019</v>
      </c>
      <c r="I376" s="303">
        <v>2020</v>
      </c>
      <c r="J376" s="303">
        <v>2021</v>
      </c>
    </row>
    <row r="377" spans="2:10">
      <c r="B377" s="114" t="s">
        <v>310</v>
      </c>
      <c r="C377" s="107"/>
      <c r="D377" s="107"/>
      <c r="E377" s="107"/>
      <c r="F377" s="107"/>
      <c r="G377" s="107"/>
      <c r="H377" s="107"/>
      <c r="I377" s="107"/>
      <c r="J377" s="107"/>
    </row>
    <row r="378" spans="2:10">
      <c r="B378" s="114"/>
      <c r="C378" s="129"/>
      <c r="D378" s="129"/>
      <c r="E378" s="129"/>
      <c r="F378" s="129"/>
      <c r="G378" s="129"/>
      <c r="H378" s="129"/>
      <c r="I378" s="129"/>
      <c r="J378" s="129"/>
    </row>
    <row r="379" spans="2:10">
      <c r="B379" s="59" t="s">
        <v>683</v>
      </c>
      <c r="C379" s="129"/>
      <c r="D379" s="129"/>
      <c r="E379" s="129"/>
      <c r="F379" s="129"/>
      <c r="G379" s="129"/>
      <c r="H379" s="129"/>
      <c r="I379" s="129"/>
      <c r="J379" s="129"/>
    </row>
    <row r="380" spans="2:10">
      <c r="B380" s="71" t="s">
        <v>297</v>
      </c>
      <c r="C380" s="325">
        <f t="shared" ref="C380:I380" si="10">SUM(C381:C383)</f>
        <v>0.48043799999999998</v>
      </c>
      <c r="D380" s="325">
        <f t="shared" si="10"/>
        <v>0.79985100000000009</v>
      </c>
      <c r="E380" s="129">
        <f t="shared" si="10"/>
        <v>1.3222050000000001</v>
      </c>
      <c r="F380" s="325">
        <f t="shared" si="10"/>
        <v>2.0877380000000003</v>
      </c>
      <c r="G380" s="325">
        <f t="shared" si="10"/>
        <v>3.112422</v>
      </c>
      <c r="H380" s="129">
        <f t="shared" si="10"/>
        <v>4.9538469999999997</v>
      </c>
      <c r="I380" s="325">
        <f t="shared" si="10"/>
        <v>8.7008849999999995</v>
      </c>
      <c r="J380" s="129">
        <f>SUM(J381:J383)</f>
        <v>12.683094000000001</v>
      </c>
    </row>
    <row r="381" spans="2:10">
      <c r="B381" s="133" t="s">
        <v>296</v>
      </c>
      <c r="C381" s="325">
        <v>0.48032599999999998</v>
      </c>
      <c r="D381" s="325">
        <v>0.79974600000000007</v>
      </c>
      <c r="E381" s="129">
        <v>1.3218920000000001</v>
      </c>
      <c r="F381" s="325">
        <v>2.0869520000000001</v>
      </c>
      <c r="G381" s="325">
        <v>3.1109489999999997</v>
      </c>
      <c r="H381" s="129">
        <v>4.951778</v>
      </c>
      <c r="I381" s="325">
        <v>8.6987959999999998</v>
      </c>
      <c r="J381" s="129">
        <v>12.680522</v>
      </c>
    </row>
    <row r="382" spans="2:10">
      <c r="B382" s="132" t="s">
        <v>295</v>
      </c>
      <c r="C382" s="129">
        <v>9.3999999999999994E-5</v>
      </c>
      <c r="D382" s="129">
        <v>1.02E-4</v>
      </c>
      <c r="E382" s="129">
        <v>3.1100000000000002E-4</v>
      </c>
      <c r="F382" s="129">
        <v>7.8299999999999995E-4</v>
      </c>
      <c r="G382" s="129">
        <v>1.4630000000000001E-3</v>
      </c>
      <c r="H382" s="325">
        <v>2.0579999999999999E-3</v>
      </c>
      <c r="I382" s="129">
        <v>2.0820000000000001E-3</v>
      </c>
      <c r="J382" s="129">
        <v>2.5460000000000001E-3</v>
      </c>
    </row>
    <row r="383" spans="2:10">
      <c r="B383" s="132" t="s">
        <v>303</v>
      </c>
      <c r="C383" s="325">
        <v>1.8E-5</v>
      </c>
      <c r="D383" s="129">
        <v>3.0000000000000001E-6</v>
      </c>
      <c r="E383" s="129">
        <v>1.9999999999999999E-6</v>
      </c>
      <c r="F383" s="129">
        <v>3.0000000000000001E-6</v>
      </c>
      <c r="G383" s="129">
        <v>1.0000000000000001E-5</v>
      </c>
      <c r="H383" s="325">
        <v>1.1E-5</v>
      </c>
      <c r="I383" s="129">
        <v>6.9999999999999999E-6</v>
      </c>
      <c r="J383" s="129">
        <v>2.5999999999999998E-5</v>
      </c>
    </row>
    <row r="384" spans="2:10">
      <c r="B384" s="65" t="s">
        <v>287</v>
      </c>
      <c r="C384" s="129">
        <v>0</v>
      </c>
      <c r="D384" s="129">
        <v>0</v>
      </c>
      <c r="E384" s="129">
        <v>0</v>
      </c>
      <c r="F384" s="129">
        <v>0</v>
      </c>
      <c r="G384" s="129">
        <v>0</v>
      </c>
      <c r="H384" s="129">
        <v>0</v>
      </c>
      <c r="I384" s="129">
        <v>0</v>
      </c>
      <c r="J384" s="129">
        <v>0</v>
      </c>
    </row>
    <row r="385" spans="2:10">
      <c r="B385" s="302"/>
      <c r="C385" s="129"/>
      <c r="D385" s="129"/>
      <c r="E385" s="129"/>
      <c r="F385" s="129"/>
      <c r="G385" s="129"/>
      <c r="H385" s="129"/>
      <c r="I385" s="129"/>
      <c r="J385" s="129"/>
    </row>
    <row r="386" spans="2:10">
      <c r="B386" s="114" t="s">
        <v>302</v>
      </c>
      <c r="C386" s="129"/>
      <c r="D386" s="129"/>
      <c r="E386" s="129"/>
      <c r="F386" s="129"/>
      <c r="G386" s="129"/>
      <c r="H386" s="129"/>
      <c r="I386" s="129"/>
      <c r="J386" s="129"/>
    </row>
    <row r="387" spans="2:10">
      <c r="B387" s="114"/>
      <c r="C387" s="129"/>
      <c r="D387" s="129"/>
      <c r="E387" s="129"/>
      <c r="F387" s="129"/>
      <c r="G387" s="129"/>
      <c r="H387" s="129"/>
      <c r="I387" s="129"/>
      <c r="J387" s="129"/>
    </row>
    <row r="388" spans="2:10">
      <c r="B388" s="59" t="s">
        <v>684</v>
      </c>
      <c r="C388" s="129"/>
      <c r="D388" s="129"/>
      <c r="E388" s="129"/>
      <c r="F388" s="129"/>
      <c r="G388" s="129"/>
      <c r="H388" s="129"/>
      <c r="I388" s="129"/>
      <c r="J388" s="129"/>
    </row>
    <row r="389" spans="2:10">
      <c r="B389" s="71" t="s">
        <v>297</v>
      </c>
      <c r="C389" s="129">
        <v>10.616270999999999</v>
      </c>
      <c r="D389" s="129">
        <v>10.430356</v>
      </c>
      <c r="E389" s="129">
        <v>10.059469999999999</v>
      </c>
      <c r="F389" s="129">
        <v>9.5126810000000006</v>
      </c>
      <c r="G389" s="129">
        <v>9.0344280000000001</v>
      </c>
      <c r="H389" s="129">
        <v>8.6227330000000002</v>
      </c>
      <c r="I389" s="129">
        <v>6.0818149999999997</v>
      </c>
      <c r="J389" s="129">
        <f>J391</f>
        <v>6.2233330000000002</v>
      </c>
    </row>
    <row r="390" spans="2:10">
      <c r="B390" s="133" t="s">
        <v>296</v>
      </c>
      <c r="C390" s="129"/>
      <c r="D390" s="129"/>
      <c r="E390" s="129"/>
      <c r="F390" s="129"/>
      <c r="G390" s="129"/>
      <c r="H390" s="129"/>
      <c r="I390" s="129"/>
      <c r="J390" s="129"/>
    </row>
    <row r="391" spans="2:10">
      <c r="B391" s="52" t="s">
        <v>289</v>
      </c>
      <c r="C391" s="129">
        <v>10.616270999999999</v>
      </c>
      <c r="D391" s="129">
        <v>10.430356</v>
      </c>
      <c r="E391" s="129">
        <v>10.059469999999999</v>
      </c>
      <c r="F391" s="129">
        <v>9.5126810000000006</v>
      </c>
      <c r="G391" s="129">
        <v>9.0344280000000001</v>
      </c>
      <c r="H391" s="129">
        <v>8.6227330000000002</v>
      </c>
      <c r="I391" s="129">
        <v>6.0818149999999997</v>
      </c>
      <c r="J391" s="129">
        <v>6.2233330000000002</v>
      </c>
    </row>
    <row r="392" spans="2:10">
      <c r="B392" s="65" t="s">
        <v>287</v>
      </c>
      <c r="C392" s="129">
        <v>0</v>
      </c>
      <c r="D392" s="129">
        <v>0</v>
      </c>
      <c r="E392" s="129">
        <v>0</v>
      </c>
      <c r="F392" s="129">
        <v>0</v>
      </c>
      <c r="G392" s="129">
        <v>0</v>
      </c>
      <c r="H392" s="129">
        <v>0</v>
      </c>
      <c r="I392" s="129">
        <v>0</v>
      </c>
      <c r="J392" s="129">
        <v>0</v>
      </c>
    </row>
    <row r="393" spans="2:10">
      <c r="B393" s="133"/>
      <c r="C393" s="129"/>
      <c r="D393" s="129"/>
      <c r="E393" s="129"/>
      <c r="F393" s="129"/>
      <c r="G393" s="129"/>
      <c r="H393" s="129"/>
      <c r="I393" s="129"/>
      <c r="J393" s="129"/>
    </row>
    <row r="394" spans="2:10">
      <c r="B394" s="59" t="s">
        <v>674</v>
      </c>
      <c r="C394" s="129"/>
      <c r="D394" s="129"/>
      <c r="E394" s="129"/>
      <c r="F394" s="129"/>
      <c r="G394" s="129"/>
      <c r="H394" s="129"/>
      <c r="I394" s="129"/>
      <c r="J394" s="129"/>
    </row>
    <row r="395" spans="2:10">
      <c r="B395" s="71" t="s">
        <v>297</v>
      </c>
      <c r="C395" s="325">
        <f t="shared" ref="C395:J395" si="11">SUM(C397:C398)</f>
        <v>4.7901420000000003</v>
      </c>
      <c r="D395" s="325">
        <f t="shared" si="11"/>
        <v>6.4986269999999999</v>
      </c>
      <c r="E395" s="325">
        <f t="shared" si="11"/>
        <v>9.8125940000000007</v>
      </c>
      <c r="F395" s="325">
        <f t="shared" si="11"/>
        <v>13.984021</v>
      </c>
      <c r="G395" s="325">
        <f t="shared" si="11"/>
        <v>20.426698999999999</v>
      </c>
      <c r="H395" s="325">
        <f t="shared" si="11"/>
        <v>25.667245130000001</v>
      </c>
      <c r="I395" s="325">
        <f t="shared" si="11"/>
        <v>32.275354</v>
      </c>
      <c r="J395" s="129">
        <f t="shared" si="11"/>
        <v>43.863509999999998</v>
      </c>
    </row>
    <row r="396" spans="2:10">
      <c r="B396" s="133" t="s">
        <v>296</v>
      </c>
      <c r="C396" s="129"/>
      <c r="D396" s="129"/>
      <c r="E396" s="129"/>
      <c r="F396" s="129"/>
      <c r="G396" s="129"/>
      <c r="H396" s="129"/>
      <c r="I396" s="129"/>
      <c r="J396" s="129"/>
    </row>
    <row r="397" spans="2:10">
      <c r="B397" s="131" t="s">
        <v>294</v>
      </c>
      <c r="C397" s="129">
        <v>4.566808</v>
      </c>
      <c r="D397" s="325">
        <v>6.3710079999999998</v>
      </c>
      <c r="E397" s="129">
        <v>9.4982330000000008</v>
      </c>
      <c r="F397" s="325">
        <v>13.532622</v>
      </c>
      <c r="G397" s="129">
        <v>17.468046999999999</v>
      </c>
      <c r="H397" s="129">
        <v>21.246448000000001</v>
      </c>
      <c r="I397" s="129">
        <v>25.980263000000001</v>
      </c>
      <c r="J397" s="129">
        <v>34.223658</v>
      </c>
    </row>
    <row r="398" spans="2:10">
      <c r="B398" s="131" t="s">
        <v>293</v>
      </c>
      <c r="C398" s="325">
        <v>0.223334</v>
      </c>
      <c r="D398" s="325">
        <v>0.12761900000000001</v>
      </c>
      <c r="E398" s="325">
        <v>0.314361</v>
      </c>
      <c r="F398" s="325">
        <v>0.45139899999999999</v>
      </c>
      <c r="G398" s="325">
        <v>2.9586519999999998</v>
      </c>
      <c r="H398" s="325">
        <v>4.4207971300000004</v>
      </c>
      <c r="I398" s="325">
        <v>6.2950910000000002</v>
      </c>
      <c r="J398" s="129">
        <v>9.6398519999999994</v>
      </c>
    </row>
    <row r="399" spans="2:10">
      <c r="B399" s="65" t="s">
        <v>287</v>
      </c>
      <c r="C399" s="129">
        <v>0</v>
      </c>
      <c r="D399" s="129">
        <v>0</v>
      </c>
      <c r="E399" s="129">
        <v>0</v>
      </c>
      <c r="F399" s="129">
        <v>0</v>
      </c>
      <c r="G399" s="129">
        <v>0</v>
      </c>
      <c r="H399" s="129">
        <v>0</v>
      </c>
      <c r="I399" s="129">
        <v>0</v>
      </c>
      <c r="J399" s="129">
        <v>0</v>
      </c>
    </row>
    <row r="400" spans="2:10">
      <c r="B400" s="133"/>
      <c r="C400" s="129"/>
      <c r="D400" s="129"/>
      <c r="E400" s="129"/>
      <c r="F400" s="129"/>
      <c r="G400" s="129"/>
      <c r="H400" s="129"/>
      <c r="I400" s="129"/>
      <c r="J400" s="129"/>
    </row>
    <row r="401" spans="2:10" ht="15">
      <c r="B401" s="59" t="s">
        <v>685</v>
      </c>
      <c r="C401" s="129"/>
      <c r="D401" s="129"/>
      <c r="E401" s="129"/>
      <c r="F401" s="129"/>
      <c r="G401" s="129"/>
      <c r="H401" s="129"/>
      <c r="I401" s="129"/>
      <c r="J401" s="129"/>
    </row>
    <row r="402" spans="2:10">
      <c r="B402" s="71" t="s">
        <v>297</v>
      </c>
      <c r="C402" s="129">
        <f t="shared" ref="C402:I402" si="12">C403</f>
        <v>9.5628019999999996</v>
      </c>
      <c r="D402" s="129">
        <f t="shared" si="12"/>
        <v>4.293901</v>
      </c>
      <c r="E402" s="129">
        <f t="shared" si="12"/>
        <v>2.7890389999999998</v>
      </c>
      <c r="F402" s="129">
        <f t="shared" si="12"/>
        <v>2.5230939999999999</v>
      </c>
      <c r="G402" s="129">
        <f t="shared" si="12"/>
        <v>2.5814789999999999</v>
      </c>
      <c r="H402" s="325">
        <f t="shared" si="12"/>
        <v>2.6490390000000001</v>
      </c>
      <c r="I402" s="129">
        <f t="shared" si="12"/>
        <v>1.092193</v>
      </c>
      <c r="J402" s="129">
        <f>J403</f>
        <v>8.7410000000000002E-2</v>
      </c>
    </row>
    <row r="403" spans="2:10">
      <c r="B403" s="133" t="s">
        <v>296</v>
      </c>
      <c r="C403" s="129">
        <v>9.5628019999999996</v>
      </c>
      <c r="D403" s="129">
        <v>4.293901</v>
      </c>
      <c r="E403" s="129">
        <v>2.7890389999999998</v>
      </c>
      <c r="F403" s="129">
        <v>2.5230939999999999</v>
      </c>
      <c r="G403" s="129">
        <v>2.5814789999999999</v>
      </c>
      <c r="H403" s="325">
        <v>2.6490390000000001</v>
      </c>
      <c r="I403" s="129">
        <v>1.092193</v>
      </c>
      <c r="J403" s="129">
        <v>8.7410000000000002E-2</v>
      </c>
    </row>
    <row r="404" spans="2:10">
      <c r="B404" s="65" t="s">
        <v>287</v>
      </c>
      <c r="C404" s="129">
        <v>0</v>
      </c>
      <c r="D404" s="129">
        <v>0</v>
      </c>
      <c r="E404" s="129">
        <v>0</v>
      </c>
      <c r="F404" s="129">
        <v>0</v>
      </c>
      <c r="G404" s="129">
        <v>0</v>
      </c>
      <c r="H404" s="129">
        <v>0</v>
      </c>
      <c r="I404" s="129">
        <v>0</v>
      </c>
      <c r="J404" s="129">
        <v>0</v>
      </c>
    </row>
    <row r="405" spans="2:10">
      <c r="B405" s="133"/>
      <c r="C405" s="129"/>
      <c r="D405" s="129"/>
      <c r="E405" s="129"/>
      <c r="F405" s="129"/>
      <c r="G405" s="129"/>
      <c r="H405" s="129"/>
      <c r="I405" s="129"/>
      <c r="J405" s="129"/>
    </row>
    <row r="406" spans="2:10">
      <c r="B406" s="59" t="s">
        <v>677</v>
      </c>
      <c r="C406" s="129"/>
      <c r="D406" s="129"/>
      <c r="E406" s="129"/>
      <c r="F406" s="129"/>
      <c r="G406" s="129"/>
      <c r="H406" s="129"/>
      <c r="I406" s="129"/>
      <c r="J406" s="129"/>
    </row>
    <row r="407" spans="2:10">
      <c r="B407" s="71" t="s">
        <v>297</v>
      </c>
      <c r="C407" s="129">
        <v>5.8852760000000002</v>
      </c>
      <c r="D407" s="129">
        <v>6.9471030000000003</v>
      </c>
      <c r="E407" s="129">
        <v>7.9618209999999996</v>
      </c>
      <c r="F407" s="129">
        <v>9.2421930000000003</v>
      </c>
      <c r="G407" s="129">
        <v>9.5928550000000001</v>
      </c>
      <c r="H407" s="129">
        <v>10.31874</v>
      </c>
      <c r="I407" s="129">
        <v>11.888451</v>
      </c>
      <c r="J407" s="129">
        <f>J409</f>
        <v>10.879531</v>
      </c>
    </row>
    <row r="408" spans="2:10">
      <c r="B408" s="133" t="s">
        <v>296</v>
      </c>
      <c r="C408" s="129"/>
      <c r="D408" s="129"/>
      <c r="E408" s="129"/>
      <c r="F408" s="129"/>
      <c r="G408" s="129"/>
      <c r="H408" s="129"/>
      <c r="I408" s="129"/>
      <c r="J408" s="129"/>
    </row>
    <row r="409" spans="2:10">
      <c r="B409" s="52" t="s">
        <v>686</v>
      </c>
      <c r="C409" s="307">
        <v>5.8852760000000002</v>
      </c>
      <c r="D409" s="307">
        <v>6.9471030000000003</v>
      </c>
      <c r="E409" s="307">
        <v>7.9618209999999996</v>
      </c>
      <c r="F409" s="307">
        <v>9.2421930000000003</v>
      </c>
      <c r="G409" s="129">
        <v>9.5928550000000001</v>
      </c>
      <c r="H409" s="129">
        <v>10.31874</v>
      </c>
      <c r="I409" s="129">
        <v>11.888451</v>
      </c>
      <c r="J409" s="129">
        <v>10.879531</v>
      </c>
    </row>
    <row r="410" spans="2:10">
      <c r="B410" s="65" t="s">
        <v>287</v>
      </c>
      <c r="C410" s="307">
        <v>0</v>
      </c>
      <c r="D410" s="307">
        <v>0</v>
      </c>
      <c r="E410" s="307">
        <v>0</v>
      </c>
      <c r="F410" s="307">
        <v>0</v>
      </c>
      <c r="G410" s="307">
        <v>0</v>
      </c>
      <c r="H410" s="307">
        <v>0</v>
      </c>
      <c r="I410" s="307">
        <v>0</v>
      </c>
      <c r="J410" s="307">
        <v>0</v>
      </c>
    </row>
    <row r="411" spans="2:10">
      <c r="B411" s="133"/>
      <c r="C411" s="129"/>
      <c r="D411" s="129"/>
      <c r="E411" s="129"/>
      <c r="F411" s="129"/>
      <c r="G411" s="129"/>
      <c r="H411" s="129"/>
      <c r="I411" s="129"/>
      <c r="J411" s="129"/>
    </row>
    <row r="412" spans="2:10">
      <c r="B412" s="59" t="s">
        <v>678</v>
      </c>
      <c r="C412" s="326"/>
      <c r="D412" s="326"/>
      <c r="E412" s="326"/>
      <c r="F412" s="129"/>
      <c r="G412" s="129"/>
      <c r="H412" s="129"/>
      <c r="I412" s="129"/>
      <c r="J412" s="129"/>
    </row>
    <row r="413" spans="2:10">
      <c r="B413" s="71" t="s">
        <v>297</v>
      </c>
      <c r="C413" s="129">
        <v>0</v>
      </c>
      <c r="D413" s="129">
        <f t="shared" ref="D413:H413" si="13">D415</f>
        <v>3.7077840000000002</v>
      </c>
      <c r="E413" s="129">
        <f t="shared" si="13"/>
        <v>4.4361059999999997</v>
      </c>
      <c r="F413" s="129">
        <f t="shared" si="13"/>
        <v>4.7835780000000003</v>
      </c>
      <c r="G413" s="129">
        <f t="shared" si="13"/>
        <v>5.1612080000000002</v>
      </c>
      <c r="H413" s="129">
        <f t="shared" si="13"/>
        <v>5.0438900000000002</v>
      </c>
      <c r="I413" s="325">
        <f>I415</f>
        <v>5.2325379999999999</v>
      </c>
      <c r="J413" s="129">
        <f>J415</f>
        <v>5.3104800000000001</v>
      </c>
    </row>
    <row r="414" spans="2:10">
      <c r="B414" s="133" t="s">
        <v>296</v>
      </c>
      <c r="C414" s="129"/>
      <c r="D414" s="129"/>
      <c r="E414" s="129"/>
      <c r="F414" s="129"/>
      <c r="G414" s="129"/>
      <c r="H414" s="129"/>
      <c r="I414" s="129"/>
      <c r="J414" s="129"/>
    </row>
    <row r="415" spans="2:10">
      <c r="B415" s="131" t="s">
        <v>288</v>
      </c>
      <c r="C415" s="129">
        <v>0</v>
      </c>
      <c r="D415" s="129">
        <v>3.7077840000000002</v>
      </c>
      <c r="E415" s="129">
        <v>4.4361059999999997</v>
      </c>
      <c r="F415" s="129">
        <v>4.7835780000000003</v>
      </c>
      <c r="G415" s="129">
        <v>5.1612080000000002</v>
      </c>
      <c r="H415" s="129">
        <v>5.0438900000000002</v>
      </c>
      <c r="I415" s="325">
        <v>5.2325379999999999</v>
      </c>
      <c r="J415" s="129">
        <v>5.3104800000000001</v>
      </c>
    </row>
    <row r="416" spans="2:10">
      <c r="B416" s="65" t="s">
        <v>287</v>
      </c>
      <c r="C416" s="129">
        <v>0</v>
      </c>
      <c r="D416" s="129">
        <v>0</v>
      </c>
      <c r="E416" s="129">
        <v>0</v>
      </c>
      <c r="F416" s="129">
        <v>0</v>
      </c>
      <c r="G416" s="129">
        <v>0</v>
      </c>
      <c r="H416" s="129">
        <v>0</v>
      </c>
      <c r="I416" s="129">
        <v>0</v>
      </c>
      <c r="J416" s="129">
        <v>0</v>
      </c>
    </row>
    <row r="417" spans="2:10">
      <c r="B417" s="65"/>
      <c r="C417" s="129"/>
      <c r="D417" s="129"/>
      <c r="E417" s="129"/>
      <c r="F417" s="129"/>
      <c r="G417" s="129"/>
      <c r="H417" s="129"/>
      <c r="I417" s="129"/>
      <c r="J417" s="129"/>
    </row>
    <row r="418" spans="2:10">
      <c r="B418" s="59" t="s">
        <v>679</v>
      </c>
      <c r="C418" s="326"/>
      <c r="D418" s="326"/>
      <c r="E418" s="326"/>
      <c r="F418" s="326"/>
      <c r="G418" s="326"/>
      <c r="H418" s="326"/>
      <c r="I418" s="326"/>
      <c r="J418" s="326"/>
    </row>
    <row r="419" spans="2:10">
      <c r="B419" s="71" t="s">
        <v>297</v>
      </c>
      <c r="C419" s="307">
        <v>0</v>
      </c>
      <c r="D419" s="307">
        <v>0</v>
      </c>
      <c r="E419" s="307">
        <v>0</v>
      </c>
      <c r="F419" s="307">
        <v>0</v>
      </c>
      <c r="G419" s="307">
        <v>0</v>
      </c>
      <c r="H419" s="307">
        <v>0</v>
      </c>
      <c r="I419" s="307">
        <v>0</v>
      </c>
      <c r="J419" s="307">
        <v>0</v>
      </c>
    </row>
    <row r="420" spans="2:10">
      <c r="B420" s="133" t="s">
        <v>296</v>
      </c>
      <c r="C420" s="307"/>
      <c r="D420" s="307"/>
      <c r="E420" s="307"/>
      <c r="F420" s="307"/>
      <c r="G420" s="307"/>
      <c r="H420" s="307"/>
      <c r="I420" s="307"/>
      <c r="J420" s="307"/>
    </row>
    <row r="421" spans="2:10">
      <c r="B421" s="131" t="s">
        <v>288</v>
      </c>
      <c r="C421" s="307">
        <v>0</v>
      </c>
      <c r="D421" s="307">
        <v>0</v>
      </c>
      <c r="E421" s="307">
        <v>0</v>
      </c>
      <c r="F421" s="307">
        <v>0</v>
      </c>
      <c r="G421" s="307">
        <v>0</v>
      </c>
      <c r="H421" s="307">
        <v>0</v>
      </c>
      <c r="I421" s="307">
        <v>0</v>
      </c>
      <c r="J421" s="307">
        <v>0</v>
      </c>
    </row>
    <row r="422" spans="2:10">
      <c r="B422" s="65" t="s">
        <v>287</v>
      </c>
      <c r="C422" s="307">
        <v>0</v>
      </c>
      <c r="D422" s="307">
        <v>0</v>
      </c>
      <c r="E422" s="307">
        <v>0</v>
      </c>
      <c r="F422" s="307">
        <v>0</v>
      </c>
      <c r="G422" s="307">
        <v>0</v>
      </c>
      <c r="H422" s="307">
        <v>0</v>
      </c>
      <c r="I422" s="307">
        <v>0</v>
      </c>
      <c r="J422" s="307">
        <v>0</v>
      </c>
    </row>
    <row r="423" spans="2:10">
      <c r="B423" s="133"/>
      <c r="C423" s="326"/>
      <c r="D423" s="326"/>
      <c r="E423" s="326"/>
      <c r="F423" s="326"/>
      <c r="G423" s="326"/>
      <c r="H423" s="326"/>
      <c r="I423" s="326"/>
      <c r="J423" s="326"/>
    </row>
    <row r="424" spans="2:10">
      <c r="B424" s="59" t="s">
        <v>680</v>
      </c>
      <c r="C424" s="326"/>
      <c r="D424" s="326"/>
      <c r="E424" s="326"/>
      <c r="F424" s="326"/>
      <c r="G424" s="326"/>
      <c r="H424" s="326"/>
      <c r="I424" s="326"/>
      <c r="J424" s="326"/>
    </row>
    <row r="425" spans="2:10">
      <c r="B425" s="71" t="s">
        <v>297</v>
      </c>
      <c r="C425" s="307">
        <v>0</v>
      </c>
      <c r="D425" s="307">
        <v>0</v>
      </c>
      <c r="E425" s="307">
        <v>0</v>
      </c>
      <c r="F425" s="307">
        <v>0</v>
      </c>
      <c r="G425" s="307">
        <v>0</v>
      </c>
      <c r="H425" s="307">
        <v>0</v>
      </c>
      <c r="I425" s="307">
        <v>0</v>
      </c>
      <c r="J425" s="307">
        <v>0</v>
      </c>
    </row>
    <row r="426" spans="2:10">
      <c r="B426" s="133" t="s">
        <v>296</v>
      </c>
      <c r="C426" s="307"/>
      <c r="D426" s="307"/>
      <c r="E426" s="307"/>
      <c r="F426" s="307"/>
      <c r="G426" s="307"/>
      <c r="H426" s="307"/>
      <c r="I426" s="307"/>
      <c r="J426" s="307"/>
    </row>
    <row r="427" spans="2:10">
      <c r="B427" s="131" t="s">
        <v>288</v>
      </c>
      <c r="C427" s="307">
        <v>0</v>
      </c>
      <c r="D427" s="307">
        <v>0</v>
      </c>
      <c r="E427" s="307">
        <v>0</v>
      </c>
      <c r="F427" s="307">
        <v>0</v>
      </c>
      <c r="G427" s="307">
        <v>0</v>
      </c>
      <c r="H427" s="307">
        <v>0</v>
      </c>
      <c r="I427" s="307">
        <v>0</v>
      </c>
      <c r="J427" s="307">
        <v>0</v>
      </c>
    </row>
    <row r="428" spans="2:10">
      <c r="B428" s="65" t="s">
        <v>287</v>
      </c>
      <c r="C428" s="307">
        <v>0</v>
      </c>
      <c r="D428" s="307">
        <v>0</v>
      </c>
      <c r="E428" s="307">
        <v>0</v>
      </c>
      <c r="F428" s="307">
        <v>0</v>
      </c>
      <c r="G428" s="307">
        <v>0</v>
      </c>
      <c r="H428" s="307">
        <v>0</v>
      </c>
      <c r="I428" s="307">
        <v>0</v>
      </c>
      <c r="J428" s="307">
        <v>0</v>
      </c>
    </row>
    <row r="429" spans="2:10">
      <c r="B429" s="133"/>
      <c r="C429" s="327"/>
      <c r="D429" s="327"/>
      <c r="E429" s="327"/>
      <c r="F429" s="327"/>
      <c r="G429" s="327"/>
      <c r="H429" s="327"/>
      <c r="I429" s="327"/>
      <c r="J429" s="327"/>
    </row>
    <row r="430" spans="2:10">
      <c r="B430" s="59" t="s">
        <v>681</v>
      </c>
      <c r="C430" s="326"/>
      <c r="D430" s="326"/>
      <c r="E430" s="326"/>
      <c r="F430" s="326"/>
      <c r="G430" s="326"/>
      <c r="H430" s="326"/>
      <c r="I430" s="326"/>
      <c r="J430" s="326"/>
    </row>
    <row r="431" spans="2:10">
      <c r="B431" s="71" t="s">
        <v>297</v>
      </c>
      <c r="C431" s="307">
        <v>0</v>
      </c>
      <c r="D431" s="307">
        <v>0</v>
      </c>
      <c r="E431" s="307">
        <v>0</v>
      </c>
      <c r="F431" s="307">
        <f t="shared" ref="F431:I431" si="14">F433</f>
        <v>0.68704699999999996</v>
      </c>
      <c r="G431" s="316">
        <f t="shared" si="14"/>
        <v>2.142633</v>
      </c>
      <c r="H431" s="307">
        <f t="shared" si="14"/>
        <v>2.7447620000000001</v>
      </c>
      <c r="I431" s="316">
        <f t="shared" si="14"/>
        <v>3.2172890000000001</v>
      </c>
      <c r="J431" s="307">
        <f>J433</f>
        <v>4.1145670000000001</v>
      </c>
    </row>
    <row r="432" spans="2:10">
      <c r="B432" s="133" t="s">
        <v>296</v>
      </c>
      <c r="C432" s="307"/>
      <c r="D432" s="307"/>
      <c r="E432" s="307"/>
      <c r="F432" s="307"/>
      <c r="G432" s="307"/>
      <c r="H432" s="307"/>
      <c r="I432" s="307"/>
      <c r="J432" s="307"/>
    </row>
    <row r="433" spans="2:10">
      <c r="B433" s="52" t="s">
        <v>288</v>
      </c>
      <c r="C433" s="307">
        <v>0</v>
      </c>
      <c r="D433" s="307">
        <v>0</v>
      </c>
      <c r="E433" s="307">
        <v>0</v>
      </c>
      <c r="F433" s="307">
        <v>0.68704699999999996</v>
      </c>
      <c r="G433" s="316">
        <v>2.142633</v>
      </c>
      <c r="H433" s="307">
        <v>2.7447620000000001</v>
      </c>
      <c r="I433" s="316">
        <v>3.2172890000000001</v>
      </c>
      <c r="J433" s="307">
        <v>4.1145670000000001</v>
      </c>
    </row>
    <row r="434" spans="2:10" ht="15" thickBot="1">
      <c r="B434" s="133" t="s">
        <v>287</v>
      </c>
      <c r="C434" s="307">
        <v>0</v>
      </c>
      <c r="D434" s="307">
        <v>0</v>
      </c>
      <c r="E434" s="307">
        <v>0</v>
      </c>
      <c r="F434" s="327">
        <v>0</v>
      </c>
      <c r="G434" s="327">
        <v>0</v>
      </c>
      <c r="H434" s="327">
        <v>0</v>
      </c>
      <c r="I434" s="327">
        <v>0</v>
      </c>
      <c r="J434" s="327">
        <v>0</v>
      </c>
    </row>
    <row r="435" spans="2:10" ht="15" thickTop="1">
      <c r="B435" s="2025" t="s">
        <v>656</v>
      </c>
      <c r="C435" s="2025"/>
      <c r="D435" s="2025"/>
      <c r="E435" s="2025"/>
      <c r="F435" s="2025"/>
      <c r="G435" s="2025"/>
      <c r="H435" s="2025"/>
      <c r="I435" s="2025"/>
      <c r="J435" s="2025"/>
    </row>
    <row r="436" spans="2:10">
      <c r="B436" s="2066" t="s">
        <v>687</v>
      </c>
      <c r="C436" s="2066"/>
      <c r="D436" s="2066"/>
      <c r="E436" s="2066"/>
      <c r="F436" s="2066"/>
      <c r="G436" s="2066"/>
      <c r="H436" s="2066"/>
      <c r="I436" s="2066"/>
      <c r="J436" s="2066"/>
    </row>
    <row r="437" spans="2:10">
      <c r="B437" s="64"/>
      <c r="C437" s="302"/>
      <c r="D437" s="302"/>
      <c r="E437" s="302"/>
      <c r="F437" s="302"/>
      <c r="G437" s="302"/>
      <c r="H437" s="302"/>
      <c r="I437" s="302"/>
      <c r="J437" s="302"/>
    </row>
    <row r="438" spans="2:10">
      <c r="B438" s="2100" t="s">
        <v>313</v>
      </c>
      <c r="C438" s="2100"/>
      <c r="D438" s="2100"/>
      <c r="E438" s="2100"/>
      <c r="F438" s="2100"/>
      <c r="G438" s="2100"/>
      <c r="H438" s="2100"/>
      <c r="I438" s="2100"/>
      <c r="J438" s="2100"/>
    </row>
    <row r="439" spans="2:10">
      <c r="B439" s="12" t="s">
        <v>312</v>
      </c>
      <c r="C439" s="302"/>
      <c r="D439" s="302"/>
      <c r="E439" s="302"/>
      <c r="F439" s="302"/>
      <c r="G439" s="302"/>
      <c r="H439" s="302"/>
      <c r="I439" s="302"/>
      <c r="J439" s="302"/>
    </row>
    <row r="440" spans="2:10">
      <c r="B440" s="62" t="s">
        <v>311</v>
      </c>
      <c r="C440" s="302"/>
      <c r="D440" s="302"/>
      <c r="E440" s="302"/>
      <c r="F440" s="302"/>
      <c r="G440" s="302"/>
      <c r="H440" s="302"/>
      <c r="I440" s="302"/>
      <c r="J440" s="302"/>
    </row>
    <row r="441" spans="2:10">
      <c r="B441" s="64"/>
      <c r="C441" s="302"/>
      <c r="D441" s="302"/>
      <c r="E441" s="302"/>
      <c r="F441" s="302"/>
      <c r="G441" s="302"/>
      <c r="H441" s="302"/>
      <c r="I441" s="302"/>
      <c r="J441" s="302"/>
    </row>
    <row r="442" spans="2:10">
      <c r="B442" s="61"/>
      <c r="C442" s="303">
        <v>2014</v>
      </c>
      <c r="D442" s="303">
        <v>2015</v>
      </c>
      <c r="E442" s="303">
        <v>2016</v>
      </c>
      <c r="F442" s="303">
        <v>2017</v>
      </c>
      <c r="G442" s="303">
        <v>2018</v>
      </c>
      <c r="H442" s="303">
        <v>2019</v>
      </c>
      <c r="I442" s="303">
        <v>2020</v>
      </c>
      <c r="J442" s="303">
        <v>2021</v>
      </c>
    </row>
    <row r="443" spans="2:10">
      <c r="B443" s="114" t="s">
        <v>310</v>
      </c>
      <c r="C443" s="107"/>
      <c r="D443" s="107"/>
      <c r="E443" s="107"/>
      <c r="F443" s="107"/>
      <c r="G443" s="107"/>
      <c r="H443" s="107"/>
      <c r="I443" s="107"/>
      <c r="J443" s="107"/>
    </row>
    <row r="444" spans="2:10">
      <c r="B444" s="114"/>
      <c r="C444" s="107"/>
      <c r="D444" s="107"/>
      <c r="E444" s="107"/>
      <c r="F444" s="107"/>
      <c r="G444" s="107"/>
      <c r="H444" s="107"/>
      <c r="I444" s="107"/>
      <c r="J444" s="107"/>
    </row>
    <row r="445" spans="2:10">
      <c r="B445" s="59" t="s">
        <v>683</v>
      </c>
      <c r="C445" s="107"/>
      <c r="D445" s="107"/>
      <c r="E445" s="107"/>
      <c r="F445" s="107"/>
      <c r="G445" s="107"/>
      <c r="H445" s="107"/>
      <c r="I445" s="107"/>
      <c r="J445" s="107"/>
    </row>
    <row r="446" spans="2:10">
      <c r="B446" s="71" t="s">
        <v>297</v>
      </c>
      <c r="C446" s="328">
        <f t="shared" ref="C446:J446" si="15">SUM(C447:C449)</f>
        <v>394594.32445919421</v>
      </c>
      <c r="D446" s="328">
        <f t="shared" si="15"/>
        <v>381844.82465271861</v>
      </c>
      <c r="E446" s="328">
        <f t="shared" si="15"/>
        <v>426602.35765941552</v>
      </c>
      <c r="F446" s="328">
        <f t="shared" si="15"/>
        <v>588054.49952189578</v>
      </c>
      <c r="G446" s="328">
        <f t="shared" si="15"/>
        <v>534583.64963655535</v>
      </c>
      <c r="H446" s="328">
        <f t="shared" si="15"/>
        <v>648723.46773852722</v>
      </c>
      <c r="I446" s="328">
        <f t="shared" si="15"/>
        <v>864347.20695491461</v>
      </c>
      <c r="J446" s="329">
        <f t="shared" si="15"/>
        <v>1062694.3405915715</v>
      </c>
    </row>
    <row r="447" spans="2:10">
      <c r="B447" s="133" t="s">
        <v>296</v>
      </c>
      <c r="C447" s="328">
        <v>394594.14073287422</v>
      </c>
      <c r="D447" s="328">
        <v>381844.6712892786</v>
      </c>
      <c r="E447" s="328">
        <v>426599.02465972549</v>
      </c>
      <c r="F447" s="328">
        <v>588049.61120605585</v>
      </c>
      <c r="G447" s="328">
        <v>534567.00073170534</v>
      </c>
      <c r="H447" s="328">
        <v>648702.02858047723</v>
      </c>
      <c r="I447" s="328">
        <v>864324.50573019462</v>
      </c>
      <c r="J447" s="329">
        <v>1062653.4244780117</v>
      </c>
    </row>
    <row r="448" spans="2:10">
      <c r="B448" s="132" t="s">
        <v>295</v>
      </c>
      <c r="C448" s="328">
        <v>0.11409</v>
      </c>
      <c r="D448" s="328">
        <v>0.135296</v>
      </c>
      <c r="E448" s="328">
        <v>3.3160182499999999</v>
      </c>
      <c r="F448" s="328">
        <v>4.8624089400000008</v>
      </c>
      <c r="G448" s="328">
        <v>16.59329773</v>
      </c>
      <c r="H448" s="328">
        <v>21.412525429999999</v>
      </c>
      <c r="I448" s="328">
        <v>22.682703780000001</v>
      </c>
      <c r="J448" s="329">
        <v>40.834998599999999</v>
      </c>
    </row>
    <row r="449" spans="2:10">
      <c r="B449" s="132" t="s">
        <v>303</v>
      </c>
      <c r="C449" s="328">
        <v>6.9636320000000002E-2</v>
      </c>
      <c r="D449" s="328">
        <v>1.8067439999999997E-2</v>
      </c>
      <c r="E449" s="328">
        <v>1.698144E-2</v>
      </c>
      <c r="F449" s="328">
        <v>2.59069E-2</v>
      </c>
      <c r="G449" s="328">
        <v>5.5607120000000003E-2</v>
      </c>
      <c r="H449" s="328">
        <v>2.6632619999999999E-2</v>
      </c>
      <c r="I449" s="328">
        <v>1.852094E-2</v>
      </c>
      <c r="J449" s="329">
        <v>8.111496E-2</v>
      </c>
    </row>
    <row r="450" spans="2:10">
      <c r="B450" s="65" t="s">
        <v>301</v>
      </c>
      <c r="C450" s="329"/>
      <c r="D450" s="329"/>
      <c r="E450" s="329"/>
      <c r="F450" s="329"/>
      <c r="G450" s="329"/>
      <c r="H450" s="329"/>
      <c r="I450" s="329"/>
      <c r="J450" s="329"/>
    </row>
    <row r="451" spans="2:10">
      <c r="B451" s="136"/>
      <c r="C451" s="329"/>
      <c r="D451" s="329"/>
      <c r="E451" s="329"/>
      <c r="F451" s="329"/>
      <c r="G451" s="329"/>
      <c r="H451" s="329"/>
      <c r="I451" s="329"/>
      <c r="J451" s="329"/>
    </row>
    <row r="452" spans="2:10">
      <c r="B452" s="114" t="s">
        <v>302</v>
      </c>
      <c r="C452" s="329"/>
      <c r="D452" s="329"/>
      <c r="E452" s="329"/>
      <c r="F452" s="329"/>
      <c r="G452" s="329"/>
      <c r="H452" s="329"/>
      <c r="I452" s="329"/>
      <c r="J452" s="329"/>
    </row>
    <row r="453" spans="2:10">
      <c r="B453" s="114"/>
      <c r="C453" s="329"/>
      <c r="D453" s="329"/>
      <c r="E453" s="329"/>
      <c r="F453" s="329"/>
      <c r="G453" s="329"/>
      <c r="H453" s="329"/>
      <c r="I453" s="329"/>
      <c r="J453" s="329"/>
    </row>
    <row r="454" spans="2:10">
      <c r="B454" s="59" t="s">
        <v>684</v>
      </c>
      <c r="C454" s="329"/>
      <c r="D454" s="329"/>
      <c r="E454" s="329"/>
      <c r="F454" s="329"/>
      <c r="G454" s="329"/>
      <c r="H454" s="329"/>
      <c r="I454" s="329"/>
      <c r="J454" s="329"/>
    </row>
    <row r="455" spans="2:10">
      <c r="B455" s="71" t="s">
        <v>297</v>
      </c>
      <c r="C455" s="329">
        <f>C457</f>
        <v>30017.150979287413</v>
      </c>
      <c r="D455" s="329">
        <f t="shared" ref="D455:J455" si="16">D457</f>
        <v>28086.617293898886</v>
      </c>
      <c r="E455" s="329">
        <f t="shared" si="16"/>
        <v>25569.481839102085</v>
      </c>
      <c r="F455" s="329">
        <f t="shared" si="16"/>
        <v>24274.801419684038</v>
      </c>
      <c r="G455" s="329">
        <f t="shared" si="16"/>
        <v>23562.568341012353</v>
      </c>
      <c r="H455" s="329">
        <f t="shared" si="16"/>
        <v>22461.719762023531</v>
      </c>
      <c r="I455" s="329">
        <f t="shared" si="16"/>
        <v>14995.10174965079</v>
      </c>
      <c r="J455" s="329">
        <f t="shared" si="16"/>
        <v>16397.09199670051</v>
      </c>
    </row>
    <row r="456" spans="2:10">
      <c r="B456" s="133" t="s">
        <v>296</v>
      </c>
      <c r="C456" s="329"/>
      <c r="D456" s="329"/>
      <c r="E456" s="329"/>
      <c r="F456" s="329"/>
      <c r="G456" s="329"/>
      <c r="H456" s="329"/>
      <c r="I456" s="329"/>
      <c r="J456" s="329"/>
    </row>
    <row r="457" spans="2:10">
      <c r="B457" s="52" t="s">
        <v>289</v>
      </c>
      <c r="C457" s="329">
        <v>30017.150979287413</v>
      </c>
      <c r="D457" s="329">
        <v>28086.617293898886</v>
      </c>
      <c r="E457" s="329">
        <v>25569.481839102085</v>
      </c>
      <c r="F457" s="329">
        <v>24274.801419684038</v>
      </c>
      <c r="G457" s="329">
        <v>23562.568341012353</v>
      </c>
      <c r="H457" s="329">
        <v>22461.719762023531</v>
      </c>
      <c r="I457" s="329">
        <v>14995.10174965079</v>
      </c>
      <c r="J457" s="329">
        <v>16397.09199670051</v>
      </c>
    </row>
    <row r="458" spans="2:10">
      <c r="B458" s="65" t="s">
        <v>301</v>
      </c>
      <c r="C458" s="329">
        <v>0</v>
      </c>
      <c r="D458" s="329">
        <v>0</v>
      </c>
      <c r="E458" s="329">
        <v>0</v>
      </c>
      <c r="F458" s="329">
        <v>0</v>
      </c>
      <c r="G458" s="329">
        <v>0</v>
      </c>
      <c r="H458" s="329">
        <v>0</v>
      </c>
      <c r="I458" s="329">
        <v>0</v>
      </c>
      <c r="J458" s="329">
        <v>0</v>
      </c>
    </row>
    <row r="459" spans="2:10">
      <c r="B459" s="114"/>
      <c r="C459" s="329"/>
      <c r="D459" s="329"/>
      <c r="E459" s="329"/>
      <c r="F459" s="329"/>
      <c r="G459" s="329"/>
      <c r="H459" s="329"/>
      <c r="I459" s="329"/>
      <c r="J459" s="329"/>
    </row>
    <row r="460" spans="2:10">
      <c r="B460" s="59" t="s">
        <v>674</v>
      </c>
      <c r="C460" s="329"/>
      <c r="D460" s="329"/>
      <c r="E460" s="329"/>
      <c r="F460" s="329"/>
      <c r="G460" s="329"/>
      <c r="H460" s="329"/>
      <c r="I460" s="329"/>
      <c r="J460" s="329"/>
    </row>
    <row r="461" spans="2:10">
      <c r="B461" s="71" t="s">
        <v>297</v>
      </c>
      <c r="C461" s="328">
        <f t="shared" ref="C461:J461" si="17">SUM(C463:C464)</f>
        <v>21436.406607378365</v>
      </c>
      <c r="D461" s="328">
        <f t="shared" si="17"/>
        <v>20428.611235747867</v>
      </c>
      <c r="E461" s="328">
        <f t="shared" si="17"/>
        <v>20453.824660765658</v>
      </c>
      <c r="F461" s="328">
        <f t="shared" si="17"/>
        <v>23719.285663403214</v>
      </c>
      <c r="G461" s="328">
        <f t="shared" si="17"/>
        <v>25328.378305101018</v>
      </c>
      <c r="H461" s="328">
        <f t="shared" si="17"/>
        <v>25673.879830799422</v>
      </c>
      <c r="I461" s="328">
        <f t="shared" si="17"/>
        <v>26372.288044062861</v>
      </c>
      <c r="J461" s="329">
        <f t="shared" si="17"/>
        <v>34801.477751287144</v>
      </c>
    </row>
    <row r="462" spans="2:10">
      <c r="B462" s="133" t="s">
        <v>296</v>
      </c>
      <c r="C462" s="329"/>
      <c r="D462" s="329"/>
      <c r="E462" s="329"/>
      <c r="F462" s="329"/>
      <c r="G462" s="329"/>
      <c r="H462" s="329"/>
      <c r="I462" s="329"/>
      <c r="J462" s="329"/>
    </row>
    <row r="463" spans="2:10">
      <c r="B463" s="131" t="s">
        <v>294</v>
      </c>
      <c r="C463" s="328">
        <v>20811.339059659873</v>
      </c>
      <c r="D463" s="328">
        <v>20052.773077260859</v>
      </c>
      <c r="E463" s="328">
        <v>19909.047843171822</v>
      </c>
      <c r="F463" s="329">
        <v>22897.156985430447</v>
      </c>
      <c r="G463" s="329">
        <v>24529.455228639479</v>
      </c>
      <c r="H463" s="329">
        <v>24663.74134237042</v>
      </c>
      <c r="I463" s="329">
        <v>24515.154464568466</v>
      </c>
      <c r="J463" s="329">
        <v>31135.929154906717</v>
      </c>
    </row>
    <row r="464" spans="2:10">
      <c r="B464" s="131" t="s">
        <v>293</v>
      </c>
      <c r="C464" s="328">
        <v>625.06754771849342</v>
      </c>
      <c r="D464" s="328">
        <v>375.83815848700772</v>
      </c>
      <c r="E464" s="328">
        <v>544.77681759383734</v>
      </c>
      <c r="F464" s="328">
        <v>822.1286779727676</v>
      </c>
      <c r="G464" s="328">
        <v>798.92307646153984</v>
      </c>
      <c r="H464" s="328">
        <v>1010.1384884290022</v>
      </c>
      <c r="I464" s="328">
        <v>1857.1335794943943</v>
      </c>
      <c r="J464" s="329">
        <v>3665.5485963804281</v>
      </c>
    </row>
    <row r="465" spans="2:10">
      <c r="B465" s="65" t="s">
        <v>301</v>
      </c>
      <c r="C465" s="329">
        <v>0</v>
      </c>
      <c r="D465" s="329">
        <v>0</v>
      </c>
      <c r="E465" s="329">
        <v>0</v>
      </c>
      <c r="F465" s="329">
        <v>0</v>
      </c>
      <c r="G465" s="329">
        <v>0</v>
      </c>
      <c r="H465" s="329">
        <v>0</v>
      </c>
      <c r="I465" s="329">
        <v>0</v>
      </c>
      <c r="J465" s="329">
        <v>0</v>
      </c>
    </row>
    <row r="466" spans="2:10">
      <c r="B466" s="133"/>
      <c r="C466" s="329"/>
      <c r="D466" s="329"/>
      <c r="E466" s="329"/>
      <c r="F466" s="329"/>
      <c r="G466" s="329"/>
      <c r="H466" s="329"/>
      <c r="I466" s="329"/>
      <c r="J466" s="329"/>
    </row>
    <row r="467" spans="2:10" ht="15">
      <c r="B467" s="59" t="s">
        <v>685</v>
      </c>
      <c r="C467" s="329"/>
      <c r="D467" s="329"/>
      <c r="E467" s="329"/>
      <c r="F467" s="329"/>
      <c r="G467" s="329"/>
      <c r="H467" s="329"/>
      <c r="I467" s="329"/>
      <c r="J467" s="329"/>
    </row>
    <row r="468" spans="2:10">
      <c r="B468" s="71" t="s">
        <v>297</v>
      </c>
      <c r="C468" s="329">
        <f>C469</f>
        <v>435.28817395807761</v>
      </c>
      <c r="D468" s="329">
        <f t="shared" ref="D468:J468" si="18">D469</f>
        <v>277.87968018194812</v>
      </c>
      <c r="E468" s="329">
        <f t="shared" si="18"/>
        <v>221.00211103018623</v>
      </c>
      <c r="F468" s="329">
        <f t="shared" si="18"/>
        <v>224.77668708197515</v>
      </c>
      <c r="G468" s="329">
        <f t="shared" si="18"/>
        <v>238.14729516513577</v>
      </c>
      <c r="H468" s="329">
        <f t="shared" si="18"/>
        <v>248.24330471452993</v>
      </c>
      <c r="I468" s="329">
        <f t="shared" si="18"/>
        <v>89.836262593182596</v>
      </c>
      <c r="J468" s="329">
        <f t="shared" si="18"/>
        <v>13.508851630151613</v>
      </c>
    </row>
    <row r="469" spans="2:10">
      <c r="B469" s="133" t="s">
        <v>296</v>
      </c>
      <c r="C469" s="329">
        <v>435.28817395807761</v>
      </c>
      <c r="D469" s="329">
        <v>277.87968018194812</v>
      </c>
      <c r="E469" s="329">
        <v>221.00211103018623</v>
      </c>
      <c r="F469" s="329">
        <v>224.77668708197515</v>
      </c>
      <c r="G469" s="329">
        <v>238.14729516513577</v>
      </c>
      <c r="H469" s="329">
        <v>248.24330471452993</v>
      </c>
      <c r="I469" s="329">
        <v>89.836262593182596</v>
      </c>
      <c r="J469" s="329">
        <v>13.508851630151613</v>
      </c>
    </row>
    <row r="470" spans="2:10">
      <c r="B470" s="65" t="s">
        <v>301</v>
      </c>
      <c r="C470" s="329">
        <v>0</v>
      </c>
      <c r="D470" s="329">
        <v>0</v>
      </c>
      <c r="E470" s="329">
        <v>0</v>
      </c>
      <c r="F470" s="329">
        <v>0</v>
      </c>
      <c r="G470" s="329">
        <v>0</v>
      </c>
      <c r="H470" s="329">
        <v>0</v>
      </c>
      <c r="I470" s="329">
        <v>0</v>
      </c>
      <c r="J470" s="329">
        <v>0</v>
      </c>
    </row>
    <row r="471" spans="2:10">
      <c r="B471" s="133"/>
      <c r="C471" s="329"/>
      <c r="D471" s="329"/>
      <c r="E471" s="329"/>
      <c r="F471" s="329"/>
      <c r="G471" s="329"/>
      <c r="H471" s="329"/>
      <c r="I471" s="329"/>
      <c r="J471" s="329"/>
    </row>
    <row r="472" spans="2:10">
      <c r="B472" s="59" t="s">
        <v>677</v>
      </c>
      <c r="C472" s="329"/>
      <c r="D472" s="329"/>
      <c r="E472" s="329"/>
      <c r="F472" s="329"/>
      <c r="G472" s="329"/>
      <c r="H472" s="329"/>
      <c r="I472" s="329"/>
      <c r="J472" s="329"/>
    </row>
    <row r="473" spans="2:10">
      <c r="B473" s="71" t="s">
        <v>297</v>
      </c>
      <c r="C473" s="329">
        <f>C475</f>
        <v>68.22843078405667</v>
      </c>
      <c r="D473" s="329">
        <f t="shared" ref="D473:J473" si="19">D475</f>
        <v>86.139146294022652</v>
      </c>
      <c r="E473" s="329">
        <f t="shared" si="19"/>
        <v>105.06952854767995</v>
      </c>
      <c r="F473" s="329">
        <f t="shared" si="19"/>
        <v>127.54909914176847</v>
      </c>
      <c r="G473" s="329">
        <f t="shared" si="19"/>
        <v>135.70138016515546</v>
      </c>
      <c r="H473" s="329">
        <f t="shared" si="19"/>
        <v>156.91301855783826</v>
      </c>
      <c r="I473" s="329">
        <f t="shared" si="19"/>
        <v>199.01446012381408</v>
      </c>
      <c r="J473" s="329">
        <f t="shared" si="19"/>
        <v>198.19545210099864</v>
      </c>
    </row>
    <row r="474" spans="2:10">
      <c r="B474" s="133" t="s">
        <v>296</v>
      </c>
      <c r="C474" s="329"/>
      <c r="D474" s="329"/>
      <c r="E474" s="329"/>
      <c r="F474" s="329"/>
      <c r="G474" s="329"/>
      <c r="H474" s="329"/>
      <c r="I474" s="329"/>
      <c r="J474" s="329"/>
    </row>
    <row r="475" spans="2:10">
      <c r="B475" s="52" t="s">
        <v>686</v>
      </c>
      <c r="C475" s="329">
        <v>68.22843078405667</v>
      </c>
      <c r="D475" s="329">
        <v>86.139146294022652</v>
      </c>
      <c r="E475" s="329">
        <v>105.06952854767995</v>
      </c>
      <c r="F475" s="329">
        <v>127.54909914176847</v>
      </c>
      <c r="G475" s="329">
        <v>135.70138016515546</v>
      </c>
      <c r="H475" s="329">
        <v>156.91301855783826</v>
      </c>
      <c r="I475" s="329">
        <v>199.01446012381408</v>
      </c>
      <c r="J475" s="329">
        <v>198.19545210099864</v>
      </c>
    </row>
    <row r="476" spans="2:10">
      <c r="B476" s="65" t="s">
        <v>301</v>
      </c>
      <c r="C476" s="329">
        <v>0</v>
      </c>
      <c r="D476" s="329">
        <v>0</v>
      </c>
      <c r="E476" s="329">
        <v>0</v>
      </c>
      <c r="F476" s="329">
        <v>0</v>
      </c>
      <c r="G476" s="329">
        <v>0</v>
      </c>
      <c r="H476" s="329">
        <v>0</v>
      </c>
      <c r="I476" s="329">
        <v>0</v>
      </c>
      <c r="J476" s="329">
        <v>0</v>
      </c>
    </row>
    <row r="477" spans="2:10">
      <c r="B477" s="133"/>
      <c r="C477" s="329"/>
      <c r="D477" s="329"/>
      <c r="E477" s="329"/>
      <c r="F477" s="329"/>
      <c r="G477" s="329"/>
      <c r="H477" s="329"/>
      <c r="I477" s="329"/>
      <c r="J477" s="329"/>
    </row>
    <row r="478" spans="2:10">
      <c r="B478" s="59" t="s">
        <v>678</v>
      </c>
      <c r="C478" s="329"/>
      <c r="D478" s="329"/>
      <c r="E478" s="329"/>
      <c r="F478" s="329"/>
      <c r="G478" s="329"/>
      <c r="H478" s="329"/>
      <c r="I478" s="329"/>
      <c r="J478" s="329"/>
    </row>
    <row r="479" spans="2:10">
      <c r="B479" s="71" t="s">
        <v>297</v>
      </c>
      <c r="C479" s="329">
        <f t="shared" ref="C479:H479" si="20">C481</f>
        <v>0</v>
      </c>
      <c r="D479" s="329">
        <f t="shared" si="20"/>
        <v>217.1843074051848</v>
      </c>
      <c r="E479" s="329">
        <f t="shared" si="20"/>
        <v>209.11550244789782</v>
      </c>
      <c r="F479" s="329">
        <f t="shared" si="20"/>
        <v>243.58735302582483</v>
      </c>
      <c r="G479" s="329">
        <f t="shared" si="20"/>
        <v>254.56729454239806</v>
      </c>
      <c r="H479" s="329">
        <f t="shared" si="20"/>
        <v>255.18045395409956</v>
      </c>
      <c r="I479" s="328">
        <f>I481</f>
        <v>219.43354432809258</v>
      </c>
      <c r="J479" s="329">
        <f>J481</f>
        <v>213.3585888201049</v>
      </c>
    </row>
    <row r="480" spans="2:10">
      <c r="B480" s="133" t="s">
        <v>296</v>
      </c>
      <c r="C480" s="329"/>
      <c r="D480" s="329"/>
      <c r="E480" s="329"/>
      <c r="F480" s="329"/>
      <c r="G480" s="329"/>
      <c r="H480" s="329"/>
      <c r="I480" s="329"/>
      <c r="J480" s="329"/>
    </row>
    <row r="481" spans="2:10">
      <c r="B481" s="131" t="s">
        <v>288</v>
      </c>
      <c r="C481" s="329">
        <v>0</v>
      </c>
      <c r="D481" s="329">
        <v>217.1843074051848</v>
      </c>
      <c r="E481" s="329">
        <v>209.11550244789782</v>
      </c>
      <c r="F481" s="329">
        <v>243.58735302582483</v>
      </c>
      <c r="G481" s="329">
        <v>254.56729454239806</v>
      </c>
      <c r="H481" s="329">
        <v>255.18045395409956</v>
      </c>
      <c r="I481" s="328">
        <v>219.43354432809258</v>
      </c>
      <c r="J481" s="329">
        <v>213.3585888201049</v>
      </c>
    </row>
    <row r="482" spans="2:10">
      <c r="B482" s="65" t="s">
        <v>301</v>
      </c>
      <c r="C482" s="329">
        <v>0</v>
      </c>
      <c r="D482" s="329">
        <v>0</v>
      </c>
      <c r="E482" s="329">
        <v>0</v>
      </c>
      <c r="F482" s="329">
        <v>0</v>
      </c>
      <c r="G482" s="329">
        <v>0</v>
      </c>
      <c r="H482" s="329">
        <v>0</v>
      </c>
      <c r="I482" s="329">
        <v>0</v>
      </c>
      <c r="J482" s="329">
        <v>0</v>
      </c>
    </row>
    <row r="483" spans="2:10">
      <c r="B483" s="133"/>
      <c r="C483" s="329"/>
      <c r="D483" s="329"/>
      <c r="E483" s="329"/>
      <c r="F483" s="329"/>
      <c r="G483" s="329"/>
      <c r="H483" s="329"/>
      <c r="I483" s="330"/>
      <c r="J483" s="330"/>
    </row>
    <row r="484" spans="2:10">
      <c r="B484" s="59" t="s">
        <v>679</v>
      </c>
      <c r="C484" s="330"/>
      <c r="D484" s="330"/>
      <c r="E484" s="330"/>
      <c r="F484" s="330"/>
      <c r="G484" s="330"/>
      <c r="H484" s="330"/>
      <c r="I484" s="331"/>
      <c r="J484" s="331"/>
    </row>
    <row r="485" spans="2:10">
      <c r="B485" s="71" t="s">
        <v>297</v>
      </c>
      <c r="C485" s="331">
        <f>C487</f>
        <v>3212.2617234575841</v>
      </c>
      <c r="D485" s="331">
        <f t="shared" ref="D485:J485" si="21">D487</f>
        <v>3626.4377248753362</v>
      </c>
      <c r="E485" s="331">
        <f t="shared" si="21"/>
        <v>3913.0415518492264</v>
      </c>
      <c r="F485" s="331">
        <f t="shared" si="21"/>
        <v>4202.4152535031253</v>
      </c>
      <c r="G485" s="331">
        <f t="shared" si="21"/>
        <v>4667.8975336431986</v>
      </c>
      <c r="H485" s="331">
        <f t="shared" si="21"/>
        <v>5055.6517703192776</v>
      </c>
      <c r="I485" s="331">
        <f t="shared" si="21"/>
        <v>5529.7321259301898</v>
      </c>
      <c r="J485" s="331">
        <f t="shared" si="21"/>
        <v>6129.5973509414425</v>
      </c>
    </row>
    <row r="486" spans="2:10">
      <c r="B486" s="133" t="s">
        <v>296</v>
      </c>
      <c r="C486" s="331"/>
      <c r="D486" s="331"/>
      <c r="E486" s="331"/>
      <c r="F486" s="331"/>
      <c r="G486" s="331"/>
      <c r="H486" s="331"/>
      <c r="I486" s="331"/>
      <c r="J486" s="331"/>
    </row>
    <row r="487" spans="2:10">
      <c r="B487" s="131" t="s">
        <v>288</v>
      </c>
      <c r="C487" s="331">
        <v>3212.2617234575841</v>
      </c>
      <c r="D487" s="331">
        <v>3626.4377248753362</v>
      </c>
      <c r="E487" s="331">
        <v>3913.0415518492264</v>
      </c>
      <c r="F487" s="331">
        <v>4202.4152535031253</v>
      </c>
      <c r="G487" s="331">
        <v>4667.8975336431986</v>
      </c>
      <c r="H487" s="331">
        <v>5055.6517703192776</v>
      </c>
      <c r="I487" s="331">
        <v>5529.7321259301898</v>
      </c>
      <c r="J487" s="331">
        <v>6129.5973509414425</v>
      </c>
    </row>
    <row r="488" spans="2:10">
      <c r="B488" s="65" t="s">
        <v>301</v>
      </c>
      <c r="C488" s="331">
        <v>0</v>
      </c>
      <c r="D488" s="331">
        <v>0</v>
      </c>
      <c r="E488" s="331">
        <v>0</v>
      </c>
      <c r="F488" s="331">
        <v>0</v>
      </c>
      <c r="G488" s="331">
        <v>0</v>
      </c>
      <c r="H488" s="331">
        <v>0</v>
      </c>
      <c r="I488" s="331">
        <v>0</v>
      </c>
      <c r="J488" s="331">
        <v>0</v>
      </c>
    </row>
    <row r="489" spans="2:10">
      <c r="B489" s="133"/>
      <c r="C489" s="330"/>
      <c r="D489" s="330"/>
      <c r="E489" s="330"/>
      <c r="F489" s="330"/>
      <c r="G489" s="330"/>
      <c r="H489" s="330"/>
      <c r="I489" s="330"/>
      <c r="J489" s="330"/>
    </row>
    <row r="490" spans="2:10">
      <c r="B490" s="59" t="s">
        <v>680</v>
      </c>
      <c r="C490" s="330"/>
      <c r="D490" s="330"/>
      <c r="E490" s="330"/>
      <c r="F490" s="330"/>
      <c r="G490" s="330"/>
      <c r="H490" s="330"/>
      <c r="I490" s="331"/>
      <c r="J490" s="331"/>
    </row>
    <row r="491" spans="2:10">
      <c r="B491" s="71" t="s">
        <v>297</v>
      </c>
      <c r="C491" s="331">
        <f>C493</f>
        <v>1088.4096218029447</v>
      </c>
      <c r="D491" s="331">
        <f t="shared" ref="D491:J491" si="22">D493</f>
        <v>1259.5350530321307</v>
      </c>
      <c r="E491" s="331">
        <f t="shared" si="22"/>
        <v>1214.9063013475602</v>
      </c>
      <c r="F491" s="331">
        <f t="shared" si="22"/>
        <v>1819.9023488830078</v>
      </c>
      <c r="G491" s="331">
        <f t="shared" si="22"/>
        <v>2122.6350685011867</v>
      </c>
      <c r="H491" s="331">
        <f t="shared" si="22"/>
        <v>2240.4713939038925</v>
      </c>
      <c r="I491" s="331">
        <f t="shared" si="22"/>
        <v>2081.3379913585986</v>
      </c>
      <c r="J491" s="331">
        <f t="shared" si="22"/>
        <v>2883.1688253607567</v>
      </c>
    </row>
    <row r="492" spans="2:10">
      <c r="B492" s="133" t="s">
        <v>296</v>
      </c>
      <c r="C492" s="331"/>
      <c r="D492" s="331"/>
      <c r="E492" s="331"/>
      <c r="F492" s="331"/>
      <c r="G492" s="331"/>
      <c r="H492" s="331"/>
      <c r="I492" s="331"/>
      <c r="J492" s="331"/>
    </row>
    <row r="493" spans="2:10">
      <c r="B493" s="131" t="s">
        <v>288</v>
      </c>
      <c r="C493" s="331">
        <v>1088.4096218029447</v>
      </c>
      <c r="D493" s="331">
        <v>1259.5350530321307</v>
      </c>
      <c r="E493" s="331">
        <v>1214.9063013475602</v>
      </c>
      <c r="F493" s="331">
        <v>1819.9023488830078</v>
      </c>
      <c r="G493" s="331">
        <v>2122.6350685011867</v>
      </c>
      <c r="H493" s="331">
        <v>2240.4713939038925</v>
      </c>
      <c r="I493" s="331">
        <v>2081.3379913585986</v>
      </c>
      <c r="J493" s="331">
        <v>2883.1688253607567</v>
      </c>
    </row>
    <row r="494" spans="2:10">
      <c r="B494" s="65" t="s">
        <v>301</v>
      </c>
      <c r="C494" s="331">
        <v>0</v>
      </c>
      <c r="D494" s="331">
        <v>0</v>
      </c>
      <c r="E494" s="331">
        <v>0</v>
      </c>
      <c r="F494" s="331">
        <v>0</v>
      </c>
      <c r="G494" s="331">
        <v>0</v>
      </c>
      <c r="H494" s="331">
        <v>0</v>
      </c>
      <c r="I494" s="332">
        <v>0</v>
      </c>
      <c r="J494" s="332">
        <v>0</v>
      </c>
    </row>
    <row r="495" spans="2:10">
      <c r="B495" s="133"/>
      <c r="C495" s="332"/>
      <c r="D495" s="332"/>
      <c r="E495" s="332"/>
      <c r="F495" s="332"/>
      <c r="G495" s="332"/>
      <c r="H495" s="332"/>
      <c r="I495" s="330"/>
      <c r="J495" s="330"/>
    </row>
    <row r="496" spans="2:10">
      <c r="B496" s="59" t="s">
        <v>681</v>
      </c>
      <c r="C496" s="330"/>
      <c r="D496" s="330"/>
      <c r="E496" s="330"/>
      <c r="F496" s="330"/>
      <c r="G496" s="330"/>
      <c r="H496" s="330"/>
      <c r="I496" s="331"/>
      <c r="J496" s="331"/>
    </row>
    <row r="497" spans="2:10">
      <c r="B497" s="71" t="s">
        <v>297</v>
      </c>
      <c r="C497" s="331">
        <v>0</v>
      </c>
      <c r="D497" s="331">
        <v>0</v>
      </c>
      <c r="E497" s="331">
        <v>0</v>
      </c>
      <c r="F497" s="331">
        <f t="shared" ref="F497:I497" si="23">F499</f>
        <v>59.434005547054468</v>
      </c>
      <c r="G497" s="333">
        <f t="shared" si="23"/>
        <v>168.53390471121537</v>
      </c>
      <c r="H497" s="331">
        <f t="shared" si="23"/>
        <v>221.76155324588402</v>
      </c>
      <c r="I497" s="333">
        <f t="shared" si="23"/>
        <v>264.65136110539333</v>
      </c>
      <c r="J497" s="331">
        <f>J499</f>
        <v>391.27708577398272</v>
      </c>
    </row>
    <row r="498" spans="2:10">
      <c r="B498" s="133" t="s">
        <v>296</v>
      </c>
      <c r="C498" s="331"/>
      <c r="D498" s="331"/>
      <c r="E498" s="331"/>
      <c r="F498" s="331"/>
      <c r="G498" s="331"/>
      <c r="H498" s="331"/>
      <c r="I498" s="331"/>
      <c r="J498" s="331"/>
    </row>
    <row r="499" spans="2:10">
      <c r="B499" s="52" t="s">
        <v>288</v>
      </c>
      <c r="C499" s="331">
        <v>0</v>
      </c>
      <c r="D499" s="331">
        <v>0</v>
      </c>
      <c r="E499" s="331">
        <v>0</v>
      </c>
      <c r="F499" s="331">
        <v>59.434005547054468</v>
      </c>
      <c r="G499" s="333">
        <v>168.53390471121537</v>
      </c>
      <c r="H499" s="331">
        <v>221.76155324588402</v>
      </c>
      <c r="I499" s="334">
        <v>264.65136110539333</v>
      </c>
      <c r="J499" s="332">
        <v>391.27708577398272</v>
      </c>
    </row>
    <row r="500" spans="2:10" ht="15" thickBot="1">
      <c r="B500" s="133" t="s">
        <v>301</v>
      </c>
      <c r="C500" s="331">
        <v>0</v>
      </c>
      <c r="D500" s="331">
        <v>0</v>
      </c>
      <c r="E500" s="331">
        <v>0</v>
      </c>
      <c r="F500" s="332">
        <v>0</v>
      </c>
      <c r="G500" s="332">
        <v>0</v>
      </c>
      <c r="H500" s="332">
        <v>0</v>
      </c>
      <c r="I500" s="332">
        <v>0</v>
      </c>
      <c r="J500" s="332">
        <v>0</v>
      </c>
    </row>
    <row r="501" spans="2:10" ht="15" thickTop="1">
      <c r="B501" s="2025" t="s">
        <v>656</v>
      </c>
      <c r="C501" s="2025"/>
      <c r="D501" s="2025"/>
      <c r="E501" s="2025"/>
      <c r="F501" s="2025"/>
      <c r="G501" s="2025"/>
      <c r="H501" s="2025"/>
      <c r="I501" s="2025"/>
      <c r="J501" s="2025"/>
    </row>
    <row r="502" spans="2:10">
      <c r="B502" s="2066" t="s">
        <v>688</v>
      </c>
      <c r="C502" s="2066"/>
      <c r="D502" s="2066"/>
      <c r="E502" s="2066"/>
      <c r="F502" s="2066"/>
      <c r="G502" s="2066"/>
      <c r="H502" s="2066"/>
      <c r="I502" s="2066"/>
      <c r="J502" s="2066"/>
    </row>
    <row r="503" spans="2:10">
      <c r="B503" s="64"/>
      <c r="C503" s="302"/>
      <c r="D503" s="302"/>
      <c r="E503" s="302"/>
      <c r="F503" s="302"/>
      <c r="G503" s="302"/>
      <c r="H503" s="302"/>
      <c r="I503" s="302"/>
      <c r="J503" s="302"/>
    </row>
    <row r="504" spans="2:10">
      <c r="B504" s="2100" t="s">
        <v>271</v>
      </c>
      <c r="C504" s="2100"/>
      <c r="D504" s="2100"/>
      <c r="E504" s="2100"/>
      <c r="F504" s="2100"/>
      <c r="G504" s="2100"/>
      <c r="H504" s="2100"/>
      <c r="I504" s="2100"/>
      <c r="J504" s="2100"/>
    </row>
    <row r="505" spans="2:10">
      <c r="B505" s="12" t="s">
        <v>270</v>
      </c>
      <c r="C505" s="302"/>
      <c r="D505" s="302"/>
      <c r="E505" s="302"/>
      <c r="F505" s="302"/>
      <c r="G505" s="302"/>
      <c r="H505" s="302"/>
      <c r="I505" s="302"/>
      <c r="J505" s="302"/>
    </row>
    <row r="506" spans="2:10">
      <c r="B506" s="77" t="s">
        <v>269</v>
      </c>
      <c r="C506" s="302"/>
      <c r="D506" s="302"/>
      <c r="E506" s="302"/>
      <c r="F506" s="302"/>
      <c r="G506" s="302"/>
      <c r="H506" s="302"/>
      <c r="I506" s="302"/>
      <c r="J506" s="302"/>
    </row>
    <row r="507" spans="2:10">
      <c r="B507" s="76"/>
      <c r="C507" s="302"/>
      <c r="D507" s="302"/>
      <c r="E507" s="302"/>
      <c r="F507" s="302"/>
      <c r="G507" s="302"/>
      <c r="H507" s="302"/>
      <c r="I507" s="302"/>
      <c r="J507" s="302"/>
    </row>
    <row r="508" spans="2:10">
      <c r="B508" s="61"/>
      <c r="C508" s="303">
        <v>2014</v>
      </c>
      <c r="D508" s="303">
        <v>2015</v>
      </c>
      <c r="E508" s="303">
        <v>2016</v>
      </c>
      <c r="F508" s="303">
        <v>2017</v>
      </c>
      <c r="G508" s="303">
        <v>2018</v>
      </c>
      <c r="H508" s="303">
        <v>2019</v>
      </c>
      <c r="I508" s="303">
        <v>2020</v>
      </c>
      <c r="J508" s="303">
        <v>2021</v>
      </c>
    </row>
    <row r="509" spans="2:10">
      <c r="B509" s="76" t="s">
        <v>486</v>
      </c>
      <c r="C509" s="302"/>
      <c r="D509" s="302"/>
      <c r="E509" s="302"/>
      <c r="F509" s="302"/>
      <c r="G509" s="302"/>
      <c r="H509" s="302"/>
      <c r="I509" s="302"/>
      <c r="J509" s="302"/>
    </row>
    <row r="510" spans="2:10">
      <c r="B510" s="71" t="s">
        <v>265</v>
      </c>
      <c r="C510" s="321">
        <v>0</v>
      </c>
      <c r="D510" s="321">
        <v>0</v>
      </c>
      <c r="E510" s="321">
        <v>0</v>
      </c>
      <c r="F510" s="321">
        <v>0</v>
      </c>
      <c r="G510" s="321">
        <v>0</v>
      </c>
      <c r="H510" s="321">
        <v>0</v>
      </c>
      <c r="I510" s="321">
        <v>0</v>
      </c>
      <c r="J510" s="321">
        <v>0</v>
      </c>
    </row>
    <row r="511" spans="2:10">
      <c r="B511" s="52" t="s">
        <v>262</v>
      </c>
      <c r="C511" s="321">
        <v>0</v>
      </c>
      <c r="D511" s="321">
        <v>0</v>
      </c>
      <c r="E511" s="321">
        <v>0</v>
      </c>
      <c r="F511" s="321">
        <v>0</v>
      </c>
      <c r="G511" s="321">
        <v>0</v>
      </c>
      <c r="H511" s="321">
        <v>0</v>
      </c>
      <c r="I511" s="321">
        <v>0</v>
      </c>
      <c r="J511" s="321">
        <v>0</v>
      </c>
    </row>
    <row r="512" spans="2:10">
      <c r="B512" s="52" t="s">
        <v>261</v>
      </c>
      <c r="C512" s="321">
        <v>0</v>
      </c>
      <c r="D512" s="321">
        <v>0</v>
      </c>
      <c r="E512" s="321">
        <v>0</v>
      </c>
      <c r="F512" s="321">
        <v>0</v>
      </c>
      <c r="G512" s="321">
        <v>0</v>
      </c>
      <c r="H512" s="321">
        <v>0</v>
      </c>
      <c r="I512" s="321">
        <v>0</v>
      </c>
      <c r="J512" s="321">
        <v>0</v>
      </c>
    </row>
    <row r="513" spans="2:10">
      <c r="B513" s="52" t="s">
        <v>260</v>
      </c>
      <c r="C513" s="321">
        <v>0</v>
      </c>
      <c r="D513" s="321">
        <v>0</v>
      </c>
      <c r="E513" s="321">
        <v>0</v>
      </c>
      <c r="F513" s="321">
        <v>0</v>
      </c>
      <c r="G513" s="321">
        <v>0</v>
      </c>
      <c r="H513" s="321">
        <v>0</v>
      </c>
      <c r="I513" s="321">
        <v>0</v>
      </c>
      <c r="J513" s="321">
        <v>0</v>
      </c>
    </row>
    <row r="514" spans="2:10">
      <c r="B514" s="52" t="s">
        <v>117</v>
      </c>
      <c r="C514" s="321">
        <v>0</v>
      </c>
      <c r="D514" s="321">
        <v>0</v>
      </c>
      <c r="E514" s="321">
        <v>0</v>
      </c>
      <c r="F514" s="321">
        <v>0</v>
      </c>
      <c r="G514" s="321">
        <v>0</v>
      </c>
      <c r="H514" s="321">
        <v>0</v>
      </c>
      <c r="I514" s="321">
        <v>0</v>
      </c>
      <c r="J514" s="321">
        <v>0</v>
      </c>
    </row>
    <row r="515" spans="2:10">
      <c r="B515" s="52"/>
      <c r="C515" s="321"/>
      <c r="D515" s="321"/>
      <c r="E515" s="321"/>
      <c r="F515" s="321"/>
      <c r="G515" s="321"/>
      <c r="H515" s="321"/>
      <c r="I515" s="321"/>
      <c r="J515" s="321"/>
    </row>
    <row r="516" spans="2:10">
      <c r="B516" s="71" t="s">
        <v>264</v>
      </c>
      <c r="C516" s="321">
        <v>0</v>
      </c>
      <c r="D516" s="321">
        <v>0</v>
      </c>
      <c r="E516" s="321">
        <v>0</v>
      </c>
      <c r="F516" s="321">
        <v>0</v>
      </c>
      <c r="G516" s="321">
        <v>0</v>
      </c>
      <c r="H516" s="321">
        <v>0</v>
      </c>
      <c r="I516" s="321">
        <v>0</v>
      </c>
      <c r="J516" s="321">
        <v>0</v>
      </c>
    </row>
    <row r="517" spans="2:10">
      <c r="B517" s="52" t="s">
        <v>262</v>
      </c>
      <c r="C517" s="321">
        <v>0</v>
      </c>
      <c r="D517" s="321">
        <v>0</v>
      </c>
      <c r="E517" s="321">
        <v>0</v>
      </c>
      <c r="F517" s="321">
        <v>0</v>
      </c>
      <c r="G517" s="321">
        <v>0</v>
      </c>
      <c r="H517" s="321">
        <v>0</v>
      </c>
      <c r="I517" s="321">
        <v>0</v>
      </c>
      <c r="J517" s="321">
        <v>0</v>
      </c>
    </row>
    <row r="518" spans="2:10">
      <c r="B518" s="52" t="s">
        <v>261</v>
      </c>
      <c r="C518" s="321">
        <v>0</v>
      </c>
      <c r="D518" s="321">
        <v>0</v>
      </c>
      <c r="E518" s="321">
        <v>0</v>
      </c>
      <c r="F518" s="321">
        <v>0</v>
      </c>
      <c r="G518" s="321">
        <v>0</v>
      </c>
      <c r="H518" s="321">
        <v>0</v>
      </c>
      <c r="I518" s="321">
        <v>0</v>
      </c>
      <c r="J518" s="321">
        <v>0</v>
      </c>
    </row>
    <row r="519" spans="2:10">
      <c r="B519" s="52" t="s">
        <v>260</v>
      </c>
      <c r="C519" s="321">
        <v>0</v>
      </c>
      <c r="D519" s="321">
        <v>0</v>
      </c>
      <c r="E519" s="321">
        <v>0</v>
      </c>
      <c r="F519" s="321">
        <v>0</v>
      </c>
      <c r="G519" s="321">
        <v>0</v>
      </c>
      <c r="H519" s="321">
        <v>0</v>
      </c>
      <c r="I519" s="321">
        <v>0</v>
      </c>
      <c r="J519" s="321">
        <v>0</v>
      </c>
    </row>
    <row r="520" spans="2:10">
      <c r="B520" s="52" t="s">
        <v>117</v>
      </c>
      <c r="C520" s="321">
        <v>0</v>
      </c>
      <c r="D520" s="321">
        <v>0</v>
      </c>
      <c r="E520" s="321">
        <v>0</v>
      </c>
      <c r="F520" s="321">
        <v>0</v>
      </c>
      <c r="G520" s="321">
        <v>0</v>
      </c>
      <c r="H520" s="321">
        <v>0</v>
      </c>
      <c r="I520" s="321">
        <v>0</v>
      </c>
      <c r="J520" s="321">
        <v>0</v>
      </c>
    </row>
    <row r="521" spans="2:10">
      <c r="B521" s="52"/>
      <c r="C521" s="321"/>
      <c r="D521" s="321"/>
      <c r="E521" s="321"/>
      <c r="F521" s="321"/>
      <c r="G521" s="321"/>
      <c r="H521" s="321"/>
      <c r="I521" s="321"/>
      <c r="J521" s="321"/>
    </row>
    <row r="522" spans="2:10">
      <c r="B522" s="71" t="s">
        <v>263</v>
      </c>
      <c r="C522" s="321">
        <v>0</v>
      </c>
      <c r="D522" s="321">
        <v>0</v>
      </c>
      <c r="E522" s="321">
        <v>0</v>
      </c>
      <c r="F522" s="321">
        <v>0</v>
      </c>
      <c r="G522" s="321">
        <v>0</v>
      </c>
      <c r="H522" s="321">
        <v>0</v>
      </c>
      <c r="I522" s="321">
        <v>0</v>
      </c>
      <c r="J522" s="321">
        <v>0</v>
      </c>
    </row>
    <row r="523" spans="2:10">
      <c r="B523" s="52" t="s">
        <v>262</v>
      </c>
      <c r="C523" s="321">
        <v>0</v>
      </c>
      <c r="D523" s="321">
        <v>0</v>
      </c>
      <c r="E523" s="321">
        <v>0</v>
      </c>
      <c r="F523" s="321">
        <v>0</v>
      </c>
      <c r="G523" s="321">
        <v>0</v>
      </c>
      <c r="H523" s="321">
        <v>0</v>
      </c>
      <c r="I523" s="321">
        <v>0</v>
      </c>
      <c r="J523" s="321">
        <v>0</v>
      </c>
    </row>
    <row r="524" spans="2:10">
      <c r="B524" s="52" t="s">
        <v>261</v>
      </c>
      <c r="C524" s="321">
        <v>0</v>
      </c>
      <c r="D524" s="321">
        <v>0</v>
      </c>
      <c r="E524" s="321">
        <v>0</v>
      </c>
      <c r="F524" s="321">
        <v>0</v>
      </c>
      <c r="G524" s="321">
        <v>0</v>
      </c>
      <c r="H524" s="321">
        <v>0</v>
      </c>
      <c r="I524" s="321">
        <v>0</v>
      </c>
      <c r="J524" s="321">
        <v>0</v>
      </c>
    </row>
    <row r="525" spans="2:10">
      <c r="B525" s="52" t="s">
        <v>260</v>
      </c>
      <c r="C525" s="321">
        <v>0</v>
      </c>
      <c r="D525" s="321">
        <v>0</v>
      </c>
      <c r="E525" s="321">
        <v>0</v>
      </c>
      <c r="F525" s="321">
        <v>0</v>
      </c>
      <c r="G525" s="321">
        <v>0</v>
      </c>
      <c r="H525" s="321">
        <v>0</v>
      </c>
      <c r="I525" s="321">
        <v>0</v>
      </c>
      <c r="J525" s="321">
        <v>0</v>
      </c>
    </row>
    <row r="526" spans="2:10" ht="15" thickBot="1">
      <c r="B526" s="52" t="s">
        <v>117</v>
      </c>
      <c r="C526" s="321">
        <v>0</v>
      </c>
      <c r="D526" s="321">
        <v>0</v>
      </c>
      <c r="E526" s="321">
        <v>0</v>
      </c>
      <c r="F526" s="321">
        <v>0</v>
      </c>
      <c r="G526" s="321">
        <v>0</v>
      </c>
      <c r="H526" s="321">
        <v>0</v>
      </c>
      <c r="I526" s="321">
        <v>0</v>
      </c>
      <c r="J526" s="321">
        <v>0</v>
      </c>
    </row>
    <row r="527" spans="2:10" ht="15" thickTop="1">
      <c r="B527" s="2025" t="s">
        <v>656</v>
      </c>
      <c r="C527" s="2025"/>
      <c r="D527" s="2025"/>
      <c r="E527" s="2025"/>
      <c r="F527" s="2025"/>
      <c r="G527" s="2025"/>
      <c r="H527" s="2025"/>
      <c r="I527" s="2025"/>
      <c r="J527" s="2025"/>
    </row>
    <row r="528" spans="2:10">
      <c r="B528" s="2017"/>
      <c r="C528" s="2017"/>
      <c r="D528" s="2017"/>
      <c r="E528" s="2017"/>
      <c r="F528" s="2017"/>
      <c r="G528" s="2017"/>
      <c r="H528" s="2017"/>
      <c r="I528" s="2017"/>
      <c r="J528" s="2017"/>
    </row>
    <row r="529" spans="2:10">
      <c r="B529" s="62"/>
      <c r="C529" s="302"/>
      <c r="D529" s="302"/>
      <c r="E529" s="302"/>
      <c r="F529" s="302"/>
      <c r="G529" s="302"/>
      <c r="H529" s="302"/>
      <c r="I529" s="302"/>
      <c r="J529" s="302"/>
    </row>
    <row r="530" spans="2:10">
      <c r="B530" s="2100" t="s">
        <v>258</v>
      </c>
      <c r="C530" s="2100"/>
      <c r="D530" s="2100"/>
      <c r="E530" s="2100"/>
      <c r="F530" s="2100"/>
      <c r="G530" s="2100"/>
      <c r="H530" s="2100"/>
      <c r="I530" s="2100"/>
      <c r="J530" s="2100"/>
    </row>
    <row r="531" spans="2:10">
      <c r="B531" s="12" t="s">
        <v>257</v>
      </c>
      <c r="C531" s="302"/>
      <c r="D531" s="302"/>
      <c r="E531" s="302"/>
      <c r="F531" s="302"/>
      <c r="G531" s="302"/>
      <c r="H531" s="302"/>
      <c r="I531" s="302"/>
      <c r="J531" s="302"/>
    </row>
    <row r="532" spans="2:10">
      <c r="B532" s="77" t="s">
        <v>256</v>
      </c>
      <c r="C532" s="302"/>
      <c r="D532" s="302"/>
      <c r="E532" s="302"/>
      <c r="F532" s="302"/>
      <c r="G532" s="302"/>
      <c r="H532" s="302"/>
      <c r="I532" s="302"/>
      <c r="J532" s="302"/>
    </row>
    <row r="533" spans="2:10">
      <c r="B533" s="62"/>
      <c r="C533" s="302"/>
      <c r="D533" s="302"/>
      <c r="E533" s="302"/>
      <c r="F533" s="302"/>
      <c r="G533" s="302"/>
      <c r="H533" s="302"/>
      <c r="I533" s="302"/>
      <c r="J533" s="302"/>
    </row>
    <row r="534" spans="2:10">
      <c r="B534" s="61"/>
      <c r="C534" s="303">
        <v>2014</v>
      </c>
      <c r="D534" s="303">
        <v>2015</v>
      </c>
      <c r="E534" s="303">
        <v>2016</v>
      </c>
      <c r="F534" s="303">
        <v>2017</v>
      </c>
      <c r="G534" s="303">
        <v>2018</v>
      </c>
      <c r="H534" s="303">
        <v>2019</v>
      </c>
      <c r="I534" s="303">
        <v>2020</v>
      </c>
      <c r="J534" s="303">
        <v>2021</v>
      </c>
    </row>
    <row r="535" spans="2:10">
      <c r="B535" s="59" t="s">
        <v>689</v>
      </c>
      <c r="C535" s="302"/>
      <c r="D535" s="302"/>
      <c r="E535" s="302"/>
      <c r="F535" s="302"/>
      <c r="G535" s="302"/>
      <c r="H535" s="302"/>
      <c r="I535" s="302"/>
      <c r="J535" s="302"/>
    </row>
    <row r="536" spans="2:10">
      <c r="B536" s="71" t="s">
        <v>247</v>
      </c>
      <c r="C536" s="321">
        <f t="shared" ref="C536:J536" si="24">SUM(C537,C541)</f>
        <v>68</v>
      </c>
      <c r="D536" s="321">
        <f t="shared" si="24"/>
        <v>113</v>
      </c>
      <c r="E536" s="321">
        <f t="shared" si="24"/>
        <v>96</v>
      </c>
      <c r="F536" s="321">
        <f t="shared" si="24"/>
        <v>150</v>
      </c>
      <c r="G536" s="321">
        <f t="shared" si="24"/>
        <v>36</v>
      </c>
      <c r="H536" s="335">
        <f t="shared" si="24"/>
        <v>54</v>
      </c>
      <c r="I536" s="321">
        <f t="shared" si="24"/>
        <v>46</v>
      </c>
      <c r="J536" s="321">
        <f t="shared" si="24"/>
        <v>69</v>
      </c>
    </row>
    <row r="537" spans="2:10">
      <c r="B537" s="52" t="s">
        <v>121</v>
      </c>
      <c r="C537" s="321">
        <f t="shared" ref="C537:I537" si="25">SUM(C538:C539)</f>
        <v>68</v>
      </c>
      <c r="D537" s="321">
        <f t="shared" si="25"/>
        <v>100</v>
      </c>
      <c r="E537" s="321">
        <f t="shared" si="25"/>
        <v>83</v>
      </c>
      <c r="F537" s="321">
        <f t="shared" si="25"/>
        <v>148</v>
      </c>
      <c r="G537" s="321">
        <f t="shared" si="25"/>
        <v>32</v>
      </c>
      <c r="H537" s="321">
        <f t="shared" si="25"/>
        <v>47</v>
      </c>
      <c r="I537" s="321">
        <f t="shared" si="25"/>
        <v>43</v>
      </c>
      <c r="J537" s="321">
        <f t="shared" ref="J537" si="26">SUM(J538:J539)</f>
        <v>64</v>
      </c>
    </row>
    <row r="538" spans="2:10">
      <c r="B538" s="53" t="s">
        <v>120</v>
      </c>
      <c r="C538" s="321">
        <v>19</v>
      </c>
      <c r="D538" s="321">
        <v>22</v>
      </c>
      <c r="E538" s="321">
        <v>2</v>
      </c>
      <c r="F538" s="321">
        <v>13</v>
      </c>
      <c r="G538" s="321">
        <v>3</v>
      </c>
      <c r="H538" s="321">
        <v>9</v>
      </c>
      <c r="I538" s="321">
        <v>12</v>
      </c>
      <c r="J538" s="321">
        <v>16</v>
      </c>
    </row>
    <row r="539" spans="2:10">
      <c r="B539" s="53" t="s">
        <v>119</v>
      </c>
      <c r="C539" s="321">
        <v>49</v>
      </c>
      <c r="D539" s="321">
        <v>78</v>
      </c>
      <c r="E539" s="321">
        <v>81</v>
      </c>
      <c r="F539" s="321">
        <v>135</v>
      </c>
      <c r="G539" s="321">
        <v>29</v>
      </c>
      <c r="H539" s="321">
        <v>38</v>
      </c>
      <c r="I539" s="321">
        <v>31</v>
      </c>
      <c r="J539" s="321">
        <v>48</v>
      </c>
    </row>
    <row r="540" spans="2:10">
      <c r="B540" s="52" t="s">
        <v>118</v>
      </c>
      <c r="C540" s="321">
        <v>0</v>
      </c>
      <c r="D540" s="321">
        <v>0</v>
      </c>
      <c r="E540" s="321">
        <v>0</v>
      </c>
      <c r="F540" s="321">
        <v>0</v>
      </c>
      <c r="G540" s="321">
        <v>0</v>
      </c>
      <c r="H540" s="321">
        <v>0</v>
      </c>
      <c r="I540" s="321">
        <v>0</v>
      </c>
      <c r="J540" s="321">
        <v>0</v>
      </c>
    </row>
    <row r="541" spans="2:10" ht="15" thickBot="1">
      <c r="B541" s="52" t="s">
        <v>117</v>
      </c>
      <c r="C541" s="321">
        <v>0</v>
      </c>
      <c r="D541" s="321">
        <v>13</v>
      </c>
      <c r="E541" s="321">
        <v>13</v>
      </c>
      <c r="F541" s="321">
        <v>2</v>
      </c>
      <c r="G541" s="321">
        <v>4</v>
      </c>
      <c r="H541" s="335">
        <v>7</v>
      </c>
      <c r="I541" s="321">
        <v>3</v>
      </c>
      <c r="J541" s="321">
        <v>5</v>
      </c>
    </row>
    <row r="542" spans="2:10" ht="15" thickTop="1">
      <c r="B542" s="2025" t="s">
        <v>690</v>
      </c>
      <c r="C542" s="2025"/>
      <c r="D542" s="2025"/>
      <c r="E542" s="2025"/>
      <c r="F542" s="2025"/>
      <c r="G542" s="2025"/>
      <c r="H542" s="2025"/>
      <c r="I542" s="2025"/>
      <c r="J542" s="2025"/>
    </row>
    <row r="543" spans="2:10">
      <c r="B543" s="64" t="s">
        <v>691</v>
      </c>
      <c r="C543" s="302"/>
      <c r="D543" s="302"/>
      <c r="E543" s="302"/>
      <c r="F543" s="302"/>
      <c r="G543" s="302"/>
      <c r="H543" s="302"/>
      <c r="I543" s="302"/>
      <c r="J543" s="302"/>
    </row>
    <row r="544" spans="2:10">
      <c r="B544" s="64"/>
      <c r="C544" s="302"/>
      <c r="D544" s="302"/>
      <c r="E544" s="302"/>
      <c r="F544" s="302"/>
      <c r="G544" s="302"/>
      <c r="H544" s="302"/>
      <c r="I544" s="302"/>
      <c r="J544" s="302"/>
    </row>
    <row r="545" spans="2:10">
      <c r="B545" s="2100" t="s">
        <v>244</v>
      </c>
      <c r="C545" s="2100"/>
      <c r="D545" s="2100"/>
      <c r="E545" s="2100"/>
      <c r="F545" s="2100"/>
      <c r="G545" s="2100"/>
      <c r="H545" s="2100"/>
      <c r="I545" s="2100"/>
      <c r="J545" s="2100"/>
    </row>
    <row r="546" spans="2:10">
      <c r="B546" s="12" t="s">
        <v>243</v>
      </c>
      <c r="C546" s="302"/>
      <c r="D546" s="302"/>
      <c r="E546" s="302"/>
      <c r="F546" s="302"/>
      <c r="G546" s="302"/>
      <c r="H546" s="302"/>
      <c r="I546" s="302"/>
      <c r="J546" s="302"/>
    </row>
    <row r="547" spans="2:10">
      <c r="B547" s="62" t="s">
        <v>242</v>
      </c>
      <c r="C547" s="302"/>
      <c r="D547" s="302"/>
      <c r="E547" s="302"/>
      <c r="F547" s="302"/>
      <c r="G547" s="302"/>
      <c r="H547" s="302"/>
      <c r="I547" s="302"/>
      <c r="J547" s="302"/>
    </row>
    <row r="548" spans="2:10">
      <c r="B548" s="64"/>
      <c r="C548" s="302"/>
      <c r="D548" s="302"/>
      <c r="E548" s="302"/>
      <c r="F548" s="302"/>
      <c r="G548" s="302"/>
      <c r="H548" s="302"/>
      <c r="I548" s="302"/>
      <c r="J548" s="302"/>
    </row>
    <row r="549" spans="2:10">
      <c r="B549" s="61"/>
      <c r="C549" s="303">
        <v>2014</v>
      </c>
      <c r="D549" s="303">
        <v>2015</v>
      </c>
      <c r="E549" s="303">
        <v>2016</v>
      </c>
      <c r="F549" s="303">
        <v>2017</v>
      </c>
      <c r="G549" s="303">
        <v>2018</v>
      </c>
      <c r="H549" s="303">
        <v>2019</v>
      </c>
      <c r="I549" s="303">
        <v>2020</v>
      </c>
      <c r="J549" s="303">
        <v>2021</v>
      </c>
    </row>
    <row r="550" spans="2:10">
      <c r="B550" s="114" t="s">
        <v>486</v>
      </c>
      <c r="C550" s="302"/>
      <c r="D550" s="302"/>
      <c r="E550" s="302"/>
      <c r="F550" s="302"/>
      <c r="G550" s="302"/>
      <c r="H550" s="302"/>
      <c r="I550" s="302"/>
      <c r="J550" s="302"/>
    </row>
    <row r="551" spans="2:10" ht="15" thickBot="1">
      <c r="B551" s="71" t="s">
        <v>239</v>
      </c>
      <c r="C551" s="321">
        <v>0</v>
      </c>
      <c r="D551" s="321">
        <v>0</v>
      </c>
      <c r="E551" s="321">
        <v>0</v>
      </c>
      <c r="F551" s="321">
        <v>0</v>
      </c>
      <c r="G551" s="321">
        <v>0</v>
      </c>
      <c r="H551" s="321">
        <v>0</v>
      </c>
      <c r="I551" s="321">
        <v>0</v>
      </c>
      <c r="J551" s="321">
        <v>0</v>
      </c>
    </row>
    <row r="552" spans="2:10" ht="15" thickTop="1">
      <c r="B552" s="2025" t="s">
        <v>656</v>
      </c>
      <c r="C552" s="2025"/>
      <c r="D552" s="2025"/>
      <c r="E552" s="2025"/>
      <c r="F552" s="2025"/>
      <c r="G552" s="2025"/>
      <c r="H552" s="2025"/>
      <c r="I552" s="2025"/>
      <c r="J552" s="2025"/>
    </row>
    <row r="553" spans="2:10">
      <c r="B553" s="2017"/>
      <c r="C553" s="2017"/>
      <c r="D553" s="2017"/>
      <c r="E553" s="2017"/>
      <c r="F553" s="2017"/>
      <c r="G553" s="2017"/>
      <c r="H553" s="2017"/>
      <c r="I553" s="2017"/>
      <c r="J553" s="2017"/>
    </row>
    <row r="554" spans="2:10">
      <c r="B554" s="64"/>
      <c r="C554" s="302"/>
      <c r="D554" s="302"/>
      <c r="E554" s="302"/>
      <c r="F554" s="302"/>
      <c r="G554" s="302"/>
      <c r="H554" s="302"/>
      <c r="I554" s="302"/>
      <c r="J554" s="302"/>
    </row>
    <row r="555" spans="2:10">
      <c r="B555" s="2100" t="s">
        <v>238</v>
      </c>
      <c r="C555" s="2100"/>
      <c r="D555" s="2100"/>
      <c r="E555" s="2100"/>
      <c r="F555" s="2100"/>
      <c r="G555" s="2100"/>
      <c r="H555" s="2100"/>
      <c r="I555" s="2100"/>
      <c r="J555" s="2100"/>
    </row>
    <row r="556" spans="2:10">
      <c r="B556" s="12" t="s">
        <v>237</v>
      </c>
      <c r="C556" s="302"/>
      <c r="D556" s="302"/>
      <c r="E556" s="302"/>
      <c r="F556" s="302"/>
      <c r="G556" s="302"/>
      <c r="H556" s="302"/>
      <c r="I556" s="302"/>
      <c r="J556" s="302"/>
    </row>
    <row r="557" spans="2:10">
      <c r="B557" s="62" t="s">
        <v>236</v>
      </c>
      <c r="C557" s="302"/>
      <c r="D557" s="302"/>
      <c r="E557" s="302"/>
      <c r="F557" s="302"/>
      <c r="G557" s="302"/>
      <c r="H557" s="302"/>
      <c r="I557" s="302"/>
      <c r="J557" s="302"/>
    </row>
    <row r="558" spans="2:10">
      <c r="B558" s="64"/>
      <c r="C558" s="302"/>
      <c r="D558" s="302"/>
      <c r="E558" s="302"/>
      <c r="F558" s="302"/>
      <c r="G558" s="302"/>
      <c r="H558" s="302"/>
      <c r="I558" s="302"/>
      <c r="J558" s="302"/>
    </row>
    <row r="559" spans="2:10">
      <c r="B559" s="61"/>
      <c r="C559" s="303">
        <v>2014</v>
      </c>
      <c r="D559" s="303">
        <v>2015</v>
      </c>
      <c r="E559" s="303">
        <v>2016</v>
      </c>
      <c r="F559" s="303">
        <v>2017</v>
      </c>
      <c r="G559" s="303">
        <v>2018</v>
      </c>
      <c r="H559" s="303">
        <v>2019</v>
      </c>
      <c r="I559" s="303">
        <v>2020</v>
      </c>
      <c r="J559" s="303">
        <v>2021</v>
      </c>
    </row>
    <row r="560" spans="2:10">
      <c r="B560" s="59" t="s">
        <v>689</v>
      </c>
      <c r="C560" s="302"/>
      <c r="D560" s="302"/>
      <c r="E560" s="302"/>
      <c r="F560" s="302"/>
      <c r="G560" s="302"/>
      <c r="H560" s="302"/>
      <c r="I560" s="302"/>
      <c r="J560" s="302"/>
    </row>
    <row r="561" spans="2:10">
      <c r="B561" s="71" t="s">
        <v>231</v>
      </c>
      <c r="C561" s="158">
        <f t="shared" ref="C561:J561" si="27">SUM(C562,C566)</f>
        <v>53589</v>
      </c>
      <c r="D561" s="158">
        <f t="shared" si="27"/>
        <v>94021</v>
      </c>
      <c r="E561" s="158">
        <f t="shared" si="27"/>
        <v>147611</v>
      </c>
      <c r="F561" s="158">
        <f t="shared" si="27"/>
        <v>193288</v>
      </c>
      <c r="G561" s="158">
        <f t="shared" si="27"/>
        <v>267986</v>
      </c>
      <c r="H561" s="158">
        <f t="shared" si="27"/>
        <v>266351</v>
      </c>
      <c r="I561" s="158">
        <f t="shared" si="27"/>
        <v>239949</v>
      </c>
      <c r="J561" s="158">
        <f t="shared" si="27"/>
        <v>273209</v>
      </c>
    </row>
    <row r="562" spans="2:10">
      <c r="B562" s="52" t="s">
        <v>121</v>
      </c>
      <c r="C562" s="158">
        <f t="shared" ref="C562:J562" si="28">SUM(C563:C564)</f>
        <v>53525</v>
      </c>
      <c r="D562" s="158">
        <f t="shared" si="28"/>
        <v>93634</v>
      </c>
      <c r="E562" s="158">
        <f t="shared" si="28"/>
        <v>146803</v>
      </c>
      <c r="F562" s="158">
        <f t="shared" si="28"/>
        <v>191430</v>
      </c>
      <c r="G562" s="158">
        <f t="shared" si="28"/>
        <v>266385</v>
      </c>
      <c r="H562" s="158">
        <f t="shared" si="28"/>
        <v>263529</v>
      </c>
      <c r="I562" s="158">
        <f t="shared" si="28"/>
        <v>237111</v>
      </c>
      <c r="J562" s="158">
        <f t="shared" si="28"/>
        <v>268273</v>
      </c>
    </row>
    <row r="563" spans="2:10">
      <c r="B563" s="53" t="s">
        <v>120</v>
      </c>
      <c r="C563" s="158">
        <v>11072</v>
      </c>
      <c r="D563" s="158">
        <v>7572</v>
      </c>
      <c r="E563" s="158">
        <v>27558</v>
      </c>
      <c r="F563" s="158">
        <v>23649</v>
      </c>
      <c r="G563" s="158">
        <v>35551</v>
      </c>
      <c r="H563" s="158">
        <v>9011</v>
      </c>
      <c r="I563" s="158">
        <v>4301</v>
      </c>
      <c r="J563" s="158">
        <v>17895</v>
      </c>
    </row>
    <row r="564" spans="2:10">
      <c r="B564" s="53" t="s">
        <v>119</v>
      </c>
      <c r="C564" s="158">
        <v>42453</v>
      </c>
      <c r="D564" s="158">
        <v>86062</v>
      </c>
      <c r="E564" s="158">
        <v>119245</v>
      </c>
      <c r="F564" s="158">
        <v>167781</v>
      </c>
      <c r="G564" s="158">
        <v>230834</v>
      </c>
      <c r="H564" s="158">
        <v>254518</v>
      </c>
      <c r="I564" s="158">
        <v>232810</v>
      </c>
      <c r="J564" s="158">
        <v>250378</v>
      </c>
    </row>
    <row r="565" spans="2:10">
      <c r="B565" s="52" t="s">
        <v>118</v>
      </c>
      <c r="C565" s="321">
        <v>0</v>
      </c>
      <c r="D565" s="321">
        <v>0</v>
      </c>
      <c r="E565" s="321">
        <v>0</v>
      </c>
      <c r="F565" s="321">
        <v>0</v>
      </c>
      <c r="G565" s="321">
        <v>0</v>
      </c>
      <c r="H565" s="321">
        <v>0</v>
      </c>
      <c r="I565" s="321">
        <v>0</v>
      </c>
      <c r="J565" s="321">
        <v>0</v>
      </c>
    </row>
    <row r="566" spans="2:10">
      <c r="B566" s="52" t="s">
        <v>692</v>
      </c>
      <c r="C566" s="158">
        <v>64</v>
      </c>
      <c r="D566" s="158">
        <v>387</v>
      </c>
      <c r="E566" s="158">
        <v>808</v>
      </c>
      <c r="F566" s="158">
        <v>1858</v>
      </c>
      <c r="G566" s="158">
        <v>1601</v>
      </c>
      <c r="H566" s="158">
        <v>2822</v>
      </c>
      <c r="I566" s="158">
        <v>2838</v>
      </c>
      <c r="J566" s="158">
        <v>4936</v>
      </c>
    </row>
    <row r="567" spans="2:10">
      <c r="B567" s="52"/>
      <c r="C567" s="321"/>
      <c r="D567" s="321"/>
      <c r="E567" s="321"/>
      <c r="F567" s="321"/>
      <c r="G567" s="321"/>
      <c r="H567" s="321"/>
      <c r="I567" s="321"/>
      <c r="J567" s="321"/>
    </row>
    <row r="568" spans="2:10">
      <c r="B568" s="71" t="s">
        <v>230</v>
      </c>
      <c r="C568" s="321">
        <v>0</v>
      </c>
      <c r="D568" s="321">
        <v>0</v>
      </c>
      <c r="E568" s="321">
        <v>0</v>
      </c>
      <c r="F568" s="321">
        <v>0</v>
      </c>
      <c r="G568" s="321">
        <v>0</v>
      </c>
      <c r="H568" s="321">
        <v>0</v>
      </c>
      <c r="I568" s="321">
        <v>0</v>
      </c>
      <c r="J568" s="321">
        <v>0</v>
      </c>
    </row>
    <row r="569" spans="2:10">
      <c r="B569" s="52" t="s">
        <v>169</v>
      </c>
      <c r="C569" s="321">
        <v>0</v>
      </c>
      <c r="D569" s="321">
        <v>0</v>
      </c>
      <c r="E569" s="321">
        <v>0</v>
      </c>
      <c r="F569" s="321">
        <v>0</v>
      </c>
      <c r="G569" s="321">
        <v>0</v>
      </c>
      <c r="H569" s="321">
        <v>0</v>
      </c>
      <c r="I569" s="321">
        <v>0</v>
      </c>
      <c r="J569" s="321">
        <v>0</v>
      </c>
    </row>
    <row r="570" spans="2:10">
      <c r="B570" s="52" t="s">
        <v>168</v>
      </c>
      <c r="C570" s="321">
        <v>0</v>
      </c>
      <c r="D570" s="321">
        <v>0</v>
      </c>
      <c r="E570" s="321">
        <v>0</v>
      </c>
      <c r="F570" s="321">
        <v>0</v>
      </c>
      <c r="G570" s="321">
        <v>0</v>
      </c>
      <c r="H570" s="321">
        <v>0</v>
      </c>
      <c r="I570" s="321">
        <v>0</v>
      </c>
      <c r="J570" s="321">
        <v>0</v>
      </c>
    </row>
    <row r="571" spans="2:10">
      <c r="B571" s="52" t="s">
        <v>167</v>
      </c>
      <c r="C571" s="321">
        <v>0</v>
      </c>
      <c r="D571" s="321">
        <v>0</v>
      </c>
      <c r="E571" s="321">
        <v>0</v>
      </c>
      <c r="F571" s="321">
        <v>0</v>
      </c>
      <c r="G571" s="321">
        <v>0</v>
      </c>
      <c r="H571" s="321">
        <v>0</v>
      </c>
      <c r="I571" s="321">
        <v>0</v>
      </c>
      <c r="J571" s="321">
        <v>0</v>
      </c>
    </row>
    <row r="572" spans="2:10">
      <c r="B572" s="52" t="s">
        <v>166</v>
      </c>
      <c r="C572" s="321">
        <v>0</v>
      </c>
      <c r="D572" s="321">
        <v>0</v>
      </c>
      <c r="E572" s="321">
        <v>0</v>
      </c>
      <c r="F572" s="321">
        <v>0</v>
      </c>
      <c r="G572" s="321">
        <v>0</v>
      </c>
      <c r="H572" s="321">
        <v>0</v>
      </c>
      <c r="I572" s="321">
        <v>0</v>
      </c>
      <c r="J572" s="321">
        <v>0</v>
      </c>
    </row>
    <row r="573" spans="2:10">
      <c r="B573" s="52" t="s">
        <v>165</v>
      </c>
      <c r="C573" s="321">
        <v>0</v>
      </c>
      <c r="D573" s="321">
        <v>0</v>
      </c>
      <c r="E573" s="321">
        <v>0</v>
      </c>
      <c r="F573" s="321">
        <v>0</v>
      </c>
      <c r="G573" s="321">
        <v>0</v>
      </c>
      <c r="H573" s="321">
        <v>0</v>
      </c>
      <c r="I573" s="321">
        <v>0</v>
      </c>
      <c r="J573" s="321">
        <v>0</v>
      </c>
    </row>
    <row r="574" spans="2:10" ht="15" thickBot="1">
      <c r="B574" s="52" t="s">
        <v>164</v>
      </c>
      <c r="C574" s="321">
        <v>0</v>
      </c>
      <c r="D574" s="321">
        <v>0</v>
      </c>
      <c r="E574" s="321">
        <v>0</v>
      </c>
      <c r="F574" s="321">
        <v>0</v>
      </c>
      <c r="G574" s="321">
        <v>0</v>
      </c>
      <c r="H574" s="321">
        <v>0</v>
      </c>
      <c r="I574" s="321">
        <v>0</v>
      </c>
      <c r="J574" s="321">
        <v>0</v>
      </c>
    </row>
    <row r="575" spans="2:10" ht="15" thickTop="1">
      <c r="B575" s="2039" t="s">
        <v>693</v>
      </c>
      <c r="C575" s="2025"/>
      <c r="D575" s="2025"/>
      <c r="E575" s="2025"/>
      <c r="F575" s="2025"/>
      <c r="G575" s="2025"/>
      <c r="H575" s="2025"/>
      <c r="I575" s="2025"/>
      <c r="J575" s="2025"/>
    </row>
    <row r="576" spans="2:10">
      <c r="B576" s="2066" t="s">
        <v>694</v>
      </c>
      <c r="C576" s="2066"/>
      <c r="D576" s="2066"/>
      <c r="E576" s="2066"/>
      <c r="F576" s="2066"/>
      <c r="G576" s="2066"/>
      <c r="H576" s="2066"/>
      <c r="I576" s="2066"/>
      <c r="J576" s="2066"/>
    </row>
    <row r="577" spans="2:10">
      <c r="B577" s="64"/>
      <c r="C577" s="302"/>
      <c r="D577" s="302"/>
      <c r="E577" s="302"/>
      <c r="F577" s="302"/>
      <c r="G577" s="302"/>
      <c r="H577" s="302"/>
      <c r="I577" s="302"/>
      <c r="J577" s="302"/>
    </row>
    <row r="578" spans="2:10">
      <c r="B578" s="2100" t="s">
        <v>228</v>
      </c>
      <c r="C578" s="2100"/>
      <c r="D578" s="2100"/>
      <c r="E578" s="2100"/>
      <c r="F578" s="2100"/>
      <c r="G578" s="2100"/>
      <c r="H578" s="2100"/>
      <c r="I578" s="2100"/>
      <c r="J578" s="2100"/>
    </row>
    <row r="579" spans="2:10">
      <c r="B579" s="12" t="s">
        <v>227</v>
      </c>
      <c r="C579" s="302"/>
      <c r="D579" s="302"/>
      <c r="E579" s="302"/>
      <c r="F579" s="302"/>
      <c r="G579" s="302"/>
      <c r="H579" s="302"/>
      <c r="I579" s="302"/>
      <c r="J579" s="302"/>
    </row>
    <row r="580" spans="2:10">
      <c r="B580" s="62" t="s">
        <v>127</v>
      </c>
      <c r="C580" s="302"/>
      <c r="D580" s="302"/>
      <c r="E580" s="302"/>
      <c r="F580" s="302"/>
      <c r="G580" s="302"/>
      <c r="H580" s="302"/>
      <c r="I580" s="302"/>
      <c r="J580" s="302"/>
    </row>
    <row r="581" spans="2:10">
      <c r="B581" s="62"/>
      <c r="C581" s="302"/>
      <c r="D581" s="302"/>
      <c r="E581" s="302"/>
      <c r="F581" s="302"/>
      <c r="G581" s="302"/>
      <c r="H581" s="302"/>
      <c r="I581" s="302"/>
      <c r="J581" s="302"/>
    </row>
    <row r="582" spans="2:10">
      <c r="B582" s="61"/>
      <c r="C582" s="303">
        <v>2014</v>
      </c>
      <c r="D582" s="303">
        <v>2015</v>
      </c>
      <c r="E582" s="303">
        <v>2016</v>
      </c>
      <c r="F582" s="303">
        <v>2017</v>
      </c>
      <c r="G582" s="303">
        <v>2018</v>
      </c>
      <c r="H582" s="303">
        <v>2019</v>
      </c>
      <c r="I582" s="303">
        <v>2020</v>
      </c>
      <c r="J582" s="303">
        <v>2021</v>
      </c>
    </row>
    <row r="583" spans="2:10">
      <c r="B583" s="59" t="s">
        <v>695</v>
      </c>
      <c r="C583" s="302"/>
      <c r="D583" s="302"/>
      <c r="E583" s="302"/>
      <c r="F583" s="302"/>
      <c r="G583" s="302"/>
      <c r="H583" s="302"/>
      <c r="I583" s="302"/>
      <c r="J583" s="302"/>
    </row>
    <row r="584" spans="2:10">
      <c r="B584" s="71" t="s">
        <v>231</v>
      </c>
      <c r="C584" s="307">
        <v>21914.638839792427</v>
      </c>
      <c r="D584" s="307">
        <v>28563.953683204396</v>
      </c>
      <c r="E584" s="307">
        <v>37895.91893977196</v>
      </c>
      <c r="F584" s="307">
        <v>44112.600130901716</v>
      </c>
      <c r="G584" s="307">
        <v>48173.641515640185</v>
      </c>
      <c r="H584" s="307">
        <v>57557.262916246611</v>
      </c>
      <c r="I584" s="307">
        <f t="shared" ref="I584:J584" si="29">SUM(I585,I589)</f>
        <v>61473.099701248429</v>
      </c>
      <c r="J584" s="307">
        <f t="shared" si="29"/>
        <v>76723.244069112232</v>
      </c>
    </row>
    <row r="585" spans="2:10">
      <c r="B585" s="52" t="s">
        <v>121</v>
      </c>
      <c r="C585" s="307">
        <v>21893.143868338931</v>
      </c>
      <c r="D585" s="307">
        <v>28481.848491769582</v>
      </c>
      <c r="E585" s="307">
        <v>37745.731433777641</v>
      </c>
      <c r="F585" s="307">
        <v>43735.045054065355</v>
      </c>
      <c r="G585" s="307">
        <v>47866.104072964459</v>
      </c>
      <c r="H585" s="307">
        <v>56779.080985000095</v>
      </c>
      <c r="I585" s="307">
        <f t="shared" ref="I585:J585" si="30">SUM(I586:I587)</f>
        <v>60918.879439320823</v>
      </c>
      <c r="J585" s="307">
        <f t="shared" si="30"/>
        <v>75837.120321923518</v>
      </c>
    </row>
    <row r="586" spans="2:10">
      <c r="B586" s="53" t="s">
        <v>120</v>
      </c>
      <c r="C586" s="307">
        <v>1631.9117572136665</v>
      </c>
      <c r="D586" s="307">
        <v>1165.4541278546512</v>
      </c>
      <c r="E586" s="307">
        <v>2502.1849930607882</v>
      </c>
      <c r="F586" s="307">
        <v>2130.9876523487123</v>
      </c>
      <c r="G586" s="307">
        <v>2421.8886226836366</v>
      </c>
      <c r="H586" s="307">
        <v>1479.689000461183</v>
      </c>
      <c r="I586" s="307">
        <v>2869.8243180002555</v>
      </c>
      <c r="J586" s="307">
        <v>8618.9806691650265</v>
      </c>
    </row>
    <row r="587" spans="2:10">
      <c r="B587" s="53" t="s">
        <v>119</v>
      </c>
      <c r="C587" s="307">
        <v>20261.232111125268</v>
      </c>
      <c r="D587" s="307">
        <v>27316.394363914929</v>
      </c>
      <c r="E587" s="307">
        <v>35243.546440716855</v>
      </c>
      <c r="F587" s="307">
        <v>41604.057401716644</v>
      </c>
      <c r="G587" s="307">
        <v>45444.215450280826</v>
      </c>
      <c r="H587" s="307">
        <v>55299.391984538917</v>
      </c>
      <c r="I587" s="307">
        <v>58049.055121320569</v>
      </c>
      <c r="J587" s="307">
        <v>67218.139652758488</v>
      </c>
    </row>
    <row r="588" spans="2:10">
      <c r="B588" s="52" t="s">
        <v>118</v>
      </c>
      <c r="C588" s="307">
        <v>0</v>
      </c>
      <c r="D588" s="307">
        <v>0</v>
      </c>
      <c r="E588" s="307">
        <v>0</v>
      </c>
      <c r="F588" s="307">
        <v>0</v>
      </c>
      <c r="G588" s="307">
        <v>0</v>
      </c>
      <c r="H588" s="307">
        <v>0</v>
      </c>
      <c r="I588" s="307">
        <v>0</v>
      </c>
      <c r="J588" s="307">
        <v>0</v>
      </c>
    </row>
    <row r="589" spans="2:10">
      <c r="B589" s="52" t="s">
        <v>692</v>
      </c>
      <c r="C589" s="307">
        <v>21.494971453493605</v>
      </c>
      <c r="D589" s="307">
        <v>82.105191434814188</v>
      </c>
      <c r="E589" s="307">
        <v>150.18750599431931</v>
      </c>
      <c r="F589" s="307">
        <v>377.55507683636142</v>
      </c>
      <c r="G589" s="307">
        <v>307.53744267572364</v>
      </c>
      <c r="H589" s="307">
        <v>778.18193124651339</v>
      </c>
      <c r="I589" s="307">
        <v>554.2202619276095</v>
      </c>
      <c r="J589" s="307">
        <v>886.1237471887182</v>
      </c>
    </row>
    <row r="590" spans="2:10">
      <c r="B590" s="52"/>
      <c r="C590" s="307"/>
      <c r="D590" s="307"/>
      <c r="E590" s="307"/>
      <c r="F590" s="307"/>
      <c r="G590" s="307"/>
      <c r="H590" s="307"/>
      <c r="I590" s="307"/>
      <c r="J590" s="307"/>
    </row>
    <row r="591" spans="2:10">
      <c r="B591" s="71" t="s">
        <v>221</v>
      </c>
      <c r="C591" s="321">
        <v>0</v>
      </c>
      <c r="D591" s="321">
        <v>0</v>
      </c>
      <c r="E591" s="321">
        <v>0</v>
      </c>
      <c r="F591" s="321">
        <v>0</v>
      </c>
      <c r="G591" s="321">
        <v>0</v>
      </c>
      <c r="H591" s="321">
        <v>0</v>
      </c>
      <c r="I591" s="321">
        <v>0</v>
      </c>
      <c r="J591" s="321">
        <v>0</v>
      </c>
    </row>
    <row r="592" spans="2:10">
      <c r="B592" s="52" t="s">
        <v>169</v>
      </c>
      <c r="C592" s="321">
        <v>0</v>
      </c>
      <c r="D592" s="321">
        <v>0</v>
      </c>
      <c r="E592" s="321">
        <v>0</v>
      </c>
      <c r="F592" s="321">
        <v>0</v>
      </c>
      <c r="G592" s="321">
        <v>0</v>
      </c>
      <c r="H592" s="321">
        <v>0</v>
      </c>
      <c r="I592" s="321">
        <v>0</v>
      </c>
      <c r="J592" s="321">
        <v>0</v>
      </c>
    </row>
    <row r="593" spans="2:10">
      <c r="B593" s="52" t="s">
        <v>168</v>
      </c>
      <c r="C593" s="321">
        <v>0</v>
      </c>
      <c r="D593" s="321">
        <v>0</v>
      </c>
      <c r="E593" s="321">
        <v>0</v>
      </c>
      <c r="F593" s="321">
        <v>0</v>
      </c>
      <c r="G593" s="321">
        <v>0</v>
      </c>
      <c r="H593" s="321">
        <v>0</v>
      </c>
      <c r="I593" s="321">
        <v>0</v>
      </c>
      <c r="J593" s="321">
        <v>0</v>
      </c>
    </row>
    <row r="594" spans="2:10">
      <c r="B594" s="52" t="s">
        <v>167</v>
      </c>
      <c r="C594" s="321">
        <v>0</v>
      </c>
      <c r="D594" s="321">
        <v>0</v>
      </c>
      <c r="E594" s="321">
        <v>0</v>
      </c>
      <c r="F594" s="321">
        <v>0</v>
      </c>
      <c r="G594" s="321">
        <v>0</v>
      </c>
      <c r="H594" s="321">
        <v>0</v>
      </c>
      <c r="I594" s="321">
        <v>0</v>
      </c>
      <c r="J594" s="321">
        <v>0</v>
      </c>
    </row>
    <row r="595" spans="2:10">
      <c r="B595" s="52" t="s">
        <v>166</v>
      </c>
      <c r="C595" s="321">
        <v>0</v>
      </c>
      <c r="D595" s="321">
        <v>0</v>
      </c>
      <c r="E595" s="321">
        <v>0</v>
      </c>
      <c r="F595" s="321">
        <v>0</v>
      </c>
      <c r="G595" s="321">
        <v>0</v>
      </c>
      <c r="H595" s="321">
        <v>0</v>
      </c>
      <c r="I595" s="321">
        <v>0</v>
      </c>
      <c r="J595" s="321">
        <v>0</v>
      </c>
    </row>
    <row r="596" spans="2:10">
      <c r="B596" s="52" t="s">
        <v>165</v>
      </c>
      <c r="C596" s="321">
        <v>0</v>
      </c>
      <c r="D596" s="321">
        <v>0</v>
      </c>
      <c r="E596" s="321">
        <v>0</v>
      </c>
      <c r="F596" s="321">
        <v>0</v>
      </c>
      <c r="G596" s="321">
        <v>0</v>
      </c>
      <c r="H596" s="321">
        <v>0</v>
      </c>
      <c r="I596" s="321">
        <v>0</v>
      </c>
      <c r="J596" s="321">
        <v>0</v>
      </c>
    </row>
    <row r="597" spans="2:10" ht="15" thickBot="1">
      <c r="B597" s="52" t="s">
        <v>164</v>
      </c>
      <c r="C597" s="321">
        <v>0</v>
      </c>
      <c r="D597" s="321">
        <v>0</v>
      </c>
      <c r="E597" s="321">
        <v>0</v>
      </c>
      <c r="F597" s="321">
        <v>0</v>
      </c>
      <c r="G597" s="321">
        <v>0</v>
      </c>
      <c r="H597" s="321">
        <v>0</v>
      </c>
      <c r="I597" s="321">
        <v>0</v>
      </c>
      <c r="J597" s="321">
        <v>0</v>
      </c>
    </row>
    <row r="598" spans="2:10" ht="15" thickTop="1">
      <c r="B598" s="2025" t="s">
        <v>696</v>
      </c>
      <c r="C598" s="2025"/>
      <c r="D598" s="2025"/>
      <c r="E598" s="2025"/>
      <c r="F598" s="2025"/>
      <c r="G598" s="2025"/>
      <c r="H598" s="2025"/>
      <c r="I598" s="2025"/>
      <c r="J598" s="2025"/>
    </row>
    <row r="599" spans="2:10">
      <c r="B599" s="2066" t="s">
        <v>691</v>
      </c>
      <c r="C599" s="2066"/>
      <c r="D599" s="2066"/>
      <c r="E599" s="2066"/>
      <c r="F599" s="2066"/>
      <c r="G599" s="2066"/>
      <c r="H599" s="2066"/>
      <c r="I599" s="2066"/>
      <c r="J599" s="2066"/>
    </row>
    <row r="600" spans="2:10">
      <c r="B600" s="64"/>
      <c r="C600" s="302"/>
      <c r="D600" s="302"/>
      <c r="E600" s="302"/>
      <c r="F600" s="302"/>
      <c r="G600" s="302"/>
      <c r="H600" s="302"/>
      <c r="I600" s="302"/>
      <c r="J600" s="302"/>
    </row>
    <row r="601" spans="2:10">
      <c r="B601" s="2100" t="s">
        <v>219</v>
      </c>
      <c r="C601" s="2100"/>
      <c r="D601" s="2100"/>
      <c r="E601" s="2100"/>
      <c r="F601" s="2100"/>
      <c r="G601" s="2100"/>
      <c r="H601" s="2100"/>
      <c r="I601" s="2100"/>
      <c r="J601" s="2100"/>
    </row>
    <row r="602" spans="2:10">
      <c r="B602" s="12" t="s">
        <v>218</v>
      </c>
      <c r="C602" s="302"/>
      <c r="D602" s="302"/>
      <c r="E602" s="302"/>
      <c r="F602" s="302"/>
      <c r="G602" s="302"/>
      <c r="H602" s="302"/>
      <c r="I602" s="302"/>
      <c r="J602" s="302"/>
    </row>
    <row r="603" spans="2:10">
      <c r="B603" s="77" t="s">
        <v>269</v>
      </c>
      <c r="C603" s="302"/>
      <c r="D603" s="302"/>
      <c r="E603" s="302"/>
      <c r="F603" s="302"/>
      <c r="G603" s="302"/>
      <c r="H603" s="302"/>
      <c r="I603" s="302"/>
      <c r="J603" s="302"/>
    </row>
    <row r="604" spans="2:10">
      <c r="B604" s="76"/>
      <c r="C604" s="302"/>
      <c r="D604" s="302"/>
      <c r="E604" s="302"/>
      <c r="F604" s="302"/>
      <c r="G604" s="302"/>
      <c r="H604" s="302"/>
      <c r="I604" s="302"/>
      <c r="J604" s="302"/>
    </row>
    <row r="605" spans="2:10">
      <c r="B605" s="61"/>
      <c r="C605" s="303">
        <v>2014</v>
      </c>
      <c r="D605" s="303">
        <v>2015</v>
      </c>
      <c r="E605" s="303">
        <v>2016</v>
      </c>
      <c r="F605" s="303">
        <v>2017</v>
      </c>
      <c r="G605" s="303">
        <v>2018</v>
      </c>
      <c r="H605" s="303">
        <v>2019</v>
      </c>
      <c r="I605" s="303">
        <v>2020</v>
      </c>
      <c r="J605" s="303">
        <v>2021</v>
      </c>
    </row>
    <row r="606" spans="2:10">
      <c r="B606" s="59" t="s">
        <v>697</v>
      </c>
      <c r="C606" s="302"/>
      <c r="D606" s="302"/>
      <c r="E606" s="302"/>
      <c r="F606" s="302"/>
      <c r="G606" s="302"/>
      <c r="H606" s="302"/>
      <c r="I606" s="302"/>
      <c r="J606" s="302"/>
    </row>
    <row r="607" spans="2:10">
      <c r="B607" s="71" t="s">
        <v>217</v>
      </c>
      <c r="C607" s="235" t="s">
        <v>2086</v>
      </c>
      <c r="D607" s="235" t="s">
        <v>2086</v>
      </c>
      <c r="E607" s="235" t="s">
        <v>2086</v>
      </c>
      <c r="F607" s="235" t="s">
        <v>2086</v>
      </c>
      <c r="G607" s="235" t="s">
        <v>2086</v>
      </c>
      <c r="H607" s="235" t="s">
        <v>2086</v>
      </c>
      <c r="I607" s="235" t="s">
        <v>2086</v>
      </c>
      <c r="J607" s="235" t="s">
        <v>2086</v>
      </c>
    </row>
    <row r="608" spans="2:10">
      <c r="B608" s="52" t="s">
        <v>150</v>
      </c>
      <c r="C608" s="235" t="s">
        <v>2086</v>
      </c>
      <c r="D608" s="235" t="s">
        <v>2086</v>
      </c>
      <c r="E608" s="235" t="s">
        <v>2086</v>
      </c>
      <c r="F608" s="235" t="s">
        <v>2086</v>
      </c>
      <c r="G608" s="235" t="s">
        <v>2086</v>
      </c>
      <c r="H608" s="235" t="s">
        <v>2086</v>
      </c>
      <c r="I608" s="235" t="s">
        <v>2086</v>
      </c>
      <c r="J608" s="235" t="s">
        <v>2086</v>
      </c>
    </row>
    <row r="609" spans="2:10">
      <c r="B609" s="52" t="s">
        <v>214</v>
      </c>
      <c r="C609" s="235" t="s">
        <v>2086</v>
      </c>
      <c r="D609" s="235" t="s">
        <v>2086</v>
      </c>
      <c r="E609" s="235" t="s">
        <v>2086</v>
      </c>
      <c r="F609" s="235" t="s">
        <v>2086</v>
      </c>
      <c r="G609" s="235" t="s">
        <v>2086</v>
      </c>
      <c r="H609" s="235" t="s">
        <v>2086</v>
      </c>
      <c r="I609" s="235" t="s">
        <v>2086</v>
      </c>
      <c r="J609" s="235" t="s">
        <v>2086</v>
      </c>
    </row>
    <row r="610" spans="2:10">
      <c r="B610" s="52" t="s">
        <v>147</v>
      </c>
      <c r="C610" s="235" t="s">
        <v>2086</v>
      </c>
      <c r="D610" s="235" t="s">
        <v>2086</v>
      </c>
      <c r="E610" s="235" t="s">
        <v>2086</v>
      </c>
      <c r="F610" s="235" t="s">
        <v>2086</v>
      </c>
      <c r="G610" s="235" t="s">
        <v>2086</v>
      </c>
      <c r="H610" s="235" t="s">
        <v>2086</v>
      </c>
      <c r="I610" s="235" t="s">
        <v>2086</v>
      </c>
      <c r="J610" s="235" t="s">
        <v>2086</v>
      </c>
    </row>
    <row r="611" spans="2:10">
      <c r="B611" s="52" t="s">
        <v>146</v>
      </c>
      <c r="C611" s="235" t="s">
        <v>2086</v>
      </c>
      <c r="D611" s="235" t="s">
        <v>2086</v>
      </c>
      <c r="E611" s="235" t="s">
        <v>2086</v>
      </c>
      <c r="F611" s="235" t="s">
        <v>2086</v>
      </c>
      <c r="G611" s="235" t="s">
        <v>2086</v>
      </c>
      <c r="H611" s="235" t="s">
        <v>2086</v>
      </c>
      <c r="I611" s="235" t="s">
        <v>2086</v>
      </c>
      <c r="J611" s="235" t="s">
        <v>2086</v>
      </c>
    </row>
    <row r="612" spans="2:10">
      <c r="B612" s="52"/>
      <c r="C612" s="235"/>
      <c r="D612" s="235"/>
      <c r="E612" s="235"/>
      <c r="F612" s="235"/>
      <c r="G612" s="235"/>
      <c r="H612" s="235"/>
      <c r="I612" s="235"/>
      <c r="J612" s="235"/>
    </row>
    <row r="613" spans="2:10">
      <c r="B613" s="71" t="s">
        <v>216</v>
      </c>
      <c r="C613" s="235" t="s">
        <v>2086</v>
      </c>
      <c r="D613" s="235" t="s">
        <v>2086</v>
      </c>
      <c r="E613" s="235" t="s">
        <v>2086</v>
      </c>
      <c r="F613" s="235" t="s">
        <v>2086</v>
      </c>
      <c r="G613" s="235" t="s">
        <v>2086</v>
      </c>
      <c r="H613" s="235" t="s">
        <v>2086</v>
      </c>
      <c r="I613" s="235" t="s">
        <v>2086</v>
      </c>
      <c r="J613" s="235" t="s">
        <v>2086</v>
      </c>
    </row>
    <row r="614" spans="2:10">
      <c r="B614" s="52" t="s">
        <v>150</v>
      </c>
      <c r="C614" s="235" t="s">
        <v>2086</v>
      </c>
      <c r="D614" s="235" t="s">
        <v>2086</v>
      </c>
      <c r="E614" s="235" t="s">
        <v>2086</v>
      </c>
      <c r="F614" s="235" t="s">
        <v>2086</v>
      </c>
      <c r="G614" s="235" t="s">
        <v>2086</v>
      </c>
      <c r="H614" s="235" t="s">
        <v>2086</v>
      </c>
      <c r="I614" s="235" t="s">
        <v>2086</v>
      </c>
      <c r="J614" s="235" t="s">
        <v>2086</v>
      </c>
    </row>
    <row r="615" spans="2:10">
      <c r="B615" s="52" t="s">
        <v>214</v>
      </c>
      <c r="C615" s="235" t="s">
        <v>2086</v>
      </c>
      <c r="D615" s="235" t="s">
        <v>2086</v>
      </c>
      <c r="E615" s="235" t="s">
        <v>2086</v>
      </c>
      <c r="F615" s="235" t="s">
        <v>2086</v>
      </c>
      <c r="G615" s="235" t="s">
        <v>2086</v>
      </c>
      <c r="H615" s="235" t="s">
        <v>2086</v>
      </c>
      <c r="I615" s="235" t="s">
        <v>2086</v>
      </c>
      <c r="J615" s="235" t="s">
        <v>2086</v>
      </c>
    </row>
    <row r="616" spans="2:10">
      <c r="B616" s="52" t="s">
        <v>147</v>
      </c>
      <c r="C616" s="235" t="s">
        <v>2086</v>
      </c>
      <c r="D616" s="235" t="s">
        <v>2086</v>
      </c>
      <c r="E616" s="235" t="s">
        <v>2086</v>
      </c>
      <c r="F616" s="235" t="s">
        <v>2086</v>
      </c>
      <c r="G616" s="235" t="s">
        <v>2086</v>
      </c>
      <c r="H616" s="235" t="s">
        <v>2086</v>
      </c>
      <c r="I616" s="235" t="s">
        <v>2086</v>
      </c>
      <c r="J616" s="235" t="s">
        <v>2086</v>
      </c>
    </row>
    <row r="617" spans="2:10">
      <c r="B617" s="52" t="s">
        <v>146</v>
      </c>
      <c r="C617" s="235" t="s">
        <v>2086</v>
      </c>
      <c r="D617" s="235" t="s">
        <v>2086</v>
      </c>
      <c r="E617" s="235" t="s">
        <v>2086</v>
      </c>
      <c r="F617" s="235" t="s">
        <v>2086</v>
      </c>
      <c r="G617" s="235" t="s">
        <v>2086</v>
      </c>
      <c r="H617" s="235" t="s">
        <v>2086</v>
      </c>
      <c r="I617" s="235" t="s">
        <v>2086</v>
      </c>
      <c r="J617" s="235" t="s">
        <v>2086</v>
      </c>
    </row>
    <row r="618" spans="2:10">
      <c r="B618" s="52"/>
      <c r="C618" s="235"/>
      <c r="D618" s="235"/>
      <c r="E618" s="235"/>
      <c r="F618" s="235"/>
      <c r="G618" s="235"/>
      <c r="H618" s="235"/>
      <c r="I618" s="235"/>
      <c r="J618" s="235"/>
    </row>
    <row r="619" spans="2:10">
      <c r="B619" s="71" t="s">
        <v>215</v>
      </c>
      <c r="C619" s="235" t="s">
        <v>2086</v>
      </c>
      <c r="D619" s="235" t="s">
        <v>2086</v>
      </c>
      <c r="E619" s="235" t="s">
        <v>2086</v>
      </c>
      <c r="F619" s="235" t="s">
        <v>2086</v>
      </c>
      <c r="G619" s="235" t="s">
        <v>2086</v>
      </c>
      <c r="H619" s="235" t="s">
        <v>2086</v>
      </c>
      <c r="I619" s="235" t="s">
        <v>2086</v>
      </c>
      <c r="J619" s="235" t="s">
        <v>2086</v>
      </c>
    </row>
    <row r="620" spans="2:10">
      <c r="B620" s="52" t="s">
        <v>150</v>
      </c>
      <c r="C620" s="235" t="s">
        <v>2086</v>
      </c>
      <c r="D620" s="235" t="s">
        <v>2086</v>
      </c>
      <c r="E620" s="235" t="s">
        <v>2086</v>
      </c>
      <c r="F620" s="235" t="s">
        <v>2086</v>
      </c>
      <c r="G620" s="235" t="s">
        <v>2086</v>
      </c>
      <c r="H620" s="235" t="s">
        <v>2086</v>
      </c>
      <c r="I620" s="235" t="s">
        <v>2086</v>
      </c>
      <c r="J620" s="235" t="s">
        <v>2086</v>
      </c>
    </row>
    <row r="621" spans="2:10">
      <c r="B621" s="52" t="s">
        <v>214</v>
      </c>
      <c r="C621" s="235" t="s">
        <v>2086</v>
      </c>
      <c r="D621" s="235" t="s">
        <v>2086</v>
      </c>
      <c r="E621" s="235" t="s">
        <v>2086</v>
      </c>
      <c r="F621" s="235" t="s">
        <v>2086</v>
      </c>
      <c r="G621" s="235" t="s">
        <v>2086</v>
      </c>
      <c r="H621" s="235" t="s">
        <v>2086</v>
      </c>
      <c r="I621" s="235" t="s">
        <v>2086</v>
      </c>
      <c r="J621" s="235" t="s">
        <v>2086</v>
      </c>
    </row>
    <row r="622" spans="2:10">
      <c r="B622" s="52" t="s">
        <v>147</v>
      </c>
      <c r="C622" s="235" t="s">
        <v>2086</v>
      </c>
      <c r="D622" s="235" t="s">
        <v>2086</v>
      </c>
      <c r="E622" s="235" t="s">
        <v>2086</v>
      </c>
      <c r="F622" s="235" t="s">
        <v>2086</v>
      </c>
      <c r="G622" s="235" t="s">
        <v>2086</v>
      </c>
      <c r="H622" s="235" t="s">
        <v>2086</v>
      </c>
      <c r="I622" s="235" t="s">
        <v>2086</v>
      </c>
      <c r="J622" s="235" t="s">
        <v>2086</v>
      </c>
    </row>
    <row r="623" spans="2:10" ht="15" thickBot="1">
      <c r="B623" s="52" t="s">
        <v>146</v>
      </c>
      <c r="C623" s="235" t="s">
        <v>2086</v>
      </c>
      <c r="D623" s="235" t="s">
        <v>2086</v>
      </c>
      <c r="E623" s="235" t="s">
        <v>2086</v>
      </c>
      <c r="F623" s="235" t="s">
        <v>2086</v>
      </c>
      <c r="G623" s="235" t="s">
        <v>2086</v>
      </c>
      <c r="H623" s="235" t="s">
        <v>2086</v>
      </c>
      <c r="I623" s="235" t="s">
        <v>2086</v>
      </c>
      <c r="J623" s="235" t="s">
        <v>2086</v>
      </c>
    </row>
    <row r="624" spans="2:10" ht="15" thickTop="1">
      <c r="B624" s="2025" t="s">
        <v>656</v>
      </c>
      <c r="C624" s="2025"/>
      <c r="D624" s="2025"/>
      <c r="E624" s="2025"/>
      <c r="F624" s="2025"/>
      <c r="G624" s="2025"/>
      <c r="H624" s="2025"/>
      <c r="I624" s="2025"/>
      <c r="J624" s="2025"/>
    </row>
    <row r="625" spans="2:10">
      <c r="B625" s="2017"/>
      <c r="C625" s="2017"/>
      <c r="D625" s="2017"/>
      <c r="E625" s="2017"/>
      <c r="F625" s="2017"/>
      <c r="G625" s="2017"/>
      <c r="H625" s="2017"/>
      <c r="I625" s="2017"/>
      <c r="J625" s="2017"/>
    </row>
    <row r="626" spans="2:10">
      <c r="B626" s="62"/>
      <c r="C626" s="302"/>
      <c r="D626" s="302"/>
      <c r="E626" s="302"/>
      <c r="F626" s="302"/>
      <c r="G626" s="302"/>
      <c r="H626" s="302"/>
      <c r="I626" s="302"/>
      <c r="J626" s="302"/>
    </row>
    <row r="627" spans="2:10">
      <c r="B627" s="2100" t="s">
        <v>212</v>
      </c>
      <c r="C627" s="2100"/>
      <c r="D627" s="2100"/>
      <c r="E627" s="2100"/>
      <c r="F627" s="2100"/>
      <c r="G627" s="2100"/>
      <c r="H627" s="2100"/>
      <c r="I627" s="2100"/>
      <c r="J627" s="2100"/>
    </row>
    <row r="628" spans="2:10">
      <c r="B628" s="12" t="s">
        <v>211</v>
      </c>
      <c r="C628" s="302"/>
      <c r="D628" s="302"/>
      <c r="E628" s="302"/>
      <c r="F628" s="302"/>
      <c r="G628" s="302"/>
      <c r="H628" s="302"/>
      <c r="I628" s="302"/>
      <c r="J628" s="302"/>
    </row>
    <row r="629" spans="2:10">
      <c r="B629" s="64" t="s">
        <v>210</v>
      </c>
      <c r="C629" s="302"/>
      <c r="D629" s="302"/>
      <c r="E629" s="302"/>
      <c r="F629" s="302"/>
      <c r="G629" s="302"/>
      <c r="H629" s="302"/>
      <c r="I629" s="302"/>
      <c r="J629" s="302"/>
    </row>
    <row r="630" spans="2:10">
      <c r="B630" s="61"/>
      <c r="C630" s="303">
        <v>2014</v>
      </c>
      <c r="D630" s="303">
        <v>2015</v>
      </c>
      <c r="E630" s="303">
        <v>2016</v>
      </c>
      <c r="F630" s="303">
        <v>2017</v>
      </c>
      <c r="G630" s="303">
        <v>2018</v>
      </c>
      <c r="H630" s="303">
        <v>2019</v>
      </c>
      <c r="I630" s="303">
        <v>2020</v>
      </c>
      <c r="J630" s="303">
        <v>2021</v>
      </c>
    </row>
    <row r="631" spans="2:10">
      <c r="B631" s="59" t="s">
        <v>698</v>
      </c>
      <c r="C631" s="302"/>
      <c r="D631" s="302"/>
      <c r="E631" s="302"/>
      <c r="F631" s="302"/>
      <c r="G631" s="302"/>
      <c r="H631" s="302"/>
      <c r="I631" s="302"/>
      <c r="J631" s="302"/>
    </row>
    <row r="632" spans="2:10">
      <c r="B632" s="71" t="s">
        <v>209</v>
      </c>
      <c r="C632" s="235" t="s">
        <v>2086</v>
      </c>
      <c r="D632" s="235" t="s">
        <v>2086</v>
      </c>
      <c r="E632" s="235" t="s">
        <v>2086</v>
      </c>
      <c r="F632" s="235" t="s">
        <v>2086</v>
      </c>
      <c r="G632" s="235" t="s">
        <v>2086</v>
      </c>
      <c r="H632" s="235" t="s">
        <v>2086</v>
      </c>
      <c r="I632" s="235" t="s">
        <v>2086</v>
      </c>
      <c r="J632" s="235" t="s">
        <v>2086</v>
      </c>
    </row>
    <row r="633" spans="2:10">
      <c r="B633" s="71"/>
      <c r="C633" s="336"/>
      <c r="D633" s="336"/>
      <c r="E633" s="336"/>
      <c r="F633" s="336"/>
      <c r="G633" s="336"/>
      <c r="H633" s="336"/>
      <c r="I633" s="336"/>
      <c r="J633" s="336"/>
    </row>
    <row r="634" spans="2:10">
      <c r="B634" s="71" t="s">
        <v>208</v>
      </c>
      <c r="C634" s="235" t="s">
        <v>2086</v>
      </c>
      <c r="D634" s="235" t="s">
        <v>2086</v>
      </c>
      <c r="E634" s="235" t="s">
        <v>2086</v>
      </c>
      <c r="F634" s="235" t="s">
        <v>2086</v>
      </c>
      <c r="G634" s="235" t="s">
        <v>2086</v>
      </c>
      <c r="H634" s="235" t="s">
        <v>2086</v>
      </c>
      <c r="I634" s="235" t="s">
        <v>2086</v>
      </c>
      <c r="J634" s="235" t="s">
        <v>2086</v>
      </c>
    </row>
    <row r="635" spans="2:10">
      <c r="B635" s="52" t="s">
        <v>121</v>
      </c>
      <c r="C635" s="235" t="s">
        <v>2086</v>
      </c>
      <c r="D635" s="235" t="s">
        <v>2086</v>
      </c>
      <c r="E635" s="235" t="s">
        <v>2086</v>
      </c>
      <c r="F635" s="235" t="s">
        <v>2086</v>
      </c>
      <c r="G635" s="235" t="s">
        <v>2086</v>
      </c>
      <c r="H635" s="235" t="s">
        <v>2086</v>
      </c>
      <c r="I635" s="235" t="s">
        <v>2086</v>
      </c>
      <c r="J635" s="235" t="s">
        <v>2086</v>
      </c>
    </row>
    <row r="636" spans="2:10">
      <c r="B636" s="53" t="s">
        <v>120</v>
      </c>
      <c r="C636" s="235" t="s">
        <v>2086</v>
      </c>
      <c r="D636" s="235" t="s">
        <v>2086</v>
      </c>
      <c r="E636" s="235" t="s">
        <v>2086</v>
      </c>
      <c r="F636" s="235" t="s">
        <v>2086</v>
      </c>
      <c r="G636" s="235" t="s">
        <v>2086</v>
      </c>
      <c r="H636" s="235" t="s">
        <v>2086</v>
      </c>
      <c r="I636" s="235" t="s">
        <v>2086</v>
      </c>
      <c r="J636" s="235" t="s">
        <v>2086</v>
      </c>
    </row>
    <row r="637" spans="2:10">
      <c r="B637" s="53" t="s">
        <v>119</v>
      </c>
      <c r="C637" s="235" t="s">
        <v>2086</v>
      </c>
      <c r="D637" s="235" t="s">
        <v>2086</v>
      </c>
      <c r="E637" s="235" t="s">
        <v>2086</v>
      </c>
      <c r="F637" s="235" t="s">
        <v>2086</v>
      </c>
      <c r="G637" s="235" t="s">
        <v>2086</v>
      </c>
      <c r="H637" s="235" t="s">
        <v>2086</v>
      </c>
      <c r="I637" s="235" t="s">
        <v>2086</v>
      </c>
      <c r="J637" s="235" t="s">
        <v>2086</v>
      </c>
    </row>
    <row r="638" spans="2:10">
      <c r="B638" s="53" t="s">
        <v>172</v>
      </c>
      <c r="C638" s="235" t="s">
        <v>2086</v>
      </c>
      <c r="D638" s="235" t="s">
        <v>2086</v>
      </c>
      <c r="E638" s="235" t="s">
        <v>2086</v>
      </c>
      <c r="F638" s="235" t="s">
        <v>2086</v>
      </c>
      <c r="G638" s="235" t="s">
        <v>2086</v>
      </c>
      <c r="H638" s="235" t="s">
        <v>2086</v>
      </c>
      <c r="I638" s="235" t="s">
        <v>2086</v>
      </c>
      <c r="J638" s="235" t="s">
        <v>2086</v>
      </c>
    </row>
    <row r="639" spans="2:10">
      <c r="B639" s="52" t="s">
        <v>118</v>
      </c>
      <c r="C639" s="235" t="s">
        <v>2086</v>
      </c>
      <c r="D639" s="235" t="s">
        <v>2086</v>
      </c>
      <c r="E639" s="235" t="s">
        <v>2086</v>
      </c>
      <c r="F639" s="235" t="s">
        <v>2086</v>
      </c>
      <c r="G639" s="235" t="s">
        <v>2086</v>
      </c>
      <c r="H639" s="235" t="s">
        <v>2086</v>
      </c>
      <c r="I639" s="235" t="s">
        <v>2086</v>
      </c>
      <c r="J639" s="235" t="s">
        <v>2086</v>
      </c>
    </row>
    <row r="640" spans="2:10">
      <c r="B640" s="52" t="s">
        <v>117</v>
      </c>
      <c r="C640" s="235" t="s">
        <v>2086</v>
      </c>
      <c r="D640" s="235" t="s">
        <v>2086</v>
      </c>
      <c r="E640" s="235" t="s">
        <v>2086</v>
      </c>
      <c r="F640" s="235" t="s">
        <v>2086</v>
      </c>
      <c r="G640" s="235" t="s">
        <v>2086</v>
      </c>
      <c r="H640" s="235" t="s">
        <v>2086</v>
      </c>
      <c r="I640" s="235" t="s">
        <v>2086</v>
      </c>
      <c r="J640" s="235" t="s">
        <v>2086</v>
      </c>
    </row>
    <row r="641" spans="2:10">
      <c r="B641" s="52"/>
      <c r="C641" s="336"/>
      <c r="D641" s="336"/>
      <c r="E641" s="336"/>
      <c r="F641" s="336"/>
      <c r="G641" s="336"/>
      <c r="H641" s="336"/>
      <c r="I641" s="336"/>
      <c r="J641" s="336"/>
    </row>
    <row r="642" spans="2:10">
      <c r="B642" s="83" t="s">
        <v>205</v>
      </c>
      <c r="C642" s="235"/>
      <c r="D642" s="235"/>
      <c r="E642" s="235"/>
      <c r="F642" s="235"/>
      <c r="G642" s="235"/>
      <c r="H642" s="235"/>
      <c r="I642" s="235"/>
      <c r="J642" s="235"/>
    </row>
    <row r="643" spans="2:10">
      <c r="B643" s="81" t="s">
        <v>121</v>
      </c>
      <c r="C643" s="235" t="s">
        <v>2086</v>
      </c>
      <c r="D643" s="235" t="s">
        <v>2086</v>
      </c>
      <c r="E643" s="235" t="s">
        <v>2086</v>
      </c>
      <c r="F643" s="235" t="s">
        <v>2086</v>
      </c>
      <c r="G643" s="235" t="s">
        <v>2086</v>
      </c>
      <c r="H643" s="235" t="s">
        <v>2086</v>
      </c>
      <c r="I643" s="235" t="s">
        <v>2086</v>
      </c>
      <c r="J643" s="235" t="s">
        <v>2086</v>
      </c>
    </row>
    <row r="644" spans="2:10">
      <c r="B644" s="82" t="s">
        <v>120</v>
      </c>
      <c r="C644" s="235" t="s">
        <v>2086</v>
      </c>
      <c r="D644" s="235" t="s">
        <v>2086</v>
      </c>
      <c r="E644" s="235" t="s">
        <v>2086</v>
      </c>
      <c r="F644" s="235" t="s">
        <v>2086</v>
      </c>
      <c r="G644" s="235" t="s">
        <v>2086</v>
      </c>
      <c r="H644" s="235" t="s">
        <v>2086</v>
      </c>
      <c r="I644" s="235" t="s">
        <v>2086</v>
      </c>
      <c r="J644" s="235" t="s">
        <v>2086</v>
      </c>
    </row>
    <row r="645" spans="2:10">
      <c r="B645" s="82" t="s">
        <v>119</v>
      </c>
      <c r="C645" s="235" t="s">
        <v>2086</v>
      </c>
      <c r="D645" s="235" t="s">
        <v>2086</v>
      </c>
      <c r="E645" s="235" t="s">
        <v>2086</v>
      </c>
      <c r="F645" s="235" t="s">
        <v>2086</v>
      </c>
      <c r="G645" s="235" t="s">
        <v>2086</v>
      </c>
      <c r="H645" s="235" t="s">
        <v>2086</v>
      </c>
      <c r="I645" s="235" t="s">
        <v>2086</v>
      </c>
      <c r="J645" s="235" t="s">
        <v>2086</v>
      </c>
    </row>
    <row r="646" spans="2:10">
      <c r="B646" s="82" t="s">
        <v>172</v>
      </c>
      <c r="C646" s="235" t="s">
        <v>2086</v>
      </c>
      <c r="D646" s="235" t="s">
        <v>2086</v>
      </c>
      <c r="E646" s="235" t="s">
        <v>2086</v>
      </c>
      <c r="F646" s="235" t="s">
        <v>2086</v>
      </c>
      <c r="G646" s="235" t="s">
        <v>2086</v>
      </c>
      <c r="H646" s="235" t="s">
        <v>2086</v>
      </c>
      <c r="I646" s="235" t="s">
        <v>2086</v>
      </c>
      <c r="J646" s="235" t="s">
        <v>2086</v>
      </c>
    </row>
    <row r="647" spans="2:10">
      <c r="B647" s="81" t="s">
        <v>118</v>
      </c>
      <c r="C647" s="235" t="s">
        <v>2086</v>
      </c>
      <c r="D647" s="235" t="s">
        <v>2086</v>
      </c>
      <c r="E647" s="235" t="s">
        <v>2086</v>
      </c>
      <c r="F647" s="235" t="s">
        <v>2086</v>
      </c>
      <c r="G647" s="235" t="s">
        <v>2086</v>
      </c>
      <c r="H647" s="235" t="s">
        <v>2086</v>
      </c>
      <c r="I647" s="235" t="s">
        <v>2086</v>
      </c>
      <c r="J647" s="235" t="s">
        <v>2086</v>
      </c>
    </row>
    <row r="648" spans="2:10">
      <c r="B648" s="81" t="s">
        <v>117</v>
      </c>
      <c r="C648" s="235" t="s">
        <v>2086</v>
      </c>
      <c r="D648" s="235" t="s">
        <v>2086</v>
      </c>
      <c r="E648" s="235" t="s">
        <v>2086</v>
      </c>
      <c r="F648" s="235" t="s">
        <v>2086</v>
      </c>
      <c r="G648" s="235" t="s">
        <v>2086</v>
      </c>
      <c r="H648" s="235" t="s">
        <v>2086</v>
      </c>
      <c r="I648" s="235" t="s">
        <v>2086</v>
      </c>
      <c r="J648" s="235" t="s">
        <v>2086</v>
      </c>
    </row>
    <row r="649" spans="2:10">
      <c r="B649" s="81"/>
      <c r="C649" s="336"/>
      <c r="D649" s="336"/>
      <c r="E649" s="336"/>
      <c r="F649" s="336"/>
      <c r="G649" s="336"/>
      <c r="H649" s="336"/>
      <c r="I649" s="336"/>
      <c r="J649" s="336"/>
    </row>
    <row r="650" spans="2:10">
      <c r="B650" s="83" t="s">
        <v>204</v>
      </c>
      <c r="C650" s="302"/>
      <c r="D650" s="302"/>
      <c r="E650" s="302"/>
      <c r="F650" s="302"/>
      <c r="G650" s="302"/>
      <c r="H650" s="302"/>
      <c r="I650" s="302"/>
      <c r="J650" s="302"/>
    </row>
    <row r="651" spans="2:10">
      <c r="B651" s="81" t="s">
        <v>121</v>
      </c>
      <c r="C651" s="235" t="s">
        <v>2086</v>
      </c>
      <c r="D651" s="235" t="s">
        <v>2086</v>
      </c>
      <c r="E651" s="235" t="s">
        <v>2086</v>
      </c>
      <c r="F651" s="235" t="s">
        <v>2086</v>
      </c>
      <c r="G651" s="235" t="s">
        <v>2086</v>
      </c>
      <c r="H651" s="235" t="s">
        <v>2086</v>
      </c>
      <c r="I651" s="235" t="s">
        <v>2086</v>
      </c>
      <c r="J651" s="235" t="s">
        <v>2086</v>
      </c>
    </row>
    <row r="652" spans="2:10">
      <c r="B652" s="82" t="s">
        <v>120</v>
      </c>
      <c r="C652" s="235" t="s">
        <v>2086</v>
      </c>
      <c r="D652" s="235" t="s">
        <v>2086</v>
      </c>
      <c r="E652" s="235" t="s">
        <v>2086</v>
      </c>
      <c r="F652" s="235" t="s">
        <v>2086</v>
      </c>
      <c r="G652" s="235" t="s">
        <v>2086</v>
      </c>
      <c r="H652" s="235" t="s">
        <v>2086</v>
      </c>
      <c r="I652" s="235" t="s">
        <v>2086</v>
      </c>
      <c r="J652" s="235" t="s">
        <v>2086</v>
      </c>
    </row>
    <row r="653" spans="2:10">
      <c r="B653" s="82" t="s">
        <v>119</v>
      </c>
      <c r="C653" s="235" t="s">
        <v>2086</v>
      </c>
      <c r="D653" s="235" t="s">
        <v>2086</v>
      </c>
      <c r="E653" s="235" t="s">
        <v>2086</v>
      </c>
      <c r="F653" s="235" t="s">
        <v>2086</v>
      </c>
      <c r="G653" s="235" t="s">
        <v>2086</v>
      </c>
      <c r="H653" s="235" t="s">
        <v>2086</v>
      </c>
      <c r="I653" s="235" t="s">
        <v>2086</v>
      </c>
      <c r="J653" s="235" t="s">
        <v>2086</v>
      </c>
    </row>
    <row r="654" spans="2:10">
      <c r="B654" s="82" t="s">
        <v>172</v>
      </c>
      <c r="C654" s="235" t="s">
        <v>2086</v>
      </c>
      <c r="D654" s="235" t="s">
        <v>2086</v>
      </c>
      <c r="E654" s="235" t="s">
        <v>2086</v>
      </c>
      <c r="F654" s="235" t="s">
        <v>2086</v>
      </c>
      <c r="G654" s="235" t="s">
        <v>2086</v>
      </c>
      <c r="H654" s="235" t="s">
        <v>2086</v>
      </c>
      <c r="I654" s="235" t="s">
        <v>2086</v>
      </c>
      <c r="J654" s="235" t="s">
        <v>2086</v>
      </c>
    </row>
    <row r="655" spans="2:10">
      <c r="B655" s="81" t="s">
        <v>118</v>
      </c>
      <c r="C655" s="235" t="s">
        <v>2086</v>
      </c>
      <c r="D655" s="235" t="s">
        <v>2086</v>
      </c>
      <c r="E655" s="235" t="s">
        <v>2086</v>
      </c>
      <c r="F655" s="235" t="s">
        <v>2086</v>
      </c>
      <c r="G655" s="235" t="s">
        <v>2086</v>
      </c>
      <c r="H655" s="235" t="s">
        <v>2086</v>
      </c>
      <c r="I655" s="235" t="s">
        <v>2086</v>
      </c>
      <c r="J655" s="235" t="s">
        <v>2086</v>
      </c>
    </row>
    <row r="656" spans="2:10">
      <c r="B656" s="81" t="s">
        <v>117</v>
      </c>
      <c r="C656" s="235" t="s">
        <v>2086</v>
      </c>
      <c r="D656" s="235" t="s">
        <v>2086</v>
      </c>
      <c r="E656" s="235" t="s">
        <v>2086</v>
      </c>
      <c r="F656" s="235" t="s">
        <v>2086</v>
      </c>
      <c r="G656" s="235" t="s">
        <v>2086</v>
      </c>
      <c r="H656" s="235" t="s">
        <v>2086</v>
      </c>
      <c r="I656" s="235" t="s">
        <v>2086</v>
      </c>
      <c r="J656" s="235" t="s">
        <v>2086</v>
      </c>
    </row>
    <row r="657" spans="2:10">
      <c r="B657" s="81"/>
      <c r="C657" s="336"/>
      <c r="D657" s="336"/>
      <c r="E657" s="336"/>
      <c r="F657" s="336"/>
      <c r="G657" s="336"/>
      <c r="H657" s="336"/>
      <c r="I657" s="336"/>
      <c r="J657" s="336"/>
    </row>
    <row r="658" spans="2:10" ht="25">
      <c r="B658" s="71" t="s">
        <v>203</v>
      </c>
      <c r="C658" s="235" t="s">
        <v>2086</v>
      </c>
      <c r="D658" s="235" t="s">
        <v>2086</v>
      </c>
      <c r="E658" s="235" t="s">
        <v>2086</v>
      </c>
      <c r="F658" s="235" t="s">
        <v>2086</v>
      </c>
      <c r="G658" s="235" t="s">
        <v>2086</v>
      </c>
      <c r="H658" s="235" t="s">
        <v>2086</v>
      </c>
      <c r="I658" s="235" t="s">
        <v>2086</v>
      </c>
      <c r="J658" s="235" t="s">
        <v>2086</v>
      </c>
    </row>
    <row r="659" spans="2:10">
      <c r="B659" s="52" t="s">
        <v>169</v>
      </c>
      <c r="C659" s="235" t="s">
        <v>2086</v>
      </c>
      <c r="D659" s="235" t="s">
        <v>2086</v>
      </c>
      <c r="E659" s="235" t="s">
        <v>2086</v>
      </c>
      <c r="F659" s="235" t="s">
        <v>2086</v>
      </c>
      <c r="G659" s="235" t="s">
        <v>2086</v>
      </c>
      <c r="H659" s="235" t="s">
        <v>2086</v>
      </c>
      <c r="I659" s="235" t="s">
        <v>2086</v>
      </c>
      <c r="J659" s="235" t="s">
        <v>2086</v>
      </c>
    </row>
    <row r="660" spans="2:10">
      <c r="B660" s="52" t="s">
        <v>168</v>
      </c>
      <c r="C660" s="235" t="s">
        <v>2086</v>
      </c>
      <c r="D660" s="235" t="s">
        <v>2086</v>
      </c>
      <c r="E660" s="235" t="s">
        <v>2086</v>
      </c>
      <c r="F660" s="235" t="s">
        <v>2086</v>
      </c>
      <c r="G660" s="235" t="s">
        <v>2086</v>
      </c>
      <c r="H660" s="235" t="s">
        <v>2086</v>
      </c>
      <c r="I660" s="235" t="s">
        <v>2086</v>
      </c>
      <c r="J660" s="235" t="s">
        <v>2086</v>
      </c>
    </row>
    <row r="661" spans="2:10">
      <c r="B661" s="52" t="s">
        <v>167</v>
      </c>
      <c r="C661" s="235" t="s">
        <v>2086</v>
      </c>
      <c r="D661" s="235" t="s">
        <v>2086</v>
      </c>
      <c r="E661" s="235" t="s">
        <v>2086</v>
      </c>
      <c r="F661" s="235" t="s">
        <v>2086</v>
      </c>
      <c r="G661" s="235" t="s">
        <v>2086</v>
      </c>
      <c r="H661" s="235" t="s">
        <v>2086</v>
      </c>
      <c r="I661" s="235" t="s">
        <v>2086</v>
      </c>
      <c r="J661" s="235" t="s">
        <v>2086</v>
      </c>
    </row>
    <row r="662" spans="2:10">
      <c r="B662" s="52" t="s">
        <v>166</v>
      </c>
      <c r="C662" s="235" t="s">
        <v>2086</v>
      </c>
      <c r="D662" s="235" t="s">
        <v>2086</v>
      </c>
      <c r="E662" s="235" t="s">
        <v>2086</v>
      </c>
      <c r="F662" s="235" t="s">
        <v>2086</v>
      </c>
      <c r="G662" s="235" t="s">
        <v>2086</v>
      </c>
      <c r="H662" s="235" t="s">
        <v>2086</v>
      </c>
      <c r="I662" s="235" t="s">
        <v>2086</v>
      </c>
      <c r="J662" s="235" t="s">
        <v>2086</v>
      </c>
    </row>
    <row r="663" spans="2:10">
      <c r="B663" s="52" t="s">
        <v>165</v>
      </c>
      <c r="C663" s="235" t="s">
        <v>2086</v>
      </c>
      <c r="D663" s="235" t="s">
        <v>2086</v>
      </c>
      <c r="E663" s="235" t="s">
        <v>2086</v>
      </c>
      <c r="F663" s="235" t="s">
        <v>2086</v>
      </c>
      <c r="G663" s="235" t="s">
        <v>2086</v>
      </c>
      <c r="H663" s="235" t="s">
        <v>2086</v>
      </c>
      <c r="I663" s="235" t="s">
        <v>2086</v>
      </c>
      <c r="J663" s="235" t="s">
        <v>2086</v>
      </c>
    </row>
    <row r="664" spans="2:10">
      <c r="B664" s="52" t="s">
        <v>164</v>
      </c>
      <c r="C664" s="235" t="s">
        <v>2086</v>
      </c>
      <c r="D664" s="235" t="s">
        <v>2086</v>
      </c>
      <c r="E664" s="235" t="s">
        <v>2086</v>
      </c>
      <c r="F664" s="235" t="s">
        <v>2086</v>
      </c>
      <c r="G664" s="235" t="s">
        <v>2086</v>
      </c>
      <c r="H664" s="235" t="s">
        <v>2086</v>
      </c>
      <c r="I664" s="235" t="s">
        <v>2086</v>
      </c>
      <c r="J664" s="235" t="s">
        <v>2086</v>
      </c>
    </row>
    <row r="665" spans="2:10">
      <c r="B665" s="52"/>
      <c r="C665" s="336"/>
      <c r="D665" s="336"/>
      <c r="E665" s="336"/>
      <c r="F665" s="336"/>
      <c r="G665" s="336"/>
      <c r="H665" s="336"/>
      <c r="I665" s="336"/>
      <c r="J665" s="336"/>
    </row>
    <row r="666" spans="2:10">
      <c r="B666" s="80" t="s">
        <v>202</v>
      </c>
      <c r="C666" s="235" t="s">
        <v>2086</v>
      </c>
      <c r="D666" s="235" t="s">
        <v>2086</v>
      </c>
      <c r="E666" s="235" t="s">
        <v>2086</v>
      </c>
      <c r="F666" s="235" t="s">
        <v>2086</v>
      </c>
      <c r="G666" s="235" t="s">
        <v>2086</v>
      </c>
      <c r="H666" s="235" t="s">
        <v>2086</v>
      </c>
      <c r="I666" s="235" t="s">
        <v>2086</v>
      </c>
      <c r="J666" s="235" t="s">
        <v>2086</v>
      </c>
    </row>
    <row r="667" spans="2:10">
      <c r="B667" s="52" t="s">
        <v>169</v>
      </c>
      <c r="C667" s="235" t="s">
        <v>2086</v>
      </c>
      <c r="D667" s="235" t="s">
        <v>2086</v>
      </c>
      <c r="E667" s="235" t="s">
        <v>2086</v>
      </c>
      <c r="F667" s="235" t="s">
        <v>2086</v>
      </c>
      <c r="G667" s="235" t="s">
        <v>2086</v>
      </c>
      <c r="H667" s="235" t="s">
        <v>2086</v>
      </c>
      <c r="I667" s="235" t="s">
        <v>2086</v>
      </c>
      <c r="J667" s="235" t="s">
        <v>2086</v>
      </c>
    </row>
    <row r="668" spans="2:10">
      <c r="B668" s="52" t="s">
        <v>168</v>
      </c>
      <c r="C668" s="235" t="s">
        <v>2086</v>
      </c>
      <c r="D668" s="235" t="s">
        <v>2086</v>
      </c>
      <c r="E668" s="235" t="s">
        <v>2086</v>
      </c>
      <c r="F668" s="235" t="s">
        <v>2086</v>
      </c>
      <c r="G668" s="235" t="s">
        <v>2086</v>
      </c>
      <c r="H668" s="235" t="s">
        <v>2086</v>
      </c>
      <c r="I668" s="235" t="s">
        <v>2086</v>
      </c>
      <c r="J668" s="235" t="s">
        <v>2086</v>
      </c>
    </row>
    <row r="669" spans="2:10">
      <c r="B669" s="52" t="s">
        <v>167</v>
      </c>
      <c r="C669" s="235" t="s">
        <v>2086</v>
      </c>
      <c r="D669" s="235" t="s">
        <v>2086</v>
      </c>
      <c r="E669" s="235" t="s">
        <v>2086</v>
      </c>
      <c r="F669" s="235" t="s">
        <v>2086</v>
      </c>
      <c r="G669" s="235" t="s">
        <v>2086</v>
      </c>
      <c r="H669" s="235" t="s">
        <v>2086</v>
      </c>
      <c r="I669" s="235" t="s">
        <v>2086</v>
      </c>
      <c r="J669" s="235" t="s">
        <v>2086</v>
      </c>
    </row>
    <row r="670" spans="2:10">
      <c r="B670" s="52" t="s">
        <v>166</v>
      </c>
      <c r="C670" s="235" t="s">
        <v>2086</v>
      </c>
      <c r="D670" s="235" t="s">
        <v>2086</v>
      </c>
      <c r="E670" s="235" t="s">
        <v>2086</v>
      </c>
      <c r="F670" s="235" t="s">
        <v>2086</v>
      </c>
      <c r="G670" s="235" t="s">
        <v>2086</v>
      </c>
      <c r="H670" s="235" t="s">
        <v>2086</v>
      </c>
      <c r="I670" s="235" t="s">
        <v>2086</v>
      </c>
      <c r="J670" s="235" t="s">
        <v>2086</v>
      </c>
    </row>
    <row r="671" spans="2:10">
      <c r="B671" s="52" t="s">
        <v>165</v>
      </c>
      <c r="C671" s="235" t="s">
        <v>2086</v>
      </c>
      <c r="D671" s="235" t="s">
        <v>2086</v>
      </c>
      <c r="E671" s="235" t="s">
        <v>2086</v>
      </c>
      <c r="F671" s="235" t="s">
        <v>2086</v>
      </c>
      <c r="G671" s="235" t="s">
        <v>2086</v>
      </c>
      <c r="H671" s="235" t="s">
        <v>2086</v>
      </c>
      <c r="I671" s="235" t="s">
        <v>2086</v>
      </c>
      <c r="J671" s="235" t="s">
        <v>2086</v>
      </c>
    </row>
    <row r="672" spans="2:10" ht="15" thickBot="1">
      <c r="B672" s="52" t="s">
        <v>164</v>
      </c>
      <c r="C672" s="235" t="s">
        <v>2086</v>
      </c>
      <c r="D672" s="235" t="s">
        <v>2086</v>
      </c>
      <c r="E672" s="235" t="s">
        <v>2086</v>
      </c>
      <c r="F672" s="235" t="s">
        <v>2086</v>
      </c>
      <c r="G672" s="235" t="s">
        <v>2086</v>
      </c>
      <c r="H672" s="235" t="s">
        <v>2086</v>
      </c>
      <c r="I672" s="235" t="s">
        <v>2086</v>
      </c>
      <c r="J672" s="235" t="s">
        <v>2086</v>
      </c>
    </row>
    <row r="673" spans="2:10" ht="15" thickTop="1">
      <c r="B673" s="2025" t="s">
        <v>656</v>
      </c>
      <c r="C673" s="2025"/>
      <c r="D673" s="2025"/>
      <c r="E673" s="2025"/>
      <c r="F673" s="2025"/>
      <c r="G673" s="2025"/>
      <c r="H673" s="2025"/>
      <c r="I673" s="2025"/>
      <c r="J673" s="2025"/>
    </row>
    <row r="674" spans="2:10">
      <c r="B674" s="2017"/>
      <c r="C674" s="2017"/>
      <c r="D674" s="2017"/>
      <c r="E674" s="2017"/>
      <c r="F674" s="2017"/>
      <c r="G674" s="2017"/>
      <c r="H674" s="2017"/>
      <c r="I674" s="2017"/>
      <c r="J674" s="2017"/>
    </row>
    <row r="675" spans="2:10">
      <c r="B675" s="64"/>
      <c r="C675" s="302"/>
      <c r="D675" s="302"/>
      <c r="E675" s="302"/>
      <c r="F675" s="302"/>
      <c r="G675" s="302"/>
      <c r="H675" s="302"/>
      <c r="I675" s="302"/>
      <c r="J675" s="302"/>
    </row>
    <row r="676" spans="2:10">
      <c r="B676" s="2100" t="s">
        <v>199</v>
      </c>
      <c r="C676" s="2100"/>
      <c r="D676" s="2100"/>
      <c r="E676" s="2100"/>
      <c r="F676" s="2100"/>
      <c r="G676" s="2100"/>
      <c r="H676" s="2100"/>
      <c r="I676" s="2100"/>
      <c r="J676" s="2100"/>
    </row>
    <row r="677" spans="2:10">
      <c r="B677" s="12" t="s">
        <v>198</v>
      </c>
      <c r="C677" s="302"/>
      <c r="D677" s="302"/>
      <c r="E677" s="302"/>
      <c r="F677" s="302"/>
      <c r="G677" s="302"/>
      <c r="H677" s="302"/>
      <c r="I677" s="302"/>
      <c r="J677" s="302"/>
    </row>
    <row r="678" spans="2:10">
      <c r="B678" s="62" t="s">
        <v>127</v>
      </c>
      <c r="C678" s="302"/>
      <c r="D678" s="302"/>
      <c r="E678" s="302"/>
      <c r="F678" s="302"/>
      <c r="G678" s="302"/>
      <c r="H678" s="302"/>
      <c r="I678" s="302"/>
      <c r="J678" s="302"/>
    </row>
    <row r="679" spans="2:10">
      <c r="B679" s="62"/>
      <c r="C679" s="302"/>
      <c r="D679" s="302"/>
      <c r="E679" s="302"/>
      <c r="F679" s="302"/>
      <c r="G679" s="302"/>
      <c r="H679" s="302"/>
      <c r="I679" s="302"/>
      <c r="J679" s="302"/>
    </row>
    <row r="680" spans="2:10">
      <c r="B680" s="61"/>
      <c r="C680" s="303">
        <v>2014</v>
      </c>
      <c r="D680" s="303">
        <v>2015</v>
      </c>
      <c r="E680" s="303">
        <v>2016</v>
      </c>
      <c r="F680" s="303">
        <v>2017</v>
      </c>
      <c r="G680" s="303">
        <v>2018</v>
      </c>
      <c r="H680" s="303">
        <v>2019</v>
      </c>
      <c r="I680" s="303">
        <v>2020</v>
      </c>
      <c r="J680" s="303">
        <v>2021</v>
      </c>
    </row>
    <row r="681" spans="2:10">
      <c r="B681" s="59" t="s">
        <v>698</v>
      </c>
      <c r="C681" s="302"/>
      <c r="D681" s="302"/>
      <c r="E681" s="302"/>
      <c r="F681" s="302"/>
      <c r="G681" s="302"/>
      <c r="H681" s="302"/>
      <c r="I681" s="302"/>
      <c r="J681" s="302"/>
    </row>
    <row r="682" spans="2:10">
      <c r="B682" s="71" t="s">
        <v>186</v>
      </c>
      <c r="C682" s="235" t="s">
        <v>2086</v>
      </c>
      <c r="D682" s="235" t="s">
        <v>2086</v>
      </c>
      <c r="E682" s="235" t="s">
        <v>2086</v>
      </c>
      <c r="F682" s="235" t="s">
        <v>2086</v>
      </c>
      <c r="G682" s="235" t="s">
        <v>2086</v>
      </c>
      <c r="H682" s="235" t="s">
        <v>2086</v>
      </c>
      <c r="I682" s="235" t="s">
        <v>2086</v>
      </c>
      <c r="J682" s="235" t="s">
        <v>2086</v>
      </c>
    </row>
    <row r="683" spans="2:10">
      <c r="B683" s="71"/>
      <c r="C683" s="336"/>
      <c r="D683" s="336"/>
      <c r="E683" s="336"/>
      <c r="F683" s="336"/>
      <c r="G683" s="336"/>
      <c r="H683" s="336"/>
      <c r="I683" s="336"/>
      <c r="J683" s="336"/>
    </row>
    <row r="684" spans="2:10">
      <c r="B684" s="71" t="s">
        <v>190</v>
      </c>
      <c r="C684" s="235" t="s">
        <v>2086</v>
      </c>
      <c r="D684" s="235" t="s">
        <v>2086</v>
      </c>
      <c r="E684" s="235" t="s">
        <v>2086</v>
      </c>
      <c r="F684" s="235" t="s">
        <v>2086</v>
      </c>
      <c r="G684" s="235" t="s">
        <v>2086</v>
      </c>
      <c r="H684" s="235" t="s">
        <v>2086</v>
      </c>
      <c r="I684" s="235" t="s">
        <v>2086</v>
      </c>
      <c r="J684" s="235" t="s">
        <v>2086</v>
      </c>
    </row>
    <row r="685" spans="2:10">
      <c r="B685" s="52" t="s">
        <v>121</v>
      </c>
      <c r="C685" s="235" t="s">
        <v>2086</v>
      </c>
      <c r="D685" s="235" t="s">
        <v>2086</v>
      </c>
      <c r="E685" s="235" t="s">
        <v>2086</v>
      </c>
      <c r="F685" s="235" t="s">
        <v>2086</v>
      </c>
      <c r="G685" s="235" t="s">
        <v>2086</v>
      </c>
      <c r="H685" s="235" t="s">
        <v>2086</v>
      </c>
      <c r="I685" s="235" t="s">
        <v>2086</v>
      </c>
      <c r="J685" s="235" t="s">
        <v>2086</v>
      </c>
    </row>
    <row r="686" spans="2:10">
      <c r="B686" s="53" t="s">
        <v>120</v>
      </c>
      <c r="C686" s="235" t="s">
        <v>2086</v>
      </c>
      <c r="D686" s="235" t="s">
        <v>2086</v>
      </c>
      <c r="E686" s="235" t="s">
        <v>2086</v>
      </c>
      <c r="F686" s="235" t="s">
        <v>2086</v>
      </c>
      <c r="G686" s="235" t="s">
        <v>2086</v>
      </c>
      <c r="H686" s="235" t="s">
        <v>2086</v>
      </c>
      <c r="I686" s="235" t="s">
        <v>2086</v>
      </c>
      <c r="J686" s="235" t="s">
        <v>2086</v>
      </c>
    </row>
    <row r="687" spans="2:10">
      <c r="B687" s="53" t="s">
        <v>119</v>
      </c>
      <c r="C687" s="235" t="s">
        <v>2086</v>
      </c>
      <c r="D687" s="235" t="s">
        <v>2086</v>
      </c>
      <c r="E687" s="235" t="s">
        <v>2086</v>
      </c>
      <c r="F687" s="235" t="s">
        <v>2086</v>
      </c>
      <c r="G687" s="235" t="s">
        <v>2086</v>
      </c>
      <c r="H687" s="235" t="s">
        <v>2086</v>
      </c>
      <c r="I687" s="235" t="s">
        <v>2086</v>
      </c>
      <c r="J687" s="235" t="s">
        <v>2086</v>
      </c>
    </row>
    <row r="688" spans="2:10">
      <c r="B688" s="53" t="s">
        <v>197</v>
      </c>
      <c r="C688" s="235" t="s">
        <v>2086</v>
      </c>
      <c r="D688" s="235" t="s">
        <v>2086</v>
      </c>
      <c r="E688" s="235" t="s">
        <v>2086</v>
      </c>
      <c r="F688" s="235" t="s">
        <v>2086</v>
      </c>
      <c r="G688" s="235" t="s">
        <v>2086</v>
      </c>
      <c r="H688" s="235" t="s">
        <v>2086</v>
      </c>
      <c r="I688" s="235" t="s">
        <v>2086</v>
      </c>
      <c r="J688" s="235" t="s">
        <v>2086</v>
      </c>
    </row>
    <row r="689" spans="2:10">
      <c r="B689" s="52" t="s">
        <v>118</v>
      </c>
      <c r="C689" s="235" t="s">
        <v>2086</v>
      </c>
      <c r="D689" s="235" t="s">
        <v>2086</v>
      </c>
      <c r="E689" s="235" t="s">
        <v>2086</v>
      </c>
      <c r="F689" s="235" t="s">
        <v>2086</v>
      </c>
      <c r="G689" s="235" t="s">
        <v>2086</v>
      </c>
      <c r="H689" s="235" t="s">
        <v>2086</v>
      </c>
      <c r="I689" s="235" t="s">
        <v>2086</v>
      </c>
      <c r="J689" s="235" t="s">
        <v>2086</v>
      </c>
    </row>
    <row r="690" spans="2:10">
      <c r="B690" s="52" t="s">
        <v>117</v>
      </c>
      <c r="C690" s="235" t="s">
        <v>2086</v>
      </c>
      <c r="D690" s="235" t="s">
        <v>2086</v>
      </c>
      <c r="E690" s="235" t="s">
        <v>2086</v>
      </c>
      <c r="F690" s="235" t="s">
        <v>2086</v>
      </c>
      <c r="G690" s="235" t="s">
        <v>2086</v>
      </c>
      <c r="H690" s="235" t="s">
        <v>2086</v>
      </c>
      <c r="I690" s="235" t="s">
        <v>2086</v>
      </c>
      <c r="J690" s="235" t="s">
        <v>2086</v>
      </c>
    </row>
    <row r="691" spans="2:10">
      <c r="B691" s="52"/>
      <c r="C691" s="336"/>
      <c r="D691" s="336"/>
      <c r="E691" s="336"/>
      <c r="F691" s="336"/>
      <c r="G691" s="336"/>
      <c r="H691" s="336"/>
      <c r="I691" s="336"/>
      <c r="J691" s="336"/>
    </row>
    <row r="692" spans="2:10">
      <c r="B692" s="83" t="s">
        <v>187</v>
      </c>
      <c r="C692" s="235"/>
      <c r="D692" s="235"/>
      <c r="E692" s="235"/>
      <c r="F692" s="235"/>
      <c r="G692" s="235"/>
      <c r="H692" s="235"/>
      <c r="I692" s="235"/>
      <c r="J692" s="235"/>
    </row>
    <row r="693" spans="2:10">
      <c r="B693" s="81" t="s">
        <v>121</v>
      </c>
      <c r="C693" s="235" t="s">
        <v>2086</v>
      </c>
      <c r="D693" s="235" t="s">
        <v>2086</v>
      </c>
      <c r="E693" s="235" t="s">
        <v>2086</v>
      </c>
      <c r="F693" s="235" t="s">
        <v>2086</v>
      </c>
      <c r="G693" s="235" t="s">
        <v>2086</v>
      </c>
      <c r="H693" s="235" t="s">
        <v>2086</v>
      </c>
      <c r="I693" s="235" t="s">
        <v>2086</v>
      </c>
      <c r="J693" s="235" t="s">
        <v>2086</v>
      </c>
    </row>
    <row r="694" spans="2:10">
      <c r="B694" s="82" t="s">
        <v>120</v>
      </c>
      <c r="C694" s="235" t="s">
        <v>2086</v>
      </c>
      <c r="D694" s="235" t="s">
        <v>2086</v>
      </c>
      <c r="E694" s="235" t="s">
        <v>2086</v>
      </c>
      <c r="F694" s="235" t="s">
        <v>2086</v>
      </c>
      <c r="G694" s="235" t="s">
        <v>2086</v>
      </c>
      <c r="H694" s="235" t="s">
        <v>2086</v>
      </c>
      <c r="I694" s="235" t="s">
        <v>2086</v>
      </c>
      <c r="J694" s="235" t="s">
        <v>2086</v>
      </c>
    </row>
    <row r="695" spans="2:10">
      <c r="B695" s="82" t="s">
        <v>119</v>
      </c>
      <c r="C695" s="235" t="s">
        <v>2086</v>
      </c>
      <c r="D695" s="235" t="s">
        <v>2086</v>
      </c>
      <c r="E695" s="235" t="s">
        <v>2086</v>
      </c>
      <c r="F695" s="235" t="s">
        <v>2086</v>
      </c>
      <c r="G695" s="235" t="s">
        <v>2086</v>
      </c>
      <c r="H695" s="235" t="s">
        <v>2086</v>
      </c>
      <c r="I695" s="235" t="s">
        <v>2086</v>
      </c>
      <c r="J695" s="235" t="s">
        <v>2086</v>
      </c>
    </row>
    <row r="696" spans="2:10">
      <c r="B696" s="82" t="s">
        <v>172</v>
      </c>
      <c r="C696" s="235" t="s">
        <v>2086</v>
      </c>
      <c r="D696" s="235" t="s">
        <v>2086</v>
      </c>
      <c r="E696" s="235" t="s">
        <v>2086</v>
      </c>
      <c r="F696" s="235" t="s">
        <v>2086</v>
      </c>
      <c r="G696" s="235" t="s">
        <v>2086</v>
      </c>
      <c r="H696" s="235" t="s">
        <v>2086</v>
      </c>
      <c r="I696" s="235" t="s">
        <v>2086</v>
      </c>
      <c r="J696" s="235" t="s">
        <v>2086</v>
      </c>
    </row>
    <row r="697" spans="2:10">
      <c r="B697" s="81" t="s">
        <v>118</v>
      </c>
      <c r="C697" s="235" t="s">
        <v>2086</v>
      </c>
      <c r="D697" s="235" t="s">
        <v>2086</v>
      </c>
      <c r="E697" s="235" t="s">
        <v>2086</v>
      </c>
      <c r="F697" s="235" t="s">
        <v>2086</v>
      </c>
      <c r="G697" s="235" t="s">
        <v>2086</v>
      </c>
      <c r="H697" s="235" t="s">
        <v>2086</v>
      </c>
      <c r="I697" s="235" t="s">
        <v>2086</v>
      </c>
      <c r="J697" s="235" t="s">
        <v>2086</v>
      </c>
    </row>
    <row r="698" spans="2:10">
      <c r="B698" s="81" t="s">
        <v>117</v>
      </c>
      <c r="C698" s="235" t="s">
        <v>2086</v>
      </c>
      <c r="D698" s="235" t="s">
        <v>2086</v>
      </c>
      <c r="E698" s="235" t="s">
        <v>2086</v>
      </c>
      <c r="F698" s="235" t="s">
        <v>2086</v>
      </c>
      <c r="G698" s="235" t="s">
        <v>2086</v>
      </c>
      <c r="H698" s="235" t="s">
        <v>2086</v>
      </c>
      <c r="I698" s="235" t="s">
        <v>2086</v>
      </c>
      <c r="J698" s="235" t="s">
        <v>2086</v>
      </c>
    </row>
    <row r="699" spans="2:10">
      <c r="B699" s="81"/>
      <c r="C699" s="336"/>
      <c r="D699" s="336"/>
      <c r="E699" s="336"/>
      <c r="F699" s="336"/>
      <c r="G699" s="336"/>
      <c r="H699" s="336"/>
      <c r="I699" s="336"/>
      <c r="J699" s="336"/>
    </row>
    <row r="700" spans="2:10">
      <c r="B700" s="83" t="s">
        <v>173</v>
      </c>
      <c r="C700" s="302"/>
      <c r="D700" s="302"/>
      <c r="E700" s="302"/>
      <c r="F700" s="302"/>
      <c r="G700" s="302"/>
      <c r="H700" s="302"/>
      <c r="I700" s="302"/>
      <c r="J700" s="302"/>
    </row>
    <row r="701" spans="2:10">
      <c r="B701" s="81" t="s">
        <v>121</v>
      </c>
      <c r="C701" s="235" t="s">
        <v>2086</v>
      </c>
      <c r="D701" s="235" t="s">
        <v>2086</v>
      </c>
      <c r="E701" s="235" t="s">
        <v>2086</v>
      </c>
      <c r="F701" s="235" t="s">
        <v>2086</v>
      </c>
      <c r="G701" s="235" t="s">
        <v>2086</v>
      </c>
      <c r="H701" s="235" t="s">
        <v>2086</v>
      </c>
      <c r="I701" s="235" t="s">
        <v>2086</v>
      </c>
      <c r="J701" s="235" t="s">
        <v>2086</v>
      </c>
    </row>
    <row r="702" spans="2:10">
      <c r="B702" s="82" t="s">
        <v>120</v>
      </c>
      <c r="C702" s="235" t="s">
        <v>2086</v>
      </c>
      <c r="D702" s="235" t="s">
        <v>2086</v>
      </c>
      <c r="E702" s="235" t="s">
        <v>2086</v>
      </c>
      <c r="F702" s="235" t="s">
        <v>2086</v>
      </c>
      <c r="G702" s="235" t="s">
        <v>2086</v>
      </c>
      <c r="H702" s="235" t="s">
        <v>2086</v>
      </c>
      <c r="I702" s="235" t="s">
        <v>2086</v>
      </c>
      <c r="J702" s="235" t="s">
        <v>2086</v>
      </c>
    </row>
    <row r="703" spans="2:10">
      <c r="B703" s="82" t="s">
        <v>119</v>
      </c>
      <c r="C703" s="235" t="s">
        <v>2086</v>
      </c>
      <c r="D703" s="235" t="s">
        <v>2086</v>
      </c>
      <c r="E703" s="235" t="s">
        <v>2086</v>
      </c>
      <c r="F703" s="235" t="s">
        <v>2086</v>
      </c>
      <c r="G703" s="235" t="s">
        <v>2086</v>
      </c>
      <c r="H703" s="235" t="s">
        <v>2086</v>
      </c>
      <c r="I703" s="235" t="s">
        <v>2086</v>
      </c>
      <c r="J703" s="235" t="s">
        <v>2086</v>
      </c>
    </row>
    <row r="704" spans="2:10">
      <c r="B704" s="82" t="s">
        <v>197</v>
      </c>
      <c r="C704" s="235" t="s">
        <v>2086</v>
      </c>
      <c r="D704" s="235" t="s">
        <v>2086</v>
      </c>
      <c r="E704" s="235" t="s">
        <v>2086</v>
      </c>
      <c r="F704" s="235" t="s">
        <v>2086</v>
      </c>
      <c r="G704" s="235" t="s">
        <v>2086</v>
      </c>
      <c r="H704" s="235" t="s">
        <v>2086</v>
      </c>
      <c r="I704" s="235" t="s">
        <v>2086</v>
      </c>
      <c r="J704" s="235" t="s">
        <v>2086</v>
      </c>
    </row>
    <row r="705" spans="2:10">
      <c r="B705" s="81" t="s">
        <v>118</v>
      </c>
      <c r="C705" s="235" t="s">
        <v>2086</v>
      </c>
      <c r="D705" s="235" t="s">
        <v>2086</v>
      </c>
      <c r="E705" s="235" t="s">
        <v>2086</v>
      </c>
      <c r="F705" s="235" t="s">
        <v>2086</v>
      </c>
      <c r="G705" s="235" t="s">
        <v>2086</v>
      </c>
      <c r="H705" s="235" t="s">
        <v>2086</v>
      </c>
      <c r="I705" s="235" t="s">
        <v>2086</v>
      </c>
      <c r="J705" s="235" t="s">
        <v>2086</v>
      </c>
    </row>
    <row r="706" spans="2:10">
      <c r="B706" s="81" t="s">
        <v>117</v>
      </c>
      <c r="C706" s="235" t="s">
        <v>2086</v>
      </c>
      <c r="D706" s="235" t="s">
        <v>2086</v>
      </c>
      <c r="E706" s="235" t="s">
        <v>2086</v>
      </c>
      <c r="F706" s="235" t="s">
        <v>2086</v>
      </c>
      <c r="G706" s="235" t="s">
        <v>2086</v>
      </c>
      <c r="H706" s="235" t="s">
        <v>2086</v>
      </c>
      <c r="I706" s="235" t="s">
        <v>2086</v>
      </c>
      <c r="J706" s="235" t="s">
        <v>2086</v>
      </c>
    </row>
    <row r="707" spans="2:10">
      <c r="B707" s="81"/>
      <c r="C707" s="336"/>
      <c r="D707" s="336"/>
      <c r="E707" s="336"/>
      <c r="F707" s="336"/>
      <c r="G707" s="336"/>
      <c r="H707" s="336"/>
      <c r="I707" s="336"/>
      <c r="J707" s="336"/>
    </row>
    <row r="708" spans="2:10">
      <c r="B708" s="71" t="s">
        <v>171</v>
      </c>
      <c r="C708" s="235" t="s">
        <v>2086</v>
      </c>
      <c r="D708" s="235" t="s">
        <v>2086</v>
      </c>
      <c r="E708" s="235" t="s">
        <v>2086</v>
      </c>
      <c r="F708" s="235" t="s">
        <v>2086</v>
      </c>
      <c r="G708" s="235" t="s">
        <v>2086</v>
      </c>
      <c r="H708" s="235" t="s">
        <v>2086</v>
      </c>
      <c r="I708" s="235" t="s">
        <v>2086</v>
      </c>
      <c r="J708" s="235" t="s">
        <v>2086</v>
      </c>
    </row>
    <row r="709" spans="2:10">
      <c r="B709" s="52" t="s">
        <v>169</v>
      </c>
      <c r="C709" s="235" t="s">
        <v>2086</v>
      </c>
      <c r="D709" s="235" t="s">
        <v>2086</v>
      </c>
      <c r="E709" s="235" t="s">
        <v>2086</v>
      </c>
      <c r="F709" s="235" t="s">
        <v>2086</v>
      </c>
      <c r="G709" s="235" t="s">
        <v>2086</v>
      </c>
      <c r="H709" s="235" t="s">
        <v>2086</v>
      </c>
      <c r="I709" s="235" t="s">
        <v>2086</v>
      </c>
      <c r="J709" s="235" t="s">
        <v>2086</v>
      </c>
    </row>
    <row r="710" spans="2:10">
      <c r="B710" s="52" t="s">
        <v>168</v>
      </c>
      <c r="C710" s="235" t="s">
        <v>2086</v>
      </c>
      <c r="D710" s="235" t="s">
        <v>2086</v>
      </c>
      <c r="E710" s="235" t="s">
        <v>2086</v>
      </c>
      <c r="F710" s="235" t="s">
        <v>2086</v>
      </c>
      <c r="G710" s="235" t="s">
        <v>2086</v>
      </c>
      <c r="H710" s="235" t="s">
        <v>2086</v>
      </c>
      <c r="I710" s="235" t="s">
        <v>2086</v>
      </c>
      <c r="J710" s="235" t="s">
        <v>2086</v>
      </c>
    </row>
    <row r="711" spans="2:10">
      <c r="B711" s="52" t="s">
        <v>167</v>
      </c>
      <c r="C711" s="235" t="s">
        <v>2086</v>
      </c>
      <c r="D711" s="235" t="s">
        <v>2086</v>
      </c>
      <c r="E711" s="235" t="s">
        <v>2086</v>
      </c>
      <c r="F711" s="235" t="s">
        <v>2086</v>
      </c>
      <c r="G711" s="235" t="s">
        <v>2086</v>
      </c>
      <c r="H711" s="235" t="s">
        <v>2086</v>
      </c>
      <c r="I711" s="235" t="s">
        <v>2086</v>
      </c>
      <c r="J711" s="235" t="s">
        <v>2086</v>
      </c>
    </row>
    <row r="712" spans="2:10">
      <c r="B712" s="52" t="s">
        <v>166</v>
      </c>
      <c r="C712" s="235" t="s">
        <v>2086</v>
      </c>
      <c r="D712" s="235" t="s">
        <v>2086</v>
      </c>
      <c r="E712" s="235" t="s">
        <v>2086</v>
      </c>
      <c r="F712" s="235" t="s">
        <v>2086</v>
      </c>
      <c r="G712" s="235" t="s">
        <v>2086</v>
      </c>
      <c r="H712" s="235" t="s">
        <v>2086</v>
      </c>
      <c r="I712" s="235" t="s">
        <v>2086</v>
      </c>
      <c r="J712" s="235" t="s">
        <v>2086</v>
      </c>
    </row>
    <row r="713" spans="2:10">
      <c r="B713" s="52" t="s">
        <v>165</v>
      </c>
      <c r="C713" s="235" t="s">
        <v>2086</v>
      </c>
      <c r="D713" s="235" t="s">
        <v>2086</v>
      </c>
      <c r="E713" s="235" t="s">
        <v>2086</v>
      </c>
      <c r="F713" s="235" t="s">
        <v>2086</v>
      </c>
      <c r="G713" s="235" t="s">
        <v>2086</v>
      </c>
      <c r="H713" s="235" t="s">
        <v>2086</v>
      </c>
      <c r="I713" s="235" t="s">
        <v>2086</v>
      </c>
      <c r="J713" s="235" t="s">
        <v>2086</v>
      </c>
    </row>
    <row r="714" spans="2:10">
      <c r="B714" s="52" t="s">
        <v>164</v>
      </c>
      <c r="C714" s="235" t="s">
        <v>2086</v>
      </c>
      <c r="D714" s="235" t="s">
        <v>2086</v>
      </c>
      <c r="E714" s="235" t="s">
        <v>2086</v>
      </c>
      <c r="F714" s="235" t="s">
        <v>2086</v>
      </c>
      <c r="G714" s="235" t="s">
        <v>2086</v>
      </c>
      <c r="H714" s="235" t="s">
        <v>2086</v>
      </c>
      <c r="I714" s="235" t="s">
        <v>2086</v>
      </c>
      <c r="J714" s="235" t="s">
        <v>2086</v>
      </c>
    </row>
    <row r="715" spans="2:10">
      <c r="B715" s="52"/>
      <c r="C715" s="336"/>
      <c r="D715" s="336"/>
      <c r="E715" s="336"/>
      <c r="F715" s="336"/>
      <c r="G715" s="336"/>
      <c r="H715" s="336"/>
      <c r="I715" s="336"/>
      <c r="J715" s="336"/>
    </row>
    <row r="716" spans="2:10">
      <c r="B716" s="80" t="s">
        <v>170</v>
      </c>
      <c r="C716" s="235" t="s">
        <v>2086</v>
      </c>
      <c r="D716" s="235" t="s">
        <v>2086</v>
      </c>
      <c r="E716" s="235" t="s">
        <v>2086</v>
      </c>
      <c r="F716" s="235" t="s">
        <v>2086</v>
      </c>
      <c r="G716" s="235" t="s">
        <v>2086</v>
      </c>
      <c r="H716" s="235" t="s">
        <v>2086</v>
      </c>
      <c r="I716" s="235" t="s">
        <v>2086</v>
      </c>
      <c r="J716" s="235" t="s">
        <v>2086</v>
      </c>
    </row>
    <row r="717" spans="2:10">
      <c r="B717" s="52" t="s">
        <v>169</v>
      </c>
      <c r="C717" s="235" t="s">
        <v>2086</v>
      </c>
      <c r="D717" s="235" t="s">
        <v>2086</v>
      </c>
      <c r="E717" s="235" t="s">
        <v>2086</v>
      </c>
      <c r="F717" s="235" t="s">
        <v>2086</v>
      </c>
      <c r="G717" s="235" t="s">
        <v>2086</v>
      </c>
      <c r="H717" s="235" t="s">
        <v>2086</v>
      </c>
      <c r="I717" s="235" t="s">
        <v>2086</v>
      </c>
      <c r="J717" s="235" t="s">
        <v>2086</v>
      </c>
    </row>
    <row r="718" spans="2:10">
      <c r="B718" s="52" t="s">
        <v>168</v>
      </c>
      <c r="C718" s="235" t="s">
        <v>2086</v>
      </c>
      <c r="D718" s="235" t="s">
        <v>2086</v>
      </c>
      <c r="E718" s="235" t="s">
        <v>2086</v>
      </c>
      <c r="F718" s="235" t="s">
        <v>2086</v>
      </c>
      <c r="G718" s="235" t="s">
        <v>2086</v>
      </c>
      <c r="H718" s="235" t="s">
        <v>2086</v>
      </c>
      <c r="I718" s="235" t="s">
        <v>2086</v>
      </c>
      <c r="J718" s="235" t="s">
        <v>2086</v>
      </c>
    </row>
    <row r="719" spans="2:10">
      <c r="B719" s="52" t="s">
        <v>167</v>
      </c>
      <c r="C719" s="235" t="s">
        <v>2086</v>
      </c>
      <c r="D719" s="235" t="s">
        <v>2086</v>
      </c>
      <c r="E719" s="235" t="s">
        <v>2086</v>
      </c>
      <c r="F719" s="235" t="s">
        <v>2086</v>
      </c>
      <c r="G719" s="235" t="s">
        <v>2086</v>
      </c>
      <c r="H719" s="235" t="s">
        <v>2086</v>
      </c>
      <c r="I719" s="235" t="s">
        <v>2086</v>
      </c>
      <c r="J719" s="235" t="s">
        <v>2086</v>
      </c>
    </row>
    <row r="720" spans="2:10">
      <c r="B720" s="52" t="s">
        <v>166</v>
      </c>
      <c r="C720" s="235" t="s">
        <v>2086</v>
      </c>
      <c r="D720" s="235" t="s">
        <v>2086</v>
      </c>
      <c r="E720" s="235" t="s">
        <v>2086</v>
      </c>
      <c r="F720" s="235" t="s">
        <v>2086</v>
      </c>
      <c r="G720" s="235" t="s">
        <v>2086</v>
      </c>
      <c r="H720" s="235" t="s">
        <v>2086</v>
      </c>
      <c r="I720" s="235" t="s">
        <v>2086</v>
      </c>
      <c r="J720" s="235" t="s">
        <v>2086</v>
      </c>
    </row>
    <row r="721" spans="2:10">
      <c r="B721" s="52" t="s">
        <v>165</v>
      </c>
      <c r="C721" s="235" t="s">
        <v>2086</v>
      </c>
      <c r="D721" s="235" t="s">
        <v>2086</v>
      </c>
      <c r="E721" s="235" t="s">
        <v>2086</v>
      </c>
      <c r="F721" s="235" t="s">
        <v>2086</v>
      </c>
      <c r="G721" s="235" t="s">
        <v>2086</v>
      </c>
      <c r="H721" s="235" t="s">
        <v>2086</v>
      </c>
      <c r="I721" s="235" t="s">
        <v>2086</v>
      </c>
      <c r="J721" s="235" t="s">
        <v>2086</v>
      </c>
    </row>
    <row r="722" spans="2:10" ht="15" thickBot="1">
      <c r="B722" s="52" t="s">
        <v>164</v>
      </c>
      <c r="C722" s="235" t="s">
        <v>2086</v>
      </c>
      <c r="D722" s="235" t="s">
        <v>2086</v>
      </c>
      <c r="E722" s="235" t="s">
        <v>2086</v>
      </c>
      <c r="F722" s="235" t="s">
        <v>2086</v>
      </c>
      <c r="G722" s="235" t="s">
        <v>2086</v>
      </c>
      <c r="H722" s="235" t="s">
        <v>2086</v>
      </c>
      <c r="I722" s="235" t="s">
        <v>2086</v>
      </c>
      <c r="J722" s="235" t="s">
        <v>2086</v>
      </c>
    </row>
    <row r="723" spans="2:10" ht="15" thickTop="1">
      <c r="B723" s="2025" t="s">
        <v>656</v>
      </c>
      <c r="C723" s="2025"/>
      <c r="D723" s="2025"/>
      <c r="E723" s="2025"/>
      <c r="F723" s="2025"/>
      <c r="G723" s="2025"/>
      <c r="H723" s="2025"/>
      <c r="I723" s="2025"/>
      <c r="J723" s="2025"/>
    </row>
    <row r="724" spans="2:10">
      <c r="B724" s="2017"/>
      <c r="C724" s="2017"/>
      <c r="D724" s="2017"/>
      <c r="E724" s="2017"/>
      <c r="F724" s="2017"/>
      <c r="G724" s="2017"/>
      <c r="H724" s="2017"/>
      <c r="I724" s="2017"/>
      <c r="J724" s="2017"/>
    </row>
    <row r="725" spans="2:10">
      <c r="B725" s="64"/>
      <c r="C725" s="302"/>
      <c r="D725" s="302"/>
      <c r="E725" s="302"/>
      <c r="F725" s="302"/>
      <c r="G725" s="302"/>
      <c r="H725" s="302"/>
      <c r="I725" s="302"/>
      <c r="J725" s="302"/>
    </row>
    <row r="726" spans="2:10">
      <c r="B726" s="2100" t="s">
        <v>161</v>
      </c>
      <c r="C726" s="2100"/>
      <c r="D726" s="2100"/>
      <c r="E726" s="2100"/>
      <c r="F726" s="2100"/>
      <c r="G726" s="2100"/>
      <c r="H726" s="2100"/>
      <c r="I726" s="2100"/>
      <c r="J726" s="2100"/>
    </row>
    <row r="727" spans="2:10">
      <c r="B727" s="12" t="s">
        <v>160</v>
      </c>
      <c r="C727" s="302"/>
      <c r="D727" s="302"/>
      <c r="E727" s="302"/>
      <c r="F727" s="302"/>
      <c r="G727" s="302"/>
      <c r="H727" s="302"/>
      <c r="I727" s="302"/>
      <c r="J727" s="302"/>
    </row>
    <row r="728" spans="2:10">
      <c r="B728" s="77" t="s">
        <v>269</v>
      </c>
      <c r="C728" s="302"/>
      <c r="D728" s="302"/>
      <c r="E728" s="302"/>
      <c r="F728" s="302"/>
      <c r="G728" s="302"/>
      <c r="H728" s="302"/>
      <c r="I728" s="302"/>
      <c r="J728" s="302"/>
    </row>
    <row r="729" spans="2:10">
      <c r="B729" s="76"/>
      <c r="C729" s="302"/>
      <c r="D729" s="302"/>
      <c r="E729" s="302"/>
      <c r="F729" s="302"/>
      <c r="G729" s="302"/>
      <c r="H729" s="302"/>
      <c r="I729" s="302"/>
      <c r="J729" s="302"/>
    </row>
    <row r="730" spans="2:10">
      <c r="B730" s="61"/>
      <c r="C730" s="303">
        <v>2014</v>
      </c>
      <c r="D730" s="303">
        <v>2015</v>
      </c>
      <c r="E730" s="303">
        <v>2016</v>
      </c>
      <c r="F730" s="303">
        <v>2017</v>
      </c>
      <c r="G730" s="303">
        <v>2018</v>
      </c>
      <c r="H730" s="303">
        <v>2019</v>
      </c>
      <c r="I730" s="303">
        <v>2020</v>
      </c>
      <c r="J730" s="303">
        <v>2021</v>
      </c>
    </row>
    <row r="731" spans="2:10">
      <c r="B731" s="59" t="s">
        <v>699</v>
      </c>
      <c r="C731" s="302"/>
      <c r="D731" s="302"/>
      <c r="E731" s="302"/>
      <c r="F731" s="302"/>
      <c r="G731" s="302"/>
      <c r="H731" s="302"/>
      <c r="I731" s="302"/>
      <c r="J731" s="302"/>
    </row>
    <row r="732" spans="2:10">
      <c r="B732" s="71" t="s">
        <v>516</v>
      </c>
      <c r="C732" s="235" t="s">
        <v>2086</v>
      </c>
      <c r="D732" s="235" t="s">
        <v>2086</v>
      </c>
      <c r="E732" s="235" t="s">
        <v>2086</v>
      </c>
      <c r="F732" s="235" t="s">
        <v>2086</v>
      </c>
      <c r="G732" s="235" t="s">
        <v>2086</v>
      </c>
      <c r="H732" s="235" t="s">
        <v>2086</v>
      </c>
      <c r="I732" s="235" t="s">
        <v>2086</v>
      </c>
      <c r="J732" s="235" t="s">
        <v>2086</v>
      </c>
    </row>
    <row r="733" spans="2:10">
      <c r="B733" s="52" t="s">
        <v>150</v>
      </c>
      <c r="C733" s="235" t="s">
        <v>2086</v>
      </c>
      <c r="D733" s="235" t="s">
        <v>2086</v>
      </c>
      <c r="E733" s="235" t="s">
        <v>2086</v>
      </c>
      <c r="F733" s="235" t="s">
        <v>2086</v>
      </c>
      <c r="G733" s="235" t="s">
        <v>2086</v>
      </c>
      <c r="H733" s="235" t="s">
        <v>2086</v>
      </c>
      <c r="I733" s="235" t="s">
        <v>2086</v>
      </c>
      <c r="J733" s="235" t="s">
        <v>2086</v>
      </c>
    </row>
    <row r="734" spans="2:10">
      <c r="B734" s="52" t="s">
        <v>149</v>
      </c>
      <c r="C734" s="235" t="s">
        <v>2086</v>
      </c>
      <c r="D734" s="235" t="s">
        <v>2086</v>
      </c>
      <c r="E734" s="235" t="s">
        <v>2086</v>
      </c>
      <c r="F734" s="235" t="s">
        <v>2086</v>
      </c>
      <c r="G734" s="235" t="s">
        <v>2086</v>
      </c>
      <c r="H734" s="235" t="s">
        <v>2086</v>
      </c>
      <c r="I734" s="235" t="s">
        <v>2086</v>
      </c>
      <c r="J734" s="235" t="s">
        <v>2086</v>
      </c>
    </row>
    <row r="735" spans="2:10">
      <c r="B735" s="52" t="s">
        <v>148</v>
      </c>
      <c r="C735" s="235" t="s">
        <v>2086</v>
      </c>
      <c r="D735" s="235" t="s">
        <v>2086</v>
      </c>
      <c r="E735" s="235" t="s">
        <v>2086</v>
      </c>
      <c r="F735" s="235" t="s">
        <v>2086</v>
      </c>
      <c r="G735" s="235" t="s">
        <v>2086</v>
      </c>
      <c r="H735" s="235" t="s">
        <v>2086</v>
      </c>
      <c r="I735" s="235" t="s">
        <v>2086</v>
      </c>
      <c r="J735" s="235" t="s">
        <v>2086</v>
      </c>
    </row>
    <row r="736" spans="2:10">
      <c r="B736" s="52" t="s">
        <v>147</v>
      </c>
      <c r="C736" s="235" t="s">
        <v>2086</v>
      </c>
      <c r="D736" s="235" t="s">
        <v>2086</v>
      </c>
      <c r="E736" s="235" t="s">
        <v>2086</v>
      </c>
      <c r="F736" s="235" t="s">
        <v>2086</v>
      </c>
      <c r="G736" s="235" t="s">
        <v>2086</v>
      </c>
      <c r="H736" s="235" t="s">
        <v>2086</v>
      </c>
      <c r="I736" s="235" t="s">
        <v>2086</v>
      </c>
      <c r="J736" s="235" t="s">
        <v>2086</v>
      </c>
    </row>
    <row r="737" spans="2:10">
      <c r="B737" s="52" t="s">
        <v>146</v>
      </c>
      <c r="C737" s="235" t="s">
        <v>2086</v>
      </c>
      <c r="D737" s="235" t="s">
        <v>2086</v>
      </c>
      <c r="E737" s="235" t="s">
        <v>2086</v>
      </c>
      <c r="F737" s="235" t="s">
        <v>2086</v>
      </c>
      <c r="G737" s="235" t="s">
        <v>2086</v>
      </c>
      <c r="H737" s="235" t="s">
        <v>2086</v>
      </c>
      <c r="I737" s="235" t="s">
        <v>2086</v>
      </c>
      <c r="J737" s="235" t="s">
        <v>2086</v>
      </c>
    </row>
    <row r="738" spans="2:10">
      <c r="B738" s="52"/>
      <c r="C738" s="337"/>
      <c r="D738" s="337"/>
      <c r="E738" s="337"/>
      <c r="F738" s="337"/>
      <c r="G738" s="337"/>
      <c r="H738" s="337"/>
      <c r="I738" s="337"/>
      <c r="J738" s="337"/>
    </row>
    <row r="739" spans="2:10">
      <c r="B739" s="71" t="s">
        <v>152</v>
      </c>
      <c r="C739" s="235" t="s">
        <v>2086</v>
      </c>
      <c r="D739" s="235" t="s">
        <v>2086</v>
      </c>
      <c r="E739" s="235" t="s">
        <v>2086</v>
      </c>
      <c r="F739" s="235" t="s">
        <v>2086</v>
      </c>
      <c r="G739" s="235" t="s">
        <v>2086</v>
      </c>
      <c r="H739" s="235" t="s">
        <v>2086</v>
      </c>
      <c r="I739" s="235" t="s">
        <v>2086</v>
      </c>
      <c r="J739" s="235" t="s">
        <v>2086</v>
      </c>
    </row>
    <row r="740" spans="2:10">
      <c r="B740" s="52" t="s">
        <v>150</v>
      </c>
      <c r="C740" s="235" t="s">
        <v>2086</v>
      </c>
      <c r="D740" s="235" t="s">
        <v>2086</v>
      </c>
      <c r="E740" s="235" t="s">
        <v>2086</v>
      </c>
      <c r="F740" s="235" t="s">
        <v>2086</v>
      </c>
      <c r="G740" s="235" t="s">
        <v>2086</v>
      </c>
      <c r="H740" s="235" t="s">
        <v>2086</v>
      </c>
      <c r="I740" s="235" t="s">
        <v>2086</v>
      </c>
      <c r="J740" s="235" t="s">
        <v>2086</v>
      </c>
    </row>
    <row r="741" spans="2:10">
      <c r="B741" s="52" t="s">
        <v>149</v>
      </c>
      <c r="C741" s="235" t="s">
        <v>2086</v>
      </c>
      <c r="D741" s="235" t="s">
        <v>2086</v>
      </c>
      <c r="E741" s="235" t="s">
        <v>2086</v>
      </c>
      <c r="F741" s="235" t="s">
        <v>2086</v>
      </c>
      <c r="G741" s="235" t="s">
        <v>2086</v>
      </c>
      <c r="H741" s="235" t="s">
        <v>2086</v>
      </c>
      <c r="I741" s="235" t="s">
        <v>2086</v>
      </c>
      <c r="J741" s="235" t="s">
        <v>2086</v>
      </c>
    </row>
    <row r="742" spans="2:10">
      <c r="B742" s="52" t="s">
        <v>148</v>
      </c>
      <c r="C742" s="235" t="s">
        <v>2086</v>
      </c>
      <c r="D742" s="235" t="s">
        <v>2086</v>
      </c>
      <c r="E742" s="235" t="s">
        <v>2086</v>
      </c>
      <c r="F742" s="235" t="s">
        <v>2086</v>
      </c>
      <c r="G742" s="235" t="s">
        <v>2086</v>
      </c>
      <c r="H742" s="235" t="s">
        <v>2086</v>
      </c>
      <c r="I742" s="235" t="s">
        <v>2086</v>
      </c>
      <c r="J742" s="235" t="s">
        <v>2086</v>
      </c>
    </row>
    <row r="743" spans="2:10">
      <c r="B743" s="52" t="s">
        <v>147</v>
      </c>
      <c r="C743" s="235" t="s">
        <v>2086</v>
      </c>
      <c r="D743" s="235" t="s">
        <v>2086</v>
      </c>
      <c r="E743" s="235" t="s">
        <v>2086</v>
      </c>
      <c r="F743" s="235" t="s">
        <v>2086</v>
      </c>
      <c r="G743" s="235" t="s">
        <v>2086</v>
      </c>
      <c r="H743" s="235" t="s">
        <v>2086</v>
      </c>
      <c r="I743" s="235" t="s">
        <v>2086</v>
      </c>
      <c r="J743" s="235" t="s">
        <v>2086</v>
      </c>
    </row>
    <row r="744" spans="2:10">
      <c r="B744" s="52" t="s">
        <v>146</v>
      </c>
      <c r="C744" s="235" t="s">
        <v>2086</v>
      </c>
      <c r="D744" s="235" t="s">
        <v>2086</v>
      </c>
      <c r="E744" s="235" t="s">
        <v>2086</v>
      </c>
      <c r="F744" s="235" t="s">
        <v>2086</v>
      </c>
      <c r="G744" s="235" t="s">
        <v>2086</v>
      </c>
      <c r="H744" s="235" t="s">
        <v>2086</v>
      </c>
      <c r="I744" s="235" t="s">
        <v>2086</v>
      </c>
      <c r="J744" s="235" t="s">
        <v>2086</v>
      </c>
    </row>
    <row r="745" spans="2:10">
      <c r="B745" s="52"/>
      <c r="C745" s="337"/>
      <c r="D745" s="337"/>
      <c r="E745" s="337"/>
      <c r="F745" s="337"/>
      <c r="G745" s="337"/>
      <c r="H745" s="337"/>
      <c r="I745" s="337"/>
      <c r="J745" s="337"/>
    </row>
    <row r="746" spans="2:10">
      <c r="B746" s="71" t="s">
        <v>151</v>
      </c>
      <c r="C746" s="235" t="s">
        <v>2086</v>
      </c>
      <c r="D746" s="235" t="s">
        <v>2086</v>
      </c>
      <c r="E746" s="235" t="s">
        <v>2086</v>
      </c>
      <c r="F746" s="235" t="s">
        <v>2086</v>
      </c>
      <c r="G746" s="235" t="s">
        <v>2086</v>
      </c>
      <c r="H746" s="235" t="s">
        <v>2086</v>
      </c>
      <c r="I746" s="235" t="s">
        <v>2086</v>
      </c>
      <c r="J746" s="235" t="s">
        <v>2086</v>
      </c>
    </row>
    <row r="747" spans="2:10">
      <c r="B747" s="52" t="s">
        <v>150</v>
      </c>
      <c r="C747" s="235" t="s">
        <v>2086</v>
      </c>
      <c r="D747" s="235" t="s">
        <v>2086</v>
      </c>
      <c r="E747" s="235" t="s">
        <v>2086</v>
      </c>
      <c r="F747" s="235" t="s">
        <v>2086</v>
      </c>
      <c r="G747" s="235" t="s">
        <v>2086</v>
      </c>
      <c r="H747" s="235" t="s">
        <v>2086</v>
      </c>
      <c r="I747" s="235" t="s">
        <v>2086</v>
      </c>
      <c r="J747" s="235" t="s">
        <v>2086</v>
      </c>
    </row>
    <row r="748" spans="2:10">
      <c r="B748" s="52" t="s">
        <v>149</v>
      </c>
      <c r="C748" s="235" t="s">
        <v>2086</v>
      </c>
      <c r="D748" s="235" t="s">
        <v>2086</v>
      </c>
      <c r="E748" s="235" t="s">
        <v>2086</v>
      </c>
      <c r="F748" s="235" t="s">
        <v>2086</v>
      </c>
      <c r="G748" s="235" t="s">
        <v>2086</v>
      </c>
      <c r="H748" s="235" t="s">
        <v>2086</v>
      </c>
      <c r="I748" s="235" t="s">
        <v>2086</v>
      </c>
      <c r="J748" s="235" t="s">
        <v>2086</v>
      </c>
    </row>
    <row r="749" spans="2:10">
      <c r="B749" s="52" t="s">
        <v>148</v>
      </c>
      <c r="C749" s="235" t="s">
        <v>2086</v>
      </c>
      <c r="D749" s="235" t="s">
        <v>2086</v>
      </c>
      <c r="E749" s="235" t="s">
        <v>2086</v>
      </c>
      <c r="F749" s="235" t="s">
        <v>2086</v>
      </c>
      <c r="G749" s="235" t="s">
        <v>2086</v>
      </c>
      <c r="H749" s="235" t="s">
        <v>2086</v>
      </c>
      <c r="I749" s="235" t="s">
        <v>2086</v>
      </c>
      <c r="J749" s="235" t="s">
        <v>2086</v>
      </c>
    </row>
    <row r="750" spans="2:10">
      <c r="B750" s="52" t="s">
        <v>147</v>
      </c>
      <c r="C750" s="235" t="s">
        <v>2086</v>
      </c>
      <c r="D750" s="235" t="s">
        <v>2086</v>
      </c>
      <c r="E750" s="235" t="s">
        <v>2086</v>
      </c>
      <c r="F750" s="235" t="s">
        <v>2086</v>
      </c>
      <c r="G750" s="235" t="s">
        <v>2086</v>
      </c>
      <c r="H750" s="235" t="s">
        <v>2086</v>
      </c>
      <c r="I750" s="235" t="s">
        <v>2086</v>
      </c>
      <c r="J750" s="235" t="s">
        <v>2086</v>
      </c>
    </row>
    <row r="751" spans="2:10" ht="15" thickBot="1">
      <c r="B751" s="52" t="s">
        <v>146</v>
      </c>
      <c r="C751" s="235" t="s">
        <v>2086</v>
      </c>
      <c r="D751" s="235" t="s">
        <v>2086</v>
      </c>
      <c r="E751" s="235" t="s">
        <v>2086</v>
      </c>
      <c r="F751" s="235" t="s">
        <v>2086</v>
      </c>
      <c r="G751" s="235" t="s">
        <v>2086</v>
      </c>
      <c r="H751" s="235" t="s">
        <v>2086</v>
      </c>
      <c r="I751" s="235" t="s">
        <v>2086</v>
      </c>
      <c r="J751" s="235" t="s">
        <v>2086</v>
      </c>
    </row>
    <row r="752" spans="2:10" ht="15" thickTop="1">
      <c r="B752" s="2025" t="s">
        <v>656</v>
      </c>
      <c r="C752" s="2025"/>
      <c r="D752" s="2025"/>
      <c r="E752" s="2025"/>
      <c r="F752" s="2025"/>
      <c r="G752" s="2025"/>
      <c r="H752" s="2025"/>
      <c r="I752" s="2025"/>
      <c r="J752" s="2025"/>
    </row>
    <row r="753" spans="2:10">
      <c r="B753" s="2017"/>
      <c r="C753" s="2017"/>
      <c r="D753" s="2017"/>
      <c r="E753" s="2017"/>
      <c r="F753" s="2017"/>
      <c r="G753" s="2017"/>
      <c r="H753" s="2017"/>
      <c r="I753" s="2017"/>
      <c r="J753" s="2017"/>
    </row>
    <row r="754" spans="2:10">
      <c r="B754" s="62"/>
      <c r="C754" s="302"/>
      <c r="D754" s="302"/>
      <c r="E754" s="302"/>
      <c r="F754" s="302"/>
      <c r="G754" s="302"/>
      <c r="H754" s="302"/>
      <c r="I754" s="302"/>
      <c r="J754" s="302"/>
    </row>
    <row r="755" spans="2:10">
      <c r="B755" s="2100" t="s">
        <v>144</v>
      </c>
      <c r="C755" s="2100"/>
      <c r="D755" s="2100"/>
      <c r="E755" s="2100"/>
      <c r="F755" s="2100"/>
      <c r="G755" s="2100"/>
      <c r="H755" s="2100"/>
      <c r="I755" s="2100"/>
      <c r="J755" s="2100"/>
    </row>
    <row r="756" spans="2:10">
      <c r="B756" s="12" t="s">
        <v>143</v>
      </c>
      <c r="C756" s="302"/>
      <c r="D756" s="302"/>
      <c r="E756" s="302"/>
      <c r="F756" s="302"/>
      <c r="G756" s="302"/>
      <c r="H756" s="302"/>
      <c r="I756" s="302"/>
      <c r="J756" s="302"/>
    </row>
    <row r="757" spans="2:10">
      <c r="B757" s="62" t="s">
        <v>142</v>
      </c>
      <c r="C757" s="302"/>
      <c r="D757" s="302"/>
      <c r="E757" s="302"/>
      <c r="F757" s="302"/>
      <c r="G757" s="302"/>
      <c r="H757" s="302"/>
      <c r="I757" s="302"/>
      <c r="J757" s="302"/>
    </row>
    <row r="758" spans="2:10">
      <c r="B758" s="62"/>
      <c r="C758" s="302"/>
      <c r="D758" s="302"/>
      <c r="E758" s="302"/>
      <c r="F758" s="302"/>
      <c r="G758" s="302"/>
      <c r="H758" s="302"/>
      <c r="I758" s="302"/>
      <c r="J758" s="302"/>
    </row>
    <row r="759" spans="2:10">
      <c r="B759" s="61"/>
      <c r="C759" s="303">
        <v>2014</v>
      </c>
      <c r="D759" s="303">
        <v>2015</v>
      </c>
      <c r="E759" s="303">
        <v>2016</v>
      </c>
      <c r="F759" s="303">
        <v>2017</v>
      </c>
      <c r="G759" s="303">
        <v>2018</v>
      </c>
      <c r="H759" s="303">
        <v>2019</v>
      </c>
      <c r="I759" s="303">
        <v>2020</v>
      </c>
      <c r="J759" s="303">
        <v>2021</v>
      </c>
    </row>
    <row r="760" spans="2:10">
      <c r="B760" s="59" t="s">
        <v>689</v>
      </c>
      <c r="C760" s="302"/>
      <c r="D760" s="302"/>
      <c r="E760" s="302"/>
      <c r="F760" s="302"/>
      <c r="G760" s="302"/>
      <c r="H760" s="302"/>
      <c r="I760" s="302"/>
      <c r="J760" s="302"/>
    </row>
    <row r="761" spans="2:10">
      <c r="B761" s="71" t="s">
        <v>141</v>
      </c>
      <c r="C761" s="321">
        <f t="shared" ref="C761:J761" si="31">+C762+C766</f>
        <v>249</v>
      </c>
      <c r="D761" s="321">
        <f t="shared" si="31"/>
        <v>286</v>
      </c>
      <c r="E761" s="321">
        <f t="shared" si="31"/>
        <v>299</v>
      </c>
      <c r="F761" s="321">
        <f t="shared" si="31"/>
        <v>360</v>
      </c>
      <c r="G761" s="321">
        <f t="shared" si="31"/>
        <v>361</v>
      </c>
      <c r="H761" s="321">
        <f t="shared" si="31"/>
        <v>377</v>
      </c>
      <c r="I761" s="321">
        <f t="shared" si="31"/>
        <v>350</v>
      </c>
      <c r="J761" s="321">
        <f t="shared" si="31"/>
        <v>300</v>
      </c>
    </row>
    <row r="762" spans="2:10">
      <c r="B762" s="52" t="s">
        <v>121</v>
      </c>
      <c r="C762" s="321">
        <f t="shared" ref="C762:J762" si="32">+C763+C764</f>
        <v>248</v>
      </c>
      <c r="D762" s="321">
        <f t="shared" si="32"/>
        <v>272</v>
      </c>
      <c r="E762" s="321">
        <f t="shared" si="32"/>
        <v>272</v>
      </c>
      <c r="F762" s="321">
        <f t="shared" si="32"/>
        <v>331</v>
      </c>
      <c r="G762" s="321">
        <f t="shared" si="32"/>
        <v>328</v>
      </c>
      <c r="H762" s="321">
        <f t="shared" si="32"/>
        <v>335</v>
      </c>
      <c r="I762" s="321">
        <f t="shared" si="32"/>
        <v>305</v>
      </c>
      <c r="J762" s="321">
        <f t="shared" si="32"/>
        <v>253</v>
      </c>
    </row>
    <row r="763" spans="2:10">
      <c r="B763" s="53" t="s">
        <v>120</v>
      </c>
      <c r="C763" s="321">
        <v>4</v>
      </c>
      <c r="D763" s="321">
        <v>8</v>
      </c>
      <c r="E763" s="321">
        <v>1</v>
      </c>
      <c r="F763" s="321">
        <v>5</v>
      </c>
      <c r="G763" s="321">
        <v>1</v>
      </c>
      <c r="H763" s="321">
        <v>1</v>
      </c>
      <c r="I763" s="321">
        <v>6</v>
      </c>
      <c r="J763" s="321">
        <v>10</v>
      </c>
    </row>
    <row r="764" spans="2:10">
      <c r="B764" s="53" t="s">
        <v>119</v>
      </c>
      <c r="C764" s="321">
        <v>244</v>
      </c>
      <c r="D764" s="321">
        <v>264</v>
      </c>
      <c r="E764" s="321">
        <v>271</v>
      </c>
      <c r="F764" s="321">
        <v>326</v>
      </c>
      <c r="G764" s="321">
        <v>327</v>
      </c>
      <c r="H764" s="321">
        <v>334</v>
      </c>
      <c r="I764" s="321">
        <v>299</v>
      </c>
      <c r="J764" s="321">
        <v>243</v>
      </c>
    </row>
    <row r="765" spans="2:10">
      <c r="B765" s="52" t="s">
        <v>118</v>
      </c>
      <c r="C765" s="321">
        <v>0</v>
      </c>
      <c r="D765" s="321">
        <v>0</v>
      </c>
      <c r="E765" s="321">
        <v>0</v>
      </c>
      <c r="F765" s="321">
        <v>0</v>
      </c>
      <c r="G765" s="321">
        <v>0</v>
      </c>
      <c r="H765" s="321">
        <v>0</v>
      </c>
      <c r="I765" s="321">
        <v>0</v>
      </c>
      <c r="J765" s="321">
        <v>0</v>
      </c>
    </row>
    <row r="766" spans="2:10" ht="15" thickBot="1">
      <c r="B766" s="52" t="s">
        <v>117</v>
      </c>
      <c r="C766" s="321">
        <v>1</v>
      </c>
      <c r="D766" s="321">
        <v>14</v>
      </c>
      <c r="E766" s="321">
        <v>27</v>
      </c>
      <c r="F766" s="321">
        <v>29</v>
      </c>
      <c r="G766" s="321">
        <v>33</v>
      </c>
      <c r="H766" s="321">
        <v>42</v>
      </c>
      <c r="I766" s="321">
        <v>45</v>
      </c>
      <c r="J766" s="321">
        <v>47</v>
      </c>
    </row>
    <row r="767" spans="2:10" ht="15" thickTop="1">
      <c r="B767" s="2025" t="s">
        <v>696</v>
      </c>
      <c r="C767" s="2025"/>
      <c r="D767" s="2025"/>
      <c r="E767" s="2025"/>
      <c r="F767" s="2025"/>
      <c r="G767" s="2025"/>
      <c r="H767" s="2025"/>
      <c r="I767" s="2025"/>
      <c r="J767" s="2025"/>
    </row>
    <row r="768" spans="2:10">
      <c r="B768" s="2066" t="s">
        <v>691</v>
      </c>
      <c r="C768" s="2066"/>
      <c r="D768" s="2066"/>
      <c r="E768" s="2066"/>
      <c r="F768" s="2066"/>
      <c r="G768" s="2066"/>
      <c r="H768" s="2066"/>
      <c r="I768" s="2066"/>
      <c r="J768" s="2066"/>
    </row>
    <row r="769" spans="2:10">
      <c r="B769" s="64"/>
      <c r="C769" s="302"/>
      <c r="D769" s="302"/>
      <c r="E769" s="302"/>
      <c r="F769" s="302"/>
      <c r="G769" s="302"/>
      <c r="H769" s="302"/>
      <c r="I769" s="302"/>
      <c r="J769" s="302"/>
    </row>
    <row r="770" spans="2:10">
      <c r="B770" s="2100" t="s">
        <v>140</v>
      </c>
      <c r="C770" s="2100"/>
      <c r="D770" s="2100"/>
      <c r="E770" s="2100"/>
      <c r="F770" s="2100"/>
      <c r="G770" s="2100"/>
      <c r="H770" s="2100"/>
      <c r="I770" s="2100"/>
      <c r="J770" s="2100"/>
    </row>
    <row r="771" spans="2:10">
      <c r="B771" s="12" t="s">
        <v>139</v>
      </c>
      <c r="C771" s="302"/>
      <c r="D771" s="302"/>
      <c r="E771" s="302"/>
      <c r="F771" s="302"/>
      <c r="G771" s="302"/>
      <c r="H771" s="302"/>
      <c r="I771" s="302"/>
      <c r="J771" s="302"/>
    </row>
    <row r="772" spans="2:10">
      <c r="B772" s="62" t="s">
        <v>138</v>
      </c>
      <c r="C772" s="302"/>
      <c r="D772" s="302"/>
      <c r="E772" s="302"/>
      <c r="F772" s="302"/>
      <c r="G772" s="302"/>
      <c r="H772" s="302"/>
      <c r="I772" s="302"/>
      <c r="J772" s="302"/>
    </row>
    <row r="773" spans="2:10">
      <c r="B773" s="64"/>
      <c r="C773" s="302"/>
      <c r="D773" s="302"/>
      <c r="E773" s="302"/>
      <c r="F773" s="302"/>
      <c r="G773" s="302"/>
      <c r="H773" s="302"/>
      <c r="I773" s="302"/>
      <c r="J773" s="302"/>
    </row>
    <row r="774" spans="2:10">
      <c r="B774" s="61"/>
      <c r="C774" s="303">
        <v>2014</v>
      </c>
      <c r="D774" s="303">
        <v>2015</v>
      </c>
      <c r="E774" s="303">
        <v>2016</v>
      </c>
      <c r="F774" s="303">
        <v>2017</v>
      </c>
      <c r="G774" s="303">
        <v>2018</v>
      </c>
      <c r="H774" s="303">
        <v>2019</v>
      </c>
      <c r="I774" s="303">
        <v>2020</v>
      </c>
      <c r="J774" s="303">
        <v>2021</v>
      </c>
    </row>
    <row r="775" spans="2:10">
      <c r="B775" s="59" t="s">
        <v>700</v>
      </c>
      <c r="C775" s="302"/>
      <c r="D775" s="302"/>
      <c r="E775" s="302"/>
      <c r="F775" s="302"/>
      <c r="G775" s="302"/>
      <c r="H775" s="302"/>
      <c r="I775" s="302"/>
      <c r="J775" s="302"/>
    </row>
    <row r="776" spans="2:10">
      <c r="B776" s="71" t="s">
        <v>137</v>
      </c>
      <c r="C776" s="306">
        <f t="shared" ref="C776" si="33">SUM(C777,C781)</f>
        <v>11567.074141329133</v>
      </c>
      <c r="D776" s="306">
        <v>14002.018304512696</v>
      </c>
      <c r="E776" s="306">
        <v>16693.407311103336</v>
      </c>
      <c r="F776" s="306">
        <v>19854.29756518748</v>
      </c>
      <c r="G776" s="306">
        <v>33170.847033562866</v>
      </c>
      <c r="H776" s="306">
        <v>34351.366694216078</v>
      </c>
      <c r="I776" s="338">
        <v>29199.137118465405</v>
      </c>
      <c r="J776" s="306">
        <v>32872.159775486187</v>
      </c>
    </row>
    <row r="777" spans="2:10">
      <c r="B777" s="52" t="s">
        <v>121</v>
      </c>
      <c r="C777" s="306">
        <f t="shared" ref="C777" si="34">SUM(C778:C779)</f>
        <v>11517.107216531691</v>
      </c>
      <c r="D777" s="306">
        <v>13898.969580343302</v>
      </c>
      <c r="E777" s="306">
        <v>16525.69183098237</v>
      </c>
      <c r="F777" s="306">
        <v>19475.497902753585</v>
      </c>
      <c r="G777" s="306">
        <v>32645.582832769043</v>
      </c>
      <c r="H777" s="306">
        <v>33302.083623980398</v>
      </c>
      <c r="I777" s="306">
        <v>27898.196907779362</v>
      </c>
      <c r="J777" s="306">
        <v>31152.242518557439</v>
      </c>
    </row>
    <row r="778" spans="2:10">
      <c r="B778" s="53" t="s">
        <v>120</v>
      </c>
      <c r="C778" s="306">
        <v>96.922796276554635</v>
      </c>
      <c r="D778" s="306">
        <v>29.134667342687255</v>
      </c>
      <c r="E778" s="306">
        <v>7.721363709074585</v>
      </c>
      <c r="F778" s="306">
        <v>257.73738761234887</v>
      </c>
      <c r="G778" s="306">
        <v>11694.336650403204</v>
      </c>
      <c r="H778" s="306">
        <v>10032.064644354634</v>
      </c>
      <c r="I778" s="306">
        <v>1323.5948748977769</v>
      </c>
      <c r="J778" s="306">
        <v>2378.4535959014693</v>
      </c>
    </row>
    <row r="779" spans="2:10">
      <c r="B779" s="53" t="s">
        <v>119</v>
      </c>
      <c r="C779" s="306">
        <v>11420.184420255137</v>
      </c>
      <c r="D779" s="306">
        <v>13869.834913000615</v>
      </c>
      <c r="E779" s="306">
        <v>16517.970467273299</v>
      </c>
      <c r="F779" s="306">
        <v>19217.760515141235</v>
      </c>
      <c r="G779" s="306">
        <v>20951.246182365834</v>
      </c>
      <c r="H779" s="306">
        <v>23270.018979625762</v>
      </c>
      <c r="I779" s="306">
        <v>26574.602032881583</v>
      </c>
      <c r="J779" s="306">
        <v>28773.788922655971</v>
      </c>
    </row>
    <row r="780" spans="2:10">
      <c r="B780" s="52" t="s">
        <v>118</v>
      </c>
      <c r="C780" s="321">
        <v>0</v>
      </c>
      <c r="D780" s="321">
        <v>0</v>
      </c>
      <c r="E780" s="321">
        <v>0</v>
      </c>
      <c r="F780" s="321">
        <v>0</v>
      </c>
      <c r="G780" s="321">
        <v>0</v>
      </c>
      <c r="H780" s="321">
        <v>0</v>
      </c>
      <c r="I780" s="321">
        <v>0</v>
      </c>
      <c r="J780" s="321">
        <v>0</v>
      </c>
    </row>
    <row r="781" spans="2:10" ht="15" thickBot="1">
      <c r="B781" s="52" t="s">
        <v>117</v>
      </c>
      <c r="C781" s="306">
        <v>49.966924797441827</v>
      </c>
      <c r="D781" s="306">
        <v>103.04872416939203</v>
      </c>
      <c r="E781" s="306">
        <v>167.7154801209654</v>
      </c>
      <c r="F781" s="306">
        <v>378.79966243389504</v>
      </c>
      <c r="G781" s="306">
        <v>525.26420079382217</v>
      </c>
      <c r="H781" s="306">
        <v>1049.2830702356853</v>
      </c>
      <c r="I781" s="338">
        <v>1300.9402106860414</v>
      </c>
      <c r="J781" s="306">
        <v>1719.9172569287477</v>
      </c>
    </row>
    <row r="782" spans="2:10" ht="15" thickTop="1">
      <c r="B782" s="2025" t="s">
        <v>696</v>
      </c>
      <c r="C782" s="2025"/>
      <c r="D782" s="2025"/>
      <c r="E782" s="2025"/>
      <c r="F782" s="2025"/>
      <c r="G782" s="2025"/>
      <c r="H782" s="2025"/>
      <c r="I782" s="2025"/>
      <c r="J782" s="2025"/>
    </row>
    <row r="783" spans="2:10">
      <c r="B783" s="2066" t="s">
        <v>691</v>
      </c>
      <c r="C783" s="2066"/>
      <c r="D783" s="2066"/>
      <c r="E783" s="2066"/>
      <c r="F783" s="2066"/>
      <c r="G783" s="2066"/>
      <c r="H783" s="2066"/>
      <c r="I783" s="2066"/>
      <c r="J783" s="2066"/>
    </row>
    <row r="784" spans="2:10">
      <c r="B784" s="64"/>
      <c r="C784" s="302"/>
      <c r="D784" s="302"/>
      <c r="E784" s="302"/>
      <c r="F784" s="302"/>
      <c r="G784" s="302"/>
      <c r="H784" s="302"/>
      <c r="I784" s="302"/>
      <c r="J784" s="302"/>
    </row>
    <row r="785" spans="2:10">
      <c r="B785" s="2100" t="s">
        <v>133</v>
      </c>
      <c r="C785" s="2100"/>
      <c r="D785" s="2100"/>
      <c r="E785" s="2100"/>
      <c r="F785" s="2100"/>
      <c r="G785" s="2100"/>
      <c r="H785" s="2100"/>
      <c r="I785" s="2100"/>
      <c r="J785" s="2100"/>
    </row>
    <row r="786" spans="2:10">
      <c r="B786" s="12" t="s">
        <v>132</v>
      </c>
      <c r="C786" s="302"/>
      <c r="D786" s="302"/>
      <c r="E786" s="302"/>
      <c r="F786" s="302"/>
      <c r="G786" s="302"/>
      <c r="H786" s="302"/>
      <c r="I786" s="302"/>
      <c r="J786" s="302"/>
    </row>
    <row r="787" spans="2:10">
      <c r="B787" s="62" t="s">
        <v>131</v>
      </c>
      <c r="C787" s="302"/>
      <c r="D787" s="302"/>
      <c r="E787" s="302"/>
      <c r="F787" s="302"/>
      <c r="G787" s="302"/>
      <c r="H787" s="302"/>
      <c r="I787" s="302"/>
      <c r="J787" s="302"/>
    </row>
    <row r="788" spans="2:10">
      <c r="B788" s="62"/>
      <c r="C788" s="302"/>
      <c r="D788" s="302"/>
      <c r="E788" s="302"/>
      <c r="F788" s="302"/>
      <c r="G788" s="302"/>
      <c r="H788" s="302"/>
      <c r="I788" s="302"/>
      <c r="J788" s="302"/>
    </row>
    <row r="789" spans="2:10">
      <c r="B789" s="61"/>
      <c r="C789" s="303">
        <v>2014</v>
      </c>
      <c r="D789" s="303">
        <v>2015</v>
      </c>
      <c r="E789" s="303">
        <v>2016</v>
      </c>
      <c r="F789" s="303">
        <v>2017</v>
      </c>
      <c r="G789" s="303">
        <v>2018</v>
      </c>
      <c r="H789" s="303">
        <v>2019</v>
      </c>
      <c r="I789" s="303">
        <v>2020</v>
      </c>
      <c r="J789" s="303">
        <v>2021</v>
      </c>
    </row>
    <row r="790" spans="2:10">
      <c r="B790" s="71" t="s">
        <v>130</v>
      </c>
      <c r="C790" s="321">
        <v>0</v>
      </c>
      <c r="D790" s="321">
        <v>0</v>
      </c>
      <c r="E790" s="321">
        <v>0</v>
      </c>
      <c r="F790" s="321">
        <v>0</v>
      </c>
      <c r="G790" s="321">
        <v>0</v>
      </c>
      <c r="H790" s="321">
        <v>0</v>
      </c>
      <c r="I790" s="321">
        <v>0</v>
      </c>
      <c r="J790" s="321">
        <v>0</v>
      </c>
    </row>
    <row r="791" spans="2:10">
      <c r="B791" s="71"/>
      <c r="C791" s="302"/>
      <c r="D791" s="302"/>
      <c r="E791" s="302"/>
      <c r="F791" s="302"/>
      <c r="G791" s="302"/>
      <c r="H791" s="302"/>
      <c r="I791" s="302"/>
      <c r="J791" s="302"/>
    </row>
    <row r="792" spans="2:10">
      <c r="B792" s="59" t="s">
        <v>689</v>
      </c>
      <c r="C792" s="302"/>
      <c r="D792" s="302"/>
      <c r="E792" s="302"/>
      <c r="F792" s="302"/>
      <c r="G792" s="302"/>
      <c r="H792" s="302"/>
      <c r="I792" s="302"/>
      <c r="J792" s="302"/>
    </row>
    <row r="793" spans="2:10">
      <c r="B793" s="54" t="s">
        <v>123</v>
      </c>
      <c r="C793" s="321">
        <v>0</v>
      </c>
      <c r="D793" s="321">
        <v>0</v>
      </c>
      <c r="E793" s="321">
        <v>0</v>
      </c>
      <c r="F793" s="321">
        <v>0</v>
      </c>
      <c r="G793" s="321">
        <v>0</v>
      </c>
      <c r="H793" s="321">
        <v>0</v>
      </c>
      <c r="I793" s="321">
        <v>0</v>
      </c>
      <c r="J793" s="321">
        <v>0</v>
      </c>
    </row>
    <row r="794" spans="2:10">
      <c r="B794" s="52" t="s">
        <v>121</v>
      </c>
      <c r="C794" s="321">
        <v>0</v>
      </c>
      <c r="D794" s="321">
        <v>0</v>
      </c>
      <c r="E794" s="321">
        <v>0</v>
      </c>
      <c r="F794" s="321">
        <v>0</v>
      </c>
      <c r="G794" s="321">
        <v>0</v>
      </c>
      <c r="H794" s="321">
        <v>0</v>
      </c>
      <c r="I794" s="321">
        <v>0</v>
      </c>
      <c r="J794" s="321">
        <v>0</v>
      </c>
    </row>
    <row r="795" spans="2:10">
      <c r="B795" s="53" t="s">
        <v>120</v>
      </c>
      <c r="C795" s="321">
        <v>0</v>
      </c>
      <c r="D795" s="321">
        <v>0</v>
      </c>
      <c r="E795" s="321">
        <v>0</v>
      </c>
      <c r="F795" s="321">
        <v>0</v>
      </c>
      <c r="G795" s="321">
        <v>0</v>
      </c>
      <c r="H795" s="321">
        <v>0</v>
      </c>
      <c r="I795" s="321">
        <v>0</v>
      </c>
      <c r="J795" s="321">
        <v>0</v>
      </c>
    </row>
    <row r="796" spans="2:10">
      <c r="B796" s="53" t="s">
        <v>119</v>
      </c>
      <c r="C796" s="321">
        <v>0</v>
      </c>
      <c r="D796" s="321">
        <v>0</v>
      </c>
      <c r="E796" s="321">
        <v>0</v>
      </c>
      <c r="F796" s="321">
        <v>0</v>
      </c>
      <c r="G796" s="321">
        <v>0</v>
      </c>
      <c r="H796" s="321">
        <v>0</v>
      </c>
      <c r="I796" s="321">
        <v>0</v>
      </c>
      <c r="J796" s="321">
        <v>0</v>
      </c>
    </row>
    <row r="797" spans="2:10">
      <c r="B797" s="52" t="s">
        <v>118</v>
      </c>
      <c r="C797" s="321">
        <v>0</v>
      </c>
      <c r="D797" s="321">
        <v>0</v>
      </c>
      <c r="E797" s="321">
        <v>0</v>
      </c>
      <c r="F797" s="321">
        <v>0</v>
      </c>
      <c r="G797" s="321">
        <v>0</v>
      </c>
      <c r="H797" s="321">
        <v>0</v>
      </c>
      <c r="I797" s="321">
        <v>0</v>
      </c>
      <c r="J797" s="321">
        <v>0</v>
      </c>
    </row>
    <row r="798" spans="2:10">
      <c r="B798" s="52" t="s">
        <v>117</v>
      </c>
      <c r="C798" s="321">
        <v>0</v>
      </c>
      <c r="D798" s="321">
        <v>0</v>
      </c>
      <c r="E798" s="321">
        <v>0</v>
      </c>
      <c r="F798" s="321">
        <v>0</v>
      </c>
      <c r="G798" s="321">
        <v>0</v>
      </c>
      <c r="H798" s="321">
        <v>0</v>
      </c>
      <c r="I798" s="321">
        <v>0</v>
      </c>
      <c r="J798" s="321">
        <v>0</v>
      </c>
    </row>
    <row r="799" spans="2:10">
      <c r="B799" s="52"/>
      <c r="C799" s="339"/>
      <c r="D799" s="339"/>
      <c r="E799" s="339"/>
      <c r="F799" s="339"/>
      <c r="G799" s="339"/>
      <c r="H799" s="339"/>
      <c r="I799" s="339"/>
      <c r="J799" s="339"/>
    </row>
    <row r="800" spans="2:10">
      <c r="B800" s="54" t="s">
        <v>122</v>
      </c>
      <c r="C800" s="321">
        <v>0</v>
      </c>
      <c r="D800" s="321">
        <v>0</v>
      </c>
      <c r="E800" s="321">
        <v>0</v>
      </c>
      <c r="F800" s="321">
        <v>0</v>
      </c>
      <c r="G800" s="321">
        <v>0</v>
      </c>
      <c r="H800" s="321">
        <v>0</v>
      </c>
      <c r="I800" s="321">
        <v>0</v>
      </c>
      <c r="J800" s="321">
        <v>0</v>
      </c>
    </row>
    <row r="801" spans="2:10">
      <c r="B801" s="52" t="s">
        <v>121</v>
      </c>
      <c r="C801" s="321">
        <v>0</v>
      </c>
      <c r="D801" s="321">
        <v>0</v>
      </c>
      <c r="E801" s="321">
        <v>0</v>
      </c>
      <c r="F801" s="321">
        <v>0</v>
      </c>
      <c r="G801" s="321">
        <v>0</v>
      </c>
      <c r="H801" s="321">
        <v>0</v>
      </c>
      <c r="I801" s="321">
        <v>0</v>
      </c>
      <c r="J801" s="321">
        <v>0</v>
      </c>
    </row>
    <row r="802" spans="2:10">
      <c r="B802" s="53" t="s">
        <v>120</v>
      </c>
      <c r="C802" s="321">
        <v>0</v>
      </c>
      <c r="D802" s="321">
        <v>0</v>
      </c>
      <c r="E802" s="321">
        <v>0</v>
      </c>
      <c r="F802" s="321">
        <v>0</v>
      </c>
      <c r="G802" s="321">
        <v>0</v>
      </c>
      <c r="H802" s="321">
        <v>0</v>
      </c>
      <c r="I802" s="321">
        <v>0</v>
      </c>
      <c r="J802" s="321">
        <v>0</v>
      </c>
    </row>
    <row r="803" spans="2:10">
      <c r="B803" s="53" t="s">
        <v>119</v>
      </c>
      <c r="C803" s="321">
        <v>0</v>
      </c>
      <c r="D803" s="321">
        <v>0</v>
      </c>
      <c r="E803" s="321">
        <v>0</v>
      </c>
      <c r="F803" s="321">
        <v>0</v>
      </c>
      <c r="G803" s="321">
        <v>0</v>
      </c>
      <c r="H803" s="321">
        <v>0</v>
      </c>
      <c r="I803" s="321">
        <v>0</v>
      </c>
      <c r="J803" s="321">
        <v>0</v>
      </c>
    </row>
    <row r="804" spans="2:10">
      <c r="B804" s="52" t="s">
        <v>118</v>
      </c>
      <c r="C804" s="321">
        <v>0</v>
      </c>
      <c r="D804" s="321">
        <v>0</v>
      </c>
      <c r="E804" s="321">
        <v>0</v>
      </c>
      <c r="F804" s="321">
        <v>0</v>
      </c>
      <c r="G804" s="321">
        <v>0</v>
      </c>
      <c r="H804" s="321">
        <v>0</v>
      </c>
      <c r="I804" s="321">
        <v>0</v>
      </c>
      <c r="J804" s="321">
        <v>0</v>
      </c>
    </row>
    <row r="805" spans="2:10" ht="15" thickBot="1">
      <c r="B805" s="52" t="s">
        <v>117</v>
      </c>
      <c r="C805" s="321">
        <v>0</v>
      </c>
      <c r="D805" s="321">
        <v>0</v>
      </c>
      <c r="E805" s="321">
        <v>0</v>
      </c>
      <c r="F805" s="321">
        <v>0</v>
      </c>
      <c r="G805" s="321">
        <v>0</v>
      </c>
      <c r="H805" s="321">
        <v>0</v>
      </c>
      <c r="I805" s="321">
        <v>0</v>
      </c>
      <c r="J805" s="321">
        <v>0</v>
      </c>
    </row>
    <row r="806" spans="2:10" ht="15" thickTop="1">
      <c r="B806" s="2025" t="s">
        <v>656</v>
      </c>
      <c r="C806" s="2025"/>
      <c r="D806" s="2025"/>
      <c r="E806" s="2025"/>
      <c r="F806" s="2025"/>
      <c r="G806" s="2025"/>
      <c r="H806" s="2025"/>
      <c r="I806" s="2025"/>
      <c r="J806" s="2025"/>
    </row>
    <row r="807" spans="2:10">
      <c r="B807" s="2017"/>
      <c r="C807" s="2017"/>
      <c r="D807" s="2017"/>
      <c r="E807" s="2017"/>
      <c r="F807" s="2017"/>
      <c r="G807" s="2017"/>
      <c r="H807" s="2017"/>
      <c r="I807" s="2017"/>
      <c r="J807" s="2017"/>
    </row>
    <row r="808" spans="2:10">
      <c r="B808" s="64"/>
      <c r="C808" s="302"/>
      <c r="D808" s="302"/>
      <c r="E808" s="302"/>
      <c r="F808" s="302"/>
      <c r="G808" s="302"/>
      <c r="H808" s="302"/>
      <c r="I808" s="302"/>
      <c r="J808" s="302"/>
    </row>
    <row r="809" spans="2:10">
      <c r="B809" s="2100" t="s">
        <v>129</v>
      </c>
      <c r="C809" s="2100"/>
      <c r="D809" s="2100"/>
      <c r="E809" s="2100"/>
      <c r="F809" s="2100"/>
      <c r="G809" s="2100"/>
      <c r="H809" s="2100"/>
      <c r="I809" s="2100"/>
      <c r="J809" s="2100"/>
    </row>
    <row r="810" spans="2:10">
      <c r="B810" s="12" t="s">
        <v>128</v>
      </c>
      <c r="C810" s="302"/>
      <c r="D810" s="302"/>
      <c r="E810" s="302"/>
      <c r="F810" s="302"/>
      <c r="G810" s="302"/>
      <c r="H810" s="302"/>
      <c r="I810" s="302"/>
      <c r="J810" s="302"/>
    </row>
    <row r="811" spans="2:10">
      <c r="B811" s="62" t="s">
        <v>127</v>
      </c>
      <c r="C811" s="302"/>
      <c r="D811" s="302"/>
      <c r="E811" s="302"/>
      <c r="F811" s="302"/>
      <c r="G811" s="302"/>
      <c r="H811" s="302"/>
      <c r="I811" s="302"/>
      <c r="J811" s="302"/>
    </row>
    <row r="812" spans="2:10">
      <c r="B812" s="62"/>
      <c r="C812" s="302"/>
      <c r="D812" s="302"/>
      <c r="E812" s="302"/>
      <c r="F812" s="302"/>
      <c r="G812" s="302"/>
      <c r="H812" s="302"/>
      <c r="I812" s="302"/>
      <c r="J812" s="302"/>
    </row>
    <row r="813" spans="2:10">
      <c r="B813" s="61"/>
      <c r="C813" s="303">
        <v>2014</v>
      </c>
      <c r="D813" s="303">
        <v>2015</v>
      </c>
      <c r="E813" s="303">
        <v>2016</v>
      </c>
      <c r="F813" s="303">
        <v>2017</v>
      </c>
      <c r="G813" s="303">
        <v>2018</v>
      </c>
      <c r="H813" s="303">
        <v>2019</v>
      </c>
      <c r="I813" s="303">
        <v>2020</v>
      </c>
      <c r="J813" s="303">
        <v>2021</v>
      </c>
    </row>
    <row r="814" spans="2:10">
      <c r="B814" s="71" t="s">
        <v>124</v>
      </c>
      <c r="C814" s="321">
        <v>0</v>
      </c>
      <c r="D814" s="321">
        <v>0</v>
      </c>
      <c r="E814" s="321">
        <v>0</v>
      </c>
      <c r="F814" s="321">
        <v>0</v>
      </c>
      <c r="G814" s="321">
        <v>0</v>
      </c>
      <c r="H814" s="321">
        <v>0</v>
      </c>
      <c r="I814" s="321">
        <v>0</v>
      </c>
      <c r="J814" s="321">
        <v>0</v>
      </c>
    </row>
    <row r="815" spans="2:10">
      <c r="B815" s="71"/>
      <c r="C815" s="302"/>
      <c r="D815" s="302"/>
      <c r="E815" s="302"/>
      <c r="F815" s="302"/>
      <c r="G815" s="302"/>
      <c r="H815" s="302"/>
      <c r="I815" s="302"/>
      <c r="J815" s="302"/>
    </row>
    <row r="816" spans="2:10">
      <c r="B816" s="59" t="s">
        <v>689</v>
      </c>
      <c r="C816" s="302"/>
      <c r="D816" s="302"/>
      <c r="E816" s="302"/>
      <c r="F816" s="302"/>
      <c r="G816" s="302"/>
      <c r="H816" s="302"/>
      <c r="I816" s="302"/>
      <c r="J816" s="302"/>
    </row>
    <row r="817" spans="2:10">
      <c r="B817" s="54" t="s">
        <v>123</v>
      </c>
      <c r="C817" s="321">
        <v>0</v>
      </c>
      <c r="D817" s="321">
        <v>0</v>
      </c>
      <c r="E817" s="321">
        <v>0</v>
      </c>
      <c r="F817" s="321">
        <v>0</v>
      </c>
      <c r="G817" s="321">
        <v>0</v>
      </c>
      <c r="H817" s="321">
        <v>0</v>
      </c>
      <c r="I817" s="321">
        <v>0</v>
      </c>
      <c r="J817" s="321">
        <v>0</v>
      </c>
    </row>
    <row r="818" spans="2:10">
      <c r="B818" s="52" t="s">
        <v>121</v>
      </c>
      <c r="C818" s="321">
        <v>0</v>
      </c>
      <c r="D818" s="321">
        <v>0</v>
      </c>
      <c r="E818" s="321">
        <v>0</v>
      </c>
      <c r="F818" s="321">
        <v>0</v>
      </c>
      <c r="G818" s="321">
        <v>0</v>
      </c>
      <c r="H818" s="321">
        <v>0</v>
      </c>
      <c r="I818" s="321">
        <v>0</v>
      </c>
      <c r="J818" s="321">
        <v>0</v>
      </c>
    </row>
    <row r="819" spans="2:10">
      <c r="B819" s="53" t="s">
        <v>120</v>
      </c>
      <c r="C819" s="321">
        <v>0</v>
      </c>
      <c r="D819" s="321">
        <v>0</v>
      </c>
      <c r="E819" s="321">
        <v>0</v>
      </c>
      <c r="F819" s="321">
        <v>0</v>
      </c>
      <c r="G819" s="321">
        <v>0</v>
      </c>
      <c r="H819" s="321">
        <v>0</v>
      </c>
      <c r="I819" s="321">
        <v>0</v>
      </c>
      <c r="J819" s="321">
        <v>0</v>
      </c>
    </row>
    <row r="820" spans="2:10">
      <c r="B820" s="53" t="s">
        <v>119</v>
      </c>
      <c r="C820" s="321">
        <v>0</v>
      </c>
      <c r="D820" s="321">
        <v>0</v>
      </c>
      <c r="E820" s="321">
        <v>0</v>
      </c>
      <c r="F820" s="321">
        <v>0</v>
      </c>
      <c r="G820" s="321">
        <v>0</v>
      </c>
      <c r="H820" s="321">
        <v>0</v>
      </c>
      <c r="I820" s="321">
        <v>0</v>
      </c>
      <c r="J820" s="321">
        <v>0</v>
      </c>
    </row>
    <row r="821" spans="2:10">
      <c r="B821" s="52" t="s">
        <v>118</v>
      </c>
      <c r="C821" s="321">
        <v>0</v>
      </c>
      <c r="D821" s="321">
        <v>0</v>
      </c>
      <c r="E821" s="321">
        <v>0</v>
      </c>
      <c r="F821" s="321">
        <v>0</v>
      </c>
      <c r="G821" s="321">
        <v>0</v>
      </c>
      <c r="H821" s="321">
        <v>0</v>
      </c>
      <c r="I821" s="321">
        <v>0</v>
      </c>
      <c r="J821" s="321">
        <v>0</v>
      </c>
    </row>
    <row r="822" spans="2:10">
      <c r="B822" s="52" t="s">
        <v>117</v>
      </c>
      <c r="C822" s="321">
        <v>0</v>
      </c>
      <c r="D822" s="321">
        <v>0</v>
      </c>
      <c r="E822" s="321">
        <v>0</v>
      </c>
      <c r="F822" s="321">
        <v>0</v>
      </c>
      <c r="G822" s="321">
        <v>0</v>
      </c>
      <c r="H822" s="321">
        <v>0</v>
      </c>
      <c r="I822" s="321">
        <v>0</v>
      </c>
      <c r="J822" s="321">
        <v>0</v>
      </c>
    </row>
    <row r="823" spans="2:10">
      <c r="B823" s="52"/>
      <c r="C823" s="339"/>
      <c r="D823" s="339"/>
      <c r="E823" s="339"/>
      <c r="F823" s="339"/>
      <c r="G823" s="339"/>
      <c r="H823" s="339"/>
      <c r="I823" s="339"/>
      <c r="J823" s="339"/>
    </row>
    <row r="824" spans="2:10">
      <c r="B824" s="54" t="s">
        <v>122</v>
      </c>
      <c r="C824" s="321">
        <v>0</v>
      </c>
      <c r="D824" s="321">
        <v>0</v>
      </c>
      <c r="E824" s="321">
        <v>0</v>
      </c>
      <c r="F824" s="321">
        <v>0</v>
      </c>
      <c r="G824" s="321">
        <v>0</v>
      </c>
      <c r="H824" s="321">
        <v>0</v>
      </c>
      <c r="I824" s="321">
        <v>0</v>
      </c>
      <c r="J824" s="321">
        <v>0</v>
      </c>
    </row>
    <row r="825" spans="2:10">
      <c r="B825" s="52" t="s">
        <v>121</v>
      </c>
      <c r="C825" s="321">
        <v>0</v>
      </c>
      <c r="D825" s="321">
        <v>0</v>
      </c>
      <c r="E825" s="321">
        <v>0</v>
      </c>
      <c r="F825" s="321">
        <v>0</v>
      </c>
      <c r="G825" s="321">
        <v>0</v>
      </c>
      <c r="H825" s="321">
        <v>0</v>
      </c>
      <c r="I825" s="321">
        <v>0</v>
      </c>
      <c r="J825" s="321">
        <v>0</v>
      </c>
    </row>
    <row r="826" spans="2:10">
      <c r="B826" s="53" t="s">
        <v>120</v>
      </c>
      <c r="C826" s="321">
        <v>0</v>
      </c>
      <c r="D826" s="321">
        <v>0</v>
      </c>
      <c r="E826" s="321">
        <v>0</v>
      </c>
      <c r="F826" s="321">
        <v>0</v>
      </c>
      <c r="G826" s="321">
        <v>0</v>
      </c>
      <c r="H826" s="321">
        <v>0</v>
      </c>
      <c r="I826" s="321">
        <v>0</v>
      </c>
      <c r="J826" s="321">
        <v>0</v>
      </c>
    </row>
    <row r="827" spans="2:10">
      <c r="B827" s="53" t="s">
        <v>119</v>
      </c>
      <c r="C827" s="321">
        <v>0</v>
      </c>
      <c r="D827" s="321">
        <v>0</v>
      </c>
      <c r="E827" s="321">
        <v>0</v>
      </c>
      <c r="F827" s="321">
        <v>0</v>
      </c>
      <c r="G827" s="321">
        <v>0</v>
      </c>
      <c r="H827" s="321">
        <v>0</v>
      </c>
      <c r="I827" s="321">
        <v>0</v>
      </c>
      <c r="J827" s="321">
        <v>0</v>
      </c>
    </row>
    <row r="828" spans="2:10">
      <c r="B828" s="52" t="s">
        <v>118</v>
      </c>
      <c r="C828" s="321">
        <v>0</v>
      </c>
      <c r="D828" s="321">
        <v>0</v>
      </c>
      <c r="E828" s="321">
        <v>0</v>
      </c>
      <c r="F828" s="321">
        <v>0</v>
      </c>
      <c r="G828" s="321">
        <v>0</v>
      </c>
      <c r="H828" s="321">
        <v>0</v>
      </c>
      <c r="I828" s="321">
        <v>0</v>
      </c>
      <c r="J828" s="321">
        <v>0</v>
      </c>
    </row>
    <row r="829" spans="2:10" ht="15" thickBot="1">
      <c r="B829" s="52" t="s">
        <v>117</v>
      </c>
      <c r="C829" s="321">
        <v>0</v>
      </c>
      <c r="D829" s="321">
        <v>0</v>
      </c>
      <c r="E829" s="321">
        <v>0</v>
      </c>
      <c r="F829" s="321">
        <v>0</v>
      </c>
      <c r="G829" s="321">
        <v>0</v>
      </c>
      <c r="H829" s="321">
        <v>0</v>
      </c>
      <c r="I829" s="321">
        <v>0</v>
      </c>
      <c r="J829" s="321">
        <v>0</v>
      </c>
    </row>
    <row r="830" spans="2:10" ht="15" thickTop="1">
      <c r="B830" s="2025" t="s">
        <v>656</v>
      </c>
      <c r="C830" s="2025"/>
      <c r="D830" s="2025"/>
      <c r="E830" s="2025"/>
      <c r="F830" s="2025"/>
      <c r="G830" s="2025"/>
      <c r="H830" s="2025"/>
      <c r="I830" s="2025"/>
      <c r="J830" s="2025"/>
    </row>
    <row r="831" spans="2:10">
      <c r="B831" s="2017"/>
      <c r="C831" s="2017"/>
      <c r="D831" s="2017"/>
      <c r="E831" s="2017"/>
      <c r="F831" s="2017"/>
      <c r="G831" s="2017"/>
      <c r="H831" s="2017"/>
      <c r="I831" s="2017"/>
      <c r="J831" s="2017"/>
    </row>
    <row r="832" spans="2:10">
      <c r="B832" s="302"/>
      <c r="C832" s="302"/>
      <c r="D832" s="302"/>
      <c r="E832" s="302"/>
      <c r="F832" s="302"/>
      <c r="G832" s="302"/>
      <c r="H832" s="302"/>
      <c r="I832" s="302"/>
      <c r="J832" s="302"/>
    </row>
    <row r="833" spans="2:10">
      <c r="B833" s="2100" t="s">
        <v>115</v>
      </c>
      <c r="C833" s="2100"/>
      <c r="D833" s="2100"/>
      <c r="E833" s="2100"/>
      <c r="F833" s="2100"/>
      <c r="G833" s="2100"/>
      <c r="H833" s="2100"/>
      <c r="I833" s="2100"/>
      <c r="J833" s="2100"/>
    </row>
    <row r="834" spans="2:10">
      <c r="B834" s="12" t="s">
        <v>114</v>
      </c>
      <c r="C834" s="302"/>
      <c r="D834" s="302"/>
      <c r="E834" s="302"/>
      <c r="F834" s="302"/>
      <c r="G834" s="302"/>
      <c r="H834" s="302"/>
      <c r="I834" s="302"/>
      <c r="J834" s="302"/>
    </row>
    <row r="835" spans="2:10">
      <c r="B835" s="302"/>
      <c r="C835" s="302"/>
      <c r="D835" s="302"/>
      <c r="E835" s="302"/>
      <c r="F835" s="302"/>
      <c r="G835" s="302"/>
      <c r="H835" s="302"/>
      <c r="I835" s="302"/>
      <c r="J835" s="302"/>
    </row>
    <row r="836" spans="2:10">
      <c r="B836" s="2109" t="s">
        <v>11</v>
      </c>
      <c r="C836" s="2109" t="s">
        <v>604</v>
      </c>
      <c r="D836" s="2109" t="s">
        <v>113</v>
      </c>
      <c r="E836" s="2111" t="s">
        <v>24</v>
      </c>
      <c r="F836" s="2109" t="s">
        <v>112</v>
      </c>
      <c r="G836" s="2109" t="s">
        <v>111</v>
      </c>
      <c r="H836" s="2111" t="s">
        <v>110</v>
      </c>
      <c r="I836" s="2113"/>
      <c r="J836" s="2113"/>
    </row>
    <row r="837" spans="2:10">
      <c r="B837" s="2110"/>
      <c r="C837" s="2110"/>
      <c r="D837" s="2110"/>
      <c r="E837" s="2110"/>
      <c r="F837" s="2110"/>
      <c r="G837" s="2110"/>
      <c r="H837" s="2110"/>
      <c r="I837" s="2114"/>
      <c r="J837" s="2114"/>
    </row>
    <row r="838" spans="2:10">
      <c r="B838" s="343" t="s">
        <v>671</v>
      </c>
      <c r="C838" s="239" t="s">
        <v>701</v>
      </c>
      <c r="D838" s="239" t="s">
        <v>94</v>
      </c>
      <c r="E838" s="239" t="s">
        <v>1</v>
      </c>
      <c r="F838" s="239" t="s">
        <v>106</v>
      </c>
      <c r="G838" s="239" t="s">
        <v>522</v>
      </c>
      <c r="H838" s="239" t="s">
        <v>102</v>
      </c>
      <c r="I838" s="239"/>
      <c r="J838" s="239"/>
    </row>
    <row r="839" spans="2:10">
      <c r="B839" s="344" t="s">
        <v>673</v>
      </c>
      <c r="C839" s="239" t="s">
        <v>103</v>
      </c>
      <c r="D839" s="239" t="s">
        <v>105</v>
      </c>
      <c r="E839" s="239" t="s">
        <v>1</v>
      </c>
      <c r="F839" s="239" t="s">
        <v>489</v>
      </c>
      <c r="G839" s="239" t="s">
        <v>103</v>
      </c>
      <c r="H839" s="239" t="s">
        <v>102</v>
      </c>
      <c r="I839" s="239"/>
      <c r="J839" s="239"/>
    </row>
    <row r="840" spans="2:10">
      <c r="B840" s="344" t="s">
        <v>702</v>
      </c>
      <c r="C840" s="345" t="s">
        <v>103</v>
      </c>
      <c r="D840" s="345" t="s">
        <v>105</v>
      </c>
      <c r="E840" s="345" t="s">
        <v>108</v>
      </c>
      <c r="F840" s="345" t="s">
        <v>489</v>
      </c>
      <c r="G840" s="345" t="s">
        <v>522</v>
      </c>
      <c r="H840" s="345" t="s">
        <v>102</v>
      </c>
      <c r="I840" s="345"/>
      <c r="J840" s="345"/>
    </row>
    <row r="841" spans="2:10">
      <c r="B841" s="344" t="s">
        <v>703</v>
      </c>
      <c r="C841" s="239" t="s">
        <v>103</v>
      </c>
      <c r="D841" s="239" t="s">
        <v>105</v>
      </c>
      <c r="E841" s="239" t="s">
        <v>108</v>
      </c>
      <c r="F841" s="239" t="s">
        <v>489</v>
      </c>
      <c r="G841" s="239" t="s">
        <v>522</v>
      </c>
      <c r="H841" s="239" t="s">
        <v>102</v>
      </c>
      <c r="I841" s="239"/>
      <c r="J841" s="239"/>
    </row>
    <row r="842" spans="2:10">
      <c r="B842" s="344" t="s">
        <v>704</v>
      </c>
      <c r="C842" s="239" t="s">
        <v>103</v>
      </c>
      <c r="D842" s="239" t="s">
        <v>105</v>
      </c>
      <c r="E842" s="239" t="s">
        <v>108</v>
      </c>
      <c r="F842" s="239" t="s">
        <v>489</v>
      </c>
      <c r="G842" s="239" t="s">
        <v>522</v>
      </c>
      <c r="H842" s="239" t="s">
        <v>102</v>
      </c>
      <c r="I842" s="239"/>
      <c r="J842" s="239"/>
    </row>
    <row r="843" spans="2:10">
      <c r="B843" s="344" t="s">
        <v>705</v>
      </c>
      <c r="C843" s="239" t="s">
        <v>103</v>
      </c>
      <c r="D843" s="239" t="s">
        <v>105</v>
      </c>
      <c r="E843" s="239" t="s">
        <v>108</v>
      </c>
      <c r="F843" s="239" t="s">
        <v>489</v>
      </c>
      <c r="G843" s="239" t="s">
        <v>522</v>
      </c>
      <c r="H843" s="239" t="s">
        <v>102</v>
      </c>
      <c r="I843" s="239"/>
      <c r="J843" s="239"/>
    </row>
    <row r="844" spans="2:10">
      <c r="B844" s="344" t="s">
        <v>706</v>
      </c>
      <c r="C844" s="345" t="s">
        <v>606</v>
      </c>
      <c r="D844" s="345" t="s">
        <v>105</v>
      </c>
      <c r="E844" s="345" t="s">
        <v>108</v>
      </c>
      <c r="F844" s="345" t="s">
        <v>489</v>
      </c>
      <c r="G844" s="345" t="s">
        <v>522</v>
      </c>
      <c r="H844" s="345" t="s">
        <v>102</v>
      </c>
      <c r="I844" s="345"/>
      <c r="J844" s="345"/>
    </row>
    <row r="845" spans="2:10">
      <c r="B845" s="344" t="s">
        <v>707</v>
      </c>
      <c r="C845" s="345" t="s">
        <v>103</v>
      </c>
      <c r="D845" s="345" t="s">
        <v>105</v>
      </c>
      <c r="E845" s="345" t="s">
        <v>108</v>
      </c>
      <c r="F845" s="345" t="s">
        <v>489</v>
      </c>
      <c r="G845" s="345" t="s">
        <v>522</v>
      </c>
      <c r="H845" s="345" t="s">
        <v>102</v>
      </c>
      <c r="I845" s="345"/>
      <c r="J845" s="345"/>
    </row>
    <row r="846" spans="2:10">
      <c r="B846" s="344" t="s">
        <v>708</v>
      </c>
      <c r="C846" s="346" t="s">
        <v>103</v>
      </c>
      <c r="D846" s="346" t="s">
        <v>105</v>
      </c>
      <c r="E846" s="346" t="s">
        <v>108</v>
      </c>
      <c r="F846" s="346" t="s">
        <v>489</v>
      </c>
      <c r="G846" s="346" t="s">
        <v>522</v>
      </c>
      <c r="H846" s="346" t="s">
        <v>607</v>
      </c>
      <c r="I846" s="346"/>
      <c r="J846" s="346"/>
    </row>
    <row r="847" spans="2:10">
      <c r="B847" s="347" t="s">
        <v>709</v>
      </c>
      <c r="C847" s="348" t="s">
        <v>103</v>
      </c>
      <c r="D847" s="346" t="s">
        <v>105</v>
      </c>
      <c r="E847" s="346" t="s">
        <v>108</v>
      </c>
      <c r="F847" s="346" t="s">
        <v>489</v>
      </c>
      <c r="G847" s="346" t="s">
        <v>522</v>
      </c>
      <c r="H847" s="346" t="s">
        <v>607</v>
      </c>
      <c r="I847" s="346"/>
      <c r="J847" s="346"/>
    </row>
    <row r="848" spans="2:10" ht="15" thickBot="1">
      <c r="B848" s="349" t="s">
        <v>710</v>
      </c>
      <c r="C848" s="350" t="s">
        <v>103</v>
      </c>
      <c r="D848" s="350" t="s">
        <v>105</v>
      </c>
      <c r="E848" s="350" t="s">
        <v>108</v>
      </c>
      <c r="F848" s="350" t="s">
        <v>489</v>
      </c>
      <c r="G848" s="350" t="s">
        <v>522</v>
      </c>
      <c r="H848" s="350" t="s">
        <v>102</v>
      </c>
      <c r="I848" s="346"/>
      <c r="J848" s="346"/>
    </row>
    <row r="849" spans="2:10" ht="15" thickTop="1">
      <c r="B849" s="2127"/>
      <c r="C849" s="2127"/>
      <c r="D849" s="2127"/>
      <c r="E849" s="302"/>
      <c r="F849" s="302"/>
      <c r="G849" s="302"/>
      <c r="H849" s="302"/>
      <c r="I849" s="302"/>
      <c r="J849" s="302"/>
    </row>
    <row r="850" spans="2:10">
      <c r="B850" s="2109" t="s">
        <v>11</v>
      </c>
      <c r="C850" s="2109" t="s">
        <v>610</v>
      </c>
      <c r="D850" s="2111" t="s">
        <v>101</v>
      </c>
      <c r="E850" s="2111" t="s">
        <v>100</v>
      </c>
      <c r="F850" s="2111" t="s">
        <v>99</v>
      </c>
      <c r="G850" s="2109" t="s">
        <v>98</v>
      </c>
      <c r="H850" s="2109"/>
      <c r="I850" s="351"/>
      <c r="J850" s="351"/>
    </row>
    <row r="851" spans="2:10">
      <c r="B851" s="2110"/>
      <c r="C851" s="2110"/>
      <c r="D851" s="2110"/>
      <c r="E851" s="2110"/>
      <c r="F851" s="2110"/>
      <c r="G851" s="352" t="s">
        <v>97</v>
      </c>
      <c r="H851" s="352" t="s">
        <v>96</v>
      </c>
      <c r="I851" s="44"/>
      <c r="J851" s="44"/>
    </row>
    <row r="852" spans="2:10">
      <c r="B852" s="343" t="s">
        <v>671</v>
      </c>
      <c r="C852" s="239">
        <v>0</v>
      </c>
      <c r="D852" s="353">
        <v>0.70833333333333337</v>
      </c>
      <c r="E852" s="240" t="s">
        <v>94</v>
      </c>
      <c r="F852" s="353">
        <v>0.70833333333333337</v>
      </c>
      <c r="G852" s="353">
        <v>0.375</v>
      </c>
      <c r="H852" s="353">
        <v>0.70833333333333337</v>
      </c>
      <c r="I852" s="353"/>
      <c r="J852" s="353"/>
    </row>
    <row r="853" spans="2:10" ht="24">
      <c r="B853" s="344" t="s">
        <v>673</v>
      </c>
      <c r="C853" s="239">
        <v>0</v>
      </c>
      <c r="D853" s="354">
        <v>0.34375</v>
      </c>
      <c r="E853" s="355" t="s">
        <v>711</v>
      </c>
      <c r="F853" s="353" t="s">
        <v>712</v>
      </c>
      <c r="G853" s="353" t="s">
        <v>713</v>
      </c>
      <c r="H853" s="353" t="s">
        <v>714</v>
      </c>
      <c r="I853" s="353"/>
      <c r="J853" s="353"/>
    </row>
    <row r="854" spans="2:10" ht="36">
      <c r="B854" s="344" t="s">
        <v>702</v>
      </c>
      <c r="C854" s="345" t="s">
        <v>715</v>
      </c>
      <c r="D854" s="353" t="s">
        <v>716</v>
      </c>
      <c r="E854" s="345" t="s">
        <v>711</v>
      </c>
      <c r="F854" s="353" t="s">
        <v>717</v>
      </c>
      <c r="G854" s="353" t="s">
        <v>718</v>
      </c>
      <c r="H854" s="353" t="s">
        <v>717</v>
      </c>
      <c r="I854" s="353"/>
      <c r="J854" s="353"/>
    </row>
    <row r="855" spans="2:10">
      <c r="B855" s="344" t="s">
        <v>703</v>
      </c>
      <c r="C855" s="345" t="s">
        <v>715</v>
      </c>
      <c r="D855" s="353">
        <v>0.45833333333333331</v>
      </c>
      <c r="E855" s="355" t="s">
        <v>711</v>
      </c>
      <c r="F855" s="239">
        <v>0</v>
      </c>
      <c r="G855" s="239">
        <v>0</v>
      </c>
      <c r="H855" s="239">
        <v>0</v>
      </c>
      <c r="I855" s="239"/>
      <c r="J855" s="239"/>
    </row>
    <row r="856" spans="2:10">
      <c r="B856" s="344" t="s">
        <v>704</v>
      </c>
      <c r="C856" s="345" t="s">
        <v>715</v>
      </c>
      <c r="D856" s="353">
        <v>0.45833333333333331</v>
      </c>
      <c r="E856" s="355" t="s">
        <v>711</v>
      </c>
      <c r="F856" s="239">
        <v>0</v>
      </c>
      <c r="G856" s="239">
        <v>0</v>
      </c>
      <c r="H856" s="239">
        <v>0</v>
      </c>
      <c r="I856" s="239"/>
      <c r="J856" s="239"/>
    </row>
    <row r="857" spans="2:10">
      <c r="B857" s="344" t="s">
        <v>705</v>
      </c>
      <c r="C857" s="345" t="s">
        <v>715</v>
      </c>
      <c r="D857" s="353">
        <v>0.65972222222222221</v>
      </c>
      <c r="E857" s="355" t="s">
        <v>711</v>
      </c>
      <c r="F857" s="239">
        <v>0</v>
      </c>
      <c r="G857" s="239">
        <v>0</v>
      </c>
      <c r="H857" s="239">
        <v>0</v>
      </c>
      <c r="I857" s="239"/>
      <c r="J857" s="239"/>
    </row>
    <row r="858" spans="2:10">
      <c r="B858" s="344" t="s">
        <v>707</v>
      </c>
      <c r="C858" s="345" t="s">
        <v>715</v>
      </c>
      <c r="D858" s="353">
        <v>0.58333333333333337</v>
      </c>
      <c r="E858" s="345" t="s">
        <v>711</v>
      </c>
      <c r="F858" s="353">
        <v>0</v>
      </c>
      <c r="G858" s="353">
        <v>0</v>
      </c>
      <c r="H858" s="353">
        <v>0</v>
      </c>
      <c r="I858" s="353"/>
      <c r="J858" s="353"/>
    </row>
    <row r="859" spans="2:10">
      <c r="B859" s="344" t="s">
        <v>708</v>
      </c>
      <c r="C859" s="345" t="s">
        <v>715</v>
      </c>
      <c r="D859" s="353">
        <v>0.38541666666666669</v>
      </c>
      <c r="E859" s="346" t="s">
        <v>711</v>
      </c>
      <c r="F859" s="353">
        <v>0</v>
      </c>
      <c r="G859" s="353">
        <v>0</v>
      </c>
      <c r="H859" s="353">
        <v>0</v>
      </c>
      <c r="I859" s="353"/>
      <c r="J859" s="353"/>
    </row>
    <row r="860" spans="2:10">
      <c r="B860" s="347" t="s">
        <v>709</v>
      </c>
      <c r="C860" s="356" t="s">
        <v>715</v>
      </c>
      <c r="D860" s="353">
        <v>0.4375</v>
      </c>
      <c r="E860" s="346" t="s">
        <v>711</v>
      </c>
      <c r="F860" s="353">
        <v>0</v>
      </c>
      <c r="G860" s="353">
        <v>0</v>
      </c>
      <c r="H860" s="353">
        <v>0</v>
      </c>
      <c r="I860" s="353"/>
      <c r="J860" s="353"/>
    </row>
    <row r="861" spans="2:10" ht="15" thickBot="1">
      <c r="B861" s="349" t="s">
        <v>719</v>
      </c>
      <c r="C861" s="345" t="s">
        <v>715</v>
      </c>
      <c r="D861" s="357">
        <v>0.58333333333333337</v>
      </c>
      <c r="E861" s="350" t="s">
        <v>711</v>
      </c>
      <c r="F861" s="357">
        <v>0</v>
      </c>
      <c r="G861" s="357">
        <v>0</v>
      </c>
      <c r="H861" s="357">
        <v>0</v>
      </c>
      <c r="I861" s="353"/>
      <c r="J861" s="353"/>
    </row>
    <row r="862" spans="2:10" ht="15" thickTop="1">
      <c r="B862" s="2127" t="s">
        <v>656</v>
      </c>
      <c r="C862" s="2127"/>
      <c r="D862" s="2127"/>
      <c r="E862" s="302"/>
      <c r="F862" s="302"/>
      <c r="G862" s="302"/>
      <c r="H862" s="302"/>
      <c r="I862" s="302"/>
      <c r="J862" s="302"/>
    </row>
    <row r="863" spans="2:10">
      <c r="B863" s="2136" t="s">
        <v>720</v>
      </c>
      <c r="C863" s="2136"/>
      <c r="D863" s="2136"/>
      <c r="E863" s="2136"/>
      <c r="F863" s="2136"/>
      <c r="G863" s="2136"/>
      <c r="H863" s="2136"/>
      <c r="I863" s="2136"/>
      <c r="J863" s="2136"/>
    </row>
    <row r="864" spans="2:10">
      <c r="B864" s="302"/>
      <c r="C864" s="302"/>
      <c r="D864" s="302"/>
      <c r="E864" s="302"/>
      <c r="F864" s="302"/>
      <c r="G864" s="302"/>
      <c r="H864" s="302"/>
      <c r="I864" s="302"/>
      <c r="J864" s="302"/>
    </row>
    <row r="865" spans="2:10">
      <c r="B865" s="2100" t="s">
        <v>76</v>
      </c>
      <c r="C865" s="2100"/>
      <c r="D865" s="2100"/>
      <c r="E865" s="2100"/>
      <c r="F865" s="2100"/>
      <c r="G865" s="2100"/>
      <c r="H865" s="2100"/>
      <c r="I865" s="2100"/>
      <c r="J865" s="2100"/>
    </row>
    <row r="866" spans="2:10">
      <c r="B866" s="12" t="s">
        <v>75</v>
      </c>
      <c r="C866" s="302"/>
      <c r="D866" s="302"/>
      <c r="E866" s="302"/>
      <c r="F866" s="302"/>
      <c r="G866" s="302"/>
      <c r="H866" s="302"/>
      <c r="I866" s="302"/>
      <c r="J866" s="302"/>
    </row>
    <row r="867" spans="2:10">
      <c r="B867" s="302"/>
      <c r="C867" s="302"/>
      <c r="D867" s="302"/>
      <c r="E867" s="302"/>
      <c r="F867" s="302"/>
      <c r="G867" s="302"/>
      <c r="H867" s="302"/>
      <c r="I867" s="302"/>
      <c r="J867" s="302"/>
    </row>
    <row r="868" spans="2:10" ht="25">
      <c r="B868" s="358" t="s">
        <v>11</v>
      </c>
      <c r="C868" s="359" t="s">
        <v>24</v>
      </c>
      <c r="D868" s="359" t="s">
        <v>74</v>
      </c>
      <c r="E868" s="359" t="s">
        <v>73</v>
      </c>
      <c r="F868" s="359" t="s">
        <v>72</v>
      </c>
      <c r="G868" s="359" t="s">
        <v>71</v>
      </c>
      <c r="H868" s="302"/>
      <c r="I868" s="302"/>
      <c r="J868" s="302"/>
    </row>
    <row r="869" spans="2:10" ht="15" thickBot="1">
      <c r="B869" s="360" t="s">
        <v>486</v>
      </c>
      <c r="C869" s="361">
        <v>0</v>
      </c>
      <c r="D869" s="361">
        <v>0</v>
      </c>
      <c r="E869" s="361">
        <v>0</v>
      </c>
      <c r="F869" s="361">
        <v>0</v>
      </c>
      <c r="G869" s="362">
        <v>0</v>
      </c>
      <c r="H869" s="363"/>
      <c r="I869" s="363"/>
      <c r="J869" s="363"/>
    </row>
    <row r="870" spans="2:10" ht="15" thickTop="1">
      <c r="B870" s="2127" t="s">
        <v>656</v>
      </c>
      <c r="C870" s="2127"/>
      <c r="D870" s="2127"/>
      <c r="E870" s="302"/>
      <c r="F870" s="302"/>
      <c r="G870" s="302"/>
      <c r="H870" s="302"/>
      <c r="I870" s="302"/>
      <c r="J870" s="302"/>
    </row>
    <row r="871" spans="2:10">
      <c r="B871" s="364"/>
      <c r="C871" s="364"/>
      <c r="D871" s="364"/>
      <c r="E871" s="302"/>
      <c r="F871" s="302"/>
      <c r="G871" s="302"/>
      <c r="H871" s="302"/>
      <c r="I871" s="302"/>
      <c r="J871" s="302"/>
    </row>
    <row r="872" spans="2:10">
      <c r="B872" s="2100" t="s">
        <v>52</v>
      </c>
      <c r="C872" s="2100"/>
      <c r="D872" s="2100"/>
      <c r="E872" s="2100"/>
      <c r="F872" s="2100"/>
      <c r="G872" s="2100"/>
      <c r="H872" s="2100"/>
      <c r="I872" s="2100"/>
      <c r="J872" s="2100"/>
    </row>
    <row r="873" spans="2:10">
      <c r="B873" s="12" t="s">
        <v>51</v>
      </c>
      <c r="C873" s="302"/>
      <c r="D873" s="302"/>
      <c r="E873" s="302"/>
      <c r="F873" s="302"/>
      <c r="G873" s="302"/>
      <c r="H873" s="302"/>
      <c r="I873" s="302"/>
      <c r="J873" s="302"/>
    </row>
    <row r="874" spans="2:10">
      <c r="B874" s="302"/>
      <c r="C874" s="302"/>
      <c r="D874" s="302"/>
      <c r="E874" s="302"/>
      <c r="F874" s="302"/>
      <c r="G874" s="302"/>
      <c r="H874" s="302"/>
      <c r="I874" s="302"/>
      <c r="J874" s="302"/>
    </row>
    <row r="875" spans="2:10">
      <c r="B875" s="2109" t="s">
        <v>38</v>
      </c>
      <c r="C875" s="2111" t="s">
        <v>530</v>
      </c>
      <c r="D875" s="2111" t="s">
        <v>24</v>
      </c>
      <c r="E875" s="2111" t="s">
        <v>50</v>
      </c>
      <c r="F875" s="2111" t="s">
        <v>49</v>
      </c>
      <c r="G875" s="2111" t="s">
        <v>48</v>
      </c>
      <c r="H875" s="2111" t="s">
        <v>47</v>
      </c>
      <c r="I875" s="2113"/>
      <c r="J875" s="2113"/>
    </row>
    <row r="876" spans="2:10">
      <c r="B876" s="2110"/>
      <c r="C876" s="2110"/>
      <c r="D876" s="2110"/>
      <c r="E876" s="2110"/>
      <c r="F876" s="2110"/>
      <c r="G876" s="2110"/>
      <c r="H876" s="2110"/>
      <c r="I876" s="2114"/>
      <c r="J876" s="2114"/>
    </row>
    <row r="877" spans="2:10" ht="15" thickBot="1">
      <c r="B877" s="360" t="s">
        <v>486</v>
      </c>
      <c r="C877" s="365">
        <v>0</v>
      </c>
      <c r="D877" s="362">
        <v>0</v>
      </c>
      <c r="E877" s="362">
        <v>0</v>
      </c>
      <c r="F877" s="362">
        <v>0</v>
      </c>
      <c r="G877" s="362">
        <v>0</v>
      </c>
      <c r="H877" s="362">
        <v>0</v>
      </c>
      <c r="I877" s="239"/>
      <c r="J877" s="239"/>
    </row>
    <row r="878" spans="2:10" ht="15" thickTop="1">
      <c r="B878" s="302"/>
      <c r="C878" s="366"/>
      <c r="D878" s="366"/>
      <c r="E878" s="366"/>
      <c r="F878" s="366"/>
      <c r="G878" s="366"/>
      <c r="H878" s="366"/>
      <c r="I878" s="366"/>
      <c r="J878" s="366"/>
    </row>
    <row r="879" spans="2:10">
      <c r="B879" s="2109" t="s">
        <v>38</v>
      </c>
      <c r="C879" s="2109" t="s">
        <v>538</v>
      </c>
      <c r="D879" s="2111" t="s">
        <v>37</v>
      </c>
      <c r="E879" s="2111" t="s">
        <v>8</v>
      </c>
      <c r="F879" s="2111" t="s">
        <v>36</v>
      </c>
      <c r="G879" s="366"/>
      <c r="H879" s="366"/>
      <c r="I879" s="366"/>
      <c r="J879" s="366"/>
    </row>
    <row r="880" spans="2:10">
      <c r="B880" s="2110"/>
      <c r="C880" s="2110"/>
      <c r="D880" s="2110"/>
      <c r="E880" s="2110"/>
      <c r="F880" s="2110"/>
      <c r="G880" s="366"/>
      <c r="H880" s="366"/>
      <c r="I880" s="366"/>
      <c r="J880" s="366"/>
    </row>
    <row r="881" spans="2:10" ht="15" thickBot="1">
      <c r="B881" s="360" t="s">
        <v>486</v>
      </c>
      <c r="C881" s="365">
        <v>0</v>
      </c>
      <c r="D881" s="362">
        <v>0</v>
      </c>
      <c r="E881" s="362">
        <v>0</v>
      </c>
      <c r="F881" s="362">
        <v>0</v>
      </c>
      <c r="G881" s="366"/>
      <c r="H881" s="366"/>
      <c r="I881" s="366"/>
      <c r="J881" s="366"/>
    </row>
    <row r="882" spans="2:10" ht="15" thickTop="1">
      <c r="B882" s="2127" t="s">
        <v>656</v>
      </c>
      <c r="C882" s="2127"/>
      <c r="D882" s="2127"/>
      <c r="E882" s="302"/>
      <c r="F882" s="302"/>
      <c r="G882" s="302"/>
      <c r="H882" s="302"/>
      <c r="I882" s="302"/>
      <c r="J882" s="302"/>
    </row>
    <row r="883" spans="2:10">
      <c r="B883" s="367"/>
      <c r="C883" s="302"/>
      <c r="D883" s="302"/>
      <c r="E883" s="302"/>
      <c r="F883" s="302"/>
      <c r="G883" s="302"/>
      <c r="H883" s="302"/>
      <c r="I883" s="302"/>
      <c r="J883" s="302"/>
    </row>
    <row r="884" spans="2:10">
      <c r="B884" s="2100" t="s">
        <v>26</v>
      </c>
      <c r="C884" s="2100"/>
      <c r="D884" s="2100"/>
      <c r="E884" s="2100"/>
      <c r="F884" s="2100"/>
      <c r="G884" s="2100"/>
      <c r="H884" s="2100"/>
      <c r="I884" s="2100"/>
      <c r="J884" s="2100"/>
    </row>
    <row r="885" spans="2:10">
      <c r="B885" s="12" t="s">
        <v>25</v>
      </c>
      <c r="C885" s="302"/>
      <c r="D885" s="302"/>
      <c r="E885" s="302"/>
      <c r="F885" s="302"/>
      <c r="G885" s="302"/>
      <c r="H885" s="302"/>
      <c r="I885" s="302"/>
      <c r="J885" s="302"/>
    </row>
    <row r="886" spans="2:10">
      <c r="B886" s="302"/>
      <c r="C886" s="302"/>
      <c r="D886" s="302"/>
      <c r="E886" s="302"/>
      <c r="F886" s="302"/>
      <c r="G886" s="302"/>
      <c r="H886" s="302"/>
      <c r="I886" s="302"/>
      <c r="J886" s="302"/>
    </row>
    <row r="887" spans="2:10">
      <c r="B887" s="2109" t="s">
        <v>11</v>
      </c>
      <c r="C887" s="2111" t="s">
        <v>541</v>
      </c>
      <c r="D887" s="2111" t="s">
        <v>24</v>
      </c>
      <c r="E887" s="2111" t="s">
        <v>23</v>
      </c>
      <c r="F887" s="2111" t="s">
        <v>22</v>
      </c>
      <c r="G887" s="2111" t="s">
        <v>21</v>
      </c>
      <c r="H887" s="2111" t="s">
        <v>20</v>
      </c>
      <c r="I887" s="2113"/>
      <c r="J887" s="2113"/>
    </row>
    <row r="888" spans="2:10">
      <c r="B888" s="2110"/>
      <c r="C888" s="2110"/>
      <c r="D888" s="2110"/>
      <c r="E888" s="2110"/>
      <c r="F888" s="2110"/>
      <c r="G888" s="2110"/>
      <c r="H888" s="2110"/>
      <c r="I888" s="2114"/>
      <c r="J888" s="2114"/>
    </row>
    <row r="889" spans="2:10" ht="24.5" thickBot="1">
      <c r="B889" s="349" t="s">
        <v>700</v>
      </c>
      <c r="C889" s="368" t="s">
        <v>721</v>
      </c>
      <c r="D889" s="255" t="s">
        <v>722</v>
      </c>
      <c r="E889" s="255" t="s">
        <v>689</v>
      </c>
      <c r="F889" s="369" t="s">
        <v>90</v>
      </c>
      <c r="G889" s="255" t="s">
        <v>723</v>
      </c>
      <c r="H889" s="255" t="s">
        <v>724</v>
      </c>
      <c r="I889" s="240"/>
      <c r="J889" s="240"/>
    </row>
    <row r="890" spans="2:10" ht="15" thickTop="1">
      <c r="B890" s="302"/>
      <c r="C890" s="302"/>
      <c r="D890" s="302"/>
      <c r="E890" s="302"/>
      <c r="F890" s="302"/>
      <c r="G890" s="302"/>
      <c r="H890" s="302"/>
      <c r="I890" s="302"/>
      <c r="J890" s="302"/>
    </row>
    <row r="891" spans="2:10">
      <c r="B891" s="2109" t="s">
        <v>11</v>
      </c>
      <c r="C891" s="2109" t="s">
        <v>546</v>
      </c>
      <c r="D891" s="2111" t="s">
        <v>10</v>
      </c>
      <c r="E891" s="2111" t="s">
        <v>9</v>
      </c>
      <c r="F891" s="2111" t="s">
        <v>8</v>
      </c>
      <c r="G891" s="2113"/>
      <c r="H891" s="2113"/>
      <c r="I891" s="2113"/>
      <c r="J891" s="2113"/>
    </row>
    <row r="892" spans="2:10">
      <c r="B892" s="2110"/>
      <c r="C892" s="2110"/>
      <c r="D892" s="2110"/>
      <c r="E892" s="2110"/>
      <c r="F892" s="2110"/>
      <c r="G892" s="2114"/>
      <c r="H892" s="2114"/>
      <c r="I892" s="2114"/>
      <c r="J892" s="2114"/>
    </row>
    <row r="893" spans="2:10" ht="15" thickBot="1">
      <c r="B893" s="349" t="s">
        <v>700</v>
      </c>
      <c r="C893" s="255" t="s">
        <v>547</v>
      </c>
      <c r="D893" s="255" t="s">
        <v>3</v>
      </c>
      <c r="E893" s="255" t="s">
        <v>725</v>
      </c>
      <c r="F893" s="257" t="s">
        <v>1</v>
      </c>
      <c r="G893" s="240"/>
      <c r="H893" s="240"/>
      <c r="I893" s="240"/>
      <c r="J893" s="240"/>
    </row>
    <row r="894" spans="2:10" ht="15" thickTop="1">
      <c r="B894" s="370" t="s">
        <v>726</v>
      </c>
      <c r="C894" s="240"/>
      <c r="D894" s="240"/>
      <c r="E894" s="240"/>
      <c r="F894" s="371"/>
      <c r="G894" s="240"/>
      <c r="H894" s="240"/>
      <c r="I894" s="240"/>
      <c r="J894" s="240"/>
    </row>
    <row r="895" spans="2:10">
      <c r="B895" s="2136" t="s">
        <v>727</v>
      </c>
      <c r="C895" s="2136"/>
      <c r="D895" s="2136"/>
      <c r="E895" s="2136"/>
      <c r="F895" s="2136"/>
      <c r="G895" s="2136"/>
      <c r="H895" s="2136"/>
      <c r="I895" s="2136"/>
      <c r="J895" s="2136"/>
    </row>
    <row r="896" spans="2:10">
      <c r="B896" s="302"/>
      <c r="C896" s="302"/>
      <c r="D896" s="302"/>
      <c r="E896" s="302"/>
      <c r="F896" s="302"/>
      <c r="G896" s="302"/>
      <c r="H896" s="302"/>
      <c r="I896" s="302"/>
      <c r="J896" s="302"/>
    </row>
  </sheetData>
  <mergeCells count="127">
    <mergeCell ref="B2:J2"/>
    <mergeCell ref="B13:J13"/>
    <mergeCell ref="B14:J14"/>
    <mergeCell ref="B15:J15"/>
    <mergeCell ref="B31:J31"/>
    <mergeCell ref="B33:J33"/>
    <mergeCell ref="B90:J90"/>
    <mergeCell ref="B123:J123"/>
    <mergeCell ref="B124:J124"/>
    <mergeCell ref="B126:J126"/>
    <mergeCell ref="B158:J158"/>
    <mergeCell ref="B159:J159"/>
    <mergeCell ref="B34:J34"/>
    <mergeCell ref="B49:J49"/>
    <mergeCell ref="B50:J50"/>
    <mergeCell ref="B52:J52"/>
    <mergeCell ref="B87:J87"/>
    <mergeCell ref="B88:J88"/>
    <mergeCell ref="B365:J365"/>
    <mergeCell ref="B366:J370"/>
    <mergeCell ref="B372:J372"/>
    <mergeCell ref="B435:J435"/>
    <mergeCell ref="B436:J436"/>
    <mergeCell ref="B438:J438"/>
    <mergeCell ref="B161:J161"/>
    <mergeCell ref="B226:J226"/>
    <mergeCell ref="B227:J227"/>
    <mergeCell ref="B229:J229"/>
    <mergeCell ref="B294:J294"/>
    <mergeCell ref="B296:J296"/>
    <mergeCell ref="B542:J542"/>
    <mergeCell ref="B545:J545"/>
    <mergeCell ref="B552:J552"/>
    <mergeCell ref="B553:J553"/>
    <mergeCell ref="B555:J555"/>
    <mergeCell ref="B575:J575"/>
    <mergeCell ref="B501:J501"/>
    <mergeCell ref="B502:J502"/>
    <mergeCell ref="B504:J504"/>
    <mergeCell ref="B527:J527"/>
    <mergeCell ref="B528:J528"/>
    <mergeCell ref="B530:J530"/>
    <mergeCell ref="B625:J625"/>
    <mergeCell ref="B627:J627"/>
    <mergeCell ref="B673:J673"/>
    <mergeCell ref="B674:J674"/>
    <mergeCell ref="B676:J676"/>
    <mergeCell ref="B723:J723"/>
    <mergeCell ref="B576:J576"/>
    <mergeCell ref="B578:J578"/>
    <mergeCell ref="B598:J598"/>
    <mergeCell ref="B599:J599"/>
    <mergeCell ref="B601:J601"/>
    <mergeCell ref="B624:J624"/>
    <mergeCell ref="B768:J768"/>
    <mergeCell ref="B770:J770"/>
    <mergeCell ref="B782:J782"/>
    <mergeCell ref="B783:J783"/>
    <mergeCell ref="B785:J785"/>
    <mergeCell ref="B806:J806"/>
    <mergeCell ref="B724:J724"/>
    <mergeCell ref="B726:J726"/>
    <mergeCell ref="B752:J752"/>
    <mergeCell ref="B753:J753"/>
    <mergeCell ref="B755:J755"/>
    <mergeCell ref="B767:J767"/>
    <mergeCell ref="B807:J807"/>
    <mergeCell ref="B809:J809"/>
    <mergeCell ref="B830:J830"/>
    <mergeCell ref="B831:J831"/>
    <mergeCell ref="B833:J833"/>
    <mergeCell ref="B836:B837"/>
    <mergeCell ref="C836:C837"/>
    <mergeCell ref="D836:D837"/>
    <mergeCell ref="E836:E837"/>
    <mergeCell ref="F836:F837"/>
    <mergeCell ref="G850:H850"/>
    <mergeCell ref="B862:D862"/>
    <mergeCell ref="B863:J863"/>
    <mergeCell ref="B865:J865"/>
    <mergeCell ref="B870:D870"/>
    <mergeCell ref="B872:J872"/>
    <mergeCell ref="G836:G837"/>
    <mergeCell ref="H836:H837"/>
    <mergeCell ref="I836:I837"/>
    <mergeCell ref="J836:J837"/>
    <mergeCell ref="B849:D849"/>
    <mergeCell ref="B850:B851"/>
    <mergeCell ref="C850:C851"/>
    <mergeCell ref="D850:D851"/>
    <mergeCell ref="E850:E851"/>
    <mergeCell ref="F850:F851"/>
    <mergeCell ref="H875:H876"/>
    <mergeCell ref="I875:I876"/>
    <mergeCell ref="J875:J876"/>
    <mergeCell ref="B879:B880"/>
    <mergeCell ref="C879:C880"/>
    <mergeCell ref="D879:D880"/>
    <mergeCell ref="E879:E880"/>
    <mergeCell ref="F879:F880"/>
    <mergeCell ref="B875:B876"/>
    <mergeCell ref="C875:C876"/>
    <mergeCell ref="D875:D876"/>
    <mergeCell ref="E875:E876"/>
    <mergeCell ref="F875:F876"/>
    <mergeCell ref="G875:G876"/>
    <mergeCell ref="B882:D882"/>
    <mergeCell ref="B884:J884"/>
    <mergeCell ref="B887:B888"/>
    <mergeCell ref="C887:C888"/>
    <mergeCell ref="D887:D888"/>
    <mergeCell ref="E887:E888"/>
    <mergeCell ref="F887:F888"/>
    <mergeCell ref="G887:G888"/>
    <mergeCell ref="H887:H888"/>
    <mergeCell ref="I887:I888"/>
    <mergeCell ref="B895:J895"/>
    <mergeCell ref="J887:J888"/>
    <mergeCell ref="B891:B892"/>
    <mergeCell ref="C891:C892"/>
    <mergeCell ref="D891:D892"/>
    <mergeCell ref="E891:E892"/>
    <mergeCell ref="F891:F892"/>
    <mergeCell ref="G891:G892"/>
    <mergeCell ref="H891:H892"/>
    <mergeCell ref="I891:I892"/>
    <mergeCell ref="J891:J892"/>
  </mergeCells>
  <pageMargins left="0.7" right="0.7" top="0.75" bottom="0.75" header="0.3" footer="0.3"/>
  <pageSetup paperSize="9" scale="5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78302-16A1-41A9-AD73-67779A01EF23}">
  <dimension ref="B1:S1404"/>
  <sheetViews>
    <sheetView topLeftCell="A1135" zoomScale="90" zoomScaleNormal="90" zoomScaleSheetLayoutView="100" workbookViewId="0">
      <selection activeCell="B1149" sqref="B1149"/>
    </sheetView>
  </sheetViews>
  <sheetFormatPr baseColWidth="10" defaultColWidth="11.453125" defaultRowHeight="14.5"/>
  <cols>
    <col min="1" max="1" width="6" customWidth="1"/>
    <col min="2" max="2" width="35.453125" customWidth="1"/>
    <col min="3" max="3" width="11.453125" style="231"/>
    <col min="4" max="4" width="13.54296875" customWidth="1"/>
    <col min="6" max="7" width="12.81640625" bestFit="1" customWidth="1"/>
    <col min="8" max="9" width="13.81640625" customWidth="1"/>
    <col min="10" max="10" width="13.81640625" style="95" customWidth="1"/>
    <col min="11" max="11" width="7.54296875" customWidth="1"/>
    <col min="12" max="12" width="10" customWidth="1"/>
    <col min="13" max="14" width="9.1796875" customWidth="1"/>
    <col min="15" max="15" width="15.54296875" bestFit="1" customWidth="1"/>
    <col min="16" max="17" width="12.54296875" bestFit="1" customWidth="1"/>
    <col min="18" max="18" width="9.54296875" bestFit="1" customWidth="1"/>
  </cols>
  <sheetData>
    <row r="1" spans="2:19">
      <c r="B1" s="302"/>
      <c r="C1" s="339"/>
      <c r="D1" s="302"/>
      <c r="E1" s="302"/>
      <c r="F1" s="302"/>
      <c r="G1" s="302"/>
      <c r="H1" s="302"/>
      <c r="I1" s="302"/>
      <c r="J1" s="439"/>
    </row>
    <row r="2" spans="2:19">
      <c r="B2" s="2100" t="s">
        <v>464</v>
      </c>
      <c r="C2" s="2100"/>
      <c r="D2" s="2100"/>
      <c r="E2" s="2100"/>
      <c r="F2" s="2100"/>
      <c r="G2" s="2100"/>
      <c r="H2" s="2100"/>
      <c r="I2" s="2100"/>
      <c r="J2" s="2100"/>
    </row>
    <row r="3" spans="2:19">
      <c r="B3" s="12" t="s">
        <v>463</v>
      </c>
      <c r="C3" s="339"/>
      <c r="D3" s="302"/>
      <c r="E3" s="302"/>
      <c r="F3" s="302"/>
      <c r="G3" s="302"/>
      <c r="H3" s="302"/>
      <c r="I3" s="302"/>
      <c r="J3" s="439"/>
    </row>
    <row r="4" spans="2:19">
      <c r="B4" s="76"/>
      <c r="C4" s="339"/>
      <c r="D4" s="302"/>
      <c r="E4" s="302"/>
      <c r="F4" s="302"/>
      <c r="G4" s="302"/>
      <c r="H4" s="302"/>
      <c r="I4" s="302"/>
      <c r="J4" s="439"/>
    </row>
    <row r="5" spans="2:19">
      <c r="B5" s="61"/>
      <c r="C5" s="1536">
        <v>2014</v>
      </c>
      <c r="D5" s="303">
        <v>2015</v>
      </c>
      <c r="E5" s="303">
        <v>2016</v>
      </c>
      <c r="F5" s="303">
        <v>2017</v>
      </c>
      <c r="G5" s="303">
        <v>2018</v>
      </c>
      <c r="H5" s="303">
        <v>2019</v>
      </c>
      <c r="I5" s="303">
        <v>2020</v>
      </c>
      <c r="J5" s="303">
        <v>2021</v>
      </c>
    </row>
    <row r="6" spans="2:19">
      <c r="B6" s="64" t="s">
        <v>465</v>
      </c>
      <c r="C6" s="1537">
        <v>6657.2320000000009</v>
      </c>
      <c r="D6" s="882">
        <v>6755.7559949786619</v>
      </c>
      <c r="E6" s="882">
        <v>6854.5360000000001</v>
      </c>
      <c r="F6" s="882">
        <v>6953.6459999999997</v>
      </c>
      <c r="G6" s="882">
        <v>7052.9830000000002</v>
      </c>
      <c r="H6" s="882">
        <v>7152.702731600586</v>
      </c>
      <c r="I6" s="882">
        <v>7252.6719692993802</v>
      </c>
      <c r="J6" s="882">
        <v>7353.0382113138967</v>
      </c>
      <c r="L6" s="882"/>
    </row>
    <row r="7" spans="2:19">
      <c r="B7" s="64" t="s">
        <v>461</v>
      </c>
      <c r="C7" s="1537">
        <v>38825.14780917194</v>
      </c>
      <c r="D7" s="1537">
        <v>32496.707175037627</v>
      </c>
      <c r="E7" s="1537">
        <v>35533.790641292035</v>
      </c>
      <c r="F7" s="1537">
        <v>39269.436431169153</v>
      </c>
      <c r="G7" s="1537">
        <v>38686.419693230579</v>
      </c>
      <c r="H7" s="1537">
        <v>36720.674605283501</v>
      </c>
      <c r="I7" s="1537">
        <v>35044.76023039798</v>
      </c>
      <c r="J7" s="95">
        <v>36957.202228146591</v>
      </c>
      <c r="L7" s="1538"/>
      <c r="M7" s="1538"/>
      <c r="N7" s="1538"/>
      <c r="O7" s="1538"/>
      <c r="P7" s="1538"/>
      <c r="Q7" s="1538"/>
      <c r="R7" s="1538"/>
    </row>
    <row r="8" spans="2:19">
      <c r="B8" s="64" t="s">
        <v>460</v>
      </c>
      <c r="C8" s="1537">
        <v>5832.0256540814462</v>
      </c>
      <c r="D8" s="1537">
        <v>4810.2251175429355</v>
      </c>
      <c r="E8" s="1537">
        <v>5183.981912312086</v>
      </c>
      <c r="F8" s="1537">
        <v>5647.316016830473</v>
      </c>
      <c r="G8" s="1537">
        <v>5485.1145526978553</v>
      </c>
      <c r="H8" s="1537">
        <v>5133.8180801296048</v>
      </c>
      <c r="I8" s="1537">
        <v>4831.9792179685965</v>
      </c>
      <c r="J8" s="95">
        <v>5026.1131747257432</v>
      </c>
      <c r="L8" s="1388"/>
      <c r="M8" s="1388"/>
      <c r="N8" s="1388"/>
      <c r="O8" s="1388"/>
      <c r="P8" s="1388"/>
      <c r="Q8" s="1388"/>
      <c r="R8" s="1388"/>
      <c r="S8" s="1388"/>
    </row>
    <row r="9" spans="2:19">
      <c r="B9" s="64" t="s">
        <v>466</v>
      </c>
      <c r="C9" s="1539">
        <v>4.213694507148233</v>
      </c>
      <c r="D9" s="1540">
        <v>3.1046931407942253</v>
      </c>
      <c r="E9" s="1540">
        <v>3.9215686274509665</v>
      </c>
      <c r="F9" s="1540">
        <v>4.5148247978436586</v>
      </c>
      <c r="G9" s="1540">
        <v>3.2000000000000028</v>
      </c>
      <c r="H9" s="1540">
        <v>2.8100775193798313</v>
      </c>
      <c r="I9" s="1540">
        <v>2.1677662582469566</v>
      </c>
      <c r="J9" s="1540">
        <v>6.8265682656826385</v>
      </c>
      <c r="L9" s="1540"/>
      <c r="M9" s="1540"/>
      <c r="N9" s="1540"/>
      <c r="O9" s="1540"/>
      <c r="P9" s="1540"/>
      <c r="Q9" s="1540"/>
      <c r="R9" s="1540"/>
    </row>
    <row r="10" spans="2:19">
      <c r="B10" s="64" t="s">
        <v>467</v>
      </c>
      <c r="C10" s="1537"/>
      <c r="D10" s="1537"/>
      <c r="E10" s="1537"/>
      <c r="F10" s="1537"/>
      <c r="G10" s="1537"/>
      <c r="H10" s="1537"/>
      <c r="I10" s="1537"/>
      <c r="J10" s="1540"/>
    </row>
    <row r="11" spans="2:19">
      <c r="B11" s="190" t="s">
        <v>468</v>
      </c>
      <c r="C11" s="1537">
        <v>4629</v>
      </c>
      <c r="D11" s="1388">
        <v>5799.89</v>
      </c>
      <c r="E11" s="1388">
        <v>5759.23</v>
      </c>
      <c r="F11" s="1388">
        <v>5579.97</v>
      </c>
      <c r="G11" s="1388">
        <v>5960.14</v>
      </c>
      <c r="H11" s="1388">
        <v>6442.33</v>
      </c>
      <c r="I11" s="1388">
        <v>6891.96</v>
      </c>
      <c r="J11" s="1388">
        <v>7322.9</v>
      </c>
    </row>
    <row r="12" spans="2:19" ht="15" thickBot="1">
      <c r="B12" s="196" t="s">
        <v>456</v>
      </c>
      <c r="C12" s="1537">
        <v>4119.833333333333</v>
      </c>
      <c r="D12" s="1541">
        <v>5802.4785714285717</v>
      </c>
      <c r="E12" s="1541">
        <v>5785.8933333333343</v>
      </c>
      <c r="F12" s="1541">
        <v>5630.7594444444439</v>
      </c>
      <c r="G12" s="1541">
        <v>5927.6755263157902</v>
      </c>
      <c r="H12" s="1541">
        <v>6449.6112499999999</v>
      </c>
      <c r="I12" s="1541">
        <v>7031.8280952380956</v>
      </c>
      <c r="J12" s="1541">
        <v>6815.5428571428565</v>
      </c>
    </row>
    <row r="13" spans="2:19" ht="15" thickTop="1">
      <c r="B13" s="2137" t="s">
        <v>2001</v>
      </c>
      <c r="C13" s="2137"/>
      <c r="D13" s="2137"/>
      <c r="E13" s="2137"/>
      <c r="F13" s="2137"/>
      <c r="G13" s="2137"/>
      <c r="H13" s="2137"/>
      <c r="I13" s="2137"/>
      <c r="J13" s="2137"/>
    </row>
    <row r="14" spans="2:19">
      <c r="B14" s="2066" t="s">
        <v>2002</v>
      </c>
      <c r="C14" s="2066"/>
      <c r="D14" s="2066"/>
      <c r="E14" s="2066"/>
      <c r="F14" s="2066"/>
      <c r="G14" s="2066"/>
      <c r="H14" s="2066"/>
      <c r="I14" s="2066"/>
      <c r="J14" s="2066"/>
    </row>
    <row r="15" spans="2:19">
      <c r="B15" s="64"/>
      <c r="C15" s="339"/>
      <c r="D15" s="302"/>
      <c r="E15" s="302"/>
      <c r="F15" s="302"/>
      <c r="G15" s="302"/>
      <c r="H15" s="302"/>
      <c r="I15" s="302"/>
      <c r="J15" s="439"/>
    </row>
    <row r="16" spans="2:19">
      <c r="B16" s="2100" t="s">
        <v>454</v>
      </c>
      <c r="C16" s="2100"/>
      <c r="D16" s="2100"/>
      <c r="E16" s="2100"/>
      <c r="F16" s="2100"/>
      <c r="G16" s="2100"/>
      <c r="H16" s="2100"/>
      <c r="I16" s="2100"/>
      <c r="J16" s="2100"/>
    </row>
    <row r="17" spans="2:12" ht="15.5">
      <c r="B17" s="934" t="s">
        <v>453</v>
      </c>
      <c r="C17" s="339"/>
      <c r="D17" s="302"/>
      <c r="E17" s="302"/>
      <c r="F17" s="302"/>
      <c r="G17" s="302"/>
      <c r="H17" s="302"/>
      <c r="I17" s="302"/>
      <c r="J17" s="439"/>
    </row>
    <row r="18" spans="2:12">
      <c r="B18" s="62" t="s">
        <v>242</v>
      </c>
      <c r="C18" s="339"/>
      <c r="D18" s="302"/>
      <c r="E18" s="302"/>
      <c r="F18" s="302"/>
      <c r="G18" s="302"/>
      <c r="H18" s="302"/>
      <c r="I18" s="302"/>
      <c r="J18" s="439"/>
    </row>
    <row r="19" spans="2:12">
      <c r="B19" s="61"/>
      <c r="C19" s="1536">
        <v>2014</v>
      </c>
      <c r="D19" s="303">
        <v>2015</v>
      </c>
      <c r="E19" s="303">
        <v>2016</v>
      </c>
      <c r="F19" s="303">
        <v>2017</v>
      </c>
      <c r="G19" s="303">
        <v>2018</v>
      </c>
      <c r="H19" s="303">
        <v>2019</v>
      </c>
      <c r="I19" s="303">
        <v>2020</v>
      </c>
      <c r="J19" s="303">
        <v>2021</v>
      </c>
    </row>
    <row r="20" spans="2:12" ht="25">
      <c r="B20" s="197" t="s">
        <v>413</v>
      </c>
      <c r="C20" s="306">
        <v>0</v>
      </c>
      <c r="D20" s="304">
        <v>1493.3118362613741</v>
      </c>
      <c r="E20" s="304">
        <v>1608.5175118629852</v>
      </c>
      <c r="F20" s="304">
        <v>1893.5761531622929</v>
      </c>
      <c r="G20" s="304">
        <v>1864.424120757566</v>
      </c>
      <c r="H20" s="304">
        <v>1780.0460826859226</v>
      </c>
      <c r="I20" s="304">
        <v>2031.4783130491764</v>
      </c>
      <c r="J20" s="1540">
        <v>2007.1071896379851</v>
      </c>
      <c r="L20" s="1540"/>
    </row>
    <row r="21" spans="2:12">
      <c r="B21" s="197" t="s">
        <v>452</v>
      </c>
      <c r="C21" s="306">
        <v>0</v>
      </c>
      <c r="D21" s="304">
        <v>4536.962953629165</v>
      </c>
      <c r="E21" s="304">
        <v>4732.3650012243361</v>
      </c>
      <c r="F21" s="304">
        <v>5532.5579690557061</v>
      </c>
      <c r="G21" s="304">
        <v>5361.3799249099147</v>
      </c>
      <c r="H21" s="304">
        <v>5350.5920640181857</v>
      </c>
      <c r="I21" s="304">
        <v>6499.5359108102293</v>
      </c>
      <c r="J21" s="1540">
        <v>7167.6487355718882</v>
      </c>
      <c r="L21" s="1540"/>
    </row>
    <row r="22" spans="2:12">
      <c r="B22" s="194" t="s">
        <v>379</v>
      </c>
      <c r="C22" s="306"/>
      <c r="D22" s="304"/>
      <c r="E22" s="304"/>
      <c r="F22" s="304"/>
      <c r="G22" s="304"/>
      <c r="H22" s="304"/>
      <c r="I22" s="304"/>
      <c r="J22" s="1540"/>
      <c r="L22" s="1540"/>
    </row>
    <row r="23" spans="2:12">
      <c r="B23" s="198" t="s">
        <v>451</v>
      </c>
      <c r="C23" s="306">
        <v>0</v>
      </c>
      <c r="D23" s="304">
        <v>2482.9201292093917</v>
      </c>
      <c r="E23" s="304">
        <v>2704.0705686958258</v>
      </c>
      <c r="F23" s="304">
        <v>3306.735972039703</v>
      </c>
      <c r="G23" s="304">
        <v>3195.1545260226703</v>
      </c>
      <c r="H23" s="304">
        <v>3264.5896258157686</v>
      </c>
      <c r="I23" s="304">
        <v>3727.742175698656</v>
      </c>
      <c r="J23" s="1542">
        <v>3817.5648837209301</v>
      </c>
      <c r="L23" s="1542"/>
    </row>
    <row r="24" spans="2:12">
      <c r="B24" s="198" t="s">
        <v>450</v>
      </c>
      <c r="C24" s="306">
        <v>0</v>
      </c>
      <c r="D24" s="304">
        <v>2054.0428244197738</v>
      </c>
      <c r="E24" s="304">
        <v>2028.2944325285102</v>
      </c>
      <c r="F24" s="304">
        <v>2225.8219970160039</v>
      </c>
      <c r="G24" s="304">
        <v>2166.225398887244</v>
      </c>
      <c r="H24" s="304">
        <v>2086.0024382024176</v>
      </c>
      <c r="I24" s="304">
        <v>2771.7937351115734</v>
      </c>
      <c r="J24" s="1542">
        <v>3350.0838518509581</v>
      </c>
      <c r="L24" s="1542"/>
    </row>
    <row r="25" spans="2:12">
      <c r="B25" s="197" t="s">
        <v>449</v>
      </c>
      <c r="C25" s="306">
        <v>0</v>
      </c>
      <c r="D25" s="304">
        <v>3976.2319654707658</v>
      </c>
      <c r="E25" s="304">
        <v>4312.5880805588113</v>
      </c>
      <c r="F25" s="304">
        <v>5200.3121252019955</v>
      </c>
      <c r="G25" s="304">
        <v>5059.5786467802363</v>
      </c>
      <c r="H25" s="304">
        <v>5044.6357085016907</v>
      </c>
      <c r="I25" s="304">
        <v>5759.2204887478329</v>
      </c>
      <c r="J25" s="1540">
        <v>5824.6720732419008</v>
      </c>
      <c r="L25" s="1540"/>
    </row>
    <row r="26" spans="2:12">
      <c r="B26" s="197" t="s">
        <v>448</v>
      </c>
      <c r="C26" s="339"/>
      <c r="D26" s="302"/>
      <c r="E26" s="302"/>
      <c r="F26" s="302"/>
      <c r="G26" s="302"/>
      <c r="H26" s="302"/>
      <c r="I26" s="302"/>
      <c r="J26" s="1543"/>
    </row>
    <row r="27" spans="2:12">
      <c r="B27" s="195" t="s">
        <v>447</v>
      </c>
      <c r="C27" s="321">
        <v>0</v>
      </c>
      <c r="D27" s="321">
        <v>0</v>
      </c>
      <c r="E27" s="321">
        <v>0</v>
      </c>
      <c r="F27" s="321">
        <v>0</v>
      </c>
      <c r="G27" s="321">
        <v>0</v>
      </c>
      <c r="H27" s="321">
        <v>0</v>
      </c>
      <c r="I27" s="321">
        <v>0</v>
      </c>
      <c r="J27" s="321">
        <v>0</v>
      </c>
    </row>
    <row r="28" spans="2:12">
      <c r="B28" s="195" t="s">
        <v>445</v>
      </c>
      <c r="C28" s="321">
        <v>0</v>
      </c>
      <c r="D28" s="321">
        <v>0</v>
      </c>
      <c r="E28" s="321">
        <v>0</v>
      </c>
      <c r="F28" s="321">
        <v>0</v>
      </c>
      <c r="G28" s="321">
        <v>0</v>
      </c>
      <c r="H28" s="321">
        <v>0</v>
      </c>
      <c r="I28" s="321">
        <v>0</v>
      </c>
      <c r="J28" s="321">
        <v>0</v>
      </c>
    </row>
    <row r="29" spans="2:12">
      <c r="B29" s="195" t="s">
        <v>444</v>
      </c>
      <c r="C29" s="321">
        <v>0</v>
      </c>
      <c r="D29" s="321">
        <v>0</v>
      </c>
      <c r="E29" s="321">
        <v>0</v>
      </c>
      <c r="F29" s="321">
        <v>0</v>
      </c>
      <c r="G29" s="321">
        <v>0</v>
      </c>
      <c r="H29" s="321">
        <v>0</v>
      </c>
      <c r="I29" s="321">
        <v>0</v>
      </c>
      <c r="J29" s="321">
        <v>0</v>
      </c>
    </row>
    <row r="30" spans="2:12" ht="15" thickBot="1">
      <c r="B30" s="1544" t="s">
        <v>443</v>
      </c>
      <c r="C30" s="321">
        <v>0</v>
      </c>
      <c r="D30" s="321">
        <v>0</v>
      </c>
      <c r="E30" s="321">
        <v>0</v>
      </c>
      <c r="F30" s="321">
        <v>0</v>
      </c>
      <c r="G30" s="321">
        <v>0</v>
      </c>
      <c r="H30" s="321">
        <v>0</v>
      </c>
      <c r="I30" s="321">
        <v>0</v>
      </c>
      <c r="J30" s="321">
        <v>0</v>
      </c>
    </row>
    <row r="31" spans="2:12" ht="15.5" thickTop="1" thickBot="1">
      <c r="B31" s="2025" t="s">
        <v>2001</v>
      </c>
      <c r="C31" s="2025"/>
      <c r="D31" s="2025"/>
      <c r="E31" s="2025"/>
      <c r="F31" s="2025"/>
      <c r="G31" s="2025"/>
      <c r="H31" s="2025"/>
      <c r="I31" s="2025"/>
      <c r="J31" s="2025"/>
    </row>
    <row r="32" spans="2:12" ht="15" thickTop="1">
      <c r="B32" s="2039" t="s">
        <v>2003</v>
      </c>
      <c r="C32" s="2025"/>
      <c r="D32" s="2025"/>
      <c r="E32" s="2025"/>
      <c r="F32" s="2025"/>
      <c r="G32" s="2025"/>
      <c r="H32" s="2025"/>
      <c r="I32" s="2025"/>
      <c r="J32" s="2025"/>
    </row>
    <row r="33" spans="2:12">
      <c r="B33" s="2017"/>
      <c r="C33" s="2017"/>
      <c r="D33" s="2017"/>
      <c r="E33" s="2017"/>
      <c r="F33" s="2017"/>
      <c r="G33" s="2017"/>
      <c r="H33" s="2017"/>
      <c r="I33" s="2017"/>
      <c r="J33" s="2017"/>
    </row>
    <row r="34" spans="2:12">
      <c r="B34" s="2100" t="s">
        <v>442</v>
      </c>
      <c r="C34" s="2100"/>
      <c r="D34" s="2100"/>
      <c r="E34" s="2100"/>
      <c r="F34" s="2100"/>
      <c r="G34" s="2100"/>
      <c r="H34" s="2100"/>
      <c r="I34" s="2100"/>
      <c r="J34" s="2100"/>
    </row>
    <row r="35" spans="2:12">
      <c r="B35" s="12" t="s">
        <v>441</v>
      </c>
      <c r="C35" s="339"/>
      <c r="D35" s="302"/>
      <c r="E35" s="302"/>
      <c r="F35" s="302"/>
      <c r="G35" s="302"/>
      <c r="H35" s="302"/>
      <c r="I35" s="302"/>
      <c r="J35" s="439"/>
    </row>
    <row r="36" spans="2:12">
      <c r="B36" s="77" t="s">
        <v>242</v>
      </c>
      <c r="C36" s="339"/>
      <c r="D36" s="302"/>
      <c r="E36" s="302"/>
      <c r="F36" s="302"/>
      <c r="G36" s="302"/>
      <c r="H36" s="302"/>
      <c r="I36" s="302"/>
      <c r="J36" s="439"/>
    </row>
    <row r="37" spans="2:12">
      <c r="B37" s="64"/>
      <c r="C37" s="339"/>
      <c r="D37" s="302"/>
      <c r="E37" s="302"/>
      <c r="F37" s="302"/>
      <c r="G37" s="302"/>
      <c r="H37" s="302"/>
      <c r="I37" s="302"/>
      <c r="J37" s="439"/>
    </row>
    <row r="38" spans="2:12">
      <c r="B38" s="61"/>
      <c r="C38" s="1536">
        <v>2014</v>
      </c>
      <c r="D38" s="303">
        <v>2015</v>
      </c>
      <c r="E38" s="303">
        <v>2016</v>
      </c>
      <c r="F38" s="303">
        <v>2017</v>
      </c>
      <c r="G38" s="303">
        <v>2018</v>
      </c>
      <c r="H38" s="303">
        <v>2019</v>
      </c>
      <c r="I38" s="303">
        <v>2020</v>
      </c>
      <c r="J38" s="303">
        <v>2021</v>
      </c>
    </row>
    <row r="39" spans="2:12" ht="25">
      <c r="B39" s="197" t="s">
        <v>440</v>
      </c>
      <c r="C39" s="306">
        <v>4087.600777705768</v>
      </c>
      <c r="D39" s="304">
        <v>3469.2890727237927</v>
      </c>
      <c r="E39" s="304">
        <v>4327.3939398148714</v>
      </c>
      <c r="F39" s="304">
        <v>5126.1322193488495</v>
      </c>
      <c r="G39" s="304">
        <v>4697.0493981684995</v>
      </c>
      <c r="H39" s="304">
        <v>4596.6418981952183</v>
      </c>
      <c r="I39" s="304">
        <v>5299.7279438650257</v>
      </c>
      <c r="J39" s="304">
        <v>5354.8043807781069</v>
      </c>
      <c r="L39" s="882"/>
    </row>
    <row r="40" spans="2:12">
      <c r="B40" s="195" t="s">
        <v>470</v>
      </c>
      <c r="C40" s="306">
        <v>1927.9575625718228</v>
      </c>
      <c r="D40" s="304">
        <v>1878.3578654077921</v>
      </c>
      <c r="E40" s="304">
        <v>1876.2284194241245</v>
      </c>
      <c r="F40" s="304">
        <v>2104.4519952616233</v>
      </c>
      <c r="G40" s="304">
        <v>2059.5836674977431</v>
      </c>
      <c r="H40" s="304">
        <v>1922.5893426757091</v>
      </c>
      <c r="I40" s="304">
        <v>1209.4494164214534</v>
      </c>
      <c r="J40" s="304">
        <v>2267.7263106146474</v>
      </c>
      <c r="L40" s="882"/>
    </row>
    <row r="41" spans="2:12">
      <c r="B41" s="150" t="s">
        <v>352</v>
      </c>
      <c r="C41" s="306">
        <v>826.09750464182321</v>
      </c>
      <c r="D41" s="304">
        <v>690.26584986956641</v>
      </c>
      <c r="E41" s="304">
        <v>779.00778402668413</v>
      </c>
      <c r="F41" s="304">
        <v>940.35290512314577</v>
      </c>
      <c r="G41" s="304">
        <v>976.68326582932605</v>
      </c>
      <c r="H41" s="304">
        <v>921.99685517506862</v>
      </c>
      <c r="I41" s="304">
        <v>415.90534477855357</v>
      </c>
      <c r="J41" s="304">
        <v>828.88049816329601</v>
      </c>
      <c r="L41" s="882"/>
    </row>
    <row r="42" spans="2:12">
      <c r="B42" s="150" t="s">
        <v>351</v>
      </c>
      <c r="C42" s="306">
        <v>1101.8600579299998</v>
      </c>
      <c r="D42" s="304">
        <v>1188.0920155382257</v>
      </c>
      <c r="E42" s="304">
        <v>1097.2206353974404</v>
      </c>
      <c r="F42" s="304">
        <v>1164.0990901384773</v>
      </c>
      <c r="G42" s="304">
        <v>1082.9004016684171</v>
      </c>
      <c r="H42" s="304">
        <v>1000.5924875006403</v>
      </c>
      <c r="I42" s="304">
        <v>793.54407164289989</v>
      </c>
      <c r="J42" s="304">
        <v>1438.8458124513513</v>
      </c>
      <c r="L42" s="882"/>
    </row>
    <row r="43" spans="2:12">
      <c r="B43" s="195" t="s">
        <v>471</v>
      </c>
      <c r="C43" s="306">
        <v>426.15510909483692</v>
      </c>
      <c r="D43" s="304">
        <v>476.7574902282629</v>
      </c>
      <c r="E43" s="304">
        <v>618.78150377741474</v>
      </c>
      <c r="F43" s="304">
        <v>452.01622947793624</v>
      </c>
      <c r="G43" s="304">
        <v>388.48735096826584</v>
      </c>
      <c r="H43" s="304">
        <v>407.26507335079077</v>
      </c>
      <c r="I43" s="304">
        <v>1140.836133697816</v>
      </c>
      <c r="J43" s="304">
        <v>806.76835679853616</v>
      </c>
      <c r="L43" s="882"/>
    </row>
    <row r="44" spans="2:12">
      <c r="B44" s="150" t="s">
        <v>352</v>
      </c>
      <c r="C44" s="306">
        <v>13.227046878375459</v>
      </c>
      <c r="D44" s="304">
        <v>4.4290495164563461</v>
      </c>
      <c r="E44" s="304">
        <v>17.492095297461642</v>
      </c>
      <c r="F44" s="304">
        <v>11.809920125018593</v>
      </c>
      <c r="G44" s="304">
        <v>8.7779817252614869</v>
      </c>
      <c r="H44" s="304">
        <v>9.2013293327103707</v>
      </c>
      <c r="I44" s="304">
        <v>260.48758263251671</v>
      </c>
      <c r="J44" s="304">
        <v>65.721367217905481</v>
      </c>
      <c r="L44" s="882"/>
    </row>
    <row r="45" spans="2:12">
      <c r="B45" s="150" t="s">
        <v>351</v>
      </c>
      <c r="C45" s="306">
        <v>412.92806221646146</v>
      </c>
      <c r="D45" s="304">
        <v>472.32844071180659</v>
      </c>
      <c r="E45" s="304">
        <v>601.28940847995307</v>
      </c>
      <c r="F45" s="304">
        <v>440.20630935291763</v>
      </c>
      <c r="G45" s="304">
        <v>379.70936924300435</v>
      </c>
      <c r="H45" s="304">
        <v>398.0637440180804</v>
      </c>
      <c r="I45" s="304">
        <v>880.34855106529926</v>
      </c>
      <c r="J45" s="304">
        <v>741.04698958063068</v>
      </c>
      <c r="L45" s="882"/>
    </row>
    <row r="46" spans="2:12">
      <c r="B46" s="150"/>
      <c r="C46" s="306"/>
      <c r="D46" s="304"/>
      <c r="E46" s="304"/>
      <c r="F46" s="304"/>
      <c r="G46" s="304"/>
      <c r="H46" s="304"/>
      <c r="I46" s="304"/>
      <c r="L46" s="882"/>
    </row>
    <row r="47" spans="2:12">
      <c r="B47" s="197" t="s">
        <v>437</v>
      </c>
      <c r="C47" s="306">
        <v>11352.354936271333</v>
      </c>
      <c r="D47" s="304">
        <v>10541.304231631979</v>
      </c>
      <c r="E47" s="304">
        <v>11115.749092818865</v>
      </c>
      <c r="F47" s="304">
        <v>12437.995186354048</v>
      </c>
      <c r="G47" s="304">
        <v>12351.945759663364</v>
      </c>
      <c r="H47" s="304">
        <v>12672.309397376415</v>
      </c>
      <c r="I47" s="304">
        <v>14179.996836894004</v>
      </c>
      <c r="J47" s="304">
        <v>14474.23862131123</v>
      </c>
      <c r="L47" s="1545"/>
    </row>
    <row r="48" spans="2:12" ht="15" thickBot="1">
      <c r="B48" s="1546" t="s">
        <v>436</v>
      </c>
      <c r="C48" s="309">
        <v>212.94685677252107</v>
      </c>
      <c r="D48" s="1547">
        <v>180.5334239097638</v>
      </c>
      <c r="E48" s="1547">
        <v>197.80248401261977</v>
      </c>
      <c r="F48" s="1547">
        <v>219.12698455368039</v>
      </c>
      <c r="G48" s="1547">
        <v>197.62404909951778</v>
      </c>
      <c r="H48" s="1547">
        <v>204.66849726729305</v>
      </c>
      <c r="I48" s="1547">
        <v>317.20337900974471</v>
      </c>
      <c r="J48" s="304">
        <v>243.56102090701773</v>
      </c>
    </row>
    <row r="49" spans="2:10" ht="15" thickTop="1">
      <c r="B49" s="2025" t="s">
        <v>2001</v>
      </c>
      <c r="C49" s="2025"/>
      <c r="D49" s="2025"/>
      <c r="E49" s="2025"/>
      <c r="F49" s="2025"/>
      <c r="G49" s="2025"/>
      <c r="H49" s="2025"/>
      <c r="I49" s="2025"/>
      <c r="J49" s="2025"/>
    </row>
    <row r="50" spans="2:10">
      <c r="B50" s="2017" t="s">
        <v>2004</v>
      </c>
      <c r="C50" s="2017"/>
      <c r="D50" s="2017"/>
      <c r="E50" s="2017"/>
      <c r="F50" s="2017"/>
      <c r="G50" s="2017"/>
      <c r="H50" s="2017"/>
      <c r="I50" s="2017"/>
      <c r="J50" s="2017"/>
    </row>
    <row r="51" spans="2:10">
      <c r="B51" s="47"/>
      <c r="C51" s="1548"/>
      <c r="D51" s="47"/>
      <c r="E51" s="47"/>
      <c r="F51" s="47"/>
      <c r="G51" s="47"/>
      <c r="H51" s="47"/>
      <c r="I51" s="47"/>
      <c r="J51" s="1549"/>
    </row>
    <row r="52" spans="2:10">
      <c r="B52" s="64"/>
      <c r="C52" s="339"/>
      <c r="D52" s="302"/>
      <c r="E52" s="302"/>
      <c r="F52" s="302"/>
      <c r="G52" s="302"/>
      <c r="H52" s="302"/>
      <c r="I52" s="302"/>
      <c r="J52" s="439"/>
    </row>
    <row r="53" spans="2:10">
      <c r="B53" s="2100" t="s">
        <v>434</v>
      </c>
      <c r="C53" s="2100"/>
      <c r="D53" s="2100"/>
      <c r="E53" s="2100"/>
      <c r="F53" s="2100"/>
      <c r="G53" s="2100"/>
      <c r="H53" s="2100"/>
      <c r="I53" s="2100"/>
      <c r="J53" s="2100"/>
    </row>
    <row r="54" spans="2:10">
      <c r="B54" s="12" t="s">
        <v>433</v>
      </c>
      <c r="C54" s="339"/>
      <c r="D54" s="302"/>
      <c r="E54" s="302"/>
      <c r="F54" s="302"/>
      <c r="G54" s="302"/>
      <c r="H54" s="302"/>
      <c r="I54" s="302"/>
      <c r="J54" s="439"/>
    </row>
    <row r="55" spans="2:10">
      <c r="B55" s="62" t="s">
        <v>242</v>
      </c>
      <c r="C55" s="339"/>
      <c r="D55" s="302"/>
      <c r="E55" s="302"/>
      <c r="F55" s="302"/>
      <c r="G55" s="302"/>
      <c r="H55" s="302"/>
      <c r="I55" s="302"/>
      <c r="J55" s="439"/>
    </row>
    <row r="56" spans="2:10">
      <c r="B56" s="64"/>
      <c r="C56" s="339"/>
      <c r="D56" s="302"/>
      <c r="E56" s="302"/>
      <c r="F56" s="302"/>
      <c r="G56" s="302"/>
      <c r="H56" s="302"/>
      <c r="I56" s="302"/>
      <c r="J56" s="439"/>
    </row>
    <row r="57" spans="2:10">
      <c r="B57" s="61"/>
      <c r="C57" s="1536">
        <v>2014</v>
      </c>
      <c r="D57" s="303">
        <v>2015</v>
      </c>
      <c r="E57" s="303">
        <v>2016</v>
      </c>
      <c r="F57" s="303">
        <v>2017</v>
      </c>
      <c r="G57" s="303">
        <v>2018</v>
      </c>
      <c r="H57" s="303">
        <v>2019</v>
      </c>
      <c r="I57" s="303">
        <v>2020</v>
      </c>
      <c r="J57" s="303">
        <v>2021</v>
      </c>
    </row>
    <row r="58" spans="2:10">
      <c r="B58" s="64" t="s">
        <v>432</v>
      </c>
      <c r="C58" s="307">
        <v>2.4414408511557573E-2</v>
      </c>
      <c r="D58" s="307">
        <v>0.11425755522949572</v>
      </c>
      <c r="E58" s="307">
        <v>0.12001844309048258</v>
      </c>
      <c r="F58" s="307">
        <v>0.13797272548060294</v>
      </c>
      <c r="G58" s="307">
        <v>0.14488682312831577</v>
      </c>
      <c r="H58" s="307">
        <v>0.14656217176083811</v>
      </c>
      <c r="I58" s="306">
        <v>0.15199724084295324</v>
      </c>
      <c r="J58" s="306">
        <v>0.1561631312731295</v>
      </c>
    </row>
    <row r="59" spans="2:10">
      <c r="B59" s="62"/>
      <c r="C59" s="307"/>
      <c r="D59" s="307">
        <v>0</v>
      </c>
      <c r="E59" s="307">
        <v>0</v>
      </c>
      <c r="F59" s="307">
        <v>0</v>
      </c>
      <c r="G59" s="307">
        <v>0</v>
      </c>
      <c r="H59" s="307">
        <v>0</v>
      </c>
      <c r="I59" s="306">
        <v>0</v>
      </c>
      <c r="J59" s="306">
        <v>0</v>
      </c>
    </row>
    <row r="60" spans="2:10">
      <c r="B60" s="64" t="s">
        <v>431</v>
      </c>
      <c r="C60" s="307">
        <v>1.6107970836033703E-2</v>
      </c>
      <c r="D60" s="307">
        <v>3.6224385290065837E-2</v>
      </c>
      <c r="E60" s="307">
        <v>3.7175388723839818E-2</v>
      </c>
      <c r="F60" s="307">
        <v>4.2273701113088424E-2</v>
      </c>
      <c r="G60" s="307">
        <v>4.0958940394017589E-2</v>
      </c>
      <c r="H60" s="307">
        <v>3.9963146873879481E-2</v>
      </c>
      <c r="I60" s="306">
        <v>4.3751826330971161E-2</v>
      </c>
      <c r="J60" s="306">
        <v>4.447457141296482E-2</v>
      </c>
    </row>
    <row r="61" spans="2:10">
      <c r="B61" s="62" t="s">
        <v>277</v>
      </c>
      <c r="C61" s="307"/>
      <c r="D61" s="307">
        <v>0</v>
      </c>
      <c r="E61" s="307">
        <v>0</v>
      </c>
      <c r="F61" s="307">
        <v>0</v>
      </c>
      <c r="G61" s="307">
        <v>0</v>
      </c>
      <c r="H61" s="307">
        <v>0</v>
      </c>
      <c r="I61" s="306">
        <v>0</v>
      </c>
      <c r="J61" s="306">
        <v>0</v>
      </c>
    </row>
    <row r="62" spans="2:10">
      <c r="B62" s="1550" t="s">
        <v>2005</v>
      </c>
      <c r="C62" s="307">
        <v>6.7106928062216466E-3</v>
      </c>
      <c r="D62" s="307">
        <v>1.5070423576998875E-2</v>
      </c>
      <c r="E62" s="307">
        <v>1.6409306452425065E-2</v>
      </c>
      <c r="F62" s="307">
        <v>1.9375022804782104E-2</v>
      </c>
      <c r="G62" s="307">
        <v>1.9796788498256751E-2</v>
      </c>
      <c r="H62" s="307">
        <v>1.8648264525412388E-2</v>
      </c>
      <c r="I62" s="306">
        <v>2.0516589620369244E-2</v>
      </c>
      <c r="J62" s="306">
        <v>1.9963888213685835E-2</v>
      </c>
    </row>
    <row r="63" spans="2:10">
      <c r="B63" s="1550" t="s">
        <v>2006</v>
      </c>
      <c r="C63" s="307">
        <v>2.9163966299416721E-3</v>
      </c>
      <c r="D63" s="307">
        <v>4.3844584983508302E-3</v>
      </c>
      <c r="E63" s="307">
        <v>3.7953608381676028E-3</v>
      </c>
      <c r="F63" s="307">
        <v>4.3767421688647072E-3</v>
      </c>
      <c r="G63" s="307">
        <v>3.4149043478844451E-3</v>
      </c>
      <c r="H63" s="307">
        <v>4.1742279578972198E-3</v>
      </c>
      <c r="I63" s="306">
        <v>5.4325493763747908E-3</v>
      </c>
      <c r="J63" s="306">
        <v>6.0816086523098776E-3</v>
      </c>
    </row>
    <row r="64" spans="2:10">
      <c r="B64" s="1550" t="s">
        <v>2007</v>
      </c>
      <c r="C64" s="307">
        <v>2.7219701879455604E-3</v>
      </c>
      <c r="D64" s="307">
        <v>3.0538186069046132E-3</v>
      </c>
      <c r="E64" s="307">
        <v>3.0744554393556086E-3</v>
      </c>
      <c r="F64" s="307">
        <v>2.6027335272411859E-3</v>
      </c>
      <c r="G64" s="307">
        <v>2.2328772478498824E-3</v>
      </c>
      <c r="H64" s="307">
        <v>2.1424472201827601E-3</v>
      </c>
      <c r="I64" s="306">
        <v>2.3140109634994981E-3</v>
      </c>
      <c r="J64" s="306">
        <v>2.6396800447909983E-3</v>
      </c>
    </row>
    <row r="65" spans="2:10">
      <c r="B65" s="1550" t="s">
        <v>2008</v>
      </c>
      <c r="C65" s="307">
        <v>1.9442644199611147E-3</v>
      </c>
      <c r="D65" s="307">
        <v>3.0734215648917482E-3</v>
      </c>
      <c r="E65" s="307">
        <v>2.9795533430684311E-3</v>
      </c>
      <c r="F65" s="307">
        <v>3.5915517466939785E-3</v>
      </c>
      <c r="G65" s="307">
        <v>3.2661568352421251E-3</v>
      </c>
      <c r="H65" s="307">
        <v>3.17731317706482E-3</v>
      </c>
      <c r="I65" s="306">
        <v>3.2228193431186485E-3</v>
      </c>
      <c r="J65" s="306">
        <v>2.9738281282005764E-3</v>
      </c>
    </row>
    <row r="66" spans="2:10">
      <c r="B66" s="1550" t="s">
        <v>2009</v>
      </c>
      <c r="C66" s="307">
        <v>1.8146467919637071E-3</v>
      </c>
      <c r="D66" s="307">
        <v>3.8493711087624069E-3</v>
      </c>
      <c r="E66" s="307">
        <v>3.7136908927061438E-3</v>
      </c>
      <c r="F66" s="307">
        <v>4.5184628232768269E-3</v>
      </c>
      <c r="G66" s="307">
        <v>5.0598462452224272E-3</v>
      </c>
      <c r="H66" s="307">
        <v>4.6792365495092617E-3</v>
      </c>
      <c r="I66" s="306">
        <v>4.8389767207006424E-3</v>
      </c>
      <c r="J66" s="306">
        <v>5.0394705649401197E-3</v>
      </c>
    </row>
    <row r="67" spans="2:10">
      <c r="B67" s="1550" t="s">
        <v>2010</v>
      </c>
      <c r="C67" s="307">
        <v>0</v>
      </c>
      <c r="D67" s="307">
        <v>6.7928919341573718E-3</v>
      </c>
      <c r="E67" s="307">
        <v>7.2030217581169715E-3</v>
      </c>
      <c r="F67" s="307">
        <v>7.8091880422296173E-3</v>
      </c>
      <c r="G67" s="307">
        <v>7.1883672195619556E-3</v>
      </c>
      <c r="H67" s="307">
        <v>7.1416574438130298E-3</v>
      </c>
      <c r="I67" s="306">
        <v>7.4268803069083393E-3</v>
      </c>
      <c r="J67" s="306">
        <v>7.7760958090374041E-3</v>
      </c>
    </row>
    <row r="68" spans="2:10">
      <c r="B68" s="1550"/>
      <c r="C68" s="307"/>
      <c r="D68" s="307">
        <v>0</v>
      </c>
      <c r="E68" s="307">
        <v>0</v>
      </c>
      <c r="F68" s="307">
        <v>0</v>
      </c>
      <c r="G68" s="307">
        <v>0</v>
      </c>
      <c r="H68" s="307">
        <v>0</v>
      </c>
      <c r="I68" s="306">
        <v>0</v>
      </c>
      <c r="J68" s="306">
        <v>0</v>
      </c>
    </row>
    <row r="69" spans="2:10">
      <c r="B69" s="64" t="s">
        <v>424</v>
      </c>
      <c r="C69" s="307">
        <v>8.3064376755238711E-3</v>
      </c>
      <c r="D69" s="307">
        <v>7.8033169939429881E-2</v>
      </c>
      <c r="E69" s="307">
        <v>8.2843054366642771E-2</v>
      </c>
      <c r="F69" s="307">
        <v>9.5699024367514526E-2</v>
      </c>
      <c r="G69" s="307">
        <v>0.10392788273429818</v>
      </c>
      <c r="H69" s="307">
        <v>0.10659902488695862</v>
      </c>
      <c r="I69" s="306">
        <v>0.10824541451198207</v>
      </c>
      <c r="J69" s="306">
        <v>0.1116885598601647</v>
      </c>
    </row>
    <row r="70" spans="2:10">
      <c r="B70" s="64" t="s">
        <v>277</v>
      </c>
      <c r="C70" s="307"/>
      <c r="D70" s="307">
        <v>0</v>
      </c>
      <c r="E70" s="307">
        <v>0</v>
      </c>
      <c r="F70" s="307">
        <v>0</v>
      </c>
      <c r="G70" s="307">
        <v>0</v>
      </c>
      <c r="H70" s="158">
        <v>0</v>
      </c>
      <c r="I70" s="306">
        <v>0</v>
      </c>
      <c r="J70" s="306">
        <v>0</v>
      </c>
    </row>
    <row r="71" spans="2:10">
      <c r="B71" s="1551" t="s">
        <v>2011</v>
      </c>
      <c r="C71" s="307">
        <v>2.3953337653920929E-3</v>
      </c>
      <c r="D71" s="307">
        <v>2.0117656196927871E-2</v>
      </c>
      <c r="E71" s="307">
        <v>2.1697106731281789E-2</v>
      </c>
      <c r="F71" s="307">
        <v>2.4435348756355318E-2</v>
      </c>
      <c r="G71" s="307">
        <v>2.4273073954638649E-2</v>
      </c>
      <c r="H71" s="307">
        <v>2.5046184222168068E-2</v>
      </c>
      <c r="I71" s="306">
        <v>2.5544534065780996E-2</v>
      </c>
      <c r="J71" s="306">
        <v>2.6389612721735924E-2</v>
      </c>
    </row>
    <row r="72" spans="2:10">
      <c r="B72" s="1551" t="s">
        <v>2012</v>
      </c>
      <c r="C72" s="307">
        <v>1.5610282998487794E-3</v>
      </c>
      <c r="D72" s="307">
        <v>1.7082265008474297E-2</v>
      </c>
      <c r="E72" s="307">
        <v>1.8464964760914221E-2</v>
      </c>
      <c r="F72" s="307">
        <v>2.0842743778192355E-2</v>
      </c>
      <c r="G72" s="307">
        <v>2.3874200270463445E-2</v>
      </c>
      <c r="H72" s="307">
        <v>2.3408548149504913E-2</v>
      </c>
      <c r="I72" s="306">
        <v>2.3737789975565731E-2</v>
      </c>
      <c r="J72" s="306">
        <v>2.4901432356033811E-2</v>
      </c>
    </row>
    <row r="73" spans="2:10">
      <c r="B73" s="1551" t="s">
        <v>2013</v>
      </c>
      <c r="C73" s="307">
        <v>2.0682652840786349E-3</v>
      </c>
      <c r="D73" s="307">
        <v>2.3815797713404908E-2</v>
      </c>
      <c r="E73" s="307">
        <v>2.5393716868400813E-2</v>
      </c>
      <c r="F73" s="307">
        <v>3.1152315155816249E-2</v>
      </c>
      <c r="G73" s="307">
        <v>3.3539114517444221E-2</v>
      </c>
      <c r="H73" s="307">
        <v>3.6371146464089857E-2</v>
      </c>
      <c r="I73" s="306">
        <v>3.7613199438185939E-2</v>
      </c>
      <c r="J73" s="306">
        <v>3.8572570293189862E-2</v>
      </c>
    </row>
    <row r="74" spans="2:10">
      <c r="B74" s="1551" t="s">
        <v>2014</v>
      </c>
      <c r="C74" s="307">
        <v>2.2818103262043639E-3</v>
      </c>
      <c r="D74" s="307">
        <v>1.7017451020622805E-2</v>
      </c>
      <c r="E74" s="307">
        <v>1.7287266006045948E-2</v>
      </c>
      <c r="F74" s="307">
        <v>1.9268616677150595E-2</v>
      </c>
      <c r="G74" s="307">
        <v>2.2241493991751873E-2</v>
      </c>
      <c r="H74" s="307">
        <v>2.1773146051195763E-2</v>
      </c>
      <c r="I74" s="306">
        <v>2.1349891032449404E-2</v>
      </c>
      <c r="J74" s="306">
        <v>2.1824944489205099E-2</v>
      </c>
    </row>
    <row r="75" spans="2:10">
      <c r="B75" s="62"/>
      <c r="C75" s="307"/>
      <c r="D75" s="307"/>
      <c r="E75" s="307"/>
      <c r="F75" s="307"/>
      <c r="G75" s="307"/>
      <c r="H75" s="307"/>
      <c r="I75" s="306"/>
      <c r="J75" s="306"/>
    </row>
    <row r="76" spans="2:10" ht="25">
      <c r="B76" s="197" t="s">
        <v>414</v>
      </c>
      <c r="C76" s="307">
        <v>0</v>
      </c>
      <c r="D76" s="307">
        <v>0</v>
      </c>
      <c r="E76" s="307">
        <v>0</v>
      </c>
      <c r="F76" s="307">
        <v>6.0030432063254823E-3</v>
      </c>
      <c r="G76" s="307">
        <v>3.7195968551074301E-3</v>
      </c>
      <c r="H76" s="307">
        <v>4.9922054598258714E-3</v>
      </c>
      <c r="I76" s="306">
        <v>4.3956613213077264E-3</v>
      </c>
      <c r="J76" s="306">
        <v>3.7993166641631052E-3</v>
      </c>
    </row>
    <row r="77" spans="2:10" ht="25.5" thickBot="1">
      <c r="B77" s="208" t="s">
        <v>413</v>
      </c>
      <c r="C77" s="307">
        <v>0</v>
      </c>
      <c r="D77" s="307">
        <v>0</v>
      </c>
      <c r="E77" s="307">
        <v>0</v>
      </c>
      <c r="F77" s="857">
        <v>0.13196968227427744</v>
      </c>
      <c r="G77" s="857">
        <v>0.14116722627320835</v>
      </c>
      <c r="H77" s="857">
        <v>0.14156996630101221</v>
      </c>
      <c r="I77" s="312">
        <v>0.14760157952164552</v>
      </c>
      <c r="J77" s="312">
        <v>0.14458771879992902</v>
      </c>
    </row>
    <row r="78" spans="2:10" ht="15" thickTop="1">
      <c r="B78" s="2025" t="s">
        <v>2015</v>
      </c>
      <c r="C78" s="2025"/>
      <c r="D78" s="2025"/>
      <c r="E78" s="2025"/>
      <c r="F78" s="2025"/>
      <c r="G78" s="2025"/>
      <c r="H78" s="2025"/>
      <c r="I78" s="2025"/>
      <c r="J78" s="2025"/>
    </row>
    <row r="79" spans="2:10">
      <c r="B79" s="2017"/>
      <c r="C79" s="2017"/>
      <c r="D79" s="2017"/>
      <c r="E79" s="2017"/>
      <c r="F79" s="2017"/>
      <c r="G79" s="2017"/>
      <c r="H79" s="2017"/>
      <c r="I79" s="2017"/>
      <c r="J79" s="2017"/>
    </row>
    <row r="80" spans="2:10">
      <c r="B80" s="64"/>
      <c r="C80" s="339"/>
      <c r="D80" s="302"/>
      <c r="E80" s="302"/>
      <c r="F80" s="302"/>
      <c r="G80" s="302"/>
      <c r="H80" s="302"/>
      <c r="I80" s="302"/>
      <c r="J80" s="439"/>
    </row>
    <row r="81" spans="2:19">
      <c r="B81" s="2100" t="s">
        <v>411</v>
      </c>
      <c r="C81" s="2100"/>
      <c r="D81" s="2100"/>
      <c r="E81" s="2100"/>
      <c r="F81" s="2100"/>
      <c r="G81" s="2100"/>
      <c r="H81" s="2100"/>
      <c r="I81" s="2100"/>
      <c r="J81" s="2100"/>
    </row>
    <row r="82" spans="2:19">
      <c r="B82" s="12" t="s">
        <v>410</v>
      </c>
      <c r="C82" s="339"/>
      <c r="D82" s="302"/>
      <c r="E82" s="302"/>
      <c r="F82" s="302"/>
      <c r="G82" s="302"/>
      <c r="H82" s="302"/>
      <c r="I82" s="302"/>
      <c r="J82" s="439"/>
    </row>
    <row r="83" spans="2:19">
      <c r="B83" s="62" t="s">
        <v>409</v>
      </c>
      <c r="C83" s="339"/>
      <c r="D83" s="302"/>
      <c r="E83" s="302"/>
      <c r="F83" s="302"/>
      <c r="G83" s="302"/>
      <c r="H83" s="302"/>
      <c r="I83" s="302"/>
      <c r="J83" s="439"/>
    </row>
    <row r="84" spans="2:19">
      <c r="B84" s="64"/>
      <c r="C84" s="339"/>
      <c r="D84" s="302"/>
      <c r="E84" s="302"/>
      <c r="F84" s="302"/>
      <c r="G84" s="302"/>
      <c r="H84" s="302"/>
      <c r="I84" s="302"/>
      <c r="J84" s="439"/>
    </row>
    <row r="85" spans="2:19">
      <c r="B85" s="61"/>
      <c r="C85" s="1536">
        <v>2014</v>
      </c>
      <c r="D85" s="303">
        <v>2015</v>
      </c>
      <c r="E85" s="303">
        <v>2016</v>
      </c>
      <c r="F85" s="303">
        <v>2017</v>
      </c>
      <c r="G85" s="303">
        <v>2018</v>
      </c>
      <c r="H85" s="303">
        <v>2019</v>
      </c>
      <c r="I85" s="303">
        <v>2020</v>
      </c>
      <c r="J85" s="303">
        <v>2021</v>
      </c>
    </row>
    <row r="86" spans="2:19">
      <c r="B86" s="114" t="s">
        <v>262</v>
      </c>
      <c r="C86" s="339"/>
      <c r="D86" s="302"/>
      <c r="E86" s="302"/>
      <c r="F86" s="302"/>
      <c r="G86" s="302"/>
      <c r="H86" s="302"/>
      <c r="I86" s="302"/>
      <c r="J86" s="439"/>
      <c r="M86" s="1388"/>
      <c r="N86" s="1388"/>
      <c r="O86" s="1388"/>
      <c r="P86" s="1388"/>
      <c r="Q86" s="1388"/>
      <c r="R86" s="1388"/>
    </row>
    <row r="87" spans="2:19">
      <c r="B87" s="186" t="s">
        <v>408</v>
      </c>
      <c r="C87" s="158">
        <v>1</v>
      </c>
      <c r="D87" s="158">
        <v>1</v>
      </c>
      <c r="E87" s="158">
        <v>1</v>
      </c>
      <c r="F87" s="158">
        <v>1</v>
      </c>
      <c r="G87" s="158">
        <v>1</v>
      </c>
      <c r="H87" s="158">
        <v>1</v>
      </c>
      <c r="I87" s="306">
        <v>1</v>
      </c>
      <c r="J87" s="1388">
        <v>1</v>
      </c>
      <c r="L87" s="1388"/>
      <c r="M87" s="1388"/>
      <c r="N87" s="1388"/>
      <c r="O87" s="1388"/>
      <c r="P87" s="1388"/>
      <c r="Q87" s="1388"/>
    </row>
    <row r="88" spans="2:19">
      <c r="B88" s="65" t="s">
        <v>407</v>
      </c>
      <c r="C88" s="158">
        <v>48</v>
      </c>
      <c r="D88" s="158">
        <v>58</v>
      </c>
      <c r="E88" s="158">
        <v>50</v>
      </c>
      <c r="F88" s="158">
        <v>50</v>
      </c>
      <c r="G88" s="158">
        <v>50</v>
      </c>
      <c r="H88" s="158">
        <v>50</v>
      </c>
      <c r="I88" s="306">
        <v>50</v>
      </c>
      <c r="J88" s="1388">
        <v>17</v>
      </c>
      <c r="M88" s="1388"/>
      <c r="N88" s="1388"/>
      <c r="O88" s="1388"/>
      <c r="P88" s="1388"/>
      <c r="Q88" s="1388"/>
      <c r="R88" s="1388"/>
      <c r="S88" s="1388"/>
    </row>
    <row r="89" spans="2:19">
      <c r="B89" s="65" t="s">
        <v>406</v>
      </c>
      <c r="C89" s="158">
        <v>22</v>
      </c>
      <c r="D89" s="158">
        <v>18</v>
      </c>
      <c r="E89" s="158">
        <v>18</v>
      </c>
      <c r="F89" s="158">
        <v>18</v>
      </c>
      <c r="G89" s="158">
        <v>16</v>
      </c>
      <c r="H89" s="158">
        <v>16</v>
      </c>
      <c r="I89" s="306">
        <v>16</v>
      </c>
      <c r="J89" s="1388">
        <v>8</v>
      </c>
    </row>
    <row r="90" spans="2:19">
      <c r="B90" s="185" t="s">
        <v>401</v>
      </c>
      <c r="C90" s="307">
        <v>7.0173068990416931</v>
      </c>
      <c r="D90" s="307">
        <v>6.5844507957137104</v>
      </c>
      <c r="E90" s="307">
        <v>7.6549150789475329</v>
      </c>
      <c r="F90" s="307">
        <v>8.8671747298136001</v>
      </c>
      <c r="G90" s="307">
        <v>8.4745734831732147</v>
      </c>
      <c r="H90" s="307">
        <v>7.9477340051658327</v>
      </c>
      <c r="I90" s="306">
        <v>9.3841381670902031</v>
      </c>
      <c r="J90">
        <v>0</v>
      </c>
      <c r="M90" s="1388"/>
      <c r="N90" s="1388"/>
      <c r="O90" s="1388"/>
      <c r="P90" s="1388"/>
      <c r="Q90" s="1388"/>
      <c r="R90" s="1388"/>
      <c r="S90" s="1388"/>
    </row>
    <row r="91" spans="2:19">
      <c r="B91" s="186"/>
      <c r="C91" s="307"/>
      <c r="D91" s="307"/>
      <c r="E91" s="307"/>
      <c r="F91" s="307"/>
      <c r="G91" s="307"/>
      <c r="H91" s="307"/>
      <c r="I91" s="306"/>
      <c r="J91" s="306"/>
      <c r="O91" s="95"/>
    </row>
    <row r="92" spans="2:19">
      <c r="B92" s="114" t="s">
        <v>477</v>
      </c>
      <c r="C92" s="307"/>
      <c r="D92" s="307"/>
      <c r="E92" s="307"/>
      <c r="F92" s="307"/>
      <c r="G92" s="307"/>
      <c r="H92" s="307"/>
      <c r="I92" s="306"/>
      <c r="J92" s="306"/>
    </row>
    <row r="93" spans="2:19">
      <c r="B93" s="186" t="s">
        <v>399</v>
      </c>
      <c r="C93" s="158">
        <v>16</v>
      </c>
      <c r="D93" s="158">
        <v>17</v>
      </c>
      <c r="E93" s="158">
        <v>17</v>
      </c>
      <c r="F93" s="158">
        <v>17</v>
      </c>
      <c r="G93" s="158">
        <v>17</v>
      </c>
      <c r="H93" s="158">
        <v>17</v>
      </c>
      <c r="I93" s="306">
        <v>17</v>
      </c>
      <c r="J93" s="1388">
        <v>17</v>
      </c>
      <c r="M93" s="1004"/>
      <c r="N93" s="1004"/>
      <c r="O93" s="1004"/>
      <c r="P93" s="1004"/>
      <c r="Q93" s="1004"/>
      <c r="R93" s="1004"/>
      <c r="S93" s="1004"/>
    </row>
    <row r="94" spans="2:19">
      <c r="B94" s="186" t="s">
        <v>408</v>
      </c>
      <c r="C94" s="158">
        <v>470</v>
      </c>
      <c r="D94" s="158">
        <v>542</v>
      </c>
      <c r="E94" s="158">
        <v>547</v>
      </c>
      <c r="F94" s="158">
        <v>547</v>
      </c>
      <c r="G94" s="158">
        <v>549</v>
      </c>
      <c r="H94" s="158">
        <v>533</v>
      </c>
      <c r="I94" s="306">
        <v>481</v>
      </c>
      <c r="J94" s="1388">
        <v>478</v>
      </c>
      <c r="M94" s="1004"/>
      <c r="N94" s="1004"/>
      <c r="O94" s="1004"/>
      <c r="P94" s="1004"/>
      <c r="Q94" s="1004"/>
      <c r="R94" s="1004"/>
      <c r="S94" s="1004"/>
    </row>
    <row r="95" spans="2:19">
      <c r="B95" s="186" t="s">
        <v>402</v>
      </c>
      <c r="C95" s="1552">
        <v>956618</v>
      </c>
      <c r="D95" s="1553">
        <v>2083021</v>
      </c>
      <c r="E95" s="1553">
        <v>2343253</v>
      </c>
      <c r="F95" s="1553">
        <v>2967106</v>
      </c>
      <c r="G95" s="1553">
        <v>3972312</v>
      </c>
      <c r="H95" s="1553">
        <v>3931724</v>
      </c>
      <c r="I95" s="1553">
        <v>4215796</v>
      </c>
      <c r="J95" s="1553">
        <v>4680151</v>
      </c>
      <c r="M95" s="1538"/>
      <c r="N95" s="1538"/>
      <c r="O95" s="1538"/>
      <c r="P95" s="1538"/>
      <c r="Q95" s="1538"/>
      <c r="R95" s="1538"/>
      <c r="S95" s="1538"/>
    </row>
    <row r="96" spans="2:19">
      <c r="B96" s="185" t="s">
        <v>401</v>
      </c>
      <c r="C96" s="1554">
        <v>13.203282998487795</v>
      </c>
      <c r="D96" s="95">
        <v>16.744858440512026</v>
      </c>
      <c r="E96" s="95">
        <v>17.934469658782167</v>
      </c>
      <c r="F96" s="95">
        <v>19.113733850759054</v>
      </c>
      <c r="G96" s="95">
        <v>17.698815999437596</v>
      </c>
      <c r="H96" s="95">
        <v>18.258915204033944</v>
      </c>
      <c r="I96" s="95">
        <v>20.193457359406324</v>
      </c>
      <c r="J96" s="95">
        <v>20.247926135871715</v>
      </c>
      <c r="M96" s="1004"/>
      <c r="N96" s="1004"/>
      <c r="O96" s="1004"/>
      <c r="P96" s="1004"/>
      <c r="Q96" s="1004"/>
      <c r="R96" s="1004"/>
      <c r="S96" s="1004"/>
    </row>
    <row r="97" spans="2:19">
      <c r="B97" s="186"/>
      <c r="C97" s="306"/>
      <c r="D97" s="306"/>
      <c r="E97" s="306"/>
      <c r="F97" s="306"/>
      <c r="G97" s="306"/>
      <c r="H97" s="306"/>
      <c r="I97" s="306"/>
      <c r="J97" s="306"/>
      <c r="M97" s="1004"/>
      <c r="N97" s="1004"/>
      <c r="O97" s="1004"/>
      <c r="P97" s="1004"/>
      <c r="Q97" s="1004"/>
      <c r="R97" s="1004"/>
      <c r="S97" s="1004"/>
    </row>
    <row r="98" spans="2:19" ht="26">
      <c r="B98" s="148" t="s">
        <v>404</v>
      </c>
      <c r="C98" s="306"/>
      <c r="D98" s="306"/>
      <c r="E98" s="306"/>
      <c r="F98" s="306"/>
      <c r="G98" s="306"/>
      <c r="H98" s="306"/>
      <c r="I98" s="306"/>
      <c r="J98" s="306"/>
    </row>
    <row r="99" spans="2:19">
      <c r="B99" s="186" t="s">
        <v>399</v>
      </c>
      <c r="C99" s="306">
        <v>12</v>
      </c>
      <c r="D99" s="306">
        <v>9</v>
      </c>
      <c r="E99" s="306">
        <v>9</v>
      </c>
      <c r="F99" s="306">
        <v>9</v>
      </c>
      <c r="G99" s="306">
        <v>9</v>
      </c>
      <c r="H99" s="306">
        <v>8</v>
      </c>
      <c r="I99" s="306">
        <v>8</v>
      </c>
      <c r="J99" s="1540">
        <v>8</v>
      </c>
    </row>
    <row r="100" spans="2:19">
      <c r="B100" s="186" t="s">
        <v>408</v>
      </c>
      <c r="C100" s="306">
        <v>168</v>
      </c>
      <c r="D100" s="306">
        <v>118</v>
      </c>
      <c r="E100" s="306">
        <v>112</v>
      </c>
      <c r="F100" s="306">
        <v>98</v>
      </c>
      <c r="G100" s="306">
        <v>88</v>
      </c>
      <c r="H100" s="306">
        <v>68</v>
      </c>
      <c r="I100" s="306">
        <v>58</v>
      </c>
      <c r="J100" s="1540">
        <v>49</v>
      </c>
    </row>
    <row r="101" spans="2:19">
      <c r="B101" s="186" t="s">
        <v>402</v>
      </c>
      <c r="C101" s="231">
        <v>175536</v>
      </c>
      <c r="D101">
        <v>163206</v>
      </c>
      <c r="E101">
        <v>117540</v>
      </c>
      <c r="F101">
        <v>120372</v>
      </c>
      <c r="G101">
        <v>130437</v>
      </c>
      <c r="H101">
        <v>112120</v>
      </c>
      <c r="I101">
        <v>144194</v>
      </c>
      <c r="J101">
        <v>214134</v>
      </c>
    </row>
    <row r="102" spans="2:19">
      <c r="B102" s="185" t="s">
        <v>401</v>
      </c>
      <c r="C102" s="231">
        <v>0.80213566645063727</v>
      </c>
      <c r="D102">
        <v>0.76803710566207628</v>
      </c>
      <c r="E102">
        <v>0.82645259872922083</v>
      </c>
      <c r="F102">
        <v>0.97744071391792253</v>
      </c>
      <c r="G102">
        <v>0.91983786647608434</v>
      </c>
      <c r="H102">
        <v>0.76573321048199039</v>
      </c>
      <c r="I102">
        <v>0.83280000201537441</v>
      </c>
      <c r="J102">
        <v>0.94727541490887757</v>
      </c>
    </row>
    <row r="103" spans="2:19">
      <c r="B103" s="186"/>
      <c r="C103" s="306"/>
      <c r="D103" s="306"/>
      <c r="E103" s="306"/>
      <c r="F103" s="306"/>
      <c r="G103" s="306"/>
      <c r="H103" s="306"/>
      <c r="I103" s="306"/>
      <c r="J103" s="306"/>
    </row>
    <row r="104" spans="2:19">
      <c r="B104" s="114" t="s">
        <v>400</v>
      </c>
      <c r="C104" s="306"/>
      <c r="D104" s="306"/>
      <c r="E104" s="306"/>
      <c r="F104" s="306"/>
      <c r="G104" s="306"/>
      <c r="H104" s="306"/>
      <c r="I104" s="306"/>
      <c r="J104" s="306"/>
    </row>
    <row r="105" spans="2:19">
      <c r="B105" s="186" t="s">
        <v>399</v>
      </c>
      <c r="C105" s="306">
        <v>0</v>
      </c>
      <c r="D105" s="306">
        <v>2</v>
      </c>
      <c r="E105" s="306">
        <v>2</v>
      </c>
      <c r="F105" s="306">
        <v>2</v>
      </c>
      <c r="G105" s="306">
        <v>4</v>
      </c>
      <c r="H105" s="306">
        <v>4</v>
      </c>
      <c r="I105" s="306">
        <v>5</v>
      </c>
      <c r="J105" s="306">
        <v>5</v>
      </c>
    </row>
    <row r="106" spans="2:19">
      <c r="B106" s="185" t="s">
        <v>401</v>
      </c>
      <c r="C106" s="306">
        <v>0</v>
      </c>
      <c r="D106" s="306">
        <v>0</v>
      </c>
      <c r="E106" s="306">
        <v>0</v>
      </c>
      <c r="F106" s="306">
        <v>16.28742063362348</v>
      </c>
      <c r="G106" s="306">
        <v>19.321417266037372</v>
      </c>
      <c r="H106" s="306">
        <v>19.034220883438135</v>
      </c>
      <c r="I106" s="306">
        <v>52.860323756812285</v>
      </c>
      <c r="J106" s="1540">
        <v>27.365990716184577</v>
      </c>
    </row>
    <row r="107" spans="2:19" ht="15" thickBot="1">
      <c r="B107" s="183" t="s">
        <v>395</v>
      </c>
      <c r="C107" s="312">
        <v>0</v>
      </c>
      <c r="D107" s="312">
        <v>0</v>
      </c>
      <c r="E107" s="312">
        <v>0</v>
      </c>
      <c r="F107" s="306">
        <v>16.28742063362348</v>
      </c>
      <c r="G107" s="306">
        <v>19.321417266037372</v>
      </c>
      <c r="H107" s="306">
        <v>19.034220883438135</v>
      </c>
      <c r="I107" s="312">
        <v>52.860323756812285</v>
      </c>
      <c r="J107" s="1540">
        <v>27.365990716184577</v>
      </c>
    </row>
    <row r="108" spans="2:19" ht="15" thickTop="1">
      <c r="B108" s="2025" t="s">
        <v>2016</v>
      </c>
      <c r="C108" s="2025"/>
      <c r="D108" s="2025"/>
      <c r="E108" s="2025"/>
      <c r="F108" s="2025"/>
      <c r="G108" s="2025"/>
      <c r="H108" s="2025"/>
      <c r="I108" s="2025"/>
      <c r="J108" s="2025"/>
    </row>
    <row r="109" spans="2:19">
      <c r="B109" s="2066"/>
      <c r="C109" s="2066"/>
      <c r="D109" s="2066"/>
      <c r="E109" s="2066"/>
      <c r="F109" s="2066"/>
      <c r="G109" s="2066"/>
      <c r="H109" s="2066"/>
      <c r="I109" s="2066"/>
      <c r="J109" s="2066"/>
    </row>
    <row r="110" spans="2:19">
      <c r="B110" s="64"/>
      <c r="C110" s="1399"/>
      <c r="D110" s="64"/>
      <c r="E110" s="64"/>
      <c r="F110" s="64"/>
      <c r="G110" s="64"/>
      <c r="H110" s="64"/>
      <c r="I110" s="64"/>
      <c r="J110" s="440"/>
    </row>
    <row r="111" spans="2:19">
      <c r="B111" s="2100" t="s">
        <v>393</v>
      </c>
      <c r="C111" s="2100"/>
      <c r="D111" s="2100"/>
      <c r="E111" s="2100"/>
      <c r="F111" s="2100"/>
      <c r="G111" s="2100"/>
      <c r="H111" s="2100"/>
      <c r="I111" s="2100"/>
      <c r="J111" s="2100"/>
    </row>
    <row r="112" spans="2:19">
      <c r="B112" s="12" t="s">
        <v>392</v>
      </c>
      <c r="C112" s="339"/>
      <c r="D112" s="302"/>
      <c r="E112" s="302"/>
      <c r="F112" s="302"/>
      <c r="G112" s="302"/>
      <c r="H112" s="302"/>
      <c r="I112" s="302"/>
      <c r="J112" s="439"/>
    </row>
    <row r="113" spans="2:10">
      <c r="B113" s="62" t="s">
        <v>269</v>
      </c>
      <c r="C113" s="339"/>
      <c r="D113" s="302"/>
      <c r="E113" s="302"/>
      <c r="F113" s="302"/>
      <c r="G113" s="302"/>
      <c r="H113" s="302"/>
      <c r="I113" s="302"/>
      <c r="J113" s="439"/>
    </row>
    <row r="114" spans="2:10">
      <c r="B114" s="64"/>
      <c r="C114" s="339"/>
      <c r="D114" s="302"/>
      <c r="E114" s="302"/>
      <c r="F114" s="302"/>
      <c r="G114" s="302"/>
      <c r="H114" s="302"/>
      <c r="I114" s="302"/>
      <c r="J114" s="439"/>
    </row>
    <row r="115" spans="2:10">
      <c r="B115" s="64"/>
      <c r="C115" s="1536">
        <v>2014</v>
      </c>
      <c r="D115" s="303">
        <v>2015</v>
      </c>
      <c r="E115" s="303">
        <v>2016</v>
      </c>
      <c r="F115" s="303">
        <v>2017</v>
      </c>
      <c r="G115" s="303">
        <v>2018</v>
      </c>
      <c r="H115" s="303">
        <v>2019</v>
      </c>
      <c r="I115" s="303">
        <v>2020</v>
      </c>
      <c r="J115" s="303">
        <v>2021</v>
      </c>
    </row>
    <row r="116" spans="2:10">
      <c r="B116" s="1555" t="s">
        <v>391</v>
      </c>
      <c r="C116" s="1556"/>
      <c r="D116" s="1556"/>
      <c r="E116" s="1556"/>
      <c r="F116" s="1556"/>
      <c r="G116" s="1556"/>
      <c r="H116" s="1556"/>
      <c r="I116" s="1557"/>
      <c r="J116" s="1557"/>
    </row>
    <row r="117" spans="2:10">
      <c r="B117" s="149" t="s">
        <v>390</v>
      </c>
      <c r="C117" s="1558">
        <v>1661000</v>
      </c>
      <c r="D117" s="1558">
        <v>1583067</v>
      </c>
      <c r="E117" s="1558">
        <v>1568258</v>
      </c>
      <c r="F117" s="1558">
        <v>1930861</v>
      </c>
      <c r="G117" s="158">
        <v>2190352</v>
      </c>
      <c r="H117" s="158">
        <v>2391986</v>
      </c>
      <c r="I117" s="306">
        <v>2513265</v>
      </c>
      <c r="J117" s="306">
        <v>2631043</v>
      </c>
    </row>
    <row r="118" spans="2:10">
      <c r="B118" s="149" t="s">
        <v>389</v>
      </c>
      <c r="C118" s="1558">
        <v>1661000</v>
      </c>
      <c r="D118" s="1558">
        <v>1583067</v>
      </c>
      <c r="E118" s="1558">
        <v>1568258</v>
      </c>
      <c r="F118" s="1558">
        <v>1930861</v>
      </c>
      <c r="G118" s="158">
        <v>2190352</v>
      </c>
      <c r="H118" s="158">
        <v>2391986</v>
      </c>
      <c r="I118" s="306">
        <v>2513265</v>
      </c>
      <c r="J118" s="306">
        <v>2631043</v>
      </c>
    </row>
    <row r="119" spans="2:10">
      <c r="B119" s="149" t="s">
        <v>388</v>
      </c>
      <c r="C119" s="1558">
        <v>0</v>
      </c>
      <c r="D119" s="1558">
        <v>0</v>
      </c>
      <c r="E119" s="1558">
        <v>0</v>
      </c>
      <c r="F119" s="1558">
        <v>0</v>
      </c>
      <c r="G119" s="1558">
        <v>0</v>
      </c>
      <c r="H119" s="1558">
        <v>0</v>
      </c>
      <c r="I119" s="1559">
        <v>0</v>
      </c>
      <c r="J119" s="1559">
        <v>0</v>
      </c>
    </row>
    <row r="120" spans="2:10">
      <c r="B120" s="149" t="s">
        <v>387</v>
      </c>
      <c r="C120" s="1558">
        <v>1442000</v>
      </c>
      <c r="D120" s="1558">
        <v>1512251</v>
      </c>
      <c r="E120" s="1558">
        <v>1483737</v>
      </c>
      <c r="F120" s="1558">
        <v>1467426</v>
      </c>
      <c r="G120" s="158">
        <v>1450764</v>
      </c>
      <c r="H120" s="158">
        <v>1430566</v>
      </c>
      <c r="I120" s="306">
        <v>1362928</v>
      </c>
      <c r="J120" s="306">
        <v>1403377</v>
      </c>
    </row>
    <row r="121" spans="2:10">
      <c r="B121" s="149" t="s">
        <v>386</v>
      </c>
      <c r="C121" s="1558">
        <v>0</v>
      </c>
      <c r="D121" s="1558">
        <v>63511</v>
      </c>
      <c r="E121" s="1558">
        <v>72356</v>
      </c>
      <c r="F121" s="1558">
        <v>78575</v>
      </c>
      <c r="G121" s="1558">
        <v>95261</v>
      </c>
      <c r="H121" s="1558">
        <v>118324</v>
      </c>
      <c r="I121" s="1559">
        <v>164535</v>
      </c>
      <c r="J121" s="1559">
        <v>190968</v>
      </c>
    </row>
    <row r="122" spans="2:10" ht="39">
      <c r="B122" s="147" t="s">
        <v>385</v>
      </c>
      <c r="C122" s="158">
        <v>0</v>
      </c>
      <c r="D122" s="158">
        <v>63511</v>
      </c>
      <c r="E122" s="158">
        <v>72356</v>
      </c>
      <c r="F122" s="158">
        <v>78575</v>
      </c>
      <c r="G122" s="158">
        <v>95261</v>
      </c>
      <c r="H122" s="158">
        <v>118324</v>
      </c>
      <c r="I122" s="306">
        <v>164535</v>
      </c>
      <c r="J122" s="306">
        <v>190968</v>
      </c>
    </row>
    <row r="123" spans="2:10">
      <c r="B123" s="54" t="s">
        <v>384</v>
      </c>
      <c r="C123" s="1558">
        <v>3103000</v>
      </c>
      <c r="D123" s="1558">
        <v>3158829</v>
      </c>
      <c r="E123" s="1558">
        <v>3124351</v>
      </c>
      <c r="F123" s="1558">
        <v>3476862</v>
      </c>
      <c r="G123" s="158">
        <v>3736377</v>
      </c>
      <c r="H123" s="158">
        <v>3940876</v>
      </c>
      <c r="I123" s="306">
        <v>4040728</v>
      </c>
      <c r="J123" s="306">
        <v>4225388</v>
      </c>
    </row>
    <row r="124" spans="2:10" ht="26">
      <c r="B124" s="147" t="s">
        <v>383</v>
      </c>
      <c r="C124" s="1558">
        <v>1661000</v>
      </c>
      <c r="D124" s="1558">
        <v>1583067</v>
      </c>
      <c r="E124" s="1558">
        <v>1568258</v>
      </c>
      <c r="F124" s="1558">
        <v>1930861</v>
      </c>
      <c r="G124" s="158">
        <v>2190352</v>
      </c>
      <c r="H124" s="158">
        <v>2391986</v>
      </c>
      <c r="I124" s="306">
        <v>0</v>
      </c>
      <c r="J124" s="306">
        <v>0</v>
      </c>
    </row>
    <row r="125" spans="2:10">
      <c r="B125" s="149" t="s">
        <v>382</v>
      </c>
      <c r="C125" s="1558">
        <v>0</v>
      </c>
      <c r="D125" s="1558">
        <v>0</v>
      </c>
      <c r="E125" s="1558">
        <v>0</v>
      </c>
      <c r="F125" s="1558">
        <v>0</v>
      </c>
      <c r="G125" s="1558">
        <v>0</v>
      </c>
      <c r="H125" s="1558">
        <v>0</v>
      </c>
      <c r="I125" s="1559">
        <v>0</v>
      </c>
      <c r="J125" s="1559">
        <v>0</v>
      </c>
    </row>
    <row r="126" spans="2:10">
      <c r="B126" s="149"/>
      <c r="C126" s="1558"/>
      <c r="D126" s="1558"/>
      <c r="E126" s="1558"/>
      <c r="F126" s="1558"/>
      <c r="G126" s="158"/>
      <c r="H126" s="158"/>
      <c r="I126" s="306"/>
      <c r="J126" s="306"/>
    </row>
    <row r="127" spans="2:10">
      <c r="B127" s="175" t="s">
        <v>381</v>
      </c>
      <c r="C127" s="1558"/>
      <c r="D127" s="1558"/>
      <c r="E127" s="1558"/>
      <c r="F127" s="1558"/>
      <c r="G127" s="158"/>
      <c r="H127" s="158"/>
      <c r="I127" s="306"/>
      <c r="J127" s="306"/>
    </row>
    <row r="128" spans="2:10">
      <c r="B128" s="149" t="s">
        <v>380</v>
      </c>
      <c r="C128" s="996">
        <v>1240</v>
      </c>
      <c r="D128" s="996">
        <v>1254</v>
      </c>
      <c r="E128" s="996">
        <v>1277</v>
      </c>
      <c r="F128" s="996">
        <v>1361</v>
      </c>
      <c r="G128" s="996">
        <v>1398</v>
      </c>
      <c r="H128" s="996">
        <v>1444</v>
      </c>
      <c r="I128" s="999">
        <v>1505</v>
      </c>
      <c r="J128" s="1560">
        <v>1534</v>
      </c>
    </row>
    <row r="129" spans="2:10">
      <c r="B129" s="168" t="s">
        <v>378</v>
      </c>
      <c r="C129" s="1558">
        <v>1240</v>
      </c>
      <c r="D129" s="1558">
        <v>1254</v>
      </c>
      <c r="E129" s="1558">
        <v>1277</v>
      </c>
      <c r="F129" s="1558">
        <v>1361</v>
      </c>
      <c r="G129" s="158">
        <v>1398</v>
      </c>
      <c r="H129" s="158">
        <v>1444</v>
      </c>
      <c r="I129" s="306">
        <v>1505</v>
      </c>
      <c r="J129" s="1560">
        <v>1534</v>
      </c>
    </row>
    <row r="130" spans="2:10">
      <c r="B130" s="168" t="s">
        <v>377</v>
      </c>
      <c r="C130" s="1558">
        <v>0</v>
      </c>
      <c r="D130" s="1558">
        <v>1005</v>
      </c>
      <c r="E130" s="1558">
        <v>1009</v>
      </c>
      <c r="F130" s="1558">
        <v>1051</v>
      </c>
      <c r="G130" s="1558">
        <v>1068</v>
      </c>
      <c r="H130" s="1558">
        <v>1035</v>
      </c>
      <c r="I130" s="1559">
        <v>1046</v>
      </c>
      <c r="J130" s="1560">
        <v>990</v>
      </c>
    </row>
    <row r="131" spans="2:10">
      <c r="B131" s="149" t="s">
        <v>376</v>
      </c>
      <c r="C131" s="158">
        <v>2</v>
      </c>
      <c r="D131" s="158">
        <v>2</v>
      </c>
      <c r="E131" s="158">
        <v>2</v>
      </c>
      <c r="F131" s="158">
        <v>2</v>
      </c>
      <c r="G131" s="158">
        <v>2</v>
      </c>
      <c r="H131" s="158">
        <v>2</v>
      </c>
      <c r="I131" s="306">
        <v>2</v>
      </c>
      <c r="J131" s="1560">
        <v>2</v>
      </c>
    </row>
    <row r="132" spans="2:10">
      <c r="B132" s="149"/>
      <c r="C132" s="339"/>
      <c r="D132" s="339"/>
      <c r="E132" s="339"/>
      <c r="F132" s="339"/>
      <c r="G132" s="339"/>
      <c r="H132" s="339"/>
      <c r="I132" s="1561"/>
      <c r="J132" s="1560"/>
    </row>
    <row r="133" spans="2:10">
      <c r="B133" s="149" t="s">
        <v>375</v>
      </c>
      <c r="C133" s="158">
        <v>26617</v>
      </c>
      <c r="D133" s="158">
        <v>30274</v>
      </c>
      <c r="E133" s="158">
        <v>36114</v>
      </c>
      <c r="F133" s="158">
        <v>43807</v>
      </c>
      <c r="G133" s="158">
        <v>49811</v>
      </c>
      <c r="H133" s="158">
        <v>54271</v>
      </c>
      <c r="I133" s="306">
        <v>61356</v>
      </c>
      <c r="J133" s="1560">
        <v>69326</v>
      </c>
    </row>
    <row r="134" spans="2:10">
      <c r="B134" s="168" t="s">
        <v>374</v>
      </c>
      <c r="C134" s="158">
        <v>26617</v>
      </c>
      <c r="D134" s="158">
        <v>30274</v>
      </c>
      <c r="E134" s="158">
        <v>36114</v>
      </c>
      <c r="F134" s="158">
        <v>43807</v>
      </c>
      <c r="G134" s="158">
        <v>49811</v>
      </c>
      <c r="H134" s="158">
        <v>54271</v>
      </c>
      <c r="I134" s="306">
        <v>61356</v>
      </c>
      <c r="J134" s="643">
        <v>69326</v>
      </c>
    </row>
    <row r="135" spans="2:10">
      <c r="B135" s="149" t="s">
        <v>478</v>
      </c>
      <c r="C135" s="1558">
        <v>0</v>
      </c>
      <c r="D135" s="1558">
        <v>0</v>
      </c>
      <c r="E135" s="1558">
        <v>0</v>
      </c>
      <c r="F135" s="1558">
        <v>0</v>
      </c>
      <c r="G135" s="1558">
        <v>0</v>
      </c>
      <c r="H135" s="1558">
        <v>0</v>
      </c>
      <c r="I135" s="1559">
        <v>0</v>
      </c>
      <c r="J135" s="643">
        <v>0</v>
      </c>
    </row>
    <row r="136" spans="2:10">
      <c r="B136" s="165" t="s">
        <v>373</v>
      </c>
      <c r="C136" s="1558">
        <v>0</v>
      </c>
      <c r="D136" s="1558">
        <v>0</v>
      </c>
      <c r="E136" s="1558">
        <v>0</v>
      </c>
      <c r="F136" s="1558">
        <v>0</v>
      </c>
      <c r="G136" s="1558">
        <v>0</v>
      </c>
      <c r="H136" s="1558">
        <v>0</v>
      </c>
      <c r="I136" s="1559">
        <v>0</v>
      </c>
      <c r="J136" s="643">
        <v>0</v>
      </c>
    </row>
    <row r="137" spans="2:10">
      <c r="B137" s="149" t="s">
        <v>372</v>
      </c>
      <c r="C137" s="1558">
        <v>0</v>
      </c>
      <c r="D137" s="1558">
        <v>0</v>
      </c>
      <c r="E137" s="1558">
        <v>0</v>
      </c>
      <c r="F137" s="1558">
        <v>0</v>
      </c>
      <c r="G137" s="1558">
        <v>0</v>
      </c>
      <c r="H137" s="1558">
        <v>0</v>
      </c>
      <c r="I137" s="1559">
        <v>0</v>
      </c>
      <c r="J137" s="1560">
        <v>0</v>
      </c>
    </row>
    <row r="138" spans="2:10">
      <c r="B138" s="149" t="s">
        <v>371</v>
      </c>
      <c r="C138" s="158">
        <v>2</v>
      </c>
      <c r="D138" s="158">
        <v>2</v>
      </c>
      <c r="E138" s="158">
        <v>2</v>
      </c>
      <c r="F138" s="158">
        <v>2</v>
      </c>
      <c r="G138" s="158">
        <v>2</v>
      </c>
      <c r="H138" s="158">
        <v>2</v>
      </c>
      <c r="I138" s="306">
        <v>2</v>
      </c>
      <c r="J138" s="1560">
        <v>2</v>
      </c>
    </row>
    <row r="139" spans="2:10">
      <c r="B139" s="147" t="s">
        <v>370</v>
      </c>
      <c r="C139" s="158">
        <v>2</v>
      </c>
      <c r="D139" s="158">
        <v>2</v>
      </c>
      <c r="E139" s="158">
        <v>2</v>
      </c>
      <c r="F139" s="158">
        <v>2</v>
      </c>
      <c r="G139" s="158">
        <v>2</v>
      </c>
      <c r="H139" s="158">
        <v>2</v>
      </c>
      <c r="I139" s="306">
        <v>2</v>
      </c>
      <c r="J139" s="1560">
        <v>2</v>
      </c>
    </row>
    <row r="140" spans="2:10" ht="15" thickBot="1">
      <c r="B140" s="209" t="s">
        <v>369</v>
      </c>
      <c r="C140" s="1558">
        <v>0</v>
      </c>
      <c r="D140" s="1558">
        <v>0</v>
      </c>
      <c r="E140" s="1558">
        <v>0</v>
      </c>
      <c r="F140" s="1558">
        <v>0</v>
      </c>
      <c r="G140" s="1558">
        <v>0</v>
      </c>
      <c r="H140" s="1558">
        <v>0</v>
      </c>
      <c r="I140" s="1559">
        <v>0</v>
      </c>
      <c r="J140" s="1559">
        <v>0</v>
      </c>
    </row>
    <row r="141" spans="2:10" ht="15" thickTop="1">
      <c r="B141" s="2031" t="s">
        <v>2017</v>
      </c>
      <c r="C141" s="2031"/>
      <c r="D141" s="2031"/>
      <c r="E141" s="2031"/>
      <c r="F141" s="2031"/>
      <c r="G141" s="2031"/>
      <c r="H141" s="2031"/>
      <c r="I141" s="2031"/>
      <c r="J141" s="2031"/>
    </row>
    <row r="142" spans="2:10">
      <c r="B142" s="2066" t="s">
        <v>2018</v>
      </c>
      <c r="C142" s="2031"/>
      <c r="D142" s="2031"/>
      <c r="E142" s="2031"/>
      <c r="F142" s="2031"/>
      <c r="G142" s="2031"/>
      <c r="H142" s="2031"/>
      <c r="I142" s="2031"/>
      <c r="J142" s="2031"/>
    </row>
    <row r="143" spans="2:10">
      <c r="B143" s="108"/>
      <c r="C143" s="1562"/>
      <c r="D143" s="108"/>
      <c r="E143" s="108"/>
      <c r="F143" s="108"/>
      <c r="G143" s="108"/>
      <c r="H143" s="108"/>
      <c r="I143" s="108"/>
      <c r="J143" s="1563"/>
    </row>
    <row r="144" spans="2:10">
      <c r="B144" s="64"/>
      <c r="C144" s="339"/>
      <c r="D144" s="302"/>
      <c r="E144" s="302"/>
      <c r="F144" s="302"/>
      <c r="G144" s="302"/>
      <c r="H144" s="302"/>
      <c r="I144" s="302"/>
      <c r="J144" s="439"/>
    </row>
    <row r="145" spans="2:10">
      <c r="B145" s="2100" t="s">
        <v>367</v>
      </c>
      <c r="C145" s="2100"/>
      <c r="D145" s="2100"/>
      <c r="E145" s="2100"/>
      <c r="F145" s="2100"/>
      <c r="G145" s="2100"/>
      <c r="H145" s="2100"/>
      <c r="I145" s="2100"/>
      <c r="J145" s="2100"/>
    </row>
    <row r="146" spans="2:10">
      <c r="B146" s="12" t="s">
        <v>366</v>
      </c>
      <c r="C146" s="339"/>
      <c r="D146" s="302"/>
      <c r="E146" s="302"/>
      <c r="F146" s="302"/>
      <c r="G146" s="302"/>
      <c r="H146" s="302"/>
      <c r="I146" s="302"/>
      <c r="J146" s="439"/>
    </row>
    <row r="147" spans="2:10">
      <c r="B147" s="62" t="s">
        <v>210</v>
      </c>
      <c r="C147" s="339"/>
      <c r="D147" s="302"/>
      <c r="E147" s="302"/>
      <c r="F147" s="302"/>
      <c r="G147" s="302"/>
      <c r="H147" s="302"/>
      <c r="I147" s="302"/>
      <c r="J147" s="439"/>
    </row>
    <row r="148" spans="2:10">
      <c r="B148" s="64"/>
      <c r="C148" s="339"/>
      <c r="D148" s="302"/>
      <c r="E148" s="302"/>
      <c r="F148" s="302"/>
      <c r="G148" s="302"/>
      <c r="H148" s="302"/>
      <c r="I148" s="302"/>
      <c r="J148" s="439"/>
    </row>
    <row r="149" spans="2:10">
      <c r="B149" s="61"/>
      <c r="C149" s="1536">
        <v>2014</v>
      </c>
      <c r="D149" s="303">
        <v>2015</v>
      </c>
      <c r="E149" s="303">
        <v>2016</v>
      </c>
      <c r="F149" s="303">
        <v>2017</v>
      </c>
      <c r="G149" s="303">
        <v>2018</v>
      </c>
      <c r="H149" s="303">
        <v>2019</v>
      </c>
      <c r="I149" s="303">
        <v>2020</v>
      </c>
      <c r="J149" s="303">
        <v>2021</v>
      </c>
    </row>
    <row r="150" spans="2:10">
      <c r="B150" s="114" t="s">
        <v>362</v>
      </c>
      <c r="C150" s="339">
        <v>57853.502</v>
      </c>
      <c r="D150" s="302">
        <v>81727.940999999992</v>
      </c>
      <c r="E150" s="302">
        <v>90525.671000000002</v>
      </c>
      <c r="F150" s="302">
        <v>109432.656</v>
      </c>
      <c r="G150" s="302">
        <v>131886.174</v>
      </c>
      <c r="H150" s="302">
        <v>159307.481</v>
      </c>
      <c r="I150" s="439">
        <v>208061.02091683779</v>
      </c>
      <c r="J150" s="1564">
        <v>258488.09500000003</v>
      </c>
    </row>
    <row r="151" spans="2:10">
      <c r="B151" s="54" t="s">
        <v>361</v>
      </c>
      <c r="C151" s="307">
        <v>2349.7289999999998</v>
      </c>
      <c r="D151" s="307">
        <v>22743.326000000001</v>
      </c>
      <c r="E151" s="307">
        <v>26089.359</v>
      </c>
      <c r="F151" s="307">
        <v>35435.587</v>
      </c>
      <c r="G151" s="307">
        <v>43277.767</v>
      </c>
      <c r="H151" s="307">
        <v>56513.038</v>
      </c>
      <c r="I151" s="306">
        <v>96994.466916837802</v>
      </c>
      <c r="J151" s="1565">
        <v>112363.71</v>
      </c>
    </row>
    <row r="152" spans="2:10">
      <c r="B152" s="151" t="s">
        <v>360</v>
      </c>
      <c r="C152" s="129">
        <v>0</v>
      </c>
      <c r="D152" s="129">
        <v>0</v>
      </c>
      <c r="E152" s="129">
        <v>0</v>
      </c>
      <c r="F152" s="129">
        <v>0</v>
      </c>
      <c r="G152" s="129">
        <v>0</v>
      </c>
      <c r="H152" s="129">
        <v>0</v>
      </c>
      <c r="I152" s="129">
        <v>0</v>
      </c>
      <c r="J152" s="129">
        <v>0</v>
      </c>
    </row>
    <row r="153" spans="2:10">
      <c r="B153" s="151" t="s">
        <v>359</v>
      </c>
      <c r="C153" s="307">
        <v>2349.7289999999998</v>
      </c>
      <c r="D153" s="307">
        <v>22743.326000000001</v>
      </c>
      <c r="E153" s="307">
        <v>26089.359</v>
      </c>
      <c r="F153" s="307">
        <v>35435.587</v>
      </c>
      <c r="G153" s="307">
        <v>43277.767</v>
      </c>
      <c r="H153" s="307">
        <v>56513.038</v>
      </c>
      <c r="I153" s="306">
        <v>96994.466916837802</v>
      </c>
      <c r="J153" s="1565">
        <v>112363.71</v>
      </c>
    </row>
    <row r="154" spans="2:10">
      <c r="B154" s="152" t="s">
        <v>358</v>
      </c>
      <c r="C154" s="307">
        <v>0</v>
      </c>
      <c r="D154" s="307">
        <v>0</v>
      </c>
      <c r="E154" s="307">
        <v>0</v>
      </c>
      <c r="F154" s="307">
        <v>0</v>
      </c>
      <c r="G154" s="307">
        <v>0</v>
      </c>
      <c r="H154" s="307">
        <v>0</v>
      </c>
      <c r="I154" s="307">
        <v>0</v>
      </c>
      <c r="J154" s="307">
        <v>0</v>
      </c>
    </row>
    <row r="155" spans="2:10" ht="25">
      <c r="B155" s="71" t="s">
        <v>357</v>
      </c>
      <c r="C155" s="306">
        <v>36117.357000000004</v>
      </c>
      <c r="D155" s="306">
        <v>36474.134999999995</v>
      </c>
      <c r="E155" s="306">
        <v>42790.967000000004</v>
      </c>
      <c r="F155" s="306">
        <v>51025.942999999999</v>
      </c>
      <c r="G155" s="306">
        <v>65458.495000000003</v>
      </c>
      <c r="H155" s="306">
        <v>77939.347999999998</v>
      </c>
      <c r="I155" s="306">
        <v>72100.023000000001</v>
      </c>
      <c r="J155" s="1565">
        <v>84764.206999999995</v>
      </c>
    </row>
    <row r="156" spans="2:10" ht="26">
      <c r="B156" s="151" t="s">
        <v>356</v>
      </c>
      <c r="C156" s="306">
        <v>13439.519</v>
      </c>
      <c r="D156" s="306">
        <v>16111.75</v>
      </c>
      <c r="E156" s="306">
        <v>20377.328000000001</v>
      </c>
      <c r="F156" s="306">
        <v>26481.41</v>
      </c>
      <c r="G156" s="306">
        <v>34252.987000000001</v>
      </c>
      <c r="H156" s="306">
        <v>43476.612999999998</v>
      </c>
      <c r="I156" s="306">
        <v>46342.714999999997</v>
      </c>
      <c r="J156" s="1565">
        <v>63221.521999999997</v>
      </c>
    </row>
    <row r="157" spans="2:10" ht="26">
      <c r="B157" s="151" t="s">
        <v>355</v>
      </c>
      <c r="C157" s="306">
        <v>0</v>
      </c>
      <c r="D157" s="306">
        <v>0</v>
      </c>
      <c r="E157" s="306">
        <v>0</v>
      </c>
      <c r="F157" s="306">
        <v>0</v>
      </c>
      <c r="G157" s="306">
        <v>0</v>
      </c>
      <c r="H157" s="306">
        <v>0</v>
      </c>
      <c r="I157" s="306">
        <v>0</v>
      </c>
      <c r="J157" s="306">
        <v>0</v>
      </c>
    </row>
    <row r="158" spans="2:10" ht="26">
      <c r="B158" s="151" t="s">
        <v>354</v>
      </c>
      <c r="C158" s="306">
        <v>22677.838</v>
      </c>
      <c r="D158" s="306">
        <v>20362.384999999998</v>
      </c>
      <c r="E158" s="306">
        <v>22413.638999999999</v>
      </c>
      <c r="F158" s="306">
        <v>24544.532999999999</v>
      </c>
      <c r="G158" s="306">
        <v>31205.508000000002</v>
      </c>
      <c r="H158" s="306">
        <v>34462.735000000001</v>
      </c>
      <c r="I158" s="306">
        <v>25757.308000000001</v>
      </c>
      <c r="J158" s="1565">
        <v>21542.685000000001</v>
      </c>
    </row>
    <row r="159" spans="2:10">
      <c r="B159" s="71" t="s">
        <v>338</v>
      </c>
      <c r="C159" s="306">
        <v>0</v>
      </c>
      <c r="D159" s="306">
        <v>281.86799999999999</v>
      </c>
      <c r="E159" s="306">
        <v>540.553</v>
      </c>
      <c r="F159" s="306">
        <v>2205.6039999999998</v>
      </c>
      <c r="G159" s="306">
        <v>3066.1880000000001</v>
      </c>
      <c r="H159" s="306">
        <v>6363.4189999999999</v>
      </c>
      <c r="I159" s="306">
        <v>25093.362000000001</v>
      </c>
      <c r="J159" s="1565">
        <v>47772.542000000001</v>
      </c>
    </row>
    <row r="160" spans="2:10">
      <c r="B160" s="71" t="s">
        <v>353</v>
      </c>
      <c r="C160" s="306">
        <v>19386.415999999997</v>
      </c>
      <c r="D160" s="306">
        <v>22228.612000000001</v>
      </c>
      <c r="E160" s="306">
        <v>21104.792000000001</v>
      </c>
      <c r="F160" s="306">
        <v>20765.522000000001</v>
      </c>
      <c r="G160" s="306">
        <v>20083.724000000002</v>
      </c>
      <c r="H160" s="306">
        <v>18491.675999999999</v>
      </c>
      <c r="I160" s="306">
        <v>13873.169</v>
      </c>
      <c r="J160" s="1565">
        <v>13587.636</v>
      </c>
    </row>
    <row r="161" spans="2:10">
      <c r="B161" s="150" t="s">
        <v>352</v>
      </c>
      <c r="C161" s="306">
        <v>18662.098999999998</v>
      </c>
      <c r="D161" s="306">
        <v>21399.899000000001</v>
      </c>
      <c r="E161" s="306">
        <v>20353.945</v>
      </c>
      <c r="F161" s="306">
        <v>20047.162</v>
      </c>
      <c r="G161" s="306">
        <v>19413.702000000001</v>
      </c>
      <c r="H161" s="306">
        <v>18014.594000000001</v>
      </c>
      <c r="I161" s="306">
        <v>13589.438</v>
      </c>
      <c r="J161" s="1565">
        <v>13435.712</v>
      </c>
    </row>
    <row r="162" spans="2:10">
      <c r="B162" s="150" t="s">
        <v>351</v>
      </c>
      <c r="C162" s="306">
        <v>724.31700000000001</v>
      </c>
      <c r="D162" s="306">
        <v>828.71299999999997</v>
      </c>
      <c r="E162" s="306">
        <v>750.84700000000009</v>
      </c>
      <c r="F162" s="306">
        <v>718.36</v>
      </c>
      <c r="G162" s="306">
        <v>670.02199999999993</v>
      </c>
      <c r="H162" s="306">
        <v>477.08199999999999</v>
      </c>
      <c r="I162" s="306">
        <v>283.73099999999999</v>
      </c>
      <c r="J162" s="1565">
        <v>151.92400000000001</v>
      </c>
    </row>
    <row r="163" spans="2:10">
      <c r="B163" s="54" t="s">
        <v>350</v>
      </c>
      <c r="C163" s="306"/>
      <c r="D163" s="306">
        <v>0</v>
      </c>
      <c r="E163" s="306">
        <v>0</v>
      </c>
      <c r="F163" s="306">
        <v>0</v>
      </c>
      <c r="G163" s="306">
        <v>0</v>
      </c>
      <c r="H163" s="306">
        <v>0</v>
      </c>
      <c r="I163" s="306">
        <v>0</v>
      </c>
      <c r="J163" s="306">
        <v>0</v>
      </c>
    </row>
    <row r="164" spans="2:10">
      <c r="B164" s="54"/>
      <c r="C164" s="1561"/>
      <c r="D164" s="439"/>
      <c r="E164" s="439"/>
      <c r="F164" s="439"/>
      <c r="G164" s="439"/>
      <c r="H164" s="439"/>
      <c r="I164" s="439"/>
      <c r="J164" s="439"/>
    </row>
    <row r="165" spans="2:10" ht="25">
      <c r="B165" s="54" t="s">
        <v>365</v>
      </c>
      <c r="C165" s="306">
        <f>C150</f>
        <v>57853.502</v>
      </c>
      <c r="D165" s="306">
        <v>81727.940999999992</v>
      </c>
      <c r="E165" s="306">
        <v>90525.671000000002</v>
      </c>
      <c r="F165" s="306">
        <v>109432.656</v>
      </c>
      <c r="G165" s="306">
        <v>131886.174</v>
      </c>
      <c r="H165" s="306">
        <v>159307.481</v>
      </c>
      <c r="I165" s="306">
        <v>208061.02091683779</v>
      </c>
      <c r="J165" s="1565">
        <f>+J150</f>
        <v>258488.09500000003</v>
      </c>
    </row>
    <row r="166" spans="2:10" ht="22" customHeight="1">
      <c r="B166" s="147" t="s">
        <v>348</v>
      </c>
      <c r="C166" s="307">
        <v>1.982</v>
      </c>
      <c r="D166" s="307">
        <v>2296</v>
      </c>
      <c r="E166" s="307">
        <v>2116</v>
      </c>
      <c r="F166" s="307">
        <v>2785</v>
      </c>
      <c r="G166" s="307">
        <v>4059</v>
      </c>
      <c r="H166" s="307">
        <v>3937</v>
      </c>
      <c r="I166" s="306">
        <v>3532</v>
      </c>
      <c r="J166" s="1565">
        <v>3284</v>
      </c>
    </row>
    <row r="167" spans="2:10">
      <c r="B167" s="147"/>
      <c r="C167" s="1566"/>
      <c r="D167" s="147"/>
      <c r="E167" s="147"/>
      <c r="F167" s="147"/>
      <c r="G167" s="147"/>
      <c r="H167" s="147"/>
      <c r="I167" s="1567"/>
      <c r="J167" s="1565"/>
    </row>
    <row r="168" spans="2:10">
      <c r="B168" s="54" t="s">
        <v>347</v>
      </c>
      <c r="C168" s="307">
        <v>1.5289999999999999</v>
      </c>
      <c r="D168" s="307">
        <v>1502</v>
      </c>
      <c r="E168" s="307">
        <v>1456</v>
      </c>
      <c r="F168" s="307">
        <v>1588</v>
      </c>
      <c r="G168" s="307">
        <v>1756</v>
      </c>
      <c r="H168" s="307">
        <v>1612</v>
      </c>
      <c r="I168" s="306">
        <v>1484</v>
      </c>
      <c r="J168" s="1565">
        <v>1509</v>
      </c>
    </row>
    <row r="169" spans="2:10">
      <c r="B169" s="54"/>
      <c r="C169" s="339"/>
      <c r="D169" s="302"/>
      <c r="E169" s="302"/>
      <c r="F169" s="302"/>
      <c r="G169" s="302"/>
      <c r="H169" s="302"/>
      <c r="I169" s="439"/>
      <c r="J169" s="439"/>
    </row>
    <row r="170" spans="2:10">
      <c r="B170" s="114" t="s">
        <v>346</v>
      </c>
      <c r="C170" s="339">
        <v>75582.039505499997</v>
      </c>
      <c r="D170" s="302">
        <v>92344.396000000008</v>
      </c>
      <c r="E170" s="302">
        <v>101963.70299999998</v>
      </c>
      <c r="F170" s="302">
        <v>117284.30600000001</v>
      </c>
      <c r="G170" s="302">
        <v>168043.19400000002</v>
      </c>
      <c r="H170" s="302">
        <v>181776.93500000003</v>
      </c>
      <c r="I170" s="439">
        <v>178496.5909168378</v>
      </c>
      <c r="J170" s="439">
        <v>193799.69270000001</v>
      </c>
    </row>
    <row r="171" spans="2:10">
      <c r="B171" s="54" t="s">
        <v>342</v>
      </c>
      <c r="C171" s="306">
        <v>43105.38</v>
      </c>
      <c r="D171" s="306">
        <v>41136.151999999995</v>
      </c>
      <c r="E171" s="306">
        <v>42363.584999999999</v>
      </c>
      <c r="F171" s="306">
        <v>44021.609000000004</v>
      </c>
      <c r="G171" s="306">
        <v>45794.635000000002</v>
      </c>
      <c r="H171" s="306">
        <v>48601.811000000002</v>
      </c>
      <c r="I171" s="306">
        <v>44906.165000000008</v>
      </c>
      <c r="J171" s="306">
        <v>50926.458700000003</v>
      </c>
    </row>
    <row r="172" spans="2:10">
      <c r="B172" s="147" t="s">
        <v>341</v>
      </c>
      <c r="C172" s="306">
        <v>43105.38</v>
      </c>
      <c r="D172" s="306">
        <v>41077.043999999994</v>
      </c>
      <c r="E172" s="306">
        <v>42295.777000000002</v>
      </c>
      <c r="F172" s="306">
        <v>43933.312000000005</v>
      </c>
      <c r="G172" s="306">
        <v>45710.222000000002</v>
      </c>
      <c r="H172" s="306">
        <v>48517.154000000002</v>
      </c>
      <c r="I172" s="306">
        <v>44817.693000000007</v>
      </c>
      <c r="J172" s="306">
        <v>50789.7137</v>
      </c>
    </row>
    <row r="173" spans="2:10">
      <c r="B173" s="147" t="s">
        <v>340</v>
      </c>
      <c r="C173" s="306">
        <v>0</v>
      </c>
      <c r="D173" s="306">
        <v>59.107999999999997</v>
      </c>
      <c r="E173" s="306">
        <v>67.808000000000007</v>
      </c>
      <c r="F173" s="306">
        <v>88.296999999999997</v>
      </c>
      <c r="G173" s="306">
        <v>84.412999999999997</v>
      </c>
      <c r="H173" s="306">
        <v>84.656999999999996</v>
      </c>
      <c r="I173" s="306">
        <v>88.471999999999994</v>
      </c>
      <c r="J173" s="306">
        <v>136.745</v>
      </c>
    </row>
    <row r="174" spans="2:10">
      <c r="B174" s="54" t="s">
        <v>339</v>
      </c>
      <c r="C174" s="306">
        <v>22.982505499999998</v>
      </c>
      <c r="D174" s="306">
        <v>32805.144</v>
      </c>
      <c r="E174" s="306">
        <v>39070.486999999994</v>
      </c>
      <c r="F174" s="306">
        <v>47672.419000000002</v>
      </c>
      <c r="G174" s="306">
        <v>93055.369000000006</v>
      </c>
      <c r="H174" s="306">
        <v>98983.98000000001</v>
      </c>
      <c r="I174" s="306">
        <v>90259.025000000009</v>
      </c>
      <c r="J174" s="306">
        <v>85850.617000000013</v>
      </c>
    </row>
    <row r="175" spans="2:10">
      <c r="B175" s="54" t="s">
        <v>338</v>
      </c>
      <c r="C175" s="306">
        <v>32453.677</v>
      </c>
      <c r="D175" s="306">
        <v>18403.100000000002</v>
      </c>
      <c r="E175" s="306">
        <v>20529.630999999998</v>
      </c>
      <c r="F175" s="306">
        <v>25590.278000000002</v>
      </c>
      <c r="G175" s="306">
        <v>29193.19</v>
      </c>
      <c r="H175" s="306">
        <v>34191.144</v>
      </c>
      <c r="I175" s="306">
        <v>43331.400916837796</v>
      </c>
      <c r="J175" s="306">
        <v>57022.616999999998</v>
      </c>
    </row>
    <row r="176" spans="2:10" ht="26">
      <c r="B176" s="147" t="s">
        <v>337</v>
      </c>
      <c r="C176" s="306">
        <v>13511.334000000001</v>
      </c>
      <c r="D176" s="306">
        <v>14898.181</v>
      </c>
      <c r="E176" s="306">
        <v>16622.602999999999</v>
      </c>
      <c r="F176" s="306">
        <v>21353.49</v>
      </c>
      <c r="G176" s="306">
        <v>24439.205999999998</v>
      </c>
      <c r="H176" s="306">
        <v>28654.788</v>
      </c>
      <c r="I176" s="306">
        <v>35400.300916837798</v>
      </c>
      <c r="J176" s="306">
        <v>38038.256999999998</v>
      </c>
    </row>
    <row r="177" spans="2:10">
      <c r="B177" s="147" t="s">
        <v>336</v>
      </c>
      <c r="C177" s="307">
        <v>0</v>
      </c>
      <c r="D177" s="307">
        <v>150.31400000000002</v>
      </c>
      <c r="E177" s="307">
        <v>254.83199999999999</v>
      </c>
      <c r="F177" s="307">
        <v>297.89000000000004</v>
      </c>
      <c r="G177" s="307">
        <v>289.62399999999997</v>
      </c>
      <c r="H177" s="307">
        <v>292.46199999999999</v>
      </c>
      <c r="I177" s="306">
        <v>233.767</v>
      </c>
      <c r="J177" s="306">
        <v>291.16300000000001</v>
      </c>
    </row>
    <row r="178" spans="2:10" ht="26">
      <c r="B178" s="147" t="s">
        <v>335</v>
      </c>
      <c r="C178" s="307">
        <v>0</v>
      </c>
      <c r="D178" s="307">
        <v>3354.605</v>
      </c>
      <c r="E178" s="307">
        <v>3652.1959999999999</v>
      </c>
      <c r="F178" s="307">
        <v>3938.8980000000001</v>
      </c>
      <c r="G178" s="307">
        <v>4464.3599999999997</v>
      </c>
      <c r="H178" s="307">
        <v>5243.8940000000002</v>
      </c>
      <c r="I178" s="306">
        <v>7697.3329999999996</v>
      </c>
      <c r="J178" s="306">
        <v>18693.197</v>
      </c>
    </row>
    <row r="179" spans="2:10">
      <c r="B179" s="147"/>
      <c r="C179" s="339"/>
      <c r="D179" s="302"/>
      <c r="E179" s="302"/>
      <c r="F179" s="302"/>
      <c r="G179" s="302"/>
      <c r="H179" s="302"/>
      <c r="I179" s="439"/>
      <c r="J179" s="439"/>
    </row>
    <row r="180" spans="2:10" ht="26">
      <c r="B180" s="148" t="s">
        <v>345</v>
      </c>
      <c r="C180" s="339">
        <v>84956.102576050878</v>
      </c>
      <c r="D180" s="302">
        <v>89096.032000000007</v>
      </c>
      <c r="E180" s="302">
        <v>97594.152999999991</v>
      </c>
      <c r="F180" s="302">
        <v>111211.689</v>
      </c>
      <c r="G180" s="302">
        <v>119785.71600000001</v>
      </c>
      <c r="H180" s="302">
        <v>130353.41500000001</v>
      </c>
      <c r="I180" s="439">
        <v>132284.19591683778</v>
      </c>
      <c r="J180" s="1568">
        <f>+J181+J184+J185</f>
        <v>189512.66470000002</v>
      </c>
    </row>
    <row r="181" spans="2:10">
      <c r="B181" s="54" t="s">
        <v>342</v>
      </c>
      <c r="C181" s="306">
        <v>84956.102576050878</v>
      </c>
      <c r="D181" s="306">
        <v>40726.097999999998</v>
      </c>
      <c r="E181" s="306">
        <v>41982.811999999998</v>
      </c>
      <c r="F181" s="306">
        <v>43582.39</v>
      </c>
      <c r="G181" s="306">
        <v>45342.448000000004</v>
      </c>
      <c r="H181" s="306">
        <v>48127.688000000002</v>
      </c>
      <c r="I181" s="306">
        <v>44523.168000000005</v>
      </c>
      <c r="J181" s="1565">
        <f>+SUM(J182:J183)</f>
        <v>50444.687700000002</v>
      </c>
    </row>
    <row r="182" spans="2:10">
      <c r="B182" s="147" t="s">
        <v>341</v>
      </c>
      <c r="C182" s="306">
        <v>42478.051288025439</v>
      </c>
      <c r="D182" s="306">
        <v>40666.99</v>
      </c>
      <c r="E182" s="306">
        <v>41915.004000000001</v>
      </c>
      <c r="F182" s="306">
        <v>43494.093000000001</v>
      </c>
      <c r="G182" s="306">
        <v>45258.035000000003</v>
      </c>
      <c r="H182" s="306">
        <v>48043.031000000003</v>
      </c>
      <c r="I182" s="306">
        <v>44434.696000000004</v>
      </c>
      <c r="J182" s="1565">
        <v>50307.9427</v>
      </c>
    </row>
    <row r="183" spans="2:10">
      <c r="B183" s="147" t="s">
        <v>340</v>
      </c>
      <c r="C183" s="307">
        <v>42478.051288025439</v>
      </c>
      <c r="D183" s="307">
        <v>59.107999999999997</v>
      </c>
      <c r="E183" s="307">
        <v>67.808000000000007</v>
      </c>
      <c r="F183" s="307">
        <v>88.296999999999997</v>
      </c>
      <c r="G183" s="307">
        <v>84.412999999999997</v>
      </c>
      <c r="H183" s="307">
        <v>84.656999999999996</v>
      </c>
      <c r="I183" s="306">
        <v>88.471999999999994</v>
      </c>
      <c r="J183" s="1565">
        <v>136.745</v>
      </c>
    </row>
    <row r="184" spans="2:10">
      <c r="B184" s="54" t="s">
        <v>339</v>
      </c>
      <c r="C184" s="307">
        <v>0</v>
      </c>
      <c r="D184" s="307">
        <v>29972.712</v>
      </c>
      <c r="E184" s="307">
        <v>35088.928</v>
      </c>
      <c r="F184" s="307">
        <v>42047.055999999997</v>
      </c>
      <c r="G184" s="307">
        <v>45258.035000000003</v>
      </c>
      <c r="H184" s="307">
        <v>48043.031000000003</v>
      </c>
      <c r="I184" s="306">
        <v>44434.696000000004</v>
      </c>
      <c r="J184" s="1565">
        <v>82050.285000000003</v>
      </c>
    </row>
    <row r="185" spans="2:10">
      <c r="B185" s="54" t="s">
        <v>338</v>
      </c>
      <c r="C185" s="307">
        <v>0</v>
      </c>
      <c r="D185" s="307">
        <v>18397.222000000002</v>
      </c>
      <c r="E185" s="307">
        <v>20522.413</v>
      </c>
      <c r="F185" s="307">
        <v>25582.243000000002</v>
      </c>
      <c r="G185" s="307">
        <v>29185.233</v>
      </c>
      <c r="H185" s="307">
        <v>34182.695999999996</v>
      </c>
      <c r="I185" s="306">
        <v>43326.331916837793</v>
      </c>
      <c r="J185" s="1565">
        <f>+SUM(J186:J188)</f>
        <v>57017.691999999995</v>
      </c>
    </row>
    <row r="186" spans="2:10" ht="26">
      <c r="B186" s="147" t="s">
        <v>337</v>
      </c>
      <c r="C186" s="307">
        <v>0</v>
      </c>
      <c r="D186" s="307">
        <v>14898.181</v>
      </c>
      <c r="E186" s="307">
        <v>16622.602999999999</v>
      </c>
      <c r="F186" s="307">
        <v>21353.49</v>
      </c>
      <c r="G186" s="307">
        <v>24439.205999999998</v>
      </c>
      <c r="H186" s="307">
        <v>28654.788</v>
      </c>
      <c r="I186" s="306">
        <v>35400.300916837798</v>
      </c>
      <c r="J186" s="1565">
        <v>38038.256999999998</v>
      </c>
    </row>
    <row r="187" spans="2:10">
      <c r="B187" s="147" t="s">
        <v>336</v>
      </c>
      <c r="C187" s="307">
        <v>0</v>
      </c>
      <c r="D187" s="307">
        <v>144.43600000000001</v>
      </c>
      <c r="E187" s="307">
        <v>247.614</v>
      </c>
      <c r="F187" s="307">
        <v>289.85500000000002</v>
      </c>
      <c r="G187" s="307">
        <v>281.66699999999997</v>
      </c>
      <c r="H187" s="307">
        <v>284.01400000000001</v>
      </c>
      <c r="I187" s="306">
        <v>228.69800000000001</v>
      </c>
      <c r="J187" s="1565">
        <v>286.238</v>
      </c>
    </row>
    <row r="188" spans="2:10" ht="26">
      <c r="B188" s="147" t="s">
        <v>335</v>
      </c>
      <c r="C188" s="307">
        <v>0</v>
      </c>
      <c r="D188" s="307">
        <v>3354.605</v>
      </c>
      <c r="E188" s="307">
        <v>3652.1959999999999</v>
      </c>
      <c r="F188" s="307">
        <v>3938.8980000000001</v>
      </c>
      <c r="G188" s="307">
        <v>4464.3599999999997</v>
      </c>
      <c r="H188" s="307">
        <v>5243.8940000000002</v>
      </c>
      <c r="I188" s="306">
        <v>7697.3329999999996</v>
      </c>
      <c r="J188" s="1565">
        <v>18693.197</v>
      </c>
    </row>
    <row r="189" spans="2:10">
      <c r="B189" s="147"/>
      <c r="C189" s="339"/>
      <c r="D189" s="302"/>
      <c r="E189" s="302"/>
      <c r="F189" s="302"/>
      <c r="G189" s="302"/>
      <c r="H189" s="302"/>
      <c r="I189" s="439"/>
      <c r="J189" s="439"/>
    </row>
    <row r="190" spans="2:10" ht="39">
      <c r="B190" s="148" t="s">
        <v>344</v>
      </c>
      <c r="C190" s="339">
        <v>505.14117187499994</v>
      </c>
      <c r="D190">
        <v>2070.5609999999997</v>
      </c>
      <c r="E190">
        <v>2952.4650000000001</v>
      </c>
      <c r="F190">
        <v>4420.5340000000006</v>
      </c>
      <c r="G190">
        <v>4237.375</v>
      </c>
      <c r="H190">
        <v>4137.9980000000005</v>
      </c>
      <c r="I190">
        <v>1738.3810000000001</v>
      </c>
      <c r="J190">
        <v>2636.9409999999998</v>
      </c>
    </row>
    <row r="191" spans="2:10">
      <c r="B191" s="54" t="s">
        <v>342</v>
      </c>
      <c r="C191" s="306">
        <v>505.14117187499994</v>
      </c>
      <c r="D191">
        <v>325.827</v>
      </c>
      <c r="E191">
        <v>285.74599999999998</v>
      </c>
      <c r="F191">
        <v>331.32100000000003</v>
      </c>
      <c r="G191">
        <v>339.452</v>
      </c>
      <c r="H191">
        <v>359.53100000000001</v>
      </c>
      <c r="I191">
        <v>308.08699999999999</v>
      </c>
      <c r="J191">
        <v>410.53100000000001</v>
      </c>
    </row>
    <row r="192" spans="2:10">
      <c r="B192" s="147" t="s">
        <v>341</v>
      </c>
      <c r="C192" s="306">
        <v>505.14117187499994</v>
      </c>
      <c r="D192">
        <v>325.827</v>
      </c>
      <c r="E192">
        <v>285.74599999999998</v>
      </c>
      <c r="F192">
        <v>331.32100000000003</v>
      </c>
      <c r="G192">
        <v>339.452</v>
      </c>
      <c r="H192">
        <v>359.53100000000001</v>
      </c>
      <c r="I192">
        <v>308.08699999999999</v>
      </c>
      <c r="J192">
        <v>410.53100000000001</v>
      </c>
    </row>
    <row r="193" spans="2:15">
      <c r="B193" s="147" t="s">
        <v>340</v>
      </c>
      <c r="C193" s="307">
        <v>0</v>
      </c>
      <c r="D193" s="307">
        <v>0</v>
      </c>
      <c r="E193" s="307">
        <v>0</v>
      </c>
      <c r="F193" s="307">
        <v>0</v>
      </c>
      <c r="G193" s="307">
        <v>0</v>
      </c>
      <c r="H193" s="307">
        <v>0</v>
      </c>
      <c r="I193" s="307">
        <v>0</v>
      </c>
      <c r="J193" s="307">
        <v>0</v>
      </c>
    </row>
    <row r="194" spans="2:15">
      <c r="B194" s="54" t="s">
        <v>339</v>
      </c>
      <c r="C194" s="307">
        <v>0</v>
      </c>
      <c r="D194">
        <v>1744.7339999999999</v>
      </c>
      <c r="E194">
        <v>2666.7190000000001</v>
      </c>
      <c r="F194">
        <v>4089.2130000000002</v>
      </c>
      <c r="G194">
        <v>3897.9229999999998</v>
      </c>
      <c r="H194">
        <v>3778.4670000000001</v>
      </c>
      <c r="I194">
        <v>1430.2940000000001</v>
      </c>
      <c r="J194">
        <v>2226.41</v>
      </c>
    </row>
    <row r="195" spans="2:15">
      <c r="B195" s="54" t="s">
        <v>338</v>
      </c>
      <c r="C195" s="307">
        <v>0</v>
      </c>
      <c r="D195" s="307">
        <v>0</v>
      </c>
      <c r="E195" s="307">
        <v>0</v>
      </c>
      <c r="F195" s="307">
        <v>0</v>
      </c>
      <c r="G195" s="307">
        <v>0</v>
      </c>
      <c r="H195" s="307">
        <v>0</v>
      </c>
      <c r="I195" s="307">
        <v>0</v>
      </c>
      <c r="J195" s="307">
        <v>0</v>
      </c>
    </row>
    <row r="196" spans="2:15" ht="26">
      <c r="B196" s="147" t="s">
        <v>337</v>
      </c>
      <c r="C196" s="307">
        <v>0</v>
      </c>
      <c r="D196" s="307">
        <v>0</v>
      </c>
      <c r="E196" s="307">
        <v>0</v>
      </c>
      <c r="F196" s="307">
        <v>0</v>
      </c>
      <c r="G196" s="307">
        <v>0</v>
      </c>
      <c r="H196" s="307">
        <v>0</v>
      </c>
      <c r="I196" s="307">
        <v>0</v>
      </c>
      <c r="J196" s="307">
        <v>0</v>
      </c>
    </row>
    <row r="197" spans="2:15">
      <c r="B197" s="147" t="s">
        <v>336</v>
      </c>
      <c r="C197" s="307">
        <v>0</v>
      </c>
      <c r="D197" s="307">
        <v>0</v>
      </c>
      <c r="E197" s="307">
        <v>0</v>
      </c>
      <c r="F197" s="307">
        <v>0</v>
      </c>
      <c r="G197" s="307">
        <v>0</v>
      </c>
      <c r="H197" s="307">
        <v>0</v>
      </c>
      <c r="I197" s="307">
        <v>0</v>
      </c>
      <c r="J197" s="307">
        <v>0</v>
      </c>
    </row>
    <row r="198" spans="2:15" ht="26">
      <c r="B198" s="147" t="s">
        <v>335</v>
      </c>
      <c r="C198" s="307">
        <v>0</v>
      </c>
      <c r="D198" s="307">
        <v>0</v>
      </c>
      <c r="E198" s="307">
        <v>0</v>
      </c>
      <c r="F198" s="307">
        <v>0</v>
      </c>
      <c r="G198" s="307">
        <v>0</v>
      </c>
      <c r="H198" s="307">
        <v>0</v>
      </c>
      <c r="I198" s="307">
        <v>0</v>
      </c>
      <c r="J198" s="307">
        <v>0</v>
      </c>
      <c r="O198" s="1412"/>
    </row>
    <row r="199" spans="2:15">
      <c r="B199" s="147"/>
      <c r="C199" s="339"/>
      <c r="D199" s="302"/>
      <c r="E199" s="302"/>
      <c r="F199" s="302"/>
      <c r="G199" s="302"/>
      <c r="H199" s="302"/>
      <c r="I199" s="439"/>
      <c r="J199" s="439"/>
    </row>
    <row r="200" spans="2:15" ht="39">
      <c r="B200" s="148" t="s">
        <v>343</v>
      </c>
      <c r="C200" s="339">
        <v>122.18754009955752</v>
      </c>
      <c r="D200" s="302">
        <v>1177.8030000000001</v>
      </c>
      <c r="E200" s="302">
        <v>1417.085</v>
      </c>
      <c r="F200" s="302">
        <v>1652.0830000000001</v>
      </c>
      <c r="G200" s="302">
        <v>2659.991</v>
      </c>
      <c r="H200" s="302">
        <v>3020.9580000000001</v>
      </c>
      <c r="I200" s="439">
        <v>1469.6120000000001</v>
      </c>
      <c r="J200" s="439">
        <v>1650.087</v>
      </c>
    </row>
    <row r="201" spans="2:15">
      <c r="B201" s="54" t="s">
        <v>342</v>
      </c>
      <c r="C201" s="306">
        <v>122.18754009955752</v>
      </c>
      <c r="D201" s="306">
        <v>84.227000000000004</v>
      </c>
      <c r="E201" s="306">
        <v>95.027000000000001</v>
      </c>
      <c r="F201" s="306">
        <v>107.898</v>
      </c>
      <c r="G201" s="306">
        <v>112.735</v>
      </c>
      <c r="H201" s="306">
        <v>114.592</v>
      </c>
      <c r="I201" s="306">
        <v>74.91</v>
      </c>
      <c r="J201" s="306">
        <v>71.239999999999995</v>
      </c>
    </row>
    <row r="202" spans="2:15">
      <c r="B202" s="147" t="s">
        <v>341</v>
      </c>
      <c r="C202" s="306">
        <v>122.18754009955752</v>
      </c>
      <c r="D202" s="306">
        <v>84.227000000000004</v>
      </c>
      <c r="E202" s="306">
        <v>95.027000000000001</v>
      </c>
      <c r="F202" s="306">
        <v>107.898</v>
      </c>
      <c r="G202" s="306">
        <v>112.735</v>
      </c>
      <c r="H202" s="306">
        <v>114.592</v>
      </c>
      <c r="I202" s="306">
        <v>74.91</v>
      </c>
      <c r="J202" s="306">
        <v>71.239999999999995</v>
      </c>
    </row>
    <row r="203" spans="2:15">
      <c r="B203" s="147" t="s">
        <v>340</v>
      </c>
      <c r="C203" s="307">
        <v>0</v>
      </c>
      <c r="D203" s="307">
        <v>0</v>
      </c>
      <c r="E203" s="307">
        <v>0</v>
      </c>
      <c r="F203" s="307">
        <v>0</v>
      </c>
      <c r="G203" s="307">
        <v>0</v>
      </c>
      <c r="H203" s="307">
        <v>0</v>
      </c>
      <c r="I203" s="306">
        <v>0</v>
      </c>
      <c r="J203" s="306">
        <v>0</v>
      </c>
    </row>
    <row r="204" spans="2:15">
      <c r="B204" s="54" t="s">
        <v>339</v>
      </c>
      <c r="C204" s="307">
        <v>0</v>
      </c>
      <c r="D204" s="307">
        <v>1087.6980000000001</v>
      </c>
      <c r="E204" s="307">
        <v>1314.84</v>
      </c>
      <c r="F204" s="307">
        <v>1536.15</v>
      </c>
      <c r="G204" s="307">
        <v>2539.299</v>
      </c>
      <c r="H204" s="307">
        <v>2897.9180000000001</v>
      </c>
      <c r="I204" s="306">
        <v>1389.633</v>
      </c>
      <c r="J204" s="1565">
        <v>1573.922</v>
      </c>
    </row>
    <row r="205" spans="2:15">
      <c r="B205" s="54" t="s">
        <v>338</v>
      </c>
      <c r="C205" s="1569">
        <v>0</v>
      </c>
      <c r="D205" s="1569">
        <v>5.8780000000000001</v>
      </c>
      <c r="E205" s="1569">
        <v>7.218</v>
      </c>
      <c r="F205" s="1569">
        <v>8.0350000000000001</v>
      </c>
      <c r="G205" s="1569">
        <v>7.9569999999999999</v>
      </c>
      <c r="H205" s="1569">
        <v>8.4480000000000004</v>
      </c>
      <c r="I205" s="1570">
        <v>5.069</v>
      </c>
      <c r="J205" s="1570">
        <v>4.9249999999999998</v>
      </c>
    </row>
    <row r="206" spans="2:15" ht="26">
      <c r="B206" s="147" t="s">
        <v>337</v>
      </c>
      <c r="C206" s="307">
        <v>0</v>
      </c>
      <c r="D206" s="307">
        <v>0</v>
      </c>
      <c r="E206" s="307">
        <v>0</v>
      </c>
      <c r="F206" s="307">
        <v>0</v>
      </c>
      <c r="G206" s="307">
        <v>0</v>
      </c>
      <c r="H206" s="307">
        <v>0</v>
      </c>
      <c r="I206" s="306">
        <v>0</v>
      </c>
      <c r="J206" s="306">
        <v>0</v>
      </c>
    </row>
    <row r="207" spans="2:15">
      <c r="B207" s="147" t="s">
        <v>336</v>
      </c>
      <c r="C207" s="1569">
        <v>0</v>
      </c>
      <c r="D207" s="1569">
        <v>5.8780000000000001</v>
      </c>
      <c r="E207" s="1569">
        <v>7.218</v>
      </c>
      <c r="F207" s="1569">
        <v>8.0350000000000001</v>
      </c>
      <c r="G207" s="1569">
        <v>7.9569999999999999</v>
      </c>
      <c r="H207" s="1569">
        <v>8.4480000000000004</v>
      </c>
      <c r="I207" s="1570">
        <v>5.069</v>
      </c>
      <c r="J207" s="1570">
        <v>4.9249999999999998</v>
      </c>
    </row>
    <row r="208" spans="2:15" ht="26.5" thickBot="1">
      <c r="B208" s="146" t="s">
        <v>335</v>
      </c>
      <c r="C208" s="307">
        <v>0</v>
      </c>
      <c r="D208" s="307">
        <v>0</v>
      </c>
      <c r="E208" s="307">
        <v>0</v>
      </c>
      <c r="F208" s="307">
        <v>0</v>
      </c>
      <c r="G208" s="307">
        <v>0</v>
      </c>
      <c r="H208" s="307">
        <v>0</v>
      </c>
      <c r="I208" s="306">
        <v>0</v>
      </c>
      <c r="J208" s="306">
        <v>0</v>
      </c>
    </row>
    <row r="209" spans="2:10" ht="15" thickTop="1">
      <c r="B209" s="2025" t="s">
        <v>2017</v>
      </c>
      <c r="C209" s="2025"/>
      <c r="D209" s="2025"/>
      <c r="E209" s="2025"/>
      <c r="F209" s="2025"/>
      <c r="G209" s="2025"/>
      <c r="H209" s="2025"/>
      <c r="I209" s="2025"/>
      <c r="J209" s="2025"/>
    </row>
    <row r="210" spans="2:10">
      <c r="B210" s="2017"/>
      <c r="C210" s="2017"/>
      <c r="D210" s="2017"/>
      <c r="E210" s="2017"/>
      <c r="F210" s="2017"/>
      <c r="G210" s="2017"/>
      <c r="H210" s="2017"/>
      <c r="I210" s="2017"/>
      <c r="J210" s="2017"/>
    </row>
    <row r="211" spans="2:10">
      <c r="B211" s="64"/>
      <c r="C211" s="339"/>
      <c r="D211" s="302"/>
      <c r="E211" s="302"/>
      <c r="F211" s="302"/>
      <c r="G211" s="302"/>
      <c r="H211" s="302"/>
      <c r="I211" s="302"/>
      <c r="J211" s="439"/>
    </row>
    <row r="212" spans="2:10">
      <c r="B212" s="2100" t="s">
        <v>364</v>
      </c>
      <c r="C212" s="2100"/>
      <c r="D212" s="2100"/>
      <c r="E212" s="2100"/>
      <c r="F212" s="2100"/>
      <c r="G212" s="2100"/>
      <c r="H212" s="2100"/>
      <c r="I212" s="2100"/>
      <c r="J212" s="2100"/>
    </row>
    <row r="213" spans="2:10">
      <c r="B213" s="12" t="s">
        <v>363</v>
      </c>
      <c r="C213" s="339"/>
      <c r="D213" s="302"/>
      <c r="E213" s="302"/>
      <c r="F213" s="302"/>
      <c r="G213" s="302"/>
      <c r="H213" s="302"/>
      <c r="I213" s="302"/>
      <c r="J213" s="439"/>
    </row>
    <row r="214" spans="2:10">
      <c r="B214" s="62" t="s">
        <v>311</v>
      </c>
      <c r="C214" s="339"/>
      <c r="D214" s="302"/>
      <c r="E214" s="302"/>
      <c r="F214" s="302"/>
      <c r="G214" s="302"/>
      <c r="H214" s="302"/>
      <c r="I214" s="302"/>
      <c r="J214" s="439"/>
    </row>
    <row r="215" spans="2:10">
      <c r="B215" s="64"/>
      <c r="C215" s="339"/>
      <c r="D215" s="302"/>
      <c r="E215" s="302"/>
      <c r="F215" s="302"/>
      <c r="G215" s="302"/>
      <c r="H215" s="302"/>
      <c r="I215" s="302"/>
      <c r="J215" s="439"/>
    </row>
    <row r="216" spans="2:10">
      <c r="B216" s="61"/>
      <c r="C216" s="1536">
        <v>2014</v>
      </c>
      <c r="D216" s="303">
        <v>2015</v>
      </c>
      <c r="E216" s="303">
        <v>2016</v>
      </c>
      <c r="F216" s="303">
        <v>2017</v>
      </c>
      <c r="G216" s="303">
        <v>2018</v>
      </c>
      <c r="H216" s="303">
        <v>2019</v>
      </c>
      <c r="I216" s="303">
        <v>2020</v>
      </c>
      <c r="J216" s="303">
        <v>2021</v>
      </c>
    </row>
    <row r="217" spans="2:10">
      <c r="B217" s="114" t="s">
        <v>362</v>
      </c>
      <c r="C217" s="307">
        <v>0</v>
      </c>
      <c r="D217" s="302">
        <v>375169.57367792388</v>
      </c>
      <c r="E217" s="302">
        <v>339034.80034763849</v>
      </c>
      <c r="F217" s="302">
        <v>339663.06032572559</v>
      </c>
      <c r="G217" s="302">
        <v>375598.04582638951</v>
      </c>
      <c r="H217" s="302">
        <v>377296.86132618581</v>
      </c>
      <c r="I217" s="302">
        <v>411420.40084398875</v>
      </c>
      <c r="J217" s="439">
        <v>587348.96674493852</v>
      </c>
    </row>
    <row r="218" spans="2:10">
      <c r="B218" s="54" t="s">
        <v>361</v>
      </c>
      <c r="C218" s="307">
        <v>0</v>
      </c>
      <c r="D218" s="307">
        <v>341663.97169746354</v>
      </c>
      <c r="E218" s="307">
        <v>307856.96630150446</v>
      </c>
      <c r="F218" s="307">
        <v>305499.73815157608</v>
      </c>
      <c r="G218" s="307">
        <v>345224.88981487899</v>
      </c>
      <c r="H218" s="307">
        <v>353196.85646238842</v>
      </c>
      <c r="I218" s="307">
        <v>390603.23078004899</v>
      </c>
      <c r="J218" s="306">
        <v>567441.81667480094</v>
      </c>
    </row>
    <row r="219" spans="2:10">
      <c r="B219" s="151" t="s">
        <v>360</v>
      </c>
      <c r="C219" s="307">
        <v>0</v>
      </c>
      <c r="D219" s="307">
        <v>0</v>
      </c>
      <c r="E219" s="307">
        <v>0</v>
      </c>
      <c r="F219" s="307">
        <v>0</v>
      </c>
      <c r="G219" s="307">
        <v>0</v>
      </c>
      <c r="H219" s="307">
        <v>0</v>
      </c>
      <c r="I219" s="307">
        <v>0</v>
      </c>
      <c r="J219" s="307">
        <v>0</v>
      </c>
    </row>
    <row r="220" spans="2:10">
      <c r="B220" s="151" t="s">
        <v>359</v>
      </c>
      <c r="C220" s="307">
        <v>0</v>
      </c>
      <c r="D220" s="307">
        <v>341663.97169746354</v>
      </c>
      <c r="E220" s="307">
        <v>307856.96630150446</v>
      </c>
      <c r="F220" s="307">
        <v>305499.73815157608</v>
      </c>
      <c r="G220" s="307">
        <v>345224.88981487899</v>
      </c>
      <c r="H220" s="307">
        <v>353196.85646238842</v>
      </c>
      <c r="I220" s="307">
        <v>390603.23078004899</v>
      </c>
      <c r="J220" s="306">
        <v>567441.81667480094</v>
      </c>
    </row>
    <row r="221" spans="2:10">
      <c r="B221" s="152" t="s">
        <v>358</v>
      </c>
      <c r="C221" s="307">
        <v>0</v>
      </c>
      <c r="D221" s="307">
        <v>0</v>
      </c>
      <c r="E221" s="307">
        <v>0</v>
      </c>
      <c r="F221" s="307">
        <v>0</v>
      </c>
      <c r="G221" s="307">
        <v>0</v>
      </c>
      <c r="H221" s="307">
        <v>0</v>
      </c>
      <c r="I221" s="307">
        <v>0</v>
      </c>
      <c r="J221" s="307">
        <v>0</v>
      </c>
    </row>
    <row r="222" spans="2:10" ht="25">
      <c r="B222" s="71" t="s">
        <v>357</v>
      </c>
      <c r="C222" s="307">
        <v>0</v>
      </c>
      <c r="D222" s="306">
        <v>1420.8878644383824</v>
      </c>
      <c r="E222" s="306">
        <v>1647.616927755181</v>
      </c>
      <c r="F222" s="306">
        <v>2009.1344218213876</v>
      </c>
      <c r="G222" s="306">
        <v>2463.4328942667366</v>
      </c>
      <c r="H222" s="306">
        <v>2574.5957899143632</v>
      </c>
      <c r="I222" s="306">
        <v>2210.1097669844644</v>
      </c>
      <c r="J222" s="306">
        <v>1987.8434905090878</v>
      </c>
    </row>
    <row r="223" spans="2:10" ht="26">
      <c r="B223" s="151" t="s">
        <v>356</v>
      </c>
      <c r="C223" s="307">
        <v>0</v>
      </c>
      <c r="D223" s="306">
        <v>515.4955483629052</v>
      </c>
      <c r="E223" s="306">
        <v>653.7003732447688</v>
      </c>
      <c r="F223" s="306">
        <v>855.54110776754874</v>
      </c>
      <c r="G223" s="306">
        <v>980.9518493209805</v>
      </c>
      <c r="H223" s="306">
        <v>1102.241529176245</v>
      </c>
      <c r="I223" s="306">
        <v>1172.4952963263354</v>
      </c>
      <c r="J223" s="306">
        <v>1244.3716045317565</v>
      </c>
    </row>
    <row r="224" spans="2:10" ht="26">
      <c r="B224" s="151" t="s">
        <v>355</v>
      </c>
      <c r="C224" s="307">
        <v>0</v>
      </c>
      <c r="D224" s="307">
        <v>0</v>
      </c>
      <c r="E224" s="307">
        <v>0</v>
      </c>
      <c r="F224" s="307">
        <v>0</v>
      </c>
      <c r="G224" s="307">
        <v>0</v>
      </c>
      <c r="H224" s="307">
        <v>0</v>
      </c>
      <c r="I224" s="307">
        <v>0</v>
      </c>
      <c r="J224" s="307">
        <v>0</v>
      </c>
    </row>
    <row r="225" spans="2:10" ht="26">
      <c r="B225" s="151" t="s">
        <v>354</v>
      </c>
      <c r="C225" s="307">
        <v>0</v>
      </c>
      <c r="D225" s="306">
        <v>905.39231607547731</v>
      </c>
      <c r="E225" s="306">
        <v>993.91655451041208</v>
      </c>
      <c r="F225" s="306">
        <v>1153.5933140538389</v>
      </c>
      <c r="G225" s="306">
        <v>1482.4810449457564</v>
      </c>
      <c r="H225" s="306">
        <v>1472.354260738118</v>
      </c>
      <c r="I225" s="306">
        <v>1037.6144706581292</v>
      </c>
      <c r="J225" s="306">
        <v>743.47188597733145</v>
      </c>
    </row>
    <row r="226" spans="2:10">
      <c r="B226" s="71" t="s">
        <v>338</v>
      </c>
      <c r="C226" s="307">
        <v>0</v>
      </c>
      <c r="D226" s="306">
        <v>7.8847867809561905</v>
      </c>
      <c r="E226" s="306">
        <v>10.570508003500469</v>
      </c>
      <c r="F226" s="306">
        <v>25.525816442023881</v>
      </c>
      <c r="G226" s="306">
        <v>30.133202789867351</v>
      </c>
      <c r="H226" s="306">
        <v>39.3750554187693</v>
      </c>
      <c r="I226" s="306">
        <v>368.6536278589835</v>
      </c>
      <c r="J226" s="306">
        <v>191.04804196465884</v>
      </c>
    </row>
    <row r="227" spans="2:10">
      <c r="B227" s="71" t="s">
        <v>353</v>
      </c>
      <c r="C227" s="307">
        <v>0</v>
      </c>
      <c r="D227" s="129">
        <v>32076.829329240994</v>
      </c>
      <c r="E227" s="129">
        <v>29519.64661037533</v>
      </c>
      <c r="F227" s="129">
        <v>32128.661935886052</v>
      </c>
      <c r="G227" s="129">
        <v>27879.589914453987</v>
      </c>
      <c r="H227" s="129">
        <v>21486.034018464248</v>
      </c>
      <c r="I227" s="129">
        <v>18238.406669096334</v>
      </c>
      <c r="J227" s="102">
        <v>17728.258537663889</v>
      </c>
    </row>
    <row r="228" spans="2:10">
      <c r="B228" s="150" t="s">
        <v>352</v>
      </c>
      <c r="C228" s="307">
        <v>0</v>
      </c>
      <c r="D228" s="102">
        <v>20494.611963345495</v>
      </c>
      <c r="E228" s="102">
        <v>19611.25251251442</v>
      </c>
      <c r="F228" s="102">
        <v>20551.974077524941</v>
      </c>
      <c r="G228" s="102">
        <v>19090.444467658333</v>
      </c>
      <c r="H228" s="102">
        <v>16163.468242038329</v>
      </c>
      <c r="I228" s="102">
        <v>10867.930445251714</v>
      </c>
      <c r="J228" s="102">
        <v>10372.100235691325</v>
      </c>
    </row>
    <row r="229" spans="2:10">
      <c r="B229" s="150" t="s">
        <v>351</v>
      </c>
      <c r="C229" s="307">
        <v>0</v>
      </c>
      <c r="D229" s="306">
        <v>11582.217365895502</v>
      </c>
      <c r="E229" s="306">
        <v>9908.3940978609135</v>
      </c>
      <c r="F229" s="306">
        <v>11576.687858361114</v>
      </c>
      <c r="G229" s="306">
        <v>8789.1454467956537</v>
      </c>
      <c r="H229" s="306">
        <v>5322.5657764259204</v>
      </c>
      <c r="I229" s="306">
        <v>7370.4762238446183</v>
      </c>
      <c r="J229" s="306">
        <v>7356.1583019725622</v>
      </c>
    </row>
    <row r="230" spans="2:10">
      <c r="B230" s="54" t="s">
        <v>350</v>
      </c>
      <c r="C230" s="307">
        <v>0</v>
      </c>
      <c r="D230" s="307">
        <v>0</v>
      </c>
      <c r="E230" s="307">
        <v>0</v>
      </c>
      <c r="F230" s="307">
        <v>0</v>
      </c>
      <c r="G230" s="307">
        <v>0</v>
      </c>
      <c r="H230" s="307">
        <v>0</v>
      </c>
      <c r="I230" s="307">
        <v>0</v>
      </c>
      <c r="J230" s="307">
        <v>0</v>
      </c>
    </row>
    <row r="231" spans="2:10">
      <c r="B231" s="54"/>
      <c r="C231" s="1561"/>
      <c r="D231" s="439"/>
      <c r="E231" s="439"/>
      <c r="F231" s="439"/>
      <c r="G231" s="439"/>
      <c r="H231" s="439"/>
      <c r="I231" s="439"/>
      <c r="J231" s="439"/>
    </row>
    <row r="232" spans="2:10" ht="25">
      <c r="B232" s="54" t="s">
        <v>349</v>
      </c>
      <c r="C232" s="306">
        <f>C217</f>
        <v>0</v>
      </c>
      <c r="D232" s="306">
        <v>375169.57367792388</v>
      </c>
      <c r="E232" s="306">
        <v>339034.80034763849</v>
      </c>
      <c r="F232" s="306">
        <v>339663.06032572559</v>
      </c>
      <c r="G232" s="306">
        <v>375598.04582638951</v>
      </c>
      <c r="H232" s="306">
        <v>377296.86132618581</v>
      </c>
      <c r="I232" s="306">
        <v>411420.40084398875</v>
      </c>
      <c r="J232" s="306">
        <v>587348.96674493852</v>
      </c>
    </row>
    <row r="233" spans="2:10">
      <c r="B233" s="147" t="s">
        <v>348</v>
      </c>
      <c r="C233" s="306">
        <f t="shared" ref="C233:C235" si="0">C218</f>
        <v>0</v>
      </c>
      <c r="D233" s="307">
        <v>6844.1911565550799</v>
      </c>
      <c r="E233" s="307">
        <v>6255.3140999026764</v>
      </c>
      <c r="F233" s="307">
        <v>8665.7877696588293</v>
      </c>
      <c r="G233" s="307">
        <v>12509.714113319118</v>
      </c>
      <c r="H233" s="307">
        <v>11708.726214460046</v>
      </c>
      <c r="I233" s="307">
        <v>11999.511672382861</v>
      </c>
      <c r="J233" s="306">
        <v>13568.342780830271</v>
      </c>
    </row>
    <row r="234" spans="2:10">
      <c r="B234" s="147"/>
      <c r="C234" s="306">
        <f t="shared" si="0"/>
        <v>0</v>
      </c>
      <c r="D234" s="307">
        <v>0</v>
      </c>
      <c r="E234" s="307">
        <v>0</v>
      </c>
      <c r="F234" s="307">
        <v>0</v>
      </c>
      <c r="G234" s="307">
        <v>0</v>
      </c>
      <c r="H234" s="307">
        <v>0</v>
      </c>
      <c r="I234" s="307">
        <v>0</v>
      </c>
      <c r="J234" s="307">
        <v>0</v>
      </c>
    </row>
    <row r="235" spans="2:10">
      <c r="B235" s="54" t="s">
        <v>347</v>
      </c>
      <c r="C235" s="306">
        <f t="shared" si="0"/>
        <v>0</v>
      </c>
      <c r="D235" s="307">
        <v>2871.835645461686</v>
      </c>
      <c r="E235" s="307">
        <v>4016.7666507520321</v>
      </c>
      <c r="F235" s="307">
        <v>5208.9154664061507</v>
      </c>
      <c r="G235" s="307">
        <v>5947.6646662777684</v>
      </c>
      <c r="H235" s="307">
        <v>5621.1061088351717</v>
      </c>
      <c r="I235" s="307">
        <v>7908.5128803916568</v>
      </c>
      <c r="J235" s="306">
        <v>7049.9412750403671</v>
      </c>
    </row>
    <row r="236" spans="2:10">
      <c r="B236" s="54"/>
      <c r="C236" s="339"/>
      <c r="D236" s="302"/>
      <c r="E236" s="302"/>
      <c r="F236" s="302"/>
      <c r="G236" s="302"/>
      <c r="H236" s="302"/>
      <c r="I236" s="302"/>
      <c r="J236" s="439"/>
    </row>
    <row r="237" spans="2:10">
      <c r="B237" s="114" t="s">
        <v>346</v>
      </c>
      <c r="C237" s="339">
        <v>0</v>
      </c>
      <c r="D237" s="302">
        <v>7147.2277553569193</v>
      </c>
      <c r="E237" s="302">
        <v>7616.1066614340152</v>
      </c>
      <c r="F237" s="302">
        <v>8590.2475738675766</v>
      </c>
      <c r="G237" s="302">
        <v>8933.1488614667687</v>
      </c>
      <c r="H237" s="302">
        <v>8908.4819577432154</v>
      </c>
      <c r="I237" s="302">
        <v>8408.4697499474005</v>
      </c>
      <c r="J237" s="439">
        <v>9467.0794977460282</v>
      </c>
    </row>
    <row r="238" spans="2:10">
      <c r="B238" s="54" t="s">
        <v>342</v>
      </c>
      <c r="C238" s="339">
        <v>0</v>
      </c>
      <c r="D238" s="304">
        <v>5027.071939069705</v>
      </c>
      <c r="E238" s="304">
        <v>5255.8773599838314</v>
      </c>
      <c r="F238" s="304">
        <v>5683.8930778264894</v>
      </c>
      <c r="G238" s="304">
        <v>5671.0564421217714</v>
      </c>
      <c r="H238" s="304">
        <v>5527.7019724729325</v>
      </c>
      <c r="I238" s="304">
        <v>5114.5378063571543</v>
      </c>
      <c r="J238" s="304">
        <v>5518.4616192407102</v>
      </c>
    </row>
    <row r="239" spans="2:10">
      <c r="B239" s="147" t="s">
        <v>341</v>
      </c>
      <c r="C239" s="339">
        <v>0</v>
      </c>
      <c r="D239" s="304">
        <v>5000.2131396209224</v>
      </c>
      <c r="E239" s="304">
        <v>5225.1592720917006</v>
      </c>
      <c r="F239" s="304">
        <v>5643.0862003076145</v>
      </c>
      <c r="G239" s="304">
        <v>5634.5276731775848</v>
      </c>
      <c r="H239" s="304">
        <v>5492.4291530630298</v>
      </c>
      <c r="I239" s="304">
        <v>5084.7956858499256</v>
      </c>
      <c r="J239" s="304">
        <v>5470.9814425938903</v>
      </c>
    </row>
    <row r="240" spans="2:10">
      <c r="B240" s="147" t="s">
        <v>340</v>
      </c>
      <c r="C240" s="339">
        <v>0</v>
      </c>
      <c r="D240" s="306">
        <v>26.858799448782651</v>
      </c>
      <c r="E240" s="306">
        <v>30.718087892131418</v>
      </c>
      <c r="F240" s="306">
        <v>40.806877518875552</v>
      </c>
      <c r="G240" s="306">
        <v>36.52876894418587</v>
      </c>
      <c r="H240" s="306">
        <v>35.272819409902937</v>
      </c>
      <c r="I240" s="306">
        <v>29.742120507228712</v>
      </c>
      <c r="J240" s="306">
        <v>47.480176646820247</v>
      </c>
    </row>
    <row r="241" spans="2:10">
      <c r="B241" s="54" t="s">
        <v>339</v>
      </c>
      <c r="C241" s="339">
        <v>0</v>
      </c>
      <c r="D241" s="306">
        <v>1246.6373789971983</v>
      </c>
      <c r="E241" s="306">
        <v>1424.0199188061495</v>
      </c>
      <c r="F241" s="306">
        <v>1717.1100568722375</v>
      </c>
      <c r="G241" s="306">
        <v>2027.4195020828206</v>
      </c>
      <c r="H241" s="306">
        <v>2130.2183745545944</v>
      </c>
      <c r="I241" s="306">
        <v>1766.4609970005342</v>
      </c>
      <c r="J241" s="306">
        <v>2174.9639001090554</v>
      </c>
    </row>
    <row r="242" spans="2:10">
      <c r="B242" s="54" t="s">
        <v>338</v>
      </c>
      <c r="C242" s="339">
        <v>0</v>
      </c>
      <c r="D242" s="306">
        <v>873.51843729001757</v>
      </c>
      <c r="E242" s="306">
        <v>936.20938264403412</v>
      </c>
      <c r="F242" s="306">
        <v>1189.2444391688484</v>
      </c>
      <c r="G242" s="306">
        <v>1234.6729172621783</v>
      </c>
      <c r="H242" s="306">
        <v>1250.5616107156884</v>
      </c>
      <c r="I242" s="306">
        <v>1527.4709465897113</v>
      </c>
      <c r="J242" s="306">
        <v>1773.6539783962637</v>
      </c>
    </row>
    <row r="243" spans="2:10" ht="26">
      <c r="B243" s="147" t="s">
        <v>337</v>
      </c>
      <c r="C243" s="339">
        <v>0</v>
      </c>
      <c r="D243" s="306">
        <v>707.50268365175884</v>
      </c>
      <c r="E243" s="306">
        <v>769.64235680464242</v>
      </c>
      <c r="F243" s="306">
        <v>1020.5534475800048</v>
      </c>
      <c r="G243" s="306">
        <v>1077.461205695336</v>
      </c>
      <c r="H243" s="306">
        <v>1101.2983849067029</v>
      </c>
      <c r="I243" s="306">
        <v>1363.0836175349868</v>
      </c>
      <c r="J243" s="306">
        <v>1198.7711768259844</v>
      </c>
    </row>
    <row r="244" spans="2:10">
      <c r="B244" s="147" t="s">
        <v>336</v>
      </c>
      <c r="C244" s="339">
        <v>0</v>
      </c>
      <c r="D244" s="306">
        <v>15.978597405468035</v>
      </c>
      <c r="E244" s="306">
        <v>22.585060228884767</v>
      </c>
      <c r="F244" s="306">
        <v>26.099658709993065</v>
      </c>
      <c r="G244" s="306">
        <v>23.877767930619076</v>
      </c>
      <c r="H244" s="306">
        <v>22.109328103341493</v>
      </c>
      <c r="I244" s="306">
        <v>18.806504177331266</v>
      </c>
      <c r="J244" s="306">
        <v>172.90763229867952</v>
      </c>
    </row>
    <row r="245" spans="2:10" ht="26">
      <c r="B245" s="147" t="s">
        <v>335</v>
      </c>
      <c r="C245" s="339">
        <v>0</v>
      </c>
      <c r="D245" s="306">
        <v>150.03715623279061</v>
      </c>
      <c r="E245" s="306">
        <v>143.98196561050696</v>
      </c>
      <c r="F245" s="306">
        <v>142.59133287885058</v>
      </c>
      <c r="G245" s="306">
        <v>133.3339436362233</v>
      </c>
      <c r="H245" s="306">
        <v>127.15389770564377</v>
      </c>
      <c r="I245" s="306">
        <v>145.58082487739335</v>
      </c>
      <c r="J245" s="306">
        <v>401.97516927160007</v>
      </c>
    </row>
    <row r="246" spans="2:10">
      <c r="B246" s="147"/>
      <c r="C246" s="307"/>
      <c r="D246" s="307"/>
      <c r="E246" s="307"/>
      <c r="F246" s="307"/>
      <c r="G246" s="307"/>
      <c r="H246" s="307"/>
      <c r="I246" s="307"/>
      <c r="J246" s="306"/>
    </row>
    <row r="247" spans="2:10" ht="26">
      <c r="B247" s="148" t="s">
        <v>345</v>
      </c>
      <c r="C247" s="306">
        <v>0</v>
      </c>
      <c r="D247" s="307">
        <v>6867.7411474062428</v>
      </c>
      <c r="E247" s="307">
        <v>7297.0786575889497</v>
      </c>
      <c r="F247" s="307">
        <v>8213.1983832816295</v>
      </c>
      <c r="G247" s="307">
        <v>8420.9014862187796</v>
      </c>
      <c r="H247" s="307">
        <v>8390.7468148252265</v>
      </c>
      <c r="I247" s="307">
        <v>8162.1024782129371</v>
      </c>
      <c r="J247" s="306">
        <v>9136.3753913553355</v>
      </c>
    </row>
    <row r="248" spans="2:10">
      <c r="B248" s="54" t="s">
        <v>342</v>
      </c>
      <c r="C248" s="306">
        <v>0</v>
      </c>
      <c r="D248" s="306">
        <v>4959.5706650639922</v>
      </c>
      <c r="E248" s="306">
        <v>5186.8685465933813</v>
      </c>
      <c r="F248" s="306">
        <v>5600.8261805036582</v>
      </c>
      <c r="G248" s="306">
        <v>5589.5227345151288</v>
      </c>
      <c r="H248" s="306">
        <v>5444.0729250083432</v>
      </c>
      <c r="I248" s="306">
        <v>5041.8402067603411</v>
      </c>
      <c r="J248" s="306">
        <v>5431.5785431990053</v>
      </c>
    </row>
    <row r="249" spans="2:10">
      <c r="B249" s="147" t="s">
        <v>341</v>
      </c>
      <c r="C249" s="306">
        <v>0</v>
      </c>
      <c r="D249" s="306">
        <v>4932.7118656152097</v>
      </c>
      <c r="E249" s="306">
        <v>5156.1504587012505</v>
      </c>
      <c r="F249" s="306">
        <v>5560.0193029847824</v>
      </c>
      <c r="G249" s="306">
        <v>5552.9939655709431</v>
      </c>
      <c r="H249" s="306">
        <v>5408.8001055984405</v>
      </c>
      <c r="I249" s="306">
        <v>5012.0980862531123</v>
      </c>
      <c r="J249" s="306">
        <v>5384.0983665521853</v>
      </c>
    </row>
    <row r="250" spans="2:10">
      <c r="B250" s="147" t="s">
        <v>340</v>
      </c>
      <c r="C250" s="306">
        <v>0</v>
      </c>
      <c r="D250" s="307">
        <v>26.858799448782651</v>
      </c>
      <c r="E250" s="307">
        <v>30.718087892131418</v>
      </c>
      <c r="F250" s="307">
        <v>40.806877518875552</v>
      </c>
      <c r="G250" s="307">
        <v>36.52876894418587</v>
      </c>
      <c r="H250" s="307">
        <v>35.272819409902937</v>
      </c>
      <c r="I250" s="307">
        <v>29.742120507228712</v>
      </c>
      <c r="J250" s="306">
        <v>47.480176646820247</v>
      </c>
    </row>
    <row r="251" spans="2:10">
      <c r="B251" s="54" t="s">
        <v>339</v>
      </c>
      <c r="C251" s="306">
        <v>0</v>
      </c>
      <c r="D251" s="307">
        <v>1035.3459381524476</v>
      </c>
      <c r="E251" s="307">
        <v>1174.9035327561151</v>
      </c>
      <c r="F251" s="307">
        <v>1424.1890079000425</v>
      </c>
      <c r="G251" s="307">
        <v>1597.81925121977</v>
      </c>
      <c r="H251" s="307">
        <v>1697.2595602649972</v>
      </c>
      <c r="I251" s="307">
        <v>1593.5773751686024</v>
      </c>
      <c r="J251" s="306">
        <v>1931.9063750268338</v>
      </c>
    </row>
    <row r="252" spans="2:10">
      <c r="B252" s="54" t="s">
        <v>338</v>
      </c>
      <c r="C252" s="306">
        <v>0</v>
      </c>
      <c r="D252" s="307">
        <v>872.82454418980353</v>
      </c>
      <c r="E252" s="307">
        <v>935.30657823945228</v>
      </c>
      <c r="F252" s="307">
        <v>1188.1831948779293</v>
      </c>
      <c r="G252" s="307">
        <v>1233.559500483881</v>
      </c>
      <c r="H252" s="307">
        <v>1249.4143295518859</v>
      </c>
      <c r="I252" s="307">
        <v>1526.6848962839929</v>
      </c>
      <c r="J252" s="306">
        <v>1772.8904731294979</v>
      </c>
    </row>
    <row r="253" spans="2:10" ht="26">
      <c r="B253" s="147" t="s">
        <v>337</v>
      </c>
      <c r="C253" s="306">
        <v>0</v>
      </c>
      <c r="D253" s="307">
        <v>707.50268365175884</v>
      </c>
      <c r="E253" s="307">
        <v>769.64235680464242</v>
      </c>
      <c r="F253" s="307">
        <v>1020.5534475800048</v>
      </c>
      <c r="G253" s="307">
        <v>1077.461205695336</v>
      </c>
      <c r="H253" s="307">
        <v>1101.2983849067029</v>
      </c>
      <c r="I253" s="307">
        <v>1363.0836175349868</v>
      </c>
      <c r="J253" s="306">
        <v>1198.7711768259844</v>
      </c>
    </row>
    <row r="254" spans="2:10">
      <c r="B254" s="147" t="s">
        <v>336</v>
      </c>
      <c r="C254" s="306">
        <v>0</v>
      </c>
      <c r="D254" s="307">
        <v>7.8847867809561905</v>
      </c>
      <c r="E254" s="307">
        <v>10.570508003500469</v>
      </c>
      <c r="F254" s="307">
        <v>25.525816442023881</v>
      </c>
      <c r="G254" s="307">
        <v>30.133202789867351</v>
      </c>
      <c r="H254" s="307">
        <v>39.3750554187693</v>
      </c>
      <c r="I254" s="307">
        <v>368.6536278589835</v>
      </c>
      <c r="J254" s="306">
        <v>172.1441270319136</v>
      </c>
    </row>
    <row r="255" spans="2:10" ht="26">
      <c r="B255" s="147" t="s">
        <v>335</v>
      </c>
      <c r="C255" s="306">
        <v>0</v>
      </c>
      <c r="D255" s="307">
        <v>150.03715623279061</v>
      </c>
      <c r="E255" s="307">
        <v>143.98196561050696</v>
      </c>
      <c r="F255" s="307">
        <v>142.59133287885058</v>
      </c>
      <c r="G255" s="307">
        <v>133.3339436362233</v>
      </c>
      <c r="H255" s="307">
        <v>127.15389770564377</v>
      </c>
      <c r="I255" s="307">
        <v>145.58082487739335</v>
      </c>
      <c r="J255" s="306">
        <v>401.97516927160007</v>
      </c>
    </row>
    <row r="256" spans="2:10">
      <c r="B256" s="147"/>
      <c r="C256" s="1569"/>
      <c r="D256" s="1569"/>
      <c r="E256" s="1569"/>
      <c r="F256" s="1569"/>
      <c r="G256" s="1569"/>
      <c r="H256" s="1569"/>
      <c r="I256" s="1569"/>
      <c r="J256" s="1570"/>
    </row>
    <row r="257" spans="2:10" ht="39">
      <c r="B257" s="148" t="s">
        <v>344</v>
      </c>
      <c r="C257" s="1569">
        <v>0</v>
      </c>
      <c r="D257">
        <v>160.55923539248676</v>
      </c>
      <c r="E257">
        <v>179.04500390859022</v>
      </c>
      <c r="F257">
        <v>212.34171427564843</v>
      </c>
      <c r="G257">
        <v>279.00538290030937</v>
      </c>
      <c r="H257">
        <v>282.12172639575277</v>
      </c>
      <c r="I257">
        <v>145.47503530351307</v>
      </c>
      <c r="J257">
        <v>212.04243408431088</v>
      </c>
    </row>
    <row r="258" spans="2:10">
      <c r="B258" s="54" t="s">
        <v>342</v>
      </c>
      <c r="C258" s="1569">
        <v>0</v>
      </c>
      <c r="D258">
        <v>54.9135149701115</v>
      </c>
      <c r="E258">
        <v>54.486810883572979</v>
      </c>
      <c r="F258">
        <v>65.881189789550831</v>
      </c>
      <c r="G258">
        <v>64.205257468784296</v>
      </c>
      <c r="H258">
        <v>65.642319250954245</v>
      </c>
      <c r="I258">
        <v>59.033224387547229</v>
      </c>
      <c r="J258">
        <v>73.994903999781513</v>
      </c>
    </row>
    <row r="259" spans="2:10">
      <c r="B259" s="147" t="s">
        <v>341</v>
      </c>
      <c r="C259" s="1569">
        <v>0</v>
      </c>
      <c r="D259">
        <v>54.9135149701115</v>
      </c>
      <c r="E259">
        <v>54.486810883572979</v>
      </c>
      <c r="F259">
        <v>65.881189789550831</v>
      </c>
      <c r="G259">
        <v>64.205257468784296</v>
      </c>
      <c r="H259">
        <v>65.642319250954245</v>
      </c>
      <c r="I259">
        <v>59.033224387547229</v>
      </c>
      <c r="J259">
        <v>73.994903999781513</v>
      </c>
    </row>
    <row r="260" spans="2:10">
      <c r="B260" s="147" t="s">
        <v>340</v>
      </c>
      <c r="C260" s="1569">
        <v>0</v>
      </c>
      <c r="D260" s="1569">
        <v>0</v>
      </c>
      <c r="E260" s="1569">
        <v>0</v>
      </c>
      <c r="F260" s="1569">
        <v>0</v>
      </c>
      <c r="G260" s="1569">
        <v>0</v>
      </c>
      <c r="H260" s="1569">
        <v>0</v>
      </c>
      <c r="I260" s="1569">
        <v>0</v>
      </c>
      <c r="J260" s="1569">
        <v>0</v>
      </c>
    </row>
    <row r="261" spans="2:10">
      <c r="B261" s="54" t="s">
        <v>339</v>
      </c>
      <c r="C261" s="1569">
        <v>0</v>
      </c>
      <c r="D261">
        <v>105.64572042237525</v>
      </c>
      <c r="E261">
        <v>124.55819302501723</v>
      </c>
      <c r="F261">
        <v>146.4605244860976</v>
      </c>
      <c r="G261">
        <v>214.80012543152509</v>
      </c>
      <c r="H261">
        <v>216.47940714479853</v>
      </c>
      <c r="I261">
        <v>86.441810915965846</v>
      </c>
      <c r="J261">
        <v>138.04753008452937</v>
      </c>
    </row>
    <row r="262" spans="2:10">
      <c r="B262" s="54" t="s">
        <v>338</v>
      </c>
      <c r="C262" s="1569">
        <v>0</v>
      </c>
      <c r="D262" s="1569">
        <v>0</v>
      </c>
      <c r="E262" s="1569">
        <v>0</v>
      </c>
      <c r="F262" s="1569">
        <v>0</v>
      </c>
      <c r="G262" s="1569">
        <v>0</v>
      </c>
      <c r="H262" s="1569">
        <v>0</v>
      </c>
      <c r="I262" s="1569">
        <v>0</v>
      </c>
      <c r="J262" s="1569">
        <v>0</v>
      </c>
    </row>
    <row r="263" spans="2:10" ht="26">
      <c r="B263" s="147" t="s">
        <v>337</v>
      </c>
      <c r="C263" s="1569">
        <v>0</v>
      </c>
      <c r="D263" s="1569">
        <v>0</v>
      </c>
      <c r="E263" s="1569">
        <v>0</v>
      </c>
      <c r="F263" s="1569">
        <v>0</v>
      </c>
      <c r="G263" s="1569">
        <v>0</v>
      </c>
      <c r="H263" s="1569">
        <v>0</v>
      </c>
      <c r="I263" s="1569">
        <v>0</v>
      </c>
      <c r="J263" s="1569">
        <v>0</v>
      </c>
    </row>
    <row r="264" spans="2:10">
      <c r="B264" s="147" t="s">
        <v>336</v>
      </c>
      <c r="C264" s="1569">
        <v>0</v>
      </c>
      <c r="D264" s="1569">
        <v>0</v>
      </c>
      <c r="E264" s="1569">
        <v>0</v>
      </c>
      <c r="F264" s="1569">
        <v>0</v>
      </c>
      <c r="G264" s="1569">
        <v>0</v>
      </c>
      <c r="H264" s="1569">
        <v>0</v>
      </c>
      <c r="I264" s="1569">
        <v>0</v>
      </c>
      <c r="J264" s="1569">
        <v>0</v>
      </c>
    </row>
    <row r="265" spans="2:10" ht="26">
      <c r="B265" s="147" t="s">
        <v>335</v>
      </c>
      <c r="C265" s="1569">
        <v>0</v>
      </c>
      <c r="D265" s="1569">
        <v>0</v>
      </c>
      <c r="E265" s="1569">
        <v>0</v>
      </c>
      <c r="F265" s="1569">
        <v>0</v>
      </c>
      <c r="G265" s="1569">
        <v>0</v>
      </c>
      <c r="H265" s="1569">
        <v>0</v>
      </c>
      <c r="I265" s="1569">
        <v>0</v>
      </c>
      <c r="J265" s="1569">
        <v>0</v>
      </c>
    </row>
    <row r="266" spans="2:10">
      <c r="B266" s="147"/>
      <c r="C266" s="1569">
        <v>0</v>
      </c>
      <c r="D266" s="1569">
        <v>0</v>
      </c>
      <c r="E266" s="1569">
        <v>0</v>
      </c>
      <c r="F266" s="1569">
        <v>0</v>
      </c>
      <c r="G266" s="1569">
        <v>0</v>
      </c>
      <c r="H266" s="1569">
        <v>0</v>
      </c>
      <c r="I266" s="1569">
        <v>0</v>
      </c>
      <c r="J266" s="1569">
        <v>0</v>
      </c>
    </row>
    <row r="267" spans="2:10" ht="39">
      <c r="B267" s="148" t="s">
        <v>343</v>
      </c>
      <c r="C267" s="1569">
        <v>0</v>
      </c>
      <c r="D267">
        <v>118.92737255818989</v>
      </c>
      <c r="E267">
        <v>139.98299993647586</v>
      </c>
      <c r="F267">
        <v>164.70747631029738</v>
      </c>
      <c r="G267">
        <v>233.24199234767977</v>
      </c>
      <c r="H267">
        <v>235.61341652223649</v>
      </c>
      <c r="I267">
        <v>100.89223643094996</v>
      </c>
      <c r="J267">
        <v>118.66167230638138</v>
      </c>
    </row>
    <row r="268" spans="2:10">
      <c r="B268" s="54" t="s">
        <v>342</v>
      </c>
      <c r="C268" s="1569">
        <v>0</v>
      </c>
      <c r="D268">
        <v>12.587759035600675</v>
      </c>
      <c r="E268">
        <v>14.522002506876788</v>
      </c>
      <c r="F268">
        <v>17.185707533280642</v>
      </c>
      <c r="G268">
        <v>17.328450137857498</v>
      </c>
      <c r="H268">
        <v>17.986728213635441</v>
      </c>
      <c r="I268">
        <v>13.664375209265575</v>
      </c>
      <c r="J268">
        <v>12.888172041923282</v>
      </c>
    </row>
    <row r="269" spans="2:10">
      <c r="B269" s="147" t="s">
        <v>341</v>
      </c>
      <c r="C269" s="1569">
        <v>0</v>
      </c>
      <c r="D269">
        <v>12.587759035600675</v>
      </c>
      <c r="E269">
        <v>14.522002506876788</v>
      </c>
      <c r="F269">
        <v>17.185707533280642</v>
      </c>
      <c r="G269">
        <v>17.328450137857498</v>
      </c>
      <c r="H269">
        <v>17.986728213635441</v>
      </c>
      <c r="I269">
        <v>13.664375209265575</v>
      </c>
      <c r="J269">
        <v>12.888172041923282</v>
      </c>
    </row>
    <row r="270" spans="2:10">
      <c r="B270" s="147" t="s">
        <v>340</v>
      </c>
      <c r="C270" s="1569">
        <v>0</v>
      </c>
      <c r="D270" s="1569">
        <v>0</v>
      </c>
      <c r="E270" s="1569">
        <v>0</v>
      </c>
      <c r="F270" s="1569">
        <v>0</v>
      </c>
      <c r="G270" s="1569">
        <v>0</v>
      </c>
      <c r="H270" s="1569">
        <v>0</v>
      </c>
      <c r="I270" s="1569">
        <v>0</v>
      </c>
      <c r="J270" s="1569">
        <v>0</v>
      </c>
    </row>
    <row r="271" spans="2:10">
      <c r="B271" s="54" t="s">
        <v>339</v>
      </c>
      <c r="C271" s="1569">
        <v>0</v>
      </c>
      <c r="D271">
        <v>105.64572042237525</v>
      </c>
      <c r="E271">
        <v>124.55819302501723</v>
      </c>
      <c r="F271">
        <v>146.4605244860976</v>
      </c>
      <c r="G271">
        <v>214.80012543152509</v>
      </c>
      <c r="H271">
        <v>216.47940714479853</v>
      </c>
      <c r="I271">
        <v>86.441810915965846</v>
      </c>
      <c r="J271">
        <v>105.00999499769219</v>
      </c>
    </row>
    <row r="272" spans="2:10">
      <c r="B272" s="54" t="s">
        <v>338</v>
      </c>
      <c r="C272" s="1569">
        <v>0</v>
      </c>
      <c r="D272">
        <v>0.69389310021396955</v>
      </c>
      <c r="E272">
        <v>0.90280440458186262</v>
      </c>
      <c r="F272">
        <v>1.0612442909191269</v>
      </c>
      <c r="G272">
        <v>1.113416778297154</v>
      </c>
      <c r="H272">
        <v>1.1472811638025373</v>
      </c>
      <c r="I272">
        <v>0.78605030571854739</v>
      </c>
      <c r="J272">
        <v>0.7635052667658988</v>
      </c>
    </row>
    <row r="273" spans="2:12" ht="26">
      <c r="B273" s="147" t="s">
        <v>337</v>
      </c>
      <c r="C273" s="1569">
        <v>0</v>
      </c>
      <c r="D273" s="1569">
        <v>0</v>
      </c>
      <c r="E273" s="1569">
        <v>0</v>
      </c>
      <c r="F273" s="1569">
        <v>0</v>
      </c>
      <c r="G273" s="1569">
        <v>0</v>
      </c>
      <c r="H273" s="1569">
        <v>0</v>
      </c>
      <c r="I273" s="1569">
        <v>0</v>
      </c>
      <c r="J273" s="1569">
        <v>0</v>
      </c>
    </row>
    <row r="274" spans="2:12">
      <c r="B274" s="147" t="s">
        <v>336</v>
      </c>
      <c r="C274" s="1569">
        <v>0</v>
      </c>
      <c r="D274">
        <v>0.69389310021396955</v>
      </c>
      <c r="E274">
        <v>0.90280440458186262</v>
      </c>
      <c r="F274">
        <v>1.0612442909191269</v>
      </c>
      <c r="G274">
        <v>1.113416778297154</v>
      </c>
      <c r="H274">
        <v>1.1472811638025373</v>
      </c>
      <c r="I274">
        <v>0.78605030571854739</v>
      </c>
      <c r="J274">
        <v>0.7635052667658988</v>
      </c>
    </row>
    <row r="275" spans="2:12" ht="26.5" thickBot="1">
      <c r="B275" s="146" t="s">
        <v>335</v>
      </c>
      <c r="C275" s="1569">
        <v>0</v>
      </c>
      <c r="D275" s="1569">
        <v>0</v>
      </c>
      <c r="E275" s="1569">
        <v>0</v>
      </c>
      <c r="F275" s="1569">
        <v>0</v>
      </c>
      <c r="G275" s="1569">
        <v>0</v>
      </c>
      <c r="H275" s="1569">
        <v>0</v>
      </c>
      <c r="I275" s="1569">
        <v>0</v>
      </c>
      <c r="J275" s="1569">
        <v>0</v>
      </c>
      <c r="K275" s="1569"/>
      <c r="L275" s="1569"/>
    </row>
    <row r="276" spans="2:12" ht="15" thickTop="1">
      <c r="B276" s="2025" t="s">
        <v>2019</v>
      </c>
      <c r="C276" s="2025"/>
      <c r="D276" s="2025"/>
      <c r="E276" s="2025"/>
      <c r="F276" s="2025"/>
      <c r="G276" s="2025"/>
      <c r="H276" s="2025"/>
      <c r="I276" s="2025"/>
      <c r="J276" s="2025"/>
    </row>
    <row r="277" spans="2:12">
      <c r="B277" s="2017"/>
      <c r="C277" s="2017"/>
      <c r="D277" s="2017"/>
      <c r="E277" s="2017"/>
      <c r="F277" s="2017"/>
      <c r="G277" s="2017"/>
      <c r="H277" s="2017"/>
      <c r="I277" s="2017"/>
      <c r="J277" s="2017"/>
    </row>
    <row r="278" spans="2:12">
      <c r="B278" s="64"/>
      <c r="C278" s="339"/>
      <c r="D278" s="302"/>
      <c r="E278" s="302"/>
      <c r="F278" s="302"/>
      <c r="G278" s="302"/>
      <c r="H278" s="302"/>
      <c r="I278" s="302"/>
      <c r="J278" s="439"/>
    </row>
    <row r="279" spans="2:12">
      <c r="B279" s="2100" t="s">
        <v>333</v>
      </c>
      <c r="C279" s="2100"/>
      <c r="D279" s="2100"/>
      <c r="E279" s="2100"/>
      <c r="F279" s="2100"/>
      <c r="G279" s="2100"/>
      <c r="H279" s="2100"/>
      <c r="I279" s="2100"/>
      <c r="J279" s="2100"/>
    </row>
    <row r="280" spans="2:12">
      <c r="B280" s="12" t="s">
        <v>332</v>
      </c>
      <c r="C280" s="339"/>
      <c r="D280" s="302"/>
      <c r="E280" s="302"/>
      <c r="F280" s="302"/>
      <c r="G280" s="302"/>
      <c r="H280" s="302"/>
      <c r="I280" s="302"/>
      <c r="J280" s="439"/>
    </row>
    <row r="281" spans="2:12">
      <c r="B281" s="62" t="s">
        <v>269</v>
      </c>
      <c r="C281" s="339"/>
      <c r="D281" s="302"/>
      <c r="E281" s="302"/>
      <c r="F281" s="302"/>
      <c r="G281" s="302"/>
      <c r="H281" s="302"/>
      <c r="I281" s="302"/>
      <c r="J281" s="439"/>
    </row>
    <row r="282" spans="2:12">
      <c r="B282" s="64"/>
      <c r="C282" s="339"/>
      <c r="D282" s="302"/>
      <c r="E282" s="302"/>
      <c r="F282" s="302"/>
      <c r="G282" s="302"/>
      <c r="H282" s="302"/>
      <c r="I282" s="302"/>
      <c r="J282" s="439"/>
    </row>
    <row r="283" spans="2:12">
      <c r="B283" s="61"/>
      <c r="C283" s="1536">
        <v>2014</v>
      </c>
      <c r="D283" s="303">
        <v>2015</v>
      </c>
      <c r="E283" s="303">
        <v>2016</v>
      </c>
      <c r="F283" s="303">
        <v>2017</v>
      </c>
      <c r="G283" s="303">
        <v>2018</v>
      </c>
      <c r="H283" s="303">
        <v>2019</v>
      </c>
      <c r="I283" s="303">
        <v>2020</v>
      </c>
      <c r="J283" s="303">
        <v>2021</v>
      </c>
    </row>
    <row r="284" spans="2:12">
      <c r="B284" s="114" t="s">
        <v>310</v>
      </c>
      <c r="C284" s="339"/>
      <c r="D284" s="302"/>
      <c r="E284" s="302"/>
      <c r="F284" s="302"/>
      <c r="G284" s="302"/>
      <c r="H284" s="302"/>
      <c r="I284" s="302"/>
      <c r="J284" s="439"/>
    </row>
    <row r="285" spans="2:12">
      <c r="B285" s="114"/>
      <c r="C285" s="339"/>
      <c r="D285" s="302"/>
      <c r="E285" s="302"/>
      <c r="F285" s="302"/>
      <c r="G285" s="302"/>
      <c r="H285" s="302"/>
      <c r="I285" s="302"/>
      <c r="J285" s="439"/>
    </row>
    <row r="286" spans="2:12">
      <c r="B286" s="1571" t="s">
        <v>1839</v>
      </c>
      <c r="C286" s="339"/>
      <c r="D286" s="302"/>
      <c r="E286" s="302"/>
      <c r="F286" s="302"/>
      <c r="G286" s="302"/>
      <c r="H286" s="302"/>
      <c r="I286" s="302"/>
      <c r="J286" s="439"/>
    </row>
    <row r="287" spans="2:12">
      <c r="B287" s="71" t="s">
        <v>331</v>
      </c>
      <c r="C287" s="1572" t="s">
        <v>2086</v>
      </c>
      <c r="D287" s="489">
        <f t="shared" ref="D287:H287" si="1">+D288</f>
        <v>29</v>
      </c>
      <c r="E287" s="489">
        <f t="shared" si="1"/>
        <v>27</v>
      </c>
      <c r="F287" s="489">
        <f t="shared" si="1"/>
        <v>27</v>
      </c>
      <c r="G287" s="489">
        <f t="shared" si="1"/>
        <v>27</v>
      </c>
      <c r="H287" s="489">
        <f t="shared" si="1"/>
        <v>27</v>
      </c>
      <c r="I287" s="489">
        <f>+I288</f>
        <v>27</v>
      </c>
      <c r="J287" s="489">
        <f>+J288</f>
        <v>27</v>
      </c>
    </row>
    <row r="288" spans="2:12">
      <c r="B288" s="133" t="s">
        <v>2020</v>
      </c>
      <c r="C288" s="1572" t="s">
        <v>2086</v>
      </c>
      <c r="D288" s="489">
        <v>29</v>
      </c>
      <c r="E288" s="489">
        <v>27</v>
      </c>
      <c r="F288" s="489">
        <v>27</v>
      </c>
      <c r="G288" s="489">
        <v>27</v>
      </c>
      <c r="H288" s="489">
        <v>27</v>
      </c>
      <c r="I288" s="489">
        <v>27</v>
      </c>
      <c r="J288" s="489">
        <v>27</v>
      </c>
    </row>
    <row r="289" spans="2:10">
      <c r="B289" s="133" t="s">
        <v>260</v>
      </c>
      <c r="C289" s="1572" t="s">
        <v>2086</v>
      </c>
      <c r="D289" s="489">
        <v>16</v>
      </c>
      <c r="E289" s="489">
        <v>17</v>
      </c>
      <c r="F289" s="489">
        <v>17</v>
      </c>
      <c r="G289" s="489">
        <v>17</v>
      </c>
      <c r="H289" s="489">
        <v>17</v>
      </c>
      <c r="I289" s="489">
        <v>17</v>
      </c>
      <c r="J289" s="489">
        <v>17</v>
      </c>
    </row>
    <row r="290" spans="2:10">
      <c r="B290" s="132" t="s">
        <v>329</v>
      </c>
      <c r="C290" s="1572" t="s">
        <v>2086</v>
      </c>
      <c r="D290" s="489">
        <v>1</v>
      </c>
      <c r="E290" s="489">
        <v>1</v>
      </c>
      <c r="F290" s="489">
        <v>1</v>
      </c>
      <c r="G290" s="489">
        <v>1</v>
      </c>
      <c r="H290" s="489">
        <v>1</v>
      </c>
      <c r="I290" s="489">
        <v>1</v>
      </c>
      <c r="J290" s="489">
        <v>1</v>
      </c>
    </row>
    <row r="291" spans="2:10" ht="25">
      <c r="B291" s="132" t="s">
        <v>2021</v>
      </c>
      <c r="C291" s="1572" t="s">
        <v>2086</v>
      </c>
      <c r="D291" s="489">
        <v>12</v>
      </c>
      <c r="E291" s="489">
        <v>9</v>
      </c>
      <c r="F291" s="489">
        <v>9</v>
      </c>
      <c r="G291" s="489">
        <v>9</v>
      </c>
      <c r="H291" s="489">
        <v>9</v>
      </c>
      <c r="I291" s="489">
        <v>9</v>
      </c>
      <c r="J291" s="489">
        <f>+SUM(J292:J296)</f>
        <v>9</v>
      </c>
    </row>
    <row r="292" spans="2:10">
      <c r="B292" s="1573" t="s">
        <v>327</v>
      </c>
      <c r="C292" s="1572" t="s">
        <v>2086</v>
      </c>
      <c r="D292" s="489">
        <v>3</v>
      </c>
      <c r="E292" s="489">
        <v>4</v>
      </c>
      <c r="F292" s="489">
        <v>4</v>
      </c>
      <c r="G292" s="489">
        <v>4</v>
      </c>
      <c r="H292" s="489">
        <v>4</v>
      </c>
      <c r="I292" s="489">
        <v>4</v>
      </c>
      <c r="J292" s="489">
        <v>4</v>
      </c>
    </row>
    <row r="293" spans="2:10">
      <c r="B293" s="1573" t="s">
        <v>326</v>
      </c>
      <c r="C293" s="1572" t="s">
        <v>2086</v>
      </c>
      <c r="D293" s="1572" t="s">
        <v>2086</v>
      </c>
      <c r="E293" s="1572" t="s">
        <v>2086</v>
      </c>
      <c r="F293" s="1572" t="s">
        <v>2086</v>
      </c>
      <c r="G293" s="1572" t="s">
        <v>2086</v>
      </c>
      <c r="H293" s="1572" t="s">
        <v>2086</v>
      </c>
      <c r="I293" s="1572" t="s">
        <v>2086</v>
      </c>
      <c r="J293" s="1572" t="s">
        <v>2086</v>
      </c>
    </row>
    <row r="294" spans="2:10">
      <c r="B294" s="132" t="s">
        <v>325</v>
      </c>
      <c r="C294" s="1572" t="s">
        <v>2086</v>
      </c>
      <c r="D294" s="1572" t="s">
        <v>2086</v>
      </c>
      <c r="E294" s="1572" t="s">
        <v>2086</v>
      </c>
      <c r="F294" s="1572" t="s">
        <v>2086</v>
      </c>
      <c r="G294" s="1572" t="s">
        <v>2086</v>
      </c>
      <c r="H294" s="1572" t="s">
        <v>2086</v>
      </c>
      <c r="I294" s="1572" t="s">
        <v>2086</v>
      </c>
      <c r="J294" s="1572" t="s">
        <v>2086</v>
      </c>
    </row>
    <row r="295" spans="2:10">
      <c r="B295" s="1573" t="s">
        <v>323</v>
      </c>
      <c r="C295" s="1572" t="s">
        <v>2086</v>
      </c>
      <c r="D295" s="1572" t="s">
        <v>2086</v>
      </c>
      <c r="E295" s="1572" t="s">
        <v>2086</v>
      </c>
      <c r="F295" s="1572" t="s">
        <v>2086</v>
      </c>
      <c r="G295" s="1572" t="s">
        <v>2086</v>
      </c>
      <c r="H295" s="1572" t="s">
        <v>2086</v>
      </c>
      <c r="I295" s="1572" t="s">
        <v>2086</v>
      </c>
      <c r="J295" s="1572" t="s">
        <v>2086</v>
      </c>
    </row>
    <row r="296" spans="2:10">
      <c r="B296" s="1573" t="s">
        <v>2022</v>
      </c>
      <c r="C296" s="1572" t="s">
        <v>2086</v>
      </c>
      <c r="D296" s="489">
        <v>5</v>
      </c>
      <c r="E296" s="489">
        <v>5</v>
      </c>
      <c r="F296" s="489">
        <v>5</v>
      </c>
      <c r="G296" s="489">
        <v>5</v>
      </c>
      <c r="H296" s="489">
        <v>5</v>
      </c>
      <c r="I296" s="489">
        <v>5</v>
      </c>
      <c r="J296" s="489">
        <v>5</v>
      </c>
    </row>
    <row r="297" spans="2:10">
      <c r="B297" s="1573" t="s">
        <v>322</v>
      </c>
      <c r="C297" s="1572" t="s">
        <v>2086</v>
      </c>
      <c r="D297" s="489">
        <v>0</v>
      </c>
      <c r="E297" s="489">
        <v>0</v>
      </c>
      <c r="F297" s="489">
        <v>0</v>
      </c>
      <c r="G297" s="489">
        <v>0</v>
      </c>
      <c r="H297" s="489">
        <v>0</v>
      </c>
      <c r="I297" s="489">
        <v>0</v>
      </c>
      <c r="J297" s="489">
        <v>0</v>
      </c>
    </row>
    <row r="298" spans="2:10">
      <c r="B298" s="133"/>
      <c r="C298" s="321"/>
      <c r="D298" s="321"/>
      <c r="E298" s="321"/>
      <c r="F298" s="321"/>
      <c r="G298" s="321"/>
      <c r="H298" s="321"/>
      <c r="I298" s="306"/>
    </row>
    <row r="299" spans="2:10">
      <c r="B299" s="114" t="s">
        <v>302</v>
      </c>
      <c r="C299" s="339"/>
      <c r="D299" s="302"/>
      <c r="E299" s="302"/>
      <c r="F299" s="302"/>
      <c r="G299" s="302"/>
      <c r="H299" s="302"/>
      <c r="I299" s="439"/>
    </row>
    <row r="300" spans="2:10">
      <c r="B300" s="114"/>
      <c r="C300" s="339"/>
      <c r="D300" s="302"/>
      <c r="E300" s="302"/>
      <c r="F300" s="302"/>
      <c r="G300" s="302"/>
      <c r="H300" s="302"/>
      <c r="I300" s="439"/>
    </row>
    <row r="301" spans="2:10">
      <c r="B301" s="1571" t="s">
        <v>2023</v>
      </c>
      <c r="C301" s="339"/>
      <c r="D301" s="302"/>
      <c r="E301" s="302"/>
      <c r="F301" s="302"/>
      <c r="G301" s="302"/>
      <c r="H301" s="302"/>
      <c r="I301" s="439"/>
    </row>
    <row r="302" spans="2:10">
      <c r="B302" s="71" t="s">
        <v>331</v>
      </c>
      <c r="C302" s="339">
        <v>0</v>
      </c>
      <c r="D302" s="489">
        <f t="shared" ref="D302:H302" si="2">+D303</f>
        <v>29</v>
      </c>
      <c r="E302" s="489">
        <f t="shared" si="2"/>
        <v>27</v>
      </c>
      <c r="F302" s="489">
        <f t="shared" si="2"/>
        <v>27</v>
      </c>
      <c r="G302" s="489">
        <f t="shared" si="2"/>
        <v>27</v>
      </c>
      <c r="H302" s="489">
        <f t="shared" si="2"/>
        <v>27</v>
      </c>
      <c r="I302" s="489">
        <f>+I303</f>
        <v>27</v>
      </c>
      <c r="J302" s="489">
        <f>+J303</f>
        <v>27</v>
      </c>
    </row>
    <row r="303" spans="2:10">
      <c r="B303" s="133" t="s">
        <v>2020</v>
      </c>
      <c r="C303" s="339">
        <v>0</v>
      </c>
      <c r="D303" s="489">
        <v>29</v>
      </c>
      <c r="E303" s="489">
        <v>27</v>
      </c>
      <c r="F303" s="489">
        <v>27</v>
      </c>
      <c r="G303" s="489">
        <v>27</v>
      </c>
      <c r="H303" s="489">
        <v>27</v>
      </c>
      <c r="I303" s="489">
        <v>27</v>
      </c>
      <c r="J303" s="489">
        <v>27</v>
      </c>
    </row>
    <row r="304" spans="2:10">
      <c r="B304" s="133" t="s">
        <v>260</v>
      </c>
      <c r="C304" s="339">
        <v>0</v>
      </c>
      <c r="D304" s="489">
        <v>16</v>
      </c>
      <c r="E304" s="489">
        <v>17</v>
      </c>
      <c r="F304" s="489">
        <v>17</v>
      </c>
      <c r="G304" s="489">
        <v>17</v>
      </c>
      <c r="H304" s="489">
        <v>17</v>
      </c>
      <c r="I304" s="489">
        <v>17</v>
      </c>
      <c r="J304" s="489">
        <v>17</v>
      </c>
    </row>
    <row r="305" spans="2:10">
      <c r="B305" s="132" t="s">
        <v>329</v>
      </c>
      <c r="C305" s="339">
        <v>0</v>
      </c>
      <c r="D305" s="489">
        <v>1</v>
      </c>
      <c r="E305" s="489">
        <v>1</v>
      </c>
      <c r="F305" s="489">
        <v>1</v>
      </c>
      <c r="G305" s="489">
        <v>1</v>
      </c>
      <c r="H305" s="489">
        <v>1</v>
      </c>
      <c r="I305" s="489">
        <v>1</v>
      </c>
      <c r="J305" s="489">
        <v>1</v>
      </c>
    </row>
    <row r="306" spans="2:10" ht="25">
      <c r="B306" s="132" t="s">
        <v>2021</v>
      </c>
      <c r="C306" s="339">
        <v>0</v>
      </c>
      <c r="D306" s="489">
        <v>12</v>
      </c>
      <c r="E306" s="489">
        <v>9</v>
      </c>
      <c r="F306" s="489">
        <v>9</v>
      </c>
      <c r="G306" s="489">
        <v>9</v>
      </c>
      <c r="H306" s="489">
        <v>9</v>
      </c>
      <c r="I306" s="489">
        <v>9</v>
      </c>
      <c r="J306" s="489">
        <f>+SUM(J307:J311)</f>
        <v>9</v>
      </c>
    </row>
    <row r="307" spans="2:10">
      <c r="B307" s="1573" t="s">
        <v>327</v>
      </c>
      <c r="C307" s="339">
        <v>0</v>
      </c>
      <c r="D307" s="489">
        <v>3</v>
      </c>
      <c r="E307" s="489">
        <v>4</v>
      </c>
      <c r="F307" s="489">
        <v>4</v>
      </c>
      <c r="G307" s="489">
        <v>4</v>
      </c>
      <c r="H307" s="489">
        <v>4</v>
      </c>
      <c r="I307" s="489">
        <v>4</v>
      </c>
      <c r="J307" s="489">
        <v>4</v>
      </c>
    </row>
    <row r="308" spans="2:10">
      <c r="B308" s="1573" t="s">
        <v>326</v>
      </c>
      <c r="C308" s="339">
        <v>0</v>
      </c>
      <c r="D308" s="489" t="s">
        <v>2086</v>
      </c>
      <c r="E308" s="489" t="s">
        <v>2086</v>
      </c>
      <c r="F308" s="489" t="s">
        <v>2086</v>
      </c>
      <c r="G308" s="489" t="s">
        <v>2086</v>
      </c>
      <c r="H308" s="489" t="s">
        <v>2086</v>
      </c>
      <c r="I308" s="489" t="s">
        <v>2086</v>
      </c>
      <c r="J308" s="489" t="s">
        <v>2086</v>
      </c>
    </row>
    <row r="309" spans="2:10">
      <c r="B309" s="132" t="s">
        <v>325</v>
      </c>
      <c r="C309" s="339">
        <v>0</v>
      </c>
      <c r="D309" s="489" t="s">
        <v>2086</v>
      </c>
      <c r="E309" s="489" t="s">
        <v>2086</v>
      </c>
      <c r="F309" s="489" t="s">
        <v>2086</v>
      </c>
      <c r="G309" s="489" t="s">
        <v>2086</v>
      </c>
      <c r="H309" s="489" t="s">
        <v>2086</v>
      </c>
      <c r="I309" s="489" t="s">
        <v>2086</v>
      </c>
      <c r="J309" s="489" t="s">
        <v>2086</v>
      </c>
    </row>
    <row r="310" spans="2:10">
      <c r="B310" s="1573" t="s">
        <v>323</v>
      </c>
      <c r="C310" s="339">
        <v>0</v>
      </c>
      <c r="D310" s="489" t="s">
        <v>2086</v>
      </c>
      <c r="E310" s="489" t="s">
        <v>2086</v>
      </c>
      <c r="F310" s="489" t="s">
        <v>2086</v>
      </c>
      <c r="G310" s="489" t="s">
        <v>2086</v>
      </c>
      <c r="H310" s="489" t="s">
        <v>2086</v>
      </c>
      <c r="I310" s="489" t="s">
        <v>2086</v>
      </c>
      <c r="J310" s="489" t="s">
        <v>2086</v>
      </c>
    </row>
    <row r="311" spans="2:10">
      <c r="B311" s="1573" t="s">
        <v>2022</v>
      </c>
      <c r="C311" s="339">
        <v>0</v>
      </c>
      <c r="D311" s="489">
        <v>5</v>
      </c>
      <c r="E311" s="489">
        <v>5</v>
      </c>
      <c r="F311" s="489">
        <v>5</v>
      </c>
      <c r="G311" s="489">
        <v>5</v>
      </c>
      <c r="H311" s="489">
        <v>5</v>
      </c>
      <c r="I311" s="489">
        <v>5</v>
      </c>
      <c r="J311" s="489">
        <v>5</v>
      </c>
    </row>
    <row r="312" spans="2:10">
      <c r="B312" s="1573" t="s">
        <v>322</v>
      </c>
      <c r="C312" s="339">
        <v>0</v>
      </c>
      <c r="D312" s="489">
        <v>0</v>
      </c>
      <c r="E312" s="489">
        <v>0</v>
      </c>
      <c r="F312" s="489">
        <v>0</v>
      </c>
      <c r="G312" s="489">
        <v>0</v>
      </c>
      <c r="H312" s="489">
        <v>0</v>
      </c>
      <c r="I312" s="489">
        <v>0</v>
      </c>
      <c r="J312" s="489">
        <v>0</v>
      </c>
    </row>
    <row r="313" spans="2:10">
      <c r="B313" s="1573"/>
      <c r="C313" s="1574"/>
      <c r="D313" s="1574"/>
      <c r="E313" s="1574"/>
      <c r="F313" s="1574"/>
      <c r="G313" s="1574"/>
      <c r="H313" s="1574"/>
      <c r="I313" s="1575"/>
    </row>
    <row r="314" spans="2:10" ht="26">
      <c r="B314" s="1571" t="s">
        <v>2024</v>
      </c>
      <c r="C314" s="51"/>
      <c r="D314" s="57"/>
      <c r="E314" s="57"/>
      <c r="F314" s="57"/>
      <c r="G314" s="57"/>
      <c r="H314" s="57"/>
      <c r="I314" s="56"/>
    </row>
    <row r="315" spans="2:10">
      <c r="B315" s="71" t="s">
        <v>331</v>
      </c>
      <c r="C315" s="51">
        <v>0</v>
      </c>
      <c r="D315" s="645">
        <v>18</v>
      </c>
      <c r="E315" s="645">
        <v>18</v>
      </c>
      <c r="F315" s="645">
        <v>18</v>
      </c>
      <c r="G315" s="57">
        <v>0</v>
      </c>
      <c r="H315" s="57">
        <v>0</v>
      </c>
      <c r="I315" s="57">
        <v>0</v>
      </c>
      <c r="J315" s="57">
        <v>0</v>
      </c>
    </row>
    <row r="316" spans="2:10">
      <c r="B316" s="133" t="s">
        <v>2020</v>
      </c>
      <c r="C316" s="51">
        <v>0</v>
      </c>
      <c r="D316" s="645">
        <v>18</v>
      </c>
      <c r="E316" s="645">
        <v>18</v>
      </c>
      <c r="F316" s="645">
        <v>18</v>
      </c>
      <c r="G316" s="57">
        <v>0</v>
      </c>
      <c r="H316" s="57">
        <v>0</v>
      </c>
      <c r="I316" s="57">
        <v>0</v>
      </c>
      <c r="J316" s="57">
        <v>0</v>
      </c>
    </row>
    <row r="317" spans="2:10">
      <c r="B317" s="133" t="s">
        <v>260</v>
      </c>
      <c r="C317" s="51">
        <v>0</v>
      </c>
      <c r="D317" s="1576">
        <v>17</v>
      </c>
      <c r="E317" s="1576">
        <v>17</v>
      </c>
      <c r="F317" s="1576">
        <v>17</v>
      </c>
      <c r="G317" s="57">
        <v>0</v>
      </c>
      <c r="H317" s="57">
        <v>0</v>
      </c>
      <c r="I317" s="57">
        <v>0</v>
      </c>
      <c r="J317" s="57">
        <v>0</v>
      </c>
    </row>
    <row r="318" spans="2:10">
      <c r="B318" s="132" t="s">
        <v>329</v>
      </c>
      <c r="C318" s="51">
        <v>0</v>
      </c>
      <c r="D318" s="645">
        <v>1</v>
      </c>
      <c r="E318" s="645">
        <v>1</v>
      </c>
      <c r="F318" s="645">
        <v>1</v>
      </c>
      <c r="G318" s="57">
        <v>0</v>
      </c>
      <c r="H318" s="57">
        <v>0</v>
      </c>
      <c r="I318" s="57">
        <v>0</v>
      </c>
      <c r="J318" s="57">
        <v>0</v>
      </c>
    </row>
    <row r="319" spans="2:10" ht="25">
      <c r="B319" s="132" t="s">
        <v>2021</v>
      </c>
      <c r="C319" s="51">
        <v>0</v>
      </c>
      <c r="D319" s="57">
        <v>0</v>
      </c>
      <c r="E319" s="57">
        <v>0</v>
      </c>
      <c r="F319" s="57">
        <v>0</v>
      </c>
      <c r="G319" s="57">
        <v>0</v>
      </c>
      <c r="H319" s="57">
        <v>0</v>
      </c>
      <c r="I319" s="57">
        <v>0</v>
      </c>
      <c r="J319" s="57">
        <v>0</v>
      </c>
    </row>
    <row r="320" spans="2:10">
      <c r="B320" s="1573" t="s">
        <v>327</v>
      </c>
      <c r="C320" s="51">
        <v>0</v>
      </c>
      <c r="D320" s="57">
        <v>0</v>
      </c>
      <c r="E320" s="57">
        <v>0</v>
      </c>
      <c r="F320" s="57">
        <v>0</v>
      </c>
      <c r="G320" s="57">
        <v>0</v>
      </c>
      <c r="H320" s="57">
        <v>0</v>
      </c>
      <c r="I320" s="57">
        <v>0</v>
      </c>
      <c r="J320" s="57">
        <v>0</v>
      </c>
    </row>
    <row r="321" spans="2:10">
      <c r="B321" s="1573" t="s">
        <v>326</v>
      </c>
      <c r="C321" s="51">
        <v>0</v>
      </c>
      <c r="D321" s="57">
        <v>0</v>
      </c>
      <c r="E321" s="57">
        <v>0</v>
      </c>
      <c r="F321" s="57">
        <v>0</v>
      </c>
      <c r="G321" s="57">
        <v>0</v>
      </c>
      <c r="H321" s="57">
        <v>0</v>
      </c>
      <c r="I321" s="57">
        <v>0</v>
      </c>
      <c r="J321" s="57">
        <v>0</v>
      </c>
    </row>
    <row r="322" spans="2:10">
      <c r="B322" s="132" t="s">
        <v>325</v>
      </c>
      <c r="C322" s="51">
        <v>0</v>
      </c>
      <c r="D322" s="57">
        <v>0</v>
      </c>
      <c r="E322" s="57">
        <v>0</v>
      </c>
      <c r="F322" s="57">
        <v>0</v>
      </c>
      <c r="G322" s="57">
        <v>0</v>
      </c>
      <c r="H322" s="57">
        <v>0</v>
      </c>
      <c r="I322" s="57">
        <v>0</v>
      </c>
      <c r="J322" s="57">
        <v>0</v>
      </c>
    </row>
    <row r="323" spans="2:10">
      <c r="B323" s="1573" t="s">
        <v>323</v>
      </c>
      <c r="C323" s="51">
        <v>0</v>
      </c>
      <c r="D323" s="57">
        <v>0</v>
      </c>
      <c r="E323" s="57">
        <v>0</v>
      </c>
      <c r="F323" s="57">
        <v>0</v>
      </c>
      <c r="G323" s="57">
        <v>0</v>
      </c>
      <c r="H323" s="57">
        <v>0</v>
      </c>
      <c r="I323" s="57">
        <v>0</v>
      </c>
      <c r="J323" s="57">
        <v>0</v>
      </c>
    </row>
    <row r="324" spans="2:10">
      <c r="B324" s="1573" t="s">
        <v>2022</v>
      </c>
      <c r="C324" s="51">
        <v>0</v>
      </c>
      <c r="D324" s="57">
        <v>0</v>
      </c>
      <c r="E324" s="57">
        <v>0</v>
      </c>
      <c r="F324" s="57">
        <v>0</v>
      </c>
      <c r="G324" s="57">
        <v>0</v>
      </c>
      <c r="H324" s="57">
        <v>0</v>
      </c>
      <c r="I324" s="57">
        <v>0</v>
      </c>
      <c r="J324" s="57">
        <v>0</v>
      </c>
    </row>
    <row r="325" spans="2:10">
      <c r="B325" s="1573" t="s">
        <v>322</v>
      </c>
      <c r="C325" s="51">
        <v>0</v>
      </c>
      <c r="D325" s="57">
        <v>0</v>
      </c>
      <c r="E325" s="57">
        <v>0</v>
      </c>
      <c r="F325" s="57">
        <v>0</v>
      </c>
      <c r="G325" s="57">
        <v>0</v>
      </c>
      <c r="H325" s="57">
        <v>0</v>
      </c>
      <c r="I325" s="57">
        <v>0</v>
      </c>
      <c r="J325" s="57">
        <v>0</v>
      </c>
    </row>
    <row r="326" spans="2:10">
      <c r="B326" s="57"/>
      <c r="C326" s="51"/>
      <c r="D326" s="57"/>
      <c r="E326" s="57"/>
      <c r="F326" s="57"/>
      <c r="G326" s="57"/>
      <c r="H326" s="57"/>
      <c r="I326" s="56"/>
    </row>
    <row r="327" spans="2:10" ht="26">
      <c r="B327" s="1571" t="s">
        <v>2132</v>
      </c>
      <c r="C327" s="51"/>
      <c r="D327" s="57"/>
      <c r="E327" s="57"/>
      <c r="F327" s="57"/>
      <c r="G327" s="57"/>
      <c r="H327" s="57"/>
      <c r="I327" s="56"/>
    </row>
    <row r="328" spans="2:10">
      <c r="B328" s="71" t="s">
        <v>331</v>
      </c>
      <c r="C328" s="51">
        <v>0</v>
      </c>
      <c r="D328" s="57">
        <v>0</v>
      </c>
      <c r="E328" s="57">
        <v>0</v>
      </c>
      <c r="F328" s="645">
        <v>18</v>
      </c>
      <c r="G328" s="645">
        <v>18</v>
      </c>
      <c r="H328" s="645">
        <v>18</v>
      </c>
      <c r="I328" s="645">
        <v>18</v>
      </c>
      <c r="J328" s="645">
        <v>18</v>
      </c>
    </row>
    <row r="329" spans="2:10">
      <c r="B329" s="133" t="s">
        <v>2020</v>
      </c>
      <c r="C329" s="51">
        <v>0</v>
      </c>
      <c r="D329" s="57">
        <v>0</v>
      </c>
      <c r="E329" s="57">
        <v>0</v>
      </c>
      <c r="F329" s="645">
        <v>18</v>
      </c>
      <c r="G329" s="645">
        <v>18</v>
      </c>
      <c r="H329" s="645">
        <v>18</v>
      </c>
      <c r="I329" s="645">
        <v>18</v>
      </c>
      <c r="J329" s="645">
        <v>18</v>
      </c>
    </row>
    <row r="330" spans="2:10">
      <c r="B330" s="133" t="s">
        <v>260</v>
      </c>
      <c r="C330" s="51">
        <v>0</v>
      </c>
      <c r="D330" s="57">
        <v>0</v>
      </c>
      <c r="E330" s="57">
        <v>0</v>
      </c>
      <c r="F330" s="1576">
        <v>17</v>
      </c>
      <c r="G330" s="1576">
        <v>17</v>
      </c>
      <c r="H330" s="1576">
        <v>17</v>
      </c>
      <c r="I330" s="1576">
        <v>17</v>
      </c>
      <c r="J330" s="1576">
        <v>17</v>
      </c>
    </row>
    <row r="331" spans="2:10">
      <c r="B331" s="132" t="s">
        <v>329</v>
      </c>
      <c r="C331" s="51">
        <v>0</v>
      </c>
      <c r="D331" s="57">
        <v>0</v>
      </c>
      <c r="E331" s="57">
        <v>0</v>
      </c>
      <c r="F331" s="645">
        <v>1</v>
      </c>
      <c r="G331" s="645">
        <v>1</v>
      </c>
      <c r="H331" s="645">
        <v>1</v>
      </c>
      <c r="I331" s="645">
        <v>1</v>
      </c>
      <c r="J331" s="645">
        <v>1</v>
      </c>
    </row>
    <row r="332" spans="2:10" ht="25">
      <c r="B332" s="132" t="s">
        <v>2021</v>
      </c>
      <c r="C332" s="51">
        <v>0</v>
      </c>
      <c r="D332" s="57">
        <v>0</v>
      </c>
      <c r="E332" s="57">
        <v>0</v>
      </c>
      <c r="F332" s="57">
        <v>0</v>
      </c>
      <c r="G332" s="57">
        <v>0</v>
      </c>
      <c r="H332" s="57">
        <v>0</v>
      </c>
      <c r="I332" s="57">
        <v>0</v>
      </c>
      <c r="J332" s="57">
        <v>0</v>
      </c>
    </row>
    <row r="333" spans="2:10">
      <c r="B333" s="1573" t="s">
        <v>327</v>
      </c>
      <c r="C333" s="51">
        <v>0</v>
      </c>
      <c r="D333" s="57">
        <v>0</v>
      </c>
      <c r="E333" s="57">
        <v>0</v>
      </c>
      <c r="F333" s="57">
        <v>0</v>
      </c>
      <c r="G333" s="57">
        <v>0</v>
      </c>
      <c r="H333" s="57">
        <v>0</v>
      </c>
      <c r="I333" s="57">
        <v>0</v>
      </c>
      <c r="J333" s="57">
        <v>0</v>
      </c>
    </row>
    <row r="334" spans="2:10">
      <c r="B334" s="1573" t="s">
        <v>326</v>
      </c>
      <c r="C334" s="51">
        <v>0</v>
      </c>
      <c r="D334" s="57">
        <v>0</v>
      </c>
      <c r="E334" s="57">
        <v>0</v>
      </c>
      <c r="F334" s="57">
        <v>0</v>
      </c>
      <c r="G334" s="57">
        <v>0</v>
      </c>
      <c r="H334" s="57">
        <v>0</v>
      </c>
      <c r="I334" s="57">
        <v>0</v>
      </c>
      <c r="J334" s="57">
        <v>0</v>
      </c>
    </row>
    <row r="335" spans="2:10">
      <c r="B335" s="132" t="s">
        <v>325</v>
      </c>
      <c r="C335" s="51">
        <v>0</v>
      </c>
      <c r="D335" s="57">
        <v>0</v>
      </c>
      <c r="E335" s="57">
        <v>0</v>
      </c>
      <c r="F335" s="57">
        <v>0</v>
      </c>
      <c r="G335" s="57">
        <v>0</v>
      </c>
      <c r="H335" s="57">
        <v>0</v>
      </c>
      <c r="I335" s="57">
        <v>0</v>
      </c>
      <c r="J335" s="57">
        <v>0</v>
      </c>
    </row>
    <row r="336" spans="2:10">
      <c r="B336" s="1573" t="s">
        <v>323</v>
      </c>
      <c r="C336" s="51">
        <v>0</v>
      </c>
      <c r="D336" s="57">
        <v>0</v>
      </c>
      <c r="E336" s="57">
        <v>0</v>
      </c>
      <c r="F336" s="57">
        <v>0</v>
      </c>
      <c r="G336" s="57">
        <v>0</v>
      </c>
      <c r="H336" s="57">
        <v>0</v>
      </c>
      <c r="I336" s="57">
        <v>0</v>
      </c>
      <c r="J336" s="57">
        <v>0</v>
      </c>
    </row>
    <row r="337" spans="2:10">
      <c r="B337" s="1573" t="s">
        <v>2022</v>
      </c>
      <c r="C337" s="51">
        <v>0</v>
      </c>
      <c r="D337" s="57">
        <v>0</v>
      </c>
      <c r="E337" s="57">
        <v>0</v>
      </c>
      <c r="F337" s="57">
        <v>0</v>
      </c>
      <c r="G337" s="57">
        <v>0</v>
      </c>
      <c r="H337" s="57">
        <v>0</v>
      </c>
      <c r="I337" s="57">
        <v>0</v>
      </c>
      <c r="J337" s="57">
        <v>0</v>
      </c>
    </row>
    <row r="338" spans="2:10">
      <c r="B338" s="1573" t="s">
        <v>322</v>
      </c>
      <c r="C338" s="51">
        <v>0</v>
      </c>
      <c r="D338" s="57">
        <v>0</v>
      </c>
      <c r="E338" s="57">
        <v>0</v>
      </c>
      <c r="F338" s="57">
        <v>0</v>
      </c>
      <c r="G338" s="57">
        <v>0</v>
      </c>
      <c r="H338" s="57">
        <v>0</v>
      </c>
      <c r="I338" s="57">
        <v>0</v>
      </c>
      <c r="J338" s="57">
        <v>0</v>
      </c>
    </row>
    <row r="339" spans="2:10">
      <c r="B339" s="1573"/>
      <c r="C339" s="51"/>
      <c r="D339" s="57"/>
      <c r="E339" s="57"/>
      <c r="F339" s="57"/>
      <c r="G339" s="57"/>
      <c r="H339" s="57"/>
      <c r="I339" s="57"/>
      <c r="J339" s="57"/>
    </row>
    <row r="340" spans="2:10">
      <c r="B340" s="1571" t="s">
        <v>2025</v>
      </c>
      <c r="C340" s="51"/>
      <c r="D340" s="57"/>
      <c r="E340" s="57"/>
      <c r="F340" s="57"/>
      <c r="G340" s="57"/>
      <c r="H340" s="57"/>
      <c r="I340" s="57"/>
      <c r="J340" s="57"/>
    </row>
    <row r="341" spans="2:10">
      <c r="B341" s="71" t="s">
        <v>331</v>
      </c>
      <c r="C341" s="51">
        <v>0</v>
      </c>
      <c r="D341" s="57">
        <v>34</v>
      </c>
      <c r="E341" s="57">
        <v>34</v>
      </c>
      <c r="F341" s="57">
        <v>35</v>
      </c>
      <c r="G341" s="57">
        <v>36</v>
      </c>
      <c r="H341" s="57">
        <v>36</v>
      </c>
      <c r="I341" s="57">
        <v>36</v>
      </c>
      <c r="J341" s="57">
        <v>39</v>
      </c>
    </row>
    <row r="342" spans="2:10">
      <c r="B342" s="133" t="s">
        <v>330</v>
      </c>
      <c r="C342" s="51">
        <v>0</v>
      </c>
      <c r="D342" s="57">
        <v>34</v>
      </c>
      <c r="E342" s="57">
        <v>34</v>
      </c>
      <c r="F342" s="57">
        <v>34</v>
      </c>
      <c r="G342" s="57">
        <v>35</v>
      </c>
      <c r="H342" s="57">
        <v>35</v>
      </c>
      <c r="I342" s="57">
        <v>36</v>
      </c>
      <c r="J342" s="57">
        <v>38</v>
      </c>
    </row>
    <row r="343" spans="2:10">
      <c r="B343" s="52" t="s">
        <v>260</v>
      </c>
      <c r="C343" s="51">
        <v>0</v>
      </c>
      <c r="D343" s="57">
        <v>17</v>
      </c>
      <c r="E343" s="57">
        <v>17</v>
      </c>
      <c r="F343" s="57">
        <v>17</v>
      </c>
      <c r="G343" s="57">
        <v>17</v>
      </c>
      <c r="H343" s="57">
        <v>17</v>
      </c>
      <c r="I343" s="57">
        <v>17</v>
      </c>
      <c r="J343" s="57">
        <v>17</v>
      </c>
    </row>
    <row r="344" spans="2:10">
      <c r="B344" s="52" t="s">
        <v>329</v>
      </c>
      <c r="C344" s="51">
        <v>0</v>
      </c>
      <c r="D344" s="51">
        <v>0</v>
      </c>
      <c r="E344" s="51">
        <v>0</v>
      </c>
      <c r="F344" s="51">
        <v>0</v>
      </c>
      <c r="G344" s="51">
        <v>0</v>
      </c>
      <c r="H344" s="51">
        <v>0</v>
      </c>
      <c r="I344" s="51">
        <v>0</v>
      </c>
      <c r="J344" s="51">
        <v>0</v>
      </c>
    </row>
    <row r="345" spans="2:10">
      <c r="B345" s="52" t="s">
        <v>328</v>
      </c>
      <c r="C345" s="51">
        <v>0</v>
      </c>
      <c r="D345" s="57">
        <v>17</v>
      </c>
      <c r="E345" s="57">
        <v>17</v>
      </c>
      <c r="F345" s="57">
        <v>17</v>
      </c>
      <c r="G345" s="57">
        <v>18</v>
      </c>
      <c r="H345" s="57">
        <v>18</v>
      </c>
      <c r="I345" s="57">
        <v>19</v>
      </c>
      <c r="J345" s="57">
        <v>21</v>
      </c>
    </row>
    <row r="346" spans="2:10">
      <c r="B346" s="136" t="s">
        <v>327</v>
      </c>
      <c r="C346" s="51">
        <v>0</v>
      </c>
      <c r="D346" s="51">
        <v>0</v>
      </c>
      <c r="E346" s="51">
        <v>0</v>
      </c>
      <c r="F346" s="51">
        <v>0</v>
      </c>
      <c r="G346" s="51">
        <v>0</v>
      </c>
      <c r="H346" s="51">
        <v>0</v>
      </c>
      <c r="I346" s="51">
        <v>0</v>
      </c>
      <c r="J346" s="51">
        <v>0</v>
      </c>
    </row>
    <row r="347" spans="2:10">
      <c r="B347" s="136" t="s">
        <v>326</v>
      </c>
      <c r="C347" s="51">
        <v>0</v>
      </c>
      <c r="D347" s="51">
        <v>0</v>
      </c>
      <c r="E347" s="51">
        <v>0</v>
      </c>
      <c r="F347" s="51">
        <v>0</v>
      </c>
      <c r="G347" s="51">
        <v>0</v>
      </c>
      <c r="H347" s="51">
        <v>0</v>
      </c>
      <c r="I347" s="51">
        <v>0</v>
      </c>
      <c r="J347" s="51">
        <v>0</v>
      </c>
    </row>
    <row r="348" spans="2:10">
      <c r="B348" s="136" t="s">
        <v>325</v>
      </c>
      <c r="C348" s="51">
        <v>0</v>
      </c>
      <c r="D348" s="51">
        <v>0</v>
      </c>
      <c r="E348" s="51">
        <v>0</v>
      </c>
      <c r="F348" s="51">
        <v>0</v>
      </c>
      <c r="G348" s="51">
        <v>0</v>
      </c>
      <c r="H348" s="51">
        <v>0</v>
      </c>
      <c r="I348" s="51">
        <v>0</v>
      </c>
      <c r="J348" s="51">
        <v>0</v>
      </c>
    </row>
    <row r="349" spans="2:10">
      <c r="B349" s="136" t="s">
        <v>323</v>
      </c>
      <c r="C349" s="51">
        <v>0</v>
      </c>
      <c r="D349" s="57">
        <v>8</v>
      </c>
      <c r="E349" s="57">
        <v>8</v>
      </c>
      <c r="F349" s="57">
        <v>8</v>
      </c>
      <c r="G349" s="57">
        <v>8</v>
      </c>
      <c r="H349" s="57">
        <v>8</v>
      </c>
      <c r="I349" s="57">
        <v>8</v>
      </c>
      <c r="J349" s="57">
        <v>8</v>
      </c>
    </row>
    <row r="350" spans="2:10">
      <c r="B350" s="136" t="s">
        <v>117</v>
      </c>
      <c r="C350" s="51">
        <v>0</v>
      </c>
      <c r="D350" s="57">
        <v>9</v>
      </c>
      <c r="E350" s="57">
        <v>9</v>
      </c>
      <c r="F350" s="57">
        <v>9</v>
      </c>
      <c r="G350" s="57">
        <v>10</v>
      </c>
      <c r="H350" s="57">
        <v>10</v>
      </c>
      <c r="I350" s="57">
        <v>11</v>
      </c>
      <c r="J350" s="57">
        <v>13</v>
      </c>
    </row>
    <row r="351" spans="2:10">
      <c r="B351" s="133" t="s">
        <v>322</v>
      </c>
      <c r="C351" s="51">
        <v>0</v>
      </c>
      <c r="D351" s="57">
        <v>0</v>
      </c>
      <c r="E351" s="57">
        <v>0</v>
      </c>
      <c r="F351" s="57">
        <v>1</v>
      </c>
      <c r="G351" s="57">
        <v>1</v>
      </c>
      <c r="H351" s="57">
        <v>1</v>
      </c>
      <c r="I351" s="57">
        <v>0</v>
      </c>
      <c r="J351" s="57">
        <v>1</v>
      </c>
    </row>
    <row r="352" spans="2:10">
      <c r="B352" s="1573"/>
      <c r="C352" s="51"/>
      <c r="D352" s="57"/>
      <c r="E352" s="57"/>
      <c r="F352" s="57"/>
      <c r="G352" s="57"/>
      <c r="H352" s="57"/>
      <c r="I352" s="57"/>
      <c r="J352" s="57"/>
    </row>
    <row r="353" spans="2:10">
      <c r="B353" s="1577" t="s">
        <v>2026</v>
      </c>
      <c r="C353" s="51"/>
      <c r="D353" s="57"/>
      <c r="E353" s="57"/>
      <c r="F353" s="57"/>
      <c r="G353" s="57"/>
      <c r="H353" s="57"/>
      <c r="I353" s="57"/>
      <c r="J353" s="57"/>
    </row>
    <row r="354" spans="2:10">
      <c r="B354" s="71" t="s">
        <v>331</v>
      </c>
      <c r="C354" s="51">
        <v>0</v>
      </c>
      <c r="D354" s="57">
        <v>38</v>
      </c>
      <c r="E354" s="57">
        <v>45</v>
      </c>
      <c r="F354" s="57">
        <v>48</v>
      </c>
      <c r="G354" s="57">
        <v>41</v>
      </c>
      <c r="H354" s="57">
        <v>42</v>
      </c>
      <c r="I354" s="57">
        <v>56</v>
      </c>
      <c r="J354" s="57">
        <v>28</v>
      </c>
    </row>
    <row r="355" spans="2:10">
      <c r="B355" s="133" t="s">
        <v>330</v>
      </c>
      <c r="C355" s="51">
        <v>0</v>
      </c>
      <c r="D355" s="57">
        <v>38</v>
      </c>
      <c r="E355" s="57">
        <v>45</v>
      </c>
      <c r="F355" s="57">
        <v>48</v>
      </c>
      <c r="G355" s="57">
        <v>41</v>
      </c>
      <c r="H355" s="57">
        <v>42</v>
      </c>
      <c r="I355" s="57">
        <v>56</v>
      </c>
      <c r="J355" s="57">
        <v>27</v>
      </c>
    </row>
    <row r="356" spans="2:10">
      <c r="B356" s="52" t="s">
        <v>260</v>
      </c>
      <c r="C356" s="51">
        <v>0</v>
      </c>
      <c r="D356" s="57">
        <v>4</v>
      </c>
      <c r="E356" s="57">
        <v>4</v>
      </c>
      <c r="F356" s="57">
        <v>4</v>
      </c>
      <c r="G356" s="57">
        <v>4</v>
      </c>
      <c r="H356" s="57">
        <v>4</v>
      </c>
      <c r="I356" s="57">
        <v>4</v>
      </c>
      <c r="J356" s="57">
        <v>3</v>
      </c>
    </row>
    <row r="357" spans="2:10">
      <c r="B357" s="52" t="s">
        <v>329</v>
      </c>
      <c r="C357" s="51">
        <v>0</v>
      </c>
      <c r="D357" s="51">
        <v>0</v>
      </c>
      <c r="E357" s="51">
        <v>0</v>
      </c>
      <c r="F357" s="51">
        <v>0</v>
      </c>
      <c r="G357" s="51">
        <v>0</v>
      </c>
      <c r="H357" s="51">
        <v>0</v>
      </c>
      <c r="I357" s="51">
        <v>0</v>
      </c>
      <c r="J357" s="51">
        <v>0</v>
      </c>
    </row>
    <row r="358" spans="2:10">
      <c r="B358" s="52" t="s">
        <v>328</v>
      </c>
      <c r="C358" s="51">
        <v>0</v>
      </c>
      <c r="D358" s="57">
        <v>34</v>
      </c>
      <c r="E358" s="57">
        <v>41</v>
      </c>
      <c r="F358" s="57">
        <v>44</v>
      </c>
      <c r="G358" s="57">
        <v>37</v>
      </c>
      <c r="H358" s="57">
        <v>38</v>
      </c>
      <c r="I358" s="57">
        <v>52</v>
      </c>
      <c r="J358" s="57">
        <v>24</v>
      </c>
    </row>
    <row r="359" spans="2:10">
      <c r="B359" s="136" t="s">
        <v>327</v>
      </c>
      <c r="C359" s="51">
        <v>0</v>
      </c>
      <c r="D359" s="51">
        <v>0</v>
      </c>
      <c r="E359" s="51">
        <v>0</v>
      </c>
      <c r="F359" s="51">
        <v>0</v>
      </c>
      <c r="G359" s="51">
        <v>0</v>
      </c>
      <c r="H359" s="51">
        <v>0</v>
      </c>
      <c r="I359" s="51">
        <v>0</v>
      </c>
      <c r="J359" s="51">
        <v>0</v>
      </c>
    </row>
    <row r="360" spans="2:10">
      <c r="B360" s="136" t="s">
        <v>326</v>
      </c>
      <c r="C360" s="51">
        <v>0</v>
      </c>
      <c r="D360" s="51">
        <v>0</v>
      </c>
      <c r="E360" s="51">
        <v>0</v>
      </c>
      <c r="F360" s="51">
        <v>0</v>
      </c>
      <c r="G360" s="51">
        <v>0</v>
      </c>
      <c r="H360" s="51">
        <v>0</v>
      </c>
      <c r="I360" s="51">
        <v>0</v>
      </c>
      <c r="J360" s="51">
        <v>0</v>
      </c>
    </row>
    <row r="361" spans="2:10">
      <c r="B361" s="136" t="s">
        <v>325</v>
      </c>
      <c r="C361" s="51">
        <v>0</v>
      </c>
      <c r="D361" s="51">
        <v>0</v>
      </c>
      <c r="E361" s="51">
        <v>0</v>
      </c>
      <c r="F361" s="51">
        <v>0</v>
      </c>
      <c r="G361" s="51">
        <v>0</v>
      </c>
      <c r="H361" s="51">
        <v>0</v>
      </c>
      <c r="I361" s="51">
        <v>0</v>
      </c>
      <c r="J361" s="51">
        <v>0</v>
      </c>
    </row>
    <row r="362" spans="2:10">
      <c r="B362" s="136" t="s">
        <v>323</v>
      </c>
      <c r="C362" s="51">
        <v>0</v>
      </c>
      <c r="D362" s="57">
        <v>1</v>
      </c>
      <c r="E362" s="57">
        <v>1</v>
      </c>
      <c r="F362" s="57">
        <v>1</v>
      </c>
      <c r="G362" s="57">
        <v>0</v>
      </c>
      <c r="H362" s="57">
        <v>0</v>
      </c>
      <c r="I362" s="57">
        <v>1</v>
      </c>
      <c r="J362" s="57">
        <v>19</v>
      </c>
    </row>
    <row r="363" spans="2:10">
      <c r="B363" s="136" t="s">
        <v>117</v>
      </c>
      <c r="C363" s="51">
        <v>0</v>
      </c>
      <c r="D363" s="57">
        <v>33</v>
      </c>
      <c r="E363" s="57">
        <v>40</v>
      </c>
      <c r="F363" s="57">
        <v>43</v>
      </c>
      <c r="G363" s="57">
        <v>37</v>
      </c>
      <c r="H363" s="57">
        <v>38</v>
      </c>
      <c r="I363" s="57">
        <v>51</v>
      </c>
      <c r="J363" s="57">
        <v>5</v>
      </c>
    </row>
    <row r="364" spans="2:10">
      <c r="B364" s="133" t="s">
        <v>322</v>
      </c>
      <c r="C364" s="51">
        <v>0</v>
      </c>
      <c r="D364" s="57">
        <v>0</v>
      </c>
      <c r="E364" s="57">
        <v>0</v>
      </c>
      <c r="F364" s="57">
        <v>0</v>
      </c>
      <c r="G364" s="57">
        <v>0</v>
      </c>
      <c r="H364" s="57">
        <v>0</v>
      </c>
      <c r="I364" s="57">
        <v>0</v>
      </c>
      <c r="J364" s="57">
        <v>1</v>
      </c>
    </row>
    <row r="365" spans="2:10">
      <c r="B365" s="1573"/>
      <c r="C365" s="51"/>
      <c r="D365" s="57"/>
      <c r="E365" s="57"/>
      <c r="F365" s="57"/>
      <c r="G365" s="57"/>
      <c r="H365" s="57"/>
      <c r="I365" s="57"/>
      <c r="J365" s="57"/>
    </row>
    <row r="366" spans="2:10">
      <c r="B366" s="1577" t="s">
        <v>2027</v>
      </c>
      <c r="C366" s="51"/>
      <c r="D366" s="57"/>
      <c r="E366" s="57"/>
      <c r="F366" s="57"/>
      <c r="G366" s="57"/>
      <c r="H366" s="57"/>
      <c r="I366" s="57"/>
      <c r="J366" s="57"/>
    </row>
    <row r="367" spans="2:10">
      <c r="B367" s="71" t="s">
        <v>331</v>
      </c>
      <c r="C367" s="51">
        <v>0</v>
      </c>
      <c r="D367" s="57">
        <v>45</v>
      </c>
      <c r="E367" s="57">
        <v>43</v>
      </c>
      <c r="F367" s="57">
        <v>41</v>
      </c>
      <c r="G367" s="57">
        <v>41</v>
      </c>
      <c r="H367" s="57">
        <v>41</v>
      </c>
      <c r="I367" s="57">
        <v>43</v>
      </c>
      <c r="J367" s="57">
        <v>44</v>
      </c>
    </row>
    <row r="368" spans="2:10">
      <c r="B368" s="133" t="s">
        <v>330</v>
      </c>
      <c r="C368" s="51">
        <v>0</v>
      </c>
      <c r="D368" s="57">
        <v>45</v>
      </c>
      <c r="E368" s="57">
        <v>43</v>
      </c>
      <c r="F368" s="57">
        <v>41</v>
      </c>
      <c r="G368" s="57">
        <v>41</v>
      </c>
      <c r="H368" s="57">
        <v>41</v>
      </c>
      <c r="I368" s="57">
        <v>43</v>
      </c>
      <c r="J368" s="57">
        <v>44</v>
      </c>
    </row>
    <row r="369" spans="2:10">
      <c r="B369" s="52" t="s">
        <v>260</v>
      </c>
      <c r="C369" s="51">
        <v>0</v>
      </c>
      <c r="D369" s="57">
        <v>2</v>
      </c>
      <c r="E369" s="57">
        <v>2</v>
      </c>
      <c r="F369" s="57">
        <v>2</v>
      </c>
      <c r="G369" s="57">
        <v>2</v>
      </c>
      <c r="H369" s="57">
        <v>2</v>
      </c>
      <c r="I369" s="57">
        <v>2</v>
      </c>
      <c r="J369" s="57">
        <v>2</v>
      </c>
    </row>
    <row r="370" spans="2:10">
      <c r="B370" s="52" t="s">
        <v>329</v>
      </c>
      <c r="C370" s="51">
        <v>0</v>
      </c>
      <c r="D370" s="51">
        <v>0</v>
      </c>
      <c r="E370" s="51">
        <v>0</v>
      </c>
      <c r="F370" s="51">
        <v>0</v>
      </c>
      <c r="G370" s="51">
        <v>0</v>
      </c>
      <c r="H370" s="51">
        <v>0</v>
      </c>
      <c r="I370" s="51">
        <v>0</v>
      </c>
      <c r="J370" s="51">
        <v>0</v>
      </c>
    </row>
    <row r="371" spans="2:10">
      <c r="B371" s="52" t="s">
        <v>328</v>
      </c>
      <c r="C371" s="51">
        <v>0</v>
      </c>
      <c r="D371" s="57">
        <v>43</v>
      </c>
      <c r="E371" s="57">
        <v>41</v>
      </c>
      <c r="F371" s="57">
        <v>39</v>
      </c>
      <c r="G371" s="57">
        <v>39</v>
      </c>
      <c r="H371" s="57">
        <v>39</v>
      </c>
      <c r="I371" s="57">
        <v>41</v>
      </c>
      <c r="J371" s="57">
        <v>42</v>
      </c>
    </row>
    <row r="372" spans="2:10">
      <c r="B372" s="136" t="s">
        <v>327</v>
      </c>
      <c r="C372" s="51">
        <v>0</v>
      </c>
      <c r="D372" s="51">
        <v>0</v>
      </c>
      <c r="E372" s="51">
        <v>0</v>
      </c>
      <c r="F372" s="51">
        <v>0</v>
      </c>
      <c r="G372" s="51">
        <v>0</v>
      </c>
      <c r="H372" s="51">
        <v>0</v>
      </c>
      <c r="I372" s="51">
        <v>0</v>
      </c>
      <c r="J372" s="51">
        <v>0</v>
      </c>
    </row>
    <row r="373" spans="2:10">
      <c r="B373" s="136" t="s">
        <v>326</v>
      </c>
      <c r="C373" s="51">
        <v>0</v>
      </c>
      <c r="D373" s="51">
        <v>0</v>
      </c>
      <c r="E373" s="51">
        <v>0</v>
      </c>
      <c r="F373" s="51">
        <v>0</v>
      </c>
      <c r="G373" s="51">
        <v>0</v>
      </c>
      <c r="H373" s="51">
        <v>0</v>
      </c>
      <c r="I373" s="51">
        <v>0</v>
      </c>
      <c r="J373" s="51">
        <v>0</v>
      </c>
    </row>
    <row r="374" spans="2:10">
      <c r="B374" s="136" t="s">
        <v>325</v>
      </c>
      <c r="C374" s="51">
        <v>0</v>
      </c>
      <c r="D374" s="51">
        <v>0</v>
      </c>
      <c r="E374" s="51">
        <v>0</v>
      </c>
      <c r="F374" s="51">
        <v>0</v>
      </c>
      <c r="G374" s="51">
        <v>0</v>
      </c>
      <c r="H374" s="51">
        <v>0</v>
      </c>
      <c r="I374" s="51">
        <v>0</v>
      </c>
      <c r="J374" s="51">
        <v>0</v>
      </c>
    </row>
    <row r="375" spans="2:10">
      <c r="B375" s="136" t="s">
        <v>323</v>
      </c>
      <c r="C375" s="51">
        <v>0</v>
      </c>
      <c r="D375" s="57">
        <v>6</v>
      </c>
      <c r="E375" s="57">
        <v>4</v>
      </c>
      <c r="F375" s="57">
        <v>3</v>
      </c>
      <c r="G375" s="57">
        <v>3</v>
      </c>
      <c r="H375" s="57">
        <v>3</v>
      </c>
      <c r="I375" s="57">
        <v>6</v>
      </c>
      <c r="J375" s="57">
        <v>6</v>
      </c>
    </row>
    <row r="376" spans="2:10">
      <c r="B376" s="136" t="s">
        <v>117</v>
      </c>
      <c r="C376" s="51">
        <v>0</v>
      </c>
      <c r="D376" s="57">
        <v>37</v>
      </c>
      <c r="E376" s="57">
        <v>37</v>
      </c>
      <c r="F376" s="57">
        <v>36</v>
      </c>
      <c r="G376" s="57">
        <v>36</v>
      </c>
      <c r="H376" s="57">
        <v>36</v>
      </c>
      <c r="I376" s="57">
        <v>35</v>
      </c>
      <c r="J376" s="57">
        <v>36</v>
      </c>
    </row>
    <row r="377" spans="2:10">
      <c r="B377" s="133" t="s">
        <v>322</v>
      </c>
      <c r="C377" s="51"/>
      <c r="D377" s="57"/>
      <c r="E377" s="57"/>
      <c r="F377" s="57"/>
      <c r="G377" s="57"/>
      <c r="H377" s="57"/>
      <c r="I377" s="57"/>
      <c r="J377" s="57"/>
    </row>
    <row r="378" spans="2:10">
      <c r="B378" s="1573"/>
      <c r="C378" s="51"/>
      <c r="D378" s="57"/>
      <c r="E378" s="57"/>
      <c r="F378" s="57"/>
      <c r="G378" s="57"/>
      <c r="H378" s="57"/>
      <c r="I378" s="57"/>
      <c r="J378" s="57"/>
    </row>
    <row r="379" spans="2:10">
      <c r="B379" s="1577" t="s">
        <v>2028</v>
      </c>
      <c r="C379" s="51"/>
      <c r="D379" s="57"/>
      <c r="E379" s="57"/>
      <c r="F379" s="57"/>
      <c r="G379" s="57"/>
      <c r="H379" s="57"/>
      <c r="I379" s="57"/>
      <c r="J379" s="57"/>
    </row>
    <row r="380" spans="2:10">
      <c r="B380" s="71" t="s">
        <v>331</v>
      </c>
      <c r="C380" s="51">
        <v>0</v>
      </c>
      <c r="D380" s="1578">
        <v>45</v>
      </c>
      <c r="E380" s="1578">
        <v>73</v>
      </c>
      <c r="F380" s="1578">
        <v>86</v>
      </c>
      <c r="G380" s="1578">
        <v>89</v>
      </c>
      <c r="H380" s="1578">
        <v>87</v>
      </c>
      <c r="I380" s="1578">
        <v>87</v>
      </c>
      <c r="J380" s="1578">
        <v>80</v>
      </c>
    </row>
    <row r="381" spans="2:10">
      <c r="B381" s="133" t="s">
        <v>330</v>
      </c>
      <c r="C381" s="51">
        <v>0</v>
      </c>
      <c r="D381" s="1578">
        <v>45</v>
      </c>
      <c r="E381" s="1578">
        <v>73</v>
      </c>
      <c r="F381" s="1578">
        <v>86</v>
      </c>
      <c r="G381" s="1578">
        <v>89</v>
      </c>
      <c r="H381" s="1578">
        <v>87</v>
      </c>
      <c r="I381" s="1578">
        <v>87</v>
      </c>
      <c r="J381" s="1578">
        <v>80</v>
      </c>
    </row>
    <row r="382" spans="2:10">
      <c r="B382" s="52" t="s">
        <v>260</v>
      </c>
      <c r="C382" s="51">
        <v>0</v>
      </c>
      <c r="D382" s="1576">
        <v>2</v>
      </c>
      <c r="E382" s="1576">
        <v>2</v>
      </c>
      <c r="F382" s="1576">
        <v>2</v>
      </c>
      <c r="G382" s="1576">
        <v>2</v>
      </c>
      <c r="H382" s="1576">
        <v>3</v>
      </c>
      <c r="I382" s="1576">
        <v>3</v>
      </c>
      <c r="J382" s="1579">
        <v>2</v>
      </c>
    </row>
    <row r="383" spans="2:10">
      <c r="B383" s="52" t="s">
        <v>329</v>
      </c>
      <c r="C383" s="51">
        <v>0</v>
      </c>
      <c r="D383" s="51">
        <v>0</v>
      </c>
      <c r="E383" s="51">
        <v>0</v>
      </c>
      <c r="F383" s="51">
        <v>0</v>
      </c>
      <c r="G383" s="51">
        <v>0</v>
      </c>
      <c r="H383" s="51">
        <v>0</v>
      </c>
      <c r="I383" s="51">
        <v>0</v>
      </c>
      <c r="J383" s="51">
        <v>0</v>
      </c>
    </row>
    <row r="384" spans="2:10">
      <c r="B384" s="52" t="s">
        <v>328</v>
      </c>
      <c r="C384" s="51">
        <v>0</v>
      </c>
      <c r="D384" s="645">
        <v>62</v>
      </c>
      <c r="E384" s="645">
        <v>71</v>
      </c>
      <c r="F384" s="645">
        <v>84</v>
      </c>
      <c r="G384" s="645">
        <v>87</v>
      </c>
      <c r="H384" s="645">
        <v>84</v>
      </c>
      <c r="I384" s="645">
        <v>84</v>
      </c>
      <c r="J384" s="1580">
        <v>78</v>
      </c>
    </row>
    <row r="385" spans="2:10">
      <c r="B385" s="136" t="s">
        <v>327</v>
      </c>
      <c r="C385" s="51">
        <v>0</v>
      </c>
      <c r="D385" s="51">
        <v>0</v>
      </c>
      <c r="E385" s="51">
        <v>0</v>
      </c>
      <c r="F385" s="51">
        <v>0</v>
      </c>
      <c r="G385" s="51">
        <v>0</v>
      </c>
      <c r="H385" s="51">
        <v>0</v>
      </c>
      <c r="I385" s="51">
        <v>0</v>
      </c>
      <c r="J385" s="51">
        <v>0</v>
      </c>
    </row>
    <row r="386" spans="2:10">
      <c r="B386" s="136" t="s">
        <v>326</v>
      </c>
      <c r="C386" s="51">
        <v>0</v>
      </c>
      <c r="D386" s="51">
        <v>0</v>
      </c>
      <c r="E386" s="51">
        <v>0</v>
      </c>
      <c r="F386" s="51">
        <v>0</v>
      </c>
      <c r="G386" s="51">
        <v>0</v>
      </c>
      <c r="H386" s="51">
        <v>0</v>
      </c>
      <c r="I386" s="51">
        <v>0</v>
      </c>
      <c r="J386" s="51">
        <v>0</v>
      </c>
    </row>
    <row r="387" spans="2:10">
      <c r="B387" s="136" t="s">
        <v>325</v>
      </c>
      <c r="C387" s="51">
        <v>0</v>
      </c>
      <c r="D387" s="51">
        <v>0</v>
      </c>
      <c r="E387" s="51">
        <v>0</v>
      </c>
      <c r="F387" s="51">
        <v>0</v>
      </c>
      <c r="G387" s="51">
        <v>0</v>
      </c>
      <c r="H387" s="51">
        <v>0</v>
      </c>
      <c r="I387" s="51">
        <v>0</v>
      </c>
      <c r="J387" s="51">
        <v>0</v>
      </c>
    </row>
    <row r="388" spans="2:10">
      <c r="B388" s="136" t="s">
        <v>323</v>
      </c>
      <c r="C388" s="51">
        <v>0</v>
      </c>
      <c r="D388" s="645">
        <v>4</v>
      </c>
      <c r="E388" s="645">
        <v>4</v>
      </c>
      <c r="F388" s="645">
        <v>4</v>
      </c>
      <c r="G388" s="645">
        <v>4</v>
      </c>
      <c r="H388" s="645">
        <v>3</v>
      </c>
      <c r="I388" s="645">
        <v>4</v>
      </c>
      <c r="J388" s="1580">
        <v>3</v>
      </c>
    </row>
    <row r="389" spans="2:10">
      <c r="B389" s="136" t="s">
        <v>117</v>
      </c>
      <c r="C389" s="51">
        <v>0</v>
      </c>
      <c r="D389" s="645">
        <v>58</v>
      </c>
      <c r="E389" s="645">
        <v>67</v>
      </c>
      <c r="F389" s="645">
        <v>80</v>
      </c>
      <c r="G389" s="645">
        <v>83</v>
      </c>
      <c r="H389" s="645">
        <v>81</v>
      </c>
      <c r="I389" s="645">
        <v>80</v>
      </c>
      <c r="J389" s="1580">
        <v>75</v>
      </c>
    </row>
    <row r="390" spans="2:10">
      <c r="B390" s="133" t="s">
        <v>322</v>
      </c>
      <c r="C390" s="51">
        <v>0</v>
      </c>
      <c r="D390" s="51">
        <v>0</v>
      </c>
      <c r="E390" s="51">
        <v>0</v>
      </c>
      <c r="F390" s="51">
        <v>0</v>
      </c>
      <c r="G390" s="51">
        <v>0</v>
      </c>
      <c r="H390" s="51">
        <v>0</v>
      </c>
      <c r="I390" s="51">
        <v>0</v>
      </c>
      <c r="J390" s="51">
        <v>0</v>
      </c>
    </row>
    <row r="391" spans="2:10">
      <c r="B391" s="1573"/>
      <c r="C391" s="51"/>
      <c r="D391" s="57"/>
      <c r="E391" s="57"/>
      <c r="F391" s="57"/>
      <c r="G391" s="57"/>
      <c r="H391" s="57"/>
      <c r="I391" s="57"/>
      <c r="J391" s="57"/>
    </row>
    <row r="392" spans="2:10" ht="26">
      <c r="B392" s="1577" t="s">
        <v>2029</v>
      </c>
      <c r="C392" s="51"/>
      <c r="D392" s="57"/>
      <c r="E392" s="57"/>
      <c r="F392" s="57"/>
      <c r="G392" s="57"/>
      <c r="H392" s="57"/>
      <c r="I392" s="57"/>
      <c r="J392" s="57"/>
    </row>
    <row r="393" spans="2:10">
      <c r="B393" s="71" t="s">
        <v>331</v>
      </c>
      <c r="C393" s="51">
        <v>0</v>
      </c>
      <c r="D393" s="51">
        <v>0</v>
      </c>
      <c r="E393" s="51">
        <v>0</v>
      </c>
      <c r="F393" s="51">
        <v>0</v>
      </c>
      <c r="G393" s="51">
        <v>0</v>
      </c>
      <c r="H393" s="51">
        <v>0</v>
      </c>
      <c r="I393" s="57">
        <v>5</v>
      </c>
      <c r="J393" s="57">
        <v>5</v>
      </c>
    </row>
    <row r="394" spans="2:10">
      <c r="B394" s="133" t="s">
        <v>330</v>
      </c>
      <c r="C394" s="51">
        <v>0</v>
      </c>
      <c r="D394" s="51">
        <v>0</v>
      </c>
      <c r="E394" s="51">
        <v>0</v>
      </c>
      <c r="F394" s="51">
        <v>0</v>
      </c>
      <c r="G394" s="51">
        <v>0</v>
      </c>
      <c r="H394" s="51">
        <v>0</v>
      </c>
      <c r="I394" s="51">
        <v>0</v>
      </c>
      <c r="J394" s="51">
        <v>0</v>
      </c>
    </row>
    <row r="395" spans="2:10">
      <c r="B395" s="52" t="s">
        <v>260</v>
      </c>
      <c r="C395" s="51">
        <v>0</v>
      </c>
      <c r="D395" s="51">
        <v>0</v>
      </c>
      <c r="E395" s="51">
        <v>0</v>
      </c>
      <c r="F395" s="51">
        <v>0</v>
      </c>
      <c r="G395" s="51">
        <v>0</v>
      </c>
      <c r="H395" s="51">
        <v>0</v>
      </c>
      <c r="I395" s="51">
        <v>0</v>
      </c>
      <c r="J395" s="51">
        <v>0</v>
      </c>
    </row>
    <row r="396" spans="2:10">
      <c r="B396" s="52" t="s">
        <v>329</v>
      </c>
      <c r="C396" s="51">
        <v>0</v>
      </c>
      <c r="D396" s="51">
        <v>0</v>
      </c>
      <c r="E396" s="51">
        <v>0</v>
      </c>
      <c r="F396" s="51">
        <v>0</v>
      </c>
      <c r="G396" s="51">
        <v>0</v>
      </c>
      <c r="H396" s="51">
        <v>0</v>
      </c>
      <c r="I396" s="51">
        <v>0</v>
      </c>
      <c r="J396" s="51">
        <v>0</v>
      </c>
    </row>
    <row r="397" spans="2:10">
      <c r="B397" s="52" t="s">
        <v>328</v>
      </c>
      <c r="C397" s="51">
        <v>0</v>
      </c>
      <c r="D397" s="51">
        <v>0</v>
      </c>
      <c r="E397" s="51">
        <v>0</v>
      </c>
      <c r="F397" s="51">
        <v>0</v>
      </c>
      <c r="G397" s="51">
        <v>0</v>
      </c>
      <c r="H397" s="51">
        <v>0</v>
      </c>
      <c r="I397" s="51">
        <v>0</v>
      </c>
      <c r="J397" s="51">
        <v>0</v>
      </c>
    </row>
    <row r="398" spans="2:10">
      <c r="B398" s="136" t="s">
        <v>327</v>
      </c>
      <c r="C398" s="51">
        <v>0</v>
      </c>
      <c r="D398" s="51">
        <v>0</v>
      </c>
      <c r="E398" s="51">
        <v>0</v>
      </c>
      <c r="F398" s="51">
        <v>0</v>
      </c>
      <c r="G398" s="51">
        <v>0</v>
      </c>
      <c r="H398" s="51">
        <v>0</v>
      </c>
      <c r="I398" s="51">
        <v>0</v>
      </c>
      <c r="J398" s="51">
        <v>0</v>
      </c>
    </row>
    <row r="399" spans="2:10">
      <c r="B399" s="136" t="s">
        <v>326</v>
      </c>
      <c r="C399" s="51">
        <v>0</v>
      </c>
      <c r="D399" s="51">
        <v>0</v>
      </c>
      <c r="E399" s="51">
        <v>0</v>
      </c>
      <c r="F399" s="51">
        <v>0</v>
      </c>
      <c r="G399" s="51">
        <v>0</v>
      </c>
      <c r="H399" s="51">
        <v>0</v>
      </c>
      <c r="I399" s="51">
        <v>0</v>
      </c>
      <c r="J399" s="51">
        <v>0</v>
      </c>
    </row>
    <row r="400" spans="2:10">
      <c r="B400" s="136" t="s">
        <v>325</v>
      </c>
      <c r="C400" s="51">
        <v>0</v>
      </c>
      <c r="D400" s="51">
        <v>0</v>
      </c>
      <c r="E400" s="51">
        <v>0</v>
      </c>
      <c r="F400" s="51">
        <v>0</v>
      </c>
      <c r="G400" s="51">
        <v>0</v>
      </c>
      <c r="H400" s="51">
        <v>0</v>
      </c>
      <c r="I400" s="51">
        <v>0</v>
      </c>
      <c r="J400" s="51">
        <v>0</v>
      </c>
    </row>
    <row r="401" spans="2:10">
      <c r="B401" s="136" t="s">
        <v>323</v>
      </c>
      <c r="C401" s="51">
        <v>0</v>
      </c>
      <c r="D401" s="51">
        <v>0</v>
      </c>
      <c r="E401" s="51">
        <v>0</v>
      </c>
      <c r="F401" s="51">
        <v>0</v>
      </c>
      <c r="G401" s="51">
        <v>0</v>
      </c>
      <c r="H401" s="51">
        <v>0</v>
      </c>
      <c r="I401" s="51">
        <v>0</v>
      </c>
      <c r="J401" s="51">
        <v>0</v>
      </c>
    </row>
    <row r="402" spans="2:10">
      <c r="B402" s="136" t="s">
        <v>117</v>
      </c>
      <c r="C402" s="51">
        <v>0</v>
      </c>
      <c r="D402" s="51">
        <v>0</v>
      </c>
      <c r="E402" s="51">
        <v>0</v>
      </c>
      <c r="F402" s="51">
        <v>0</v>
      </c>
      <c r="G402" s="51">
        <v>0</v>
      </c>
      <c r="H402" s="51">
        <v>0</v>
      </c>
      <c r="I402" s="57">
        <v>5</v>
      </c>
      <c r="J402" s="57">
        <v>5</v>
      </c>
    </row>
    <row r="403" spans="2:10">
      <c r="B403" s="133" t="s">
        <v>322</v>
      </c>
      <c r="C403" s="51">
        <v>0</v>
      </c>
      <c r="D403" s="51">
        <v>0</v>
      </c>
      <c r="E403" s="51">
        <v>0</v>
      </c>
      <c r="F403" s="51">
        <v>0</v>
      </c>
      <c r="G403" s="51">
        <v>0</v>
      </c>
      <c r="H403" s="51">
        <v>0</v>
      </c>
      <c r="I403" s="51">
        <v>0</v>
      </c>
      <c r="J403" s="51">
        <v>0</v>
      </c>
    </row>
    <row r="404" spans="2:10">
      <c r="B404" s="1573"/>
      <c r="C404" s="51"/>
      <c r="D404" s="57"/>
      <c r="E404" s="57"/>
      <c r="F404" s="57"/>
      <c r="G404" s="57"/>
      <c r="H404" s="57"/>
      <c r="I404" s="57"/>
      <c r="J404" s="57"/>
    </row>
    <row r="405" spans="2:10" ht="15" thickBot="1">
      <c r="B405" s="1407"/>
      <c r="C405" s="1581"/>
      <c r="D405" s="57"/>
      <c r="E405" s="57"/>
      <c r="F405" s="57"/>
      <c r="G405" s="57"/>
      <c r="H405" s="57"/>
      <c r="I405" s="57"/>
      <c r="J405" s="57"/>
    </row>
    <row r="406" spans="2:10" ht="15" thickTop="1">
      <c r="B406" s="1582" t="s">
        <v>2030</v>
      </c>
      <c r="C406" s="1583" t="s">
        <v>2031</v>
      </c>
      <c r="D406" s="578"/>
      <c r="E406" s="578"/>
      <c r="F406" s="578"/>
      <c r="G406" s="578"/>
      <c r="H406" s="578"/>
      <c r="I406" s="578"/>
      <c r="J406" s="578"/>
    </row>
    <row r="407" spans="2:10">
      <c r="B407" s="1582" t="s">
        <v>2032</v>
      </c>
      <c r="C407" s="1584" t="s">
        <v>2031</v>
      </c>
      <c r="D407" s="1585"/>
      <c r="E407" s="1585"/>
      <c r="F407" s="1585"/>
      <c r="G407" s="1585"/>
      <c r="H407" s="1585"/>
      <c r="I407" s="1585"/>
      <c r="J407" s="1585"/>
    </row>
    <row r="408" spans="2:10">
      <c r="B408" s="64"/>
      <c r="C408" s="339"/>
      <c r="D408" s="302"/>
      <c r="E408" s="302"/>
      <c r="F408" s="302"/>
      <c r="G408" s="302"/>
      <c r="H408" s="302"/>
      <c r="I408" s="302"/>
      <c r="J408" s="439"/>
    </row>
    <row r="409" spans="2:10">
      <c r="B409" s="2100" t="s">
        <v>320</v>
      </c>
      <c r="C409" s="2100"/>
      <c r="D409" s="2100"/>
      <c r="E409" s="2100"/>
      <c r="F409" s="2100"/>
      <c r="G409" s="2100"/>
      <c r="H409" s="2100"/>
      <c r="I409" s="2100"/>
      <c r="J409" s="2100"/>
    </row>
    <row r="410" spans="2:10">
      <c r="B410" s="12" t="s">
        <v>319</v>
      </c>
      <c r="C410" s="339"/>
      <c r="D410" s="302"/>
      <c r="E410" s="302"/>
      <c r="F410" s="302"/>
      <c r="G410" s="302"/>
      <c r="H410" s="302"/>
      <c r="I410" s="302"/>
      <c r="J410" s="439"/>
    </row>
    <row r="411" spans="2:10">
      <c r="B411" s="62" t="s">
        <v>242</v>
      </c>
      <c r="C411" s="339"/>
      <c r="D411" s="302"/>
      <c r="E411" s="302"/>
      <c r="F411" s="302"/>
      <c r="G411" s="302"/>
      <c r="H411" s="302"/>
      <c r="I411" s="302"/>
      <c r="J411" s="439"/>
    </row>
    <row r="412" spans="2:10">
      <c r="B412" s="64"/>
      <c r="C412" s="339"/>
      <c r="D412" s="302"/>
      <c r="E412" s="302"/>
      <c r="F412" s="302"/>
      <c r="G412" s="302"/>
      <c r="H412" s="302"/>
      <c r="I412" s="302"/>
      <c r="J412" s="439"/>
    </row>
    <row r="413" spans="2:10">
      <c r="B413" s="61"/>
      <c r="C413" s="1536">
        <v>2014</v>
      </c>
      <c r="D413" s="303">
        <v>2015</v>
      </c>
      <c r="E413" s="303">
        <v>2016</v>
      </c>
      <c r="F413" s="303">
        <v>2017</v>
      </c>
      <c r="G413" s="303">
        <v>2018</v>
      </c>
      <c r="H413" s="303">
        <v>2019</v>
      </c>
      <c r="I413" s="303">
        <v>2020</v>
      </c>
      <c r="J413" s="303">
        <v>2021</v>
      </c>
    </row>
    <row r="414" spans="2:10">
      <c r="B414" s="114" t="s">
        <v>310</v>
      </c>
      <c r="C414" s="363">
        <v>0</v>
      </c>
      <c r="D414" s="107">
        <v>0.161186</v>
      </c>
      <c r="E414" s="107">
        <v>0.17439099999999999</v>
      </c>
      <c r="F414" s="107">
        <v>0.21229700000000001</v>
      </c>
      <c r="G414" s="107">
        <v>0.23457599999999998</v>
      </c>
      <c r="H414" s="107">
        <v>0.23746800000000001</v>
      </c>
      <c r="I414" s="107">
        <v>0.22555800000000001</v>
      </c>
      <c r="J414" s="105">
        <v>0.24716099999999999</v>
      </c>
    </row>
    <row r="415" spans="2:10">
      <c r="B415" s="114"/>
      <c r="C415" s="363"/>
      <c r="D415" s="107"/>
      <c r="E415" s="107"/>
      <c r="F415" s="107"/>
      <c r="G415" s="107"/>
      <c r="H415" s="107"/>
      <c r="I415" s="107"/>
      <c r="J415" s="105"/>
    </row>
    <row r="416" spans="2:10">
      <c r="B416" s="59" t="s">
        <v>2033</v>
      </c>
      <c r="C416" s="113">
        <v>0.129106</v>
      </c>
      <c r="D416" s="134">
        <v>0.161186</v>
      </c>
      <c r="E416" s="134">
        <v>0.17439099999999999</v>
      </c>
      <c r="F416" s="134">
        <v>0.21229700000000001</v>
      </c>
      <c r="G416" s="134">
        <v>0.23457599999999998</v>
      </c>
      <c r="H416" s="134">
        <v>0.23746800000000001</v>
      </c>
      <c r="I416" s="1586">
        <v>0.22555800000000001</v>
      </c>
      <c r="J416" s="95">
        <v>0.24716099999999999</v>
      </c>
    </row>
    <row r="417" spans="2:10">
      <c r="B417" s="71" t="s">
        <v>297</v>
      </c>
      <c r="C417" s="102">
        <v>0.129106</v>
      </c>
      <c r="D417" s="102">
        <v>0.161186</v>
      </c>
      <c r="E417" s="102">
        <v>0.17439099999999999</v>
      </c>
      <c r="F417" s="102">
        <v>0.21229700000000001</v>
      </c>
      <c r="G417" s="102">
        <v>0.23457599999999998</v>
      </c>
      <c r="H417" s="102">
        <v>0.23746800000000001</v>
      </c>
      <c r="I417" s="102">
        <v>0.22555800000000001</v>
      </c>
      <c r="J417" s="95">
        <v>0.24716099999999999</v>
      </c>
    </row>
    <row r="418" spans="2:10">
      <c r="B418" s="133" t="s">
        <v>296</v>
      </c>
      <c r="C418" s="102">
        <v>0.125833</v>
      </c>
      <c r="D418" s="227">
        <v>0.157663</v>
      </c>
      <c r="E418" s="227">
        <v>0.171128</v>
      </c>
      <c r="F418" s="227">
        <v>0.20807800000000001</v>
      </c>
      <c r="G418" s="227">
        <v>0.22889599999999999</v>
      </c>
      <c r="H418" s="200">
        <v>0.23214899999999999</v>
      </c>
      <c r="I418" s="200">
        <v>0.22076299999999999</v>
      </c>
      <c r="J418" s="95">
        <v>0.24255499999999999</v>
      </c>
    </row>
    <row r="419" spans="2:10">
      <c r="B419" s="132" t="s">
        <v>295</v>
      </c>
      <c r="C419" s="102">
        <v>1.872E-3</v>
      </c>
      <c r="D419" s="102">
        <v>2.1849999999999999E-3</v>
      </c>
      <c r="E419" s="102">
        <v>2.0140000000000002E-3</v>
      </c>
      <c r="F419" s="102">
        <v>2.6979999999999999E-3</v>
      </c>
      <c r="G419" s="102">
        <v>3.9350000000000001E-3</v>
      </c>
      <c r="H419" s="102">
        <v>3.7260000000000001E-3</v>
      </c>
      <c r="I419" s="102">
        <v>3.3700000000000002E-3</v>
      </c>
      <c r="J419" s="95">
        <v>3.1419999999999998E-3</v>
      </c>
    </row>
    <row r="420" spans="2:10">
      <c r="B420" s="132" t="s">
        <v>303</v>
      </c>
      <c r="C420" s="102">
        <v>1.4009999999999999E-3</v>
      </c>
      <c r="D420" s="102">
        <v>1.338E-3</v>
      </c>
      <c r="E420" s="102">
        <v>1.2489999999999999E-3</v>
      </c>
      <c r="F420" s="102">
        <v>1.521E-3</v>
      </c>
      <c r="G420" s="102">
        <v>1.745E-3</v>
      </c>
      <c r="H420" s="102">
        <v>1.593E-3</v>
      </c>
      <c r="I420" s="102">
        <v>1.4250000000000001E-3</v>
      </c>
      <c r="J420" s="95">
        <v>1.464E-3</v>
      </c>
    </row>
    <row r="421" spans="2:10">
      <c r="B421" s="65" t="s">
        <v>287</v>
      </c>
      <c r="C421" s="102">
        <v>1</v>
      </c>
      <c r="D421" s="102">
        <v>1</v>
      </c>
      <c r="E421" s="102">
        <v>1</v>
      </c>
      <c r="F421" s="102">
        <v>1</v>
      </c>
      <c r="G421" s="102">
        <v>1</v>
      </c>
      <c r="H421" s="102">
        <v>1</v>
      </c>
      <c r="I421" s="102">
        <v>1</v>
      </c>
      <c r="J421" s="95">
        <v>1</v>
      </c>
    </row>
    <row r="422" spans="2:10">
      <c r="B422" s="302"/>
      <c r="C422" s="229"/>
      <c r="D422" s="229"/>
      <c r="E422" s="229"/>
      <c r="F422" s="229"/>
      <c r="G422" s="229"/>
      <c r="H422" s="260"/>
      <c r="I422" s="200"/>
    </row>
    <row r="423" spans="2:10">
      <c r="B423" s="114" t="s">
        <v>302</v>
      </c>
      <c r="C423" s="260">
        <v>47.967804000000001</v>
      </c>
      <c r="D423" s="260">
        <v>98.695543000000001</v>
      </c>
      <c r="E423" s="260">
        <v>110.39809200000001</v>
      </c>
      <c r="F423" s="260">
        <v>113.363855</v>
      </c>
      <c r="G423" s="260">
        <v>127.26163799999999</v>
      </c>
      <c r="H423" s="260">
        <v>145.16282999999999</v>
      </c>
      <c r="I423" s="200">
        <v>147.69635700000001</v>
      </c>
      <c r="J423" s="95">
        <v>183.57557308399998</v>
      </c>
    </row>
    <row r="424" spans="2:10">
      <c r="B424" s="114"/>
      <c r="C424" s="260"/>
      <c r="D424" s="260"/>
      <c r="E424" s="260"/>
      <c r="F424" s="260"/>
      <c r="G424" s="260"/>
      <c r="H424" s="260"/>
      <c r="I424" s="200"/>
    </row>
    <row r="425" spans="2:10">
      <c r="B425" s="114" t="s">
        <v>2034</v>
      </c>
      <c r="C425" s="231">
        <v>0</v>
      </c>
      <c r="D425" s="260">
        <v>0.62227500000000002</v>
      </c>
      <c r="E425" s="260">
        <v>1.1921480000000002</v>
      </c>
      <c r="F425" s="260">
        <v>2.2209100000000004</v>
      </c>
      <c r="G425" s="260">
        <v>4.1723619999999997</v>
      </c>
      <c r="H425" s="260">
        <v>6.6742270000000001</v>
      </c>
      <c r="I425" s="260">
        <v>12.497413</v>
      </c>
      <c r="J425" s="200">
        <v>22.418823142000001</v>
      </c>
    </row>
    <row r="426" spans="2:10">
      <c r="B426" s="114" t="s">
        <v>297</v>
      </c>
      <c r="C426" s="231">
        <v>0</v>
      </c>
      <c r="D426" s="260">
        <v>0.62227500000000002</v>
      </c>
      <c r="E426" s="260">
        <v>1.1921480000000002</v>
      </c>
      <c r="F426" s="260">
        <v>2.2209100000000004</v>
      </c>
      <c r="G426" s="260">
        <v>4.1723619999999997</v>
      </c>
      <c r="H426" s="260">
        <v>6.6742270000000001</v>
      </c>
      <c r="I426" s="260">
        <v>12.497413</v>
      </c>
      <c r="J426" s="200">
        <v>22.418823142000001</v>
      </c>
    </row>
    <row r="427" spans="2:10">
      <c r="B427" s="114" t="s">
        <v>296</v>
      </c>
      <c r="C427" s="231">
        <v>0</v>
      </c>
      <c r="D427" s="260">
        <v>0.622</v>
      </c>
      <c r="E427" s="260">
        <v>1.1918390000000001</v>
      </c>
      <c r="F427" s="260">
        <v>2.2207560000000002</v>
      </c>
      <c r="G427" s="260">
        <v>4.1722270000000004</v>
      </c>
      <c r="H427" s="260">
        <v>6.673997</v>
      </c>
      <c r="I427" s="260">
        <v>12.497192</v>
      </c>
      <c r="J427" s="200">
        <v>22.418823</v>
      </c>
    </row>
    <row r="428" spans="2:10">
      <c r="B428" s="114" t="s">
        <v>294</v>
      </c>
      <c r="C428" s="231">
        <v>0</v>
      </c>
      <c r="D428" s="260">
        <v>0.622</v>
      </c>
      <c r="E428" s="260">
        <v>1.1918390000000001</v>
      </c>
      <c r="F428" s="260">
        <v>2.2207560000000002</v>
      </c>
      <c r="G428" s="260">
        <v>4.1722270000000004</v>
      </c>
      <c r="H428" s="260">
        <v>6.673997</v>
      </c>
      <c r="I428" s="260">
        <v>12.497192</v>
      </c>
      <c r="J428" s="200">
        <v>22.418823</v>
      </c>
    </row>
    <row r="429" spans="2:10">
      <c r="B429" s="114" t="s">
        <v>293</v>
      </c>
      <c r="C429" s="231">
        <v>0</v>
      </c>
      <c r="D429" s="260">
        <v>0</v>
      </c>
      <c r="E429" s="260">
        <v>0</v>
      </c>
      <c r="F429" s="260">
        <v>0</v>
      </c>
      <c r="G429" s="260">
        <v>0</v>
      </c>
      <c r="H429" s="260">
        <v>0</v>
      </c>
      <c r="I429" s="260">
        <v>0</v>
      </c>
      <c r="J429" s="200">
        <v>0</v>
      </c>
    </row>
    <row r="430" spans="2:10">
      <c r="B430" s="114" t="s">
        <v>292</v>
      </c>
      <c r="C430" s="231">
        <v>0</v>
      </c>
      <c r="D430" s="260">
        <v>0</v>
      </c>
      <c r="E430" s="260">
        <v>0</v>
      </c>
      <c r="F430" s="260">
        <v>0</v>
      </c>
      <c r="G430" s="260">
        <v>0</v>
      </c>
      <c r="H430" s="260">
        <v>0</v>
      </c>
      <c r="I430" s="260">
        <v>0</v>
      </c>
      <c r="J430" s="200">
        <v>0</v>
      </c>
    </row>
    <row r="431" spans="2:10">
      <c r="B431" s="114" t="s">
        <v>291</v>
      </c>
      <c r="C431" s="231">
        <v>0</v>
      </c>
      <c r="D431" s="260">
        <v>0</v>
      </c>
      <c r="E431" s="260">
        <v>0</v>
      </c>
      <c r="F431" s="260">
        <v>0</v>
      </c>
      <c r="G431" s="260">
        <v>0</v>
      </c>
      <c r="H431" s="260">
        <v>0</v>
      </c>
      <c r="I431" s="260">
        <v>0</v>
      </c>
      <c r="J431" s="200">
        <v>0</v>
      </c>
    </row>
    <row r="432" spans="2:10">
      <c r="B432" s="114" t="s">
        <v>290</v>
      </c>
      <c r="C432" s="231">
        <v>0</v>
      </c>
      <c r="D432" s="260">
        <v>0</v>
      </c>
      <c r="E432" s="260">
        <v>0</v>
      </c>
      <c r="F432" s="260">
        <v>0</v>
      </c>
      <c r="G432" s="260">
        <v>0</v>
      </c>
      <c r="H432" s="260">
        <v>0</v>
      </c>
      <c r="I432" s="260">
        <v>0</v>
      </c>
      <c r="J432" s="200">
        <v>0</v>
      </c>
    </row>
    <row r="433" spans="2:10">
      <c r="B433" s="114" t="s">
        <v>289</v>
      </c>
      <c r="C433" s="231">
        <v>0</v>
      </c>
      <c r="D433" s="260">
        <v>0</v>
      </c>
      <c r="E433" s="260">
        <v>0</v>
      </c>
      <c r="F433" s="260">
        <v>0</v>
      </c>
      <c r="G433" s="260">
        <v>0</v>
      </c>
      <c r="H433" s="260">
        <v>0</v>
      </c>
      <c r="I433" s="260">
        <v>0</v>
      </c>
      <c r="J433" s="200">
        <v>0</v>
      </c>
    </row>
    <row r="434" spans="2:10">
      <c r="B434" s="114" t="s">
        <v>288</v>
      </c>
      <c r="C434" s="231">
        <v>0</v>
      </c>
      <c r="D434" s="260">
        <v>0</v>
      </c>
      <c r="E434" s="260">
        <v>0</v>
      </c>
      <c r="F434" s="260">
        <v>0</v>
      </c>
      <c r="G434" s="260">
        <v>0</v>
      </c>
      <c r="H434" s="260">
        <v>0</v>
      </c>
      <c r="I434" s="260">
        <v>0</v>
      </c>
      <c r="J434" s="200">
        <v>0</v>
      </c>
    </row>
    <row r="435" spans="2:10">
      <c r="B435" s="114" t="s">
        <v>295</v>
      </c>
      <c r="C435" s="231">
        <v>0</v>
      </c>
      <c r="D435" s="260">
        <v>1.11E-4</v>
      </c>
      <c r="E435" s="260">
        <v>1.02E-4</v>
      </c>
      <c r="F435" s="260">
        <v>8.7000000000000001E-5</v>
      </c>
      <c r="G435" s="260">
        <v>1.2400000000000001E-4</v>
      </c>
      <c r="H435" s="260">
        <v>2.1100000000000001E-4</v>
      </c>
      <c r="I435" s="260">
        <v>1.6200000000000001E-4</v>
      </c>
      <c r="J435" s="200">
        <v>1.42E-7</v>
      </c>
    </row>
    <row r="436" spans="2:10">
      <c r="B436" s="114" t="s">
        <v>294</v>
      </c>
      <c r="C436" s="231">
        <v>0</v>
      </c>
      <c r="D436" s="260">
        <v>1.11E-4</v>
      </c>
      <c r="E436" s="260">
        <v>1.02E-4</v>
      </c>
      <c r="F436" s="260">
        <v>8.7000000000000001E-5</v>
      </c>
      <c r="G436" s="260">
        <v>1.2400000000000001E-4</v>
      </c>
      <c r="H436" s="260">
        <v>2.1100000000000001E-4</v>
      </c>
      <c r="I436" s="260">
        <v>1.6200000000000001E-4</v>
      </c>
      <c r="J436" s="200">
        <v>1.42E-7</v>
      </c>
    </row>
    <row r="437" spans="2:10">
      <c r="B437" s="114" t="s">
        <v>293</v>
      </c>
      <c r="C437" s="231">
        <v>0</v>
      </c>
      <c r="D437" s="260">
        <v>0</v>
      </c>
      <c r="E437" s="260">
        <v>0</v>
      </c>
      <c r="F437" s="260">
        <v>0</v>
      </c>
      <c r="G437" s="260">
        <v>0</v>
      </c>
      <c r="H437" s="260">
        <v>0</v>
      </c>
      <c r="I437" s="260">
        <v>0</v>
      </c>
      <c r="J437" s="200">
        <v>0</v>
      </c>
    </row>
    <row r="438" spans="2:10">
      <c r="B438" s="114" t="s">
        <v>292</v>
      </c>
      <c r="C438" s="231">
        <v>0</v>
      </c>
      <c r="D438" s="260">
        <v>0</v>
      </c>
      <c r="E438" s="260">
        <v>0</v>
      </c>
      <c r="F438" s="260">
        <v>0</v>
      </c>
      <c r="G438" s="260">
        <v>0</v>
      </c>
      <c r="H438" s="260">
        <v>0</v>
      </c>
      <c r="I438" s="260">
        <v>0</v>
      </c>
      <c r="J438" s="200">
        <v>0</v>
      </c>
    </row>
    <row r="439" spans="2:10">
      <c r="B439" s="114" t="s">
        <v>291</v>
      </c>
      <c r="C439" s="231">
        <v>0</v>
      </c>
      <c r="D439" s="260">
        <v>0</v>
      </c>
      <c r="E439" s="260">
        <v>0</v>
      </c>
      <c r="F439" s="260">
        <v>0</v>
      </c>
      <c r="G439" s="260">
        <v>0</v>
      </c>
      <c r="H439" s="260">
        <v>0</v>
      </c>
      <c r="I439" s="260">
        <v>0</v>
      </c>
      <c r="J439" s="200">
        <v>0</v>
      </c>
    </row>
    <row r="440" spans="2:10">
      <c r="B440" s="114" t="s">
        <v>290</v>
      </c>
      <c r="C440" s="231">
        <v>0</v>
      </c>
      <c r="D440" s="260">
        <v>0</v>
      </c>
      <c r="E440" s="260">
        <v>0</v>
      </c>
      <c r="F440" s="260">
        <v>0</v>
      </c>
      <c r="G440" s="260">
        <v>0</v>
      </c>
      <c r="H440" s="260">
        <v>0</v>
      </c>
      <c r="I440" s="260">
        <v>0</v>
      </c>
      <c r="J440" s="200">
        <v>0</v>
      </c>
    </row>
    <row r="441" spans="2:10">
      <c r="B441" s="114" t="s">
        <v>289</v>
      </c>
      <c r="C441" s="231">
        <v>0</v>
      </c>
      <c r="D441" s="260">
        <v>0</v>
      </c>
      <c r="E441" s="260">
        <v>0</v>
      </c>
      <c r="F441" s="260">
        <v>0</v>
      </c>
      <c r="G441" s="260">
        <v>0</v>
      </c>
      <c r="H441" s="260">
        <v>0</v>
      </c>
      <c r="I441" s="260">
        <v>0</v>
      </c>
      <c r="J441" s="200">
        <v>0</v>
      </c>
    </row>
    <row r="442" spans="2:10">
      <c r="B442" s="114" t="s">
        <v>288</v>
      </c>
      <c r="C442" s="231">
        <v>0</v>
      </c>
      <c r="D442" s="260">
        <v>0</v>
      </c>
      <c r="E442" s="260">
        <v>0</v>
      </c>
      <c r="F442" s="260">
        <v>0</v>
      </c>
      <c r="G442" s="260">
        <v>0</v>
      </c>
      <c r="H442" s="260">
        <v>0</v>
      </c>
      <c r="I442" s="260">
        <v>0</v>
      </c>
      <c r="J442" s="200">
        <v>0</v>
      </c>
    </row>
    <row r="443" spans="2:10">
      <c r="B443" s="114" t="s">
        <v>287</v>
      </c>
      <c r="C443" s="231">
        <v>0</v>
      </c>
      <c r="D443" s="260">
        <v>3.6372637402777839E-3</v>
      </c>
      <c r="E443" s="260">
        <v>6.3461145318265749E-3</v>
      </c>
      <c r="F443" s="260">
        <v>1.051303070063328E-2</v>
      </c>
      <c r="G443" s="260">
        <v>3.2511680728709622E-2</v>
      </c>
      <c r="H443" s="260">
        <v>4.5370917030815257E-2</v>
      </c>
      <c r="I443" s="260">
        <v>8.4615580599594606E-2</v>
      </c>
      <c r="J443" s="200">
        <v>0.12212312763279055</v>
      </c>
    </row>
    <row r="444" spans="2:10">
      <c r="B444" s="114"/>
      <c r="D444" s="260"/>
      <c r="E444" s="260"/>
      <c r="F444" s="260"/>
      <c r="G444" s="260"/>
      <c r="H444" s="260"/>
      <c r="I444" s="260"/>
      <c r="J444" s="200"/>
    </row>
    <row r="445" spans="2:10">
      <c r="B445" s="114" t="s">
        <v>2035</v>
      </c>
      <c r="C445" s="231">
        <v>0</v>
      </c>
      <c r="D445" s="260">
        <v>0.197993</v>
      </c>
      <c r="E445" s="260">
        <v>0.25795400000000002</v>
      </c>
      <c r="F445" s="260">
        <v>0.35827799999999999</v>
      </c>
      <c r="G445" s="260">
        <v>0.511436</v>
      </c>
      <c r="H445" s="260">
        <v>0.52676299999999998</v>
      </c>
      <c r="I445" s="260">
        <v>1.418021</v>
      </c>
      <c r="J445" s="200">
        <v>4.2155791420000002</v>
      </c>
    </row>
    <row r="446" spans="2:10">
      <c r="B446" s="114" t="s">
        <v>297</v>
      </c>
      <c r="C446" s="231">
        <v>0</v>
      </c>
      <c r="D446" s="260">
        <v>0.197993</v>
      </c>
      <c r="E446" s="260">
        <v>0.25795400000000002</v>
      </c>
      <c r="F446" s="260">
        <v>0.35827799999999999</v>
      </c>
      <c r="G446" s="260">
        <v>0.511436</v>
      </c>
      <c r="H446" s="260">
        <v>0.52676299999999998</v>
      </c>
      <c r="I446" s="260">
        <v>1.418021</v>
      </c>
      <c r="J446" s="200">
        <v>4.2155791420000002</v>
      </c>
    </row>
    <row r="447" spans="2:10">
      <c r="B447" s="114" t="s">
        <v>296</v>
      </c>
      <c r="C447" s="231">
        <v>0</v>
      </c>
      <c r="D447" s="260">
        <v>0.197993</v>
      </c>
      <c r="E447" s="260">
        <v>0.25795400000000002</v>
      </c>
      <c r="F447" s="260">
        <v>0.35827799999999999</v>
      </c>
      <c r="G447" s="260">
        <v>0.511436</v>
      </c>
      <c r="H447" s="260">
        <v>0.52676299999999998</v>
      </c>
      <c r="I447" s="260">
        <v>1.418021</v>
      </c>
      <c r="J447" s="200">
        <v>4.215579</v>
      </c>
    </row>
    <row r="448" spans="2:10">
      <c r="B448" s="114" t="s">
        <v>294</v>
      </c>
      <c r="C448" s="231">
        <v>0</v>
      </c>
      <c r="D448" s="260">
        <v>0.197993</v>
      </c>
      <c r="E448" s="260">
        <v>0.25795400000000002</v>
      </c>
      <c r="F448" s="260">
        <v>0.35827799999999999</v>
      </c>
      <c r="G448" s="260">
        <v>0.511436</v>
      </c>
      <c r="H448" s="260">
        <v>0.52676299999999998</v>
      </c>
      <c r="I448" s="260">
        <v>1.418021</v>
      </c>
      <c r="J448" s="200">
        <v>4.215579</v>
      </c>
    </row>
    <row r="449" spans="2:10">
      <c r="B449" s="114" t="s">
        <v>293</v>
      </c>
      <c r="C449" s="231">
        <v>0</v>
      </c>
      <c r="D449" s="260">
        <v>0</v>
      </c>
      <c r="E449" s="260">
        <v>0</v>
      </c>
      <c r="F449" s="260">
        <v>0</v>
      </c>
      <c r="G449" s="260">
        <v>0</v>
      </c>
      <c r="H449" s="260">
        <v>0</v>
      </c>
      <c r="I449" s="260">
        <v>0</v>
      </c>
      <c r="J449" s="200">
        <v>0</v>
      </c>
    </row>
    <row r="450" spans="2:10">
      <c r="B450" s="114" t="s">
        <v>292</v>
      </c>
      <c r="C450" s="231">
        <v>0</v>
      </c>
      <c r="D450" s="260">
        <v>0</v>
      </c>
      <c r="E450" s="260">
        <v>0</v>
      </c>
      <c r="F450" s="260">
        <v>0</v>
      </c>
      <c r="G450" s="260">
        <v>0</v>
      </c>
      <c r="H450" s="260">
        <v>0</v>
      </c>
      <c r="I450" s="260">
        <v>0</v>
      </c>
      <c r="J450" s="200">
        <v>0</v>
      </c>
    </row>
    <row r="451" spans="2:10">
      <c r="B451" s="114" t="s">
        <v>291</v>
      </c>
      <c r="C451" s="231">
        <v>0</v>
      </c>
      <c r="D451" s="260">
        <v>0</v>
      </c>
      <c r="E451" s="260">
        <v>0</v>
      </c>
      <c r="F451" s="260">
        <v>0</v>
      </c>
      <c r="G451" s="260">
        <v>0</v>
      </c>
      <c r="H451" s="260">
        <v>0</v>
      </c>
      <c r="I451" s="260">
        <v>0</v>
      </c>
      <c r="J451" s="200">
        <v>0</v>
      </c>
    </row>
    <row r="452" spans="2:10">
      <c r="B452" s="114" t="s">
        <v>290</v>
      </c>
      <c r="C452" s="231">
        <v>0</v>
      </c>
      <c r="D452" s="260">
        <v>0</v>
      </c>
      <c r="E452" s="260">
        <v>0</v>
      </c>
      <c r="F452" s="260">
        <v>0</v>
      </c>
      <c r="G452" s="260">
        <v>0</v>
      </c>
      <c r="H452" s="260">
        <v>0</v>
      </c>
      <c r="I452" s="260">
        <v>0</v>
      </c>
      <c r="J452" s="200">
        <v>0</v>
      </c>
    </row>
    <row r="453" spans="2:10">
      <c r="B453" s="114" t="s">
        <v>289</v>
      </c>
      <c r="C453" s="231">
        <v>0</v>
      </c>
      <c r="D453" s="260">
        <v>0</v>
      </c>
      <c r="E453" s="260">
        <v>0</v>
      </c>
      <c r="F453" s="260">
        <v>0</v>
      </c>
      <c r="G453" s="260">
        <v>0</v>
      </c>
      <c r="H453" s="260">
        <v>0</v>
      </c>
      <c r="I453" s="260">
        <v>0</v>
      </c>
      <c r="J453" s="200">
        <v>0</v>
      </c>
    </row>
    <row r="454" spans="2:10">
      <c r="B454" s="114" t="s">
        <v>288</v>
      </c>
      <c r="C454" s="231">
        <v>0</v>
      </c>
      <c r="D454" s="260">
        <v>0</v>
      </c>
      <c r="E454" s="260">
        <v>0</v>
      </c>
      <c r="F454" s="260">
        <v>0</v>
      </c>
      <c r="G454" s="260">
        <v>0</v>
      </c>
      <c r="H454" s="260">
        <v>0</v>
      </c>
      <c r="I454" s="260">
        <v>0</v>
      </c>
      <c r="J454" s="200">
        <v>0</v>
      </c>
    </row>
    <row r="455" spans="2:10">
      <c r="B455" s="58" t="s">
        <v>295</v>
      </c>
      <c r="C455" s="231">
        <v>0</v>
      </c>
      <c r="D455" s="51">
        <v>0</v>
      </c>
      <c r="E455" s="57">
        <v>0</v>
      </c>
      <c r="F455" s="57">
        <v>0</v>
      </c>
      <c r="G455" s="57">
        <v>0</v>
      </c>
      <c r="H455" s="57">
        <v>0</v>
      </c>
      <c r="I455" s="57">
        <v>0</v>
      </c>
      <c r="J455" s="56">
        <v>1.42E-7</v>
      </c>
    </row>
    <row r="456" spans="2:10">
      <c r="B456" s="58" t="s">
        <v>294</v>
      </c>
      <c r="C456" s="231">
        <v>0</v>
      </c>
      <c r="D456" s="51">
        <v>0</v>
      </c>
      <c r="E456" s="57">
        <v>0</v>
      </c>
      <c r="F456" s="57">
        <v>0</v>
      </c>
      <c r="G456" s="57">
        <v>0</v>
      </c>
      <c r="H456" s="57">
        <v>0</v>
      </c>
      <c r="I456" s="57">
        <v>0</v>
      </c>
      <c r="J456" s="56">
        <v>1.42E-7</v>
      </c>
    </row>
    <row r="457" spans="2:10">
      <c r="B457" s="58" t="s">
        <v>293</v>
      </c>
      <c r="C457" s="231">
        <v>0</v>
      </c>
      <c r="D457" s="51">
        <v>0</v>
      </c>
      <c r="E457" s="57">
        <v>0</v>
      </c>
      <c r="F457" s="57">
        <v>0</v>
      </c>
      <c r="G457" s="57">
        <v>0</v>
      </c>
      <c r="H457" s="57">
        <v>0</v>
      </c>
      <c r="I457" s="57">
        <v>0</v>
      </c>
      <c r="J457" s="56">
        <v>0</v>
      </c>
    </row>
    <row r="458" spans="2:10">
      <c r="B458" s="58" t="s">
        <v>292</v>
      </c>
      <c r="C458" s="231">
        <v>0</v>
      </c>
      <c r="D458" s="51">
        <v>0</v>
      </c>
      <c r="E458" s="57">
        <v>0</v>
      </c>
      <c r="F458" s="57">
        <v>0</v>
      </c>
      <c r="G458" s="57">
        <v>0</v>
      </c>
      <c r="H458" s="57">
        <v>0</v>
      </c>
      <c r="I458" s="57">
        <v>0</v>
      </c>
      <c r="J458" s="56">
        <v>0</v>
      </c>
    </row>
    <row r="459" spans="2:10">
      <c r="B459" s="58" t="s">
        <v>291</v>
      </c>
      <c r="C459" s="231">
        <v>0</v>
      </c>
      <c r="D459" s="51">
        <v>0</v>
      </c>
      <c r="E459" s="57">
        <v>0</v>
      </c>
      <c r="F459" s="57">
        <v>0</v>
      </c>
      <c r="G459" s="57">
        <v>0</v>
      </c>
      <c r="H459" s="57">
        <v>0</v>
      </c>
      <c r="I459" s="57">
        <v>0</v>
      </c>
      <c r="J459" s="56">
        <v>0</v>
      </c>
    </row>
    <row r="460" spans="2:10">
      <c r="B460" s="58" t="s">
        <v>290</v>
      </c>
      <c r="C460" s="231">
        <v>0</v>
      </c>
      <c r="D460" s="51">
        <v>0</v>
      </c>
      <c r="E460" s="57">
        <v>0</v>
      </c>
      <c r="F460" s="57">
        <v>0</v>
      </c>
      <c r="G460" s="57">
        <v>0</v>
      </c>
      <c r="H460" s="57">
        <v>0</v>
      </c>
      <c r="I460" s="57">
        <v>0</v>
      </c>
      <c r="J460" s="56">
        <v>0</v>
      </c>
    </row>
    <row r="461" spans="2:10">
      <c r="B461" s="58" t="s">
        <v>289</v>
      </c>
      <c r="C461" s="231">
        <v>0</v>
      </c>
      <c r="D461" s="51">
        <v>0</v>
      </c>
      <c r="E461" s="57">
        <v>0</v>
      </c>
      <c r="F461" s="57">
        <v>0</v>
      </c>
      <c r="G461" s="57">
        <v>0</v>
      </c>
      <c r="H461" s="57">
        <v>0</v>
      </c>
      <c r="I461" s="57">
        <v>0</v>
      </c>
      <c r="J461" s="56">
        <v>0</v>
      </c>
    </row>
    <row r="462" spans="2:10">
      <c r="B462" s="58" t="s">
        <v>288</v>
      </c>
      <c r="C462" s="231">
        <v>0</v>
      </c>
      <c r="D462" s="51">
        <v>0</v>
      </c>
      <c r="E462" s="57">
        <v>0</v>
      </c>
      <c r="F462" s="57">
        <v>0</v>
      </c>
      <c r="G462" s="57">
        <v>0</v>
      </c>
      <c r="H462" s="57">
        <v>0</v>
      </c>
      <c r="I462" s="57">
        <v>0</v>
      </c>
      <c r="J462" s="56">
        <v>0</v>
      </c>
    </row>
    <row r="463" spans="2:10">
      <c r="B463" s="58" t="s">
        <v>287</v>
      </c>
      <c r="C463" s="231">
        <v>0</v>
      </c>
      <c r="D463" s="51">
        <v>1.157290200841781E-3</v>
      </c>
      <c r="E463" s="57">
        <v>1.3731563765092859E-3</v>
      </c>
      <c r="F463" s="57">
        <v>1.6959658938730023E-3</v>
      </c>
      <c r="G463" s="57">
        <v>3.9851872740592348E-3</v>
      </c>
      <c r="H463" s="57">
        <v>3.580897138785261E-3</v>
      </c>
      <c r="I463" s="57">
        <v>9.6009206239257468E-3</v>
      </c>
      <c r="J463" s="56">
        <v>2.2963725898712286E-2</v>
      </c>
    </row>
    <row r="464" spans="2:10">
      <c r="B464" s="58"/>
      <c r="D464" s="51"/>
      <c r="E464" s="57"/>
      <c r="F464" s="57"/>
      <c r="G464" s="57"/>
      <c r="H464" s="57"/>
      <c r="I464" s="57"/>
      <c r="J464" s="56"/>
    </row>
    <row r="465" spans="2:10">
      <c r="B465" s="58" t="s">
        <v>2036</v>
      </c>
      <c r="C465" s="231">
        <v>0</v>
      </c>
      <c r="D465" s="51">
        <v>142.79779699999997</v>
      </c>
      <c r="E465" s="57">
        <v>155.78488099999998</v>
      </c>
      <c r="F465" s="57">
        <v>177.925634</v>
      </c>
      <c r="G465" s="57">
        <v>107.483891</v>
      </c>
      <c r="H465" s="57">
        <v>121.65569000000001</v>
      </c>
      <c r="I465" s="57">
        <v>112.594605</v>
      </c>
      <c r="J465" s="56">
        <v>134.16040299999997</v>
      </c>
    </row>
    <row r="466" spans="2:10">
      <c r="B466" s="58" t="s">
        <v>297</v>
      </c>
      <c r="C466" s="231">
        <v>0</v>
      </c>
      <c r="D466" s="51">
        <v>142.79779699999997</v>
      </c>
      <c r="E466" s="57">
        <v>155.78488099999998</v>
      </c>
      <c r="F466" s="57">
        <v>177.925634</v>
      </c>
      <c r="G466" s="57">
        <v>107.483891</v>
      </c>
      <c r="H466" s="57">
        <v>121.65569000000001</v>
      </c>
      <c r="I466" s="57">
        <v>112.594605</v>
      </c>
      <c r="J466" s="56">
        <v>134.16040299999997</v>
      </c>
    </row>
    <row r="467" spans="2:10">
      <c r="B467" s="58" t="s">
        <v>296</v>
      </c>
      <c r="C467" s="231">
        <v>0</v>
      </c>
      <c r="D467" s="51">
        <v>142.79779699999997</v>
      </c>
      <c r="E467" s="57">
        <v>155.78488099999998</v>
      </c>
      <c r="F467" s="57">
        <v>177.925634</v>
      </c>
      <c r="G467" s="57">
        <v>107.483891</v>
      </c>
      <c r="H467" s="57">
        <v>121.65569000000001</v>
      </c>
      <c r="I467" s="57">
        <v>112.594605</v>
      </c>
      <c r="J467" s="56">
        <v>134.16040299999997</v>
      </c>
    </row>
    <row r="468" spans="2:10">
      <c r="B468" s="58" t="s">
        <v>294</v>
      </c>
      <c r="C468" s="231">
        <v>0</v>
      </c>
      <c r="D468" s="51">
        <v>0</v>
      </c>
      <c r="E468" s="57">
        <v>0</v>
      </c>
      <c r="F468" s="57">
        <v>0</v>
      </c>
      <c r="G468" s="57">
        <v>0</v>
      </c>
      <c r="H468" s="57">
        <v>0</v>
      </c>
      <c r="I468" s="57">
        <v>0</v>
      </c>
      <c r="J468" s="56">
        <v>0</v>
      </c>
    </row>
    <row r="469" spans="2:10">
      <c r="B469" s="58" t="s">
        <v>293</v>
      </c>
      <c r="C469" s="231">
        <v>0</v>
      </c>
      <c r="D469" s="51">
        <v>0</v>
      </c>
      <c r="E469" s="57">
        <v>0</v>
      </c>
      <c r="F469" s="57">
        <v>0</v>
      </c>
      <c r="G469" s="57">
        <v>0</v>
      </c>
      <c r="H469" s="57">
        <v>0</v>
      </c>
      <c r="I469" s="57">
        <v>0</v>
      </c>
      <c r="J469" s="56">
        <v>0</v>
      </c>
    </row>
    <row r="470" spans="2:10">
      <c r="B470" s="58" t="s">
        <v>292</v>
      </c>
      <c r="C470" s="231">
        <v>0</v>
      </c>
      <c r="D470" s="51">
        <v>67.636953000000005</v>
      </c>
      <c r="E470" s="57">
        <v>77.802707999999996</v>
      </c>
      <c r="F470" s="57">
        <v>95.372071000000005</v>
      </c>
      <c r="G470" s="57">
        <v>57.151121000000003</v>
      </c>
      <c r="H470" s="57">
        <v>68.219106999999994</v>
      </c>
      <c r="I470" s="57">
        <v>63.176147999999998</v>
      </c>
      <c r="J470" s="56">
        <v>80.723799999999997</v>
      </c>
    </row>
    <row r="471" spans="2:10">
      <c r="B471" s="58" t="s">
        <v>291</v>
      </c>
      <c r="C471" s="231">
        <v>0</v>
      </c>
      <c r="D471" s="51">
        <v>61.904972999999998</v>
      </c>
      <c r="E471" s="57">
        <v>64.781637000000003</v>
      </c>
      <c r="F471" s="57">
        <v>68.933318</v>
      </c>
      <c r="G471" s="57">
        <v>36.313051999999999</v>
      </c>
      <c r="H471" s="57">
        <v>38.362810000000003</v>
      </c>
      <c r="I471" s="57">
        <v>34.433923999999998</v>
      </c>
      <c r="J471" s="56">
        <v>37.026688999999998</v>
      </c>
    </row>
    <row r="472" spans="2:10">
      <c r="B472" s="58" t="s">
        <v>290</v>
      </c>
      <c r="C472" s="231">
        <v>0</v>
      </c>
      <c r="D472" s="51">
        <v>2.147078</v>
      </c>
      <c r="E472" s="57">
        <v>2.6934909999999999</v>
      </c>
      <c r="F472" s="57">
        <v>3.2524869999999999</v>
      </c>
      <c r="G472" s="57">
        <v>3.9461520000000001</v>
      </c>
      <c r="H472" s="57">
        <v>5.6615739999999999</v>
      </c>
      <c r="I472" s="57">
        <v>7.4438009999999997</v>
      </c>
      <c r="J472" s="56">
        <v>8.8550540000000009</v>
      </c>
    </row>
    <row r="473" spans="2:10">
      <c r="B473" s="58" t="s">
        <v>289</v>
      </c>
      <c r="C473" s="231">
        <v>0</v>
      </c>
      <c r="D473" s="51">
        <v>11.108793</v>
      </c>
      <c r="E473" s="57">
        <v>10.507045</v>
      </c>
      <c r="F473" s="57">
        <v>10.367758</v>
      </c>
      <c r="G473" s="57">
        <v>10.073566</v>
      </c>
      <c r="H473" s="57">
        <v>9.4121989999999993</v>
      </c>
      <c r="I473" s="57">
        <v>7.5407320000000002</v>
      </c>
      <c r="J473" s="56">
        <v>7.5548599999999997</v>
      </c>
    </row>
    <row r="474" spans="2:10">
      <c r="B474" s="58" t="s">
        <v>288</v>
      </c>
      <c r="C474" s="231">
        <v>0</v>
      </c>
      <c r="D474" s="51">
        <v>0</v>
      </c>
      <c r="E474" s="57">
        <v>0</v>
      </c>
      <c r="F474" s="57">
        <v>0</v>
      </c>
      <c r="G474" s="57">
        <v>0</v>
      </c>
      <c r="H474" s="57">
        <v>0</v>
      </c>
      <c r="I474" s="57">
        <v>0</v>
      </c>
      <c r="J474" s="56">
        <v>0</v>
      </c>
    </row>
    <row r="475" spans="2:10">
      <c r="B475" s="58" t="s">
        <v>295</v>
      </c>
      <c r="C475" s="231">
        <v>0</v>
      </c>
      <c r="D475" s="51">
        <v>0</v>
      </c>
      <c r="E475" s="57">
        <v>0</v>
      </c>
      <c r="F475" s="57">
        <v>0</v>
      </c>
      <c r="G475" s="57">
        <v>0</v>
      </c>
      <c r="H475" s="57">
        <v>0</v>
      </c>
      <c r="I475" s="57">
        <v>0</v>
      </c>
      <c r="J475" s="56">
        <v>0</v>
      </c>
    </row>
    <row r="476" spans="2:10">
      <c r="B476" s="58" t="s">
        <v>294</v>
      </c>
      <c r="C476" s="231">
        <v>0</v>
      </c>
      <c r="D476" s="51">
        <v>0</v>
      </c>
      <c r="E476" s="57">
        <v>0</v>
      </c>
      <c r="F476" s="57">
        <v>0</v>
      </c>
      <c r="G476" s="57">
        <v>0</v>
      </c>
      <c r="H476" s="57">
        <v>0</v>
      </c>
      <c r="I476" s="57">
        <v>0</v>
      </c>
      <c r="J476" s="56">
        <v>0</v>
      </c>
    </row>
    <row r="477" spans="2:10">
      <c r="B477" s="58" t="s">
        <v>293</v>
      </c>
      <c r="C477" s="231">
        <v>0</v>
      </c>
      <c r="D477" s="51">
        <v>0</v>
      </c>
      <c r="E477" s="57">
        <v>0</v>
      </c>
      <c r="F477" s="57">
        <v>0</v>
      </c>
      <c r="G477" s="57">
        <v>0</v>
      </c>
      <c r="H477" s="57">
        <v>0</v>
      </c>
      <c r="I477" s="57">
        <v>0</v>
      </c>
      <c r="J477" s="56">
        <v>0</v>
      </c>
    </row>
    <row r="478" spans="2:10">
      <c r="B478" s="58" t="s">
        <v>292</v>
      </c>
      <c r="C478" s="231">
        <v>0</v>
      </c>
      <c r="D478" s="51">
        <v>0</v>
      </c>
      <c r="E478" s="57">
        <v>0</v>
      </c>
      <c r="F478" s="57">
        <v>0</v>
      </c>
      <c r="G478" s="57">
        <v>0</v>
      </c>
      <c r="H478" s="57">
        <v>0</v>
      </c>
      <c r="I478" s="57">
        <v>0</v>
      </c>
      <c r="J478" s="56">
        <v>0</v>
      </c>
    </row>
    <row r="479" spans="2:10">
      <c r="B479" s="58" t="s">
        <v>291</v>
      </c>
      <c r="C479" s="231">
        <v>0</v>
      </c>
      <c r="D479" s="51">
        <v>0</v>
      </c>
      <c r="E479" s="57">
        <v>0</v>
      </c>
      <c r="F479" s="57">
        <v>0</v>
      </c>
      <c r="G479" s="57">
        <v>0</v>
      </c>
      <c r="H479" s="57">
        <v>0</v>
      </c>
      <c r="I479" s="57">
        <v>0</v>
      </c>
      <c r="J479" s="56">
        <v>0</v>
      </c>
    </row>
    <row r="480" spans="2:10">
      <c r="B480" s="58" t="s">
        <v>290</v>
      </c>
      <c r="C480" s="231">
        <v>0</v>
      </c>
      <c r="D480" s="51">
        <v>0</v>
      </c>
      <c r="E480" s="57">
        <v>0</v>
      </c>
      <c r="F480" s="57">
        <v>0</v>
      </c>
      <c r="G480" s="57">
        <v>0</v>
      </c>
      <c r="H480" s="57">
        <v>0</v>
      </c>
      <c r="I480" s="57">
        <v>0</v>
      </c>
      <c r="J480" s="56">
        <v>0</v>
      </c>
    </row>
    <row r="481" spans="2:10">
      <c r="B481" s="58" t="s">
        <v>289</v>
      </c>
      <c r="C481" s="231">
        <v>0</v>
      </c>
      <c r="D481" s="51">
        <v>0</v>
      </c>
      <c r="E481" s="57">
        <v>0</v>
      </c>
      <c r="F481" s="57">
        <v>0</v>
      </c>
      <c r="G481" s="57">
        <v>0</v>
      </c>
      <c r="H481" s="57">
        <v>0</v>
      </c>
      <c r="I481" s="57">
        <v>0</v>
      </c>
      <c r="J481" s="56">
        <v>0</v>
      </c>
    </row>
    <row r="482" spans="2:10">
      <c r="B482" s="58" t="s">
        <v>288</v>
      </c>
      <c r="C482" s="231">
        <v>0</v>
      </c>
      <c r="D482" s="51">
        <v>0</v>
      </c>
      <c r="E482" s="57">
        <v>0</v>
      </c>
      <c r="F482" s="57">
        <v>0</v>
      </c>
      <c r="G482" s="57">
        <v>0</v>
      </c>
      <c r="H482" s="57">
        <v>0</v>
      </c>
      <c r="I482" s="57">
        <v>0</v>
      </c>
      <c r="J482" s="56">
        <v>0</v>
      </c>
    </row>
    <row r="483" spans="2:10">
      <c r="B483" s="58" t="s">
        <v>287</v>
      </c>
      <c r="C483" s="231">
        <v>0</v>
      </c>
      <c r="D483" s="51">
        <v>0.83466835276951123</v>
      </c>
      <c r="E483" s="57">
        <v>0.82928352616703083</v>
      </c>
      <c r="F483" s="57">
        <v>0.84223928600062148</v>
      </c>
      <c r="G483" s="57">
        <v>0.83753086325477655</v>
      </c>
      <c r="H483" s="57">
        <v>0.82700666568826342</v>
      </c>
      <c r="I483" s="57">
        <v>0.76233840351255244</v>
      </c>
      <c r="J483" s="56">
        <v>0.7308183803877395</v>
      </c>
    </row>
    <row r="484" spans="2:10">
      <c r="B484" s="58"/>
      <c r="D484" s="51"/>
      <c r="E484" s="57"/>
      <c r="F484" s="57"/>
      <c r="G484" s="57"/>
      <c r="H484" s="57"/>
      <c r="I484" s="57"/>
      <c r="J484" s="56"/>
    </row>
    <row r="485" spans="2:10">
      <c r="B485" s="58" t="s">
        <v>2037</v>
      </c>
      <c r="C485" s="231">
        <v>0</v>
      </c>
      <c r="D485" s="51">
        <v>23.167296</v>
      </c>
      <c r="E485" s="57">
        <v>23.218726000000004</v>
      </c>
      <c r="F485" s="57">
        <v>22.988997999999999</v>
      </c>
      <c r="G485" s="57">
        <v>12.180732000000001</v>
      </c>
      <c r="H485" s="57">
        <v>13.919269000000002</v>
      </c>
      <c r="I485" s="57">
        <v>17.890086</v>
      </c>
      <c r="J485" s="56">
        <v>19.505030699999999</v>
      </c>
    </row>
    <row r="486" spans="2:10">
      <c r="B486" s="58" t="s">
        <v>297</v>
      </c>
      <c r="C486" s="231">
        <v>0</v>
      </c>
      <c r="D486" s="51">
        <v>23.167296</v>
      </c>
      <c r="E486" s="57">
        <v>23.218726000000004</v>
      </c>
      <c r="F486" s="57">
        <v>22.988997999999999</v>
      </c>
      <c r="G486" s="57">
        <v>12.180732000000001</v>
      </c>
      <c r="H486" s="57">
        <v>13.919269000000002</v>
      </c>
      <c r="I486" s="57">
        <v>17.890086</v>
      </c>
      <c r="J486" s="56">
        <v>19.505030699999999</v>
      </c>
    </row>
    <row r="487" spans="2:10">
      <c r="B487" s="58" t="s">
        <v>296</v>
      </c>
      <c r="C487" s="231">
        <v>0</v>
      </c>
      <c r="D487" s="51">
        <v>23.167296</v>
      </c>
      <c r="E487" s="57">
        <v>23.218726000000004</v>
      </c>
      <c r="F487" s="57">
        <v>22.988997999999999</v>
      </c>
      <c r="G487" s="57">
        <v>12.180732000000001</v>
      </c>
      <c r="H487" s="57">
        <v>13.919269000000002</v>
      </c>
      <c r="I487" s="57">
        <v>17.890086</v>
      </c>
      <c r="J487" s="56">
        <v>19.505030699999999</v>
      </c>
    </row>
    <row r="488" spans="2:10">
      <c r="B488" s="58" t="s">
        <v>294</v>
      </c>
      <c r="C488" s="231">
        <v>0</v>
      </c>
      <c r="D488" s="51">
        <v>0</v>
      </c>
      <c r="E488" s="57">
        <v>0</v>
      </c>
      <c r="F488" s="57">
        <v>0</v>
      </c>
      <c r="G488" s="57">
        <v>0</v>
      </c>
      <c r="H488" s="57">
        <v>0</v>
      </c>
      <c r="I488" s="57">
        <v>0</v>
      </c>
      <c r="J488" s="56">
        <v>0</v>
      </c>
    </row>
    <row r="489" spans="2:10">
      <c r="B489" s="58" t="s">
        <v>293</v>
      </c>
      <c r="C489" s="231">
        <v>0</v>
      </c>
      <c r="D489" s="51">
        <v>0</v>
      </c>
      <c r="E489" s="57">
        <v>0</v>
      </c>
      <c r="F489" s="57">
        <v>0</v>
      </c>
      <c r="G489" s="57">
        <v>0</v>
      </c>
      <c r="H489" s="57">
        <v>0</v>
      </c>
      <c r="I489" s="57">
        <v>0</v>
      </c>
      <c r="J489" s="56">
        <v>0</v>
      </c>
    </row>
    <row r="490" spans="2:10">
      <c r="B490" s="58" t="s">
        <v>292</v>
      </c>
      <c r="C490" s="231">
        <v>0</v>
      </c>
      <c r="D490" s="51">
        <v>2.5572020000000002</v>
      </c>
      <c r="E490" s="57">
        <v>3.0025040000000001</v>
      </c>
      <c r="F490" s="57">
        <v>3.3195920000000001</v>
      </c>
      <c r="G490" s="57">
        <v>1.675856</v>
      </c>
      <c r="H490" s="57">
        <v>1.8234079999999999</v>
      </c>
      <c r="I490" s="57">
        <v>5.5505529999999998</v>
      </c>
      <c r="J490" s="56">
        <v>5.6957259999999996</v>
      </c>
    </row>
    <row r="491" spans="2:10">
      <c r="B491" s="58" t="s">
        <v>291</v>
      </c>
      <c r="C491" s="231">
        <v>0</v>
      </c>
      <c r="D491" s="51">
        <v>19.854236</v>
      </c>
      <c r="E491" s="57">
        <v>19.322724000000001</v>
      </c>
      <c r="F491" s="57">
        <v>18.521733999999999</v>
      </c>
      <c r="G491" s="57">
        <v>9.2657380000000007</v>
      </c>
      <c r="H491" s="57">
        <v>9.9711680000000005</v>
      </c>
      <c r="I491" s="57">
        <v>10.536488</v>
      </c>
      <c r="J491" s="56">
        <v>13.7971457</v>
      </c>
    </row>
    <row r="492" spans="2:10">
      <c r="B492" s="58" t="s">
        <v>290</v>
      </c>
      <c r="C492" s="231">
        <v>0</v>
      </c>
      <c r="D492" s="51">
        <v>0.75585800000000003</v>
      </c>
      <c r="E492" s="57">
        <v>0.89349800000000001</v>
      </c>
      <c r="F492" s="57">
        <v>1.147672</v>
      </c>
      <c r="G492" s="57">
        <v>1.2391380000000001</v>
      </c>
      <c r="H492" s="57">
        <v>2.1246930000000002</v>
      </c>
      <c r="I492" s="57">
        <v>1.803045</v>
      </c>
      <c r="J492" s="56">
        <v>1.2159E-2</v>
      </c>
    </row>
    <row r="493" spans="2:10">
      <c r="B493" s="58" t="s">
        <v>289</v>
      </c>
      <c r="C493" s="231">
        <v>0</v>
      </c>
      <c r="D493" s="51">
        <v>0</v>
      </c>
      <c r="E493" s="57">
        <v>0</v>
      </c>
      <c r="F493" s="57">
        <v>0</v>
      </c>
      <c r="G493" s="57">
        <v>0</v>
      </c>
      <c r="H493" s="57">
        <v>0</v>
      </c>
      <c r="I493" s="57">
        <v>0</v>
      </c>
      <c r="J493" s="56">
        <v>0</v>
      </c>
    </row>
    <row r="494" spans="2:10">
      <c r="B494" s="58" t="s">
        <v>288</v>
      </c>
      <c r="C494" s="231">
        <v>0</v>
      </c>
      <c r="D494" s="51">
        <v>0</v>
      </c>
      <c r="E494" s="57">
        <v>0</v>
      </c>
      <c r="F494" s="57">
        <v>0</v>
      </c>
      <c r="G494" s="57">
        <v>0</v>
      </c>
      <c r="H494" s="57">
        <v>0</v>
      </c>
      <c r="I494" s="57">
        <v>0</v>
      </c>
      <c r="J494" s="56">
        <v>0</v>
      </c>
    </row>
    <row r="495" spans="2:10">
      <c r="B495" s="58" t="s">
        <v>295</v>
      </c>
      <c r="C495" s="231">
        <v>0</v>
      </c>
      <c r="D495" s="51">
        <v>0</v>
      </c>
      <c r="E495" s="57">
        <v>0</v>
      </c>
      <c r="F495" s="57">
        <v>0</v>
      </c>
      <c r="G495" s="57">
        <v>0</v>
      </c>
      <c r="H495" s="57">
        <v>0</v>
      </c>
      <c r="I495" s="57">
        <v>0</v>
      </c>
      <c r="J495" s="56">
        <v>0</v>
      </c>
    </row>
    <row r="496" spans="2:10">
      <c r="B496" s="58" t="s">
        <v>294</v>
      </c>
      <c r="C496" s="231">
        <v>0</v>
      </c>
      <c r="D496" s="51">
        <v>0</v>
      </c>
      <c r="E496" s="57">
        <v>0</v>
      </c>
      <c r="F496" s="57">
        <v>0</v>
      </c>
      <c r="G496" s="57">
        <v>0</v>
      </c>
      <c r="H496" s="57">
        <v>0</v>
      </c>
      <c r="I496" s="57">
        <v>0</v>
      </c>
      <c r="J496" s="56">
        <v>0</v>
      </c>
    </row>
    <row r="497" spans="2:10">
      <c r="B497" s="58" t="s">
        <v>293</v>
      </c>
      <c r="C497" s="231">
        <v>0</v>
      </c>
      <c r="D497" s="51">
        <v>0</v>
      </c>
      <c r="E497" s="57">
        <v>0</v>
      </c>
      <c r="F497" s="57">
        <v>0</v>
      </c>
      <c r="G497" s="57">
        <v>0</v>
      </c>
      <c r="H497" s="57">
        <v>0</v>
      </c>
      <c r="I497" s="57">
        <v>0</v>
      </c>
      <c r="J497" s="56">
        <v>0</v>
      </c>
    </row>
    <row r="498" spans="2:10">
      <c r="B498" s="58" t="s">
        <v>292</v>
      </c>
      <c r="C498" s="231">
        <v>0</v>
      </c>
      <c r="D498" s="51">
        <v>0</v>
      </c>
      <c r="E498" s="57">
        <v>0</v>
      </c>
      <c r="F498" s="57">
        <v>0</v>
      </c>
      <c r="G498" s="57">
        <v>0</v>
      </c>
      <c r="H498" s="57">
        <v>0</v>
      </c>
      <c r="I498" s="57">
        <v>0</v>
      </c>
      <c r="J498" s="56">
        <v>0</v>
      </c>
    </row>
    <row r="499" spans="2:10">
      <c r="B499" s="58" t="s">
        <v>291</v>
      </c>
      <c r="C499" s="231">
        <v>0</v>
      </c>
      <c r="D499" s="51">
        <v>0</v>
      </c>
      <c r="E499" s="57">
        <v>0</v>
      </c>
      <c r="F499" s="57">
        <v>0</v>
      </c>
      <c r="G499" s="57">
        <v>0</v>
      </c>
      <c r="H499" s="57">
        <v>0</v>
      </c>
      <c r="I499" s="57">
        <v>0</v>
      </c>
      <c r="J499" s="56">
        <v>0</v>
      </c>
    </row>
    <row r="500" spans="2:10">
      <c r="B500" s="58" t="s">
        <v>290</v>
      </c>
      <c r="C500" s="231">
        <v>0</v>
      </c>
      <c r="D500" s="51">
        <v>0</v>
      </c>
      <c r="E500" s="57">
        <v>0</v>
      </c>
      <c r="F500" s="57">
        <v>0</v>
      </c>
      <c r="G500" s="57">
        <v>0</v>
      </c>
      <c r="H500" s="57">
        <v>0</v>
      </c>
      <c r="I500" s="57">
        <v>0</v>
      </c>
      <c r="J500" s="56">
        <v>0</v>
      </c>
    </row>
    <row r="501" spans="2:10">
      <c r="B501" s="58" t="s">
        <v>289</v>
      </c>
      <c r="C501" s="231">
        <v>0</v>
      </c>
      <c r="D501" s="51">
        <v>0</v>
      </c>
      <c r="E501" s="57">
        <v>0</v>
      </c>
      <c r="F501" s="57">
        <v>0</v>
      </c>
      <c r="G501" s="57">
        <v>0</v>
      </c>
      <c r="H501" s="57">
        <v>0</v>
      </c>
      <c r="I501" s="57">
        <v>0</v>
      </c>
      <c r="J501" s="56">
        <v>0</v>
      </c>
    </row>
    <row r="502" spans="2:10">
      <c r="B502" s="58" t="s">
        <v>288</v>
      </c>
      <c r="C502" s="231">
        <v>0</v>
      </c>
      <c r="D502" s="51">
        <v>0</v>
      </c>
      <c r="E502" s="57">
        <v>0</v>
      </c>
      <c r="F502" s="57">
        <v>0</v>
      </c>
      <c r="G502" s="57">
        <v>0</v>
      </c>
      <c r="H502" s="57">
        <v>0</v>
      </c>
      <c r="I502" s="57">
        <v>0</v>
      </c>
      <c r="J502" s="56">
        <v>0</v>
      </c>
    </row>
    <row r="503" spans="2:10">
      <c r="B503" s="58" t="s">
        <v>287</v>
      </c>
      <c r="C503" s="231">
        <v>0</v>
      </c>
      <c r="D503" s="51">
        <v>0.13541531589905192</v>
      </c>
      <c r="E503" s="57">
        <v>0.1235993303508453</v>
      </c>
      <c r="F503" s="57">
        <v>0.10882207822505055</v>
      </c>
      <c r="G503" s="57">
        <v>9.4914120545143657E-2</v>
      </c>
      <c r="H503" s="57">
        <v>9.4622193540705002E-2</v>
      </c>
      <c r="I503" s="57">
        <v>0.12112746965045319</v>
      </c>
      <c r="J503" s="56">
        <v>0.10625068669171439</v>
      </c>
    </row>
    <row r="504" spans="2:10">
      <c r="B504" s="58"/>
      <c r="D504" s="51"/>
      <c r="E504" s="57"/>
      <c r="F504" s="57"/>
      <c r="G504" s="57"/>
      <c r="H504" s="57"/>
      <c r="I504" s="57"/>
      <c r="J504" s="56"/>
    </row>
    <row r="505" spans="2:10">
      <c r="B505" s="58" t="s">
        <v>2038</v>
      </c>
      <c r="C505" s="231">
        <v>0</v>
      </c>
      <c r="D505" s="51">
        <v>3.613969</v>
      </c>
      <c r="E505" s="57">
        <v>3.6550250000000002</v>
      </c>
      <c r="F505" s="57">
        <v>3.2301919999999997</v>
      </c>
      <c r="G505" s="57">
        <v>1.7778039999999999</v>
      </c>
      <c r="H505" s="57">
        <v>1.901527</v>
      </c>
      <c r="I505" s="57">
        <v>1.3783639999999999</v>
      </c>
      <c r="J505" s="56">
        <v>1.5049150000000002</v>
      </c>
    </row>
    <row r="506" spans="2:10">
      <c r="B506" s="58" t="s">
        <v>297</v>
      </c>
      <c r="C506" s="231">
        <v>0</v>
      </c>
      <c r="D506" s="51">
        <v>3.613969</v>
      </c>
      <c r="E506" s="57">
        <v>3.6550250000000002</v>
      </c>
      <c r="F506" s="57">
        <v>3.2301919999999997</v>
      </c>
      <c r="G506" s="57">
        <v>1.7778039999999999</v>
      </c>
      <c r="H506" s="57">
        <v>1.901527</v>
      </c>
      <c r="I506" s="57">
        <v>1.3783639999999999</v>
      </c>
      <c r="J506" s="56">
        <v>1.5049150000000002</v>
      </c>
    </row>
    <row r="507" spans="2:10">
      <c r="B507" s="58" t="s">
        <v>296</v>
      </c>
      <c r="C507" s="231">
        <v>0</v>
      </c>
      <c r="D507" s="51">
        <v>3.613969</v>
      </c>
      <c r="E507" s="57">
        <v>3.6550250000000002</v>
      </c>
      <c r="F507" s="57">
        <v>3.2301919999999997</v>
      </c>
      <c r="G507" s="57">
        <v>1.7778039999999999</v>
      </c>
      <c r="H507" s="57">
        <v>1.901527</v>
      </c>
      <c r="I507" s="57">
        <v>1.3783639999999999</v>
      </c>
      <c r="J507" s="56">
        <v>1.5049150000000002</v>
      </c>
    </row>
    <row r="508" spans="2:10">
      <c r="B508" s="58" t="s">
        <v>294</v>
      </c>
      <c r="C508" s="231">
        <v>0</v>
      </c>
      <c r="D508" s="51">
        <v>0</v>
      </c>
      <c r="E508" s="57">
        <v>0</v>
      </c>
      <c r="F508" s="57">
        <v>0</v>
      </c>
      <c r="G508" s="57">
        <v>0</v>
      </c>
      <c r="H508" s="57">
        <v>0</v>
      </c>
      <c r="I508" s="57">
        <v>0</v>
      </c>
      <c r="J508" s="56">
        <v>0</v>
      </c>
    </row>
    <row r="509" spans="2:10">
      <c r="B509" s="58" t="s">
        <v>293</v>
      </c>
      <c r="C509" s="231">
        <v>0</v>
      </c>
      <c r="D509" s="51">
        <v>0</v>
      </c>
      <c r="E509" s="57">
        <v>0</v>
      </c>
      <c r="F509" s="57">
        <v>0</v>
      </c>
      <c r="G509" s="57">
        <v>0</v>
      </c>
      <c r="H509" s="57">
        <v>0</v>
      </c>
      <c r="I509" s="57">
        <v>0</v>
      </c>
      <c r="J509" s="56">
        <v>0</v>
      </c>
    </row>
    <row r="510" spans="2:10">
      <c r="B510" s="58" t="s">
        <v>292</v>
      </c>
      <c r="C510" s="231">
        <v>0</v>
      </c>
      <c r="D510" s="51">
        <v>2.9345629999999998</v>
      </c>
      <c r="E510" s="57">
        <v>3.0123869999999999</v>
      </c>
      <c r="F510" s="57">
        <v>2.6246399999999999</v>
      </c>
      <c r="G510" s="57">
        <v>1.4834229999999999</v>
      </c>
      <c r="H510" s="57">
        <v>1.577102</v>
      </c>
      <c r="I510" s="57">
        <v>1.142255</v>
      </c>
      <c r="J510" s="56">
        <v>1.2221820000000001</v>
      </c>
    </row>
    <row r="511" spans="2:10">
      <c r="B511" s="58" t="s">
        <v>291</v>
      </c>
      <c r="C511" s="231">
        <v>0</v>
      </c>
      <c r="D511" s="51">
        <v>0.67940599999999995</v>
      </c>
      <c r="E511" s="57">
        <v>0.64263800000000004</v>
      </c>
      <c r="F511" s="57">
        <v>0.60555199999999998</v>
      </c>
      <c r="G511" s="57">
        <v>0.29430499999999998</v>
      </c>
      <c r="H511" s="57">
        <v>0.32355800000000001</v>
      </c>
      <c r="I511" s="57">
        <v>0.23346900000000001</v>
      </c>
      <c r="J511" s="56">
        <v>0.27813500000000002</v>
      </c>
    </row>
    <row r="512" spans="2:10">
      <c r="B512" s="58" t="s">
        <v>290</v>
      </c>
      <c r="C512" s="231">
        <v>0</v>
      </c>
      <c r="D512" s="51">
        <v>0</v>
      </c>
      <c r="E512" s="57">
        <v>0</v>
      </c>
      <c r="F512" s="57">
        <v>0</v>
      </c>
      <c r="G512" s="57">
        <v>7.6000000000000004E-5</v>
      </c>
      <c r="H512" s="57">
        <v>8.6700000000000004E-4</v>
      </c>
      <c r="I512" s="57">
        <v>2.64E-3</v>
      </c>
      <c r="J512" s="56">
        <v>4.5979999999999997E-3</v>
      </c>
    </row>
    <row r="513" spans="2:11">
      <c r="B513" s="58" t="s">
        <v>289</v>
      </c>
      <c r="C513" s="231">
        <v>0</v>
      </c>
      <c r="D513" s="51">
        <v>0</v>
      </c>
      <c r="E513" s="57">
        <v>0</v>
      </c>
      <c r="F513" s="57">
        <v>0</v>
      </c>
      <c r="G513" s="57">
        <v>0</v>
      </c>
      <c r="H513" s="57">
        <v>0</v>
      </c>
      <c r="I513" s="57">
        <v>0</v>
      </c>
      <c r="J513" s="56">
        <v>0</v>
      </c>
    </row>
    <row r="514" spans="2:11">
      <c r="B514" s="58" t="s">
        <v>288</v>
      </c>
      <c r="C514" s="231">
        <v>0</v>
      </c>
      <c r="D514" s="51">
        <v>0</v>
      </c>
      <c r="E514" s="57">
        <v>0</v>
      </c>
      <c r="F514" s="57">
        <v>0</v>
      </c>
      <c r="G514" s="57">
        <v>0</v>
      </c>
      <c r="H514" s="57">
        <v>0</v>
      </c>
      <c r="I514" s="57">
        <v>0</v>
      </c>
      <c r="J514" s="56">
        <v>0</v>
      </c>
    </row>
    <row r="515" spans="2:11">
      <c r="B515" s="58" t="s">
        <v>295</v>
      </c>
      <c r="C515" s="231">
        <v>0</v>
      </c>
      <c r="D515" s="51">
        <v>0</v>
      </c>
      <c r="E515" s="57">
        <v>0</v>
      </c>
      <c r="F515" s="57">
        <v>0</v>
      </c>
      <c r="G515" s="57">
        <v>0</v>
      </c>
      <c r="H515" s="57">
        <v>0</v>
      </c>
      <c r="I515" s="57">
        <v>0</v>
      </c>
      <c r="J515" s="56">
        <v>0</v>
      </c>
    </row>
    <row r="516" spans="2:11">
      <c r="B516" s="58" t="s">
        <v>294</v>
      </c>
      <c r="C516" s="231">
        <v>0</v>
      </c>
      <c r="D516" s="51">
        <v>0</v>
      </c>
      <c r="E516" s="57">
        <v>0</v>
      </c>
      <c r="F516" s="57">
        <v>0</v>
      </c>
      <c r="G516" s="57">
        <v>0</v>
      </c>
      <c r="H516" s="57">
        <v>0</v>
      </c>
      <c r="I516" s="57">
        <v>0</v>
      </c>
      <c r="J516" s="56">
        <v>0</v>
      </c>
    </row>
    <row r="517" spans="2:11">
      <c r="B517" s="58" t="s">
        <v>293</v>
      </c>
      <c r="C517" s="231">
        <v>0</v>
      </c>
      <c r="D517" s="51">
        <v>0</v>
      </c>
      <c r="E517" s="57">
        <v>0</v>
      </c>
      <c r="F517" s="57">
        <v>0</v>
      </c>
      <c r="G517" s="57">
        <v>0</v>
      </c>
      <c r="H517" s="57">
        <v>0</v>
      </c>
      <c r="I517" s="57">
        <v>0</v>
      </c>
      <c r="J517" s="56">
        <v>0</v>
      </c>
    </row>
    <row r="518" spans="2:11">
      <c r="B518" s="71" t="s">
        <v>292</v>
      </c>
      <c r="C518" s="231">
        <v>0</v>
      </c>
      <c r="D518" s="71">
        <v>0</v>
      </c>
      <c r="E518" s="71">
        <v>0</v>
      </c>
      <c r="F518" s="71">
        <v>0</v>
      </c>
      <c r="G518" s="71">
        <v>0</v>
      </c>
      <c r="H518" s="71">
        <v>0</v>
      </c>
      <c r="I518" s="71">
        <v>0</v>
      </c>
      <c r="J518" s="71">
        <v>0</v>
      </c>
      <c r="K518" s="71"/>
    </row>
    <row r="519" spans="2:11">
      <c r="B519" s="133" t="s">
        <v>291</v>
      </c>
      <c r="C519" s="231">
        <v>0</v>
      </c>
      <c r="D519" s="133">
        <v>0</v>
      </c>
      <c r="E519" s="133">
        <v>0</v>
      </c>
      <c r="F519" s="133">
        <v>0</v>
      </c>
      <c r="G519" s="133">
        <v>0</v>
      </c>
      <c r="H519" s="133">
        <v>0</v>
      </c>
      <c r="I519" s="133">
        <v>0</v>
      </c>
      <c r="J519" s="133">
        <v>0</v>
      </c>
      <c r="K519" s="133"/>
    </row>
    <row r="520" spans="2:11">
      <c r="B520" s="132" t="s">
        <v>290</v>
      </c>
      <c r="C520" s="231">
        <v>0</v>
      </c>
      <c r="D520" s="132">
        <v>0</v>
      </c>
      <c r="E520" s="132">
        <v>0</v>
      </c>
      <c r="F520" s="132">
        <v>0</v>
      </c>
      <c r="G520" s="132">
        <v>0</v>
      </c>
      <c r="H520" s="132">
        <v>0</v>
      </c>
      <c r="I520" s="132">
        <v>0</v>
      </c>
      <c r="J520" s="132">
        <v>0</v>
      </c>
      <c r="K520" s="132"/>
    </row>
    <row r="521" spans="2:11">
      <c r="B521" s="132" t="s">
        <v>289</v>
      </c>
      <c r="C521" s="231">
        <v>0</v>
      </c>
      <c r="D521" s="132">
        <v>0</v>
      </c>
      <c r="E521" s="132">
        <v>0</v>
      </c>
      <c r="F521" s="132">
        <v>0</v>
      </c>
      <c r="G521" s="132">
        <v>0</v>
      </c>
      <c r="H521" s="132">
        <v>0</v>
      </c>
      <c r="I521" s="132">
        <v>0</v>
      </c>
      <c r="J521" s="132">
        <v>0</v>
      </c>
      <c r="K521" s="132"/>
    </row>
    <row r="522" spans="2:11">
      <c r="B522" s="65" t="s">
        <v>288</v>
      </c>
      <c r="C522" s="231">
        <v>0</v>
      </c>
      <c r="D522" s="65">
        <v>0</v>
      </c>
      <c r="E522" s="65">
        <v>0</v>
      </c>
      <c r="F522" s="65">
        <v>0</v>
      </c>
      <c r="G522" s="65">
        <v>0</v>
      </c>
      <c r="H522" s="65">
        <v>0</v>
      </c>
      <c r="I522" s="65">
        <v>0</v>
      </c>
      <c r="J522" s="65">
        <v>0</v>
      </c>
      <c r="K522" s="65"/>
    </row>
    <row r="523" spans="2:11">
      <c r="B523" t="s">
        <v>287</v>
      </c>
      <c r="C523" s="231">
        <v>0</v>
      </c>
      <c r="D523">
        <v>2.1124034232755554E-2</v>
      </c>
      <c r="E523">
        <v>1.9456650740251567E-2</v>
      </c>
      <c r="F523">
        <v>1.5290627564800017E-2</v>
      </c>
      <c r="G523">
        <v>1.3852919772115384E-2</v>
      </c>
      <c r="H523">
        <v>1.292644432813793E-2</v>
      </c>
      <c r="I523">
        <v>9.3324170480386312E-3</v>
      </c>
      <c r="J523">
        <v>8.1977954622066487E-3</v>
      </c>
    </row>
    <row r="524" spans="2:11">
      <c r="B524" s="59"/>
      <c r="D524" s="260"/>
      <c r="E524" s="260"/>
      <c r="F524" s="260"/>
      <c r="G524" s="260"/>
      <c r="H524" s="260"/>
      <c r="I524" s="260"/>
      <c r="J524" s="200"/>
    </row>
    <row r="525" spans="2:11">
      <c r="B525" s="71" t="s">
        <v>2039</v>
      </c>
      <c r="C525" s="231">
        <v>0</v>
      </c>
      <c r="D525" s="200">
        <v>0</v>
      </c>
      <c r="E525" s="200">
        <v>1.445068</v>
      </c>
      <c r="F525" s="200">
        <v>1.5701100000000001</v>
      </c>
      <c r="G525" s="200">
        <v>0.98846100000000003</v>
      </c>
      <c r="H525" s="200">
        <v>1.0430140000000001</v>
      </c>
      <c r="I525" s="200">
        <v>0.72705699999999995</v>
      </c>
      <c r="J525" s="200">
        <v>0.59649399999999997</v>
      </c>
    </row>
    <row r="526" spans="2:11">
      <c r="B526" s="133" t="s">
        <v>297</v>
      </c>
      <c r="C526" s="231">
        <v>0</v>
      </c>
      <c r="D526" s="200">
        <v>0</v>
      </c>
      <c r="E526" s="200">
        <v>1.445068</v>
      </c>
      <c r="F526" s="200">
        <v>1.5701100000000001</v>
      </c>
      <c r="G526" s="200">
        <v>0.98846100000000003</v>
      </c>
      <c r="H526" s="200">
        <v>1.0430140000000001</v>
      </c>
      <c r="I526" s="200">
        <v>0.72705699999999995</v>
      </c>
      <c r="J526" s="200">
        <v>0.59649399999999997</v>
      </c>
    </row>
    <row r="527" spans="2:11">
      <c r="B527" s="131" t="s">
        <v>296</v>
      </c>
      <c r="C527" s="231">
        <v>0</v>
      </c>
      <c r="D527" s="200">
        <v>0</v>
      </c>
      <c r="E527" s="200">
        <v>1.445068</v>
      </c>
      <c r="F527" s="200">
        <v>1.5701100000000001</v>
      </c>
      <c r="G527" s="200">
        <v>0.98846100000000003</v>
      </c>
      <c r="H527" s="200">
        <v>1.0430140000000001</v>
      </c>
      <c r="I527" s="200">
        <v>0.72705699999999995</v>
      </c>
      <c r="J527" s="200">
        <v>0.59649399999999997</v>
      </c>
    </row>
    <row r="528" spans="2:11">
      <c r="B528" s="131" t="s">
        <v>294</v>
      </c>
      <c r="C528" s="231">
        <v>0</v>
      </c>
      <c r="D528" s="200">
        <v>0</v>
      </c>
      <c r="E528" s="200">
        <v>0</v>
      </c>
      <c r="F528" s="200">
        <v>0</v>
      </c>
      <c r="G528" s="200">
        <v>0</v>
      </c>
      <c r="H528" s="200">
        <v>0</v>
      </c>
      <c r="I528" s="200">
        <v>0</v>
      </c>
      <c r="J528" s="200">
        <v>0</v>
      </c>
    </row>
    <row r="529" spans="2:10">
      <c r="B529" s="131" t="s">
        <v>293</v>
      </c>
      <c r="C529" s="231">
        <v>0</v>
      </c>
      <c r="D529" s="200">
        <v>0</v>
      </c>
      <c r="E529" s="200">
        <v>0</v>
      </c>
      <c r="F529" s="200">
        <v>0</v>
      </c>
      <c r="G529" s="200">
        <v>0</v>
      </c>
      <c r="H529" s="200">
        <v>0</v>
      </c>
      <c r="I529" s="200">
        <v>0</v>
      </c>
      <c r="J529" s="200">
        <v>0</v>
      </c>
    </row>
    <row r="530" spans="2:10">
      <c r="B530" s="131" t="s">
        <v>292</v>
      </c>
      <c r="C530" s="231">
        <v>0</v>
      </c>
      <c r="D530" s="200">
        <v>0</v>
      </c>
      <c r="E530" s="200">
        <v>1.3058959999999999</v>
      </c>
      <c r="F530" s="200">
        <v>1.4382760000000001</v>
      </c>
      <c r="G530" s="200">
        <v>0.91290400000000005</v>
      </c>
      <c r="H530" s="200">
        <v>0.95254700000000003</v>
      </c>
      <c r="I530" s="200">
        <v>0.65942199999999995</v>
      </c>
      <c r="J530" s="200">
        <v>0.51832800000000001</v>
      </c>
    </row>
    <row r="531" spans="2:10">
      <c r="B531" s="131" t="s">
        <v>291</v>
      </c>
      <c r="C531" s="231">
        <v>0</v>
      </c>
      <c r="D531" s="200">
        <v>0</v>
      </c>
      <c r="E531" s="200">
        <v>0.13917199999999999</v>
      </c>
      <c r="F531" s="200">
        <v>0.13183400000000001</v>
      </c>
      <c r="G531" s="200">
        <v>7.5506000000000004E-2</v>
      </c>
      <c r="H531" s="200">
        <v>8.9567999999999995E-2</v>
      </c>
      <c r="I531" s="200">
        <v>6.4571000000000003E-2</v>
      </c>
      <c r="J531" s="200">
        <v>7.2405999999999998E-2</v>
      </c>
    </row>
    <row r="532" spans="2:10">
      <c r="B532" s="131" t="s">
        <v>290</v>
      </c>
      <c r="C532" s="231">
        <v>0</v>
      </c>
      <c r="D532" s="200">
        <v>0</v>
      </c>
      <c r="E532" s="200">
        <v>0</v>
      </c>
      <c r="F532" s="200">
        <v>0</v>
      </c>
      <c r="G532" s="200">
        <v>5.1E-5</v>
      </c>
      <c r="H532" s="200">
        <v>8.9899999999999995E-4</v>
      </c>
      <c r="I532" s="200">
        <v>3.0639999999999999E-3</v>
      </c>
      <c r="J532" s="200">
        <v>5.7600000000000004E-3</v>
      </c>
    </row>
    <row r="533" spans="2:10">
      <c r="B533" s="131" t="s">
        <v>289</v>
      </c>
      <c r="C533" s="231">
        <v>0</v>
      </c>
      <c r="D533" s="200">
        <v>0</v>
      </c>
      <c r="E533" s="200">
        <v>0</v>
      </c>
      <c r="F533" s="200">
        <v>0</v>
      </c>
      <c r="G533" s="200">
        <v>0</v>
      </c>
      <c r="H533" s="200">
        <v>0</v>
      </c>
      <c r="I533" s="200">
        <v>0</v>
      </c>
      <c r="J533" s="200">
        <v>0</v>
      </c>
    </row>
    <row r="534" spans="2:10">
      <c r="B534" s="65" t="s">
        <v>288</v>
      </c>
      <c r="C534" s="231">
        <v>0</v>
      </c>
      <c r="D534" s="200">
        <v>0</v>
      </c>
      <c r="E534" s="200">
        <v>0</v>
      </c>
      <c r="F534" s="200">
        <v>0</v>
      </c>
      <c r="G534" s="200">
        <v>0</v>
      </c>
      <c r="H534" s="200">
        <v>0</v>
      </c>
      <c r="I534" s="200">
        <v>0</v>
      </c>
      <c r="J534" s="200">
        <v>0</v>
      </c>
    </row>
    <row r="535" spans="2:10">
      <c r="B535" s="65" t="s">
        <v>295</v>
      </c>
      <c r="C535" s="231">
        <v>0</v>
      </c>
      <c r="D535" s="200">
        <v>0</v>
      </c>
      <c r="E535" s="200">
        <v>0</v>
      </c>
      <c r="F535" s="200">
        <v>0</v>
      </c>
      <c r="G535" s="200">
        <v>0</v>
      </c>
      <c r="H535" s="200">
        <v>0</v>
      </c>
      <c r="I535" s="200">
        <v>0</v>
      </c>
      <c r="J535" s="200">
        <v>0</v>
      </c>
    </row>
    <row r="536" spans="2:10">
      <c r="B536" s="58" t="s">
        <v>294</v>
      </c>
      <c r="C536" s="231">
        <v>0</v>
      </c>
      <c r="D536" s="51">
        <v>0</v>
      </c>
      <c r="E536" s="57">
        <v>0</v>
      </c>
      <c r="F536" s="57">
        <v>0</v>
      </c>
      <c r="G536" s="57">
        <v>0</v>
      </c>
      <c r="H536" s="57">
        <v>0</v>
      </c>
      <c r="I536" s="57">
        <v>0</v>
      </c>
      <c r="J536" s="56">
        <v>0</v>
      </c>
    </row>
    <row r="537" spans="2:10">
      <c r="B537" s="71" t="s">
        <v>293</v>
      </c>
      <c r="C537" s="231">
        <v>0</v>
      </c>
      <c r="D537" s="51">
        <v>0</v>
      </c>
      <c r="E537" s="57">
        <v>0</v>
      </c>
      <c r="F537" s="57">
        <v>0</v>
      </c>
      <c r="G537" s="57">
        <v>0</v>
      </c>
      <c r="H537" s="57">
        <v>0</v>
      </c>
      <c r="I537" s="57">
        <v>0</v>
      </c>
      <c r="J537" s="56">
        <v>0</v>
      </c>
    </row>
    <row r="538" spans="2:10">
      <c r="B538" s="133" t="s">
        <v>292</v>
      </c>
      <c r="C538" s="231">
        <v>0</v>
      </c>
      <c r="D538" s="51">
        <v>0</v>
      </c>
      <c r="E538" s="57">
        <v>0</v>
      </c>
      <c r="F538" s="57">
        <v>0</v>
      </c>
      <c r="G538" s="57">
        <v>0</v>
      </c>
      <c r="H538" s="57">
        <v>0</v>
      </c>
      <c r="I538" s="57">
        <v>0</v>
      </c>
      <c r="J538" s="56">
        <v>0</v>
      </c>
    </row>
    <row r="539" spans="2:10">
      <c r="B539" s="131" t="s">
        <v>291</v>
      </c>
      <c r="C539" s="231">
        <v>0</v>
      </c>
      <c r="D539" s="51">
        <v>0</v>
      </c>
      <c r="E539" s="57">
        <v>0</v>
      </c>
      <c r="F539" s="57">
        <v>0</v>
      </c>
      <c r="G539" s="57">
        <v>0</v>
      </c>
      <c r="H539" s="57">
        <v>0</v>
      </c>
      <c r="I539" s="57">
        <v>0</v>
      </c>
      <c r="J539" s="56">
        <v>0</v>
      </c>
    </row>
    <row r="540" spans="2:10">
      <c r="B540" s="131" t="s">
        <v>290</v>
      </c>
      <c r="C540" s="231">
        <v>0</v>
      </c>
      <c r="D540" s="51">
        <v>0</v>
      </c>
      <c r="E540" s="57">
        <v>0</v>
      </c>
      <c r="F540" s="57">
        <v>0</v>
      </c>
      <c r="G540" s="57">
        <v>0</v>
      </c>
      <c r="H540" s="57">
        <v>0</v>
      </c>
      <c r="I540" s="57">
        <v>0</v>
      </c>
      <c r="J540" s="56">
        <v>0</v>
      </c>
    </row>
    <row r="541" spans="2:10">
      <c r="B541" s="131" t="s">
        <v>289</v>
      </c>
      <c r="C541" s="231">
        <v>0</v>
      </c>
      <c r="D541" s="51">
        <v>0</v>
      </c>
      <c r="E541" s="57">
        <v>0</v>
      </c>
      <c r="F541" s="57">
        <v>0</v>
      </c>
      <c r="G541" s="57">
        <v>0</v>
      </c>
      <c r="H541" s="57">
        <v>0</v>
      </c>
      <c r="I541" s="57">
        <v>0</v>
      </c>
      <c r="J541" s="56">
        <v>0</v>
      </c>
    </row>
    <row r="542" spans="2:10">
      <c r="B542" s="131" t="s">
        <v>288</v>
      </c>
      <c r="C542" s="231">
        <v>0</v>
      </c>
      <c r="D542" s="51">
        <v>0</v>
      </c>
      <c r="E542" s="57">
        <v>0</v>
      </c>
      <c r="F542" s="57">
        <v>0</v>
      </c>
      <c r="G542" s="57">
        <v>0</v>
      </c>
      <c r="H542" s="57">
        <v>0</v>
      </c>
      <c r="I542" s="57">
        <v>0</v>
      </c>
      <c r="J542" s="56">
        <v>0</v>
      </c>
    </row>
    <row r="543" spans="2:10">
      <c r="B543" s="131" t="s">
        <v>287</v>
      </c>
      <c r="C543" s="231">
        <v>0</v>
      </c>
      <c r="D543" s="51">
        <v>0</v>
      </c>
      <c r="E543" s="57">
        <v>7.6924736142471939E-3</v>
      </c>
      <c r="F543" s="57">
        <v>7.4323653967838937E-3</v>
      </c>
      <c r="G543" s="57">
        <v>7.7022387905893702E-3</v>
      </c>
      <c r="H543" s="57">
        <v>7.0903344546085637E-3</v>
      </c>
      <c r="I543" s="57">
        <v>4.9226468057028648E-3</v>
      </c>
      <c r="J543" s="56">
        <v>3.2493102975473648E-3</v>
      </c>
    </row>
    <row r="544" spans="2:10">
      <c r="B544" s="131"/>
      <c r="D544" s="51"/>
      <c r="E544" s="57"/>
      <c r="F544" s="57"/>
      <c r="G544" s="57"/>
      <c r="H544" s="57"/>
      <c r="I544" s="57"/>
      <c r="J544" s="56"/>
    </row>
    <row r="545" spans="2:10">
      <c r="B545" s="131" t="s">
        <v>2040</v>
      </c>
      <c r="C545" s="231">
        <v>0</v>
      </c>
      <c r="D545" s="51">
        <v>0.68394699999999997</v>
      </c>
      <c r="E545" s="57">
        <v>2.300986</v>
      </c>
      <c r="F545" s="57">
        <v>2.9589469999999998</v>
      </c>
      <c r="G545" s="57">
        <v>1.2195590000000001</v>
      </c>
      <c r="H545" s="57">
        <v>1.383149</v>
      </c>
      <c r="I545" s="57">
        <v>1.1164690000000002</v>
      </c>
      <c r="J545" s="56">
        <v>0.8231620999999999</v>
      </c>
    </row>
    <row r="546" spans="2:10">
      <c r="B546" s="65" t="s">
        <v>297</v>
      </c>
      <c r="C546" s="231">
        <v>0</v>
      </c>
      <c r="D546" s="51">
        <v>0.68394699999999997</v>
      </c>
      <c r="E546" s="57">
        <v>2.300986</v>
      </c>
      <c r="F546" s="57">
        <v>2.9589469999999998</v>
      </c>
      <c r="G546" s="57">
        <v>1.2195590000000001</v>
      </c>
      <c r="H546" s="57">
        <v>1.383149</v>
      </c>
      <c r="I546" s="57">
        <v>1.1164690000000002</v>
      </c>
      <c r="J546" s="56">
        <v>0.8231620999999999</v>
      </c>
    </row>
    <row r="547" spans="2:10">
      <c r="B547" s="57" t="s">
        <v>296</v>
      </c>
      <c r="C547" s="231">
        <v>0</v>
      </c>
      <c r="D547" s="51">
        <v>0.68394699999999997</v>
      </c>
      <c r="E547" s="57">
        <v>2.300986</v>
      </c>
      <c r="F547" s="57">
        <v>2.9589469999999998</v>
      </c>
      <c r="G547" s="57">
        <v>1.2195590000000001</v>
      </c>
      <c r="H547" s="57">
        <v>1.383149</v>
      </c>
      <c r="I547" s="57">
        <v>1.1164690000000002</v>
      </c>
      <c r="J547" s="56">
        <v>0.8231620999999999</v>
      </c>
    </row>
    <row r="548" spans="2:10">
      <c r="B548" s="58" t="s">
        <v>294</v>
      </c>
      <c r="C548" s="231">
        <v>0</v>
      </c>
      <c r="D548" s="51">
        <v>0</v>
      </c>
      <c r="E548" s="57">
        <v>0</v>
      </c>
      <c r="F548" s="57">
        <v>0</v>
      </c>
      <c r="G548" s="57">
        <v>0</v>
      </c>
      <c r="H548" s="57">
        <v>0</v>
      </c>
      <c r="I548" s="57">
        <v>0</v>
      </c>
      <c r="J548" s="56">
        <v>0</v>
      </c>
    </row>
    <row r="549" spans="2:10">
      <c r="B549" s="71" t="s">
        <v>293</v>
      </c>
      <c r="C549" s="231">
        <v>0</v>
      </c>
      <c r="D549" s="51">
        <v>0</v>
      </c>
      <c r="E549" s="57">
        <v>0</v>
      </c>
      <c r="F549" s="57">
        <v>0</v>
      </c>
      <c r="G549" s="57">
        <v>0</v>
      </c>
      <c r="H549" s="57">
        <v>0</v>
      </c>
      <c r="I549" s="57">
        <v>0</v>
      </c>
      <c r="J549" s="56">
        <v>0</v>
      </c>
    </row>
    <row r="550" spans="2:10">
      <c r="B550" s="133" t="s">
        <v>292</v>
      </c>
      <c r="C550" s="231">
        <v>0</v>
      </c>
      <c r="D550" s="51">
        <v>0.68391999999999997</v>
      </c>
      <c r="E550" s="57">
        <v>2.2987899999999999</v>
      </c>
      <c r="F550" s="57">
        <v>2.9515259999999999</v>
      </c>
      <c r="G550" s="57">
        <v>1.215562</v>
      </c>
      <c r="H550" s="57">
        <v>1.378431</v>
      </c>
      <c r="I550" s="57">
        <v>1.1146780000000001</v>
      </c>
      <c r="J550" s="56">
        <v>0.82216999999999996</v>
      </c>
    </row>
    <row r="551" spans="2:10">
      <c r="B551" s="131" t="s">
        <v>291</v>
      </c>
      <c r="C551" s="231">
        <v>0</v>
      </c>
      <c r="D551" s="51">
        <v>0</v>
      </c>
      <c r="E551" s="57">
        <v>0</v>
      </c>
      <c r="F551" s="57">
        <v>0</v>
      </c>
      <c r="G551" s="57">
        <v>0</v>
      </c>
      <c r="H551" s="57">
        <v>0</v>
      </c>
      <c r="I551" s="57">
        <v>0</v>
      </c>
      <c r="J551" s="56">
        <v>9.9999999999999995E-8</v>
      </c>
    </row>
    <row r="552" spans="2:10">
      <c r="B552" s="131" t="s">
        <v>290</v>
      </c>
      <c r="C552" s="231">
        <v>0</v>
      </c>
      <c r="D552" s="51">
        <v>2.6999999999999999E-5</v>
      </c>
      <c r="E552" s="57">
        <v>2.196E-3</v>
      </c>
      <c r="F552" s="57">
        <v>7.4209999999999996E-3</v>
      </c>
      <c r="G552" s="57">
        <v>3.9969999999999997E-3</v>
      </c>
      <c r="H552" s="57">
        <v>4.718E-3</v>
      </c>
      <c r="I552" s="57">
        <v>1.7910000000000001E-3</v>
      </c>
      <c r="J552" s="56">
        <v>9.9200000000000004E-4</v>
      </c>
    </row>
    <row r="553" spans="2:10">
      <c r="B553" s="131" t="s">
        <v>289</v>
      </c>
      <c r="C553" s="231">
        <v>0</v>
      </c>
      <c r="D553" s="51">
        <v>0</v>
      </c>
      <c r="E553" s="57">
        <v>0</v>
      </c>
      <c r="F553" s="57">
        <v>0</v>
      </c>
      <c r="G553" s="57">
        <v>0</v>
      </c>
      <c r="H553" s="57">
        <v>0</v>
      </c>
      <c r="I553" s="57">
        <v>0</v>
      </c>
      <c r="J553" s="56">
        <v>0</v>
      </c>
    </row>
    <row r="554" spans="2:10">
      <c r="B554" s="131" t="s">
        <v>288</v>
      </c>
      <c r="C554" s="231">
        <v>0</v>
      </c>
      <c r="D554" s="51">
        <v>0</v>
      </c>
      <c r="E554" s="57">
        <v>0</v>
      </c>
      <c r="F554" s="57">
        <v>0</v>
      </c>
      <c r="G554" s="57">
        <v>0</v>
      </c>
      <c r="H554" s="57">
        <v>0</v>
      </c>
      <c r="I554" s="57">
        <v>0</v>
      </c>
      <c r="J554" s="56">
        <v>0</v>
      </c>
    </row>
    <row r="555" spans="2:10">
      <c r="B555" s="131" t="s">
        <v>295</v>
      </c>
      <c r="C555" s="231">
        <v>0</v>
      </c>
      <c r="D555" s="51">
        <v>0</v>
      </c>
      <c r="E555" s="57">
        <v>0</v>
      </c>
      <c r="F555" s="57">
        <v>0</v>
      </c>
      <c r="G555" s="57">
        <v>0</v>
      </c>
      <c r="H555" s="57">
        <v>0</v>
      </c>
      <c r="I555" s="57">
        <v>0</v>
      </c>
      <c r="J555" s="56">
        <v>0</v>
      </c>
    </row>
    <row r="556" spans="2:10">
      <c r="B556" s="131" t="s">
        <v>294</v>
      </c>
      <c r="C556" s="231">
        <v>0</v>
      </c>
      <c r="D556" s="51">
        <v>0</v>
      </c>
      <c r="E556" s="57">
        <v>0</v>
      </c>
      <c r="F556" s="57">
        <v>0</v>
      </c>
      <c r="G556" s="57">
        <v>0</v>
      </c>
      <c r="H556" s="57">
        <v>0</v>
      </c>
      <c r="I556" s="57">
        <v>0</v>
      </c>
      <c r="J556" s="56">
        <v>0</v>
      </c>
    </row>
    <row r="557" spans="2:10">
      <c r="B557" s="131" t="s">
        <v>293</v>
      </c>
      <c r="C557" s="231">
        <v>0</v>
      </c>
      <c r="D557" s="51">
        <v>0</v>
      </c>
      <c r="E557" s="57">
        <v>0</v>
      </c>
      <c r="F557" s="57">
        <v>0</v>
      </c>
      <c r="G557" s="57">
        <v>0</v>
      </c>
      <c r="H557" s="57">
        <v>0</v>
      </c>
      <c r="I557" s="57">
        <v>0</v>
      </c>
      <c r="J557" s="56">
        <v>0</v>
      </c>
    </row>
    <row r="558" spans="2:10">
      <c r="B558" s="65" t="s">
        <v>292</v>
      </c>
      <c r="C558" s="231">
        <v>0</v>
      </c>
      <c r="D558" s="51">
        <v>0</v>
      </c>
      <c r="E558" s="57">
        <v>0</v>
      </c>
      <c r="F558" s="57">
        <v>0</v>
      </c>
      <c r="G558" s="57">
        <v>0</v>
      </c>
      <c r="H558" s="57">
        <v>0</v>
      </c>
      <c r="I558" s="57">
        <v>0</v>
      </c>
      <c r="J558" s="56">
        <v>0</v>
      </c>
    </row>
    <row r="559" spans="2:10">
      <c r="B559" s="57" t="s">
        <v>291</v>
      </c>
      <c r="C559" s="231">
        <v>0</v>
      </c>
      <c r="D559" s="51">
        <v>0</v>
      </c>
      <c r="E559" s="57">
        <v>0</v>
      </c>
      <c r="F559" s="57">
        <v>0</v>
      </c>
      <c r="G559" s="57">
        <v>0</v>
      </c>
      <c r="H559" s="57">
        <v>0</v>
      </c>
      <c r="I559" s="57">
        <v>0</v>
      </c>
      <c r="J559" s="56">
        <v>0</v>
      </c>
    </row>
    <row r="560" spans="2:10">
      <c r="B560" s="58" t="s">
        <v>290</v>
      </c>
      <c r="C560" s="231">
        <v>0</v>
      </c>
      <c r="D560" s="51">
        <v>0</v>
      </c>
      <c r="E560" s="57">
        <v>0</v>
      </c>
      <c r="F560" s="57">
        <v>0</v>
      </c>
      <c r="G560" s="57">
        <v>0</v>
      </c>
      <c r="H560" s="57">
        <v>0</v>
      </c>
      <c r="I560" s="57">
        <v>0</v>
      </c>
      <c r="J560" s="56">
        <v>0</v>
      </c>
    </row>
    <row r="561" spans="2:10">
      <c r="B561" s="71" t="s">
        <v>289</v>
      </c>
      <c r="C561" s="231">
        <v>0</v>
      </c>
      <c r="D561" s="51">
        <v>0</v>
      </c>
      <c r="E561" s="57">
        <v>0</v>
      </c>
      <c r="F561" s="57">
        <v>0</v>
      </c>
      <c r="G561" s="57">
        <v>0</v>
      </c>
      <c r="H561" s="57">
        <v>0</v>
      </c>
      <c r="I561" s="57">
        <v>0</v>
      </c>
      <c r="J561" s="56">
        <v>0</v>
      </c>
    </row>
    <row r="562" spans="2:10">
      <c r="B562" s="133" t="s">
        <v>288</v>
      </c>
      <c r="C562" s="231">
        <v>0</v>
      </c>
      <c r="D562" s="51">
        <v>0</v>
      </c>
      <c r="E562" s="57">
        <v>0</v>
      </c>
      <c r="F562" s="57">
        <v>0</v>
      </c>
      <c r="G562" s="57">
        <v>0</v>
      </c>
      <c r="H562" s="57">
        <v>0</v>
      </c>
      <c r="I562" s="57">
        <v>0</v>
      </c>
      <c r="J562" s="56">
        <v>0</v>
      </c>
    </row>
    <row r="563" spans="2:10">
      <c r="B563" s="131" t="s">
        <v>287</v>
      </c>
      <c r="C563" s="231">
        <v>0</v>
      </c>
      <c r="D563" s="51">
        <v>3.9977431575618002E-3</v>
      </c>
      <c r="E563" s="57">
        <v>1.2248748219289467E-2</v>
      </c>
      <c r="F563" s="57">
        <v>1.4006646218237899E-2</v>
      </c>
      <c r="G563" s="57">
        <v>9.5029896346061019E-3</v>
      </c>
      <c r="H563" s="57">
        <v>9.4025478186844837E-3</v>
      </c>
      <c r="I563" s="57">
        <v>7.5592182683287181E-3</v>
      </c>
      <c r="J563" s="56">
        <v>4.4840502806075388E-3</v>
      </c>
    </row>
    <row r="564" spans="2:10">
      <c r="B564" s="131"/>
      <c r="D564" s="51"/>
      <c r="E564" s="57"/>
      <c r="F564" s="57"/>
      <c r="G564" s="57"/>
      <c r="H564" s="57"/>
      <c r="I564" s="57"/>
      <c r="J564" s="56"/>
    </row>
    <row r="565" spans="2:10" ht="25">
      <c r="B565" s="131" t="s">
        <v>2041</v>
      </c>
      <c r="C565" s="231">
        <v>0</v>
      </c>
      <c r="D565" s="51">
        <v>0</v>
      </c>
      <c r="E565" s="57">
        <v>0</v>
      </c>
      <c r="F565" s="57">
        <v>0</v>
      </c>
      <c r="G565" s="57">
        <v>0</v>
      </c>
      <c r="H565" s="57">
        <v>0</v>
      </c>
      <c r="I565" s="57">
        <v>7.4342000000000005E-2</v>
      </c>
      <c r="J565" s="56">
        <v>0.94765999999999995</v>
      </c>
    </row>
    <row r="566" spans="2:10">
      <c r="B566" s="131" t="s">
        <v>297</v>
      </c>
      <c r="C566" s="231">
        <v>0</v>
      </c>
      <c r="D566" s="51">
        <v>0</v>
      </c>
      <c r="E566" s="57">
        <v>0</v>
      </c>
      <c r="F566" s="57">
        <v>0</v>
      </c>
      <c r="G566" s="57">
        <v>0</v>
      </c>
      <c r="H566" s="57">
        <v>0</v>
      </c>
      <c r="I566" s="57">
        <v>7.4342000000000005E-2</v>
      </c>
      <c r="J566" s="56">
        <v>0.94765999999999995</v>
      </c>
    </row>
    <row r="567" spans="2:10">
      <c r="B567" s="131" t="s">
        <v>296</v>
      </c>
      <c r="C567" s="231">
        <v>0</v>
      </c>
      <c r="D567" s="51">
        <v>0</v>
      </c>
      <c r="E567" s="57">
        <v>0</v>
      </c>
      <c r="F567" s="57">
        <v>0</v>
      </c>
      <c r="G567" s="57">
        <v>0</v>
      </c>
      <c r="H567" s="57">
        <v>0</v>
      </c>
      <c r="I567" s="57">
        <v>7.4342000000000005E-2</v>
      </c>
      <c r="J567" s="56">
        <v>0.94765999999999995</v>
      </c>
    </row>
    <row r="568" spans="2:10">
      <c r="B568" s="131" t="s">
        <v>294</v>
      </c>
      <c r="C568" s="231">
        <v>0</v>
      </c>
      <c r="D568" s="51">
        <v>0</v>
      </c>
      <c r="E568" s="57">
        <v>0</v>
      </c>
      <c r="F568" s="57">
        <v>0</v>
      </c>
      <c r="G568" s="57">
        <v>0</v>
      </c>
      <c r="H568" s="57">
        <v>0</v>
      </c>
      <c r="I568" s="57">
        <v>7.4342000000000005E-2</v>
      </c>
      <c r="J568" s="56">
        <v>0.94765999999999995</v>
      </c>
    </row>
    <row r="569" spans="2:10">
      <c r="B569" s="131" t="s">
        <v>293</v>
      </c>
      <c r="C569" s="231">
        <v>0</v>
      </c>
      <c r="D569" s="51">
        <v>0</v>
      </c>
      <c r="E569" s="57">
        <v>0</v>
      </c>
      <c r="F569" s="57">
        <v>0</v>
      </c>
      <c r="G569" s="57">
        <v>0</v>
      </c>
      <c r="H569" s="57">
        <v>0</v>
      </c>
      <c r="I569" s="57">
        <v>7.2551000000000004E-2</v>
      </c>
      <c r="J569" s="56">
        <v>0</v>
      </c>
    </row>
    <row r="570" spans="2:10">
      <c r="B570" s="65" t="s">
        <v>292</v>
      </c>
      <c r="C570" s="231">
        <v>0</v>
      </c>
      <c r="D570" s="51">
        <v>0</v>
      </c>
      <c r="E570" s="57">
        <v>0</v>
      </c>
      <c r="F570" s="57">
        <v>0</v>
      </c>
      <c r="G570" s="57">
        <v>0</v>
      </c>
      <c r="H570" s="57">
        <v>0</v>
      </c>
      <c r="I570" s="57">
        <v>0</v>
      </c>
      <c r="J570" s="56">
        <v>0</v>
      </c>
    </row>
    <row r="571" spans="2:10">
      <c r="B571" s="57" t="s">
        <v>291</v>
      </c>
      <c r="C571" s="231">
        <v>0</v>
      </c>
      <c r="D571" s="51">
        <v>0</v>
      </c>
      <c r="E571" s="57">
        <v>0</v>
      </c>
      <c r="F571" s="57">
        <v>0</v>
      </c>
      <c r="G571" s="57">
        <v>0</v>
      </c>
      <c r="H571" s="57">
        <v>0</v>
      </c>
      <c r="I571" s="57">
        <v>0</v>
      </c>
      <c r="J571" s="56">
        <v>0</v>
      </c>
    </row>
    <row r="572" spans="2:10">
      <c r="B572" s="58" t="s">
        <v>290</v>
      </c>
      <c r="C572" s="231">
        <v>0</v>
      </c>
      <c r="D572" s="51">
        <v>0</v>
      </c>
      <c r="E572" s="57">
        <v>0</v>
      </c>
      <c r="F572" s="57">
        <v>0</v>
      </c>
      <c r="G572" s="57">
        <v>0</v>
      </c>
      <c r="H572" s="57">
        <v>0</v>
      </c>
      <c r="I572" s="57">
        <v>0</v>
      </c>
      <c r="J572" s="56">
        <v>0</v>
      </c>
    </row>
    <row r="573" spans="2:10">
      <c r="B573" s="71" t="s">
        <v>289</v>
      </c>
      <c r="C573" s="231">
        <v>0</v>
      </c>
      <c r="D573" s="51">
        <v>0</v>
      </c>
      <c r="E573" s="57">
        <v>0</v>
      </c>
      <c r="F573" s="57">
        <v>0</v>
      </c>
      <c r="G573" s="57">
        <v>0</v>
      </c>
      <c r="H573" s="57">
        <v>0</v>
      </c>
      <c r="I573" s="57">
        <v>1.7910000000000001E-3</v>
      </c>
      <c r="J573" s="56">
        <v>0</v>
      </c>
    </row>
    <row r="574" spans="2:10">
      <c r="B574" s="133" t="s">
        <v>288</v>
      </c>
      <c r="C574" s="231">
        <v>0</v>
      </c>
      <c r="D574" s="51">
        <v>0</v>
      </c>
      <c r="E574" s="57">
        <v>0</v>
      </c>
      <c r="F574" s="57">
        <v>0</v>
      </c>
      <c r="G574" s="57">
        <v>0</v>
      </c>
      <c r="H574" s="57">
        <v>0</v>
      </c>
      <c r="I574" s="57">
        <v>0</v>
      </c>
      <c r="J574" s="56">
        <v>0</v>
      </c>
    </row>
    <row r="575" spans="2:10">
      <c r="B575" s="131" t="s">
        <v>295</v>
      </c>
      <c r="C575" s="231">
        <v>0</v>
      </c>
      <c r="D575" s="51">
        <v>0</v>
      </c>
      <c r="E575" s="57">
        <v>0</v>
      </c>
      <c r="F575" s="57">
        <v>0</v>
      </c>
      <c r="G575" s="57">
        <v>0</v>
      </c>
      <c r="H575" s="57">
        <v>0</v>
      </c>
      <c r="I575" s="57">
        <v>0</v>
      </c>
      <c r="J575" s="56">
        <v>0</v>
      </c>
    </row>
    <row r="576" spans="2:10">
      <c r="B576" s="131" t="s">
        <v>294</v>
      </c>
      <c r="C576" s="231">
        <v>0</v>
      </c>
      <c r="D576" s="51">
        <v>0</v>
      </c>
      <c r="E576" s="57">
        <v>0</v>
      </c>
      <c r="F576" s="57">
        <v>0</v>
      </c>
      <c r="G576" s="57">
        <v>0</v>
      </c>
      <c r="H576" s="57">
        <v>0</v>
      </c>
      <c r="I576" s="57">
        <v>0</v>
      </c>
      <c r="J576" s="56">
        <v>0</v>
      </c>
    </row>
    <row r="577" spans="2:10">
      <c r="B577" s="131" t="s">
        <v>293</v>
      </c>
      <c r="C577" s="231">
        <v>0</v>
      </c>
      <c r="D577" s="51">
        <v>0</v>
      </c>
      <c r="E577" s="57">
        <v>0</v>
      </c>
      <c r="F577" s="57">
        <v>0</v>
      </c>
      <c r="G577" s="57">
        <v>0</v>
      </c>
      <c r="H577" s="57">
        <v>0</v>
      </c>
      <c r="I577" s="57">
        <v>0</v>
      </c>
      <c r="J577" s="56">
        <v>0</v>
      </c>
    </row>
    <row r="578" spans="2:10">
      <c r="B578" s="131" t="s">
        <v>292</v>
      </c>
      <c r="C578" s="231">
        <v>0</v>
      </c>
      <c r="D578" s="51">
        <v>0</v>
      </c>
      <c r="E578" s="57">
        <v>0</v>
      </c>
      <c r="F578" s="57">
        <v>0</v>
      </c>
      <c r="G578" s="57">
        <v>0</v>
      </c>
      <c r="H578" s="57">
        <v>0</v>
      </c>
      <c r="I578" s="57">
        <v>0</v>
      </c>
      <c r="J578" s="56">
        <v>0</v>
      </c>
    </row>
    <row r="579" spans="2:10">
      <c r="B579" s="131" t="s">
        <v>291</v>
      </c>
      <c r="C579" s="231">
        <v>0</v>
      </c>
      <c r="D579" s="51">
        <v>0</v>
      </c>
      <c r="E579" s="57">
        <v>0</v>
      </c>
      <c r="F579" s="57">
        <v>0</v>
      </c>
      <c r="G579" s="57">
        <v>0</v>
      </c>
      <c r="H579" s="57">
        <v>0</v>
      </c>
      <c r="I579" s="57">
        <v>0</v>
      </c>
      <c r="J579" s="56">
        <v>0</v>
      </c>
    </row>
    <row r="580" spans="2:10">
      <c r="B580" s="131" t="s">
        <v>290</v>
      </c>
      <c r="C580" s="231">
        <v>0</v>
      </c>
      <c r="D580" s="51">
        <v>0</v>
      </c>
      <c r="E580" s="57">
        <v>0</v>
      </c>
      <c r="F580" s="57">
        <v>0</v>
      </c>
      <c r="G580" s="57">
        <v>0</v>
      </c>
      <c r="H580" s="57">
        <v>0</v>
      </c>
      <c r="I580" s="57">
        <v>0</v>
      </c>
      <c r="J580" s="56">
        <v>0</v>
      </c>
    </row>
    <row r="581" spans="2:10">
      <c r="B581" s="131" t="s">
        <v>289</v>
      </c>
      <c r="C581" s="231">
        <v>0</v>
      </c>
      <c r="D581" s="51">
        <v>0</v>
      </c>
      <c r="E581" s="57">
        <v>0</v>
      </c>
      <c r="F581" s="57">
        <v>0</v>
      </c>
      <c r="G581" s="57">
        <v>0</v>
      </c>
      <c r="H581" s="57">
        <v>0</v>
      </c>
      <c r="I581" s="57">
        <v>0</v>
      </c>
      <c r="J581" s="56">
        <v>0</v>
      </c>
    </row>
    <row r="582" spans="2:10">
      <c r="B582" s="65" t="s">
        <v>288</v>
      </c>
      <c r="C582" s="231">
        <v>0</v>
      </c>
      <c r="D582" s="51">
        <v>0</v>
      </c>
      <c r="E582" s="57">
        <v>0</v>
      </c>
      <c r="F582" s="57">
        <v>0</v>
      </c>
      <c r="G582" s="57">
        <v>0</v>
      </c>
      <c r="H582" s="57">
        <v>0</v>
      </c>
      <c r="I582" s="57">
        <v>0</v>
      </c>
      <c r="J582" s="56">
        <v>0</v>
      </c>
    </row>
    <row r="583" spans="2:10">
      <c r="B583" s="57" t="s">
        <v>287</v>
      </c>
      <c r="C583" s="231">
        <v>0</v>
      </c>
      <c r="D583" s="51">
        <v>0</v>
      </c>
      <c r="E583" s="57">
        <v>0</v>
      </c>
      <c r="F583" s="57">
        <v>0</v>
      </c>
      <c r="G583" s="57">
        <v>0</v>
      </c>
      <c r="H583" s="57">
        <v>0</v>
      </c>
      <c r="I583" s="57">
        <v>5.03343491403786E-4</v>
      </c>
      <c r="J583" s="56">
        <v>5.1622336462290239E-3</v>
      </c>
    </row>
    <row r="584" spans="2:10" ht="15" thickBot="1">
      <c r="B584" s="130"/>
      <c r="C584" s="49"/>
      <c r="D584" s="57"/>
      <c r="E584" s="57"/>
      <c r="F584" s="57"/>
      <c r="G584" s="57"/>
      <c r="H584" s="57"/>
      <c r="I584" s="56"/>
    </row>
    <row r="585" spans="2:10" ht="15" thickTop="1">
      <c r="B585" s="1582" t="s">
        <v>2030</v>
      </c>
      <c r="C585" s="1583" t="s">
        <v>2031</v>
      </c>
      <c r="D585" s="578"/>
      <c r="E585" s="578"/>
      <c r="F585" s="578"/>
      <c r="G585" s="578"/>
      <c r="H585" s="578"/>
      <c r="I585" s="578"/>
      <c r="J585" s="578"/>
    </row>
    <row r="586" spans="2:10">
      <c r="B586" s="1582" t="s">
        <v>2032</v>
      </c>
      <c r="C586" s="1584" t="s">
        <v>2031</v>
      </c>
      <c r="D586" s="47"/>
      <c r="E586" s="47"/>
      <c r="F586" s="47"/>
      <c r="G586" s="47"/>
      <c r="H586" s="47"/>
      <c r="I586" s="47"/>
      <c r="J586" s="1549"/>
    </row>
    <row r="587" spans="2:10">
      <c r="B587" s="64"/>
      <c r="C587" s="339"/>
      <c r="D587" s="302"/>
      <c r="E587" s="302"/>
      <c r="F587" s="302"/>
      <c r="G587" s="302"/>
      <c r="H587" s="302"/>
      <c r="I587" s="302"/>
      <c r="J587" s="439"/>
    </row>
    <row r="588" spans="2:10">
      <c r="B588" s="1328" t="s">
        <v>313</v>
      </c>
      <c r="C588" s="1587"/>
      <c r="D588" s="1328"/>
      <c r="E588" s="1328"/>
      <c r="F588" s="1328"/>
      <c r="G588" s="1328"/>
      <c r="H588" s="1328"/>
      <c r="I588" s="1328"/>
      <c r="J588" s="1535"/>
    </row>
    <row r="589" spans="2:10">
      <c r="B589" s="12" t="s">
        <v>312</v>
      </c>
      <c r="C589" s="339"/>
      <c r="D589" s="302"/>
      <c r="E589" s="302"/>
      <c r="F589" s="302"/>
      <c r="G589" s="302"/>
      <c r="H589" s="302"/>
      <c r="I589" s="302"/>
      <c r="J589" s="439"/>
    </row>
    <row r="590" spans="2:10">
      <c r="B590" s="62" t="s">
        <v>311</v>
      </c>
      <c r="C590" s="339"/>
      <c r="D590" s="302"/>
      <c r="E590" s="302"/>
      <c r="F590" s="302"/>
      <c r="G590" s="302"/>
      <c r="H590" s="302"/>
      <c r="I590" s="302"/>
      <c r="J590" s="439"/>
    </row>
    <row r="591" spans="2:10">
      <c r="B591" s="64"/>
      <c r="C591" s="339"/>
      <c r="D591" s="302"/>
      <c r="E591" s="302"/>
      <c r="F591" s="302"/>
      <c r="G591" s="302"/>
      <c r="H591" s="302"/>
      <c r="I591" s="302"/>
      <c r="J591" s="439"/>
    </row>
    <row r="592" spans="2:10">
      <c r="B592" s="61"/>
      <c r="C592" s="1536">
        <v>2014</v>
      </c>
      <c r="D592" s="303">
        <v>2015</v>
      </c>
      <c r="E592" s="303">
        <v>2016</v>
      </c>
      <c r="F592" s="303">
        <v>2017</v>
      </c>
      <c r="G592" s="303">
        <v>2018</v>
      </c>
      <c r="H592" s="303">
        <v>2019</v>
      </c>
      <c r="I592" s="303">
        <v>2020</v>
      </c>
      <c r="J592" s="303">
        <v>2021</v>
      </c>
    </row>
    <row r="593" spans="2:10">
      <c r="B593" s="114" t="s">
        <v>310</v>
      </c>
      <c r="C593" s="363"/>
      <c r="D593" s="107"/>
      <c r="E593" s="107"/>
      <c r="F593" s="107"/>
      <c r="G593" s="107"/>
      <c r="H593" s="107"/>
      <c r="I593" s="105"/>
      <c r="J593" s="105"/>
    </row>
    <row r="594" spans="2:10">
      <c r="B594" s="114"/>
      <c r="C594" s="363"/>
      <c r="D594" s="107"/>
      <c r="E594" s="107"/>
      <c r="F594" s="107"/>
      <c r="G594" s="107"/>
      <c r="H594" s="107"/>
      <c r="I594" s="105"/>
      <c r="J594" s="105"/>
    </row>
    <row r="595" spans="2:10">
      <c r="B595" s="59" t="s">
        <v>94</v>
      </c>
      <c r="C595" s="113">
        <v>0</v>
      </c>
      <c r="D595" s="134">
        <v>274358.21282940288</v>
      </c>
      <c r="E595" s="134">
        <v>255003.34433338215</v>
      </c>
      <c r="F595" s="134">
        <v>321040.87650419015</v>
      </c>
      <c r="G595" s="134">
        <v>328798.22841219342</v>
      </c>
      <c r="H595" s="134">
        <v>360251.10281394835</v>
      </c>
      <c r="I595" s="1586">
        <v>439098.64051651955</v>
      </c>
      <c r="J595" s="1586">
        <v>473407.55927983584</v>
      </c>
    </row>
    <row r="596" spans="2:10">
      <c r="B596" s="71" t="s">
        <v>297</v>
      </c>
      <c r="C596" s="113">
        <v>0</v>
      </c>
      <c r="D596" s="102">
        <v>274358.21282940288</v>
      </c>
      <c r="E596" s="102">
        <v>255003.34433338215</v>
      </c>
      <c r="F596" s="102">
        <v>321040.87650419015</v>
      </c>
      <c r="G596" s="102">
        <v>328798.22841219342</v>
      </c>
      <c r="H596" s="102">
        <v>360251.10281394835</v>
      </c>
      <c r="I596" s="102">
        <v>439098.64051651955</v>
      </c>
      <c r="J596" s="102">
        <v>473407.55927983584</v>
      </c>
    </row>
    <row r="597" spans="2:10">
      <c r="B597" s="133" t="s">
        <v>296</v>
      </c>
      <c r="C597" s="113">
        <v>0</v>
      </c>
      <c r="D597" s="102">
        <v>264650.88731835777</v>
      </c>
      <c r="E597" s="102">
        <v>244739.20069476304</v>
      </c>
      <c r="F597" s="102">
        <v>307170.12948845781</v>
      </c>
      <c r="G597" s="102">
        <v>310344.01017497573</v>
      </c>
      <c r="H597" s="102">
        <v>342927.95097084745</v>
      </c>
      <c r="I597" s="102">
        <v>419195.64988435077</v>
      </c>
      <c r="J597" s="102">
        <v>452793.18342350575</v>
      </c>
    </row>
    <row r="598" spans="2:10">
      <c r="B598" s="132" t="s">
        <v>295</v>
      </c>
      <c r="C598" s="113">
        <v>0</v>
      </c>
      <c r="D598" s="102">
        <v>6840.3133076556969</v>
      </c>
      <c r="E598" s="102">
        <v>6251.9240024692899</v>
      </c>
      <c r="F598" s="102">
        <v>8663.2729144430687</v>
      </c>
      <c r="G598" s="102">
        <v>12506.814408570721</v>
      </c>
      <c r="H598" s="102">
        <v>11702.548353613412</v>
      </c>
      <c r="I598" s="102">
        <v>11994.973926054041</v>
      </c>
      <c r="J598" s="102">
        <v>13564.906930685138</v>
      </c>
    </row>
    <row r="599" spans="2:10">
      <c r="B599" s="132" t="s">
        <v>303</v>
      </c>
      <c r="C599" s="113">
        <v>0</v>
      </c>
      <c r="D599" s="102">
        <v>2867.0122033894263</v>
      </c>
      <c r="E599" s="102">
        <v>4012.2196361497809</v>
      </c>
      <c r="F599" s="102">
        <v>5207.4741012892728</v>
      </c>
      <c r="G599" s="102">
        <v>5947.4038286469286</v>
      </c>
      <c r="H599" s="102">
        <v>5620.6034894874374</v>
      </c>
      <c r="I599" s="102">
        <v>7908.0167061148059</v>
      </c>
      <c r="J599" s="102">
        <v>7049.4689256449628</v>
      </c>
    </row>
    <row r="600" spans="2:10">
      <c r="B600" s="65" t="s">
        <v>301</v>
      </c>
      <c r="C600" s="113">
        <v>0</v>
      </c>
      <c r="D600" s="260">
        <v>1</v>
      </c>
      <c r="E600" s="260">
        <v>1</v>
      </c>
      <c r="F600" s="260">
        <v>1</v>
      </c>
      <c r="G600" s="260">
        <v>1</v>
      </c>
      <c r="H600" s="260">
        <v>1</v>
      </c>
      <c r="I600" s="200">
        <v>1</v>
      </c>
      <c r="J600" s="200">
        <v>1</v>
      </c>
    </row>
    <row r="601" spans="2:10">
      <c r="B601" s="302"/>
      <c r="C601" s="129"/>
      <c r="D601" s="129"/>
      <c r="E601" s="129"/>
      <c r="F601" s="129"/>
      <c r="G601" s="129"/>
      <c r="H601" s="129"/>
      <c r="I601" s="102"/>
      <c r="J601" s="102"/>
    </row>
    <row r="602" spans="2:10">
      <c r="B602" s="114" t="s">
        <v>302</v>
      </c>
      <c r="C602" s="129"/>
      <c r="D602" s="129"/>
      <c r="E602" s="129"/>
      <c r="F602" s="129"/>
      <c r="G602" s="129"/>
      <c r="H602" s="129"/>
      <c r="I602" s="102"/>
      <c r="J602" s="102"/>
    </row>
    <row r="603" spans="2:10">
      <c r="B603" s="114"/>
      <c r="C603" s="129"/>
      <c r="D603" s="129"/>
      <c r="E603" s="129"/>
      <c r="F603" s="129"/>
      <c r="G603" s="129"/>
      <c r="H603" s="129"/>
      <c r="I603" s="102"/>
      <c r="J603" s="102"/>
    </row>
    <row r="604" spans="2:10">
      <c r="B604" s="114" t="s">
        <v>1839</v>
      </c>
      <c r="D604" s="129">
        <v>17648.418473312864</v>
      </c>
      <c r="E604" s="129">
        <v>24777.195129098345</v>
      </c>
      <c r="F604" s="129">
        <v>33263.126052267951</v>
      </c>
      <c r="G604" s="129">
        <v>41242.58647488922</v>
      </c>
      <c r="H604" s="129">
        <v>45423.554672131744</v>
      </c>
      <c r="I604" s="129">
        <v>49549.149029884022</v>
      </c>
      <c r="J604" s="102">
        <v>63675.452867063846</v>
      </c>
    </row>
    <row r="605" spans="2:10">
      <c r="B605" s="114" t="s">
        <v>297</v>
      </c>
      <c r="D605" s="129">
        <v>17648.418473312864</v>
      </c>
      <c r="E605" s="129">
        <v>24777.195129098345</v>
      </c>
      <c r="F605" s="129">
        <v>33263.126052267951</v>
      </c>
      <c r="G605" s="129">
        <v>41242.58647488922</v>
      </c>
      <c r="H605" s="129">
        <v>45423.554672131744</v>
      </c>
      <c r="I605" s="129">
        <v>49549.149029884022</v>
      </c>
      <c r="J605" s="102">
        <v>63675.452867063846</v>
      </c>
    </row>
    <row r="606" spans="2:10">
      <c r="B606" s="114" t="s">
        <v>296</v>
      </c>
      <c r="D606" s="129">
        <v>17639.717182341217</v>
      </c>
      <c r="E606" s="129">
        <v>24769.258017062701</v>
      </c>
      <c r="F606" s="129">
        <v>33259.169831935294</v>
      </c>
      <c r="G606" s="129">
        <v>41239.42593250997</v>
      </c>
      <c r="H606" s="129">
        <v>45416.874191937393</v>
      </c>
      <c r="I606" s="129">
        <v>49544.115109278348</v>
      </c>
      <c r="J606" s="102">
        <v>63672.017016918711</v>
      </c>
    </row>
    <row r="607" spans="2:10">
      <c r="B607" s="114" t="s">
        <v>294</v>
      </c>
      <c r="D607" s="129">
        <v>17639.717182341217</v>
      </c>
      <c r="E607" s="129">
        <v>24769.258017062701</v>
      </c>
      <c r="F607" s="129">
        <v>33259.169831935294</v>
      </c>
      <c r="G607" s="129">
        <v>41239.42593250997</v>
      </c>
      <c r="H607" s="129">
        <v>45416.874191937393</v>
      </c>
      <c r="I607" s="129">
        <v>49544.115109278348</v>
      </c>
      <c r="J607" s="102">
        <v>63672.017016918711</v>
      </c>
    </row>
    <row r="608" spans="2:10">
      <c r="B608" s="114" t="s">
        <v>293</v>
      </c>
      <c r="D608" s="129">
        <v>0</v>
      </c>
      <c r="E608" s="129">
        <v>0</v>
      </c>
      <c r="F608" s="129">
        <v>0</v>
      </c>
      <c r="G608" s="129">
        <v>0</v>
      </c>
      <c r="H608" s="129">
        <v>0</v>
      </c>
      <c r="I608" s="129">
        <v>0</v>
      </c>
      <c r="J608" s="102">
        <v>0</v>
      </c>
    </row>
    <row r="609" spans="2:10">
      <c r="B609" s="114" t="s">
        <v>292</v>
      </c>
      <c r="D609" s="129">
        <v>0</v>
      </c>
      <c r="E609" s="129">
        <v>0</v>
      </c>
      <c r="F609" s="129">
        <v>0</v>
      </c>
      <c r="G609" s="129">
        <v>0</v>
      </c>
      <c r="H609" s="129">
        <v>0</v>
      </c>
      <c r="I609" s="129">
        <v>0</v>
      </c>
      <c r="J609" s="102">
        <v>0</v>
      </c>
    </row>
    <row r="610" spans="2:10">
      <c r="B610" s="114" t="s">
        <v>291</v>
      </c>
      <c r="D610" s="129">
        <v>0</v>
      </c>
      <c r="E610" s="129">
        <v>0</v>
      </c>
      <c r="F610" s="129">
        <v>0</v>
      </c>
      <c r="G610" s="129">
        <v>0</v>
      </c>
      <c r="H610" s="129">
        <v>0</v>
      </c>
      <c r="I610" s="129">
        <v>0</v>
      </c>
      <c r="J610" s="102">
        <v>0</v>
      </c>
    </row>
    <row r="611" spans="2:10">
      <c r="B611" s="114" t="s">
        <v>290</v>
      </c>
      <c r="D611" s="129">
        <v>0</v>
      </c>
      <c r="E611" s="129">
        <v>0</v>
      </c>
      <c r="F611" s="129">
        <v>0</v>
      </c>
      <c r="G611" s="129">
        <v>0</v>
      </c>
      <c r="H611" s="129">
        <v>0</v>
      </c>
      <c r="I611" s="129">
        <v>0</v>
      </c>
      <c r="J611" s="102">
        <v>0</v>
      </c>
    </row>
    <row r="612" spans="2:10">
      <c r="B612" s="114" t="s">
        <v>289</v>
      </c>
      <c r="D612" s="129">
        <v>0</v>
      </c>
      <c r="E612" s="129">
        <v>0</v>
      </c>
      <c r="F612" s="129">
        <v>0</v>
      </c>
      <c r="G612" s="129">
        <v>0</v>
      </c>
      <c r="H612" s="129">
        <v>0</v>
      </c>
      <c r="I612" s="129">
        <v>0</v>
      </c>
      <c r="J612" s="102">
        <v>0</v>
      </c>
    </row>
    <row r="613" spans="2:10">
      <c r="B613" s="114" t="s">
        <v>288</v>
      </c>
      <c r="D613" s="129">
        <v>0</v>
      </c>
      <c r="E613" s="129">
        <v>0</v>
      </c>
      <c r="F613" s="129">
        <v>0</v>
      </c>
      <c r="G613" s="129">
        <v>0</v>
      </c>
      <c r="H613" s="129">
        <v>0</v>
      </c>
      <c r="I613" s="129">
        <v>0</v>
      </c>
      <c r="J613" s="102">
        <v>0</v>
      </c>
    </row>
    <row r="614" spans="2:10">
      <c r="B614" s="114" t="s">
        <v>295</v>
      </c>
      <c r="D614" s="129">
        <v>3.8778488993793672</v>
      </c>
      <c r="E614" s="129">
        <v>3.3900974333962881</v>
      </c>
      <c r="F614" s="129">
        <v>2.5148552157760347</v>
      </c>
      <c r="G614" s="129">
        <v>2.8997047483932921</v>
      </c>
      <c r="H614" s="129">
        <v>6.1778608466199332</v>
      </c>
      <c r="I614" s="129">
        <v>4.5377463288215401</v>
      </c>
      <c r="J614" s="102">
        <v>3.4358501451308912</v>
      </c>
    </row>
    <row r="615" spans="2:10">
      <c r="B615" s="114" t="s">
        <v>294</v>
      </c>
      <c r="D615" s="129">
        <v>3.8778488993793672</v>
      </c>
      <c r="E615" s="129">
        <v>3.3900974333962881</v>
      </c>
      <c r="F615" s="129">
        <v>2.5148552157760347</v>
      </c>
      <c r="G615" s="129">
        <v>2.8997047483932921</v>
      </c>
      <c r="H615" s="129">
        <v>6.1778608466199332</v>
      </c>
      <c r="I615" s="129">
        <v>4.5377463288215401</v>
      </c>
      <c r="J615" s="102">
        <v>3.4358501451308912</v>
      </c>
    </row>
    <row r="616" spans="2:10">
      <c r="B616" s="114" t="s">
        <v>293</v>
      </c>
      <c r="D616" s="129">
        <v>0</v>
      </c>
      <c r="E616" s="129">
        <v>0</v>
      </c>
      <c r="F616" s="129">
        <v>0</v>
      </c>
      <c r="G616" s="129">
        <v>0</v>
      </c>
      <c r="H616" s="129">
        <v>0</v>
      </c>
      <c r="I616" s="129">
        <v>0</v>
      </c>
      <c r="J616" s="102">
        <v>0</v>
      </c>
    </row>
    <row r="617" spans="2:10">
      <c r="B617" s="114" t="s">
        <v>292</v>
      </c>
      <c r="D617" s="129">
        <v>0</v>
      </c>
      <c r="E617" s="129">
        <v>0</v>
      </c>
      <c r="F617" s="129">
        <v>0</v>
      </c>
      <c r="G617" s="129">
        <v>0</v>
      </c>
      <c r="H617" s="129">
        <v>0</v>
      </c>
      <c r="I617" s="129">
        <v>0</v>
      </c>
      <c r="J617" s="102">
        <v>0</v>
      </c>
    </row>
    <row r="618" spans="2:10">
      <c r="B618" s="114" t="s">
        <v>291</v>
      </c>
      <c r="D618" s="129">
        <v>0</v>
      </c>
      <c r="E618" s="129">
        <v>0</v>
      </c>
      <c r="F618" s="129">
        <v>0</v>
      </c>
      <c r="G618" s="129">
        <v>0</v>
      </c>
      <c r="H618" s="129">
        <v>0</v>
      </c>
      <c r="I618" s="129">
        <v>0</v>
      </c>
      <c r="J618" s="102">
        <v>0</v>
      </c>
    </row>
    <row r="619" spans="2:10">
      <c r="B619" s="114" t="s">
        <v>290</v>
      </c>
      <c r="D619" s="129">
        <v>0</v>
      </c>
      <c r="E619" s="129">
        <v>0</v>
      </c>
      <c r="F619" s="129">
        <v>0</v>
      </c>
      <c r="G619" s="129">
        <v>0</v>
      </c>
      <c r="H619" s="129">
        <v>0</v>
      </c>
      <c r="I619" s="129">
        <v>0</v>
      </c>
      <c r="J619" s="102">
        <v>0</v>
      </c>
    </row>
    <row r="620" spans="2:10">
      <c r="B620" s="114" t="s">
        <v>289</v>
      </c>
      <c r="D620" s="129">
        <v>0</v>
      </c>
      <c r="E620" s="129">
        <v>0</v>
      </c>
      <c r="F620" s="129">
        <v>0</v>
      </c>
      <c r="G620" s="129">
        <v>0</v>
      </c>
      <c r="H620" s="129">
        <v>0</v>
      </c>
      <c r="I620" s="129">
        <v>0</v>
      </c>
      <c r="J620" s="102">
        <v>0</v>
      </c>
    </row>
    <row r="621" spans="2:10">
      <c r="B621" s="114" t="s">
        <v>288</v>
      </c>
      <c r="D621" s="129">
        <v>0</v>
      </c>
      <c r="E621" s="129">
        <v>0</v>
      </c>
      <c r="F621" s="129">
        <v>0</v>
      </c>
      <c r="G621" s="129">
        <v>0</v>
      </c>
      <c r="H621" s="129">
        <v>0</v>
      </c>
      <c r="I621" s="129">
        <v>0</v>
      </c>
      <c r="J621" s="102">
        <v>0</v>
      </c>
    </row>
    <row r="622" spans="2:10">
      <c r="B622" s="114" t="s">
        <v>287</v>
      </c>
      <c r="D622" s="129">
        <v>0.32629634576088612</v>
      </c>
      <c r="E622" s="129">
        <v>0.40447568399817541</v>
      </c>
      <c r="F622" s="129">
        <v>0.45805491733503478</v>
      </c>
      <c r="G622" s="129">
        <v>0.57737641997884737</v>
      </c>
      <c r="H622" s="129">
        <v>0.61873178639149884</v>
      </c>
      <c r="I622" s="129">
        <v>0.67447458564687235</v>
      </c>
      <c r="J622" s="102">
        <v>0.71777935230756262</v>
      </c>
    </row>
    <row r="623" spans="2:10">
      <c r="B623" s="114"/>
      <c r="D623" s="129"/>
      <c r="E623" s="129"/>
      <c r="F623" s="129"/>
      <c r="G623" s="129"/>
      <c r="H623" s="129"/>
      <c r="I623" s="129"/>
      <c r="J623" s="102"/>
    </row>
    <row r="624" spans="2:10">
      <c r="B624" s="114" t="s">
        <v>2023</v>
      </c>
      <c r="D624" s="129">
        <v>742.2473065887043</v>
      </c>
      <c r="E624" s="129">
        <v>954.36294125199731</v>
      </c>
      <c r="F624" s="129">
        <v>1099.1516152196302</v>
      </c>
      <c r="G624" s="129">
        <v>1179.632505213468</v>
      </c>
      <c r="H624" s="129">
        <v>1078.2607301920891</v>
      </c>
      <c r="I624" s="129">
        <v>1393.6733621590013</v>
      </c>
      <c r="J624" s="102">
        <v>2321.9472018824922</v>
      </c>
    </row>
    <row r="625" spans="2:10">
      <c r="B625" s="114" t="s">
        <v>297</v>
      </c>
      <c r="D625" s="129">
        <v>742.2473065887043</v>
      </c>
      <c r="E625" s="129">
        <v>954.36294125199731</v>
      </c>
      <c r="F625" s="129">
        <v>1099.1516152196302</v>
      </c>
      <c r="G625" s="129">
        <v>1179.632505213468</v>
      </c>
      <c r="H625" s="129">
        <v>1078.2607301920891</v>
      </c>
      <c r="I625" s="129">
        <v>1393.6733621590013</v>
      </c>
      <c r="J625" s="102">
        <v>2321.9472018824922</v>
      </c>
    </row>
    <row r="626" spans="2:10">
      <c r="B626" s="114" t="s">
        <v>296</v>
      </c>
      <c r="D626" s="129">
        <v>742.2473065887043</v>
      </c>
      <c r="E626" s="129">
        <v>954.36294125199731</v>
      </c>
      <c r="F626" s="129">
        <v>1099.1516152196302</v>
      </c>
      <c r="G626" s="129">
        <v>1179.632505213468</v>
      </c>
      <c r="H626" s="129">
        <v>1078.2607301920891</v>
      </c>
      <c r="I626" s="129">
        <v>1393.6733621590013</v>
      </c>
      <c r="J626" s="102">
        <v>2321.9472018824922</v>
      </c>
    </row>
    <row r="627" spans="2:10">
      <c r="B627" s="114" t="s">
        <v>294</v>
      </c>
      <c r="D627" s="129">
        <v>742.2473065887043</v>
      </c>
      <c r="E627" s="129">
        <v>954.36294125199731</v>
      </c>
      <c r="F627" s="129">
        <v>1099.1516152196302</v>
      </c>
      <c r="G627" s="129">
        <v>1179.632505213468</v>
      </c>
      <c r="H627" s="129">
        <v>1078.2607301920891</v>
      </c>
      <c r="I627" s="129">
        <v>1393.6733621590013</v>
      </c>
      <c r="J627" s="102">
        <v>2321.9472018824922</v>
      </c>
    </row>
    <row r="628" spans="2:10">
      <c r="B628" s="114" t="s">
        <v>293</v>
      </c>
      <c r="D628" s="129">
        <v>0</v>
      </c>
      <c r="E628" s="129">
        <v>0</v>
      </c>
      <c r="F628" s="129">
        <v>0</v>
      </c>
      <c r="G628" s="129">
        <v>0</v>
      </c>
      <c r="H628" s="129">
        <v>0</v>
      </c>
      <c r="I628" s="129">
        <v>0</v>
      </c>
      <c r="J628" s="102">
        <v>0</v>
      </c>
    </row>
    <row r="629" spans="2:10">
      <c r="B629" s="114" t="s">
        <v>292</v>
      </c>
      <c r="D629" s="129">
        <v>0</v>
      </c>
      <c r="E629" s="129">
        <v>0</v>
      </c>
      <c r="F629" s="129">
        <v>0</v>
      </c>
      <c r="G629" s="129">
        <v>0</v>
      </c>
      <c r="H629" s="129">
        <v>0</v>
      </c>
      <c r="I629" s="129">
        <v>0</v>
      </c>
      <c r="J629" s="102">
        <v>0</v>
      </c>
    </row>
    <row r="630" spans="2:10">
      <c r="B630" s="114" t="s">
        <v>291</v>
      </c>
      <c r="D630" s="129">
        <v>0</v>
      </c>
      <c r="E630" s="129">
        <v>0</v>
      </c>
      <c r="F630" s="129">
        <v>0</v>
      </c>
      <c r="G630" s="129">
        <v>0</v>
      </c>
      <c r="H630" s="129">
        <v>0</v>
      </c>
      <c r="I630" s="129">
        <v>0</v>
      </c>
      <c r="J630" s="102">
        <v>0</v>
      </c>
    </row>
    <row r="631" spans="2:10">
      <c r="B631" s="114" t="s">
        <v>290</v>
      </c>
      <c r="D631" s="129">
        <v>0</v>
      </c>
      <c r="E631" s="129">
        <v>0</v>
      </c>
      <c r="F631" s="129">
        <v>0</v>
      </c>
      <c r="G631" s="129">
        <v>0</v>
      </c>
      <c r="H631" s="129">
        <v>0</v>
      </c>
      <c r="I631" s="129">
        <v>0</v>
      </c>
      <c r="J631" s="102">
        <v>0</v>
      </c>
    </row>
    <row r="632" spans="2:10">
      <c r="B632" s="114" t="s">
        <v>289</v>
      </c>
      <c r="D632" s="129">
        <v>0</v>
      </c>
      <c r="E632" s="129">
        <v>0</v>
      </c>
      <c r="F632" s="129">
        <v>0</v>
      </c>
      <c r="G632" s="129">
        <v>0</v>
      </c>
      <c r="H632" s="129">
        <v>0</v>
      </c>
      <c r="I632" s="129">
        <v>0</v>
      </c>
      <c r="J632" s="102">
        <v>0</v>
      </c>
    </row>
    <row r="633" spans="2:10">
      <c r="B633" s="114" t="s">
        <v>288</v>
      </c>
      <c r="D633" s="129">
        <v>0</v>
      </c>
      <c r="E633" s="129">
        <v>0</v>
      </c>
      <c r="F633" s="129">
        <v>0</v>
      </c>
      <c r="G633" s="129">
        <v>0</v>
      </c>
      <c r="H633" s="129">
        <v>0</v>
      </c>
      <c r="I633" s="129">
        <v>0</v>
      </c>
      <c r="J633" s="102">
        <v>0</v>
      </c>
    </row>
    <row r="634" spans="2:10">
      <c r="B634" s="114" t="s">
        <v>295</v>
      </c>
      <c r="D634" s="129">
        <v>0</v>
      </c>
      <c r="E634" s="129">
        <v>0</v>
      </c>
      <c r="F634" s="129">
        <v>0</v>
      </c>
      <c r="G634" s="129">
        <v>0</v>
      </c>
      <c r="H634" s="129">
        <v>0</v>
      </c>
      <c r="I634" s="129">
        <v>0</v>
      </c>
      <c r="J634" s="102">
        <v>0</v>
      </c>
    </row>
    <row r="635" spans="2:10">
      <c r="B635" s="114" t="s">
        <v>294</v>
      </c>
      <c r="D635" s="129">
        <v>0</v>
      </c>
      <c r="E635" s="129">
        <v>0</v>
      </c>
      <c r="F635" s="129">
        <v>0</v>
      </c>
      <c r="G635" s="129">
        <v>0</v>
      </c>
      <c r="H635" s="129">
        <v>0</v>
      </c>
      <c r="I635" s="129">
        <v>0</v>
      </c>
      <c r="J635" s="102">
        <v>0</v>
      </c>
    </row>
    <row r="636" spans="2:10">
      <c r="B636" s="114" t="s">
        <v>293</v>
      </c>
      <c r="D636" s="129">
        <v>0</v>
      </c>
      <c r="E636" s="129">
        <v>0</v>
      </c>
      <c r="F636" s="129">
        <v>0</v>
      </c>
      <c r="G636" s="129">
        <v>0</v>
      </c>
      <c r="H636" s="129">
        <v>0</v>
      </c>
      <c r="I636" s="129">
        <v>0</v>
      </c>
      <c r="J636" s="102">
        <v>0</v>
      </c>
    </row>
    <row r="637" spans="2:10">
      <c r="B637" s="114" t="s">
        <v>292</v>
      </c>
      <c r="D637" s="129">
        <v>0</v>
      </c>
      <c r="E637" s="129">
        <v>0</v>
      </c>
      <c r="F637" s="129">
        <v>0</v>
      </c>
      <c r="G637" s="129">
        <v>0</v>
      </c>
      <c r="H637" s="129">
        <v>0</v>
      </c>
      <c r="I637" s="129">
        <v>0</v>
      </c>
      <c r="J637" s="102">
        <v>0</v>
      </c>
    </row>
    <row r="638" spans="2:10">
      <c r="B638" s="114" t="s">
        <v>291</v>
      </c>
      <c r="D638" s="129">
        <v>0</v>
      </c>
      <c r="E638" s="129">
        <v>0</v>
      </c>
      <c r="F638" s="129">
        <v>0</v>
      </c>
      <c r="G638" s="129">
        <v>0</v>
      </c>
      <c r="H638" s="129">
        <v>0</v>
      </c>
      <c r="I638" s="129">
        <v>0</v>
      </c>
      <c r="J638" s="102">
        <v>0</v>
      </c>
    </row>
    <row r="639" spans="2:10">
      <c r="B639" s="114" t="s">
        <v>290</v>
      </c>
      <c r="D639" s="129">
        <v>0</v>
      </c>
      <c r="E639" s="129">
        <v>0</v>
      </c>
      <c r="F639" s="129">
        <v>0</v>
      </c>
      <c r="G639" s="129">
        <v>0</v>
      </c>
      <c r="H639" s="129">
        <v>0</v>
      </c>
      <c r="I639" s="129">
        <v>0</v>
      </c>
      <c r="J639" s="102">
        <v>0</v>
      </c>
    </row>
    <row r="640" spans="2:10">
      <c r="B640" s="114" t="s">
        <v>289</v>
      </c>
      <c r="D640" s="129">
        <v>0</v>
      </c>
      <c r="E640" s="129">
        <v>0</v>
      </c>
      <c r="F640" s="129">
        <v>0</v>
      </c>
      <c r="G640" s="129">
        <v>0</v>
      </c>
      <c r="H640" s="129">
        <v>0</v>
      </c>
      <c r="I640" s="129">
        <v>0</v>
      </c>
      <c r="J640" s="102">
        <v>0</v>
      </c>
    </row>
    <row r="641" spans="2:10">
      <c r="B641" s="114" t="s">
        <v>288</v>
      </c>
      <c r="D641" s="129">
        <v>0</v>
      </c>
      <c r="E641" s="129">
        <v>0</v>
      </c>
      <c r="F641" s="129">
        <v>0</v>
      </c>
      <c r="G641" s="129">
        <v>0</v>
      </c>
      <c r="H641" s="129">
        <v>0</v>
      </c>
      <c r="I641" s="129">
        <v>0</v>
      </c>
      <c r="J641" s="102">
        <v>0</v>
      </c>
    </row>
    <row r="642" spans="2:10">
      <c r="B642" s="114" t="s">
        <v>287</v>
      </c>
      <c r="D642" s="129">
        <v>1.3723189086715442E-2</v>
      </c>
      <c r="E642" s="129">
        <v>1.557951178227087E-2</v>
      </c>
      <c r="F642" s="129">
        <v>1.5136033860947648E-2</v>
      </c>
      <c r="G642" s="129">
        <v>1.6514289014475797E-2</v>
      </c>
      <c r="H642" s="129">
        <v>1.4687405963779968E-2</v>
      </c>
      <c r="I642" s="129">
        <v>1.8971007209474897E-2</v>
      </c>
      <c r="J642" s="102">
        <v>2.6174069969145765E-2</v>
      </c>
    </row>
    <row r="643" spans="2:10">
      <c r="B643" s="114"/>
      <c r="D643" s="129"/>
      <c r="E643" s="129"/>
      <c r="F643" s="129"/>
      <c r="G643" s="129"/>
      <c r="H643" s="129"/>
      <c r="I643" s="129"/>
      <c r="J643" s="102"/>
    </row>
    <row r="644" spans="2:10">
      <c r="B644" s="114" t="s">
        <v>2036</v>
      </c>
      <c r="D644" s="129">
        <v>32901.040693107367</v>
      </c>
      <c r="E644" s="129">
        <v>32540.462731963671</v>
      </c>
      <c r="F644" s="129">
        <v>35324.466549000113</v>
      </c>
      <c r="G644" s="129">
        <v>27534.406277891223</v>
      </c>
      <c r="H644" s="129">
        <v>25423.176665910869</v>
      </c>
      <c r="I644" s="129">
        <v>20968.656345079991</v>
      </c>
      <c r="J644" s="102">
        <v>20963.91236146279</v>
      </c>
    </row>
    <row r="645" spans="2:10">
      <c r="B645" s="114" t="s">
        <v>297</v>
      </c>
      <c r="D645" s="129">
        <v>32901.040693107367</v>
      </c>
      <c r="E645" s="129">
        <v>32540.462731963671</v>
      </c>
      <c r="F645" s="129">
        <v>35324.466549000113</v>
      </c>
      <c r="G645" s="129">
        <v>27534.406277891223</v>
      </c>
      <c r="H645" s="129">
        <v>25423.176665910869</v>
      </c>
      <c r="I645" s="129">
        <v>20968.656345079991</v>
      </c>
      <c r="J645" s="102">
        <v>20963.91236146279</v>
      </c>
    </row>
    <row r="646" spans="2:10">
      <c r="B646" s="114" t="s">
        <v>296</v>
      </c>
      <c r="D646" s="129">
        <v>32901.040693107367</v>
      </c>
      <c r="E646" s="129">
        <v>32540.462731963671</v>
      </c>
      <c r="F646" s="129">
        <v>35324.466549000113</v>
      </c>
      <c r="G646" s="129">
        <v>27534.406277891223</v>
      </c>
      <c r="H646" s="129">
        <v>25423.176665910869</v>
      </c>
      <c r="I646" s="129">
        <v>20968.656345079991</v>
      </c>
      <c r="J646" s="102">
        <v>20963.91236146279</v>
      </c>
    </row>
    <row r="647" spans="2:10">
      <c r="B647" s="114" t="s">
        <v>294</v>
      </c>
      <c r="D647" s="129">
        <v>0</v>
      </c>
      <c r="E647" s="129">
        <v>0</v>
      </c>
      <c r="F647" s="129">
        <v>0</v>
      </c>
      <c r="G647" s="129">
        <v>0</v>
      </c>
      <c r="H647" s="129">
        <v>0</v>
      </c>
      <c r="I647" s="129">
        <v>0</v>
      </c>
      <c r="J647" s="102">
        <v>0</v>
      </c>
    </row>
    <row r="648" spans="2:10">
      <c r="B648" s="114" t="s">
        <v>293</v>
      </c>
      <c r="D648" s="129">
        <v>0</v>
      </c>
      <c r="E648" s="129">
        <v>0</v>
      </c>
      <c r="F648" s="129">
        <v>0</v>
      </c>
      <c r="G648" s="129">
        <v>0</v>
      </c>
      <c r="H648" s="129">
        <v>0</v>
      </c>
      <c r="I648" s="129">
        <v>0</v>
      </c>
      <c r="J648" s="102">
        <v>0</v>
      </c>
    </row>
    <row r="649" spans="2:10">
      <c r="B649" s="114" t="s">
        <v>292</v>
      </c>
      <c r="D649" s="129">
        <v>2709.0684292785777</v>
      </c>
      <c r="E649" s="129">
        <v>3035.4184833942159</v>
      </c>
      <c r="F649" s="129">
        <v>3934.0250695979885</v>
      </c>
      <c r="G649" s="129">
        <v>2144.8220222071036</v>
      </c>
      <c r="H649" s="129">
        <v>2253.9901920875132</v>
      </c>
      <c r="I649" s="129">
        <v>1938.8509565967297</v>
      </c>
      <c r="J649" s="102">
        <v>2059.4372958595095</v>
      </c>
    </row>
    <row r="650" spans="2:10">
      <c r="B650" s="114" t="s">
        <v>291</v>
      </c>
      <c r="D650" s="129">
        <v>7656.8446702915035</v>
      </c>
      <c r="E650" s="129">
        <v>8107.3797855691964</v>
      </c>
      <c r="F650" s="129">
        <v>9071.2398173457004</v>
      </c>
      <c r="G650" s="129">
        <v>4553.0119977476443</v>
      </c>
      <c r="H650" s="129">
        <v>4436.2557224312559</v>
      </c>
      <c r="I650" s="129">
        <v>4008.0916399364251</v>
      </c>
      <c r="J650" s="102">
        <v>3975.5044828514392</v>
      </c>
    </row>
    <row r="651" spans="2:10">
      <c r="B651" s="114" t="s">
        <v>290</v>
      </c>
      <c r="D651" s="129">
        <v>115.32746432001296</v>
      </c>
      <c r="E651" s="129">
        <v>152.32384926561363</v>
      </c>
      <c r="F651" s="129">
        <v>186.05281099862543</v>
      </c>
      <c r="G651" s="129">
        <v>189.48760428840598</v>
      </c>
      <c r="H651" s="129">
        <v>205.03461949727043</v>
      </c>
      <c r="I651" s="129">
        <v>204.53032527827352</v>
      </c>
      <c r="J651" s="102">
        <v>253.267691422995</v>
      </c>
    </row>
    <row r="652" spans="2:10">
      <c r="B652" s="114" t="s">
        <v>289</v>
      </c>
      <c r="D652" s="129">
        <v>22419.800129217278</v>
      </c>
      <c r="E652" s="129">
        <v>21245.34061373465</v>
      </c>
      <c r="F652" s="129">
        <v>22133.148851057802</v>
      </c>
      <c r="G652" s="129">
        <v>20647.084653648068</v>
      </c>
      <c r="H652" s="129">
        <v>18527.896131894828</v>
      </c>
      <c r="I652" s="129">
        <v>14817.183423268561</v>
      </c>
      <c r="J652" s="102">
        <v>14675.702891328847</v>
      </c>
    </row>
    <row r="653" spans="2:10">
      <c r="B653" s="114" t="s">
        <v>288</v>
      </c>
      <c r="D653" s="129">
        <v>0</v>
      </c>
      <c r="E653" s="129">
        <v>0</v>
      </c>
      <c r="F653" s="129">
        <v>0</v>
      </c>
      <c r="G653" s="129">
        <v>0</v>
      </c>
      <c r="H653" s="129">
        <v>0</v>
      </c>
      <c r="I653" s="129">
        <v>0</v>
      </c>
      <c r="J653" s="102">
        <v>0</v>
      </c>
    </row>
    <row r="654" spans="2:10">
      <c r="B654" s="114" t="s">
        <v>295</v>
      </c>
      <c r="D654" s="129">
        <v>0</v>
      </c>
      <c r="E654" s="129">
        <v>0</v>
      </c>
      <c r="F654" s="129">
        <v>0</v>
      </c>
      <c r="G654" s="129">
        <v>0</v>
      </c>
      <c r="H654" s="129">
        <v>0</v>
      </c>
      <c r="I654" s="129">
        <v>0</v>
      </c>
      <c r="J654" s="102">
        <v>0</v>
      </c>
    </row>
    <row r="655" spans="2:10">
      <c r="B655" s="114" t="s">
        <v>294</v>
      </c>
      <c r="D655" s="129">
        <v>0</v>
      </c>
      <c r="E655" s="129">
        <v>0</v>
      </c>
      <c r="F655" s="129">
        <v>0</v>
      </c>
      <c r="G655" s="129">
        <v>0</v>
      </c>
      <c r="H655" s="129">
        <v>0</v>
      </c>
      <c r="I655" s="129">
        <v>0</v>
      </c>
      <c r="J655" s="102">
        <v>0</v>
      </c>
    </row>
    <row r="656" spans="2:10">
      <c r="B656" s="114" t="s">
        <v>293</v>
      </c>
      <c r="D656" s="129">
        <v>0</v>
      </c>
      <c r="E656" s="129">
        <v>0</v>
      </c>
      <c r="F656" s="129">
        <v>0</v>
      </c>
      <c r="G656" s="129">
        <v>0</v>
      </c>
      <c r="H656" s="129">
        <v>0</v>
      </c>
      <c r="I656" s="129">
        <v>0</v>
      </c>
      <c r="J656" s="102">
        <v>0</v>
      </c>
    </row>
    <row r="657" spans="2:10">
      <c r="B657" s="114" t="s">
        <v>292</v>
      </c>
      <c r="D657" s="129">
        <v>0</v>
      </c>
      <c r="E657" s="129">
        <v>0</v>
      </c>
      <c r="F657" s="129">
        <v>0</v>
      </c>
      <c r="G657" s="129">
        <v>0</v>
      </c>
      <c r="H657" s="129">
        <v>0</v>
      </c>
      <c r="I657" s="129">
        <v>0</v>
      </c>
      <c r="J657" s="102">
        <v>0</v>
      </c>
    </row>
    <row r="658" spans="2:10">
      <c r="B658" s="114" t="s">
        <v>291</v>
      </c>
      <c r="D658" s="129">
        <v>0</v>
      </c>
      <c r="E658" s="129">
        <v>0</v>
      </c>
      <c r="F658" s="129">
        <v>0</v>
      </c>
      <c r="G658" s="129">
        <v>0</v>
      </c>
      <c r="H658" s="129">
        <v>0</v>
      </c>
      <c r="I658" s="129">
        <v>0</v>
      </c>
      <c r="J658" s="102">
        <v>0</v>
      </c>
    </row>
    <row r="659" spans="2:10">
      <c r="B659" s="114" t="s">
        <v>290</v>
      </c>
      <c r="D659" s="129">
        <v>0</v>
      </c>
      <c r="E659" s="129">
        <v>0</v>
      </c>
      <c r="F659" s="129">
        <v>0</v>
      </c>
      <c r="G659" s="129">
        <v>0</v>
      </c>
      <c r="H659" s="129">
        <v>0</v>
      </c>
      <c r="I659" s="129">
        <v>0</v>
      </c>
      <c r="J659" s="102">
        <v>0</v>
      </c>
    </row>
    <row r="660" spans="2:10">
      <c r="B660" s="114" t="s">
        <v>289</v>
      </c>
      <c r="D660" s="129">
        <v>0</v>
      </c>
      <c r="E660" s="129">
        <v>0</v>
      </c>
      <c r="F660" s="129">
        <v>0</v>
      </c>
      <c r="G660" s="129">
        <v>0</v>
      </c>
      <c r="H660" s="129">
        <v>0</v>
      </c>
      <c r="I660" s="129">
        <v>0</v>
      </c>
      <c r="J660" s="102">
        <v>0</v>
      </c>
    </row>
    <row r="661" spans="2:10">
      <c r="B661" s="114" t="s">
        <v>288</v>
      </c>
      <c r="D661" s="129">
        <v>0</v>
      </c>
      <c r="E661" s="129">
        <v>0</v>
      </c>
      <c r="F661" s="129">
        <v>0</v>
      </c>
      <c r="G661" s="129">
        <v>0</v>
      </c>
      <c r="H661" s="129">
        <v>0</v>
      </c>
      <c r="I661" s="129">
        <v>0</v>
      </c>
      <c r="J661" s="102">
        <v>0</v>
      </c>
    </row>
    <row r="662" spans="2:10">
      <c r="B662" s="114" t="s">
        <v>287</v>
      </c>
      <c r="D662" s="129">
        <v>0.6082975291029542</v>
      </c>
      <c r="E662" s="129">
        <v>0.53120725943958402</v>
      </c>
      <c r="F662" s="129">
        <v>0.48644091897980896</v>
      </c>
      <c r="G662" s="129">
        <v>0.38546847522890809</v>
      </c>
      <c r="H662" s="129">
        <v>0.34629891094578841</v>
      </c>
      <c r="I662" s="129">
        <v>0.28543024606516826</v>
      </c>
      <c r="J662" s="102">
        <v>0.23631498103449802</v>
      </c>
    </row>
    <row r="663" spans="2:10">
      <c r="B663" s="114"/>
      <c r="D663" s="129"/>
      <c r="E663" s="129"/>
      <c r="F663" s="129"/>
      <c r="G663" s="129"/>
      <c r="H663" s="129"/>
      <c r="I663" s="129"/>
      <c r="J663" s="102"/>
    </row>
    <row r="664" spans="2:10">
      <c r="B664" s="114" t="s">
        <v>2042</v>
      </c>
      <c r="D664" s="129">
        <v>2647.3563404233528</v>
      </c>
      <c r="E664" s="129">
        <v>2654.2368696954286</v>
      </c>
      <c r="F664" s="129">
        <v>2589.2603983602062</v>
      </c>
      <c r="G664" s="129">
        <v>1326.529474012523</v>
      </c>
      <c r="H664" s="129">
        <v>1347.0917724837132</v>
      </c>
      <c r="I664" s="129">
        <v>1450.2974224613897</v>
      </c>
      <c r="J664" s="102">
        <v>1666.9441273962502</v>
      </c>
    </row>
    <row r="665" spans="2:10">
      <c r="B665" s="114" t="s">
        <v>297</v>
      </c>
      <c r="D665" s="129">
        <v>2647.3563404233528</v>
      </c>
      <c r="E665" s="129">
        <v>2654.2368696954286</v>
      </c>
      <c r="F665" s="129">
        <v>2589.2603983602062</v>
      </c>
      <c r="G665" s="129">
        <v>1326.529474012523</v>
      </c>
      <c r="H665" s="129">
        <v>1347.0917724837132</v>
      </c>
      <c r="I665" s="129">
        <v>1450.2974224613897</v>
      </c>
      <c r="J665" s="102">
        <v>1666.9441273962502</v>
      </c>
    </row>
    <row r="666" spans="2:10">
      <c r="B666" s="114" t="s">
        <v>296</v>
      </c>
      <c r="D666" s="129">
        <v>2647.3563404233528</v>
      </c>
      <c r="E666" s="129">
        <v>2654.2368696954286</v>
      </c>
      <c r="F666" s="129">
        <v>2589.2603983602062</v>
      </c>
      <c r="G666" s="129">
        <v>1326.529474012523</v>
      </c>
      <c r="H666" s="129">
        <v>1347.0917724837132</v>
      </c>
      <c r="I666" s="129">
        <v>1450.2974224613897</v>
      </c>
      <c r="J666" s="102">
        <v>1666.9441273962502</v>
      </c>
    </row>
    <row r="667" spans="2:10">
      <c r="B667" s="114" t="s">
        <v>294</v>
      </c>
      <c r="D667" s="129">
        <v>0</v>
      </c>
      <c r="E667" s="129">
        <v>0</v>
      </c>
      <c r="F667" s="129">
        <v>0</v>
      </c>
      <c r="G667" s="129">
        <v>0</v>
      </c>
      <c r="H667" s="129">
        <v>0</v>
      </c>
      <c r="I667" s="129">
        <v>0</v>
      </c>
      <c r="J667" s="102">
        <v>0</v>
      </c>
    </row>
    <row r="668" spans="2:10">
      <c r="B668" s="114" t="s">
        <v>293</v>
      </c>
      <c r="D668" s="129">
        <v>0</v>
      </c>
      <c r="E668" s="129">
        <v>0</v>
      </c>
      <c r="F668" s="129">
        <v>0</v>
      </c>
      <c r="G668" s="129">
        <v>0</v>
      </c>
      <c r="H668" s="129">
        <v>0</v>
      </c>
      <c r="I668" s="129">
        <v>0</v>
      </c>
      <c r="J668" s="102">
        <v>0</v>
      </c>
    </row>
    <row r="669" spans="2:10">
      <c r="B669" s="114" t="s">
        <v>292</v>
      </c>
      <c r="D669" s="129">
        <v>52.191289056516588</v>
      </c>
      <c r="E669" s="129">
        <v>60.847926221734511</v>
      </c>
      <c r="F669" s="129">
        <v>58.285460254804235</v>
      </c>
      <c r="G669" s="129">
        <v>28.18028390088152</v>
      </c>
      <c r="H669" s="129">
        <v>27.740036553545067</v>
      </c>
      <c r="I669" s="129">
        <v>157.16211264473387</v>
      </c>
      <c r="J669" s="102">
        <v>164.45799271477148</v>
      </c>
    </row>
    <row r="670" spans="2:10">
      <c r="B670" s="114" t="s">
        <v>291</v>
      </c>
      <c r="D670" s="129">
        <v>2517.7624196320962</v>
      </c>
      <c r="E670" s="129">
        <v>2507.9452253165791</v>
      </c>
      <c r="F670" s="129">
        <v>2417.2164438160062</v>
      </c>
      <c r="G670" s="129">
        <v>1183.5693121302518</v>
      </c>
      <c r="H670" s="129">
        <v>1135.885712156937</v>
      </c>
      <c r="I670" s="129">
        <v>1159.7881540512424</v>
      </c>
      <c r="J670" s="102">
        <v>1502.0792486061534</v>
      </c>
    </row>
    <row r="671" spans="2:10">
      <c r="B671" s="114" t="s">
        <v>290</v>
      </c>
      <c r="D671" s="129">
        <v>77.402631734739799</v>
      </c>
      <c r="E671" s="129">
        <v>85.443718157114759</v>
      </c>
      <c r="F671" s="129">
        <v>113.75849428939581</v>
      </c>
      <c r="G671" s="129">
        <v>114.77987798138969</v>
      </c>
      <c r="H671" s="129">
        <v>183.46602377323111</v>
      </c>
      <c r="I671" s="129">
        <v>133.34715576541362</v>
      </c>
      <c r="J671" s="102">
        <v>0.40688607532534926</v>
      </c>
    </row>
    <row r="672" spans="2:10">
      <c r="B672" s="114" t="s">
        <v>289</v>
      </c>
      <c r="D672" s="129">
        <v>0</v>
      </c>
      <c r="E672" s="129">
        <v>0</v>
      </c>
      <c r="F672" s="129">
        <v>0</v>
      </c>
      <c r="G672" s="129">
        <v>0</v>
      </c>
      <c r="H672" s="129">
        <v>0</v>
      </c>
      <c r="I672" s="129">
        <v>0</v>
      </c>
      <c r="J672" s="102">
        <v>0</v>
      </c>
    </row>
    <row r="673" spans="2:10">
      <c r="B673" s="114" t="s">
        <v>288</v>
      </c>
      <c r="D673" s="129">
        <v>0</v>
      </c>
      <c r="E673" s="129">
        <v>0</v>
      </c>
      <c r="F673" s="129">
        <v>0</v>
      </c>
      <c r="G673" s="129">
        <v>0</v>
      </c>
      <c r="H673" s="129">
        <v>0</v>
      </c>
      <c r="I673" s="129">
        <v>0</v>
      </c>
      <c r="J673" s="102">
        <v>0</v>
      </c>
    </row>
    <row r="674" spans="2:10">
      <c r="B674" s="114" t="s">
        <v>295</v>
      </c>
      <c r="D674" s="129">
        <v>0</v>
      </c>
      <c r="E674" s="129">
        <v>0</v>
      </c>
      <c r="F674" s="129">
        <v>0</v>
      </c>
      <c r="G674" s="129">
        <v>0</v>
      </c>
      <c r="H674" s="129">
        <v>0</v>
      </c>
      <c r="I674" s="129">
        <v>0</v>
      </c>
      <c r="J674" s="102">
        <v>0</v>
      </c>
    </row>
    <row r="675" spans="2:10">
      <c r="B675" s="114" t="s">
        <v>294</v>
      </c>
      <c r="D675" s="129">
        <v>0</v>
      </c>
      <c r="E675" s="129">
        <v>0</v>
      </c>
      <c r="F675" s="129">
        <v>0</v>
      </c>
      <c r="G675" s="129">
        <v>0</v>
      </c>
      <c r="H675" s="129">
        <v>0</v>
      </c>
      <c r="I675" s="129">
        <v>0</v>
      </c>
      <c r="J675" s="102">
        <v>0</v>
      </c>
    </row>
    <row r="676" spans="2:10">
      <c r="B676" s="114" t="s">
        <v>293</v>
      </c>
      <c r="D676" s="129">
        <v>0</v>
      </c>
      <c r="E676" s="129">
        <v>0</v>
      </c>
      <c r="F676" s="129">
        <v>0</v>
      </c>
      <c r="G676" s="129">
        <v>0</v>
      </c>
      <c r="H676" s="129">
        <v>0</v>
      </c>
      <c r="I676" s="129">
        <v>0</v>
      </c>
      <c r="J676" s="102">
        <v>0</v>
      </c>
    </row>
    <row r="677" spans="2:10">
      <c r="B677" s="114" t="s">
        <v>292</v>
      </c>
      <c r="D677" s="129">
        <v>0</v>
      </c>
      <c r="E677" s="129">
        <v>0</v>
      </c>
      <c r="F677" s="129">
        <v>0</v>
      </c>
      <c r="G677" s="129">
        <v>0</v>
      </c>
      <c r="H677" s="129">
        <v>0</v>
      </c>
      <c r="I677" s="129">
        <v>0</v>
      </c>
      <c r="J677" s="102">
        <v>0</v>
      </c>
    </row>
    <row r="678" spans="2:10">
      <c r="B678" s="114" t="s">
        <v>291</v>
      </c>
      <c r="D678" s="129">
        <v>0</v>
      </c>
      <c r="E678" s="129">
        <v>0</v>
      </c>
      <c r="F678" s="129">
        <v>0</v>
      </c>
      <c r="G678" s="129">
        <v>0</v>
      </c>
      <c r="H678" s="129">
        <v>0</v>
      </c>
      <c r="I678" s="129">
        <v>0</v>
      </c>
      <c r="J678" s="102">
        <v>0</v>
      </c>
    </row>
    <row r="679" spans="2:10">
      <c r="B679" s="114" t="s">
        <v>290</v>
      </c>
      <c r="D679" s="129">
        <v>0</v>
      </c>
      <c r="E679" s="129">
        <v>0</v>
      </c>
      <c r="F679" s="129">
        <v>0</v>
      </c>
      <c r="G679" s="129">
        <v>0</v>
      </c>
      <c r="H679" s="129">
        <v>0</v>
      </c>
      <c r="I679" s="129">
        <v>0</v>
      </c>
      <c r="J679" s="102">
        <v>0</v>
      </c>
    </row>
    <row r="680" spans="2:10">
      <c r="B680" s="114" t="s">
        <v>289</v>
      </c>
      <c r="D680" s="129">
        <v>0</v>
      </c>
      <c r="E680" s="129">
        <v>0</v>
      </c>
      <c r="F680" s="129">
        <v>0</v>
      </c>
      <c r="G680" s="129">
        <v>0</v>
      </c>
      <c r="H680" s="129">
        <v>0</v>
      </c>
      <c r="I680" s="129">
        <v>0</v>
      </c>
      <c r="J680" s="102">
        <v>0</v>
      </c>
    </row>
    <row r="681" spans="2:10">
      <c r="B681" s="114" t="s">
        <v>288</v>
      </c>
      <c r="D681" s="129">
        <v>0</v>
      </c>
      <c r="E681" s="129">
        <v>0</v>
      </c>
      <c r="F681" s="129">
        <v>0</v>
      </c>
      <c r="G681" s="129">
        <v>0</v>
      </c>
      <c r="H681" s="129">
        <v>0</v>
      </c>
      <c r="I681" s="129">
        <v>0</v>
      </c>
      <c r="J681" s="102">
        <v>0</v>
      </c>
    </row>
    <row r="682" spans="2:10">
      <c r="B682" s="114" t="s">
        <v>287</v>
      </c>
      <c r="D682" s="129">
        <v>4.8946181841352292E-2</v>
      </c>
      <c r="E682" s="129">
        <v>4.3329128570425972E-2</v>
      </c>
      <c r="F682" s="129">
        <v>3.5655802640620959E-2</v>
      </c>
      <c r="G682" s="129">
        <v>1.8570776087675798E-2</v>
      </c>
      <c r="H682" s="129">
        <v>1.8349257446676672E-2</v>
      </c>
      <c r="I682" s="129">
        <v>1.9741787139258615E-2</v>
      </c>
      <c r="J682" s="102">
        <v>1.879057034102799E-2</v>
      </c>
    </row>
    <row r="683" spans="2:10">
      <c r="B683" s="114"/>
      <c r="D683" s="129"/>
      <c r="E683" s="129"/>
      <c r="F683" s="129"/>
      <c r="G683" s="129"/>
      <c r="H683" s="129"/>
      <c r="I683" s="129"/>
      <c r="J683" s="102"/>
    </row>
    <row r="684" spans="2:10">
      <c r="B684" s="114" t="s">
        <v>2043</v>
      </c>
      <c r="D684" s="129">
        <v>129.55671871932054</v>
      </c>
      <c r="E684" s="129">
        <v>133.3413126588103</v>
      </c>
      <c r="F684" s="129">
        <v>124.25257230468979</v>
      </c>
      <c r="G684" s="129">
        <v>63.232231349766934</v>
      </c>
      <c r="H684" s="129">
        <v>62.666545439771006</v>
      </c>
      <c r="I684" s="129">
        <v>45.453940371389265</v>
      </c>
      <c r="J684" s="102">
        <v>48.651128174084036</v>
      </c>
    </row>
    <row r="685" spans="2:10">
      <c r="B685" s="114" t="s">
        <v>297</v>
      </c>
      <c r="D685" s="129">
        <v>129.55671871932054</v>
      </c>
      <c r="E685" s="129">
        <v>133.3413126588103</v>
      </c>
      <c r="F685" s="129">
        <v>124.25257230468979</v>
      </c>
      <c r="G685" s="129">
        <v>63.232231349766934</v>
      </c>
      <c r="H685" s="129">
        <v>62.666545439771006</v>
      </c>
      <c r="I685" s="129">
        <v>45.453940371389265</v>
      </c>
      <c r="J685" s="102">
        <v>48.651128174084036</v>
      </c>
    </row>
    <row r="686" spans="2:10">
      <c r="B686" s="114" t="s">
        <v>296</v>
      </c>
      <c r="D686" s="129">
        <v>129.55671871932054</v>
      </c>
      <c r="E686" s="129">
        <v>133.3413126588103</v>
      </c>
      <c r="F686" s="129">
        <v>124.25257230468979</v>
      </c>
      <c r="G686" s="129">
        <v>63.232231349766934</v>
      </c>
      <c r="H686" s="129">
        <v>62.666545439771006</v>
      </c>
      <c r="I686" s="129">
        <v>45.453940371389265</v>
      </c>
      <c r="J686" s="102">
        <v>48.651128174084036</v>
      </c>
    </row>
    <row r="687" spans="2:10">
      <c r="B687" s="114" t="s">
        <v>294</v>
      </c>
      <c r="D687" s="129">
        <v>0</v>
      </c>
      <c r="E687" s="129">
        <v>0</v>
      </c>
      <c r="F687" s="129">
        <v>0</v>
      </c>
      <c r="G687" s="129">
        <v>0</v>
      </c>
      <c r="H687" s="129">
        <v>0</v>
      </c>
      <c r="I687" s="129">
        <v>0</v>
      </c>
      <c r="J687" s="102">
        <v>0</v>
      </c>
    </row>
    <row r="688" spans="2:10">
      <c r="B688" s="114" t="s">
        <v>293</v>
      </c>
      <c r="D688" s="129">
        <v>0</v>
      </c>
      <c r="E688" s="129">
        <v>0</v>
      </c>
      <c r="F688" s="129">
        <v>0</v>
      </c>
      <c r="G688" s="129">
        <v>0</v>
      </c>
      <c r="H688" s="129">
        <v>0</v>
      </c>
      <c r="I688" s="129">
        <v>0</v>
      </c>
      <c r="J688" s="102">
        <v>0</v>
      </c>
    </row>
    <row r="689" spans="2:10">
      <c r="B689" s="114" t="s">
        <v>292</v>
      </c>
      <c r="D689" s="129">
        <v>85.984292345716895</v>
      </c>
      <c r="E689" s="129">
        <v>89.345143031967822</v>
      </c>
      <c r="F689" s="129">
        <v>79.405521155669291</v>
      </c>
      <c r="G689" s="129">
        <v>41.968104149902516</v>
      </c>
      <c r="H689" s="129">
        <v>40.711910854768384</v>
      </c>
      <c r="I689" s="129">
        <v>29.21341435788948</v>
      </c>
      <c r="J689" s="102">
        <v>29.959863896953394</v>
      </c>
    </row>
    <row r="690" spans="2:10">
      <c r="B690" s="114" t="s">
        <v>291</v>
      </c>
      <c r="D690" s="129">
        <v>43.572426373603633</v>
      </c>
      <c r="E690" s="129">
        <v>43.99616962684248</v>
      </c>
      <c r="F690" s="129">
        <v>44.847051149020515</v>
      </c>
      <c r="G690" s="129">
        <v>21.259597928907709</v>
      </c>
      <c r="H690" s="129">
        <v>21.826762987925175</v>
      </c>
      <c r="I690" s="129">
        <v>15.873480113059275</v>
      </c>
      <c r="J690" s="102">
        <v>18.024837154679155</v>
      </c>
    </row>
    <row r="691" spans="2:10">
      <c r="B691" s="114" t="s">
        <v>290</v>
      </c>
      <c r="D691" s="129">
        <v>0</v>
      </c>
      <c r="E691" s="129">
        <v>0</v>
      </c>
      <c r="F691" s="129">
        <v>0</v>
      </c>
      <c r="G691" s="129">
        <v>4.5292709567224931E-3</v>
      </c>
      <c r="H691" s="129">
        <v>0.12787159707745491</v>
      </c>
      <c r="I691" s="129">
        <v>0.36704590044051333</v>
      </c>
      <c r="J691" s="102">
        <v>0.66642712245148783</v>
      </c>
    </row>
    <row r="692" spans="2:10">
      <c r="B692" s="114" t="s">
        <v>289</v>
      </c>
      <c r="D692" s="129">
        <v>0</v>
      </c>
      <c r="E692" s="129">
        <v>0</v>
      </c>
      <c r="F692" s="129">
        <v>0</v>
      </c>
      <c r="G692" s="129">
        <v>0</v>
      </c>
      <c r="H692" s="129">
        <v>0</v>
      </c>
      <c r="I692" s="129">
        <v>0</v>
      </c>
      <c r="J692" s="102">
        <v>0</v>
      </c>
    </row>
    <row r="693" spans="2:10">
      <c r="B693" s="114" t="s">
        <v>288</v>
      </c>
      <c r="D693" s="129">
        <v>0</v>
      </c>
      <c r="E693" s="129">
        <v>0</v>
      </c>
      <c r="F693" s="129">
        <v>0</v>
      </c>
      <c r="G693" s="129">
        <v>0</v>
      </c>
      <c r="H693" s="129">
        <v>0</v>
      </c>
      <c r="I693" s="129">
        <v>0</v>
      </c>
      <c r="J693" s="102">
        <v>0</v>
      </c>
    </row>
    <row r="694" spans="2:10">
      <c r="B694" s="114" t="s">
        <v>295</v>
      </c>
      <c r="D694" s="129">
        <v>0</v>
      </c>
      <c r="E694" s="129">
        <v>0</v>
      </c>
      <c r="F694" s="129">
        <v>0</v>
      </c>
      <c r="G694" s="129">
        <v>0</v>
      </c>
      <c r="H694" s="129">
        <v>0</v>
      </c>
      <c r="I694" s="129">
        <v>0</v>
      </c>
      <c r="J694" s="102">
        <v>0</v>
      </c>
    </row>
    <row r="695" spans="2:10">
      <c r="B695" s="114" t="s">
        <v>294</v>
      </c>
      <c r="D695" s="129">
        <v>0</v>
      </c>
      <c r="E695" s="129">
        <v>0</v>
      </c>
      <c r="F695" s="129">
        <v>0</v>
      </c>
      <c r="G695" s="129">
        <v>0</v>
      </c>
      <c r="H695" s="129">
        <v>0</v>
      </c>
      <c r="I695" s="129">
        <v>0</v>
      </c>
      <c r="J695" s="102">
        <v>0</v>
      </c>
    </row>
    <row r="696" spans="2:10">
      <c r="B696" s="114" t="s">
        <v>293</v>
      </c>
      <c r="D696" s="129">
        <v>0</v>
      </c>
      <c r="E696" s="129">
        <v>0</v>
      </c>
      <c r="F696" s="129">
        <v>0</v>
      </c>
      <c r="G696" s="129">
        <v>0</v>
      </c>
      <c r="H696" s="129">
        <v>0</v>
      </c>
      <c r="I696" s="129">
        <v>0</v>
      </c>
      <c r="J696" s="102">
        <v>0</v>
      </c>
    </row>
    <row r="697" spans="2:10">
      <c r="B697" s="114" t="s">
        <v>292</v>
      </c>
      <c r="D697" s="129">
        <v>0</v>
      </c>
      <c r="E697" s="129">
        <v>0</v>
      </c>
      <c r="F697" s="129">
        <v>0</v>
      </c>
      <c r="G697" s="129">
        <v>0</v>
      </c>
      <c r="H697" s="129">
        <v>0</v>
      </c>
      <c r="I697" s="129">
        <v>0</v>
      </c>
      <c r="J697" s="102">
        <v>0</v>
      </c>
    </row>
    <row r="698" spans="2:10">
      <c r="B698" s="58" t="s">
        <v>291</v>
      </c>
      <c r="D698" s="51">
        <v>0</v>
      </c>
      <c r="E698" s="57">
        <v>0</v>
      </c>
      <c r="F698" s="57">
        <v>0</v>
      </c>
      <c r="G698" s="57">
        <v>0</v>
      </c>
      <c r="H698" s="57">
        <v>0</v>
      </c>
      <c r="I698" s="57">
        <v>0</v>
      </c>
      <c r="J698" s="56">
        <v>0</v>
      </c>
    </row>
    <row r="699" spans="2:10">
      <c r="B699" s="71" t="s">
        <v>290</v>
      </c>
      <c r="D699" s="51">
        <v>0</v>
      </c>
      <c r="E699" s="57">
        <v>0</v>
      </c>
      <c r="F699" s="57">
        <v>0</v>
      </c>
      <c r="G699" s="57">
        <v>0</v>
      </c>
      <c r="H699" s="57">
        <v>0</v>
      </c>
      <c r="I699" s="57">
        <v>0</v>
      </c>
      <c r="J699" s="56">
        <v>0</v>
      </c>
    </row>
    <row r="700" spans="2:10">
      <c r="B700" s="133" t="s">
        <v>289</v>
      </c>
      <c r="D700" s="51">
        <v>0</v>
      </c>
      <c r="E700" s="57">
        <v>0</v>
      </c>
      <c r="F700" s="57">
        <v>0</v>
      </c>
      <c r="G700" s="57">
        <v>0</v>
      </c>
      <c r="H700" s="57">
        <v>0</v>
      </c>
      <c r="I700" s="57">
        <v>0</v>
      </c>
      <c r="J700" s="56">
        <v>0</v>
      </c>
    </row>
    <row r="701" spans="2:10">
      <c r="B701" s="132" t="s">
        <v>288</v>
      </c>
      <c r="D701">
        <v>0</v>
      </c>
      <c r="E701">
        <v>0</v>
      </c>
      <c r="F701">
        <v>0</v>
      </c>
      <c r="G701">
        <v>0</v>
      </c>
      <c r="H701">
        <v>0</v>
      </c>
      <c r="I701">
        <v>0</v>
      </c>
      <c r="J701">
        <v>0</v>
      </c>
    </row>
    <row r="702" spans="2:10">
      <c r="B702" s="132" t="s">
        <v>287</v>
      </c>
      <c r="D702">
        <v>2.3953355339352321E-3</v>
      </c>
      <c r="E702">
        <v>2.1767322072524485E-3</v>
      </c>
      <c r="F702">
        <v>1.7110388736842597E-3</v>
      </c>
      <c r="G702">
        <v>8.8522089627504955E-4</v>
      </c>
      <c r="H702">
        <v>8.5360522501604314E-4</v>
      </c>
      <c r="I702">
        <v>6.1872964921194293E-4</v>
      </c>
      <c r="J702">
        <v>5.4841816897212888E-4</v>
      </c>
    </row>
    <row r="703" spans="2:10">
      <c r="B703" s="65"/>
      <c r="J703"/>
    </row>
    <row r="704" spans="2:10">
      <c r="B704" s="57" t="s">
        <v>2044</v>
      </c>
      <c r="D704">
        <v>0</v>
      </c>
      <c r="E704">
        <v>61.362864452713303</v>
      </c>
      <c r="F704">
        <v>62.56780391650851</v>
      </c>
      <c r="G704">
        <v>31.639851073296935</v>
      </c>
      <c r="H704">
        <v>31.753971275144242</v>
      </c>
      <c r="I704">
        <v>24.438740741675808</v>
      </c>
      <c r="J704">
        <v>22.076280427562853</v>
      </c>
    </row>
    <row r="705" spans="2:10" ht="15" customHeight="1">
      <c r="B705" s="59" t="s">
        <v>297</v>
      </c>
      <c r="D705">
        <v>0</v>
      </c>
      <c r="E705">
        <v>61.362864452713303</v>
      </c>
      <c r="F705">
        <v>62.56780391650851</v>
      </c>
      <c r="G705">
        <v>31.639851073296935</v>
      </c>
      <c r="H705">
        <v>31.753971275144242</v>
      </c>
      <c r="I705">
        <v>24.438740741675808</v>
      </c>
      <c r="J705">
        <v>22.076280427562853</v>
      </c>
    </row>
    <row r="706" spans="2:10">
      <c r="B706" s="71" t="s">
        <v>296</v>
      </c>
      <c r="D706">
        <v>0</v>
      </c>
      <c r="E706">
        <v>61.362864452713303</v>
      </c>
      <c r="F706">
        <v>62.56780391650851</v>
      </c>
      <c r="G706">
        <v>31.639851073296935</v>
      </c>
      <c r="H706">
        <v>31.753971275144242</v>
      </c>
      <c r="I706">
        <v>24.438740741675808</v>
      </c>
      <c r="J706">
        <v>22.076280427562853</v>
      </c>
    </row>
    <row r="707" spans="2:10">
      <c r="B707" s="133" t="s">
        <v>294</v>
      </c>
      <c r="D707">
        <v>0</v>
      </c>
      <c r="E707">
        <v>0</v>
      </c>
      <c r="F707">
        <v>0</v>
      </c>
      <c r="G707">
        <v>0</v>
      </c>
      <c r="H707">
        <v>0</v>
      </c>
      <c r="I707">
        <v>0</v>
      </c>
      <c r="J707">
        <v>0</v>
      </c>
    </row>
    <row r="708" spans="2:10">
      <c r="B708" s="131" t="s">
        <v>293</v>
      </c>
      <c r="D708">
        <v>0</v>
      </c>
      <c r="E708">
        <v>0</v>
      </c>
      <c r="F708">
        <v>0</v>
      </c>
      <c r="G708">
        <v>0</v>
      </c>
      <c r="H708">
        <v>0</v>
      </c>
      <c r="I708">
        <v>0</v>
      </c>
      <c r="J708">
        <v>0</v>
      </c>
    </row>
    <row r="709" spans="2:10">
      <c r="B709" s="131" t="s">
        <v>292</v>
      </c>
      <c r="D709">
        <v>0</v>
      </c>
      <c r="E709">
        <v>49.729951719587518</v>
      </c>
      <c r="F709">
        <v>51.33366108061513</v>
      </c>
      <c r="G709">
        <v>25.062633483609442</v>
      </c>
      <c r="H709">
        <v>24.337686137003228</v>
      </c>
      <c r="I709">
        <v>18.847011385440425</v>
      </c>
      <c r="J709">
        <v>15.724928030015432</v>
      </c>
    </row>
    <row r="710" spans="2:10">
      <c r="B710" s="131" t="s">
        <v>291</v>
      </c>
      <c r="D710">
        <v>0</v>
      </c>
      <c r="E710">
        <v>11.632912733125783</v>
      </c>
      <c r="F710">
        <v>11.234142835893383</v>
      </c>
      <c r="G710">
        <v>6.5734294832000586</v>
      </c>
      <c r="H710">
        <v>7.2635754455298001</v>
      </c>
      <c r="I710">
        <v>5.1036004271644053</v>
      </c>
      <c r="J710">
        <v>5.389296590148712</v>
      </c>
    </row>
    <row r="711" spans="2:10">
      <c r="B711" s="131" t="s">
        <v>290</v>
      </c>
      <c r="D711">
        <v>0</v>
      </c>
      <c r="E711">
        <v>0</v>
      </c>
      <c r="F711">
        <v>0</v>
      </c>
      <c r="G711">
        <v>3.788106487431503E-3</v>
      </c>
      <c r="H711">
        <v>0.15270969261121364</v>
      </c>
      <c r="I711">
        <v>0.48812892907097544</v>
      </c>
      <c r="J711">
        <v>0.96205580739870822</v>
      </c>
    </row>
    <row r="712" spans="2:10">
      <c r="B712" s="131" t="s">
        <v>289</v>
      </c>
      <c r="D712">
        <v>0</v>
      </c>
      <c r="E712">
        <v>0</v>
      </c>
      <c r="F712">
        <v>0</v>
      </c>
      <c r="G712">
        <v>0</v>
      </c>
      <c r="H712">
        <v>0</v>
      </c>
      <c r="I712">
        <v>0</v>
      </c>
      <c r="J712">
        <v>0</v>
      </c>
    </row>
    <row r="713" spans="2:10">
      <c r="B713" s="131" t="s">
        <v>288</v>
      </c>
      <c r="D713">
        <v>0</v>
      </c>
      <c r="E713">
        <v>0</v>
      </c>
      <c r="F713">
        <v>0</v>
      </c>
      <c r="G713">
        <v>0</v>
      </c>
      <c r="H713">
        <v>0</v>
      </c>
      <c r="I713">
        <v>0</v>
      </c>
      <c r="J713">
        <v>0</v>
      </c>
    </row>
    <row r="714" spans="2:10">
      <c r="B714" s="131" t="s">
        <v>295</v>
      </c>
      <c r="D714" s="260">
        <v>0</v>
      </c>
      <c r="E714" s="260">
        <v>0</v>
      </c>
      <c r="F714" s="260">
        <v>0</v>
      </c>
      <c r="G714" s="260">
        <v>0</v>
      </c>
      <c r="H714" s="260">
        <v>0</v>
      </c>
      <c r="I714" s="260">
        <v>0</v>
      </c>
      <c r="J714" s="200">
        <v>0</v>
      </c>
    </row>
    <row r="715" spans="2:10">
      <c r="B715" s="65" t="s">
        <v>294</v>
      </c>
      <c r="D715" s="260">
        <v>0</v>
      </c>
      <c r="E715" s="260">
        <v>0</v>
      </c>
      <c r="F715" s="260">
        <v>0</v>
      </c>
      <c r="G715" s="260">
        <v>0</v>
      </c>
      <c r="H715" s="260">
        <v>0</v>
      </c>
      <c r="I715" s="260">
        <v>0</v>
      </c>
      <c r="J715" s="200">
        <v>0</v>
      </c>
    </row>
    <row r="716" spans="2:10">
      <c r="B716" s="65" t="s">
        <v>293</v>
      </c>
      <c r="D716" s="260">
        <v>0</v>
      </c>
      <c r="E716" s="260">
        <v>0</v>
      </c>
      <c r="F716" s="260">
        <v>0</v>
      </c>
      <c r="G716" s="260">
        <v>0</v>
      </c>
      <c r="H716" s="260">
        <v>0</v>
      </c>
      <c r="I716" s="260">
        <v>0</v>
      </c>
      <c r="J716" s="200">
        <v>0</v>
      </c>
    </row>
    <row r="717" spans="2:10">
      <c r="B717" s="58" t="s">
        <v>292</v>
      </c>
      <c r="D717" s="51">
        <v>0</v>
      </c>
      <c r="E717" s="57">
        <v>0</v>
      </c>
      <c r="F717" s="57">
        <v>0</v>
      </c>
      <c r="G717" s="57">
        <v>0</v>
      </c>
      <c r="H717" s="57">
        <v>0</v>
      </c>
      <c r="I717" s="57">
        <v>0</v>
      </c>
      <c r="J717" s="56">
        <v>0</v>
      </c>
    </row>
    <row r="718" spans="2:10">
      <c r="B718" s="71" t="s">
        <v>291</v>
      </c>
      <c r="D718" s="51">
        <v>0</v>
      </c>
      <c r="E718" s="57">
        <v>0</v>
      </c>
      <c r="F718" s="57">
        <v>0</v>
      </c>
      <c r="G718" s="57">
        <v>0</v>
      </c>
      <c r="H718" s="57">
        <v>0</v>
      </c>
      <c r="I718" s="57">
        <v>0</v>
      </c>
      <c r="J718" s="56">
        <v>0</v>
      </c>
    </row>
    <row r="719" spans="2:10">
      <c r="B719" s="133" t="s">
        <v>290</v>
      </c>
      <c r="D719" s="51">
        <v>0</v>
      </c>
      <c r="E719" s="57">
        <v>0</v>
      </c>
      <c r="F719" s="57">
        <v>0</v>
      </c>
      <c r="G719" s="57">
        <v>0</v>
      </c>
      <c r="H719" s="57">
        <v>0</v>
      </c>
      <c r="I719" s="57">
        <v>0</v>
      </c>
      <c r="J719" s="56">
        <v>0</v>
      </c>
    </row>
    <row r="720" spans="2:10">
      <c r="B720" s="131" t="s">
        <v>289</v>
      </c>
      <c r="D720" s="51">
        <v>0</v>
      </c>
      <c r="E720" s="57">
        <v>0</v>
      </c>
      <c r="F720" s="57">
        <v>0</v>
      </c>
      <c r="G720" s="57">
        <v>0</v>
      </c>
      <c r="H720" s="57">
        <v>0</v>
      </c>
      <c r="I720" s="57">
        <v>0</v>
      </c>
      <c r="J720" s="56">
        <v>0</v>
      </c>
    </row>
    <row r="721" spans="2:10">
      <c r="B721" s="131" t="s">
        <v>288</v>
      </c>
      <c r="D721" s="51">
        <v>0</v>
      </c>
      <c r="E721" s="57">
        <v>0</v>
      </c>
      <c r="F721" s="57">
        <v>0</v>
      </c>
      <c r="G721" s="57">
        <v>0</v>
      </c>
      <c r="H721" s="57">
        <v>0</v>
      </c>
      <c r="I721" s="57">
        <v>0</v>
      </c>
      <c r="J721" s="56">
        <v>0</v>
      </c>
    </row>
    <row r="722" spans="2:10">
      <c r="B722" s="131" t="s">
        <v>287</v>
      </c>
      <c r="D722" s="51">
        <v>0</v>
      </c>
      <c r="E722" s="57">
        <v>1.0017189775629676E-3</v>
      </c>
      <c r="F722" s="57">
        <v>8.6159942411236188E-4</v>
      </c>
      <c r="G722" s="57">
        <v>4.4294273232564385E-4</v>
      </c>
      <c r="H722" s="57">
        <v>4.3253311005508519E-4</v>
      </c>
      <c r="I722" s="57">
        <v>3.3266584508912021E-4</v>
      </c>
      <c r="J722" s="56">
        <v>2.4885411179937571E-4</v>
      </c>
    </row>
    <row r="723" spans="2:10">
      <c r="B723" s="131"/>
      <c r="D723" s="51"/>
      <c r="E723" s="57"/>
      <c r="F723" s="57"/>
      <c r="G723" s="57"/>
      <c r="H723" s="57"/>
      <c r="I723" s="57"/>
      <c r="J723" s="56"/>
    </row>
    <row r="724" spans="2:10">
      <c r="B724" s="131" t="s">
        <v>2045</v>
      </c>
      <c r="D724" s="51">
        <v>18.466341147849352</v>
      </c>
      <c r="E724" s="57">
        <v>136.60222538620616</v>
      </c>
      <c r="F724" s="57">
        <v>155.38036691057479</v>
      </c>
      <c r="G724" s="57">
        <v>52.992963621324321</v>
      </c>
      <c r="H724" s="57">
        <v>47.46219671143826</v>
      </c>
      <c r="I724" s="57">
        <v>30.482354858124538</v>
      </c>
      <c r="J724" s="56">
        <v>21.874028686312801</v>
      </c>
    </row>
    <row r="725" spans="2:10">
      <c r="B725" s="131" t="s">
        <v>297</v>
      </c>
      <c r="D725" s="51">
        <v>18.466341147849352</v>
      </c>
      <c r="E725" s="57">
        <v>136.60222538620616</v>
      </c>
      <c r="F725" s="57">
        <v>155.38036691057479</v>
      </c>
      <c r="G725" s="57">
        <v>52.992963621324321</v>
      </c>
      <c r="H725" s="57">
        <v>47.46219671143826</v>
      </c>
      <c r="I725" s="57">
        <v>30.482354858124538</v>
      </c>
      <c r="J725" s="56">
        <v>21.874028686312801</v>
      </c>
    </row>
    <row r="726" spans="2:10">
      <c r="B726" s="131" t="s">
        <v>296</v>
      </c>
      <c r="D726" s="51">
        <v>18.466341147849352</v>
      </c>
      <c r="E726" s="57">
        <v>136.60222538620616</v>
      </c>
      <c r="F726" s="57">
        <v>155.38036691057479</v>
      </c>
      <c r="G726" s="57">
        <v>52.992963621324321</v>
      </c>
      <c r="H726" s="57">
        <v>47.46219671143826</v>
      </c>
      <c r="I726" s="57">
        <v>30.482354858124538</v>
      </c>
      <c r="J726" s="56">
        <v>21.874028686312801</v>
      </c>
    </row>
    <row r="727" spans="2:10">
      <c r="B727" s="65" t="s">
        <v>294</v>
      </c>
      <c r="D727" s="51">
        <v>0</v>
      </c>
      <c r="E727" s="57">
        <v>0</v>
      </c>
      <c r="F727" s="57">
        <v>0</v>
      </c>
      <c r="G727" s="57">
        <v>0</v>
      </c>
      <c r="H727" s="57">
        <v>0</v>
      </c>
      <c r="I727" s="57">
        <v>0</v>
      </c>
      <c r="J727" s="56">
        <v>0</v>
      </c>
    </row>
    <row r="728" spans="2:10">
      <c r="B728" s="57" t="s">
        <v>293</v>
      </c>
      <c r="D728" s="51">
        <v>0</v>
      </c>
      <c r="E728" s="57">
        <v>0</v>
      </c>
      <c r="F728" s="57">
        <v>0</v>
      </c>
      <c r="G728" s="57">
        <v>0</v>
      </c>
      <c r="H728" s="57">
        <v>0</v>
      </c>
      <c r="I728" s="57">
        <v>0</v>
      </c>
      <c r="J728" s="56">
        <v>0</v>
      </c>
    </row>
    <row r="729" spans="2:10">
      <c r="B729" s="58" t="s">
        <v>292</v>
      </c>
      <c r="D729" s="51">
        <v>18.464263984661777</v>
      </c>
      <c r="E729" s="57">
        <v>136.36591600891092</v>
      </c>
      <c r="F729" s="57">
        <v>154.79870623390448</v>
      </c>
      <c r="G729" s="57">
        <v>52.766159350619276</v>
      </c>
      <c r="H729" s="57">
        <v>47.139381672624658</v>
      </c>
      <c r="I729" s="57">
        <v>30.383844233715806</v>
      </c>
      <c r="J729" s="56">
        <v>21.799334059866993</v>
      </c>
    </row>
    <row r="730" spans="2:10">
      <c r="B730" s="71" t="s">
        <v>291</v>
      </c>
      <c r="D730" s="51">
        <v>0</v>
      </c>
      <c r="E730" s="57">
        <v>0</v>
      </c>
      <c r="F730" s="57">
        <v>0</v>
      </c>
      <c r="G730" s="57">
        <v>0</v>
      </c>
      <c r="H730" s="57">
        <v>0</v>
      </c>
      <c r="I730" s="57">
        <v>0</v>
      </c>
      <c r="J730" s="56">
        <v>8.4512966174602963E-5</v>
      </c>
    </row>
    <row r="731" spans="2:10">
      <c r="B731" s="133" t="s">
        <v>290</v>
      </c>
      <c r="D731" s="51">
        <v>2.0771631875776955E-3</v>
      </c>
      <c r="E731" s="57">
        <v>0.23630937729522872</v>
      </c>
      <c r="F731" s="57">
        <v>0.58166067667030463</v>
      </c>
      <c r="G731" s="57">
        <v>0.22680427070505055</v>
      </c>
      <c r="H731" s="57">
        <v>0.32281503881359691</v>
      </c>
      <c r="I731" s="57">
        <v>9.8510624408731332E-2</v>
      </c>
      <c r="J731" s="56">
        <v>7.4610113479632381E-2</v>
      </c>
    </row>
    <row r="732" spans="2:10">
      <c r="B732" s="131" t="s">
        <v>289</v>
      </c>
      <c r="D732" s="51">
        <v>0</v>
      </c>
      <c r="E732" s="57">
        <v>0</v>
      </c>
      <c r="F732" s="57">
        <v>0</v>
      </c>
      <c r="G732" s="57">
        <v>0</v>
      </c>
      <c r="H732" s="57">
        <v>0</v>
      </c>
      <c r="I732" s="57">
        <v>0</v>
      </c>
      <c r="J732" s="56">
        <v>0</v>
      </c>
    </row>
    <row r="733" spans="2:10">
      <c r="B733" s="131" t="s">
        <v>288</v>
      </c>
      <c r="D733" s="51">
        <v>0</v>
      </c>
      <c r="E733" s="57">
        <v>0</v>
      </c>
      <c r="F733" s="57">
        <v>0</v>
      </c>
      <c r="G733" s="57">
        <v>0</v>
      </c>
      <c r="H733" s="57">
        <v>0</v>
      </c>
      <c r="I733" s="57">
        <v>0</v>
      </c>
      <c r="J733" s="56">
        <v>0</v>
      </c>
    </row>
    <row r="734" spans="2:10">
      <c r="B734" s="131" t="s">
        <v>295</v>
      </c>
      <c r="D734" s="51">
        <v>0</v>
      </c>
      <c r="E734" s="57">
        <v>0</v>
      </c>
      <c r="F734" s="57">
        <v>0</v>
      </c>
      <c r="G734" s="57">
        <v>0</v>
      </c>
      <c r="H734" s="57">
        <v>0</v>
      </c>
      <c r="I734" s="57">
        <v>0</v>
      </c>
      <c r="J734" s="56">
        <v>0</v>
      </c>
    </row>
    <row r="735" spans="2:10">
      <c r="B735" s="131" t="s">
        <v>294</v>
      </c>
      <c r="D735" s="51">
        <v>0</v>
      </c>
      <c r="E735" s="57">
        <v>0</v>
      </c>
      <c r="F735" s="57">
        <v>0</v>
      </c>
      <c r="G735" s="57">
        <v>0</v>
      </c>
      <c r="H735" s="57">
        <v>0</v>
      </c>
      <c r="I735" s="57">
        <v>0</v>
      </c>
      <c r="J735" s="56">
        <v>0</v>
      </c>
    </row>
    <row r="736" spans="2:10">
      <c r="B736" s="131" t="s">
        <v>293</v>
      </c>
      <c r="D736" s="51">
        <v>0</v>
      </c>
      <c r="E736" s="57">
        <v>0</v>
      </c>
      <c r="F736" s="57">
        <v>0</v>
      </c>
      <c r="G736" s="57">
        <v>0</v>
      </c>
      <c r="H736" s="57">
        <v>0</v>
      </c>
      <c r="I736" s="57">
        <v>0</v>
      </c>
      <c r="J736" s="56">
        <v>0</v>
      </c>
    </row>
    <row r="737" spans="2:10">
      <c r="B737" s="131" t="s">
        <v>292</v>
      </c>
      <c r="D737" s="51">
        <v>0</v>
      </c>
      <c r="E737" s="57">
        <v>0</v>
      </c>
      <c r="F737" s="57">
        <v>0</v>
      </c>
      <c r="G737" s="57">
        <v>0</v>
      </c>
      <c r="H737" s="57">
        <v>0</v>
      </c>
      <c r="I737" s="57">
        <v>0</v>
      </c>
      <c r="J737" s="56">
        <v>0</v>
      </c>
    </row>
    <row r="738" spans="2:10">
      <c r="B738" s="131" t="s">
        <v>291</v>
      </c>
      <c r="D738" s="51">
        <v>0</v>
      </c>
      <c r="E738" s="57">
        <v>0</v>
      </c>
      <c r="F738" s="57">
        <v>0</v>
      </c>
      <c r="G738" s="57">
        <v>0</v>
      </c>
      <c r="H738" s="57">
        <v>0</v>
      </c>
      <c r="I738" s="57">
        <v>0</v>
      </c>
      <c r="J738" s="56">
        <v>0</v>
      </c>
    </row>
    <row r="739" spans="2:10">
      <c r="B739" s="65" t="s">
        <v>290</v>
      </c>
      <c r="D739" s="51">
        <v>0</v>
      </c>
      <c r="E739" s="57">
        <v>0</v>
      </c>
      <c r="F739" s="57">
        <v>0</v>
      </c>
      <c r="G739" s="57">
        <v>0</v>
      </c>
      <c r="H739" s="57">
        <v>0</v>
      </c>
      <c r="I739" s="57">
        <v>0</v>
      </c>
      <c r="J739" s="56">
        <v>0</v>
      </c>
    </row>
    <row r="740" spans="2:10">
      <c r="B740" s="57" t="s">
        <v>289</v>
      </c>
      <c r="D740" s="51">
        <v>0</v>
      </c>
      <c r="E740" s="57">
        <v>0</v>
      </c>
      <c r="F740" s="57">
        <v>0</v>
      </c>
      <c r="G740" s="57">
        <v>0</v>
      </c>
      <c r="H740" s="57">
        <v>0</v>
      </c>
      <c r="I740" s="57">
        <v>0</v>
      </c>
      <c r="J740" s="56">
        <v>0</v>
      </c>
    </row>
    <row r="741" spans="2:10">
      <c r="B741" s="58" t="s">
        <v>288</v>
      </c>
      <c r="D741" s="51">
        <v>0</v>
      </c>
      <c r="E741" s="57">
        <v>0</v>
      </c>
      <c r="F741" s="57">
        <v>0</v>
      </c>
      <c r="G741" s="57">
        <v>0</v>
      </c>
      <c r="H741" s="57">
        <v>0</v>
      </c>
      <c r="I741" s="57">
        <v>0</v>
      </c>
      <c r="J741" s="56">
        <v>0</v>
      </c>
    </row>
    <row r="742" spans="2:10">
      <c r="B742" s="71" t="s">
        <v>287</v>
      </c>
      <c r="D742" s="51">
        <v>3.4141867415647572E-4</v>
      </c>
      <c r="E742" s="57">
        <v>2.2299650247283383E-3</v>
      </c>
      <c r="F742" s="57">
        <v>2.1396888857912375E-3</v>
      </c>
      <c r="G742" s="57">
        <v>7.4187606149237557E-4</v>
      </c>
      <c r="H742" s="57">
        <v>6.4650091718492853E-4</v>
      </c>
      <c r="I742" s="57">
        <v>4.1493293154388203E-4</v>
      </c>
      <c r="J742" s="56">
        <v>2.4657423600264419E-4</v>
      </c>
    </row>
    <row r="743" spans="2:10">
      <c r="B743" s="133"/>
      <c r="D743" s="51"/>
      <c r="E743" s="57"/>
      <c r="F743" s="57"/>
      <c r="G743" s="57"/>
      <c r="H743" s="57"/>
      <c r="I743" s="57"/>
      <c r="J743" s="56"/>
    </row>
    <row r="744" spans="2:10" ht="25">
      <c r="B744" s="131" t="s">
        <v>2041</v>
      </c>
      <c r="D744" s="51">
        <v>0</v>
      </c>
      <c r="E744" s="57">
        <v>0</v>
      </c>
      <c r="F744" s="57">
        <v>0</v>
      </c>
      <c r="G744" s="57">
        <v>0</v>
      </c>
      <c r="H744" s="57">
        <v>0</v>
      </c>
      <c r="I744" s="57">
        <v>1.1787568437715832</v>
      </c>
      <c r="J744" s="56">
        <v>12.954924673285173</v>
      </c>
    </row>
    <row r="745" spans="2:10">
      <c r="B745" s="131" t="s">
        <v>297</v>
      </c>
      <c r="D745" s="51">
        <v>0</v>
      </c>
      <c r="E745" s="57">
        <v>0</v>
      </c>
      <c r="F745" s="57">
        <v>0</v>
      </c>
      <c r="G745" s="57">
        <v>0</v>
      </c>
      <c r="H745" s="57">
        <v>0</v>
      </c>
      <c r="I745" s="57">
        <v>1.1787568437715832</v>
      </c>
      <c r="J745" s="56">
        <v>12.954924673285173</v>
      </c>
    </row>
    <row r="746" spans="2:10">
      <c r="B746" s="131" t="s">
        <v>296</v>
      </c>
      <c r="D746" s="51">
        <v>0</v>
      </c>
      <c r="E746" s="57">
        <v>0</v>
      </c>
      <c r="F746" s="57">
        <v>0</v>
      </c>
      <c r="G746" s="57">
        <v>0</v>
      </c>
      <c r="H746" s="57">
        <v>0</v>
      </c>
      <c r="I746" s="57">
        <v>1.1787568437715832</v>
      </c>
      <c r="J746" s="56">
        <v>12.954924673285173</v>
      </c>
    </row>
    <row r="747" spans="2:10">
      <c r="B747" s="131" t="s">
        <v>294</v>
      </c>
      <c r="D747" s="51">
        <v>0</v>
      </c>
      <c r="E747" s="57">
        <v>0</v>
      </c>
      <c r="F747" s="57">
        <v>0</v>
      </c>
      <c r="G747" s="57">
        <v>0</v>
      </c>
      <c r="H747" s="57">
        <v>0</v>
      </c>
      <c r="I747" s="57">
        <v>1.1787568437715832</v>
      </c>
      <c r="J747" s="56">
        <v>12.954924673285173</v>
      </c>
    </row>
    <row r="748" spans="2:10">
      <c r="B748" s="131" t="s">
        <v>293</v>
      </c>
      <c r="D748" s="51">
        <v>0</v>
      </c>
      <c r="E748" s="57">
        <v>0</v>
      </c>
      <c r="F748" s="57">
        <v>0</v>
      </c>
      <c r="G748" s="57">
        <v>0</v>
      </c>
      <c r="H748" s="57">
        <v>0</v>
      </c>
      <c r="I748" s="57">
        <v>0</v>
      </c>
      <c r="J748" s="56">
        <v>0</v>
      </c>
    </row>
    <row r="749" spans="2:10">
      <c r="B749" s="131" t="s">
        <v>292</v>
      </c>
      <c r="D749" s="51">
        <v>0</v>
      </c>
      <c r="E749" s="57">
        <v>0</v>
      </c>
      <c r="F749" s="57">
        <v>0</v>
      </c>
      <c r="G749" s="57">
        <v>0</v>
      </c>
      <c r="H749" s="57">
        <v>0</v>
      </c>
      <c r="I749" s="57">
        <v>0</v>
      </c>
      <c r="J749" s="56">
        <v>0</v>
      </c>
    </row>
    <row r="750" spans="2:10">
      <c r="B750" s="131" t="s">
        <v>291</v>
      </c>
      <c r="D750" s="51">
        <v>0</v>
      </c>
      <c r="E750" s="57">
        <v>0</v>
      </c>
      <c r="F750" s="57">
        <v>0</v>
      </c>
      <c r="G750" s="57">
        <v>0</v>
      </c>
      <c r="H750" s="57">
        <v>0</v>
      </c>
      <c r="I750" s="57">
        <v>0</v>
      </c>
      <c r="J750" s="56">
        <v>0</v>
      </c>
    </row>
    <row r="751" spans="2:10">
      <c r="B751" s="65" t="s">
        <v>290</v>
      </c>
      <c r="D751" s="51">
        <v>0</v>
      </c>
      <c r="E751" s="57">
        <v>0</v>
      </c>
      <c r="F751" s="57">
        <v>0</v>
      </c>
      <c r="G751" s="57">
        <v>0</v>
      </c>
      <c r="H751" s="57">
        <v>0</v>
      </c>
      <c r="I751" s="57">
        <v>0</v>
      </c>
      <c r="J751" s="56">
        <v>0</v>
      </c>
    </row>
    <row r="752" spans="2:10">
      <c r="B752" s="57" t="s">
        <v>289</v>
      </c>
      <c r="D752" s="51">
        <v>0</v>
      </c>
      <c r="E752" s="57">
        <v>0</v>
      </c>
      <c r="F752" s="57">
        <v>0</v>
      </c>
      <c r="G752" s="57">
        <v>0</v>
      </c>
      <c r="H752" s="57">
        <v>0</v>
      </c>
      <c r="I752" s="57">
        <v>0</v>
      </c>
      <c r="J752" s="56">
        <v>0</v>
      </c>
    </row>
    <row r="753" spans="2:18">
      <c r="B753" s="58" t="s">
        <v>288</v>
      </c>
      <c r="D753" s="51">
        <v>0</v>
      </c>
      <c r="E753" s="57">
        <v>0</v>
      </c>
      <c r="F753" s="57">
        <v>0</v>
      </c>
      <c r="G753" s="57">
        <v>0</v>
      </c>
      <c r="H753" s="57">
        <v>0</v>
      </c>
      <c r="I753" s="57">
        <v>0</v>
      </c>
      <c r="J753" s="56">
        <v>0</v>
      </c>
    </row>
    <row r="754" spans="2:18">
      <c r="B754" s="71" t="s">
        <v>295</v>
      </c>
      <c r="D754" s="51">
        <v>0</v>
      </c>
      <c r="E754" s="57">
        <v>0</v>
      </c>
      <c r="F754" s="57">
        <v>0</v>
      </c>
      <c r="G754" s="57">
        <v>0</v>
      </c>
      <c r="H754" s="57">
        <v>0</v>
      </c>
      <c r="I754" s="57">
        <v>0</v>
      </c>
      <c r="J754" s="56">
        <v>0</v>
      </c>
    </row>
    <row r="755" spans="2:18" ht="15" customHeight="1">
      <c r="B755" s="133" t="s">
        <v>294</v>
      </c>
      <c r="D755" s="51">
        <v>0</v>
      </c>
      <c r="E755" s="57">
        <v>0</v>
      </c>
      <c r="F755" s="57">
        <v>0</v>
      </c>
      <c r="G755" s="57">
        <v>0</v>
      </c>
      <c r="H755" s="57">
        <v>0</v>
      </c>
      <c r="I755" s="57">
        <v>0</v>
      </c>
      <c r="J755" s="56">
        <v>0</v>
      </c>
    </row>
    <row r="756" spans="2:18">
      <c r="B756" s="131" t="s">
        <v>293</v>
      </c>
      <c r="D756" s="51">
        <v>0</v>
      </c>
      <c r="E756" s="57">
        <v>0</v>
      </c>
      <c r="F756" s="57">
        <v>0</v>
      </c>
      <c r="G756" s="57">
        <v>0</v>
      </c>
      <c r="H756" s="57">
        <v>0</v>
      </c>
      <c r="I756" s="57">
        <v>0</v>
      </c>
      <c r="J756" s="56">
        <v>0</v>
      </c>
    </row>
    <row r="757" spans="2:18">
      <c r="B757" s="131" t="s">
        <v>292</v>
      </c>
      <c r="D757" s="51">
        <v>0</v>
      </c>
      <c r="E757" s="57">
        <v>0</v>
      </c>
      <c r="F757" s="57">
        <v>0</v>
      </c>
      <c r="G757" s="57">
        <v>0</v>
      </c>
      <c r="H757" s="57">
        <v>0</v>
      </c>
      <c r="I757" s="57">
        <v>0</v>
      </c>
      <c r="J757" s="56">
        <v>0</v>
      </c>
    </row>
    <row r="758" spans="2:18">
      <c r="B758" s="131" t="s">
        <v>291</v>
      </c>
      <c r="D758" s="51">
        <v>0</v>
      </c>
      <c r="E758" s="57">
        <v>0</v>
      </c>
      <c r="F758" s="57">
        <v>0</v>
      </c>
      <c r="G758" s="57">
        <v>0</v>
      </c>
      <c r="H758" s="57">
        <v>0</v>
      </c>
      <c r="I758" s="57">
        <v>0</v>
      </c>
      <c r="J758" s="56">
        <v>0</v>
      </c>
    </row>
    <row r="759" spans="2:18">
      <c r="B759" s="131" t="s">
        <v>290</v>
      </c>
      <c r="D759" s="51">
        <v>0</v>
      </c>
      <c r="E759" s="57">
        <v>0</v>
      </c>
      <c r="F759" s="57">
        <v>0</v>
      </c>
      <c r="G759" s="57">
        <v>0</v>
      </c>
      <c r="H759" s="57">
        <v>0</v>
      </c>
      <c r="I759" s="57">
        <v>0</v>
      </c>
      <c r="J759" s="56">
        <v>0</v>
      </c>
    </row>
    <row r="760" spans="2:18">
      <c r="B760" s="131" t="s">
        <v>289</v>
      </c>
      <c r="D760" s="51">
        <v>0</v>
      </c>
      <c r="E760" s="57">
        <v>0</v>
      </c>
      <c r="F760" s="57">
        <v>0</v>
      </c>
      <c r="G760" s="57">
        <v>0</v>
      </c>
      <c r="H760" s="57">
        <v>0</v>
      </c>
      <c r="I760" s="57">
        <v>0</v>
      </c>
      <c r="J760" s="56">
        <v>0</v>
      </c>
    </row>
    <row r="761" spans="2:18">
      <c r="B761" s="131" t="s">
        <v>288</v>
      </c>
      <c r="D761" s="51">
        <v>0</v>
      </c>
      <c r="E761" s="57">
        <v>0</v>
      </c>
      <c r="F761" s="57">
        <v>0</v>
      </c>
      <c r="G761" s="57">
        <v>0</v>
      </c>
      <c r="H761" s="57">
        <v>0</v>
      </c>
      <c r="I761" s="57">
        <v>0</v>
      </c>
      <c r="J761" s="56">
        <v>0</v>
      </c>
    </row>
    <row r="762" spans="2:18">
      <c r="B762" s="131" t="s">
        <v>287</v>
      </c>
      <c r="D762" s="51">
        <v>0</v>
      </c>
      <c r="E762" s="57">
        <v>0</v>
      </c>
      <c r="F762" s="57">
        <v>0</v>
      </c>
      <c r="G762" s="57">
        <v>0</v>
      </c>
      <c r="H762" s="57">
        <v>0</v>
      </c>
      <c r="I762" s="57">
        <v>1.6045513381102654E-5</v>
      </c>
      <c r="J762" s="56">
        <v>1.46033942791064E-4</v>
      </c>
      <c r="L762" s="1388"/>
      <c r="M762" s="1388"/>
      <c r="N762" s="1388"/>
      <c r="O762" s="1388"/>
      <c r="P762" s="1388"/>
      <c r="Q762" s="1388"/>
      <c r="R762" s="1388"/>
    </row>
    <row r="763" spans="2:18" ht="15" thickBot="1">
      <c r="B763" s="65"/>
      <c r="C763" s="51"/>
      <c r="D763" s="57"/>
      <c r="E763" s="57"/>
      <c r="F763" s="57"/>
      <c r="G763" s="57"/>
      <c r="H763" s="57"/>
      <c r="I763" s="1588"/>
      <c r="J763" s="1588"/>
    </row>
    <row r="764" spans="2:18" ht="15" thickTop="1">
      <c r="B764" s="2025"/>
      <c r="C764" s="2025"/>
      <c r="D764" s="2025"/>
      <c r="E764" s="2025"/>
      <c r="F764" s="2025"/>
      <c r="G764" s="2025"/>
      <c r="H764" s="2025"/>
      <c r="I764" s="2025"/>
      <c r="J764" s="2025"/>
    </row>
    <row r="765" spans="2:18">
      <c r="B765" s="64"/>
      <c r="C765" s="339"/>
      <c r="D765" s="302"/>
      <c r="E765" s="302"/>
      <c r="F765" s="302"/>
      <c r="G765" s="302"/>
      <c r="H765" s="302"/>
      <c r="I765" s="302"/>
      <c r="J765" s="439"/>
    </row>
    <row r="766" spans="2:18">
      <c r="B766" s="1328" t="s">
        <v>271</v>
      </c>
      <c r="C766" s="1587"/>
      <c r="D766" s="1328"/>
      <c r="E766" s="1328"/>
      <c r="F766" s="1328"/>
      <c r="G766" s="1328"/>
      <c r="H766" s="1328"/>
      <c r="I766" s="1328"/>
      <c r="J766" s="1535"/>
    </row>
    <row r="767" spans="2:18">
      <c r="B767" s="12" t="s">
        <v>270</v>
      </c>
      <c r="C767" s="339"/>
      <c r="D767" s="302"/>
      <c r="E767" s="302"/>
      <c r="F767" s="302"/>
      <c r="G767" s="302"/>
      <c r="H767" s="302"/>
      <c r="I767" s="302"/>
      <c r="J767" s="439"/>
    </row>
    <row r="768" spans="2:18">
      <c r="B768" s="77" t="s">
        <v>269</v>
      </c>
      <c r="C768" s="339"/>
      <c r="D768" s="302"/>
      <c r="E768" s="302"/>
      <c r="F768" s="302"/>
      <c r="G768" s="302"/>
      <c r="H768" s="302"/>
      <c r="I768" s="302"/>
      <c r="J768" s="439"/>
    </row>
    <row r="769" spans="2:10">
      <c r="B769" s="76"/>
      <c r="C769" s="339"/>
      <c r="D769" s="302"/>
      <c r="E769" s="302"/>
      <c r="F769" s="302"/>
      <c r="G769" s="302"/>
      <c r="H769" s="302"/>
      <c r="I769" s="302"/>
      <c r="J769" s="439"/>
    </row>
    <row r="770" spans="2:10">
      <c r="B770" s="61"/>
      <c r="C770" s="1536">
        <v>2014</v>
      </c>
      <c r="D770" s="303">
        <v>2015</v>
      </c>
      <c r="E770" s="303">
        <v>2016</v>
      </c>
      <c r="F770" s="303">
        <v>2017</v>
      </c>
      <c r="G770" s="303">
        <v>2018</v>
      </c>
      <c r="H770" s="303">
        <v>2019</v>
      </c>
      <c r="I770" s="303">
        <v>2020</v>
      </c>
      <c r="J770" s="303">
        <v>2021</v>
      </c>
    </row>
    <row r="771" spans="2:10">
      <c r="B771" s="76" t="s">
        <v>94</v>
      </c>
      <c r="C771" s="339"/>
      <c r="D771" s="302"/>
      <c r="E771" s="302"/>
      <c r="F771" s="302"/>
      <c r="G771" s="302"/>
      <c r="H771" s="302"/>
      <c r="I771" s="302"/>
      <c r="J771" s="439"/>
    </row>
    <row r="772" spans="2:10">
      <c r="B772" s="71" t="s">
        <v>265</v>
      </c>
      <c r="C772" s="321">
        <v>31</v>
      </c>
      <c r="D772" s="321">
        <v>31</v>
      </c>
      <c r="E772" s="321">
        <v>29</v>
      </c>
      <c r="F772" s="321">
        <v>29</v>
      </c>
      <c r="G772" s="321">
        <v>29</v>
      </c>
      <c r="H772" s="321">
        <v>29</v>
      </c>
      <c r="I772" s="321">
        <v>29</v>
      </c>
      <c r="J772" s="306">
        <v>29</v>
      </c>
    </row>
    <row r="773" spans="2:10">
      <c r="B773" s="52" t="s">
        <v>262</v>
      </c>
      <c r="C773" s="321">
        <v>1</v>
      </c>
      <c r="D773" s="321">
        <v>1</v>
      </c>
      <c r="E773" s="321">
        <v>1</v>
      </c>
      <c r="F773" s="321">
        <v>1</v>
      </c>
      <c r="G773" s="321">
        <v>1</v>
      </c>
      <c r="H773" s="321">
        <v>1</v>
      </c>
      <c r="I773" s="321">
        <v>1</v>
      </c>
      <c r="J773" s="306">
        <v>1</v>
      </c>
    </row>
    <row r="774" spans="2:10" ht="15" customHeight="1">
      <c r="B774" s="52" t="s">
        <v>261</v>
      </c>
      <c r="C774" s="321">
        <v>0</v>
      </c>
      <c r="D774" s="321">
        <v>0</v>
      </c>
      <c r="E774" s="321">
        <v>0</v>
      </c>
      <c r="F774" s="321">
        <v>0</v>
      </c>
      <c r="G774" s="321">
        <v>0</v>
      </c>
      <c r="H774" s="321">
        <v>0</v>
      </c>
      <c r="I774" s="321">
        <v>0</v>
      </c>
      <c r="J774" s="306">
        <v>0</v>
      </c>
    </row>
    <row r="775" spans="2:10">
      <c r="B775" s="52" t="s">
        <v>260</v>
      </c>
      <c r="C775" s="321">
        <v>28</v>
      </c>
      <c r="D775" s="321">
        <v>28</v>
      </c>
      <c r="E775" s="321">
        <v>26</v>
      </c>
      <c r="F775" s="321">
        <v>26</v>
      </c>
      <c r="G775" s="321">
        <v>26</v>
      </c>
      <c r="H775" s="321">
        <v>26</v>
      </c>
      <c r="I775" s="321">
        <v>25</v>
      </c>
      <c r="J775" s="306">
        <v>25</v>
      </c>
    </row>
    <row r="776" spans="2:10">
      <c r="B776" s="52" t="s">
        <v>117</v>
      </c>
      <c r="C776" s="321">
        <v>2</v>
      </c>
      <c r="D776" s="321">
        <v>2</v>
      </c>
      <c r="E776" s="321">
        <v>2</v>
      </c>
      <c r="F776" s="321">
        <v>2</v>
      </c>
      <c r="G776" s="321">
        <v>2</v>
      </c>
      <c r="H776" s="321">
        <v>2</v>
      </c>
      <c r="I776" s="321">
        <v>3</v>
      </c>
      <c r="J776" s="306">
        <v>3</v>
      </c>
    </row>
    <row r="777" spans="2:10">
      <c r="B777" s="52"/>
      <c r="C777" s="321"/>
      <c r="D777" s="321"/>
      <c r="E777" s="321"/>
      <c r="F777" s="321"/>
      <c r="G777" s="321"/>
      <c r="H777" s="321"/>
      <c r="I777" s="321"/>
      <c r="J777" s="306"/>
    </row>
    <row r="778" spans="2:10">
      <c r="B778" s="71" t="s">
        <v>264</v>
      </c>
      <c r="C778" s="321">
        <v>31</v>
      </c>
      <c r="D778" s="321">
        <v>31</v>
      </c>
      <c r="E778" s="321">
        <v>29</v>
      </c>
      <c r="F778" s="321">
        <v>29</v>
      </c>
      <c r="G778" s="321">
        <v>29</v>
      </c>
      <c r="H778" s="321">
        <v>29</v>
      </c>
      <c r="I778" s="321">
        <v>29</v>
      </c>
      <c r="J778" s="306">
        <v>29</v>
      </c>
    </row>
    <row r="779" spans="2:10">
      <c r="B779" s="52" t="s">
        <v>262</v>
      </c>
      <c r="C779" s="321">
        <v>1</v>
      </c>
      <c r="D779" s="321">
        <v>1</v>
      </c>
      <c r="E779" s="321">
        <v>1</v>
      </c>
      <c r="F779" s="321">
        <v>1</v>
      </c>
      <c r="G779" s="321">
        <v>1</v>
      </c>
      <c r="H779" s="321">
        <v>1</v>
      </c>
      <c r="I779" s="321">
        <v>1</v>
      </c>
      <c r="J779" s="306">
        <v>1</v>
      </c>
    </row>
    <row r="780" spans="2:10">
      <c r="B780" s="52" t="s">
        <v>261</v>
      </c>
      <c r="C780" s="321">
        <v>0</v>
      </c>
      <c r="D780" s="321">
        <v>0</v>
      </c>
      <c r="E780" s="321">
        <v>0</v>
      </c>
      <c r="F780" s="321">
        <v>0</v>
      </c>
      <c r="G780" s="321">
        <v>0</v>
      </c>
      <c r="H780" s="321">
        <v>0</v>
      </c>
      <c r="I780" s="321">
        <v>0</v>
      </c>
      <c r="J780" s="306">
        <v>0</v>
      </c>
    </row>
    <row r="781" spans="2:10">
      <c r="B781" s="52" t="s">
        <v>260</v>
      </c>
      <c r="C781" s="321">
        <v>28</v>
      </c>
      <c r="D781" s="321">
        <v>28</v>
      </c>
      <c r="E781" s="321">
        <v>26</v>
      </c>
      <c r="F781" s="321">
        <v>26</v>
      </c>
      <c r="G781" s="321">
        <v>26</v>
      </c>
      <c r="H781" s="321">
        <v>26</v>
      </c>
      <c r="I781" s="321">
        <v>25</v>
      </c>
      <c r="J781" s="306">
        <v>25</v>
      </c>
    </row>
    <row r="782" spans="2:10">
      <c r="B782" s="52" t="s">
        <v>117</v>
      </c>
      <c r="C782" s="321">
        <v>2</v>
      </c>
      <c r="D782" s="321">
        <v>2</v>
      </c>
      <c r="E782" s="321">
        <v>2</v>
      </c>
      <c r="F782" s="321">
        <v>2</v>
      </c>
      <c r="G782" s="321">
        <v>2</v>
      </c>
      <c r="H782" s="321">
        <v>2</v>
      </c>
      <c r="I782" s="321">
        <v>3</v>
      </c>
      <c r="J782" s="306">
        <v>3</v>
      </c>
    </row>
    <row r="783" spans="2:10">
      <c r="B783" s="52"/>
      <c r="C783" s="321"/>
      <c r="D783" s="321"/>
      <c r="E783" s="321"/>
      <c r="F783" s="321"/>
      <c r="G783" s="321"/>
      <c r="H783" s="321"/>
      <c r="I783" s="321"/>
      <c r="J783" s="306"/>
    </row>
    <row r="784" spans="2:10">
      <c r="B784" s="71" t="s">
        <v>263</v>
      </c>
      <c r="C784" s="321">
        <v>0</v>
      </c>
      <c r="D784" s="321">
        <v>0</v>
      </c>
      <c r="E784" s="321">
        <v>0</v>
      </c>
      <c r="F784" s="321">
        <v>0</v>
      </c>
      <c r="G784" s="321">
        <v>0</v>
      </c>
      <c r="H784" s="321">
        <v>0</v>
      </c>
      <c r="I784" s="321">
        <v>0</v>
      </c>
      <c r="J784" s="306">
        <v>0</v>
      </c>
    </row>
    <row r="785" spans="2:10">
      <c r="B785" s="52" t="s">
        <v>262</v>
      </c>
      <c r="C785" s="321">
        <v>0</v>
      </c>
      <c r="D785" s="321">
        <v>0</v>
      </c>
      <c r="E785" s="321">
        <v>0</v>
      </c>
      <c r="F785" s="321">
        <v>0</v>
      </c>
      <c r="G785" s="321">
        <v>0</v>
      </c>
      <c r="H785" s="321">
        <v>0</v>
      </c>
      <c r="I785" s="321">
        <v>0</v>
      </c>
      <c r="J785" s="306">
        <v>0</v>
      </c>
    </row>
    <row r="786" spans="2:10">
      <c r="B786" s="52" t="s">
        <v>261</v>
      </c>
      <c r="C786" s="321">
        <v>0</v>
      </c>
      <c r="D786" s="321">
        <v>0</v>
      </c>
      <c r="E786" s="321">
        <v>0</v>
      </c>
      <c r="F786" s="321">
        <v>0</v>
      </c>
      <c r="G786" s="321">
        <v>0</v>
      </c>
      <c r="H786" s="321">
        <v>0</v>
      </c>
      <c r="I786" s="321">
        <v>0</v>
      </c>
      <c r="J786" s="306">
        <v>0</v>
      </c>
    </row>
    <row r="787" spans="2:10">
      <c r="B787" s="52" t="s">
        <v>260</v>
      </c>
      <c r="C787" s="321">
        <v>0</v>
      </c>
      <c r="D787" s="321">
        <v>0</v>
      </c>
      <c r="E787" s="321">
        <v>0</v>
      </c>
      <c r="F787" s="321">
        <v>0</v>
      </c>
      <c r="G787" s="321">
        <v>0</v>
      </c>
      <c r="H787" s="321">
        <v>0</v>
      </c>
      <c r="I787" s="321">
        <v>0</v>
      </c>
      <c r="J787" s="306">
        <v>0</v>
      </c>
    </row>
    <row r="788" spans="2:10">
      <c r="B788" s="52" t="s">
        <v>117</v>
      </c>
      <c r="C788" s="321">
        <v>0</v>
      </c>
      <c r="D788" s="321">
        <v>0</v>
      </c>
      <c r="E788" s="321">
        <v>0</v>
      </c>
      <c r="F788" s="321">
        <v>0</v>
      </c>
      <c r="G788" s="321">
        <v>0</v>
      </c>
      <c r="H788" s="321">
        <v>0</v>
      </c>
      <c r="I788" s="321">
        <v>0</v>
      </c>
      <c r="J788" s="306">
        <v>0</v>
      </c>
    </row>
    <row r="789" spans="2:10">
      <c r="B789" s="52"/>
      <c r="C789" s="321"/>
      <c r="D789" s="321"/>
      <c r="E789" s="321"/>
      <c r="F789" s="321"/>
      <c r="G789" s="321"/>
      <c r="H789" s="321"/>
      <c r="I789" s="321"/>
      <c r="J789" s="306"/>
    </row>
    <row r="790" spans="2:10">
      <c r="B790" s="76" t="s">
        <v>489</v>
      </c>
      <c r="C790" s="339"/>
      <c r="D790" s="302"/>
      <c r="E790" s="302"/>
      <c r="F790" s="302"/>
      <c r="G790" s="302"/>
      <c r="H790" s="302"/>
      <c r="I790" s="302"/>
      <c r="J790" s="439"/>
    </row>
    <row r="791" spans="2:10">
      <c r="B791" s="71" t="s">
        <v>265</v>
      </c>
      <c r="C791" s="321"/>
      <c r="D791" s="321">
        <v>31</v>
      </c>
      <c r="E791" s="321">
        <v>29</v>
      </c>
      <c r="F791" s="321">
        <v>29</v>
      </c>
      <c r="G791" s="321">
        <v>29</v>
      </c>
      <c r="H791" s="321">
        <v>29</v>
      </c>
      <c r="I791" s="321">
        <v>29</v>
      </c>
      <c r="J791" s="306">
        <v>29</v>
      </c>
    </row>
    <row r="792" spans="2:10">
      <c r="B792" s="52" t="s">
        <v>262</v>
      </c>
      <c r="C792" s="321"/>
      <c r="D792" s="321">
        <v>1</v>
      </c>
      <c r="E792" s="321">
        <v>1</v>
      </c>
      <c r="F792" s="321">
        <v>1</v>
      </c>
      <c r="G792" s="321">
        <v>1</v>
      </c>
      <c r="H792" s="321">
        <v>1</v>
      </c>
      <c r="I792" s="321">
        <v>1</v>
      </c>
      <c r="J792" s="306">
        <v>1</v>
      </c>
    </row>
    <row r="793" spans="2:10">
      <c r="B793" s="52" t="s">
        <v>261</v>
      </c>
      <c r="C793" s="321"/>
      <c r="D793" s="321">
        <v>0</v>
      </c>
      <c r="E793" s="321">
        <v>0</v>
      </c>
      <c r="F793" s="321">
        <v>0</v>
      </c>
      <c r="G793" s="321">
        <v>0</v>
      </c>
      <c r="H793" s="321">
        <v>0</v>
      </c>
      <c r="I793" s="321">
        <v>0</v>
      </c>
      <c r="J793" s="306">
        <v>0</v>
      </c>
    </row>
    <row r="794" spans="2:10">
      <c r="B794" s="52" t="s">
        <v>260</v>
      </c>
      <c r="C794" s="321"/>
      <c r="D794" s="321">
        <v>28</v>
      </c>
      <c r="E794" s="321">
        <v>26</v>
      </c>
      <c r="F794" s="321">
        <v>26</v>
      </c>
      <c r="G794" s="321">
        <v>26</v>
      </c>
      <c r="H794" s="321">
        <v>26</v>
      </c>
      <c r="I794" s="321">
        <v>25</v>
      </c>
      <c r="J794" s="306">
        <v>25</v>
      </c>
    </row>
    <row r="795" spans="2:10">
      <c r="B795" s="52" t="s">
        <v>117</v>
      </c>
      <c r="C795" s="321"/>
      <c r="D795" s="321">
        <v>2</v>
      </c>
      <c r="E795" s="321">
        <v>2</v>
      </c>
      <c r="F795" s="321">
        <v>2</v>
      </c>
      <c r="G795" s="321">
        <v>2</v>
      </c>
      <c r="H795" s="321">
        <v>2</v>
      </c>
      <c r="I795" s="321">
        <v>3</v>
      </c>
      <c r="J795" s="306">
        <v>3</v>
      </c>
    </row>
    <row r="796" spans="2:10">
      <c r="B796" s="52"/>
      <c r="C796" s="321"/>
      <c r="D796" s="321"/>
      <c r="E796" s="321"/>
      <c r="F796" s="321"/>
      <c r="G796" s="321"/>
      <c r="H796" s="321"/>
      <c r="I796" s="321"/>
      <c r="J796" s="306"/>
    </row>
    <row r="797" spans="2:10">
      <c r="B797" s="71" t="s">
        <v>264</v>
      </c>
      <c r="C797" s="321"/>
      <c r="D797" s="321">
        <v>31</v>
      </c>
      <c r="E797" s="321">
        <v>29</v>
      </c>
      <c r="F797" s="321">
        <v>29</v>
      </c>
      <c r="G797" s="321">
        <v>29</v>
      </c>
      <c r="H797" s="321">
        <v>29</v>
      </c>
      <c r="I797" s="321">
        <v>29</v>
      </c>
      <c r="J797" s="306">
        <v>29</v>
      </c>
    </row>
    <row r="798" spans="2:10">
      <c r="B798" s="52" t="s">
        <v>262</v>
      </c>
      <c r="C798" s="321"/>
      <c r="D798" s="321">
        <v>1</v>
      </c>
      <c r="E798" s="321">
        <v>1</v>
      </c>
      <c r="F798" s="321">
        <v>1</v>
      </c>
      <c r="G798" s="321">
        <v>1</v>
      </c>
      <c r="H798" s="321">
        <v>1</v>
      </c>
      <c r="I798" s="321">
        <v>1</v>
      </c>
      <c r="J798" s="306">
        <v>1</v>
      </c>
    </row>
    <row r="799" spans="2:10">
      <c r="B799" s="52" t="s">
        <v>261</v>
      </c>
      <c r="C799" s="321"/>
      <c r="D799" s="321">
        <v>0</v>
      </c>
      <c r="E799" s="321">
        <v>0</v>
      </c>
      <c r="F799" s="321">
        <v>0</v>
      </c>
      <c r="G799" s="321">
        <v>0</v>
      </c>
      <c r="H799" s="321">
        <v>0</v>
      </c>
      <c r="I799" s="321">
        <v>0</v>
      </c>
      <c r="J799" s="306">
        <v>0</v>
      </c>
    </row>
    <row r="800" spans="2:10">
      <c r="B800" s="52" t="s">
        <v>260</v>
      </c>
      <c r="C800" s="321"/>
      <c r="D800" s="321">
        <v>28</v>
      </c>
      <c r="E800" s="321">
        <v>26</v>
      </c>
      <c r="F800" s="321">
        <v>26</v>
      </c>
      <c r="G800" s="321">
        <v>26</v>
      </c>
      <c r="H800" s="321">
        <v>26</v>
      </c>
      <c r="I800" s="321">
        <v>25</v>
      </c>
      <c r="J800" s="306">
        <v>25</v>
      </c>
    </row>
    <row r="801" spans="2:10">
      <c r="B801" s="52" t="s">
        <v>117</v>
      </c>
      <c r="C801" s="321"/>
      <c r="D801" s="321">
        <v>2</v>
      </c>
      <c r="E801" s="321">
        <v>2</v>
      </c>
      <c r="F801" s="321">
        <v>2</v>
      </c>
      <c r="G801" s="321">
        <v>2</v>
      </c>
      <c r="H801" s="321">
        <v>2</v>
      </c>
      <c r="I801" s="321">
        <v>3</v>
      </c>
      <c r="J801" s="306">
        <v>3</v>
      </c>
    </row>
    <row r="802" spans="2:10">
      <c r="B802" s="52"/>
      <c r="C802" s="321"/>
      <c r="D802" s="321"/>
      <c r="E802" s="321"/>
      <c r="F802" s="321"/>
      <c r="G802" s="321"/>
      <c r="H802" s="321"/>
      <c r="I802" s="321"/>
      <c r="J802" s="306"/>
    </row>
    <row r="803" spans="2:10">
      <c r="B803" s="71" t="s">
        <v>263</v>
      </c>
      <c r="C803" s="321"/>
      <c r="D803" s="321">
        <v>0</v>
      </c>
      <c r="E803" s="321">
        <v>0</v>
      </c>
      <c r="F803" s="321">
        <v>0</v>
      </c>
      <c r="G803" s="321">
        <v>0</v>
      </c>
      <c r="H803" s="321">
        <v>0</v>
      </c>
      <c r="I803" s="321">
        <v>0</v>
      </c>
      <c r="J803" s="306">
        <v>0</v>
      </c>
    </row>
    <row r="804" spans="2:10">
      <c r="B804" s="52" t="s">
        <v>262</v>
      </c>
      <c r="C804" s="321"/>
      <c r="D804" s="321">
        <v>0</v>
      </c>
      <c r="E804" s="321">
        <v>0</v>
      </c>
      <c r="F804" s="321">
        <v>0</v>
      </c>
      <c r="G804" s="321">
        <v>0</v>
      </c>
      <c r="H804" s="321">
        <v>0</v>
      </c>
      <c r="I804" s="321">
        <v>0</v>
      </c>
      <c r="J804" s="306">
        <v>0</v>
      </c>
    </row>
    <row r="805" spans="2:10">
      <c r="B805" s="52" t="s">
        <v>261</v>
      </c>
      <c r="C805" s="321"/>
      <c r="D805" s="321">
        <v>0</v>
      </c>
      <c r="E805" s="321">
        <v>0</v>
      </c>
      <c r="F805" s="321">
        <v>0</v>
      </c>
      <c r="G805" s="321">
        <v>0</v>
      </c>
      <c r="H805" s="321">
        <v>0</v>
      </c>
      <c r="I805" s="321">
        <v>0</v>
      </c>
      <c r="J805" s="306">
        <v>0</v>
      </c>
    </row>
    <row r="806" spans="2:10">
      <c r="B806" s="52" t="s">
        <v>260</v>
      </c>
      <c r="C806" s="321"/>
      <c r="D806" s="321">
        <v>0</v>
      </c>
      <c r="E806" s="321">
        <v>0</v>
      </c>
      <c r="F806" s="321">
        <v>0</v>
      </c>
      <c r="G806" s="321">
        <v>0</v>
      </c>
      <c r="H806" s="321">
        <v>0</v>
      </c>
      <c r="I806" s="321">
        <v>0</v>
      </c>
      <c r="J806" s="306">
        <v>0</v>
      </c>
    </row>
    <row r="807" spans="2:10">
      <c r="B807" s="52" t="s">
        <v>117</v>
      </c>
      <c r="C807" s="321"/>
      <c r="D807" s="321">
        <v>0</v>
      </c>
      <c r="E807" s="321">
        <v>0</v>
      </c>
      <c r="F807" s="321">
        <v>0</v>
      </c>
      <c r="G807" s="321">
        <v>0</v>
      </c>
      <c r="H807" s="321">
        <v>0</v>
      </c>
      <c r="I807" s="321">
        <v>0</v>
      </c>
      <c r="J807" s="306">
        <v>0</v>
      </c>
    </row>
    <row r="808" spans="2:10">
      <c r="B808" s="2066"/>
      <c r="C808" s="2066"/>
      <c r="D808" s="2066"/>
      <c r="E808" s="2066"/>
      <c r="F808" s="2066"/>
      <c r="G808" s="2066"/>
      <c r="H808" s="2066"/>
      <c r="I808" s="2066"/>
      <c r="J808" s="2066"/>
    </row>
    <row r="809" spans="2:10">
      <c r="B809" s="62"/>
      <c r="C809" s="339"/>
      <c r="D809" s="302"/>
      <c r="E809" s="302"/>
      <c r="F809" s="302"/>
      <c r="G809" s="302"/>
      <c r="H809" s="302"/>
      <c r="I809" s="302"/>
      <c r="J809" s="439"/>
    </row>
    <row r="810" spans="2:10">
      <c r="B810" s="1328" t="s">
        <v>258</v>
      </c>
      <c r="C810" s="1587"/>
      <c r="D810" s="1328"/>
      <c r="E810" s="1328"/>
      <c r="F810" s="1328"/>
      <c r="G810" s="1328"/>
      <c r="H810" s="1328"/>
      <c r="I810" s="1328"/>
      <c r="J810" s="1535"/>
    </row>
    <row r="811" spans="2:10">
      <c r="B811" s="12" t="s">
        <v>257</v>
      </c>
      <c r="C811" s="339"/>
      <c r="D811" s="302"/>
      <c r="E811" s="302"/>
      <c r="F811" s="302"/>
      <c r="G811" s="302"/>
      <c r="H811" s="302"/>
      <c r="I811" s="302"/>
      <c r="J811" s="439"/>
    </row>
    <row r="812" spans="2:10">
      <c r="B812" s="77" t="s">
        <v>256</v>
      </c>
      <c r="C812" s="339"/>
      <c r="D812" s="302"/>
      <c r="E812" s="302"/>
      <c r="F812" s="302"/>
      <c r="G812" s="302"/>
      <c r="H812" s="302"/>
      <c r="I812" s="302"/>
      <c r="J812" s="439"/>
    </row>
    <row r="813" spans="2:10">
      <c r="B813" s="62"/>
      <c r="C813" s="339"/>
      <c r="D813" s="302"/>
      <c r="E813" s="302"/>
      <c r="F813" s="302"/>
      <c r="G813" s="302"/>
      <c r="H813" s="302"/>
      <c r="I813" s="302"/>
      <c r="J813" s="439"/>
    </row>
    <row r="814" spans="2:10">
      <c r="B814" s="61"/>
      <c r="C814" s="1536">
        <v>2014</v>
      </c>
      <c r="D814" s="303">
        <v>2015</v>
      </c>
      <c r="E814" s="303">
        <v>2016</v>
      </c>
      <c r="F814" s="303">
        <v>2017</v>
      </c>
      <c r="G814" s="303">
        <v>2018</v>
      </c>
      <c r="H814" s="303">
        <v>2019</v>
      </c>
      <c r="I814" s="303">
        <v>2020</v>
      </c>
      <c r="J814" s="303">
        <v>2021</v>
      </c>
    </row>
    <row r="815" spans="2:10">
      <c r="B815" s="1571" t="s">
        <v>2046</v>
      </c>
      <c r="C815" s="339"/>
      <c r="D815" s="302"/>
      <c r="E815" s="302"/>
      <c r="F815" s="302"/>
      <c r="G815" s="302"/>
      <c r="H815" s="302"/>
      <c r="I815" s="302"/>
      <c r="J815" s="439"/>
    </row>
    <row r="816" spans="2:10" ht="25">
      <c r="B816" s="71" t="s">
        <v>247</v>
      </c>
      <c r="C816" s="1589">
        <v>0.03</v>
      </c>
      <c r="D816" s="1589">
        <v>1.0999999999999999E-2</v>
      </c>
      <c r="E816" s="1589">
        <v>4.4999999999999998E-2</v>
      </c>
      <c r="F816" s="1589">
        <v>4.7E-2</v>
      </c>
      <c r="G816" s="1589">
        <v>3.9E-2</v>
      </c>
      <c r="H816" s="1589">
        <v>3.6999999999999998E-2</v>
      </c>
      <c r="I816" s="1589">
        <v>4.2999999999999997E-2</v>
      </c>
      <c r="J816" s="1590">
        <v>5.8999999999999997E-2</v>
      </c>
    </row>
    <row r="817" spans="2:10">
      <c r="B817" s="52" t="s">
        <v>121</v>
      </c>
      <c r="C817" s="1589">
        <v>0.03</v>
      </c>
      <c r="D817" s="1589">
        <v>1.0999999999999999E-2</v>
      </c>
      <c r="E817" s="1589">
        <v>4.4999999999999998E-2</v>
      </c>
      <c r="F817" s="1589">
        <v>4.7E-2</v>
      </c>
      <c r="G817" s="1589">
        <v>3.9E-2</v>
      </c>
      <c r="H817" s="1589">
        <v>3.6999999999999998E-2</v>
      </c>
      <c r="I817" s="1589">
        <v>4.2999999999999997E-2</v>
      </c>
      <c r="J817" s="1590">
        <v>5.8999999999999997E-2</v>
      </c>
    </row>
    <row r="818" spans="2:10">
      <c r="B818" s="53" t="s">
        <v>120</v>
      </c>
      <c r="C818" s="1589">
        <v>2.5000000000000001E-2</v>
      </c>
      <c r="D818" s="1589">
        <v>8.0000000000000002E-3</v>
      </c>
      <c r="E818" s="1589">
        <v>2.4E-2</v>
      </c>
      <c r="F818" s="1589">
        <v>2.3E-2</v>
      </c>
      <c r="G818" s="1589">
        <v>1.7999999999999999E-2</v>
      </c>
      <c r="H818" s="1589">
        <v>1.7999999999999999E-2</v>
      </c>
      <c r="I818" s="1589">
        <v>1.7999999999999999E-2</v>
      </c>
      <c r="J818" s="1590">
        <v>2.7E-2</v>
      </c>
    </row>
    <row r="819" spans="2:10">
      <c r="B819" s="53" t="s">
        <v>119</v>
      </c>
      <c r="C819" s="1589">
        <v>5.0000000000000001E-3</v>
      </c>
      <c r="D819" s="1589">
        <v>3.0000000000000001E-3</v>
      </c>
      <c r="E819" s="1589">
        <v>2.0999999999999998E-2</v>
      </c>
      <c r="F819" s="1589">
        <v>2.4E-2</v>
      </c>
      <c r="G819" s="1589">
        <v>2.1000000000000001E-2</v>
      </c>
      <c r="H819" s="1589">
        <v>1.9E-2</v>
      </c>
      <c r="I819" s="1589">
        <v>2.5000000000000001E-2</v>
      </c>
      <c r="J819" s="1590">
        <v>3.2000000000000001E-2</v>
      </c>
    </row>
    <row r="820" spans="2:10">
      <c r="B820" s="52" t="s">
        <v>118</v>
      </c>
      <c r="C820" s="1589">
        <v>0</v>
      </c>
      <c r="D820" s="1589">
        <v>0</v>
      </c>
      <c r="E820" s="1589">
        <v>0</v>
      </c>
      <c r="F820" s="1589">
        <v>0</v>
      </c>
      <c r="G820" s="1589">
        <v>0</v>
      </c>
      <c r="H820" s="1589">
        <v>0</v>
      </c>
      <c r="I820" s="1589">
        <v>0</v>
      </c>
      <c r="J820" s="1590">
        <v>0</v>
      </c>
    </row>
    <row r="821" spans="2:10">
      <c r="B821" s="52" t="s">
        <v>117</v>
      </c>
      <c r="C821" s="1589">
        <v>0</v>
      </c>
      <c r="D821" s="1589">
        <v>0</v>
      </c>
      <c r="E821" s="1589">
        <v>0</v>
      </c>
      <c r="F821" s="1589">
        <v>0</v>
      </c>
      <c r="G821" s="1589">
        <v>0</v>
      </c>
      <c r="H821" s="1589">
        <v>0</v>
      </c>
      <c r="I821" s="1589">
        <v>0</v>
      </c>
      <c r="J821" s="1590">
        <v>0</v>
      </c>
    </row>
    <row r="822" spans="2:10">
      <c r="B822" s="52"/>
      <c r="C822" s="1589"/>
      <c r="D822" s="1589"/>
      <c r="E822" s="1589"/>
      <c r="F822" s="1589"/>
      <c r="G822" s="1589"/>
      <c r="H822" s="1589"/>
      <c r="I822" s="1589"/>
      <c r="J822" s="1590"/>
    </row>
    <row r="823" spans="2:10">
      <c r="B823" s="1571" t="s">
        <v>2047</v>
      </c>
      <c r="C823" s="1589"/>
      <c r="D823" s="1589"/>
      <c r="E823" s="1589"/>
      <c r="F823" s="1589"/>
      <c r="G823" s="1589"/>
      <c r="H823" s="1589"/>
      <c r="I823" s="1589"/>
      <c r="J823" s="1590"/>
    </row>
    <row r="824" spans="2:10" ht="25">
      <c r="B824" s="71" t="s">
        <v>247</v>
      </c>
      <c r="C824" s="1589">
        <v>8.8999999999999996E-2</v>
      </c>
      <c r="D824" s="1589">
        <v>0.17199999999999999</v>
      </c>
      <c r="E824" s="1589">
        <v>0.14000000000000001</v>
      </c>
      <c r="F824" s="1589">
        <v>6.6000000000000003E-2</v>
      </c>
      <c r="G824" s="1589">
        <v>8.8999999999999996E-2</v>
      </c>
      <c r="H824" s="1589">
        <v>0.111</v>
      </c>
      <c r="I824" s="1589">
        <v>0.121</v>
      </c>
      <c r="J824" s="1590">
        <v>0.14000000000000001</v>
      </c>
    </row>
    <row r="825" spans="2:10">
      <c r="B825" s="52" t="s">
        <v>121</v>
      </c>
      <c r="C825" s="1589">
        <v>7.6999999999999999E-2</v>
      </c>
      <c r="D825" s="1589">
        <v>0.16700000000000001</v>
      </c>
      <c r="E825" s="1589">
        <v>0.125</v>
      </c>
      <c r="F825" s="1589">
        <v>6.5000000000000002E-2</v>
      </c>
      <c r="G825" s="1589">
        <v>0.08</v>
      </c>
      <c r="H825" s="1589">
        <v>8.6999999999999994E-2</v>
      </c>
      <c r="I825" s="1589">
        <v>0.104</v>
      </c>
      <c r="J825" s="1590">
        <v>0.121</v>
      </c>
    </row>
    <row r="826" spans="2:10">
      <c r="B826" s="53" t="s">
        <v>120</v>
      </c>
      <c r="C826" s="1589">
        <v>6.0000000000000001E-3</v>
      </c>
      <c r="D826" s="1589">
        <v>0</v>
      </c>
      <c r="E826" s="1589">
        <v>3.0000000000000001E-3</v>
      </c>
      <c r="F826" s="1589">
        <v>2E-3</v>
      </c>
      <c r="G826" s="1589">
        <v>8.0000000000000002E-3</v>
      </c>
      <c r="H826" s="1589">
        <v>1.6E-2</v>
      </c>
      <c r="I826" s="1589">
        <v>1.4999999999999999E-2</v>
      </c>
      <c r="J826" s="1590">
        <v>0</v>
      </c>
    </row>
    <row r="827" spans="2:10">
      <c r="B827" s="53" t="s">
        <v>119</v>
      </c>
      <c r="C827" s="1589">
        <v>7.0999999999999994E-2</v>
      </c>
      <c r="D827" s="1589">
        <v>0.16699999999999998</v>
      </c>
      <c r="E827" s="1589">
        <v>0.125</v>
      </c>
      <c r="F827" s="1589">
        <v>6.3E-2</v>
      </c>
      <c r="G827" s="1589">
        <v>0.08</v>
      </c>
      <c r="H827" s="1589">
        <v>8.6999999999999994E-2</v>
      </c>
      <c r="I827" s="1589">
        <v>0.104</v>
      </c>
      <c r="J827" s="1590">
        <v>0.121</v>
      </c>
    </row>
    <row r="828" spans="2:10">
      <c r="B828" s="52" t="s">
        <v>118</v>
      </c>
      <c r="C828" s="1589">
        <v>0</v>
      </c>
      <c r="D828" s="1589">
        <v>0</v>
      </c>
      <c r="E828" s="1589">
        <v>0</v>
      </c>
      <c r="F828" s="1589">
        <v>0</v>
      </c>
      <c r="G828" s="1589">
        <v>0</v>
      </c>
      <c r="H828" s="1589">
        <v>8.0000000000000002E-3</v>
      </c>
      <c r="I828" s="1589">
        <v>2E-3</v>
      </c>
      <c r="J828" s="1590">
        <v>1.9E-2</v>
      </c>
    </row>
    <row r="829" spans="2:10" ht="15" thickBot="1">
      <c r="B829" s="52" t="s">
        <v>117</v>
      </c>
      <c r="C829" s="1589">
        <v>1.2E-2</v>
      </c>
      <c r="D829" s="1589">
        <v>5.0000000000000001E-3</v>
      </c>
      <c r="E829" s="1589">
        <v>1.2E-2</v>
      </c>
      <c r="F829" s="1589">
        <v>1E-3</v>
      </c>
      <c r="G829" s="1589">
        <v>1E-3</v>
      </c>
      <c r="H829" s="1589">
        <v>1.6E-2</v>
      </c>
      <c r="I829" s="1589">
        <v>0</v>
      </c>
      <c r="J829" s="1590">
        <v>5.0000000000000001E-3</v>
      </c>
    </row>
    <row r="830" spans="2:10" ht="15" thickTop="1">
      <c r="B830" s="181" t="s">
        <v>2048</v>
      </c>
      <c r="C830" s="1591"/>
      <c r="D830" s="181"/>
      <c r="E830" s="181"/>
      <c r="F830" s="181"/>
      <c r="G830" s="181"/>
      <c r="H830" s="181"/>
      <c r="I830" s="181"/>
      <c r="J830" s="1533"/>
    </row>
    <row r="831" spans="2:10">
      <c r="B831" s="2066" t="s">
        <v>2049</v>
      </c>
      <c r="C831" s="2066"/>
      <c r="D831" s="2066"/>
      <c r="E831" s="2066"/>
      <c r="F831" s="2066"/>
      <c r="G831" s="2066"/>
      <c r="H831" s="2066"/>
      <c r="I831" s="2066"/>
      <c r="J831" s="2066"/>
    </row>
    <row r="832" spans="2:10">
      <c r="B832" s="69"/>
      <c r="C832" s="1592"/>
      <c r="D832" s="69"/>
      <c r="E832" s="69"/>
      <c r="F832" s="69"/>
      <c r="G832" s="69"/>
      <c r="H832" s="69"/>
      <c r="I832" s="69"/>
      <c r="J832" s="1534"/>
    </row>
    <row r="833" spans="2:18">
      <c r="B833" s="64"/>
      <c r="C833" s="339"/>
      <c r="D833" s="302"/>
      <c r="E833" s="302"/>
      <c r="F833" s="302"/>
      <c r="G833" s="302"/>
      <c r="H833" s="302"/>
      <c r="I833" s="302"/>
      <c r="J833" s="439"/>
    </row>
    <row r="834" spans="2:18">
      <c r="B834" s="1328" t="s">
        <v>244</v>
      </c>
      <c r="C834" s="1587"/>
      <c r="D834" s="1328"/>
      <c r="E834" s="1328"/>
      <c r="F834" s="1328"/>
      <c r="G834" s="1328"/>
      <c r="H834" s="1328"/>
      <c r="I834" s="1328"/>
      <c r="J834" s="1535"/>
    </row>
    <row r="835" spans="2:18">
      <c r="B835" s="12" t="s">
        <v>243</v>
      </c>
      <c r="C835" s="339"/>
      <c r="D835" s="302"/>
      <c r="E835" s="302"/>
      <c r="F835" s="302"/>
      <c r="G835" s="302"/>
      <c r="H835" s="302"/>
      <c r="I835" s="302"/>
      <c r="J835" s="439"/>
    </row>
    <row r="836" spans="2:18">
      <c r="B836" s="62" t="s">
        <v>242</v>
      </c>
      <c r="C836" s="339"/>
      <c r="D836" s="302"/>
      <c r="E836" s="302"/>
      <c r="F836" s="302"/>
      <c r="G836" s="302"/>
      <c r="H836" s="302"/>
      <c r="I836" s="302"/>
      <c r="J836" s="439"/>
    </row>
    <row r="837" spans="2:18">
      <c r="B837" s="64"/>
      <c r="C837" s="339"/>
      <c r="D837" s="302"/>
      <c r="E837" s="302"/>
      <c r="F837" s="302"/>
      <c r="G837" s="302"/>
      <c r="H837" s="302"/>
      <c r="I837" s="302"/>
      <c r="J837" s="439"/>
    </row>
    <row r="838" spans="2:18">
      <c r="B838" s="61"/>
      <c r="C838" s="1536">
        <v>2014</v>
      </c>
      <c r="D838" s="303">
        <v>2015</v>
      </c>
      <c r="E838" s="303">
        <v>2016</v>
      </c>
      <c r="F838" s="303">
        <v>2017</v>
      </c>
      <c r="G838" s="303">
        <v>2018</v>
      </c>
      <c r="H838" s="303">
        <v>2019</v>
      </c>
      <c r="I838" s="303">
        <v>2020</v>
      </c>
      <c r="J838" s="303">
        <v>2021</v>
      </c>
    </row>
    <row r="839" spans="2:18">
      <c r="B839" s="114" t="s">
        <v>1319</v>
      </c>
      <c r="C839" s="339"/>
      <c r="D839" s="302"/>
      <c r="E839" s="302"/>
      <c r="F839" s="302"/>
      <c r="G839" s="302"/>
      <c r="H839" s="302"/>
      <c r="I839" s="302"/>
      <c r="J839" s="439"/>
      <c r="L839" s="490"/>
      <c r="M839" s="490"/>
      <c r="N839" s="490"/>
      <c r="O839" s="490"/>
      <c r="P839" s="490"/>
      <c r="Q839" s="490"/>
      <c r="R839" s="490"/>
    </row>
    <row r="840" spans="2:18" ht="15" thickBot="1">
      <c r="B840" s="71" t="s">
        <v>239</v>
      </c>
      <c r="C840" s="307">
        <v>0</v>
      </c>
      <c r="D840" s="307">
        <v>1147.4743486514399</v>
      </c>
      <c r="E840" s="307">
        <v>1297.6989979563241</v>
      </c>
      <c r="F840" s="307">
        <v>1655.8515547574627</v>
      </c>
      <c r="G840" s="307">
        <v>1632.9408369602056</v>
      </c>
      <c r="H840" s="307">
        <v>1657.733459788617</v>
      </c>
      <c r="I840" s="306">
        <v>1375.4043842390263</v>
      </c>
      <c r="J840" s="95">
        <v>1419.8132086649468</v>
      </c>
    </row>
    <row r="841" spans="2:18" ht="15" thickTop="1">
      <c r="B841" s="181" t="s">
        <v>2050</v>
      </c>
      <c r="C841" s="1591"/>
      <c r="D841" s="181"/>
      <c r="E841" s="181"/>
      <c r="F841" s="181"/>
      <c r="G841" s="181"/>
      <c r="H841" s="181"/>
      <c r="I841" s="181"/>
      <c r="J841" s="1533"/>
    </row>
    <row r="842" spans="2:18">
      <c r="B842" s="64"/>
      <c r="C842" s="339"/>
      <c r="D842" s="302"/>
      <c r="E842" s="302"/>
      <c r="F842" s="302"/>
      <c r="G842" s="302"/>
      <c r="H842" s="302"/>
      <c r="I842" s="302"/>
      <c r="J842" s="439"/>
    </row>
    <row r="843" spans="2:18">
      <c r="B843" s="1328" t="s">
        <v>238</v>
      </c>
      <c r="C843" s="1587"/>
      <c r="D843" s="1328"/>
      <c r="E843" s="1328"/>
      <c r="F843" s="1328"/>
      <c r="G843" s="1328"/>
      <c r="H843" s="1328"/>
      <c r="I843" s="1328"/>
      <c r="J843" s="1535"/>
    </row>
    <row r="844" spans="2:18">
      <c r="B844" s="12" t="s">
        <v>237</v>
      </c>
      <c r="C844" s="339"/>
      <c r="D844" s="302"/>
      <c r="E844" s="302"/>
      <c r="F844" s="302"/>
      <c r="G844" s="302"/>
      <c r="H844" s="302"/>
      <c r="I844" s="302"/>
      <c r="J844" s="439"/>
    </row>
    <row r="845" spans="2:18">
      <c r="B845" s="62" t="s">
        <v>236</v>
      </c>
      <c r="C845" s="339"/>
      <c r="D845" s="302"/>
      <c r="E845" s="302"/>
      <c r="F845" s="302"/>
      <c r="G845" s="302"/>
      <c r="H845" s="302"/>
      <c r="I845" s="302"/>
      <c r="J845" s="439"/>
    </row>
    <row r="846" spans="2:18">
      <c r="B846" s="64"/>
      <c r="C846" s="339"/>
      <c r="D846" s="302"/>
      <c r="E846" s="302"/>
      <c r="F846" s="302"/>
      <c r="G846" s="302"/>
      <c r="H846" s="302"/>
      <c r="I846" s="302"/>
      <c r="J846" s="439"/>
      <c r="L846" s="1388">
        <v>5799.89</v>
      </c>
      <c r="M846" s="1388">
        <v>5759.23</v>
      </c>
      <c r="N846" s="1388">
        <v>5579.97</v>
      </c>
      <c r="O846" s="1388">
        <v>5960.14</v>
      </c>
      <c r="P846" s="1388">
        <v>6442.33</v>
      </c>
      <c r="Q846" s="1388">
        <v>6891.96</v>
      </c>
      <c r="R846" s="1388">
        <v>7322.9</v>
      </c>
    </row>
    <row r="847" spans="2:18">
      <c r="B847" s="61"/>
      <c r="C847" s="1536">
        <v>2014</v>
      </c>
      <c r="D847" s="303">
        <v>2015</v>
      </c>
      <c r="E847" s="303">
        <v>2016</v>
      </c>
      <c r="F847" s="303">
        <v>2017</v>
      </c>
      <c r="G847" s="303">
        <v>2018</v>
      </c>
      <c r="H847" s="303">
        <v>2019</v>
      </c>
      <c r="I847" s="303">
        <v>2020</v>
      </c>
      <c r="J847" s="303">
        <v>2021</v>
      </c>
    </row>
    <row r="848" spans="2:18" ht="26">
      <c r="B848" s="1571" t="s">
        <v>2051</v>
      </c>
      <c r="C848" s="339"/>
      <c r="D848" s="302"/>
      <c r="E848" s="302"/>
      <c r="F848" s="302"/>
      <c r="G848" s="302"/>
      <c r="H848" s="302"/>
      <c r="I848" s="302"/>
      <c r="J848" s="439"/>
    </row>
    <row r="849" spans="2:11">
      <c r="B849" s="71" t="s">
        <v>231</v>
      </c>
      <c r="C849" s="306">
        <v>3.5470000000000002</v>
      </c>
      <c r="D849" s="306">
        <v>11.1</v>
      </c>
      <c r="E849" s="306">
        <v>9.0399999999999991</v>
      </c>
      <c r="F849" s="306">
        <v>20.931000000000001</v>
      </c>
      <c r="G849" s="306">
        <v>37.834999999999994</v>
      </c>
      <c r="H849" s="306">
        <v>34.07</v>
      </c>
      <c r="I849" s="306">
        <v>15.961</v>
      </c>
      <c r="J849" s="95">
        <v>28.634</v>
      </c>
    </row>
    <row r="850" spans="2:11">
      <c r="B850" s="52" t="s">
        <v>121</v>
      </c>
      <c r="C850" s="306">
        <v>3.5470000000000002</v>
      </c>
      <c r="D850" s="306">
        <v>11.1</v>
      </c>
      <c r="E850" s="306">
        <v>6.8860000000000001</v>
      </c>
      <c r="F850" s="306">
        <v>18.068000000000001</v>
      </c>
      <c r="G850" s="306">
        <v>33.183999999999997</v>
      </c>
      <c r="H850" s="306">
        <v>32.250999999999998</v>
      </c>
      <c r="I850" s="306">
        <v>14.521000000000001</v>
      </c>
      <c r="J850" s="95">
        <v>24.678000000000001</v>
      </c>
    </row>
    <row r="851" spans="2:11">
      <c r="B851" s="53" t="s">
        <v>120</v>
      </c>
      <c r="C851" s="306">
        <v>3.5470000000000002</v>
      </c>
      <c r="D851" s="306">
        <v>0</v>
      </c>
      <c r="E851" s="306">
        <v>2.153999999999999</v>
      </c>
      <c r="F851" s="306">
        <v>2.863</v>
      </c>
      <c r="G851" s="306">
        <v>4.6509999999999998</v>
      </c>
      <c r="H851" s="306">
        <v>1.819</v>
      </c>
      <c r="I851" s="306">
        <v>1.44</v>
      </c>
      <c r="J851" s="95">
        <v>3.956</v>
      </c>
    </row>
    <row r="852" spans="2:11">
      <c r="B852" s="53" t="s">
        <v>119</v>
      </c>
      <c r="C852" s="306">
        <v>0</v>
      </c>
      <c r="D852" s="306">
        <v>0</v>
      </c>
      <c r="E852" s="306">
        <v>0</v>
      </c>
      <c r="F852" s="306">
        <v>0</v>
      </c>
      <c r="G852" s="306">
        <v>0</v>
      </c>
      <c r="H852" s="306">
        <v>0</v>
      </c>
      <c r="I852" s="306">
        <v>0</v>
      </c>
      <c r="J852" s="95">
        <v>0</v>
      </c>
    </row>
    <row r="853" spans="2:11">
      <c r="B853" s="52" t="s">
        <v>118</v>
      </c>
      <c r="C853" s="306">
        <v>0</v>
      </c>
      <c r="D853" s="306">
        <v>0</v>
      </c>
      <c r="E853" s="306">
        <v>0</v>
      </c>
      <c r="F853" s="306">
        <v>0</v>
      </c>
      <c r="G853" s="306">
        <v>0</v>
      </c>
      <c r="H853" s="306">
        <v>0</v>
      </c>
      <c r="I853" s="306">
        <v>0</v>
      </c>
      <c r="J853" s="95">
        <v>0</v>
      </c>
    </row>
    <row r="854" spans="2:11">
      <c r="B854" s="52" t="s">
        <v>117</v>
      </c>
      <c r="C854" s="306">
        <v>0</v>
      </c>
      <c r="D854" s="306">
        <v>0</v>
      </c>
      <c r="E854" s="306">
        <v>0</v>
      </c>
      <c r="F854" s="306">
        <v>0</v>
      </c>
      <c r="G854" s="306">
        <v>0</v>
      </c>
      <c r="H854" s="306">
        <v>0</v>
      </c>
      <c r="I854" s="306"/>
    </row>
    <row r="855" spans="2:11">
      <c r="B855" s="52"/>
      <c r="C855" s="306"/>
      <c r="D855" s="306"/>
      <c r="E855" s="306"/>
      <c r="F855" s="306"/>
      <c r="G855" s="306"/>
      <c r="H855" s="306"/>
      <c r="I855" s="306"/>
    </row>
    <row r="856" spans="2:11" ht="25">
      <c r="B856" s="71" t="s">
        <v>230</v>
      </c>
      <c r="C856" s="306"/>
      <c r="D856" s="306"/>
      <c r="E856" s="306"/>
      <c r="F856" s="306"/>
      <c r="G856" s="306"/>
      <c r="H856" s="306"/>
      <c r="I856" s="306"/>
    </row>
    <row r="857" spans="2:11">
      <c r="B857" s="52" t="s">
        <v>169</v>
      </c>
      <c r="C857" s="306">
        <v>0</v>
      </c>
      <c r="D857" s="306">
        <v>0</v>
      </c>
      <c r="E857" s="306">
        <v>0</v>
      </c>
      <c r="F857" s="306">
        <v>0</v>
      </c>
      <c r="G857" s="306">
        <v>0</v>
      </c>
      <c r="H857" s="306">
        <v>0</v>
      </c>
      <c r="I857" s="306">
        <v>0</v>
      </c>
      <c r="J857" s="306">
        <v>0</v>
      </c>
      <c r="K857" s="306"/>
    </row>
    <row r="858" spans="2:11">
      <c r="B858" s="52" t="s">
        <v>168</v>
      </c>
      <c r="C858" s="306">
        <v>0</v>
      </c>
      <c r="D858" s="306">
        <v>0</v>
      </c>
      <c r="E858" s="306">
        <v>0</v>
      </c>
      <c r="F858" s="306">
        <v>0</v>
      </c>
      <c r="G858" s="306">
        <v>0</v>
      </c>
      <c r="H858" s="306">
        <v>0</v>
      </c>
      <c r="I858" s="306">
        <v>0</v>
      </c>
      <c r="J858" s="306">
        <v>0</v>
      </c>
      <c r="K858" s="306"/>
    </row>
    <row r="859" spans="2:11">
      <c r="B859" s="52" t="s">
        <v>167</v>
      </c>
      <c r="C859" s="306">
        <v>0</v>
      </c>
      <c r="D859" s="306">
        <v>0</v>
      </c>
      <c r="E859" s="306">
        <v>0</v>
      </c>
      <c r="F859" s="306">
        <v>0</v>
      </c>
      <c r="G859" s="306">
        <v>0</v>
      </c>
      <c r="H859" s="306">
        <v>0</v>
      </c>
      <c r="I859" s="306">
        <v>0</v>
      </c>
      <c r="J859" s="306">
        <v>0</v>
      </c>
      <c r="K859" s="306"/>
    </row>
    <row r="860" spans="2:11">
      <c r="B860" s="52" t="s">
        <v>166</v>
      </c>
      <c r="C860" s="306">
        <v>0</v>
      </c>
      <c r="D860" s="306">
        <v>0</v>
      </c>
      <c r="E860" s="306">
        <v>0</v>
      </c>
      <c r="F860" s="306">
        <v>0</v>
      </c>
      <c r="G860" s="306">
        <v>0</v>
      </c>
      <c r="H860" s="306">
        <v>0</v>
      </c>
      <c r="I860" s="306">
        <v>0</v>
      </c>
      <c r="J860" s="306">
        <v>0</v>
      </c>
      <c r="K860" s="306"/>
    </row>
    <row r="861" spans="2:11">
      <c r="B861" s="52" t="s">
        <v>165</v>
      </c>
      <c r="C861" s="306">
        <v>0</v>
      </c>
      <c r="D861" s="306">
        <v>0</v>
      </c>
      <c r="E861" s="306">
        <v>0</v>
      </c>
      <c r="F861" s="306">
        <v>0</v>
      </c>
      <c r="G861" s="306">
        <v>0</v>
      </c>
      <c r="H861" s="306">
        <v>0</v>
      </c>
      <c r="I861" s="306">
        <v>0</v>
      </c>
      <c r="J861" s="306">
        <v>0</v>
      </c>
      <c r="K861" s="306"/>
    </row>
    <row r="862" spans="2:11">
      <c r="B862" s="52" t="s">
        <v>164</v>
      </c>
      <c r="C862" s="306">
        <v>0</v>
      </c>
      <c r="D862" s="306">
        <v>0</v>
      </c>
      <c r="E862" s="306">
        <v>0</v>
      </c>
      <c r="F862" s="306">
        <v>0</v>
      </c>
      <c r="G862" s="306">
        <v>0</v>
      </c>
      <c r="H862" s="306">
        <v>0</v>
      </c>
      <c r="I862" s="306">
        <v>0</v>
      </c>
      <c r="J862" s="306">
        <v>0</v>
      </c>
      <c r="K862" s="306"/>
    </row>
    <row r="863" spans="2:11">
      <c r="B863" s="52"/>
      <c r="C863" s="306"/>
      <c r="D863" s="306"/>
      <c r="E863" s="306"/>
      <c r="F863" s="306"/>
      <c r="G863" s="306"/>
      <c r="H863" s="306"/>
      <c r="I863" s="306"/>
    </row>
    <row r="864" spans="2:11" ht="26">
      <c r="B864" s="1571" t="s">
        <v>2052</v>
      </c>
      <c r="C864" s="339"/>
      <c r="D864" s="302"/>
      <c r="E864" s="302"/>
      <c r="F864" s="302"/>
      <c r="G864" s="302"/>
      <c r="H864" s="439"/>
      <c r="I864" s="439"/>
    </row>
    <row r="865" spans="2:10">
      <c r="B865" s="71" t="s">
        <v>231</v>
      </c>
      <c r="C865" s="306">
        <v>0</v>
      </c>
      <c r="D865" s="306">
        <v>5.2560000000000002</v>
      </c>
      <c r="E865" s="306">
        <v>7.6280000000000001</v>
      </c>
      <c r="F865" s="306">
        <v>6.3190000000000008</v>
      </c>
      <c r="G865" s="306">
        <v>6.2080000000000002</v>
      </c>
      <c r="H865" s="306">
        <v>10.009467000000001</v>
      </c>
      <c r="I865" s="306">
        <v>11.291</v>
      </c>
      <c r="J865" s="95">
        <v>11.816000000000001</v>
      </c>
    </row>
    <row r="866" spans="2:10">
      <c r="B866" s="52" t="s">
        <v>121</v>
      </c>
      <c r="C866" s="306">
        <v>0</v>
      </c>
      <c r="D866" s="304">
        <v>0</v>
      </c>
      <c r="E866" s="304">
        <v>0</v>
      </c>
      <c r="F866" s="304">
        <v>0</v>
      </c>
      <c r="G866" s="304">
        <v>0</v>
      </c>
      <c r="H866" s="304">
        <v>8.891</v>
      </c>
      <c r="I866" s="304">
        <v>10.247</v>
      </c>
      <c r="J866" s="95">
        <v>10.129078</v>
      </c>
    </row>
    <row r="867" spans="2:10">
      <c r="B867" s="53" t="s">
        <v>120</v>
      </c>
      <c r="C867" s="306">
        <v>0</v>
      </c>
      <c r="D867" s="306">
        <v>0</v>
      </c>
      <c r="E867" s="306">
        <v>8.9999999999999993E-3</v>
      </c>
      <c r="F867" s="306">
        <v>0.13700000000000001</v>
      </c>
      <c r="G867" s="306">
        <v>0.29599999999999999</v>
      </c>
      <c r="H867" s="306">
        <v>3.6899999999999997E-4</v>
      </c>
      <c r="I867" s="306">
        <v>0.73499999999999999</v>
      </c>
      <c r="J867" s="95">
        <v>7.7999999999999999E-5</v>
      </c>
    </row>
    <row r="868" spans="2:10">
      <c r="B868" s="53" t="s">
        <v>119</v>
      </c>
      <c r="C868" s="306">
        <v>0</v>
      </c>
      <c r="D868" s="306">
        <v>4.9059999999999997</v>
      </c>
      <c r="E868" s="306">
        <v>6.8609999999999998</v>
      </c>
      <c r="F868" s="306">
        <v>5.3339999999999996</v>
      </c>
      <c r="G868" s="306">
        <v>5.141</v>
      </c>
      <c r="H868" s="306">
        <v>8.891</v>
      </c>
      <c r="I868" s="306">
        <v>9.5120000000000005</v>
      </c>
      <c r="J868" s="95">
        <v>10.129</v>
      </c>
    </row>
    <row r="869" spans="2:10">
      <c r="B869" s="52" t="s">
        <v>118</v>
      </c>
      <c r="C869" s="306">
        <v>0</v>
      </c>
      <c r="D869" s="306">
        <v>0.27</v>
      </c>
      <c r="E869" s="306">
        <v>0.377</v>
      </c>
      <c r="F869" s="306">
        <v>0.44</v>
      </c>
      <c r="G869" s="306">
        <v>0.502</v>
      </c>
      <c r="H869" s="306">
        <v>1.1180000000000001</v>
      </c>
      <c r="I869" s="306">
        <v>1.044</v>
      </c>
      <c r="J869" s="95">
        <v>0.58699999999999997</v>
      </c>
    </row>
    <row r="870" spans="2:10">
      <c r="B870" s="52" t="s">
        <v>117</v>
      </c>
      <c r="C870" s="306">
        <v>0</v>
      </c>
      <c r="D870" s="306">
        <v>0</v>
      </c>
      <c r="E870" s="306">
        <v>0</v>
      </c>
      <c r="F870" s="306">
        <v>0</v>
      </c>
      <c r="G870" s="306">
        <v>0</v>
      </c>
      <c r="H870" s="306">
        <v>0</v>
      </c>
      <c r="I870" s="306">
        <v>0</v>
      </c>
      <c r="J870" s="95">
        <v>0.32900000000000001</v>
      </c>
    </row>
    <row r="871" spans="2:10">
      <c r="B871" s="52"/>
      <c r="C871" s="306"/>
      <c r="D871" s="306"/>
      <c r="E871" s="306"/>
      <c r="F871" s="306"/>
      <c r="G871" s="306"/>
      <c r="H871" s="306"/>
      <c r="I871" s="306"/>
    </row>
    <row r="872" spans="2:10" ht="25">
      <c r="B872" s="71" t="s">
        <v>230</v>
      </c>
      <c r="C872" s="306">
        <v>0</v>
      </c>
      <c r="D872" s="306">
        <v>0</v>
      </c>
      <c r="E872" s="306">
        <v>0</v>
      </c>
      <c r="F872" s="321">
        <v>6.0000000000000001E-3</v>
      </c>
      <c r="G872" s="321">
        <v>2E-3</v>
      </c>
      <c r="H872" s="321">
        <v>0.32400000000000001</v>
      </c>
      <c r="I872" s="306">
        <v>0.36</v>
      </c>
      <c r="J872" s="95">
        <v>3.5999999999999997E-2</v>
      </c>
    </row>
    <row r="873" spans="2:10">
      <c r="B873" s="52" t="s">
        <v>169</v>
      </c>
      <c r="C873" s="306">
        <v>0</v>
      </c>
      <c r="D873" s="306">
        <v>0</v>
      </c>
      <c r="E873" s="306">
        <v>0</v>
      </c>
      <c r="F873" s="321">
        <v>0</v>
      </c>
      <c r="G873" s="321">
        <v>0</v>
      </c>
      <c r="H873" s="321">
        <v>0</v>
      </c>
      <c r="I873" s="306">
        <v>0</v>
      </c>
      <c r="J873" s="95">
        <v>0</v>
      </c>
    </row>
    <row r="874" spans="2:10">
      <c r="B874" s="52" t="s">
        <v>168</v>
      </c>
      <c r="C874" s="306">
        <v>0</v>
      </c>
      <c r="D874" s="306">
        <v>0</v>
      </c>
      <c r="E874" s="306">
        <v>0</v>
      </c>
      <c r="F874" s="306">
        <v>0</v>
      </c>
      <c r="G874" s="306">
        <v>0</v>
      </c>
      <c r="H874" s="306">
        <v>0</v>
      </c>
      <c r="I874" s="306">
        <v>0</v>
      </c>
      <c r="J874" s="95">
        <v>0</v>
      </c>
    </row>
    <row r="875" spans="2:10">
      <c r="B875" s="52" t="s">
        <v>167</v>
      </c>
      <c r="C875" s="306">
        <v>0</v>
      </c>
      <c r="D875" s="306">
        <v>0</v>
      </c>
      <c r="E875" s="306">
        <v>0</v>
      </c>
      <c r="F875" s="306">
        <v>0</v>
      </c>
      <c r="G875" s="306">
        <v>0</v>
      </c>
      <c r="H875" s="306">
        <v>0</v>
      </c>
      <c r="I875" s="306">
        <v>0</v>
      </c>
      <c r="J875" s="95">
        <v>0</v>
      </c>
    </row>
    <row r="876" spans="2:10">
      <c r="B876" s="52" t="s">
        <v>166</v>
      </c>
      <c r="C876" s="306">
        <v>0</v>
      </c>
      <c r="D876" s="306">
        <v>0</v>
      </c>
      <c r="E876" s="306">
        <v>0</v>
      </c>
      <c r="F876" s="306">
        <v>0</v>
      </c>
      <c r="G876" s="306">
        <v>0</v>
      </c>
      <c r="H876" s="306">
        <v>0</v>
      </c>
      <c r="I876" s="306">
        <v>0</v>
      </c>
      <c r="J876" s="95">
        <v>0</v>
      </c>
    </row>
    <row r="877" spans="2:10">
      <c r="B877" s="52" t="s">
        <v>165</v>
      </c>
      <c r="C877" s="306">
        <v>0</v>
      </c>
      <c r="D877" s="306">
        <v>0</v>
      </c>
      <c r="E877" s="306">
        <v>0</v>
      </c>
      <c r="F877" s="306">
        <v>0</v>
      </c>
      <c r="G877" s="306">
        <v>0</v>
      </c>
      <c r="H877" s="306">
        <v>0</v>
      </c>
      <c r="I877" s="306">
        <v>0</v>
      </c>
      <c r="J877" s="95">
        <v>0</v>
      </c>
    </row>
    <row r="878" spans="2:10" ht="15" thickBot="1">
      <c r="B878" s="52" t="s">
        <v>164</v>
      </c>
      <c r="C878" s="306">
        <v>0</v>
      </c>
      <c r="D878" s="306">
        <v>0</v>
      </c>
      <c r="E878" s="306">
        <v>0</v>
      </c>
      <c r="F878" s="306">
        <v>0</v>
      </c>
      <c r="G878" s="306">
        <v>0</v>
      </c>
      <c r="H878" s="306">
        <v>0</v>
      </c>
      <c r="I878" s="306">
        <v>0</v>
      </c>
      <c r="J878" s="306">
        <v>0</v>
      </c>
    </row>
    <row r="879" spans="2:10" ht="15" thickTop="1">
      <c r="B879" s="181" t="s">
        <v>2053</v>
      </c>
      <c r="C879" s="1591"/>
      <c r="D879" s="181"/>
      <c r="E879" s="181"/>
      <c r="F879" s="181"/>
      <c r="G879" s="181"/>
      <c r="H879" s="181"/>
      <c r="I879" s="181"/>
      <c r="J879" s="1533"/>
    </row>
    <row r="880" spans="2:10">
      <c r="B880" s="2066" t="s">
        <v>2049</v>
      </c>
      <c r="C880" s="2066"/>
      <c r="D880" s="2066"/>
      <c r="E880" s="2066"/>
      <c r="F880" s="2066"/>
      <c r="G880" s="2066"/>
      <c r="H880" s="2066"/>
      <c r="I880" s="2066"/>
      <c r="J880" s="2066"/>
    </row>
    <row r="881" spans="2:18">
      <c r="B881" s="69"/>
      <c r="C881" s="1592"/>
      <c r="D881" s="69"/>
      <c r="E881" s="69"/>
      <c r="F881" s="69"/>
      <c r="G881" s="69"/>
      <c r="H881" s="69"/>
      <c r="I881" s="69"/>
      <c r="J881" s="1534"/>
    </row>
    <row r="882" spans="2:18">
      <c r="B882" s="64"/>
      <c r="C882" s="339"/>
      <c r="D882" s="302"/>
      <c r="E882" s="302"/>
      <c r="F882" s="302"/>
      <c r="G882" s="302"/>
      <c r="H882" s="302"/>
      <c r="I882" s="302"/>
      <c r="J882" s="439"/>
    </row>
    <row r="883" spans="2:18">
      <c r="B883" s="1328" t="s">
        <v>228</v>
      </c>
      <c r="C883" s="1587"/>
      <c r="D883" s="1328"/>
      <c r="E883" s="1328"/>
      <c r="F883" s="1328"/>
      <c r="G883" s="1328"/>
      <c r="H883" s="1328"/>
      <c r="I883" s="1328"/>
      <c r="J883" s="1535"/>
    </row>
    <row r="884" spans="2:18">
      <c r="B884" s="12" t="s">
        <v>227</v>
      </c>
      <c r="C884" s="339"/>
      <c r="D884" s="302"/>
      <c r="E884" s="302"/>
      <c r="F884" s="302"/>
      <c r="G884" s="302"/>
      <c r="H884" s="302"/>
      <c r="I884" s="302"/>
      <c r="J884" s="439"/>
    </row>
    <row r="885" spans="2:18">
      <c r="B885" s="62" t="s">
        <v>127</v>
      </c>
      <c r="C885" s="339"/>
      <c r="D885" s="302"/>
      <c r="E885" s="302"/>
      <c r="F885" s="302"/>
      <c r="G885" s="302"/>
      <c r="H885" s="302"/>
      <c r="I885" s="302"/>
      <c r="J885" s="439"/>
    </row>
    <row r="886" spans="2:18">
      <c r="B886" s="62"/>
      <c r="C886" s="339"/>
      <c r="D886" s="302"/>
      <c r="E886" s="302"/>
      <c r="F886" s="302"/>
      <c r="G886" s="302"/>
      <c r="H886" s="302"/>
      <c r="I886" s="302"/>
      <c r="J886" s="439"/>
    </row>
    <row r="887" spans="2:18">
      <c r="B887" s="61"/>
      <c r="C887" s="1536">
        <v>2014</v>
      </c>
      <c r="D887" s="303">
        <v>2015</v>
      </c>
      <c r="E887" s="303">
        <v>2016</v>
      </c>
      <c r="F887" s="303">
        <v>2017</v>
      </c>
      <c r="G887" s="303">
        <v>2018</v>
      </c>
      <c r="H887" s="303">
        <v>2019</v>
      </c>
      <c r="I887" s="303">
        <v>2020</v>
      </c>
      <c r="J887" s="303">
        <v>2021</v>
      </c>
      <c r="L887" s="1388">
        <v>5799.89</v>
      </c>
      <c r="M887" s="1388">
        <v>5759.23</v>
      </c>
      <c r="N887" s="1388">
        <v>5579.97</v>
      </c>
      <c r="O887" s="1388">
        <v>5960.14</v>
      </c>
      <c r="P887" s="1388">
        <v>6442.33</v>
      </c>
      <c r="Q887" s="1388">
        <v>6891.96</v>
      </c>
      <c r="R887" s="1388">
        <v>7322.9</v>
      </c>
    </row>
    <row r="888" spans="2:18">
      <c r="B888" s="114" t="s">
        <v>1306</v>
      </c>
      <c r="C888" s="339"/>
      <c r="D888" s="302"/>
      <c r="E888" s="302"/>
      <c r="F888" s="302"/>
      <c r="G888" s="302"/>
      <c r="H888" s="302"/>
      <c r="I888" s="302"/>
      <c r="J888" s="439"/>
    </row>
    <row r="889" spans="2:18">
      <c r="B889" s="71" t="s">
        <v>222</v>
      </c>
      <c r="C889" s="306"/>
      <c r="D889" s="306"/>
      <c r="E889" s="306"/>
      <c r="F889" s="306"/>
      <c r="G889" s="306"/>
      <c r="H889" s="306"/>
      <c r="I889" s="306"/>
      <c r="J889" s="306"/>
    </row>
    <row r="890" spans="2:18">
      <c r="B890" s="52" t="s">
        <v>121</v>
      </c>
      <c r="C890" s="306">
        <v>0</v>
      </c>
      <c r="D890" s="306">
        <v>35221.712135919814</v>
      </c>
      <c r="E890" s="306">
        <v>54897.252205783065</v>
      </c>
      <c r="F890" s="306">
        <v>143408.74302276713</v>
      </c>
      <c r="G890" s="306">
        <v>256842.82991046683</v>
      </c>
      <c r="H890" s="306">
        <v>334012.01391910086</v>
      </c>
      <c r="I890" s="306">
        <v>141779.84532872954</v>
      </c>
      <c r="J890" s="95">
        <v>259904.63280940612</v>
      </c>
    </row>
    <row r="891" spans="2:18">
      <c r="B891" s="53" t="s">
        <v>120</v>
      </c>
      <c r="C891" s="306">
        <v>0</v>
      </c>
      <c r="D891" s="306">
        <v>35221.712135919814</v>
      </c>
      <c r="E891" s="306">
        <v>44710.811237425492</v>
      </c>
      <c r="F891" s="306">
        <v>131348.3727497567</v>
      </c>
      <c r="G891" s="306">
        <v>221926.75482229778</v>
      </c>
      <c r="H891" s="306">
        <v>322168.58806926641</v>
      </c>
      <c r="I891" s="306">
        <v>135155.32458281692</v>
      </c>
      <c r="J891" s="95">
        <v>238028.49835447705</v>
      </c>
    </row>
    <row r="892" spans="2:18">
      <c r="B892" s="53" t="s">
        <v>119</v>
      </c>
      <c r="C892" s="306">
        <v>0</v>
      </c>
      <c r="D892" s="306">
        <v>0</v>
      </c>
      <c r="E892" s="306">
        <v>10186.44096835757</v>
      </c>
      <c r="F892" s="306">
        <v>12060.370273010427</v>
      </c>
      <c r="G892" s="306">
        <v>34916.075088169069</v>
      </c>
      <c r="H892" s="306">
        <v>11843.425849834455</v>
      </c>
      <c r="I892" s="306">
        <v>6624.5207459126286</v>
      </c>
      <c r="J892" s="95">
        <v>21876.134454929059</v>
      </c>
    </row>
    <row r="893" spans="2:18">
      <c r="B893" s="52" t="s">
        <v>118</v>
      </c>
      <c r="C893" s="307">
        <v>0</v>
      </c>
      <c r="D893" s="307">
        <v>0</v>
      </c>
      <c r="E893" s="307">
        <v>0</v>
      </c>
      <c r="F893" s="307">
        <v>0</v>
      </c>
      <c r="G893" s="307">
        <v>0</v>
      </c>
      <c r="H893" s="307">
        <v>0</v>
      </c>
      <c r="I893" s="306">
        <v>0</v>
      </c>
      <c r="J893" s="306">
        <v>0</v>
      </c>
    </row>
    <row r="894" spans="2:18">
      <c r="B894" s="52" t="s">
        <v>117</v>
      </c>
      <c r="C894" s="307">
        <v>0</v>
      </c>
      <c r="D894" s="307">
        <v>0</v>
      </c>
      <c r="E894" s="307">
        <v>0</v>
      </c>
      <c r="F894" s="307">
        <v>0</v>
      </c>
      <c r="G894" s="307">
        <v>0</v>
      </c>
      <c r="H894" s="307">
        <v>0</v>
      </c>
      <c r="I894" s="306">
        <v>0</v>
      </c>
      <c r="J894" s="306">
        <v>0</v>
      </c>
    </row>
    <row r="895" spans="2:18">
      <c r="B895" s="52"/>
      <c r="C895" s="307"/>
      <c r="D895" s="307"/>
      <c r="E895" s="307"/>
      <c r="F895" s="307"/>
      <c r="G895" s="307"/>
      <c r="H895" s="307"/>
      <c r="I895" s="306"/>
    </row>
    <row r="896" spans="2:18">
      <c r="B896" s="71" t="s">
        <v>221</v>
      </c>
      <c r="C896" s="321"/>
      <c r="D896" s="321"/>
      <c r="E896" s="321"/>
      <c r="F896" s="321"/>
      <c r="G896" s="321"/>
      <c r="H896" s="321"/>
      <c r="I896" s="306"/>
    </row>
    <row r="897" spans="2:10">
      <c r="B897" s="52" t="s">
        <v>169</v>
      </c>
      <c r="C897" s="306">
        <v>0</v>
      </c>
      <c r="D897" s="306">
        <v>0</v>
      </c>
      <c r="E897" s="306">
        <v>0</v>
      </c>
      <c r="F897" s="306">
        <v>0</v>
      </c>
      <c r="G897" s="306">
        <v>0</v>
      </c>
      <c r="H897" s="306">
        <v>0</v>
      </c>
      <c r="I897" s="306">
        <v>0</v>
      </c>
      <c r="J897" s="306">
        <v>0</v>
      </c>
    </row>
    <row r="898" spans="2:10">
      <c r="B898" s="52" t="s">
        <v>168</v>
      </c>
      <c r="C898" s="306">
        <v>0</v>
      </c>
      <c r="D898" s="306">
        <v>0</v>
      </c>
      <c r="E898" s="306">
        <v>0</v>
      </c>
      <c r="F898" s="306">
        <v>0</v>
      </c>
      <c r="G898" s="306">
        <v>0</v>
      </c>
      <c r="H898" s="306">
        <v>0</v>
      </c>
      <c r="I898" s="306">
        <v>0</v>
      </c>
      <c r="J898" s="306">
        <v>0</v>
      </c>
    </row>
    <row r="899" spans="2:10">
      <c r="B899" s="52" t="s">
        <v>167</v>
      </c>
      <c r="C899" s="306">
        <v>0</v>
      </c>
      <c r="D899" s="306">
        <v>0</v>
      </c>
      <c r="E899" s="306">
        <v>0</v>
      </c>
      <c r="F899" s="306">
        <v>0</v>
      </c>
      <c r="G899" s="306">
        <v>0</v>
      </c>
      <c r="H899" s="306">
        <v>0</v>
      </c>
      <c r="I899" s="306">
        <v>0</v>
      </c>
      <c r="J899" s="306">
        <v>0</v>
      </c>
    </row>
    <row r="900" spans="2:10">
      <c r="B900" s="52" t="s">
        <v>166</v>
      </c>
      <c r="C900" s="306">
        <v>0</v>
      </c>
      <c r="D900" s="306">
        <v>0</v>
      </c>
      <c r="E900" s="306">
        <v>0</v>
      </c>
      <c r="F900" s="306">
        <v>0</v>
      </c>
      <c r="G900" s="306">
        <v>0</v>
      </c>
      <c r="H900" s="306">
        <v>0</v>
      </c>
      <c r="I900" s="306">
        <v>0</v>
      </c>
      <c r="J900" s="306">
        <v>0</v>
      </c>
    </row>
    <row r="901" spans="2:10">
      <c r="B901" s="52" t="s">
        <v>165</v>
      </c>
      <c r="C901" s="306">
        <v>0</v>
      </c>
      <c r="D901" s="306">
        <v>0</v>
      </c>
      <c r="E901" s="306">
        <v>0</v>
      </c>
      <c r="F901" s="306">
        <v>0</v>
      </c>
      <c r="G901" s="306">
        <v>0</v>
      </c>
      <c r="H901" s="306">
        <v>0</v>
      </c>
      <c r="I901" s="306">
        <v>0</v>
      </c>
      <c r="J901" s="306">
        <v>0</v>
      </c>
    </row>
    <row r="902" spans="2:10">
      <c r="B902" s="52" t="s">
        <v>164</v>
      </c>
      <c r="C902" s="306">
        <v>0</v>
      </c>
      <c r="D902" s="306">
        <v>0</v>
      </c>
      <c r="E902" s="306">
        <v>0</v>
      </c>
      <c r="F902" s="306">
        <v>0</v>
      </c>
      <c r="G902" s="306">
        <v>0</v>
      </c>
      <c r="H902" s="306">
        <v>0</v>
      </c>
      <c r="I902" s="306">
        <v>0</v>
      </c>
      <c r="J902" s="306">
        <v>0</v>
      </c>
    </row>
    <row r="903" spans="2:10">
      <c r="B903" s="52"/>
      <c r="C903" s="307"/>
      <c r="D903" s="307"/>
      <c r="E903" s="307"/>
      <c r="F903" s="307"/>
      <c r="G903" s="307"/>
      <c r="H903" s="307"/>
      <c r="I903" s="306"/>
    </row>
    <row r="904" spans="2:10">
      <c r="B904" s="114" t="s">
        <v>1319</v>
      </c>
      <c r="C904" s="339"/>
      <c r="D904" s="302"/>
      <c r="E904" s="302"/>
      <c r="F904" s="302"/>
      <c r="G904" s="302"/>
      <c r="H904" s="439"/>
      <c r="I904" s="439"/>
    </row>
    <row r="905" spans="2:10">
      <c r="B905" s="71" t="s">
        <v>222</v>
      </c>
      <c r="C905" s="306">
        <v>0</v>
      </c>
      <c r="D905" s="306">
        <v>0</v>
      </c>
      <c r="E905" s="306">
        <v>0</v>
      </c>
      <c r="F905" s="306">
        <v>0</v>
      </c>
      <c r="G905" s="306">
        <v>0</v>
      </c>
      <c r="H905" s="306">
        <v>912.77373278984476</v>
      </c>
      <c r="I905" s="306">
        <v>1879.7001143361249</v>
      </c>
      <c r="J905" s="95">
        <v>3104.927037649019</v>
      </c>
    </row>
    <row r="906" spans="2:10">
      <c r="B906" s="52" t="s">
        <v>121</v>
      </c>
      <c r="C906" s="306">
        <v>0</v>
      </c>
      <c r="D906" s="306">
        <v>0</v>
      </c>
      <c r="E906" s="306">
        <v>2.7262347610704905</v>
      </c>
      <c r="F906" s="306">
        <v>3.591088518397052</v>
      </c>
      <c r="G906" s="306">
        <v>9.7836211422886024</v>
      </c>
      <c r="H906" s="306">
        <v>15.239579476990468</v>
      </c>
      <c r="I906" s="306">
        <v>17.311714491668553</v>
      </c>
      <c r="J906" s="95">
        <v>1.8572830436029444</v>
      </c>
    </row>
    <row r="907" spans="2:10">
      <c r="B907" s="53" t="s">
        <v>120</v>
      </c>
      <c r="C907" s="306">
        <v>0</v>
      </c>
      <c r="D907" s="306">
        <v>420.52584469084752</v>
      </c>
      <c r="E907" s="306">
        <v>555.56549872239873</v>
      </c>
      <c r="F907" s="306">
        <v>492.03403292508739</v>
      </c>
      <c r="G907" s="306">
        <v>587.56901081249759</v>
      </c>
      <c r="H907" s="306">
        <v>912.77373278984476</v>
      </c>
      <c r="I907" s="306">
        <v>1879.7001143361249</v>
      </c>
      <c r="J907" s="95">
        <v>3104.927037649019</v>
      </c>
    </row>
    <row r="908" spans="2:10">
      <c r="B908" s="53" t="s">
        <v>119</v>
      </c>
      <c r="C908" s="306">
        <v>0</v>
      </c>
      <c r="D908" s="306">
        <v>45.960869459593191</v>
      </c>
      <c r="E908" s="306">
        <v>14.243533404291894</v>
      </c>
      <c r="F908" s="306">
        <v>25.333349935573132</v>
      </c>
      <c r="G908" s="306">
        <v>33.397658469264144</v>
      </c>
      <c r="H908" s="306">
        <v>42.376458335260686</v>
      </c>
      <c r="I908" s="306">
        <v>37.589016767363709</v>
      </c>
      <c r="J908" s="95">
        <v>23.008705567466443</v>
      </c>
    </row>
    <row r="909" spans="2:10">
      <c r="B909" s="52" t="s">
        <v>118</v>
      </c>
      <c r="C909" s="306">
        <v>0</v>
      </c>
      <c r="D909" s="306">
        <v>2.4958668974756417</v>
      </c>
      <c r="E909" s="306">
        <v>7.2675719019730076</v>
      </c>
      <c r="F909" s="306">
        <v>6.83873354157818</v>
      </c>
      <c r="G909" s="306">
        <v>7.7255315024479287</v>
      </c>
      <c r="H909" s="306">
        <v>16.215106471261176</v>
      </c>
      <c r="I909" s="306">
        <v>7.4579655134388481E-2</v>
      </c>
      <c r="J909" s="95">
        <v>22.347786259541984</v>
      </c>
    </row>
    <row r="910" spans="2:10">
      <c r="B910" s="52" t="s">
        <v>117</v>
      </c>
      <c r="C910" s="306">
        <v>0</v>
      </c>
      <c r="D910" s="306">
        <v>0</v>
      </c>
      <c r="E910" s="306">
        <v>0</v>
      </c>
      <c r="F910" s="306">
        <v>0</v>
      </c>
      <c r="G910" s="306">
        <v>0</v>
      </c>
      <c r="H910" s="306">
        <v>0</v>
      </c>
      <c r="I910" s="306">
        <v>0</v>
      </c>
      <c r="J910" s="306">
        <v>0</v>
      </c>
    </row>
    <row r="911" spans="2:10">
      <c r="B911" s="52"/>
      <c r="C911" s="867"/>
      <c r="D911" s="867"/>
      <c r="E911" s="867"/>
      <c r="F911" s="867"/>
      <c r="G911" s="867"/>
      <c r="H911" s="867"/>
      <c r="I911" s="306"/>
    </row>
    <row r="912" spans="2:10">
      <c r="B912" s="71" t="s">
        <v>221</v>
      </c>
      <c r="C912" s="867"/>
      <c r="D912" s="867"/>
      <c r="E912" s="867"/>
      <c r="F912" s="867"/>
      <c r="G912" s="867"/>
      <c r="H912" s="867"/>
      <c r="I912" s="306"/>
    </row>
    <row r="913" spans="2:17">
      <c r="B913" s="52" t="s">
        <v>169</v>
      </c>
      <c r="C913" s="306">
        <v>0</v>
      </c>
      <c r="D913" s="306">
        <v>0</v>
      </c>
      <c r="E913" s="306">
        <v>0</v>
      </c>
      <c r="F913" s="867">
        <v>3.0534214341654164E-2</v>
      </c>
      <c r="G913" s="867">
        <v>0.42136929669437295</v>
      </c>
      <c r="H913" s="867">
        <v>13.963091769592678</v>
      </c>
      <c r="I913" s="306">
        <v>17.893893754461722</v>
      </c>
      <c r="J913" s="95">
        <v>1.555793606358137</v>
      </c>
    </row>
    <row r="914" spans="2:17">
      <c r="B914" s="52" t="s">
        <v>168</v>
      </c>
      <c r="C914" s="306">
        <v>0</v>
      </c>
      <c r="D914" s="306">
        <v>0</v>
      </c>
      <c r="E914" s="306">
        <v>0</v>
      </c>
      <c r="F914" s="306">
        <v>0</v>
      </c>
      <c r="G914" s="306">
        <v>0</v>
      </c>
      <c r="H914" s="306">
        <v>0</v>
      </c>
      <c r="I914" s="306">
        <v>0</v>
      </c>
      <c r="J914" s="306">
        <v>0</v>
      </c>
    </row>
    <row r="915" spans="2:17">
      <c r="B915" s="52" t="s">
        <v>167</v>
      </c>
      <c r="C915" s="306">
        <v>0</v>
      </c>
      <c r="D915" s="306">
        <v>0</v>
      </c>
      <c r="E915" s="306">
        <v>0</v>
      </c>
      <c r="F915" s="306">
        <v>0</v>
      </c>
      <c r="G915" s="306">
        <v>0</v>
      </c>
      <c r="H915" s="306">
        <v>0</v>
      </c>
      <c r="I915" s="306">
        <v>0</v>
      </c>
      <c r="J915" s="306">
        <v>0</v>
      </c>
    </row>
    <row r="916" spans="2:17">
      <c r="B916" s="52" t="s">
        <v>166</v>
      </c>
      <c r="C916" s="306">
        <v>0</v>
      </c>
      <c r="D916" s="306">
        <v>0</v>
      </c>
      <c r="E916" s="306">
        <v>0</v>
      </c>
      <c r="F916" s="306">
        <v>0</v>
      </c>
      <c r="G916" s="306">
        <v>0</v>
      </c>
      <c r="H916" s="306">
        <v>0</v>
      </c>
      <c r="I916" s="306">
        <v>0</v>
      </c>
      <c r="J916" s="306">
        <v>0</v>
      </c>
    </row>
    <row r="917" spans="2:17">
      <c r="B917" s="52" t="s">
        <v>165</v>
      </c>
      <c r="C917" s="306">
        <v>0</v>
      </c>
      <c r="D917" s="306">
        <v>0</v>
      </c>
      <c r="E917" s="306">
        <v>0</v>
      </c>
      <c r="F917" s="306">
        <v>0</v>
      </c>
      <c r="G917" s="306">
        <v>0</v>
      </c>
      <c r="H917" s="306">
        <v>0</v>
      </c>
      <c r="I917" s="306">
        <v>0</v>
      </c>
      <c r="J917" s="306">
        <v>0</v>
      </c>
    </row>
    <row r="918" spans="2:17" ht="15" thickBot="1">
      <c r="B918" s="52" t="s">
        <v>164</v>
      </c>
      <c r="C918" s="306">
        <v>0</v>
      </c>
      <c r="D918" s="306">
        <v>0</v>
      </c>
      <c r="E918" s="306">
        <v>0</v>
      </c>
      <c r="F918" s="306">
        <v>0</v>
      </c>
      <c r="G918" s="306">
        <v>0</v>
      </c>
      <c r="H918" s="306">
        <v>0</v>
      </c>
      <c r="I918" s="306">
        <v>0</v>
      </c>
      <c r="J918" s="306">
        <v>0</v>
      </c>
      <c r="M918" s="879"/>
      <c r="N918" s="879"/>
      <c r="O918" s="879"/>
      <c r="P918" s="879"/>
      <c r="Q918" s="879"/>
    </row>
    <row r="919" spans="2:17" ht="15" thickTop="1">
      <c r="B919" s="2025" t="s">
        <v>2053</v>
      </c>
      <c r="C919" s="2025"/>
      <c r="D919" s="2025"/>
      <c r="E919" s="2025"/>
      <c r="F919" s="2025"/>
      <c r="G919" s="2025"/>
      <c r="H919" s="2025"/>
      <c r="I919" s="2025"/>
      <c r="J919" s="2025"/>
    </row>
    <row r="920" spans="2:17">
      <c r="B920" s="2066" t="s">
        <v>2049</v>
      </c>
      <c r="C920" s="2066"/>
      <c r="D920" s="2066"/>
      <c r="E920" s="2066"/>
      <c r="F920" s="2066"/>
      <c r="G920" s="2066"/>
      <c r="H920" s="2066"/>
      <c r="I920" s="2066"/>
      <c r="J920" s="2066"/>
    </row>
    <row r="921" spans="2:17">
      <c r="B921" s="64"/>
      <c r="C921" s="339"/>
      <c r="D921" s="302"/>
      <c r="E921" s="302"/>
      <c r="F921" s="302"/>
      <c r="G921" s="302"/>
      <c r="H921" s="302"/>
      <c r="I921" s="302"/>
      <c r="J921" s="439"/>
    </row>
    <row r="922" spans="2:17">
      <c r="B922" s="2100" t="s">
        <v>219</v>
      </c>
      <c r="C922" s="2100"/>
      <c r="D922" s="2100"/>
      <c r="E922" s="2100"/>
      <c r="F922" s="2100"/>
      <c r="G922" s="2100"/>
      <c r="H922" s="2100"/>
      <c r="I922" s="2100"/>
      <c r="J922" s="2100"/>
    </row>
    <row r="923" spans="2:17">
      <c r="B923" s="12" t="s">
        <v>218</v>
      </c>
      <c r="C923" s="339"/>
      <c r="D923" s="302"/>
      <c r="E923" s="302"/>
      <c r="F923" s="302"/>
      <c r="G923" s="302"/>
      <c r="H923" s="302"/>
      <c r="I923" s="302"/>
      <c r="J923" s="439"/>
    </row>
    <row r="924" spans="2:17">
      <c r="B924" s="77" t="s">
        <v>269</v>
      </c>
      <c r="C924" s="339"/>
      <c r="D924" s="302"/>
      <c r="E924" s="302"/>
      <c r="F924" s="302"/>
      <c r="G924" s="302"/>
      <c r="H924" s="302"/>
      <c r="I924" s="302"/>
      <c r="J924" s="439"/>
    </row>
    <row r="925" spans="2:17">
      <c r="B925" s="76"/>
      <c r="C925" s="339"/>
      <c r="D925" s="302"/>
      <c r="E925" s="302"/>
      <c r="F925" s="302"/>
      <c r="G925" s="302"/>
      <c r="H925" s="302"/>
      <c r="I925" s="302"/>
      <c r="J925" s="439"/>
    </row>
    <row r="926" spans="2:17">
      <c r="B926" s="61"/>
      <c r="C926" s="1593">
        <v>2014</v>
      </c>
      <c r="D926" s="1277">
        <v>2015</v>
      </c>
      <c r="E926" s="1277">
        <v>2016</v>
      </c>
      <c r="F926" s="1277">
        <v>2017</v>
      </c>
      <c r="G926" s="1277">
        <v>2018</v>
      </c>
      <c r="H926" s="1277">
        <v>2019</v>
      </c>
      <c r="I926" s="1277">
        <v>2020</v>
      </c>
      <c r="J926" s="1277">
        <v>2021</v>
      </c>
    </row>
    <row r="927" spans="2:17">
      <c r="B927" s="59" t="s">
        <v>2054</v>
      </c>
      <c r="C927" s="1275"/>
      <c r="D927" s="1274"/>
      <c r="E927" s="1274"/>
      <c r="F927" s="1274"/>
      <c r="G927" s="1274"/>
      <c r="H927" s="1274"/>
      <c r="I927" s="1274"/>
      <c r="J927" s="103"/>
    </row>
    <row r="928" spans="2:17">
      <c r="B928" s="71" t="s">
        <v>217</v>
      </c>
      <c r="C928" s="1275">
        <v>17</v>
      </c>
      <c r="D928" s="1594">
        <v>17</v>
      </c>
      <c r="E928" s="1594">
        <v>17</v>
      </c>
      <c r="F928" s="1594">
        <v>18</v>
      </c>
      <c r="G928" s="1594">
        <v>18</v>
      </c>
      <c r="H928" s="1594">
        <v>18</v>
      </c>
      <c r="I928" s="1594">
        <v>18</v>
      </c>
      <c r="J928" s="1594">
        <v>18</v>
      </c>
    </row>
    <row r="929" spans="2:10">
      <c r="B929" s="52" t="s">
        <v>150</v>
      </c>
      <c r="C929" s="1275">
        <v>1</v>
      </c>
      <c r="D929" s="152">
        <v>1</v>
      </c>
      <c r="E929" s="152">
        <v>1</v>
      </c>
      <c r="F929" s="152">
        <v>1</v>
      </c>
      <c r="G929" s="152">
        <v>1</v>
      </c>
      <c r="H929" s="152">
        <v>1</v>
      </c>
      <c r="I929" s="152">
        <v>1</v>
      </c>
      <c r="J929" s="152">
        <v>1</v>
      </c>
    </row>
    <row r="930" spans="2:10">
      <c r="B930" s="52" t="s">
        <v>214</v>
      </c>
      <c r="C930" s="1275">
        <v>0</v>
      </c>
      <c r="D930" s="152">
        <v>0</v>
      </c>
      <c r="E930" s="152">
        <v>0</v>
      </c>
      <c r="F930" s="152">
        <v>0</v>
      </c>
      <c r="G930" s="152">
        <v>0</v>
      </c>
      <c r="H930" s="152">
        <v>0</v>
      </c>
      <c r="I930" s="152">
        <v>0</v>
      </c>
      <c r="J930" s="152">
        <v>0</v>
      </c>
    </row>
    <row r="931" spans="2:10">
      <c r="B931" s="52" t="s">
        <v>147</v>
      </c>
      <c r="C931" s="1275">
        <v>16</v>
      </c>
      <c r="D931" s="152">
        <v>16</v>
      </c>
      <c r="E931" s="152">
        <v>16</v>
      </c>
      <c r="F931" s="152">
        <v>17</v>
      </c>
      <c r="G931" s="152">
        <v>17</v>
      </c>
      <c r="H931" s="152">
        <v>17</v>
      </c>
      <c r="I931" s="152">
        <v>17</v>
      </c>
      <c r="J931" s="152">
        <v>17</v>
      </c>
    </row>
    <row r="932" spans="2:10">
      <c r="B932" s="52" t="s">
        <v>146</v>
      </c>
      <c r="C932" s="1275">
        <v>0</v>
      </c>
      <c r="D932" s="152">
        <v>0</v>
      </c>
      <c r="E932" s="152">
        <v>0</v>
      </c>
      <c r="F932" s="152">
        <v>0</v>
      </c>
      <c r="G932" s="152">
        <v>0</v>
      </c>
      <c r="H932" s="152">
        <v>0</v>
      </c>
      <c r="I932" s="152">
        <v>0</v>
      </c>
      <c r="J932" s="152">
        <v>0</v>
      </c>
    </row>
    <row r="933" spans="2:10">
      <c r="B933" s="52"/>
      <c r="C933" s="1275"/>
      <c r="D933" s="52"/>
      <c r="E933" s="52"/>
      <c r="F933" s="52"/>
      <c r="G933" s="52"/>
      <c r="H933" s="52"/>
      <c r="I933" s="52"/>
      <c r="J933" s="52"/>
    </row>
    <row r="934" spans="2:10">
      <c r="B934" s="71" t="s">
        <v>216</v>
      </c>
      <c r="C934" s="1275">
        <v>17</v>
      </c>
      <c r="D934" s="152">
        <v>17</v>
      </c>
      <c r="E934" s="152">
        <v>17</v>
      </c>
      <c r="F934" s="152">
        <v>18</v>
      </c>
      <c r="G934" s="152">
        <v>18</v>
      </c>
      <c r="H934" s="152">
        <v>18</v>
      </c>
      <c r="I934" s="152">
        <v>18</v>
      </c>
      <c r="J934" s="152">
        <v>18</v>
      </c>
    </row>
    <row r="935" spans="2:10">
      <c r="B935" s="52" t="s">
        <v>150</v>
      </c>
      <c r="C935" s="1275">
        <v>1</v>
      </c>
      <c r="D935" s="152">
        <v>1</v>
      </c>
      <c r="E935" s="152">
        <v>1</v>
      </c>
      <c r="F935" s="152">
        <v>1</v>
      </c>
      <c r="G935" s="152">
        <v>1</v>
      </c>
      <c r="H935" s="152">
        <v>1</v>
      </c>
      <c r="I935" s="152">
        <v>1</v>
      </c>
      <c r="J935" s="152">
        <v>1</v>
      </c>
    </row>
    <row r="936" spans="2:10">
      <c r="B936" s="52" t="s">
        <v>214</v>
      </c>
      <c r="C936" s="1275">
        <v>0</v>
      </c>
      <c r="D936" s="152">
        <v>0</v>
      </c>
      <c r="E936" s="152">
        <v>0</v>
      </c>
      <c r="F936" s="152">
        <v>0</v>
      </c>
      <c r="G936" s="152">
        <v>0</v>
      </c>
      <c r="H936" s="152">
        <v>0</v>
      </c>
      <c r="I936" s="152">
        <v>0</v>
      </c>
      <c r="J936" s="152">
        <v>0</v>
      </c>
    </row>
    <row r="937" spans="2:10">
      <c r="B937" s="52" t="s">
        <v>147</v>
      </c>
      <c r="C937" s="1275">
        <v>16</v>
      </c>
      <c r="D937" s="152">
        <v>16</v>
      </c>
      <c r="E937" s="152">
        <v>16</v>
      </c>
      <c r="F937" s="152">
        <v>17</v>
      </c>
      <c r="G937" s="152">
        <v>17</v>
      </c>
      <c r="H937" s="152">
        <v>17</v>
      </c>
      <c r="I937" s="152">
        <v>17</v>
      </c>
      <c r="J937" s="152">
        <v>17</v>
      </c>
    </row>
    <row r="938" spans="2:10">
      <c r="B938" s="52" t="s">
        <v>146</v>
      </c>
      <c r="C938" s="1275">
        <v>0</v>
      </c>
      <c r="D938" s="152">
        <v>0</v>
      </c>
      <c r="E938" s="152">
        <v>0</v>
      </c>
      <c r="F938" s="152">
        <v>0</v>
      </c>
      <c r="G938" s="152">
        <v>0</v>
      </c>
      <c r="H938" s="152">
        <v>0</v>
      </c>
      <c r="I938" s="152">
        <v>0</v>
      </c>
      <c r="J938" s="152">
        <v>0</v>
      </c>
    </row>
    <row r="939" spans="2:10">
      <c r="B939" s="52"/>
      <c r="C939" s="1275"/>
      <c r="D939" s="1275"/>
      <c r="E939" s="1275"/>
      <c r="F939" s="1275"/>
      <c r="G939" s="1275"/>
      <c r="H939" s="1275"/>
      <c r="I939" s="104"/>
    </row>
    <row r="940" spans="2:10">
      <c r="B940" s="71" t="s">
        <v>215</v>
      </c>
      <c r="C940" s="1275">
        <v>0</v>
      </c>
      <c r="D940" s="1275">
        <v>0</v>
      </c>
      <c r="E940" s="1275">
        <v>0</v>
      </c>
      <c r="F940" s="1275">
        <v>0</v>
      </c>
      <c r="G940" s="1275">
        <v>0</v>
      </c>
      <c r="H940" s="1275">
        <v>0</v>
      </c>
      <c r="I940" s="104">
        <v>0</v>
      </c>
      <c r="J940" s="104">
        <v>0</v>
      </c>
    </row>
    <row r="941" spans="2:10">
      <c r="B941" s="52" t="s">
        <v>150</v>
      </c>
      <c r="C941" s="1275">
        <v>0</v>
      </c>
      <c r="D941" s="1275">
        <v>0</v>
      </c>
      <c r="E941" s="1275">
        <v>0</v>
      </c>
      <c r="F941" s="1275">
        <v>0</v>
      </c>
      <c r="G941" s="1275">
        <v>0</v>
      </c>
      <c r="H941" s="1275">
        <v>0</v>
      </c>
      <c r="I941" s="104">
        <v>0</v>
      </c>
      <c r="J941" s="104">
        <v>0</v>
      </c>
    </row>
    <row r="942" spans="2:10">
      <c r="B942" s="52" t="s">
        <v>214</v>
      </c>
      <c r="C942" s="1275">
        <v>0</v>
      </c>
      <c r="D942" s="1275">
        <v>0</v>
      </c>
      <c r="E942" s="1275">
        <v>0</v>
      </c>
      <c r="F942" s="1275">
        <v>0</v>
      </c>
      <c r="G942" s="1275">
        <v>0</v>
      </c>
      <c r="H942" s="1275">
        <v>0</v>
      </c>
      <c r="I942" s="104">
        <v>0</v>
      </c>
      <c r="J942" s="104">
        <v>0</v>
      </c>
    </row>
    <row r="943" spans="2:10">
      <c r="B943" s="52" t="s">
        <v>147</v>
      </c>
      <c r="C943" s="1275">
        <v>0</v>
      </c>
      <c r="D943" s="1275">
        <v>0</v>
      </c>
      <c r="E943" s="1275">
        <v>0</v>
      </c>
      <c r="F943" s="1275">
        <v>0</v>
      </c>
      <c r="G943" s="1275">
        <v>0</v>
      </c>
      <c r="H943" s="1275">
        <v>0</v>
      </c>
      <c r="I943" s="104">
        <v>0</v>
      </c>
      <c r="J943" s="104">
        <v>0</v>
      </c>
    </row>
    <row r="944" spans="2:10">
      <c r="B944" s="52" t="s">
        <v>146</v>
      </c>
      <c r="C944" s="1275"/>
      <c r="D944" s="1275"/>
      <c r="E944" s="1275"/>
      <c r="F944" s="1275"/>
      <c r="G944" s="1275"/>
      <c r="H944" s="1275"/>
      <c r="I944" s="104"/>
    </row>
    <row r="945" spans="2:10">
      <c r="B945" s="52"/>
      <c r="C945" s="1275"/>
      <c r="D945" s="1275"/>
      <c r="E945" s="1275"/>
      <c r="F945" s="1275"/>
      <c r="G945" s="1275"/>
      <c r="H945" s="1275"/>
      <c r="I945" s="104"/>
    </row>
    <row r="946" spans="2:10">
      <c r="B946" s="58" t="s">
        <v>1364</v>
      </c>
      <c r="C946" s="51"/>
      <c r="D946" s="57"/>
      <c r="E946" s="57"/>
      <c r="F946" s="57"/>
      <c r="G946" s="57"/>
      <c r="H946" s="57"/>
      <c r="I946" s="56"/>
    </row>
    <row r="947" spans="2:10">
      <c r="B947" s="71" t="s">
        <v>217</v>
      </c>
      <c r="C947" s="51">
        <v>33</v>
      </c>
      <c r="D947" s="336">
        <v>33</v>
      </c>
      <c r="E947" s="336">
        <v>25</v>
      </c>
      <c r="F947" s="336">
        <v>26</v>
      </c>
      <c r="G947" s="336">
        <v>26</v>
      </c>
      <c r="H947" s="336">
        <v>26</v>
      </c>
      <c r="I947" s="336">
        <v>26</v>
      </c>
      <c r="J947" s="336">
        <v>26</v>
      </c>
    </row>
    <row r="948" spans="2:10">
      <c r="B948" s="52" t="s">
        <v>150</v>
      </c>
      <c r="C948" s="1275">
        <v>0</v>
      </c>
      <c r="D948" s="234">
        <v>0</v>
      </c>
      <c r="E948" s="234">
        <v>0</v>
      </c>
      <c r="F948" s="234">
        <v>0</v>
      </c>
      <c r="G948" s="234">
        <v>0</v>
      </c>
      <c r="H948" s="234">
        <v>0</v>
      </c>
      <c r="I948" s="234">
        <v>0</v>
      </c>
      <c r="J948" s="234">
        <v>0</v>
      </c>
    </row>
    <row r="949" spans="2:10">
      <c r="B949" s="52" t="s">
        <v>214</v>
      </c>
      <c r="C949" s="1275">
        <v>0</v>
      </c>
      <c r="D949" s="234">
        <v>0</v>
      </c>
      <c r="E949" s="234">
        <v>0</v>
      </c>
      <c r="F949" s="234">
        <v>0</v>
      </c>
      <c r="G949" s="234">
        <v>0</v>
      </c>
      <c r="H949" s="234">
        <v>0</v>
      </c>
      <c r="I949" s="234">
        <v>0</v>
      </c>
      <c r="J949" s="234">
        <v>0</v>
      </c>
    </row>
    <row r="950" spans="2:10">
      <c r="B950" s="52" t="s">
        <v>147</v>
      </c>
      <c r="C950" s="51">
        <v>15</v>
      </c>
      <c r="D950" s="234">
        <v>15</v>
      </c>
      <c r="E950" s="234">
        <v>16</v>
      </c>
      <c r="F950" s="234">
        <v>17</v>
      </c>
      <c r="G950" s="234">
        <v>17</v>
      </c>
      <c r="H950" s="234">
        <v>17</v>
      </c>
      <c r="I950" s="234">
        <v>17</v>
      </c>
      <c r="J950" s="234">
        <v>17</v>
      </c>
    </row>
    <row r="951" spans="2:10">
      <c r="B951" s="52" t="s">
        <v>146</v>
      </c>
      <c r="C951" s="51">
        <v>18</v>
      </c>
      <c r="D951" s="234">
        <v>18</v>
      </c>
      <c r="E951" s="234">
        <v>9</v>
      </c>
      <c r="F951" s="234">
        <v>9</v>
      </c>
      <c r="G951" s="234">
        <v>9</v>
      </c>
      <c r="H951" s="234">
        <v>9</v>
      </c>
      <c r="I951" s="234">
        <v>9</v>
      </c>
      <c r="J951" s="234">
        <v>9</v>
      </c>
    </row>
    <row r="952" spans="2:10">
      <c r="B952" s="52"/>
      <c r="C952" s="51"/>
      <c r="D952" s="234"/>
      <c r="E952" s="234"/>
      <c r="F952" s="234"/>
      <c r="G952" s="234"/>
      <c r="H952" s="234"/>
      <c r="I952" s="234"/>
      <c r="J952" s="234"/>
    </row>
    <row r="953" spans="2:10">
      <c r="B953" s="71" t="s">
        <v>216</v>
      </c>
      <c r="C953" s="51">
        <v>33</v>
      </c>
      <c r="D953" s="234">
        <v>33</v>
      </c>
      <c r="E953" s="234">
        <v>25</v>
      </c>
      <c r="F953" s="234">
        <v>26</v>
      </c>
      <c r="G953" s="234">
        <v>26</v>
      </c>
      <c r="H953" s="234">
        <v>26</v>
      </c>
      <c r="I953" s="234">
        <v>26</v>
      </c>
      <c r="J953" s="234">
        <v>26</v>
      </c>
    </row>
    <row r="954" spans="2:10">
      <c r="B954" s="52" t="s">
        <v>150</v>
      </c>
      <c r="C954" s="1275">
        <v>0</v>
      </c>
      <c r="D954" s="234">
        <v>0</v>
      </c>
      <c r="E954" s="234">
        <v>0</v>
      </c>
      <c r="F954" s="234">
        <v>0</v>
      </c>
      <c r="G954" s="234">
        <v>0</v>
      </c>
      <c r="H954" s="234">
        <v>0</v>
      </c>
      <c r="I954" s="234">
        <v>0</v>
      </c>
      <c r="J954" s="234">
        <v>0</v>
      </c>
    </row>
    <row r="955" spans="2:10">
      <c r="B955" s="52" t="s">
        <v>214</v>
      </c>
      <c r="C955" s="1275">
        <v>0</v>
      </c>
      <c r="D955" s="234">
        <v>0</v>
      </c>
      <c r="E955" s="234">
        <v>0</v>
      </c>
      <c r="F955" s="234">
        <v>0</v>
      </c>
      <c r="G955" s="234">
        <v>0</v>
      </c>
      <c r="H955" s="234">
        <v>0</v>
      </c>
      <c r="I955" s="234">
        <v>0</v>
      </c>
      <c r="J955" s="234">
        <v>0</v>
      </c>
    </row>
    <row r="956" spans="2:10">
      <c r="B956" s="52" t="s">
        <v>147</v>
      </c>
      <c r="C956" s="51">
        <v>15</v>
      </c>
      <c r="D956" s="234">
        <v>15</v>
      </c>
      <c r="E956" s="234">
        <v>16</v>
      </c>
      <c r="F956" s="234">
        <v>17</v>
      </c>
      <c r="G956" s="234">
        <v>17</v>
      </c>
      <c r="H956" s="234">
        <v>17</v>
      </c>
      <c r="I956" s="234">
        <v>17</v>
      </c>
      <c r="J956" s="234">
        <v>17</v>
      </c>
    </row>
    <row r="957" spans="2:10">
      <c r="B957" s="52" t="s">
        <v>146</v>
      </c>
      <c r="C957" s="51">
        <v>18</v>
      </c>
      <c r="D957" s="234">
        <v>18</v>
      </c>
      <c r="E957" s="234">
        <v>9</v>
      </c>
      <c r="F957" s="234">
        <v>9</v>
      </c>
      <c r="G957" s="234">
        <v>9</v>
      </c>
      <c r="H957" s="234">
        <v>9</v>
      </c>
      <c r="I957" s="234">
        <v>9</v>
      </c>
      <c r="J957" s="234">
        <v>9</v>
      </c>
    </row>
    <row r="958" spans="2:10">
      <c r="B958" s="57"/>
      <c r="C958" s="51"/>
      <c r="D958" s="57"/>
      <c r="E958" s="57"/>
      <c r="F958" s="57"/>
      <c r="G958" s="57"/>
      <c r="H958" s="57"/>
      <c r="I958" s="56"/>
    </row>
    <row r="959" spans="2:10">
      <c r="B959" s="58" t="s">
        <v>1365</v>
      </c>
      <c r="C959" s="51"/>
      <c r="D959" s="57"/>
      <c r="E959" s="57"/>
      <c r="F959" s="57"/>
      <c r="G959" s="57"/>
      <c r="H959" s="57"/>
      <c r="I959" s="56"/>
    </row>
    <row r="960" spans="2:10">
      <c r="B960" s="71" t="s">
        <v>217</v>
      </c>
      <c r="C960" s="51">
        <v>12</v>
      </c>
      <c r="D960" s="336">
        <v>12</v>
      </c>
      <c r="E960" s="336">
        <v>12</v>
      </c>
      <c r="F960" s="336">
        <v>12</v>
      </c>
      <c r="G960" s="336">
        <v>12</v>
      </c>
      <c r="H960" s="336">
        <v>12</v>
      </c>
      <c r="I960" s="336">
        <v>17</v>
      </c>
      <c r="J960" s="1448">
        <v>28</v>
      </c>
    </row>
    <row r="961" spans="2:10">
      <c r="B961" s="52" t="s">
        <v>150</v>
      </c>
      <c r="C961" s="1275">
        <v>0</v>
      </c>
      <c r="D961" s="234">
        <v>0</v>
      </c>
      <c r="E961" s="234">
        <v>0</v>
      </c>
      <c r="F961" s="234">
        <v>0</v>
      </c>
      <c r="G961" s="234">
        <v>0</v>
      </c>
      <c r="H961" s="234">
        <v>0</v>
      </c>
      <c r="I961" s="234">
        <v>0</v>
      </c>
      <c r="J961" s="234">
        <v>0</v>
      </c>
    </row>
    <row r="962" spans="2:10">
      <c r="B962" s="52" t="s">
        <v>214</v>
      </c>
      <c r="C962" s="1275">
        <v>0</v>
      </c>
      <c r="D962" s="234">
        <v>0</v>
      </c>
      <c r="E962" s="234">
        <v>0</v>
      </c>
      <c r="F962" s="234">
        <v>0</v>
      </c>
      <c r="G962" s="234">
        <v>0</v>
      </c>
      <c r="H962" s="234">
        <v>0</v>
      </c>
      <c r="I962" s="234">
        <v>0</v>
      </c>
      <c r="J962" s="234">
        <v>0</v>
      </c>
    </row>
    <row r="963" spans="2:10">
      <c r="B963" s="52" t="s">
        <v>147</v>
      </c>
      <c r="C963" s="51">
        <v>11</v>
      </c>
      <c r="D963" s="234">
        <v>11</v>
      </c>
      <c r="E963" s="234">
        <v>11</v>
      </c>
      <c r="F963" s="234">
        <v>11</v>
      </c>
      <c r="G963" s="234">
        <v>11</v>
      </c>
      <c r="H963" s="234">
        <v>11</v>
      </c>
      <c r="I963" s="234">
        <v>15</v>
      </c>
      <c r="J963" s="234">
        <v>3</v>
      </c>
    </row>
    <row r="964" spans="2:10">
      <c r="B964" s="52" t="s">
        <v>146</v>
      </c>
      <c r="C964" s="51">
        <v>1</v>
      </c>
      <c r="D964" s="234">
        <v>1</v>
      </c>
      <c r="E964" s="234">
        <v>1</v>
      </c>
      <c r="F964" s="234">
        <v>1</v>
      </c>
      <c r="G964" s="234">
        <v>1</v>
      </c>
      <c r="H964" s="234">
        <v>1</v>
      </c>
      <c r="I964" s="234">
        <v>2</v>
      </c>
      <c r="J964" s="234">
        <v>25</v>
      </c>
    </row>
    <row r="965" spans="2:10">
      <c r="B965" s="52"/>
      <c r="C965" s="51"/>
      <c r="D965" s="234"/>
      <c r="E965" s="234"/>
      <c r="F965" s="234"/>
      <c r="G965" s="234"/>
      <c r="H965" s="234"/>
      <c r="I965" s="234"/>
      <c r="J965" s="234"/>
    </row>
    <row r="966" spans="2:10">
      <c r="B966" s="71" t="s">
        <v>216</v>
      </c>
      <c r="C966" s="51">
        <v>12</v>
      </c>
      <c r="D966" s="234">
        <v>12</v>
      </c>
      <c r="E966" s="234">
        <v>12</v>
      </c>
      <c r="F966" s="234">
        <v>12</v>
      </c>
      <c r="G966" s="234">
        <v>12</v>
      </c>
      <c r="H966" s="234">
        <v>12</v>
      </c>
      <c r="I966" s="234">
        <v>17</v>
      </c>
      <c r="J966" s="234">
        <v>28</v>
      </c>
    </row>
    <row r="967" spans="2:10" ht="15" customHeight="1">
      <c r="B967" s="52" t="s">
        <v>150</v>
      </c>
      <c r="C967" s="1275">
        <v>0</v>
      </c>
      <c r="D967" s="234">
        <v>0</v>
      </c>
      <c r="E967" s="234">
        <v>0</v>
      </c>
      <c r="F967" s="234">
        <v>0</v>
      </c>
      <c r="G967" s="234">
        <v>0</v>
      </c>
      <c r="H967" s="234">
        <v>0</v>
      </c>
      <c r="I967" s="234">
        <v>0</v>
      </c>
      <c r="J967" s="234">
        <v>0</v>
      </c>
    </row>
    <row r="968" spans="2:10">
      <c r="B968" s="52" t="s">
        <v>214</v>
      </c>
      <c r="C968" s="1275">
        <v>0</v>
      </c>
      <c r="D968" s="234">
        <v>0</v>
      </c>
      <c r="E968" s="234">
        <v>0</v>
      </c>
      <c r="F968" s="234">
        <v>0</v>
      </c>
      <c r="G968" s="234">
        <v>0</v>
      </c>
      <c r="H968" s="234">
        <v>0</v>
      </c>
      <c r="I968" s="234">
        <v>0</v>
      </c>
      <c r="J968" s="234">
        <v>0</v>
      </c>
    </row>
    <row r="969" spans="2:10">
      <c r="B969" s="52" t="s">
        <v>147</v>
      </c>
      <c r="C969" s="51">
        <v>1</v>
      </c>
      <c r="D969" s="234">
        <v>1</v>
      </c>
      <c r="E969" s="234">
        <v>1</v>
      </c>
      <c r="F969" s="234">
        <v>1</v>
      </c>
      <c r="G969" s="234">
        <v>1</v>
      </c>
      <c r="H969" s="234">
        <v>1</v>
      </c>
      <c r="I969" s="234">
        <v>15</v>
      </c>
      <c r="J969" s="234">
        <v>3</v>
      </c>
    </row>
    <row r="970" spans="2:10">
      <c r="B970" s="52" t="s">
        <v>146</v>
      </c>
      <c r="C970" s="51">
        <v>11</v>
      </c>
      <c r="D970" s="234">
        <v>11</v>
      </c>
      <c r="E970" s="234">
        <v>11</v>
      </c>
      <c r="F970" s="234">
        <v>11</v>
      </c>
      <c r="G970" s="234">
        <v>11</v>
      </c>
      <c r="H970" s="234">
        <v>11</v>
      </c>
      <c r="I970" s="234">
        <v>2</v>
      </c>
      <c r="J970" s="234">
        <v>25</v>
      </c>
    </row>
    <row r="971" spans="2:10">
      <c r="B971" s="57"/>
      <c r="C971" s="51"/>
      <c r="D971" s="57"/>
      <c r="E971" s="57"/>
      <c r="F971" s="57"/>
      <c r="G971" s="57"/>
      <c r="H971" s="57"/>
      <c r="I971" s="56"/>
    </row>
    <row r="972" spans="2:10">
      <c r="B972" s="58" t="s">
        <v>2055</v>
      </c>
      <c r="C972" s="51"/>
      <c r="D972" s="57"/>
      <c r="E972" s="57"/>
      <c r="F972" s="57"/>
      <c r="G972" s="57"/>
      <c r="H972" s="57"/>
      <c r="I972" s="56"/>
    </row>
    <row r="973" spans="2:10">
      <c r="B973" s="71" t="s">
        <v>217</v>
      </c>
      <c r="C973" s="51">
        <v>48</v>
      </c>
      <c r="D973" s="336">
        <v>53</v>
      </c>
      <c r="E973" s="336">
        <v>50</v>
      </c>
      <c r="F973" s="336">
        <v>51</v>
      </c>
      <c r="G973" s="336">
        <v>51</v>
      </c>
      <c r="H973" s="336">
        <v>50</v>
      </c>
      <c r="I973" s="336">
        <v>55</v>
      </c>
      <c r="J973" s="336">
        <v>55</v>
      </c>
    </row>
    <row r="974" spans="2:10">
      <c r="B974" s="52" t="s">
        <v>150</v>
      </c>
      <c r="C974" s="1275">
        <v>0</v>
      </c>
      <c r="D974" s="234">
        <v>0</v>
      </c>
      <c r="E974" s="234">
        <v>0</v>
      </c>
      <c r="F974" s="234">
        <v>0</v>
      </c>
      <c r="G974" s="234">
        <v>0</v>
      </c>
      <c r="H974" s="234">
        <v>0</v>
      </c>
      <c r="I974" s="234">
        <v>0</v>
      </c>
      <c r="J974" s="234">
        <v>0</v>
      </c>
    </row>
    <row r="975" spans="2:10">
      <c r="B975" s="52" t="s">
        <v>214</v>
      </c>
      <c r="C975" s="1275">
        <v>0</v>
      </c>
      <c r="D975" s="234">
        <v>0</v>
      </c>
      <c r="E975" s="234">
        <v>0</v>
      </c>
      <c r="F975" s="234">
        <v>0</v>
      </c>
      <c r="G975" s="234">
        <v>0</v>
      </c>
      <c r="H975" s="234">
        <v>0</v>
      </c>
      <c r="I975" s="234">
        <v>0</v>
      </c>
      <c r="J975" s="234">
        <v>0</v>
      </c>
    </row>
    <row r="976" spans="2:10">
      <c r="B976" s="52" t="s">
        <v>147</v>
      </c>
      <c r="C976" s="51">
        <v>2</v>
      </c>
      <c r="D976" s="234">
        <v>2</v>
      </c>
      <c r="E976" s="234">
        <v>2</v>
      </c>
      <c r="F976" s="234">
        <v>2</v>
      </c>
      <c r="G976" s="234">
        <v>2</v>
      </c>
      <c r="H976" s="234">
        <v>2</v>
      </c>
      <c r="I976" s="234">
        <v>2</v>
      </c>
      <c r="J976" s="234">
        <v>2</v>
      </c>
    </row>
    <row r="977" spans="2:10">
      <c r="B977" s="52" t="s">
        <v>146</v>
      </c>
      <c r="C977" s="51">
        <v>46</v>
      </c>
      <c r="D977" s="234">
        <v>51</v>
      </c>
      <c r="E977" s="234">
        <v>48</v>
      </c>
      <c r="F977" s="234">
        <v>49</v>
      </c>
      <c r="G977" s="234">
        <v>49</v>
      </c>
      <c r="H977" s="234">
        <v>48</v>
      </c>
      <c r="I977" s="234">
        <v>53</v>
      </c>
      <c r="J977" s="234">
        <v>53</v>
      </c>
    </row>
    <row r="978" spans="2:10">
      <c r="B978" s="52"/>
      <c r="C978" s="51"/>
      <c r="D978" s="234"/>
      <c r="E978" s="234"/>
      <c r="F978" s="234"/>
      <c r="G978" s="234"/>
      <c r="H978" s="234"/>
      <c r="I978" s="234"/>
      <c r="J978" s="234"/>
    </row>
    <row r="979" spans="2:10">
      <c r="B979" s="71" t="s">
        <v>216</v>
      </c>
      <c r="C979" s="51">
        <v>48</v>
      </c>
      <c r="D979" s="234">
        <v>53</v>
      </c>
      <c r="E979" s="234">
        <v>50</v>
      </c>
      <c r="F979" s="234">
        <v>51</v>
      </c>
      <c r="G979" s="234">
        <v>51</v>
      </c>
      <c r="H979" s="234">
        <v>50</v>
      </c>
      <c r="I979" s="234">
        <v>55</v>
      </c>
      <c r="J979" s="234">
        <v>55</v>
      </c>
    </row>
    <row r="980" spans="2:10">
      <c r="B980" s="52" t="s">
        <v>150</v>
      </c>
      <c r="C980" s="1275">
        <v>0</v>
      </c>
      <c r="D980" s="234">
        <v>0</v>
      </c>
      <c r="E980" s="234">
        <v>0</v>
      </c>
      <c r="F980" s="234">
        <v>0</v>
      </c>
      <c r="G980" s="234">
        <v>0</v>
      </c>
      <c r="H980" s="234">
        <v>0</v>
      </c>
      <c r="I980" s="234">
        <v>0</v>
      </c>
      <c r="J980" s="234">
        <v>0</v>
      </c>
    </row>
    <row r="981" spans="2:10">
      <c r="B981" s="52" t="s">
        <v>214</v>
      </c>
      <c r="C981" s="1275">
        <v>0</v>
      </c>
      <c r="D981" s="234">
        <v>0</v>
      </c>
      <c r="E981" s="234">
        <v>0</v>
      </c>
      <c r="F981" s="234">
        <v>0</v>
      </c>
      <c r="G981" s="234">
        <v>0</v>
      </c>
      <c r="H981" s="234">
        <v>0</v>
      </c>
      <c r="I981" s="234">
        <v>0</v>
      </c>
      <c r="J981" s="234">
        <v>0</v>
      </c>
    </row>
    <row r="982" spans="2:10">
      <c r="B982" s="52" t="s">
        <v>147</v>
      </c>
      <c r="C982" s="51">
        <v>2</v>
      </c>
      <c r="D982" s="234">
        <v>2</v>
      </c>
      <c r="E982" s="234">
        <v>2</v>
      </c>
      <c r="F982" s="234">
        <v>2</v>
      </c>
      <c r="G982" s="234">
        <v>2</v>
      </c>
      <c r="H982" s="234">
        <v>2</v>
      </c>
      <c r="I982" s="234">
        <v>2</v>
      </c>
      <c r="J982" s="234">
        <v>2</v>
      </c>
    </row>
    <row r="983" spans="2:10" ht="15" thickBot="1">
      <c r="B983" s="52" t="s">
        <v>146</v>
      </c>
      <c r="C983" s="51">
        <v>46</v>
      </c>
      <c r="D983" s="234">
        <v>51</v>
      </c>
      <c r="E983" s="234">
        <v>48</v>
      </c>
      <c r="F983" s="234">
        <v>49</v>
      </c>
      <c r="G983" s="234">
        <v>49</v>
      </c>
      <c r="H983" s="234">
        <v>48</v>
      </c>
      <c r="I983" s="234">
        <v>53</v>
      </c>
      <c r="J983" s="234">
        <v>53</v>
      </c>
    </row>
    <row r="984" spans="2:10" ht="15" thickTop="1">
      <c r="B984" s="181" t="s">
        <v>2056</v>
      </c>
      <c r="C984" s="1591"/>
      <c r="D984" s="181"/>
      <c r="E984" s="181"/>
      <c r="F984" s="181"/>
      <c r="G984" s="181"/>
      <c r="H984" s="181"/>
      <c r="I984" s="181"/>
      <c r="J984" s="1533"/>
    </row>
    <row r="985" spans="2:10">
      <c r="B985" s="2066" t="s">
        <v>2057</v>
      </c>
      <c r="C985" s="2066"/>
      <c r="D985" s="2066"/>
      <c r="E985" s="2066"/>
      <c r="F985" s="2066"/>
      <c r="G985" s="2066"/>
      <c r="H985" s="2066"/>
      <c r="I985" s="2066"/>
      <c r="J985" s="2066"/>
    </row>
    <row r="986" spans="2:10">
      <c r="B986" s="2066"/>
      <c r="C986" s="2066"/>
      <c r="D986" s="2066"/>
      <c r="E986" s="2066"/>
      <c r="F986" s="2066"/>
      <c r="G986" s="2066"/>
      <c r="H986" s="2066"/>
      <c r="I986" s="2066"/>
      <c r="J986" s="2066"/>
    </row>
    <row r="987" spans="2:10">
      <c r="B987" s="62"/>
      <c r="C987" s="339"/>
      <c r="D987" s="302"/>
      <c r="E987" s="302"/>
      <c r="F987" s="302"/>
      <c r="G987" s="302"/>
      <c r="H987" s="302"/>
      <c r="I987" s="302"/>
      <c r="J987" s="439"/>
    </row>
    <row r="988" spans="2:10">
      <c r="B988" s="2100" t="s">
        <v>212</v>
      </c>
      <c r="C988" s="2100"/>
      <c r="D988" s="2100"/>
      <c r="E988" s="2100"/>
      <c r="F988" s="2100"/>
      <c r="G988" s="2100"/>
      <c r="H988" s="2100"/>
      <c r="I988" s="2100"/>
      <c r="J988" s="2100"/>
    </row>
    <row r="989" spans="2:10">
      <c r="B989" s="12" t="s">
        <v>211</v>
      </c>
      <c r="C989" s="339"/>
      <c r="D989" s="302"/>
      <c r="E989" s="302"/>
      <c r="F989" s="302"/>
      <c r="G989" s="302"/>
      <c r="H989" s="302"/>
      <c r="I989" s="302"/>
      <c r="J989" s="439"/>
    </row>
    <row r="990" spans="2:10">
      <c r="B990" s="64" t="s">
        <v>210</v>
      </c>
      <c r="C990" s="339"/>
      <c r="D990" s="302"/>
      <c r="E990" s="302"/>
      <c r="F990" s="302"/>
      <c r="G990" s="302"/>
      <c r="H990" s="302"/>
      <c r="I990" s="302"/>
      <c r="J990" s="439"/>
    </row>
    <row r="991" spans="2:10">
      <c r="B991" s="64"/>
      <c r="C991" s="339"/>
      <c r="D991" s="302"/>
      <c r="E991" s="302"/>
      <c r="F991" s="302"/>
      <c r="G991" s="302"/>
      <c r="H991" s="302"/>
      <c r="I991" s="302"/>
      <c r="J991" s="439"/>
    </row>
    <row r="992" spans="2:10">
      <c r="B992" s="61"/>
      <c r="C992" s="1536">
        <v>2014</v>
      </c>
      <c r="D992" s="303">
        <v>2015</v>
      </c>
      <c r="E992" s="303">
        <v>2016</v>
      </c>
      <c r="F992" s="303">
        <v>2017</v>
      </c>
      <c r="G992" s="303">
        <v>2018</v>
      </c>
      <c r="H992" s="303">
        <v>2019</v>
      </c>
      <c r="I992" s="303">
        <v>2020</v>
      </c>
      <c r="J992" s="303">
        <v>2021</v>
      </c>
    </row>
    <row r="993" spans="2:10">
      <c r="B993" s="59" t="s">
        <v>1319</v>
      </c>
      <c r="C993" s="339"/>
      <c r="D993" s="302"/>
      <c r="E993" s="302"/>
      <c r="F993" s="302"/>
      <c r="G993" s="302"/>
      <c r="H993" s="302"/>
      <c r="I993" s="302"/>
      <c r="J993" s="439"/>
    </row>
    <row r="994" spans="2:10" ht="25">
      <c r="B994" s="71" t="s">
        <v>209</v>
      </c>
      <c r="C994" s="227"/>
      <c r="D994" s="227"/>
      <c r="E994" s="227"/>
      <c r="F994" s="227"/>
      <c r="G994" s="227"/>
      <c r="H994" s="227"/>
      <c r="I994" s="227"/>
      <c r="J994" s="227"/>
    </row>
    <row r="995" spans="2:10">
      <c r="B995" s="71"/>
      <c r="C995" s="1595"/>
      <c r="D995" s="1596"/>
      <c r="E995" s="1596"/>
      <c r="F995" s="1596"/>
      <c r="G995" s="1596"/>
      <c r="H995" s="1596"/>
      <c r="I995" s="1596"/>
      <c r="J995" s="439"/>
    </row>
    <row r="996" spans="2:10">
      <c r="B996" s="71" t="s">
        <v>208</v>
      </c>
      <c r="C996" s="227">
        <v>3244</v>
      </c>
      <c r="D996" s="227">
        <v>4942</v>
      </c>
      <c r="E996" s="227">
        <v>7225</v>
      </c>
      <c r="F996" s="227">
        <v>5857</v>
      </c>
      <c r="G996" s="227">
        <v>5705</v>
      </c>
      <c r="H996" s="227">
        <v>9809</v>
      </c>
      <c r="I996" s="227">
        <v>10500</v>
      </c>
      <c r="J996" s="95">
        <v>10500</v>
      </c>
    </row>
    <row r="997" spans="2:10">
      <c r="B997" s="52" t="s">
        <v>121</v>
      </c>
      <c r="C997" s="227">
        <v>3100</v>
      </c>
      <c r="D997" s="227">
        <v>4862</v>
      </c>
      <c r="E997" s="227">
        <v>6844</v>
      </c>
      <c r="F997" s="227">
        <v>5449</v>
      </c>
      <c r="G997" s="227">
        <v>5436</v>
      </c>
      <c r="H997" s="227">
        <v>8658</v>
      </c>
      <c r="I997" s="227">
        <v>8353</v>
      </c>
      <c r="J997" s="95">
        <v>8353</v>
      </c>
    </row>
    <row r="998" spans="2:10" ht="15" customHeight="1">
      <c r="B998" s="53" t="s">
        <v>120</v>
      </c>
      <c r="C998" s="227">
        <v>143</v>
      </c>
      <c r="D998" s="227">
        <v>0</v>
      </c>
      <c r="E998" s="227">
        <v>9</v>
      </c>
      <c r="F998" s="227">
        <v>137</v>
      </c>
      <c r="G998" s="227">
        <v>296</v>
      </c>
      <c r="H998" s="227">
        <v>369</v>
      </c>
      <c r="I998" s="227">
        <v>735</v>
      </c>
      <c r="J998" s="95">
        <v>0</v>
      </c>
    </row>
    <row r="999" spans="2:10">
      <c r="B999" s="53" t="s">
        <v>119</v>
      </c>
      <c r="C999" s="227">
        <v>2629</v>
      </c>
      <c r="D999" s="227">
        <v>4651</v>
      </c>
      <c r="E999" s="227">
        <v>6454</v>
      </c>
      <c r="F999" s="227">
        <v>5098</v>
      </c>
      <c r="G999" s="227">
        <v>5010</v>
      </c>
      <c r="H999" s="227">
        <v>8551</v>
      </c>
      <c r="I999" s="227">
        <v>7892</v>
      </c>
      <c r="J999" s="95">
        <v>9572</v>
      </c>
    </row>
    <row r="1000" spans="2:10">
      <c r="B1000" s="53" t="s">
        <v>172</v>
      </c>
      <c r="C1000" s="227">
        <v>328</v>
      </c>
      <c r="D1000" s="227">
        <v>211</v>
      </c>
      <c r="E1000" s="227">
        <v>381</v>
      </c>
      <c r="F1000" s="227">
        <v>214</v>
      </c>
      <c r="G1000" s="227">
        <v>130</v>
      </c>
      <c r="H1000" s="227">
        <v>0.107</v>
      </c>
      <c r="I1000" s="227">
        <v>461</v>
      </c>
      <c r="J1000" s="95">
        <v>363</v>
      </c>
    </row>
    <row r="1001" spans="2:10">
      <c r="B1001" s="52" t="s">
        <v>118</v>
      </c>
      <c r="C1001" s="227">
        <v>0</v>
      </c>
      <c r="D1001" s="227" t="s">
        <v>2086</v>
      </c>
      <c r="E1001" s="227" t="s">
        <v>2086</v>
      </c>
      <c r="F1001" s="227" t="s">
        <v>2086</v>
      </c>
      <c r="G1001" s="227" t="s">
        <v>2086</v>
      </c>
      <c r="H1001" s="227">
        <v>684</v>
      </c>
      <c r="I1001" s="227">
        <v>1044</v>
      </c>
      <c r="J1001" s="95">
        <v>587</v>
      </c>
    </row>
    <row r="1002" spans="2:10">
      <c r="B1002" s="52" t="s">
        <v>117</v>
      </c>
      <c r="C1002" s="227">
        <v>144</v>
      </c>
      <c r="D1002" s="227">
        <v>80</v>
      </c>
      <c r="E1002" s="227">
        <v>381</v>
      </c>
      <c r="F1002" s="227">
        <v>408</v>
      </c>
      <c r="G1002" s="227">
        <v>269</v>
      </c>
      <c r="H1002" s="227">
        <v>0.46700000000000003</v>
      </c>
      <c r="I1002" s="227">
        <v>7</v>
      </c>
      <c r="J1002" s="95">
        <v>329</v>
      </c>
    </row>
    <row r="1003" spans="2:10">
      <c r="B1003" s="52"/>
      <c r="C1003" s="1561"/>
      <c r="D1003" s="439"/>
      <c r="E1003" s="439"/>
      <c r="F1003" s="439"/>
      <c r="G1003" s="439"/>
      <c r="H1003" s="439"/>
      <c r="I1003" s="439"/>
    </row>
    <row r="1004" spans="2:10" ht="26">
      <c r="B1004" s="83" t="s">
        <v>205</v>
      </c>
      <c r="C1004" s="227">
        <v>0</v>
      </c>
      <c r="D1004" s="227"/>
      <c r="E1004" s="227"/>
      <c r="F1004" s="227"/>
      <c r="G1004" s="227"/>
      <c r="H1004" s="227"/>
      <c r="I1004" s="227"/>
    </row>
    <row r="1005" spans="2:10">
      <c r="B1005" s="81" t="s">
        <v>121</v>
      </c>
      <c r="C1005" s="227">
        <v>0</v>
      </c>
      <c r="D1005" s="227">
        <v>26</v>
      </c>
      <c r="E1005" s="227">
        <v>136</v>
      </c>
      <c r="F1005" s="227">
        <v>75</v>
      </c>
      <c r="G1005" s="227">
        <v>33</v>
      </c>
      <c r="H1005" s="227">
        <v>0.23300000000000001</v>
      </c>
      <c r="I1005" s="227">
        <v>1159</v>
      </c>
      <c r="J1005" s="95">
        <v>1187</v>
      </c>
    </row>
    <row r="1006" spans="2:10">
      <c r="B1006" s="82" t="s">
        <v>120</v>
      </c>
      <c r="C1006" s="227">
        <v>0</v>
      </c>
      <c r="D1006" s="227">
        <v>26</v>
      </c>
      <c r="E1006" s="227">
        <v>0</v>
      </c>
      <c r="F1006" s="227">
        <v>0</v>
      </c>
      <c r="G1006" s="227">
        <v>0</v>
      </c>
      <c r="H1006" s="227" t="s">
        <v>324</v>
      </c>
      <c r="I1006" s="227" t="s">
        <v>324</v>
      </c>
      <c r="J1006" s="95" t="s">
        <v>324</v>
      </c>
    </row>
    <row r="1007" spans="2:10">
      <c r="B1007" s="82" t="s">
        <v>119</v>
      </c>
      <c r="C1007" s="227">
        <v>0</v>
      </c>
      <c r="D1007" s="227">
        <v>0</v>
      </c>
      <c r="E1007" s="227">
        <v>61</v>
      </c>
      <c r="F1007" s="227">
        <v>29</v>
      </c>
      <c r="G1007" s="227">
        <v>22</v>
      </c>
      <c r="H1007" s="227">
        <v>0.114</v>
      </c>
      <c r="I1007" s="227">
        <v>1044</v>
      </c>
      <c r="J1007" s="95">
        <v>971</v>
      </c>
    </row>
    <row r="1008" spans="2:10">
      <c r="B1008" s="82" t="s">
        <v>172</v>
      </c>
      <c r="C1008" s="227">
        <v>0</v>
      </c>
      <c r="D1008" s="227">
        <v>14</v>
      </c>
      <c r="E1008" s="227">
        <v>75</v>
      </c>
      <c r="F1008" s="227">
        <v>46</v>
      </c>
      <c r="G1008" s="227">
        <v>11</v>
      </c>
      <c r="H1008" s="227">
        <v>0.11900000000000001</v>
      </c>
      <c r="I1008" s="227">
        <v>115</v>
      </c>
      <c r="J1008" s="95">
        <v>216</v>
      </c>
    </row>
    <row r="1009" spans="2:10">
      <c r="B1009" s="81" t="s">
        <v>118</v>
      </c>
      <c r="C1009" s="227">
        <v>0</v>
      </c>
      <c r="D1009" s="227">
        <v>12</v>
      </c>
      <c r="E1009" s="227">
        <v>0</v>
      </c>
      <c r="F1009" s="227">
        <v>0</v>
      </c>
      <c r="G1009" s="227">
        <v>0</v>
      </c>
      <c r="H1009" s="227" t="s">
        <v>324</v>
      </c>
      <c r="I1009" s="227" t="s">
        <v>324</v>
      </c>
      <c r="J1009" s="95" t="s">
        <v>324</v>
      </c>
    </row>
    <row r="1010" spans="2:10">
      <c r="B1010" s="81" t="s">
        <v>117</v>
      </c>
      <c r="C1010" s="227">
        <v>0</v>
      </c>
      <c r="D1010" s="227">
        <v>0</v>
      </c>
      <c r="E1010" s="227">
        <v>0</v>
      </c>
      <c r="F1010" s="227">
        <v>0</v>
      </c>
      <c r="G1010" s="227">
        <v>0</v>
      </c>
      <c r="H1010" s="227" t="s">
        <v>324</v>
      </c>
      <c r="I1010" s="227" t="s">
        <v>324</v>
      </c>
      <c r="J1010" s="95" t="s">
        <v>324</v>
      </c>
    </row>
    <row r="1011" spans="2:10">
      <c r="B1011" s="81"/>
      <c r="C1011" s="1561"/>
      <c r="D1011" s="439"/>
      <c r="E1011" s="439"/>
      <c r="F1011" s="439"/>
      <c r="G1011" s="439"/>
      <c r="H1011" s="439"/>
      <c r="I1011" s="439"/>
    </row>
    <row r="1012" spans="2:10" ht="26">
      <c r="B1012" s="83" t="s">
        <v>204</v>
      </c>
      <c r="C1012" s="227">
        <v>3244</v>
      </c>
      <c r="D1012" s="227"/>
      <c r="E1012" s="227"/>
      <c r="F1012" s="227"/>
      <c r="G1012" s="227"/>
      <c r="H1012" s="227"/>
      <c r="I1012" s="227"/>
    </row>
    <row r="1013" spans="2:10">
      <c r="B1013" s="81" t="s">
        <v>121</v>
      </c>
      <c r="C1013" s="227">
        <v>3100</v>
      </c>
      <c r="D1013" s="227">
        <v>4888</v>
      </c>
      <c r="E1013" s="227">
        <v>7089</v>
      </c>
      <c r="F1013" s="227">
        <v>5782</v>
      </c>
      <c r="G1013" s="227">
        <v>5672</v>
      </c>
      <c r="H1013" s="227">
        <v>8658.2330000000002</v>
      </c>
      <c r="I1013" s="227">
        <v>9088</v>
      </c>
      <c r="J1013" s="95">
        <v>9540</v>
      </c>
    </row>
    <row r="1014" spans="2:10">
      <c r="B1014" s="82" t="s">
        <v>120</v>
      </c>
      <c r="C1014" s="227">
        <v>143</v>
      </c>
      <c r="D1014" s="227">
        <v>0</v>
      </c>
      <c r="E1014" s="227">
        <v>9</v>
      </c>
      <c r="F1014" s="227">
        <v>137</v>
      </c>
      <c r="G1014" s="227">
        <v>296</v>
      </c>
      <c r="H1014" s="227">
        <v>369</v>
      </c>
      <c r="I1014" s="227">
        <v>735</v>
      </c>
      <c r="J1014" s="95">
        <v>0</v>
      </c>
    </row>
    <row r="1015" spans="2:10">
      <c r="B1015" s="82" t="s">
        <v>119</v>
      </c>
      <c r="C1015" s="227">
        <v>2629</v>
      </c>
      <c r="D1015" s="227">
        <v>4665</v>
      </c>
      <c r="E1015" s="227">
        <v>6393</v>
      </c>
      <c r="F1015" s="227">
        <v>5069</v>
      </c>
      <c r="G1015" s="227">
        <v>4988</v>
      </c>
      <c r="H1015" s="227">
        <v>8551.1139999999996</v>
      </c>
      <c r="I1015" s="227">
        <v>8627</v>
      </c>
      <c r="J1015" s="95">
        <v>10543</v>
      </c>
    </row>
    <row r="1016" spans="2:10">
      <c r="B1016" s="82" t="s">
        <v>172</v>
      </c>
      <c r="C1016" s="227">
        <v>328</v>
      </c>
      <c r="D1016" s="227">
        <v>223</v>
      </c>
      <c r="E1016" s="227">
        <v>306</v>
      </c>
      <c r="F1016" s="227">
        <v>168</v>
      </c>
      <c r="G1016" s="227">
        <v>119</v>
      </c>
      <c r="H1016" s="227">
        <v>0.22600000000000001</v>
      </c>
      <c r="I1016" s="227">
        <v>461</v>
      </c>
      <c r="J1016" s="95">
        <v>579</v>
      </c>
    </row>
    <row r="1017" spans="2:10">
      <c r="B1017" s="81" t="s">
        <v>118</v>
      </c>
      <c r="C1017" s="227">
        <v>0</v>
      </c>
      <c r="D1017" s="227" t="s">
        <v>2086</v>
      </c>
      <c r="E1017" s="227" t="s">
        <v>2086</v>
      </c>
      <c r="F1017" s="227" t="s">
        <v>2086</v>
      </c>
      <c r="G1017" s="227" t="s">
        <v>2086</v>
      </c>
      <c r="H1017" s="227">
        <v>684</v>
      </c>
      <c r="I1017" s="227">
        <v>1044</v>
      </c>
      <c r="J1017" s="95">
        <v>587</v>
      </c>
    </row>
    <row r="1018" spans="2:10">
      <c r="B1018" s="81" t="s">
        <v>117</v>
      </c>
      <c r="C1018" s="227">
        <v>144</v>
      </c>
      <c r="D1018" s="227">
        <v>80</v>
      </c>
      <c r="E1018" s="227">
        <v>381</v>
      </c>
      <c r="F1018" s="227">
        <v>408</v>
      </c>
      <c r="G1018" s="227">
        <v>269</v>
      </c>
      <c r="H1018" s="227">
        <v>0.46700000000000003</v>
      </c>
      <c r="I1018" s="227">
        <v>7</v>
      </c>
      <c r="J1018" s="95">
        <v>329</v>
      </c>
    </row>
    <row r="1019" spans="2:10">
      <c r="B1019" s="81"/>
      <c r="C1019" s="235"/>
      <c r="D1019" s="235"/>
      <c r="E1019" s="235"/>
      <c r="F1019" s="235"/>
      <c r="G1019" s="235"/>
      <c r="H1019" s="235"/>
      <c r="I1019" s="227"/>
    </row>
    <row r="1020" spans="2:10" ht="25">
      <c r="B1020" s="71" t="s">
        <v>203</v>
      </c>
      <c r="C1020" s="235" t="s">
        <v>2086</v>
      </c>
      <c r="D1020" s="235"/>
      <c r="E1020" s="235"/>
      <c r="F1020" s="235"/>
      <c r="G1020" s="235"/>
      <c r="H1020" s="235"/>
      <c r="I1020" s="227"/>
    </row>
    <row r="1021" spans="2:10">
      <c r="B1021" s="52" t="s">
        <v>169</v>
      </c>
      <c r="C1021" s="235" t="s">
        <v>2086</v>
      </c>
      <c r="D1021" s="235" t="s">
        <v>2086</v>
      </c>
      <c r="E1021" s="235" t="s">
        <v>2086</v>
      </c>
      <c r="F1021" s="235" t="s">
        <v>2086</v>
      </c>
      <c r="G1021" s="235">
        <v>2E-3</v>
      </c>
      <c r="H1021" s="235">
        <v>0.32400000000000001</v>
      </c>
      <c r="I1021" s="227">
        <v>360</v>
      </c>
      <c r="J1021" s="95">
        <v>3.5999999999999997E-2</v>
      </c>
    </row>
    <row r="1022" spans="2:10">
      <c r="B1022" s="52" t="s">
        <v>168</v>
      </c>
      <c r="C1022" s="235" t="s">
        <v>2086</v>
      </c>
      <c r="D1022" s="235" t="s">
        <v>2086</v>
      </c>
      <c r="E1022" s="235" t="s">
        <v>2086</v>
      </c>
      <c r="F1022" s="235" t="s">
        <v>2086</v>
      </c>
      <c r="G1022" s="235" t="s">
        <v>2086</v>
      </c>
      <c r="H1022" s="235" t="s">
        <v>2086</v>
      </c>
      <c r="I1022" s="227" t="s">
        <v>2086</v>
      </c>
      <c r="J1022" s="95">
        <v>0</v>
      </c>
    </row>
    <row r="1023" spans="2:10">
      <c r="B1023" s="52" t="s">
        <v>167</v>
      </c>
      <c r="C1023" s="235" t="s">
        <v>2086</v>
      </c>
      <c r="D1023" s="235" t="s">
        <v>2086</v>
      </c>
      <c r="E1023" s="235" t="s">
        <v>2086</v>
      </c>
      <c r="F1023" s="235" t="s">
        <v>2086</v>
      </c>
      <c r="G1023" s="235" t="s">
        <v>2086</v>
      </c>
      <c r="H1023" s="235" t="s">
        <v>2086</v>
      </c>
      <c r="I1023" s="227" t="s">
        <v>2086</v>
      </c>
      <c r="J1023" s="95">
        <v>0</v>
      </c>
    </row>
    <row r="1024" spans="2:10">
      <c r="B1024" s="52" t="s">
        <v>166</v>
      </c>
      <c r="C1024" s="235" t="s">
        <v>2086</v>
      </c>
      <c r="D1024" s="235" t="s">
        <v>2086</v>
      </c>
      <c r="E1024" s="235" t="s">
        <v>2086</v>
      </c>
      <c r="F1024" s="235" t="s">
        <v>2086</v>
      </c>
      <c r="G1024" s="235" t="s">
        <v>2086</v>
      </c>
      <c r="H1024" s="235" t="s">
        <v>2086</v>
      </c>
      <c r="I1024" s="227" t="s">
        <v>2086</v>
      </c>
      <c r="J1024" s="95">
        <v>0</v>
      </c>
    </row>
    <row r="1025" spans="2:10">
      <c r="B1025" s="52" t="s">
        <v>165</v>
      </c>
      <c r="C1025" s="235" t="s">
        <v>2086</v>
      </c>
      <c r="D1025" s="235" t="s">
        <v>2086</v>
      </c>
      <c r="E1025" s="235" t="s">
        <v>2086</v>
      </c>
      <c r="F1025" s="235" t="s">
        <v>2086</v>
      </c>
      <c r="G1025" s="235" t="s">
        <v>2086</v>
      </c>
      <c r="H1025" s="235" t="s">
        <v>2086</v>
      </c>
      <c r="I1025" s="227" t="s">
        <v>2086</v>
      </c>
      <c r="J1025" s="95">
        <v>0</v>
      </c>
    </row>
    <row r="1026" spans="2:10">
      <c r="B1026" s="52" t="s">
        <v>164</v>
      </c>
      <c r="C1026" s="235" t="s">
        <v>2086</v>
      </c>
      <c r="D1026" s="235" t="s">
        <v>2086</v>
      </c>
      <c r="E1026" s="235" t="s">
        <v>2086</v>
      </c>
      <c r="F1026" s="235" t="s">
        <v>2086</v>
      </c>
      <c r="G1026" s="235" t="s">
        <v>2086</v>
      </c>
      <c r="H1026" s="235" t="s">
        <v>2086</v>
      </c>
      <c r="I1026" s="227" t="s">
        <v>2086</v>
      </c>
      <c r="J1026" s="95">
        <v>0</v>
      </c>
    </row>
    <row r="1027" spans="2:10">
      <c r="B1027" s="52"/>
      <c r="C1027" s="235"/>
      <c r="D1027" s="235"/>
      <c r="E1027" s="235"/>
      <c r="F1027" s="235"/>
      <c r="G1027" s="235"/>
      <c r="H1027" s="235"/>
      <c r="I1027" s="227"/>
    </row>
    <row r="1028" spans="2:10">
      <c r="B1028" s="80" t="s">
        <v>202</v>
      </c>
      <c r="C1028" s="235"/>
      <c r="D1028" s="235"/>
      <c r="E1028" s="235"/>
      <c r="F1028" s="235"/>
      <c r="G1028" s="235"/>
      <c r="H1028" s="235"/>
      <c r="I1028" s="227"/>
    </row>
    <row r="1029" spans="2:10">
      <c r="B1029" s="52" t="s">
        <v>169</v>
      </c>
      <c r="C1029" s="235" t="s">
        <v>2086</v>
      </c>
      <c r="D1029" s="235" t="s">
        <v>2086</v>
      </c>
      <c r="E1029" s="235" t="s">
        <v>2086</v>
      </c>
      <c r="F1029" s="235" t="s">
        <v>2086</v>
      </c>
      <c r="G1029" s="235" t="s">
        <v>2086</v>
      </c>
      <c r="H1029" s="235" t="s">
        <v>2086</v>
      </c>
      <c r="I1029" s="227" t="s">
        <v>2086</v>
      </c>
      <c r="J1029" s="95">
        <v>0</v>
      </c>
    </row>
    <row r="1030" spans="2:10">
      <c r="B1030" s="52" t="s">
        <v>168</v>
      </c>
      <c r="C1030" s="235" t="s">
        <v>2086</v>
      </c>
      <c r="D1030" s="235" t="s">
        <v>2086</v>
      </c>
      <c r="E1030" s="235" t="s">
        <v>2086</v>
      </c>
      <c r="F1030" s="235" t="s">
        <v>2086</v>
      </c>
      <c r="G1030" s="235" t="s">
        <v>2086</v>
      </c>
      <c r="H1030" s="235" t="s">
        <v>2086</v>
      </c>
      <c r="I1030" s="227" t="s">
        <v>2086</v>
      </c>
      <c r="J1030" s="95">
        <v>0</v>
      </c>
    </row>
    <row r="1031" spans="2:10">
      <c r="B1031" s="52" t="s">
        <v>167</v>
      </c>
      <c r="C1031" s="235" t="s">
        <v>2086</v>
      </c>
      <c r="D1031" s="235" t="s">
        <v>2086</v>
      </c>
      <c r="E1031" s="235" t="s">
        <v>2086</v>
      </c>
      <c r="F1031" s="235" t="s">
        <v>2086</v>
      </c>
      <c r="G1031" s="235" t="s">
        <v>2086</v>
      </c>
      <c r="H1031" s="235" t="s">
        <v>2086</v>
      </c>
      <c r="I1031" s="227" t="s">
        <v>2086</v>
      </c>
      <c r="J1031" s="95">
        <v>0</v>
      </c>
    </row>
    <row r="1032" spans="2:10">
      <c r="B1032" s="52" t="s">
        <v>166</v>
      </c>
      <c r="C1032" s="235" t="s">
        <v>2086</v>
      </c>
      <c r="D1032" s="235" t="s">
        <v>2086</v>
      </c>
      <c r="E1032" s="235" t="s">
        <v>2086</v>
      </c>
      <c r="F1032" s="235" t="s">
        <v>2086</v>
      </c>
      <c r="G1032" s="235" t="s">
        <v>2086</v>
      </c>
      <c r="H1032" s="235" t="s">
        <v>2086</v>
      </c>
      <c r="I1032" s="227" t="s">
        <v>2086</v>
      </c>
      <c r="J1032" s="95">
        <v>0</v>
      </c>
    </row>
    <row r="1033" spans="2:10">
      <c r="B1033" s="52" t="s">
        <v>165</v>
      </c>
      <c r="C1033" s="235" t="s">
        <v>2086</v>
      </c>
      <c r="D1033" s="235" t="s">
        <v>2086</v>
      </c>
      <c r="E1033" s="235" t="s">
        <v>2086</v>
      </c>
      <c r="F1033" s="235" t="s">
        <v>2086</v>
      </c>
      <c r="G1033" s="235" t="s">
        <v>2086</v>
      </c>
      <c r="H1033" s="235" t="s">
        <v>2086</v>
      </c>
      <c r="I1033" s="227" t="s">
        <v>2086</v>
      </c>
      <c r="J1033" s="95">
        <v>0</v>
      </c>
    </row>
    <row r="1034" spans="2:10" ht="15" thickBot="1">
      <c r="B1034" s="52" t="s">
        <v>164</v>
      </c>
      <c r="C1034" s="235" t="s">
        <v>2086</v>
      </c>
      <c r="D1034" s="235" t="s">
        <v>2086</v>
      </c>
      <c r="E1034" s="235" t="s">
        <v>2086</v>
      </c>
      <c r="F1034" s="235" t="s">
        <v>2086</v>
      </c>
      <c r="G1034" s="235" t="s">
        <v>2086</v>
      </c>
      <c r="H1034" s="235" t="s">
        <v>2086</v>
      </c>
      <c r="I1034" s="227" t="s">
        <v>2086</v>
      </c>
      <c r="J1034" s="95">
        <v>0</v>
      </c>
    </row>
    <row r="1035" spans="2:10" ht="15" thickTop="1">
      <c r="B1035" s="2025" t="s">
        <v>2058</v>
      </c>
      <c r="C1035" s="2025"/>
      <c r="D1035" s="2025"/>
      <c r="E1035" s="2025"/>
      <c r="F1035" s="2025"/>
      <c r="G1035" s="2025"/>
      <c r="H1035" s="2025"/>
      <c r="I1035" s="2025"/>
      <c r="J1035" s="2025"/>
    </row>
    <row r="1036" spans="2:10">
      <c r="B1036" s="47"/>
      <c r="C1036" s="1548"/>
      <c r="D1036" s="47"/>
      <c r="E1036" s="47"/>
      <c r="F1036" s="47"/>
      <c r="G1036" s="47"/>
      <c r="H1036" s="47"/>
      <c r="I1036" s="47"/>
      <c r="J1036" s="1549"/>
    </row>
    <row r="1037" spans="2:10">
      <c r="B1037" s="64"/>
      <c r="C1037" s="339"/>
      <c r="D1037" s="302"/>
      <c r="E1037" s="302"/>
      <c r="F1037" s="302"/>
      <c r="G1037" s="302"/>
      <c r="H1037" s="302"/>
      <c r="I1037" s="302"/>
      <c r="J1037" s="439"/>
    </row>
    <row r="1038" spans="2:10" ht="15" customHeight="1">
      <c r="B1038" s="2100" t="s">
        <v>199</v>
      </c>
      <c r="C1038" s="2100"/>
      <c r="D1038" s="2100"/>
      <c r="E1038" s="2100"/>
      <c r="F1038" s="2100"/>
      <c r="G1038" s="2100"/>
      <c r="H1038" s="2100"/>
      <c r="I1038" s="2100"/>
      <c r="J1038" s="2100"/>
    </row>
    <row r="1039" spans="2:10">
      <c r="B1039" s="12" t="s">
        <v>198</v>
      </c>
      <c r="C1039" s="339"/>
      <c r="D1039" s="302"/>
      <c r="E1039" s="302"/>
      <c r="F1039" s="302"/>
      <c r="G1039" s="302"/>
      <c r="H1039" s="302"/>
      <c r="I1039" s="302"/>
      <c r="J1039" s="439"/>
    </row>
    <row r="1040" spans="2:10">
      <c r="B1040" s="62" t="s">
        <v>127</v>
      </c>
      <c r="C1040" s="339"/>
      <c r="D1040" s="302"/>
      <c r="E1040" s="302"/>
      <c r="F1040" s="302"/>
      <c r="G1040" s="302"/>
      <c r="H1040" s="302"/>
      <c r="I1040" s="302"/>
      <c r="J1040" s="439"/>
    </row>
    <row r="1041" spans="2:10">
      <c r="B1041" s="62"/>
      <c r="C1041" s="339"/>
      <c r="D1041" s="302"/>
      <c r="E1041" s="302"/>
      <c r="F1041" s="302"/>
      <c r="G1041" s="302"/>
      <c r="H1041" s="302"/>
      <c r="I1041" s="302"/>
      <c r="J1041" s="439"/>
    </row>
    <row r="1042" spans="2:10">
      <c r="B1042" s="61"/>
      <c r="C1042" s="1536">
        <v>2014</v>
      </c>
      <c r="D1042" s="303">
        <v>2015</v>
      </c>
      <c r="E1042" s="303">
        <v>2016</v>
      </c>
      <c r="F1042" s="303">
        <v>2017</v>
      </c>
      <c r="G1042" s="303">
        <v>2018</v>
      </c>
      <c r="H1042" s="303">
        <v>2019</v>
      </c>
      <c r="I1042" s="303"/>
      <c r="J1042" s="1597">
        <v>2020</v>
      </c>
    </row>
    <row r="1043" spans="2:10">
      <c r="B1043" s="59" t="s">
        <v>1319</v>
      </c>
      <c r="C1043" s="339"/>
      <c r="D1043" s="302"/>
      <c r="E1043" s="302"/>
      <c r="F1043" s="302"/>
      <c r="G1043" s="302"/>
      <c r="H1043" s="302"/>
      <c r="I1043" s="302"/>
      <c r="J1043" s="439"/>
    </row>
    <row r="1044" spans="2:10" ht="25">
      <c r="B1044" s="71" t="s">
        <v>186</v>
      </c>
      <c r="C1044" s="429"/>
      <c r="D1044" s="429"/>
      <c r="E1044" s="429"/>
      <c r="F1044" s="429"/>
      <c r="G1044" s="429"/>
      <c r="H1044" s="429"/>
      <c r="I1044" s="429"/>
      <c r="J1044" s="210"/>
    </row>
    <row r="1045" spans="2:10">
      <c r="B1045" s="71"/>
      <c r="C1045" s="339"/>
      <c r="D1045" s="302"/>
      <c r="E1045" s="302"/>
      <c r="F1045" s="302"/>
      <c r="G1045" s="302"/>
      <c r="H1045" s="302"/>
      <c r="I1045" s="302"/>
      <c r="J1045" s="439"/>
    </row>
    <row r="1046" spans="2:10">
      <c r="B1046" s="71" t="s">
        <v>190</v>
      </c>
      <c r="C1046" s="1598" t="s">
        <v>2086</v>
      </c>
      <c r="D1046" s="306">
        <v>420.04965804006622</v>
      </c>
      <c r="E1046" s="306">
        <v>562.5453085954199</v>
      </c>
      <c r="F1046" s="306">
        <v>480.48119161626317</v>
      </c>
      <c r="G1046" s="306">
        <v>605.06972957430514</v>
      </c>
      <c r="H1046" s="306">
        <v>836.26485753260079</v>
      </c>
      <c r="I1046" s="306">
        <v>1952.9631628738414</v>
      </c>
      <c r="J1046" s="306">
        <v>5884.3107238935399</v>
      </c>
    </row>
    <row r="1047" spans="2:10">
      <c r="B1047" s="52" t="s">
        <v>121</v>
      </c>
      <c r="C1047" s="1598" t="s">
        <v>2086</v>
      </c>
      <c r="D1047" s="1598">
        <v>0</v>
      </c>
      <c r="E1047" s="1598">
        <v>0</v>
      </c>
      <c r="F1047" s="1598">
        <v>0</v>
      </c>
      <c r="G1047" s="1598">
        <v>0</v>
      </c>
      <c r="H1047" s="1598">
        <v>797.33963794341491</v>
      </c>
      <c r="I1047" s="1598">
        <v>809.4707237128481</v>
      </c>
      <c r="J1047" s="1598">
        <v>5793.597891545699</v>
      </c>
    </row>
    <row r="1048" spans="2:10">
      <c r="B1048" s="53" t="s">
        <v>120</v>
      </c>
      <c r="C1048" s="1598" t="s">
        <v>2086</v>
      </c>
      <c r="D1048" s="1598">
        <v>0</v>
      </c>
      <c r="E1048" s="306">
        <v>2.7262347610704905</v>
      </c>
      <c r="F1048" s="306">
        <v>3.591088518397052</v>
      </c>
      <c r="G1048" s="306">
        <v>9.7836211422886024</v>
      </c>
      <c r="H1048" s="306">
        <v>15.239579476990468</v>
      </c>
      <c r="I1048" s="306">
        <v>17.311714374430494</v>
      </c>
      <c r="J1048" s="306">
        <v>0</v>
      </c>
    </row>
    <row r="1049" spans="2:10">
      <c r="B1049" s="53" t="s">
        <v>119</v>
      </c>
      <c r="C1049" s="1598" t="s">
        <v>2086</v>
      </c>
      <c r="D1049" s="306">
        <v>291.55342327113095</v>
      </c>
      <c r="E1049" s="306">
        <v>361.67756306763232</v>
      </c>
      <c r="F1049" s="306">
        <v>221.3090289743493</v>
      </c>
      <c r="G1049" s="306">
        <v>367.65394407413248</v>
      </c>
      <c r="H1049" s="306">
        <v>608.08900570725177</v>
      </c>
      <c r="I1049" s="306">
        <v>792.15900919332091</v>
      </c>
      <c r="J1049" s="306">
        <v>895.75851097242901</v>
      </c>
    </row>
    <row r="1050" spans="2:10">
      <c r="B1050" s="53" t="s">
        <v>197</v>
      </c>
      <c r="C1050" s="1598" t="s">
        <v>2086</v>
      </c>
      <c r="D1050" s="306">
        <v>126.00036787145963</v>
      </c>
      <c r="E1050" s="306">
        <v>190.87393886474408</v>
      </c>
      <c r="F1050" s="306">
        <v>250.14742213703659</v>
      </c>
      <c r="G1050" s="306">
        <v>219.90663285543624</v>
      </c>
      <c r="H1050" s="306">
        <v>189.25063223616303</v>
      </c>
      <c r="I1050" s="306">
        <v>305.48180343472683</v>
      </c>
      <c r="J1050" s="306">
        <v>4897.8393805732703</v>
      </c>
    </row>
    <row r="1051" spans="2:10">
      <c r="B1051" s="52" t="s">
        <v>118</v>
      </c>
      <c r="C1051" s="1598" t="s">
        <v>2086</v>
      </c>
      <c r="D1051" s="1598" t="s">
        <v>2086</v>
      </c>
      <c r="E1051" s="1598" t="s">
        <v>2086</v>
      </c>
      <c r="F1051" s="1598" t="s">
        <v>2086</v>
      </c>
      <c r="G1051" s="1598">
        <v>0</v>
      </c>
      <c r="H1051" s="1598">
        <v>22.710113117924728</v>
      </c>
      <c r="I1051" s="1598">
        <v>22.022385214075531</v>
      </c>
      <c r="J1051" s="1598">
        <v>46.017288232803949</v>
      </c>
    </row>
    <row r="1052" spans="2:10">
      <c r="B1052" s="52" t="s">
        <v>117</v>
      </c>
      <c r="C1052" s="1598" t="s">
        <v>2086</v>
      </c>
      <c r="D1052" s="306">
        <v>2.4958668974756417</v>
      </c>
      <c r="E1052" s="306">
        <v>7.2675719019730076</v>
      </c>
      <c r="F1052" s="306">
        <v>5.4031177721385601</v>
      </c>
      <c r="G1052" s="306">
        <v>7.7255315024479287</v>
      </c>
      <c r="H1052" s="306">
        <v>16.215106471261176</v>
      </c>
      <c r="I1052" s="306">
        <v>7.467034051271336E-2</v>
      </c>
      <c r="J1052" s="306">
        <v>44.695544115036398</v>
      </c>
    </row>
    <row r="1053" spans="2:10">
      <c r="B1053" s="81"/>
      <c r="C1053" s="1598" t="s">
        <v>2086</v>
      </c>
      <c r="D1053" s="304">
        <v>0</v>
      </c>
      <c r="E1053" s="304">
        <v>0</v>
      </c>
      <c r="F1053" s="304">
        <v>0</v>
      </c>
      <c r="G1053" s="304">
        <v>0</v>
      </c>
      <c r="H1053" s="304">
        <v>0</v>
      </c>
      <c r="I1053" s="304">
        <v>0</v>
      </c>
      <c r="J1053" s="304">
        <v>0</v>
      </c>
    </row>
    <row r="1054" spans="2:10" ht="26">
      <c r="B1054" s="83" t="s">
        <v>205</v>
      </c>
      <c r="C1054" s="1598" t="s">
        <v>2086</v>
      </c>
      <c r="D1054" s="306">
        <v>2.0038427728801751</v>
      </c>
      <c r="E1054" s="306">
        <v>38.23159078331652</v>
      </c>
      <c r="F1054" s="306">
        <v>20.414859689209798</v>
      </c>
      <c r="G1054" s="306">
        <v>12.808630818403593</v>
      </c>
      <c r="H1054" s="306">
        <v>115.43409484642977</v>
      </c>
      <c r="I1054" s="306">
        <v>1087.5411184916918</v>
      </c>
      <c r="J1054" s="306">
        <v>1766.5982056289176</v>
      </c>
    </row>
    <row r="1055" spans="2:10">
      <c r="B1055" s="81" t="s">
        <v>121</v>
      </c>
      <c r="C1055" s="1598" t="s">
        <v>2086</v>
      </c>
      <c r="D1055" s="306">
        <v>0</v>
      </c>
      <c r="E1055" s="306">
        <v>0</v>
      </c>
      <c r="F1055" s="306">
        <v>0</v>
      </c>
      <c r="G1055" s="306">
        <v>0</v>
      </c>
      <c r="H1055" s="306">
        <v>115.43409484642977</v>
      </c>
      <c r="I1055" s="306">
        <v>1087.5411184916918</v>
      </c>
      <c r="J1055" s="306">
        <v>0</v>
      </c>
    </row>
    <row r="1056" spans="2:10">
      <c r="B1056" s="82" t="s">
        <v>120</v>
      </c>
      <c r="C1056" s="1598" t="s">
        <v>2086</v>
      </c>
      <c r="D1056" s="1598" t="s">
        <v>2086</v>
      </c>
      <c r="E1056" s="1598" t="s">
        <v>2086</v>
      </c>
      <c r="F1056" s="1598" t="s">
        <v>2086</v>
      </c>
      <c r="G1056" s="1598" t="s">
        <v>2086</v>
      </c>
      <c r="H1056" s="1598" t="s">
        <v>2086</v>
      </c>
      <c r="I1056" s="1598" t="s">
        <v>2086</v>
      </c>
      <c r="J1056" s="1598" t="s">
        <v>2086</v>
      </c>
    </row>
    <row r="1057" spans="2:10">
      <c r="B1057" s="82" t="s">
        <v>119</v>
      </c>
      <c r="C1057" s="1598" t="s">
        <v>2086</v>
      </c>
      <c r="D1057" s="306">
        <v>1.9881908087912012</v>
      </c>
      <c r="E1057" s="306">
        <v>27.371675068194882</v>
      </c>
      <c r="F1057" s="306">
        <v>4.5314832042107751</v>
      </c>
      <c r="G1057" s="306">
        <v>4.392767704953239</v>
      </c>
      <c r="H1057" s="306">
        <v>43.508439377212902</v>
      </c>
      <c r="I1057" s="306">
        <v>982.69396340083222</v>
      </c>
      <c r="J1057" s="306">
        <v>1516.4044299389586</v>
      </c>
    </row>
    <row r="1058" spans="2:10">
      <c r="B1058" s="82" t="s">
        <v>172</v>
      </c>
      <c r="C1058" s="1598" t="s">
        <v>2086</v>
      </c>
      <c r="D1058" s="306">
        <v>1.56519640889741E-2</v>
      </c>
      <c r="E1058" s="306">
        <v>10.859915715121641</v>
      </c>
      <c r="F1058" s="306">
        <v>15.883376484999022</v>
      </c>
      <c r="G1058" s="306">
        <v>8.4158631134503548</v>
      </c>
      <c r="H1058" s="306">
        <v>71.925655469216892</v>
      </c>
      <c r="I1058" s="306">
        <v>104.84715509085949</v>
      </c>
      <c r="J1058" s="306">
        <v>250.1937756899589</v>
      </c>
    </row>
    <row r="1059" spans="2:10">
      <c r="B1059" s="81" t="s">
        <v>118</v>
      </c>
      <c r="C1059" s="1598" t="s">
        <v>2086</v>
      </c>
      <c r="D1059" s="1598" t="s">
        <v>2086</v>
      </c>
      <c r="E1059" s="1598" t="s">
        <v>2086</v>
      </c>
      <c r="F1059" s="1598" t="s">
        <v>2086</v>
      </c>
      <c r="G1059" s="1598" t="s">
        <v>2086</v>
      </c>
      <c r="H1059" s="1598" t="s">
        <v>2086</v>
      </c>
      <c r="I1059" s="1598" t="s">
        <v>2086</v>
      </c>
      <c r="J1059" s="1598" t="s">
        <v>2086</v>
      </c>
    </row>
    <row r="1060" spans="2:10">
      <c r="B1060" s="81" t="s">
        <v>117</v>
      </c>
      <c r="C1060" s="1598" t="s">
        <v>2086</v>
      </c>
      <c r="D1060" s="1598" t="s">
        <v>2086</v>
      </c>
      <c r="E1060" s="1598" t="s">
        <v>2086</v>
      </c>
      <c r="F1060" s="1598" t="s">
        <v>2086</v>
      </c>
      <c r="G1060" s="1598" t="s">
        <v>2086</v>
      </c>
      <c r="H1060" s="1598" t="s">
        <v>2086</v>
      </c>
      <c r="I1060" s="1598" t="s">
        <v>2086</v>
      </c>
      <c r="J1060" s="1598" t="s">
        <v>2086</v>
      </c>
    </row>
    <row r="1061" spans="2:10">
      <c r="B1061" s="81"/>
      <c r="C1061" s="306"/>
      <c r="D1061" s="306">
        <v>0</v>
      </c>
      <c r="E1061" s="306">
        <v>0</v>
      </c>
      <c r="F1061" s="306">
        <v>0</v>
      </c>
      <c r="G1061" s="306">
        <v>0</v>
      </c>
      <c r="H1061" s="306">
        <v>0</v>
      </c>
      <c r="I1061" s="306">
        <v>0</v>
      </c>
      <c r="J1061" s="306">
        <v>0</v>
      </c>
    </row>
    <row r="1062" spans="2:10" ht="26">
      <c r="B1062" s="83" t="s">
        <v>204</v>
      </c>
      <c r="C1062" s="1598" t="s">
        <v>2086</v>
      </c>
      <c r="D1062" s="306">
        <v>422.05350081294642</v>
      </c>
      <c r="E1062" s="306">
        <v>524.31371781210339</v>
      </c>
      <c r="F1062" s="306">
        <v>460.03579771271177</v>
      </c>
      <c r="G1062" s="306">
        <v>592.26109875590168</v>
      </c>
      <c r="H1062" s="306">
        <v>1879.7122646458656</v>
      </c>
      <c r="I1062" s="306">
        <v>1962.4807147748973</v>
      </c>
      <c r="J1062" s="306">
        <v>11209.024157096233</v>
      </c>
    </row>
    <row r="1063" spans="2:10">
      <c r="B1063" s="81" t="s">
        <v>121</v>
      </c>
      <c r="C1063" s="1598" t="s">
        <v>2086</v>
      </c>
      <c r="D1063" s="306">
        <v>0</v>
      </c>
      <c r="E1063" s="306">
        <v>0</v>
      </c>
      <c r="F1063" s="306">
        <v>0</v>
      </c>
      <c r="G1063" s="306">
        <v>0</v>
      </c>
      <c r="H1063" s="1598">
        <v>912.77373278984464</v>
      </c>
      <c r="I1063" s="1598">
        <v>809.4707237128481</v>
      </c>
      <c r="J1063" s="1598">
        <v>7560.1960971746166</v>
      </c>
    </row>
    <row r="1064" spans="2:10">
      <c r="B1064" s="82" t="s">
        <v>120</v>
      </c>
      <c r="C1064" s="1598" t="s">
        <v>2086</v>
      </c>
      <c r="D1064" s="1598">
        <v>0</v>
      </c>
      <c r="E1064" s="306">
        <v>2.7262347610704905</v>
      </c>
      <c r="F1064" s="306">
        <v>3.591088518397052</v>
      </c>
      <c r="G1064" s="1598">
        <v>9.7836211422886024</v>
      </c>
      <c r="H1064" s="306">
        <v>15.239579476990468</v>
      </c>
      <c r="I1064" s="306">
        <v>17.311714374430494</v>
      </c>
      <c r="J1064" s="306">
        <v>0</v>
      </c>
    </row>
    <row r="1065" spans="2:10">
      <c r="B1065" s="82" t="s">
        <v>119</v>
      </c>
      <c r="C1065" s="1598" t="s">
        <v>2086</v>
      </c>
      <c r="D1065" s="306">
        <v>293.54161407992217</v>
      </c>
      <c r="E1065" s="306">
        <v>334.3058879994374</v>
      </c>
      <c r="F1065" s="306">
        <v>216.77754577013852</v>
      </c>
      <c r="G1065" s="306">
        <v>363.26117636917922</v>
      </c>
      <c r="H1065" s="306">
        <v>651.59744508446465</v>
      </c>
      <c r="I1065" s="306">
        <v>792.15900919332091</v>
      </c>
      <c r="J1065" s="306">
        <v>1145.9522866623879</v>
      </c>
    </row>
    <row r="1066" spans="2:10">
      <c r="B1066" s="82" t="s">
        <v>172</v>
      </c>
      <c r="C1066" s="1598" t="s">
        <v>2086</v>
      </c>
      <c r="D1066" s="306">
        <v>126.0160198355486</v>
      </c>
      <c r="E1066" s="306">
        <v>180.01402314962243</v>
      </c>
      <c r="F1066" s="306">
        <v>234.26404565203757</v>
      </c>
      <c r="G1066" s="306">
        <v>211.4907697419859</v>
      </c>
      <c r="H1066" s="306">
        <v>261.17628770537988</v>
      </c>
      <c r="I1066" s="306">
        <v>305.48180343472683</v>
      </c>
      <c r="J1066" s="306">
        <v>2412.1629409113875</v>
      </c>
    </row>
    <row r="1067" spans="2:10">
      <c r="B1067" s="81" t="s">
        <v>118</v>
      </c>
      <c r="C1067" s="1598" t="s">
        <v>2086</v>
      </c>
      <c r="D1067" s="1598" t="s">
        <v>2086</v>
      </c>
      <c r="E1067" s="1598" t="s">
        <v>2086</v>
      </c>
      <c r="F1067" s="1598" t="s">
        <v>2086</v>
      </c>
      <c r="G1067" s="1598" t="s">
        <v>2086</v>
      </c>
      <c r="H1067" s="306">
        <v>22.710113117924728</v>
      </c>
      <c r="I1067" s="306">
        <v>37.589085688251238</v>
      </c>
      <c r="J1067" s="306">
        <v>46.017288232803949</v>
      </c>
    </row>
    <row r="1068" spans="2:10">
      <c r="B1068" s="81" t="s">
        <v>117</v>
      </c>
      <c r="C1068" s="1598" t="s">
        <v>2086</v>
      </c>
      <c r="D1068" s="306">
        <v>2.4958668974756417</v>
      </c>
      <c r="E1068" s="306">
        <v>7.2675719019730076</v>
      </c>
      <c r="F1068" s="306">
        <v>5.4031177721385601</v>
      </c>
      <c r="G1068" s="306">
        <v>7.7255315024479287</v>
      </c>
      <c r="H1068" s="306">
        <v>16.215106471261176</v>
      </c>
      <c r="I1068" s="306">
        <v>0.46837837131962462</v>
      </c>
      <c r="J1068" s="306">
        <v>44.695544115036398</v>
      </c>
    </row>
    <row r="1069" spans="2:10">
      <c r="B1069" s="81"/>
      <c r="C1069" s="306"/>
      <c r="D1069" s="306"/>
      <c r="E1069" s="306"/>
      <c r="F1069" s="306"/>
      <c r="G1069" s="306"/>
      <c r="H1069" s="306"/>
      <c r="I1069" s="306"/>
      <c r="J1069" s="306"/>
    </row>
    <row r="1070" spans="2:10" ht="25">
      <c r="B1070" s="71" t="s">
        <v>171</v>
      </c>
      <c r="C1070" s="1598" t="s">
        <v>2086</v>
      </c>
      <c r="D1070" s="1598">
        <v>0</v>
      </c>
      <c r="E1070" s="1598">
        <v>0</v>
      </c>
      <c r="F1070" s="227">
        <v>3.0534214341654164E-2</v>
      </c>
      <c r="G1070" s="227">
        <v>0.42136929669437295</v>
      </c>
      <c r="H1070" s="227">
        <v>13.963091769592678</v>
      </c>
      <c r="I1070" s="227">
        <v>17.893905362190146</v>
      </c>
      <c r="J1070" s="227">
        <v>1.555793606358137</v>
      </c>
    </row>
    <row r="1071" spans="2:10">
      <c r="B1071" s="52" t="s">
        <v>169</v>
      </c>
      <c r="C1071" s="1598" t="s">
        <v>2086</v>
      </c>
      <c r="D1071" s="1598" t="s">
        <v>2086</v>
      </c>
      <c r="E1071" s="1598" t="s">
        <v>2086</v>
      </c>
      <c r="F1071" s="1598" t="s">
        <v>2086</v>
      </c>
      <c r="G1071" s="1598" t="s">
        <v>2086</v>
      </c>
      <c r="H1071" s="1598" t="s">
        <v>2086</v>
      </c>
      <c r="I1071" s="1598" t="s">
        <v>2086</v>
      </c>
      <c r="J1071" s="1598" t="s">
        <v>2086</v>
      </c>
    </row>
    <row r="1072" spans="2:10">
      <c r="B1072" s="52" t="s">
        <v>168</v>
      </c>
      <c r="C1072" s="1598" t="s">
        <v>2086</v>
      </c>
      <c r="D1072" s="1598" t="s">
        <v>2086</v>
      </c>
      <c r="E1072" s="1598" t="s">
        <v>2086</v>
      </c>
      <c r="F1072" s="1598" t="s">
        <v>2086</v>
      </c>
      <c r="G1072" s="1598" t="s">
        <v>2086</v>
      </c>
      <c r="H1072" s="1598" t="s">
        <v>2086</v>
      </c>
      <c r="I1072" s="1598" t="s">
        <v>2086</v>
      </c>
      <c r="J1072" s="1598" t="s">
        <v>2086</v>
      </c>
    </row>
    <row r="1073" spans="2:10">
      <c r="B1073" s="52" t="s">
        <v>167</v>
      </c>
      <c r="C1073" s="1598" t="s">
        <v>2086</v>
      </c>
      <c r="D1073" s="1598" t="s">
        <v>2086</v>
      </c>
      <c r="E1073" s="1598" t="s">
        <v>2086</v>
      </c>
      <c r="F1073" s="1598" t="s">
        <v>2086</v>
      </c>
      <c r="G1073" s="1598" t="s">
        <v>2086</v>
      </c>
      <c r="H1073" s="1598" t="s">
        <v>2086</v>
      </c>
      <c r="I1073" s="1598" t="s">
        <v>2086</v>
      </c>
      <c r="J1073" s="1598" t="s">
        <v>2086</v>
      </c>
    </row>
    <row r="1074" spans="2:10">
      <c r="B1074" s="52" t="s">
        <v>166</v>
      </c>
      <c r="C1074" s="1598" t="s">
        <v>2086</v>
      </c>
      <c r="D1074" s="1598" t="s">
        <v>2086</v>
      </c>
      <c r="E1074" s="1598" t="s">
        <v>2086</v>
      </c>
      <c r="F1074" s="1598" t="s">
        <v>2086</v>
      </c>
      <c r="G1074" s="1598" t="s">
        <v>2086</v>
      </c>
      <c r="H1074" s="1598" t="s">
        <v>2086</v>
      </c>
      <c r="I1074" s="1598" t="s">
        <v>2086</v>
      </c>
      <c r="J1074" s="1598" t="s">
        <v>2086</v>
      </c>
    </row>
    <row r="1075" spans="2:10">
      <c r="B1075" s="52" t="s">
        <v>165</v>
      </c>
      <c r="C1075" s="1598" t="s">
        <v>2086</v>
      </c>
      <c r="D1075" s="1598" t="s">
        <v>2086</v>
      </c>
      <c r="E1075" s="1598" t="s">
        <v>2086</v>
      </c>
      <c r="F1075" s="1598" t="s">
        <v>2086</v>
      </c>
      <c r="G1075" s="1598" t="s">
        <v>2086</v>
      </c>
      <c r="H1075" s="1598" t="s">
        <v>2086</v>
      </c>
      <c r="I1075" s="1598" t="s">
        <v>2086</v>
      </c>
      <c r="J1075" s="1598" t="s">
        <v>2086</v>
      </c>
    </row>
    <row r="1076" spans="2:10">
      <c r="B1076" s="52" t="s">
        <v>164</v>
      </c>
      <c r="C1076" s="1598" t="s">
        <v>2086</v>
      </c>
      <c r="D1076" s="1598" t="s">
        <v>2086</v>
      </c>
      <c r="E1076" s="1598" t="s">
        <v>2086</v>
      </c>
      <c r="F1076" s="1598" t="s">
        <v>2086</v>
      </c>
      <c r="G1076" s="1598" t="s">
        <v>2086</v>
      </c>
      <c r="H1076" s="1598" t="s">
        <v>2086</v>
      </c>
      <c r="I1076" s="1598" t="s">
        <v>2086</v>
      </c>
      <c r="J1076" s="1598" t="s">
        <v>2086</v>
      </c>
    </row>
    <row r="1077" spans="2:10">
      <c r="B1077" s="52"/>
      <c r="C1077" s="1599"/>
      <c r="D1077" s="1599"/>
      <c r="E1077" s="1599"/>
      <c r="F1077" s="1599"/>
      <c r="G1077" s="1599"/>
      <c r="H1077" s="1599"/>
      <c r="I1077" s="1599"/>
      <c r="J1077" s="542"/>
    </row>
    <row r="1078" spans="2:10">
      <c r="B1078" s="80" t="s">
        <v>170</v>
      </c>
      <c r="C1078" s="229"/>
      <c r="D1078" s="229"/>
      <c r="E1078" s="229"/>
      <c r="F1078" s="229"/>
      <c r="G1078" s="229"/>
      <c r="H1078" s="229"/>
      <c r="I1078" s="229"/>
      <c r="J1078" s="227"/>
    </row>
    <row r="1079" spans="2:10" ht="15" customHeight="1">
      <c r="B1079" s="52" t="s">
        <v>169</v>
      </c>
      <c r="C1079" s="1598" t="s">
        <v>2086</v>
      </c>
      <c r="D1079" s="1598" t="s">
        <v>2086</v>
      </c>
      <c r="E1079" s="1598" t="s">
        <v>2086</v>
      </c>
      <c r="F1079" s="1598" t="s">
        <v>2086</v>
      </c>
      <c r="G1079" s="1598" t="s">
        <v>2086</v>
      </c>
      <c r="H1079" s="1598" t="s">
        <v>2086</v>
      </c>
      <c r="I1079" s="1598" t="s">
        <v>2086</v>
      </c>
      <c r="J1079" s="1598" t="s">
        <v>2086</v>
      </c>
    </row>
    <row r="1080" spans="2:10">
      <c r="B1080" s="52" t="s">
        <v>168</v>
      </c>
      <c r="C1080" s="1598" t="s">
        <v>2086</v>
      </c>
      <c r="D1080" s="1598" t="s">
        <v>2086</v>
      </c>
      <c r="E1080" s="1598" t="s">
        <v>2086</v>
      </c>
      <c r="F1080" s="1598" t="s">
        <v>2086</v>
      </c>
      <c r="G1080" s="1598" t="s">
        <v>2086</v>
      </c>
      <c r="H1080" s="1598" t="s">
        <v>2086</v>
      </c>
      <c r="I1080" s="1598" t="s">
        <v>2086</v>
      </c>
      <c r="J1080" s="1598" t="s">
        <v>2086</v>
      </c>
    </row>
    <row r="1081" spans="2:10">
      <c r="B1081" s="52" t="s">
        <v>167</v>
      </c>
      <c r="C1081" s="1598" t="s">
        <v>2086</v>
      </c>
      <c r="D1081" s="1598" t="s">
        <v>2086</v>
      </c>
      <c r="E1081" s="1598" t="s">
        <v>2086</v>
      </c>
      <c r="F1081" s="1598" t="s">
        <v>2086</v>
      </c>
      <c r="G1081" s="1598" t="s">
        <v>2086</v>
      </c>
      <c r="H1081" s="1598" t="s">
        <v>2086</v>
      </c>
      <c r="I1081" s="1598" t="s">
        <v>2086</v>
      </c>
      <c r="J1081" s="1598" t="s">
        <v>2086</v>
      </c>
    </row>
    <row r="1082" spans="2:10">
      <c r="B1082" s="52" t="s">
        <v>166</v>
      </c>
      <c r="C1082" s="1598" t="s">
        <v>2086</v>
      </c>
      <c r="D1082" s="1598" t="s">
        <v>2086</v>
      </c>
      <c r="E1082" s="1598" t="s">
        <v>2086</v>
      </c>
      <c r="F1082" s="1598" t="s">
        <v>2086</v>
      </c>
      <c r="G1082" s="1598" t="s">
        <v>2086</v>
      </c>
      <c r="H1082" s="1598" t="s">
        <v>2086</v>
      </c>
      <c r="I1082" s="1598" t="s">
        <v>2086</v>
      </c>
      <c r="J1082" s="1598" t="s">
        <v>2086</v>
      </c>
    </row>
    <row r="1083" spans="2:10">
      <c r="B1083" s="52" t="s">
        <v>165</v>
      </c>
      <c r="C1083" s="1598" t="s">
        <v>2086</v>
      </c>
      <c r="D1083" s="1598" t="s">
        <v>2086</v>
      </c>
      <c r="E1083" s="1598" t="s">
        <v>2086</v>
      </c>
      <c r="F1083" s="1598" t="s">
        <v>2086</v>
      </c>
      <c r="G1083" s="1598" t="s">
        <v>2086</v>
      </c>
      <c r="H1083" s="1598" t="s">
        <v>2086</v>
      </c>
      <c r="I1083" s="1598" t="s">
        <v>2086</v>
      </c>
      <c r="J1083" s="1598" t="s">
        <v>2086</v>
      </c>
    </row>
    <row r="1084" spans="2:10" ht="15" thickBot="1">
      <c r="B1084" s="52" t="s">
        <v>164</v>
      </c>
      <c r="C1084" s="1598" t="s">
        <v>2086</v>
      </c>
      <c r="D1084" s="1598" t="s">
        <v>2086</v>
      </c>
      <c r="E1084" s="1598" t="s">
        <v>2086</v>
      </c>
      <c r="F1084" s="1598" t="s">
        <v>2086</v>
      </c>
      <c r="G1084" s="1598" t="s">
        <v>2086</v>
      </c>
      <c r="H1084" s="1598" t="s">
        <v>2086</v>
      </c>
      <c r="I1084" s="1598" t="s">
        <v>2086</v>
      </c>
      <c r="J1084" s="1598" t="s">
        <v>2086</v>
      </c>
    </row>
    <row r="1085" spans="2:10" ht="15" thickTop="1">
      <c r="B1085" s="2025" t="s">
        <v>2050</v>
      </c>
      <c r="C1085" s="2025"/>
      <c r="D1085" s="2025"/>
      <c r="E1085" s="2025"/>
      <c r="F1085" s="2025"/>
      <c r="G1085" s="2025"/>
      <c r="H1085" s="2025"/>
      <c r="I1085" s="2025"/>
      <c r="J1085" s="2025"/>
    </row>
    <row r="1086" spans="2:10">
      <c r="B1086" s="47"/>
      <c r="C1086" s="1548"/>
      <c r="D1086" s="47"/>
      <c r="E1086" s="47"/>
      <c r="F1086" s="47"/>
      <c r="G1086" s="47"/>
      <c r="H1086" s="47"/>
      <c r="I1086" s="47"/>
      <c r="J1086" s="1549"/>
    </row>
    <row r="1087" spans="2:10">
      <c r="B1087" s="64"/>
      <c r="C1087" s="339"/>
      <c r="D1087" s="302"/>
      <c r="E1087" s="302"/>
      <c r="F1087" s="302"/>
      <c r="G1087" s="302"/>
      <c r="H1087" s="302"/>
      <c r="I1087" s="302"/>
      <c r="J1087" s="439"/>
    </row>
    <row r="1088" spans="2:10">
      <c r="B1088" s="2100" t="s">
        <v>161</v>
      </c>
      <c r="C1088" s="2100"/>
      <c r="D1088" s="2100"/>
      <c r="E1088" s="2100"/>
      <c r="F1088" s="2100"/>
      <c r="G1088" s="2100"/>
      <c r="H1088" s="2100"/>
      <c r="I1088" s="2100"/>
      <c r="J1088" s="2100"/>
    </row>
    <row r="1089" spans="2:10">
      <c r="B1089" s="12" t="s">
        <v>160</v>
      </c>
      <c r="C1089" s="339"/>
      <c r="D1089" s="302"/>
      <c r="E1089" s="302"/>
      <c r="F1089" s="302"/>
      <c r="G1089" s="302"/>
      <c r="H1089" s="302"/>
      <c r="I1089" s="302"/>
      <c r="J1089" s="439"/>
    </row>
    <row r="1090" spans="2:10">
      <c r="B1090" s="77" t="s">
        <v>269</v>
      </c>
      <c r="C1090" s="339"/>
      <c r="D1090" s="302"/>
      <c r="E1090" s="302"/>
      <c r="F1090" s="302"/>
      <c r="G1090" s="302"/>
      <c r="H1090" s="302"/>
      <c r="I1090" s="302"/>
      <c r="J1090" s="439"/>
    </row>
    <row r="1091" spans="2:10">
      <c r="B1091" s="76"/>
      <c r="C1091" s="339"/>
      <c r="D1091" s="302"/>
      <c r="E1091" s="302"/>
      <c r="F1091" s="302"/>
      <c r="G1091" s="302"/>
      <c r="H1091" s="302"/>
      <c r="I1091" s="302"/>
      <c r="J1091" s="439"/>
    </row>
    <row r="1092" spans="2:10">
      <c r="B1092" s="61"/>
      <c r="C1092" s="1536">
        <v>2014</v>
      </c>
      <c r="D1092" s="303">
        <v>2015</v>
      </c>
      <c r="E1092" s="303">
        <v>2016</v>
      </c>
      <c r="F1092" s="303">
        <v>2017</v>
      </c>
      <c r="G1092" s="303">
        <v>2018</v>
      </c>
      <c r="H1092" s="303">
        <v>2019</v>
      </c>
      <c r="I1092" s="303">
        <v>2020</v>
      </c>
      <c r="J1092" s="303">
        <v>2021</v>
      </c>
    </row>
    <row r="1093" spans="2:10">
      <c r="B1093" s="59" t="s">
        <v>1396</v>
      </c>
      <c r="C1093" s="339"/>
      <c r="D1093" s="302"/>
      <c r="E1093" s="302"/>
      <c r="F1093" s="302"/>
      <c r="G1093" s="302"/>
      <c r="H1093" s="302"/>
      <c r="I1093" s="302"/>
      <c r="J1093" s="439"/>
    </row>
    <row r="1094" spans="2:10">
      <c r="B1094" s="71" t="s">
        <v>516</v>
      </c>
      <c r="C1094" s="1600">
        <v>32</v>
      </c>
      <c r="D1094" s="1601">
        <v>29</v>
      </c>
      <c r="E1094" s="1601">
        <v>29</v>
      </c>
      <c r="F1094" s="1601">
        <v>32</v>
      </c>
      <c r="G1094" s="1601">
        <v>32</v>
      </c>
      <c r="H1094" s="1601">
        <v>31</v>
      </c>
      <c r="I1094" s="1601">
        <v>31</v>
      </c>
      <c r="J1094" s="1601">
        <v>31</v>
      </c>
    </row>
    <row r="1095" spans="2:10">
      <c r="B1095" s="52" t="s">
        <v>150</v>
      </c>
      <c r="C1095" s="1600">
        <v>1</v>
      </c>
      <c r="D1095" s="1602">
        <v>1</v>
      </c>
      <c r="E1095" s="1602">
        <v>1</v>
      </c>
      <c r="F1095" s="1602">
        <v>1</v>
      </c>
      <c r="G1095" s="1602">
        <v>1</v>
      </c>
      <c r="H1095" s="1602">
        <v>1</v>
      </c>
      <c r="I1095" s="1602">
        <v>1</v>
      </c>
      <c r="J1095" s="1602">
        <v>1</v>
      </c>
    </row>
    <row r="1096" spans="2:10">
      <c r="B1096" s="52" t="s">
        <v>149</v>
      </c>
      <c r="C1096" s="1600">
        <v>0</v>
      </c>
      <c r="D1096" s="1602">
        <v>0</v>
      </c>
      <c r="E1096" s="1602">
        <v>0</v>
      </c>
      <c r="F1096" s="1602">
        <v>0</v>
      </c>
      <c r="G1096" s="1602">
        <v>0</v>
      </c>
      <c r="H1096" s="1602">
        <v>0</v>
      </c>
      <c r="I1096" s="1602">
        <v>0</v>
      </c>
      <c r="J1096" s="1602">
        <v>0</v>
      </c>
    </row>
    <row r="1097" spans="2:10">
      <c r="B1097" s="52" t="s">
        <v>148</v>
      </c>
      <c r="C1097" s="1600">
        <v>1</v>
      </c>
      <c r="D1097" s="1602">
        <v>1</v>
      </c>
      <c r="E1097" s="1602">
        <v>1</v>
      </c>
      <c r="F1097" s="1602">
        <v>1</v>
      </c>
      <c r="G1097" s="1602">
        <v>1</v>
      </c>
      <c r="H1097" s="1602">
        <v>1</v>
      </c>
      <c r="I1097" s="1602">
        <v>1</v>
      </c>
      <c r="J1097" s="1602">
        <v>1</v>
      </c>
    </row>
    <row r="1098" spans="2:10">
      <c r="B1098" s="52" t="s">
        <v>147</v>
      </c>
      <c r="C1098" s="1600">
        <v>28</v>
      </c>
      <c r="D1098" s="1602">
        <v>25</v>
      </c>
      <c r="E1098" s="1602">
        <v>25</v>
      </c>
      <c r="F1098" s="1602">
        <v>26</v>
      </c>
      <c r="G1098" s="1602">
        <v>26</v>
      </c>
      <c r="H1098" s="1602">
        <v>25</v>
      </c>
      <c r="I1098" s="1602">
        <v>25</v>
      </c>
      <c r="J1098" s="1602">
        <v>25</v>
      </c>
    </row>
    <row r="1099" spans="2:10">
      <c r="B1099" s="52" t="s">
        <v>146</v>
      </c>
      <c r="C1099" s="1600">
        <v>2</v>
      </c>
      <c r="D1099" s="1602">
        <v>2</v>
      </c>
      <c r="E1099" s="1602">
        <v>2</v>
      </c>
      <c r="F1099" s="1602">
        <v>4</v>
      </c>
      <c r="G1099" s="1602">
        <v>4</v>
      </c>
      <c r="H1099" s="1602">
        <v>4</v>
      </c>
      <c r="I1099" s="1602">
        <v>4</v>
      </c>
      <c r="J1099" s="1602">
        <v>4</v>
      </c>
    </row>
    <row r="1100" spans="2:10">
      <c r="B1100" s="52"/>
      <c r="C1100" s="1603"/>
      <c r="D1100" s="52"/>
      <c r="E1100" s="52"/>
      <c r="F1100" s="52"/>
      <c r="G1100" s="52"/>
      <c r="H1100" s="52"/>
      <c r="I1100" s="52"/>
      <c r="J1100" s="52"/>
    </row>
    <row r="1101" spans="2:10" ht="25">
      <c r="B1101" s="71" t="s">
        <v>152</v>
      </c>
      <c r="C1101" s="1600">
        <v>32</v>
      </c>
      <c r="D1101" s="152">
        <v>29</v>
      </c>
      <c r="E1101" s="152">
        <v>29</v>
      </c>
      <c r="F1101" s="152">
        <v>32</v>
      </c>
      <c r="G1101" s="152">
        <v>32</v>
      </c>
      <c r="H1101" s="152">
        <v>31</v>
      </c>
      <c r="I1101" s="152">
        <v>31</v>
      </c>
      <c r="J1101" s="152">
        <v>31</v>
      </c>
    </row>
    <row r="1102" spans="2:10">
      <c r="B1102" s="52" t="s">
        <v>150</v>
      </c>
      <c r="C1102" s="1600">
        <v>1</v>
      </c>
      <c r="D1102" s="152">
        <v>1</v>
      </c>
      <c r="E1102" s="152">
        <v>1</v>
      </c>
      <c r="F1102" s="152">
        <v>1</v>
      </c>
      <c r="G1102" s="152">
        <v>1</v>
      </c>
      <c r="H1102" s="152">
        <v>1</v>
      </c>
      <c r="I1102" s="152">
        <v>1</v>
      </c>
      <c r="J1102" s="152">
        <v>1</v>
      </c>
    </row>
    <row r="1103" spans="2:10">
      <c r="B1103" s="52" t="s">
        <v>149</v>
      </c>
      <c r="C1103" s="1600">
        <v>0</v>
      </c>
      <c r="D1103" s="152">
        <v>0</v>
      </c>
      <c r="E1103" s="152">
        <v>0</v>
      </c>
      <c r="F1103" s="152">
        <v>0</v>
      </c>
      <c r="G1103" s="152">
        <v>0</v>
      </c>
      <c r="H1103" s="152">
        <v>0</v>
      </c>
      <c r="I1103" s="152">
        <v>0</v>
      </c>
      <c r="J1103" s="152">
        <v>0</v>
      </c>
    </row>
    <row r="1104" spans="2:10">
      <c r="B1104" s="52" t="s">
        <v>148</v>
      </c>
      <c r="C1104" s="1600">
        <v>1</v>
      </c>
      <c r="D1104" s="152">
        <v>1</v>
      </c>
      <c r="E1104" s="152">
        <v>1</v>
      </c>
      <c r="F1104" s="152">
        <v>1</v>
      </c>
      <c r="G1104" s="152">
        <v>1</v>
      </c>
      <c r="H1104" s="152">
        <v>1</v>
      </c>
      <c r="I1104" s="152">
        <v>1</v>
      </c>
      <c r="J1104" s="152">
        <v>1</v>
      </c>
    </row>
    <row r="1105" spans="2:10">
      <c r="B1105" s="52" t="s">
        <v>147</v>
      </c>
      <c r="C1105" s="1600">
        <v>28</v>
      </c>
      <c r="D1105" s="152">
        <v>25</v>
      </c>
      <c r="E1105" s="152">
        <v>25</v>
      </c>
      <c r="F1105" s="152">
        <v>26</v>
      </c>
      <c r="G1105" s="152">
        <v>26</v>
      </c>
      <c r="H1105" s="152">
        <v>25</v>
      </c>
      <c r="I1105" s="152">
        <v>25</v>
      </c>
      <c r="J1105" s="152">
        <v>25</v>
      </c>
    </row>
    <row r="1106" spans="2:10">
      <c r="B1106" s="52" t="s">
        <v>146</v>
      </c>
      <c r="C1106" s="1600">
        <v>2</v>
      </c>
      <c r="D1106" s="152">
        <v>2</v>
      </c>
      <c r="E1106" s="152">
        <v>2</v>
      </c>
      <c r="F1106" s="152">
        <v>4</v>
      </c>
      <c r="G1106" s="152">
        <v>4</v>
      </c>
      <c r="H1106" s="152">
        <v>4</v>
      </c>
      <c r="I1106" s="152">
        <v>4</v>
      </c>
      <c r="J1106" s="152">
        <v>4</v>
      </c>
    </row>
    <row r="1107" spans="2:10">
      <c r="B1107" s="52"/>
      <c r="C1107" s="1603"/>
      <c r="D1107" s="52"/>
      <c r="E1107" s="52"/>
      <c r="F1107" s="52"/>
      <c r="G1107" s="52"/>
      <c r="H1107" s="52"/>
      <c r="I1107" s="52"/>
      <c r="J1107" s="52"/>
    </row>
    <row r="1108" spans="2:10" ht="25">
      <c r="B1108" s="71" t="s">
        <v>151</v>
      </c>
      <c r="C1108" s="1600" t="s">
        <v>2086</v>
      </c>
      <c r="D1108" s="234">
        <v>0</v>
      </c>
      <c r="E1108" s="234">
        <v>0</v>
      </c>
      <c r="F1108" s="234">
        <v>0</v>
      </c>
      <c r="G1108" s="234">
        <v>0</v>
      </c>
      <c r="H1108" s="234">
        <v>0</v>
      </c>
      <c r="I1108" s="234">
        <v>0</v>
      </c>
      <c r="J1108" s="234">
        <v>0</v>
      </c>
    </row>
    <row r="1109" spans="2:10">
      <c r="B1109" s="52" t="s">
        <v>150</v>
      </c>
      <c r="C1109" s="1600" t="s">
        <v>2086</v>
      </c>
      <c r="D1109" s="234">
        <v>0</v>
      </c>
      <c r="E1109" s="234">
        <v>0</v>
      </c>
      <c r="F1109" s="234">
        <v>0</v>
      </c>
      <c r="G1109" s="234">
        <v>0</v>
      </c>
      <c r="H1109" s="234">
        <v>0</v>
      </c>
      <c r="I1109" s="234">
        <v>0</v>
      </c>
      <c r="J1109" s="234">
        <v>0</v>
      </c>
    </row>
    <row r="1110" spans="2:10">
      <c r="B1110" s="52" t="s">
        <v>149</v>
      </c>
      <c r="C1110" s="1600" t="s">
        <v>2086</v>
      </c>
      <c r="D1110" s="234">
        <v>0</v>
      </c>
      <c r="E1110" s="234">
        <v>0</v>
      </c>
      <c r="F1110" s="234">
        <v>0</v>
      </c>
      <c r="G1110" s="234">
        <v>0</v>
      </c>
      <c r="H1110" s="234">
        <v>0</v>
      </c>
      <c r="I1110" s="234">
        <v>0</v>
      </c>
      <c r="J1110" s="234">
        <v>0</v>
      </c>
    </row>
    <row r="1111" spans="2:10">
      <c r="B1111" s="52" t="s">
        <v>148</v>
      </c>
      <c r="C1111" s="1600" t="s">
        <v>2086</v>
      </c>
      <c r="D1111" s="234">
        <v>0</v>
      </c>
      <c r="E1111" s="234">
        <v>0</v>
      </c>
      <c r="F1111" s="234">
        <v>0</v>
      </c>
      <c r="G1111" s="234">
        <v>0</v>
      </c>
      <c r="H1111" s="234">
        <v>0</v>
      </c>
      <c r="I1111" s="234">
        <v>0</v>
      </c>
      <c r="J1111" s="234">
        <v>0</v>
      </c>
    </row>
    <row r="1112" spans="2:10">
      <c r="B1112" s="52" t="s">
        <v>147</v>
      </c>
      <c r="C1112" s="1600" t="s">
        <v>2086</v>
      </c>
      <c r="D1112" s="234">
        <v>0</v>
      </c>
      <c r="E1112" s="234">
        <v>0</v>
      </c>
      <c r="F1112" s="234">
        <v>0</v>
      </c>
      <c r="G1112" s="234">
        <v>0</v>
      </c>
      <c r="H1112" s="234">
        <v>0</v>
      </c>
      <c r="I1112" s="234">
        <v>0</v>
      </c>
      <c r="J1112" s="234">
        <v>0</v>
      </c>
    </row>
    <row r="1113" spans="2:10">
      <c r="B1113" s="52" t="s">
        <v>146</v>
      </c>
      <c r="C1113" s="1600" t="s">
        <v>2086</v>
      </c>
      <c r="D1113" s="234">
        <v>0</v>
      </c>
      <c r="E1113" s="234">
        <v>0</v>
      </c>
      <c r="F1113" s="234">
        <v>0</v>
      </c>
      <c r="G1113" s="234">
        <v>0</v>
      </c>
      <c r="H1113" s="234">
        <v>0</v>
      </c>
      <c r="I1113" s="234">
        <v>0</v>
      </c>
      <c r="J1113" s="234">
        <v>0</v>
      </c>
    </row>
    <row r="1114" spans="2:10">
      <c r="B1114" s="190"/>
      <c r="C1114" s="1604"/>
      <c r="D1114" s="1604"/>
      <c r="E1114" s="1604"/>
      <c r="F1114" s="1604"/>
      <c r="G1114" s="1604"/>
      <c r="H1114" s="1604"/>
      <c r="I1114" s="1605"/>
    </row>
    <row r="1115" spans="2:10">
      <c r="B1115" s="59" t="s">
        <v>1319</v>
      </c>
      <c r="C1115" s="1604"/>
      <c r="D1115" s="1604"/>
      <c r="E1115" s="1604"/>
      <c r="F1115" s="1604"/>
      <c r="G1115" s="1604"/>
      <c r="H1115" s="1604"/>
      <c r="I1115" s="1605"/>
    </row>
    <row r="1116" spans="2:10">
      <c r="B1116" s="71" t="s">
        <v>516</v>
      </c>
      <c r="C1116" s="1600">
        <v>9</v>
      </c>
      <c r="D1116" s="1601">
        <v>9</v>
      </c>
      <c r="E1116" s="1601">
        <v>9</v>
      </c>
      <c r="F1116" s="1601">
        <v>9</v>
      </c>
      <c r="G1116" s="1601">
        <v>12</v>
      </c>
      <c r="H1116" s="1601">
        <v>14</v>
      </c>
      <c r="I1116" s="1601">
        <v>14</v>
      </c>
      <c r="J1116" s="1601">
        <v>16</v>
      </c>
    </row>
    <row r="1117" spans="2:10">
      <c r="B1117" s="52" t="s">
        <v>150</v>
      </c>
      <c r="C1117" s="1600" t="s">
        <v>2086</v>
      </c>
      <c r="D1117" s="1602">
        <v>0</v>
      </c>
      <c r="E1117" s="1602">
        <v>0</v>
      </c>
      <c r="F1117" s="1602">
        <v>0</v>
      </c>
      <c r="G1117" s="1602">
        <v>0</v>
      </c>
      <c r="H1117" s="1602">
        <v>0</v>
      </c>
      <c r="I1117" s="1602">
        <v>0</v>
      </c>
      <c r="J1117" s="1602">
        <v>0</v>
      </c>
    </row>
    <row r="1118" spans="2:10">
      <c r="B1118" s="52" t="s">
        <v>149</v>
      </c>
      <c r="C1118" s="1600" t="s">
        <v>2086</v>
      </c>
      <c r="D1118" s="1602">
        <v>0</v>
      </c>
      <c r="E1118" s="1602">
        <v>0</v>
      </c>
      <c r="F1118" s="1602">
        <v>0</v>
      </c>
      <c r="G1118" s="1602">
        <v>0</v>
      </c>
      <c r="H1118" s="1602">
        <v>0</v>
      </c>
      <c r="I1118" s="1602">
        <v>0</v>
      </c>
      <c r="J1118" s="1602">
        <v>0</v>
      </c>
    </row>
    <row r="1119" spans="2:10">
      <c r="B1119" s="52" t="s">
        <v>148</v>
      </c>
      <c r="C1119" s="1600">
        <v>1</v>
      </c>
      <c r="D1119" s="1602">
        <v>1</v>
      </c>
      <c r="E1119" s="1602">
        <v>1</v>
      </c>
      <c r="F1119" s="1602">
        <v>1</v>
      </c>
      <c r="G1119" s="1602">
        <v>1</v>
      </c>
      <c r="H1119" s="1602">
        <v>1</v>
      </c>
      <c r="I1119" s="1602">
        <v>1</v>
      </c>
      <c r="J1119" s="1602">
        <v>1</v>
      </c>
    </row>
    <row r="1120" spans="2:10">
      <c r="B1120" s="52" t="s">
        <v>147</v>
      </c>
      <c r="C1120" s="1600" t="s">
        <v>2086</v>
      </c>
      <c r="D1120" s="1602">
        <v>0</v>
      </c>
      <c r="E1120" s="1602">
        <v>0</v>
      </c>
      <c r="F1120" s="1602">
        <v>0</v>
      </c>
      <c r="G1120" s="1602">
        <v>0</v>
      </c>
      <c r="H1120" s="1602">
        <v>0</v>
      </c>
      <c r="I1120" s="1602">
        <v>0</v>
      </c>
      <c r="J1120" s="1602">
        <v>0</v>
      </c>
    </row>
    <row r="1121" spans="2:10">
      <c r="B1121" s="52" t="s">
        <v>146</v>
      </c>
      <c r="C1121" s="1600">
        <v>8</v>
      </c>
      <c r="D1121" s="1602">
        <v>8</v>
      </c>
      <c r="E1121" s="1602">
        <v>8</v>
      </c>
      <c r="F1121" s="1602">
        <v>8</v>
      </c>
      <c r="G1121" s="1602">
        <v>11</v>
      </c>
      <c r="H1121" s="1602">
        <v>13</v>
      </c>
      <c r="I1121" s="1602">
        <v>13</v>
      </c>
      <c r="J1121" s="1602">
        <v>13</v>
      </c>
    </row>
    <row r="1122" spans="2:10">
      <c r="B1122" s="52"/>
      <c r="C1122" s="1606"/>
      <c r="D1122" s="52"/>
      <c r="E1122" s="52"/>
      <c r="F1122" s="52"/>
      <c r="G1122" s="52"/>
      <c r="H1122" s="52"/>
      <c r="I1122" s="52"/>
      <c r="J1122" s="52"/>
    </row>
    <row r="1123" spans="2:10" ht="25">
      <c r="B1123" s="71" t="s">
        <v>152</v>
      </c>
      <c r="C1123" s="1600">
        <v>9</v>
      </c>
      <c r="D1123" s="152">
        <v>9</v>
      </c>
      <c r="E1123" s="152">
        <v>9</v>
      </c>
      <c r="F1123" s="152">
        <v>9</v>
      </c>
      <c r="G1123" s="152">
        <v>12</v>
      </c>
      <c r="H1123" s="152">
        <v>14</v>
      </c>
      <c r="I1123" s="152">
        <v>14</v>
      </c>
      <c r="J1123" s="152">
        <v>14</v>
      </c>
    </row>
    <row r="1124" spans="2:10">
      <c r="B1124" s="52" t="s">
        <v>150</v>
      </c>
      <c r="C1124" s="1600" t="s">
        <v>2086</v>
      </c>
      <c r="D1124" s="152">
        <v>0</v>
      </c>
      <c r="E1124" s="152">
        <v>0</v>
      </c>
      <c r="F1124" s="152">
        <v>0</v>
      </c>
      <c r="G1124" s="152">
        <v>0</v>
      </c>
      <c r="H1124" s="152">
        <v>0</v>
      </c>
      <c r="I1124" s="152">
        <v>0</v>
      </c>
      <c r="J1124" s="152">
        <v>0</v>
      </c>
    </row>
    <row r="1125" spans="2:10">
      <c r="B1125" s="52" t="s">
        <v>149</v>
      </c>
      <c r="C1125" s="1600" t="s">
        <v>2086</v>
      </c>
      <c r="D1125" s="152">
        <v>0</v>
      </c>
      <c r="E1125" s="152">
        <v>0</v>
      </c>
      <c r="F1125" s="152">
        <v>0</v>
      </c>
      <c r="G1125" s="152">
        <v>0</v>
      </c>
      <c r="H1125" s="152">
        <v>0</v>
      </c>
      <c r="I1125" s="152">
        <v>0</v>
      </c>
      <c r="J1125" s="152">
        <v>0</v>
      </c>
    </row>
    <row r="1126" spans="2:10">
      <c r="B1126" s="52" t="s">
        <v>148</v>
      </c>
      <c r="C1126" s="1600">
        <v>1</v>
      </c>
      <c r="D1126" s="152">
        <v>1</v>
      </c>
      <c r="E1126" s="152">
        <v>1</v>
      </c>
      <c r="F1126" s="152">
        <v>1</v>
      </c>
      <c r="G1126" s="152">
        <v>1</v>
      </c>
      <c r="H1126" s="152">
        <v>1</v>
      </c>
      <c r="I1126" s="152">
        <v>1</v>
      </c>
      <c r="J1126" s="152">
        <v>1</v>
      </c>
    </row>
    <row r="1127" spans="2:10">
      <c r="B1127" s="52" t="s">
        <v>147</v>
      </c>
      <c r="C1127" s="1600" t="s">
        <v>2086</v>
      </c>
      <c r="D1127" s="152">
        <v>0</v>
      </c>
      <c r="E1127" s="152">
        <v>0</v>
      </c>
      <c r="F1127" s="152">
        <v>0</v>
      </c>
      <c r="G1127" s="152">
        <v>0</v>
      </c>
      <c r="H1127" s="152">
        <v>0</v>
      </c>
      <c r="I1127" s="152">
        <v>0</v>
      </c>
      <c r="J1127" s="152">
        <v>0</v>
      </c>
    </row>
    <row r="1128" spans="2:10">
      <c r="B1128" s="52" t="s">
        <v>146</v>
      </c>
      <c r="C1128" s="1600">
        <v>8</v>
      </c>
      <c r="D1128" s="152">
        <v>8</v>
      </c>
      <c r="E1128" s="152">
        <v>8</v>
      </c>
      <c r="F1128" s="152">
        <v>8</v>
      </c>
      <c r="G1128" s="152">
        <v>11</v>
      </c>
      <c r="H1128" s="152">
        <v>13</v>
      </c>
      <c r="I1128" s="152">
        <v>13</v>
      </c>
      <c r="J1128" s="152">
        <v>13</v>
      </c>
    </row>
    <row r="1129" spans="2:10">
      <c r="B1129" s="52"/>
      <c r="C1129" s="1606"/>
      <c r="D1129" s="52"/>
      <c r="E1129" s="52"/>
      <c r="F1129" s="52"/>
      <c r="G1129" s="52"/>
      <c r="H1129" s="52"/>
      <c r="I1129" s="52"/>
      <c r="J1129" s="52"/>
    </row>
    <row r="1130" spans="2:10" ht="25">
      <c r="B1130" s="71" t="s">
        <v>151</v>
      </c>
      <c r="C1130" s="1600" t="s">
        <v>2086</v>
      </c>
      <c r="D1130" s="234">
        <v>0</v>
      </c>
      <c r="E1130" s="234">
        <v>0</v>
      </c>
      <c r="F1130" s="234">
        <v>0</v>
      </c>
      <c r="G1130" s="234">
        <v>0</v>
      </c>
      <c r="H1130" s="234">
        <v>0</v>
      </c>
      <c r="I1130" s="234">
        <v>0</v>
      </c>
      <c r="J1130" s="234">
        <v>0</v>
      </c>
    </row>
    <row r="1131" spans="2:10">
      <c r="B1131" s="52" t="s">
        <v>150</v>
      </c>
      <c r="C1131" s="1600" t="s">
        <v>2086</v>
      </c>
      <c r="D1131" s="234">
        <v>0</v>
      </c>
      <c r="E1131" s="234">
        <v>0</v>
      </c>
      <c r="F1131" s="234">
        <v>0</v>
      </c>
      <c r="G1131" s="234">
        <v>0</v>
      </c>
      <c r="H1131" s="234">
        <v>0</v>
      </c>
      <c r="I1131" s="234">
        <v>0</v>
      </c>
      <c r="J1131" s="234">
        <v>0</v>
      </c>
    </row>
    <row r="1132" spans="2:10">
      <c r="B1132" s="52" t="s">
        <v>149</v>
      </c>
      <c r="C1132" s="1600" t="s">
        <v>2086</v>
      </c>
      <c r="D1132" s="234">
        <v>0</v>
      </c>
      <c r="E1132" s="234">
        <v>0</v>
      </c>
      <c r="F1132" s="234">
        <v>0</v>
      </c>
      <c r="G1132" s="234">
        <v>0</v>
      </c>
      <c r="H1132" s="234">
        <v>0</v>
      </c>
      <c r="I1132" s="234">
        <v>0</v>
      </c>
      <c r="J1132" s="234">
        <v>0</v>
      </c>
    </row>
    <row r="1133" spans="2:10">
      <c r="B1133" s="52" t="s">
        <v>148</v>
      </c>
      <c r="C1133" s="1600" t="s">
        <v>2086</v>
      </c>
      <c r="D1133" s="234">
        <v>0</v>
      </c>
      <c r="E1133" s="234">
        <v>0</v>
      </c>
      <c r="F1133" s="234">
        <v>0</v>
      </c>
      <c r="G1133" s="234">
        <v>0</v>
      </c>
      <c r="H1133" s="234">
        <v>0</v>
      </c>
      <c r="I1133" s="234">
        <v>0</v>
      </c>
      <c r="J1133" s="234">
        <v>0</v>
      </c>
    </row>
    <row r="1134" spans="2:10">
      <c r="B1134" s="52" t="s">
        <v>147</v>
      </c>
      <c r="C1134" s="1600" t="s">
        <v>2086</v>
      </c>
      <c r="D1134" s="234">
        <v>0</v>
      </c>
      <c r="E1134" s="234">
        <v>0</v>
      </c>
      <c r="F1134" s="234">
        <v>0</v>
      </c>
      <c r="G1134" s="234">
        <v>0</v>
      </c>
      <c r="H1134" s="234">
        <v>0</v>
      </c>
      <c r="I1134" s="234">
        <v>0</v>
      </c>
      <c r="J1134" s="234">
        <v>0</v>
      </c>
    </row>
    <row r="1135" spans="2:10" ht="15" thickBot="1">
      <c r="B1135" s="50" t="s">
        <v>146</v>
      </c>
      <c r="C1135" s="1600" t="s">
        <v>2086</v>
      </c>
      <c r="D1135" s="234">
        <v>0</v>
      </c>
      <c r="E1135" s="234">
        <v>0</v>
      </c>
      <c r="F1135" s="234">
        <v>0</v>
      </c>
      <c r="G1135" s="234">
        <v>0</v>
      </c>
      <c r="H1135" s="234">
        <v>0</v>
      </c>
      <c r="I1135" s="234">
        <v>0</v>
      </c>
      <c r="J1135" s="234">
        <v>0</v>
      </c>
    </row>
    <row r="1136" spans="2:10" ht="15" thickTop="1">
      <c r="B1136" s="2025" t="s">
        <v>2059</v>
      </c>
      <c r="C1136" s="2025"/>
      <c r="D1136" s="2025"/>
      <c r="E1136" s="2025"/>
      <c r="F1136" s="2025"/>
      <c r="G1136" s="2025"/>
      <c r="H1136" s="2025"/>
      <c r="I1136" s="2025"/>
      <c r="J1136" s="2025"/>
    </row>
    <row r="1137" spans="2:10">
      <c r="B1137" s="2066"/>
      <c r="C1137" s="2066"/>
      <c r="D1137" s="2066"/>
      <c r="E1137" s="2066"/>
      <c r="F1137" s="2066"/>
      <c r="G1137" s="2066"/>
      <c r="H1137" s="2066"/>
      <c r="I1137" s="2066"/>
      <c r="J1137" s="2066"/>
    </row>
    <row r="1138" spans="2:10">
      <c r="B1138" s="62"/>
      <c r="C1138" s="339"/>
      <c r="D1138" s="302"/>
      <c r="E1138" s="302"/>
      <c r="F1138" s="302"/>
      <c r="G1138" s="302"/>
      <c r="H1138" s="302"/>
      <c r="I1138" s="302"/>
      <c r="J1138" s="439"/>
    </row>
    <row r="1139" spans="2:10">
      <c r="B1139" s="2100" t="s">
        <v>144</v>
      </c>
      <c r="C1139" s="2100"/>
      <c r="D1139" s="2100"/>
      <c r="E1139" s="2100"/>
      <c r="F1139" s="2100"/>
      <c r="G1139" s="2100"/>
      <c r="H1139" s="2100"/>
      <c r="I1139" s="2100"/>
      <c r="J1139" s="2100"/>
    </row>
    <row r="1140" spans="2:10">
      <c r="B1140" s="12" t="s">
        <v>143</v>
      </c>
      <c r="C1140" s="339"/>
      <c r="D1140" s="302"/>
      <c r="E1140" s="302"/>
      <c r="F1140" s="302"/>
      <c r="G1140" s="302"/>
      <c r="H1140" s="302"/>
      <c r="I1140" s="302"/>
      <c r="J1140" s="439"/>
    </row>
    <row r="1141" spans="2:10">
      <c r="B1141" s="62" t="s">
        <v>142</v>
      </c>
      <c r="C1141" s="339"/>
      <c r="D1141" s="302"/>
      <c r="E1141" s="302"/>
      <c r="F1141" s="302"/>
      <c r="G1141" s="302"/>
      <c r="H1141" s="302"/>
      <c r="I1141" s="302"/>
      <c r="J1141" s="439"/>
    </row>
    <row r="1142" spans="2:10">
      <c r="B1142" s="62"/>
      <c r="C1142" s="339"/>
      <c r="D1142" s="302"/>
      <c r="E1142" s="302"/>
      <c r="F1142" s="302"/>
      <c r="G1142" s="302"/>
      <c r="H1142" s="302"/>
      <c r="I1142" s="302"/>
      <c r="J1142" s="439"/>
    </row>
    <row r="1143" spans="2:10">
      <c r="B1143" s="61"/>
      <c r="C1143" s="1536">
        <v>2014</v>
      </c>
      <c r="D1143" s="303">
        <v>2015</v>
      </c>
      <c r="E1143" s="303">
        <v>2016</v>
      </c>
      <c r="F1143" s="303">
        <v>2017</v>
      </c>
      <c r="G1143" s="303">
        <v>2018</v>
      </c>
      <c r="H1143" s="303">
        <v>2019</v>
      </c>
      <c r="I1143" s="303">
        <v>2020</v>
      </c>
      <c r="J1143" s="303">
        <v>2021</v>
      </c>
    </row>
    <row r="1144" spans="2:10">
      <c r="B1144" s="59" t="s">
        <v>1306</v>
      </c>
      <c r="C1144" s="339"/>
      <c r="D1144" s="302"/>
      <c r="E1144" s="302"/>
      <c r="F1144" s="302"/>
      <c r="G1144" s="302"/>
      <c r="H1144" s="302"/>
      <c r="I1144" s="302"/>
      <c r="J1144" s="439"/>
    </row>
    <row r="1145" spans="2:10">
      <c r="B1145" s="71" t="s">
        <v>141</v>
      </c>
      <c r="C1145" s="321">
        <v>0</v>
      </c>
      <c r="D1145" s="321">
        <v>0</v>
      </c>
      <c r="E1145" s="321">
        <v>0</v>
      </c>
      <c r="F1145" s="321">
        <v>2E-3</v>
      </c>
      <c r="G1145" s="867">
        <v>5.0000000000000001E-3</v>
      </c>
      <c r="H1145" s="867">
        <v>6.0000000000000001E-3</v>
      </c>
      <c r="I1145" s="306">
        <v>7.0000000000000001E-3</v>
      </c>
      <c r="J1145" s="95">
        <v>8.9999999999999993E-3</v>
      </c>
    </row>
    <row r="1146" spans="2:10">
      <c r="B1146" s="52" t="s">
        <v>121</v>
      </c>
      <c r="C1146" s="321">
        <v>0</v>
      </c>
      <c r="D1146" s="321">
        <v>0</v>
      </c>
      <c r="E1146" s="321">
        <v>0</v>
      </c>
      <c r="F1146" s="321">
        <v>2E-3</v>
      </c>
      <c r="G1146" s="867">
        <v>5.0000000000000001E-3</v>
      </c>
      <c r="H1146" s="867">
        <v>0</v>
      </c>
      <c r="I1146" s="306">
        <v>0</v>
      </c>
      <c r="J1146" s="95">
        <v>0</v>
      </c>
    </row>
    <row r="1147" spans="2:10">
      <c r="B1147" s="53" t="s">
        <v>120</v>
      </c>
      <c r="C1147" s="321">
        <v>0</v>
      </c>
      <c r="D1147" s="321">
        <v>0</v>
      </c>
      <c r="E1147" s="321">
        <v>0</v>
      </c>
      <c r="F1147" s="321">
        <v>0</v>
      </c>
      <c r="G1147" s="321">
        <v>0</v>
      </c>
      <c r="H1147" s="321">
        <v>0</v>
      </c>
      <c r="I1147" s="306">
        <v>0</v>
      </c>
      <c r="J1147" s="95">
        <v>0</v>
      </c>
    </row>
    <row r="1148" spans="2:10">
      <c r="B1148" s="53" t="s">
        <v>119</v>
      </c>
      <c r="C1148" s="321">
        <v>0</v>
      </c>
      <c r="D1148" s="321">
        <v>0</v>
      </c>
      <c r="E1148" s="321">
        <v>0</v>
      </c>
      <c r="F1148" s="321">
        <v>2E-3</v>
      </c>
      <c r="G1148" s="867">
        <v>5.0000000000000001E-3</v>
      </c>
      <c r="H1148" s="867">
        <v>6.0000000000000001E-3</v>
      </c>
      <c r="I1148" s="306">
        <v>7.0000000000000001E-3</v>
      </c>
      <c r="J1148" s="95">
        <v>8.9999999999999993E-3</v>
      </c>
    </row>
    <row r="1149" spans="2:10">
      <c r="B1149" s="52" t="s">
        <v>118</v>
      </c>
      <c r="C1149" s="321">
        <v>0</v>
      </c>
      <c r="D1149" s="321">
        <v>0</v>
      </c>
      <c r="E1149" s="321">
        <v>0</v>
      </c>
      <c r="F1149" s="321">
        <v>0</v>
      </c>
      <c r="G1149" s="321">
        <v>0</v>
      </c>
      <c r="H1149" s="321">
        <v>0</v>
      </c>
      <c r="I1149" s="306">
        <v>0</v>
      </c>
      <c r="J1149" s="95">
        <v>0</v>
      </c>
    </row>
    <row r="1150" spans="2:10">
      <c r="B1150" s="52" t="s">
        <v>117</v>
      </c>
      <c r="C1150" s="321">
        <v>0</v>
      </c>
      <c r="D1150" s="321">
        <v>0</v>
      </c>
      <c r="E1150" s="321">
        <v>0</v>
      </c>
      <c r="F1150" s="321">
        <v>0</v>
      </c>
      <c r="G1150" s="321">
        <v>0</v>
      </c>
      <c r="H1150" s="321">
        <v>0</v>
      </c>
      <c r="I1150" s="306">
        <v>0</v>
      </c>
      <c r="J1150" s="95">
        <v>0</v>
      </c>
    </row>
    <row r="1151" spans="2:10">
      <c r="B1151" s="71"/>
      <c r="C1151" s="321"/>
      <c r="D1151" s="321"/>
      <c r="E1151" s="321"/>
      <c r="F1151" s="321"/>
      <c r="G1151" s="321"/>
      <c r="H1151" s="321"/>
      <c r="I1151" s="306"/>
    </row>
    <row r="1152" spans="2:10">
      <c r="B1152" s="59" t="s">
        <v>1319</v>
      </c>
      <c r="C1152" s="321"/>
      <c r="D1152" s="321"/>
      <c r="E1152" s="321"/>
      <c r="F1152" s="321"/>
      <c r="G1152" s="321"/>
      <c r="H1152" s="321"/>
      <c r="I1152" s="306"/>
    </row>
    <row r="1153" spans="2:10">
      <c r="B1153" s="71" t="s">
        <v>141</v>
      </c>
      <c r="C1153" s="867">
        <v>8.8999999999999996E-2</v>
      </c>
      <c r="D1153" s="867">
        <v>0.17199999999999999</v>
      </c>
      <c r="E1153" s="867">
        <v>0.128</v>
      </c>
      <c r="F1153" s="867">
        <v>6.5000000000000002E-2</v>
      </c>
      <c r="G1153" s="867">
        <v>8.7999999999999995E-2</v>
      </c>
      <c r="H1153" s="867">
        <v>8.6999999999999994E-2</v>
      </c>
      <c r="I1153" s="306">
        <v>0.65400000000000003</v>
      </c>
      <c r="J1153" s="95">
        <v>4.4959999999999996</v>
      </c>
    </row>
    <row r="1154" spans="2:10">
      <c r="B1154" s="52" t="s">
        <v>121</v>
      </c>
      <c r="C1154" s="867">
        <v>8.8999999999999996E-2</v>
      </c>
      <c r="D1154" s="867">
        <v>0</v>
      </c>
      <c r="E1154" s="867">
        <v>3.0000000000000001E-3</v>
      </c>
      <c r="F1154" s="867">
        <v>2E-3</v>
      </c>
      <c r="G1154" s="867">
        <v>8.0000000000000002E-3</v>
      </c>
      <c r="H1154" s="867">
        <v>1.6E-2</v>
      </c>
      <c r="I1154" s="306">
        <v>2.8000000000000001E-2</v>
      </c>
      <c r="J1154" s="95">
        <v>1.9430000000000001</v>
      </c>
    </row>
    <row r="1155" spans="2:10">
      <c r="B1155" s="53" t="s">
        <v>120</v>
      </c>
      <c r="C1155" s="867">
        <v>1.4E-2</v>
      </c>
      <c r="D1155" s="867">
        <v>0.17199999999999999</v>
      </c>
      <c r="E1155" s="867">
        <v>0.125</v>
      </c>
      <c r="F1155" s="867">
        <v>6.3E-2</v>
      </c>
      <c r="G1155" s="867">
        <v>0.08</v>
      </c>
      <c r="H1155" s="867">
        <v>8.6999999999999994E-2</v>
      </c>
      <c r="I1155" s="306">
        <v>0.61799999999999999</v>
      </c>
      <c r="J1155" s="95">
        <v>1.6E-2</v>
      </c>
    </row>
    <row r="1156" spans="2:10">
      <c r="B1156" s="53" t="s">
        <v>119</v>
      </c>
      <c r="C1156" s="867">
        <v>7.4999999999999997E-2</v>
      </c>
      <c r="D1156" s="867">
        <v>0</v>
      </c>
      <c r="E1156" s="867">
        <v>0</v>
      </c>
      <c r="F1156" s="867">
        <v>0</v>
      </c>
      <c r="G1156" s="867">
        <v>0</v>
      </c>
      <c r="H1156" s="867">
        <v>8.0000000000000002E-3</v>
      </c>
      <c r="I1156" s="306">
        <v>8.0000000000000002E-3</v>
      </c>
      <c r="J1156" s="95">
        <v>1.357</v>
      </c>
    </row>
    <row r="1157" spans="2:10">
      <c r="B1157" s="52" t="s">
        <v>118</v>
      </c>
      <c r="C1157" s="867">
        <v>0</v>
      </c>
      <c r="D1157" s="867">
        <v>0</v>
      </c>
      <c r="E1157" s="867">
        <v>1.2E-2</v>
      </c>
      <c r="F1157" s="867">
        <v>1E-3</v>
      </c>
      <c r="G1157" s="867">
        <v>1E-3</v>
      </c>
      <c r="H1157" s="867">
        <v>1.6E-2</v>
      </c>
      <c r="I1157" s="306">
        <v>7.0000000000000001E-3</v>
      </c>
      <c r="J1157" s="95">
        <v>0.56999999999999995</v>
      </c>
    </row>
    <row r="1158" spans="2:10" ht="15" thickBot="1">
      <c r="B1158" s="50" t="s">
        <v>117</v>
      </c>
      <c r="C1158" s="321">
        <v>0</v>
      </c>
      <c r="D1158" s="321">
        <v>0</v>
      </c>
      <c r="E1158" s="1607">
        <v>0</v>
      </c>
      <c r="F1158" s="1607">
        <v>0</v>
      </c>
      <c r="G1158" s="1607">
        <v>0</v>
      </c>
      <c r="H1158" s="1607">
        <v>0</v>
      </c>
      <c r="I1158" s="312">
        <v>0</v>
      </c>
      <c r="J1158" s="95">
        <v>0.61</v>
      </c>
    </row>
    <row r="1159" spans="2:10" ht="15" thickTop="1">
      <c r="B1159" s="2025" t="s">
        <v>2048</v>
      </c>
      <c r="C1159" s="2025"/>
      <c r="D1159" s="2025"/>
      <c r="E1159" s="2025"/>
      <c r="F1159" s="2025"/>
      <c r="G1159" s="2025"/>
      <c r="H1159" s="2025"/>
      <c r="I1159" s="2025"/>
      <c r="J1159" s="2025"/>
    </row>
    <row r="1160" spans="2:10">
      <c r="B1160" s="2066" t="s">
        <v>2049</v>
      </c>
      <c r="C1160" s="2066"/>
      <c r="D1160" s="2066"/>
      <c r="E1160" s="2066"/>
      <c r="F1160" s="2066"/>
      <c r="G1160" s="2066"/>
      <c r="H1160" s="2066"/>
      <c r="I1160" s="2066"/>
      <c r="J1160" s="2066"/>
    </row>
    <row r="1161" spans="2:10">
      <c r="B1161" s="64"/>
      <c r="C1161" s="339"/>
      <c r="D1161" s="302"/>
      <c r="E1161" s="302"/>
      <c r="F1161" s="302"/>
      <c r="G1161" s="302"/>
      <c r="H1161" s="302"/>
      <c r="I1161" s="302"/>
      <c r="J1161" s="439"/>
    </row>
    <row r="1162" spans="2:10">
      <c r="B1162" s="2100" t="s">
        <v>140</v>
      </c>
      <c r="C1162" s="2100"/>
      <c r="D1162" s="2100"/>
      <c r="E1162" s="2100"/>
      <c r="F1162" s="2100"/>
      <c r="G1162" s="2100"/>
      <c r="H1162" s="2100"/>
      <c r="I1162" s="2100"/>
      <c r="J1162" s="2100"/>
    </row>
    <row r="1163" spans="2:10">
      <c r="B1163" s="12" t="s">
        <v>139</v>
      </c>
      <c r="C1163" s="339"/>
      <c r="D1163" s="302"/>
      <c r="E1163" s="302"/>
      <c r="F1163" s="302"/>
      <c r="G1163" s="302"/>
      <c r="H1163" s="302"/>
      <c r="I1163" s="302"/>
      <c r="J1163" s="439"/>
    </row>
    <row r="1164" spans="2:10">
      <c r="B1164" s="62" t="s">
        <v>138</v>
      </c>
      <c r="C1164" s="339"/>
      <c r="D1164" s="302"/>
      <c r="E1164" s="302"/>
      <c r="F1164" s="302"/>
      <c r="G1164" s="302"/>
      <c r="H1164" s="302"/>
      <c r="I1164" s="302"/>
      <c r="J1164" s="439"/>
    </row>
    <row r="1165" spans="2:10">
      <c r="B1165" s="519"/>
      <c r="C1165" s="339"/>
      <c r="D1165" s="302"/>
      <c r="E1165" s="302"/>
      <c r="F1165" s="302"/>
      <c r="G1165" s="302"/>
      <c r="H1165" s="302"/>
      <c r="I1165" s="302"/>
      <c r="J1165" s="439"/>
    </row>
    <row r="1166" spans="2:10">
      <c r="B1166" s="61"/>
      <c r="C1166" s="1536">
        <v>2014</v>
      </c>
      <c r="D1166" s="303">
        <v>2015</v>
      </c>
      <c r="E1166" s="303">
        <v>2016</v>
      </c>
      <c r="F1166" s="303">
        <v>2017</v>
      </c>
      <c r="G1166" s="303">
        <v>2018</v>
      </c>
      <c r="H1166" s="303">
        <v>2019</v>
      </c>
      <c r="I1166" s="303">
        <v>2020</v>
      </c>
      <c r="J1166" s="303">
        <v>2021</v>
      </c>
    </row>
    <row r="1167" spans="2:10">
      <c r="B1167" s="59" t="s">
        <v>2060</v>
      </c>
      <c r="C1167" s="339"/>
      <c r="D1167" s="302"/>
      <c r="E1167" s="302"/>
      <c r="F1167" s="302"/>
      <c r="G1167" s="302"/>
      <c r="H1167" s="302"/>
      <c r="I1167" s="302"/>
      <c r="J1167" s="439"/>
    </row>
    <row r="1168" spans="2:10">
      <c r="B1168" s="71" t="s">
        <v>137</v>
      </c>
      <c r="C1168" s="306">
        <v>0</v>
      </c>
      <c r="D1168" s="306">
        <v>1259.5673366219014</v>
      </c>
      <c r="E1168" s="306">
        <v>1648.3474353342376</v>
      </c>
      <c r="F1168" s="306">
        <v>2345.7943322275923</v>
      </c>
      <c r="G1168" s="306">
        <v>2047.1024170573173</v>
      </c>
      <c r="H1168" s="306">
        <v>2039.8694261237781</v>
      </c>
      <c r="I1168" s="306">
        <v>2307.4244481976098</v>
      </c>
      <c r="J1168" s="95">
        <v>1848.1679389312978</v>
      </c>
    </row>
    <row r="1169" spans="2:10">
      <c r="B1169" s="52" t="s">
        <v>121</v>
      </c>
      <c r="C1169" s="306">
        <v>0</v>
      </c>
      <c r="D1169" s="306">
        <v>1259.5673366219014</v>
      </c>
      <c r="E1169" s="306">
        <v>1648.3474353342376</v>
      </c>
      <c r="F1169" s="306">
        <v>2345.7943322275923</v>
      </c>
      <c r="G1169" s="306">
        <v>2047.1024170573173</v>
      </c>
      <c r="H1169" s="306">
        <v>2039.8694261237781</v>
      </c>
      <c r="I1169" s="306">
        <v>2307.4244481976098</v>
      </c>
      <c r="J1169" s="95">
        <v>1848.1679389312978</v>
      </c>
    </row>
    <row r="1170" spans="2:10">
      <c r="B1170" s="53" t="s">
        <v>120</v>
      </c>
      <c r="C1170" s="306">
        <v>0</v>
      </c>
      <c r="D1170" s="306">
        <v>780.5320445732591</v>
      </c>
      <c r="E1170" s="306">
        <v>1228.0912552546088</v>
      </c>
      <c r="F1170" s="306">
        <v>1922.7701941049861</v>
      </c>
      <c r="G1170" s="306">
        <v>1566.909502125789</v>
      </c>
      <c r="H1170" s="306">
        <v>1544.1618172307224</v>
      </c>
      <c r="I1170" s="306">
        <v>1659.6149716481234</v>
      </c>
      <c r="J1170" s="95">
        <v>1094.5117371533136</v>
      </c>
    </row>
    <row r="1171" spans="2:10">
      <c r="B1171" s="53" t="s">
        <v>119</v>
      </c>
      <c r="C1171" s="306">
        <v>0</v>
      </c>
      <c r="D1171" s="306">
        <v>479.03529204864225</v>
      </c>
      <c r="E1171" s="306">
        <v>420.25618007962873</v>
      </c>
      <c r="F1171" s="306">
        <v>423.02413812260636</v>
      </c>
      <c r="G1171" s="306">
        <v>480.19291493152843</v>
      </c>
      <c r="H1171" s="306">
        <v>495.70760889305581</v>
      </c>
      <c r="I1171" s="306">
        <v>647.80947654948659</v>
      </c>
      <c r="J1171" s="95">
        <v>753.65620177798417</v>
      </c>
    </row>
    <row r="1172" spans="2:10">
      <c r="B1172" s="52" t="s">
        <v>118</v>
      </c>
      <c r="C1172" s="306">
        <v>0</v>
      </c>
      <c r="D1172" s="306">
        <v>0</v>
      </c>
      <c r="E1172" s="306">
        <v>0</v>
      </c>
      <c r="F1172" s="306">
        <v>0</v>
      </c>
      <c r="G1172" s="306">
        <v>0</v>
      </c>
      <c r="H1172" s="306">
        <v>0</v>
      </c>
      <c r="I1172" s="306">
        <v>0</v>
      </c>
      <c r="J1172" s="306">
        <v>0</v>
      </c>
    </row>
    <row r="1173" spans="2:10">
      <c r="B1173" s="52" t="s">
        <v>117</v>
      </c>
      <c r="C1173" s="306">
        <v>0</v>
      </c>
      <c r="D1173" s="306">
        <v>0</v>
      </c>
      <c r="E1173" s="306">
        <v>0</v>
      </c>
      <c r="F1173" s="306">
        <v>0</v>
      </c>
      <c r="G1173" s="306">
        <v>0</v>
      </c>
      <c r="H1173" s="306">
        <v>0</v>
      </c>
      <c r="I1173" s="306">
        <v>0</v>
      </c>
      <c r="J1173" s="306">
        <v>0</v>
      </c>
    </row>
    <row r="1174" spans="2:10">
      <c r="B1174" s="71"/>
      <c r="C1174" s="1561"/>
      <c r="D1174" s="1561"/>
      <c r="E1174" s="1561"/>
      <c r="F1174" s="1561"/>
      <c r="G1174" s="1561"/>
      <c r="H1174" s="1561"/>
      <c r="I1174" s="1561"/>
    </row>
    <row r="1175" spans="2:10">
      <c r="B1175" s="59" t="s">
        <v>1319</v>
      </c>
      <c r="C1175" s="1561"/>
      <c r="D1175" s="1561"/>
      <c r="E1175" s="1561"/>
      <c r="F1175" s="1561"/>
      <c r="G1175" s="1561"/>
      <c r="H1175" s="1561"/>
      <c r="I1175" s="1561"/>
    </row>
    <row r="1176" spans="2:10">
      <c r="B1176" s="71" t="s">
        <v>137</v>
      </c>
      <c r="C1176" s="306">
        <v>298.08438852704398</v>
      </c>
      <c r="D1176" s="306">
        <v>369.49821462131177</v>
      </c>
      <c r="E1176" s="306">
        <v>554.92383530437235</v>
      </c>
      <c r="F1176" s="306">
        <v>662.17614073193943</v>
      </c>
      <c r="G1176" s="306">
        <v>737.06590784780224</v>
      </c>
      <c r="H1176" s="306">
        <v>817.74334751557274</v>
      </c>
      <c r="I1176" s="306">
        <v>1433.0135404152084</v>
      </c>
      <c r="J1176" s="95">
        <v>2048.075079544989</v>
      </c>
    </row>
    <row r="1177" spans="2:10">
      <c r="B1177" s="52" t="s">
        <v>121</v>
      </c>
      <c r="C1177" s="306">
        <v>298.08438852704398</v>
      </c>
      <c r="D1177" s="306">
        <v>369.49821462131177</v>
      </c>
      <c r="E1177" s="306">
        <v>554.92383530437235</v>
      </c>
      <c r="F1177" s="306">
        <v>662.17614073193943</v>
      </c>
      <c r="G1177" s="306">
        <v>737.06590784780224</v>
      </c>
      <c r="H1177" s="306">
        <v>817.74334751557274</v>
      </c>
      <c r="I1177" s="306">
        <v>1432.1922936290982</v>
      </c>
      <c r="J1177" s="95">
        <v>2033.3301014625354</v>
      </c>
    </row>
    <row r="1178" spans="2:10">
      <c r="B1178" s="53" t="s">
        <v>120</v>
      </c>
      <c r="C1178" s="306">
        <v>0</v>
      </c>
      <c r="D1178" s="306">
        <v>0</v>
      </c>
      <c r="E1178" s="306">
        <v>0</v>
      </c>
      <c r="F1178" s="306">
        <v>0</v>
      </c>
      <c r="G1178" s="306">
        <v>0</v>
      </c>
      <c r="H1178" s="306">
        <v>0</v>
      </c>
      <c r="I1178" s="306">
        <v>9.8169461227285133</v>
      </c>
      <c r="J1178" s="95">
        <v>16.790479181744939</v>
      </c>
    </row>
    <row r="1179" spans="2:10">
      <c r="B1179" s="53" t="s">
        <v>119</v>
      </c>
      <c r="C1179" s="306">
        <v>298.08438852704398</v>
      </c>
      <c r="D1179" s="306">
        <v>369.49821462131177</v>
      </c>
      <c r="E1179" s="306">
        <v>554.92383530437235</v>
      </c>
      <c r="F1179" s="306">
        <v>662.17614073193943</v>
      </c>
      <c r="G1179" s="306">
        <v>737.06590784780224</v>
      </c>
      <c r="H1179" s="306">
        <v>817.74334751557274</v>
      </c>
      <c r="I1179" s="306">
        <v>1422.3753475063697</v>
      </c>
      <c r="J1179" s="95">
        <v>2016.5396222807906</v>
      </c>
    </row>
    <row r="1180" spans="2:10">
      <c r="B1180" s="52" t="s">
        <v>118</v>
      </c>
      <c r="C1180" s="306">
        <v>0</v>
      </c>
      <c r="D1180" s="306">
        <v>0</v>
      </c>
      <c r="E1180" s="306">
        <v>0</v>
      </c>
      <c r="F1180" s="306">
        <v>0</v>
      </c>
      <c r="G1180" s="306">
        <v>0</v>
      </c>
      <c r="H1180" s="306">
        <v>0</v>
      </c>
      <c r="I1180" s="306">
        <v>0</v>
      </c>
      <c r="J1180" s="95">
        <v>167.82299362274509</v>
      </c>
    </row>
    <row r="1181" spans="2:10">
      <c r="B1181" s="52" t="s">
        <v>117</v>
      </c>
      <c r="C1181" s="306">
        <v>0</v>
      </c>
      <c r="D1181" s="306">
        <v>0</v>
      </c>
      <c r="E1181" s="306">
        <v>0</v>
      </c>
      <c r="F1181" s="306">
        <v>0</v>
      </c>
      <c r="G1181" s="306">
        <v>0</v>
      </c>
      <c r="H1181" s="306">
        <v>0</v>
      </c>
      <c r="I1181" s="306">
        <v>0.8212467861101922</v>
      </c>
      <c r="J1181" s="95">
        <v>14.744978082453674</v>
      </c>
    </row>
    <row r="1182" spans="2:10">
      <c r="B1182" s="52"/>
      <c r="C1182" s="306">
        <v>0</v>
      </c>
      <c r="D1182" s="307">
        <v>0</v>
      </c>
      <c r="E1182" s="307">
        <v>0</v>
      </c>
      <c r="F1182" s="307">
        <v>0</v>
      </c>
      <c r="G1182" s="307">
        <v>0</v>
      </c>
      <c r="H1182" s="307">
        <v>0</v>
      </c>
      <c r="I1182" s="306">
        <v>0</v>
      </c>
      <c r="J1182" s="95">
        <v>0</v>
      </c>
    </row>
    <row r="1183" spans="2:10">
      <c r="B1183" s="59" t="s">
        <v>2061</v>
      </c>
      <c r="C1183" s="306">
        <v>0</v>
      </c>
      <c r="D1183" s="307">
        <v>0</v>
      </c>
      <c r="E1183" s="307">
        <v>0</v>
      </c>
      <c r="F1183" s="307">
        <v>0</v>
      </c>
      <c r="G1183" s="307">
        <v>0</v>
      </c>
      <c r="H1183" s="307">
        <v>0</v>
      </c>
      <c r="I1183" s="306">
        <v>0</v>
      </c>
      <c r="J1183" s="95">
        <v>0</v>
      </c>
    </row>
    <row r="1184" spans="2:10">
      <c r="B1184" s="71" t="s">
        <v>137</v>
      </c>
      <c r="C1184" s="306">
        <v>2.1821271087018087E-2</v>
      </c>
      <c r="D1184" s="306">
        <v>2.7602937297086665E-2</v>
      </c>
      <c r="E1184" s="306">
        <v>3.5321735718142878E-2</v>
      </c>
      <c r="F1184" s="306">
        <v>4.1750045251139338E-2</v>
      </c>
      <c r="G1184" s="306">
        <v>5.3193045800937561E-2</v>
      </c>
      <c r="H1184" s="306">
        <v>6.5732894775647949E-2</v>
      </c>
      <c r="I1184" s="306">
        <v>1.6528389601796877E-2</v>
      </c>
      <c r="J1184" s="95">
        <v>0.12454082399049557</v>
      </c>
    </row>
    <row r="1185" spans="2:10">
      <c r="B1185" s="52" t="s">
        <v>121</v>
      </c>
      <c r="C1185" s="306">
        <v>2.1821271087018087E-2</v>
      </c>
      <c r="D1185" s="306">
        <v>2.7602937297086665E-2</v>
      </c>
      <c r="E1185" s="306">
        <v>3.5321735718142878E-2</v>
      </c>
      <c r="F1185" s="306">
        <v>4.1750045251139338E-2</v>
      </c>
      <c r="G1185" s="306">
        <v>5.3193045800937561E-2</v>
      </c>
      <c r="H1185" s="306">
        <v>6.5732894775647949E-2</v>
      </c>
      <c r="I1185" s="306">
        <v>1.6434076808338992E-2</v>
      </c>
      <c r="J1185" s="95">
        <v>0.11689358041213181</v>
      </c>
    </row>
    <row r="1186" spans="2:10">
      <c r="B1186" s="53" t="s">
        <v>504</v>
      </c>
      <c r="C1186" s="306">
        <v>0</v>
      </c>
      <c r="D1186" s="306">
        <v>0</v>
      </c>
      <c r="E1186" s="306">
        <v>0</v>
      </c>
      <c r="F1186" s="306">
        <v>0</v>
      </c>
      <c r="G1186" s="306">
        <v>0</v>
      </c>
      <c r="H1186" s="306">
        <v>0</v>
      </c>
      <c r="I1186" s="306">
        <v>1.8068880260477425E-3</v>
      </c>
      <c r="J1186" s="95">
        <v>3.1408321839708313E-3</v>
      </c>
    </row>
    <row r="1187" spans="2:10">
      <c r="B1187" s="53" t="s">
        <v>119</v>
      </c>
      <c r="C1187" s="306">
        <v>2.1821271087018087E-2</v>
      </c>
      <c r="D1187" s="306">
        <v>2.7602937297086665E-2</v>
      </c>
      <c r="E1187" s="306">
        <v>3.5321735718142878E-2</v>
      </c>
      <c r="F1187" s="306">
        <v>4.1750045251139338E-2</v>
      </c>
      <c r="G1187" s="306">
        <v>5.3193045800937561E-2</v>
      </c>
      <c r="H1187" s="306">
        <v>6.5732894775647949E-2</v>
      </c>
      <c r="I1187" s="306">
        <v>1.462718878229125E-2</v>
      </c>
      <c r="J1187" s="95">
        <v>0.11375274822816098</v>
      </c>
    </row>
    <row r="1188" spans="2:10">
      <c r="B1188" s="52" t="s">
        <v>118</v>
      </c>
      <c r="C1188" s="306">
        <v>0</v>
      </c>
      <c r="D1188" s="306">
        <v>0</v>
      </c>
      <c r="E1188" s="306">
        <v>0</v>
      </c>
      <c r="F1188" s="306">
        <v>0</v>
      </c>
      <c r="G1188" s="306">
        <v>0</v>
      </c>
      <c r="H1188" s="306">
        <v>0</v>
      </c>
      <c r="I1188" s="306">
        <v>0</v>
      </c>
      <c r="J1188" s="95">
        <v>0</v>
      </c>
    </row>
    <row r="1189" spans="2:10" ht="15" thickBot="1">
      <c r="B1189" s="50" t="s">
        <v>117</v>
      </c>
      <c r="C1189" s="306">
        <v>0</v>
      </c>
      <c r="D1189" s="306">
        <v>0</v>
      </c>
      <c r="E1189" s="306">
        <v>0</v>
      </c>
      <c r="F1189" s="306">
        <v>0</v>
      </c>
      <c r="G1189" s="306">
        <v>0</v>
      </c>
      <c r="H1189" s="306">
        <v>0</v>
      </c>
      <c r="I1189" s="306">
        <v>9.4312793457884263E-5</v>
      </c>
      <c r="J1189" s="95">
        <v>7.6472435783637637E-3</v>
      </c>
    </row>
    <row r="1190" spans="2:10" ht="15" thickTop="1">
      <c r="B1190" s="2025" t="s">
        <v>2048</v>
      </c>
      <c r="C1190" s="2025"/>
      <c r="D1190" s="2025"/>
      <c r="E1190" s="2025"/>
      <c r="F1190" s="2025"/>
      <c r="G1190" s="2025"/>
      <c r="H1190" s="2025"/>
      <c r="I1190" s="2025"/>
      <c r="J1190" s="2025"/>
    </row>
    <row r="1191" spans="2:10">
      <c r="B1191" s="2066" t="s">
        <v>2062</v>
      </c>
      <c r="C1191" s="2066"/>
      <c r="D1191" s="2066"/>
      <c r="E1191" s="2066"/>
      <c r="F1191" s="2066"/>
      <c r="G1191" s="2066"/>
      <c r="H1191" s="2066"/>
      <c r="I1191" s="2066"/>
      <c r="J1191" s="2066"/>
    </row>
    <row r="1192" spans="2:10">
      <c r="B1192" s="69"/>
      <c r="C1192" s="1592"/>
      <c r="D1192" s="69"/>
      <c r="E1192" s="69"/>
      <c r="F1192" s="69"/>
      <c r="G1192" s="69"/>
      <c r="H1192" s="69"/>
      <c r="I1192" s="69"/>
      <c r="J1192" s="1534"/>
    </row>
    <row r="1193" spans="2:10">
      <c r="B1193" s="47"/>
      <c r="C1193" s="1548"/>
      <c r="D1193" s="47"/>
      <c r="E1193" s="47"/>
      <c r="F1193" s="47"/>
      <c r="G1193" s="47"/>
      <c r="H1193" s="47"/>
      <c r="I1193" s="47"/>
      <c r="J1193" s="1549"/>
    </row>
    <row r="1194" spans="2:10">
      <c r="B1194" s="2100" t="s">
        <v>133</v>
      </c>
      <c r="C1194" s="2100"/>
      <c r="D1194" s="2100"/>
      <c r="E1194" s="2100"/>
      <c r="F1194" s="2100"/>
      <c r="G1194" s="2100"/>
      <c r="H1194" s="2100"/>
      <c r="I1194" s="2100"/>
      <c r="J1194" s="2100"/>
    </row>
    <row r="1195" spans="2:10">
      <c r="B1195" s="12" t="s">
        <v>132</v>
      </c>
      <c r="C1195" s="339"/>
      <c r="D1195" s="302"/>
      <c r="E1195" s="302"/>
      <c r="F1195" s="302"/>
      <c r="G1195" s="302"/>
      <c r="H1195" s="302"/>
      <c r="I1195" s="302"/>
      <c r="J1195" s="439"/>
    </row>
    <row r="1196" spans="2:10">
      <c r="B1196" s="62" t="s">
        <v>131</v>
      </c>
      <c r="C1196" s="339"/>
      <c r="D1196" s="302"/>
      <c r="E1196" s="302"/>
      <c r="F1196" s="302"/>
      <c r="G1196" s="302"/>
      <c r="H1196" s="302"/>
      <c r="I1196" s="302"/>
      <c r="J1196" s="439"/>
    </row>
    <row r="1197" spans="2:10">
      <c r="B1197" s="62"/>
      <c r="C1197" s="339"/>
      <c r="D1197" s="302"/>
      <c r="E1197" s="302"/>
      <c r="F1197" s="302"/>
      <c r="G1197" s="302"/>
      <c r="H1197" s="302"/>
      <c r="I1197" s="302"/>
      <c r="J1197" s="439"/>
    </row>
    <row r="1198" spans="2:10">
      <c r="B1198" s="61"/>
      <c r="C1198" s="1536">
        <v>2014</v>
      </c>
      <c r="D1198" s="303">
        <v>2015</v>
      </c>
      <c r="E1198" s="303">
        <v>2016</v>
      </c>
      <c r="F1198" s="303">
        <v>2017</v>
      </c>
      <c r="G1198" s="303">
        <v>2018</v>
      </c>
      <c r="H1198" s="303">
        <v>2019</v>
      </c>
      <c r="I1198" s="303">
        <v>2020</v>
      </c>
      <c r="J1198" s="303">
        <v>2021</v>
      </c>
    </row>
    <row r="1199" spans="2:10">
      <c r="B1199" s="71" t="s">
        <v>130</v>
      </c>
      <c r="C1199" s="867">
        <v>3.2729999999999997</v>
      </c>
      <c r="D1199" s="867">
        <v>5.0069999999999997</v>
      </c>
      <c r="E1199" s="867">
        <v>7.2869999999999999</v>
      </c>
      <c r="F1199" s="867">
        <v>5.919999999999999</v>
      </c>
      <c r="G1199" s="867">
        <v>5.7850000000000001</v>
      </c>
      <c r="H1199" s="867">
        <v>10.477</v>
      </c>
      <c r="I1199" s="306">
        <v>11.356085</v>
      </c>
      <c r="J1199" s="95">
        <v>11.123165999999999</v>
      </c>
    </row>
    <row r="1200" spans="2:10">
      <c r="B1200" s="71"/>
      <c r="C1200" s="867"/>
      <c r="D1200" s="867"/>
      <c r="E1200" s="867"/>
      <c r="F1200" s="867"/>
      <c r="G1200" s="867"/>
      <c r="H1200" s="867"/>
      <c r="I1200" s="306"/>
    </row>
    <row r="1201" spans="2:10">
      <c r="B1201" s="59" t="s">
        <v>1306</v>
      </c>
      <c r="C1201" s="867"/>
      <c r="D1201" s="867"/>
      <c r="E1201" s="867"/>
      <c r="F1201" s="867"/>
      <c r="G1201" s="867"/>
      <c r="H1201" s="867"/>
      <c r="I1201" s="306"/>
    </row>
    <row r="1202" spans="2:10">
      <c r="B1202" s="54" t="s">
        <v>123</v>
      </c>
      <c r="C1202" s="867">
        <v>2.8000000000000001E-2</v>
      </c>
      <c r="D1202" s="867">
        <v>3.9E-2</v>
      </c>
      <c r="E1202" s="867">
        <v>5.0999999999999997E-2</v>
      </c>
      <c r="F1202" s="867">
        <v>2.5000000000000001E-2</v>
      </c>
      <c r="G1202" s="867">
        <v>6.8999999999999992E-2</v>
      </c>
      <c r="H1202" s="867">
        <v>3.3000000000000002E-2</v>
      </c>
      <c r="I1202" s="306">
        <v>2.8000000000000001E-2</v>
      </c>
      <c r="J1202" s="95">
        <v>5.5E-2</v>
      </c>
    </row>
    <row r="1203" spans="2:10">
      <c r="B1203" s="52" t="s">
        <v>121</v>
      </c>
      <c r="C1203" s="867">
        <v>2.8000000000000001E-2</v>
      </c>
      <c r="D1203" s="867">
        <v>3.9E-2</v>
      </c>
      <c r="E1203" s="867">
        <v>5.0999999999999997E-2</v>
      </c>
      <c r="F1203" s="867">
        <v>2.5000000000000001E-2</v>
      </c>
      <c r="G1203" s="867">
        <v>6.8999999999999992E-2</v>
      </c>
      <c r="H1203" s="867">
        <v>3.3000000000000002E-2</v>
      </c>
      <c r="I1203" s="306">
        <v>2.8000000000000001E-2</v>
      </c>
      <c r="J1203" s="95">
        <v>5.5E-2</v>
      </c>
    </row>
    <row r="1204" spans="2:10">
      <c r="B1204" s="53" t="s">
        <v>504</v>
      </c>
      <c r="C1204" s="867">
        <v>2.3E-2</v>
      </c>
      <c r="D1204" s="867">
        <v>3.9E-2</v>
      </c>
      <c r="E1204" s="867">
        <v>5.0999999999999997E-2</v>
      </c>
      <c r="F1204" s="867">
        <v>2.5000000000000001E-2</v>
      </c>
      <c r="G1204" s="867">
        <v>6.8999999999999992E-2</v>
      </c>
      <c r="H1204" s="867">
        <v>3.3000000000000002E-2</v>
      </c>
      <c r="I1204" s="306">
        <v>2.8000000000000001E-2</v>
      </c>
      <c r="J1204" s="95">
        <v>5.5E-2</v>
      </c>
    </row>
    <row r="1205" spans="2:10">
      <c r="B1205" s="53" t="s">
        <v>505</v>
      </c>
      <c r="C1205" s="867">
        <v>5.0000000000000001E-3</v>
      </c>
      <c r="D1205" s="867">
        <v>3.6999999999999998E-2</v>
      </c>
      <c r="E1205" s="867">
        <v>4.2000000000000003E-2</v>
      </c>
      <c r="F1205" s="867">
        <v>2.4E-2</v>
      </c>
      <c r="G1205" s="867">
        <v>5.8999999999999997E-2</v>
      </c>
      <c r="H1205" s="867">
        <v>2.9000000000000001E-2</v>
      </c>
      <c r="I1205" s="306">
        <v>0.02</v>
      </c>
      <c r="J1205" s="95">
        <v>2.7E-2</v>
      </c>
    </row>
    <row r="1206" spans="2:10">
      <c r="B1206" s="52" t="s">
        <v>118</v>
      </c>
      <c r="C1206" s="867">
        <v>0</v>
      </c>
      <c r="D1206" s="867">
        <v>2E-3</v>
      </c>
      <c r="E1206" s="867">
        <v>8.9999999999999993E-3</v>
      </c>
      <c r="F1206" s="867">
        <v>1E-3</v>
      </c>
      <c r="G1206" s="867">
        <v>0.01</v>
      </c>
      <c r="H1206" s="867">
        <v>4.0000000000000001E-3</v>
      </c>
      <c r="I1206" s="306">
        <v>8.0000000000000002E-3</v>
      </c>
      <c r="J1206" s="95">
        <v>2.8000000000000001E-2</v>
      </c>
    </row>
    <row r="1207" spans="2:10">
      <c r="B1207" s="52" t="s">
        <v>117</v>
      </c>
      <c r="C1207" s="867">
        <v>0</v>
      </c>
      <c r="D1207" s="867">
        <v>0</v>
      </c>
      <c r="E1207" s="867">
        <v>0</v>
      </c>
      <c r="F1207" s="867">
        <v>0</v>
      </c>
      <c r="G1207" s="867">
        <v>0</v>
      </c>
      <c r="H1207" s="867">
        <v>0</v>
      </c>
      <c r="I1207" s="306">
        <v>0</v>
      </c>
      <c r="J1207" s="95">
        <v>0</v>
      </c>
    </row>
    <row r="1208" spans="2:10">
      <c r="B1208" s="52"/>
      <c r="C1208" s="867"/>
      <c r="D1208" s="867"/>
      <c r="E1208" s="867"/>
      <c r="F1208" s="867"/>
      <c r="G1208" s="867"/>
      <c r="H1208" s="867"/>
      <c r="I1208" s="306"/>
    </row>
    <row r="1209" spans="2:10">
      <c r="B1209" s="54" t="s">
        <v>122</v>
      </c>
      <c r="C1209" s="867"/>
      <c r="D1209" s="867"/>
      <c r="E1209" s="867"/>
      <c r="F1209" s="1608"/>
      <c r="G1209" s="1608"/>
      <c r="H1209" s="1609"/>
      <c r="I1209" s="1610"/>
    </row>
    <row r="1210" spans="2:10">
      <c r="B1210" s="52" t="s">
        <v>121</v>
      </c>
      <c r="C1210" s="867">
        <v>0</v>
      </c>
      <c r="D1210" s="867">
        <v>0</v>
      </c>
      <c r="E1210" s="867">
        <v>1.3000000000000001E-2</v>
      </c>
      <c r="F1210" s="1608">
        <v>1.9E-2</v>
      </c>
      <c r="G1210" s="1608">
        <v>2.1999999999999999E-2</v>
      </c>
      <c r="H1210" s="1609">
        <v>3.3000000000000002E-2</v>
      </c>
      <c r="I1210" s="1610">
        <v>5.7000000000000002E-2</v>
      </c>
      <c r="J1210" s="95">
        <v>0.111</v>
      </c>
    </row>
    <row r="1211" spans="2:10">
      <c r="B1211" s="53" t="s">
        <v>504</v>
      </c>
      <c r="C1211" s="867">
        <v>0</v>
      </c>
      <c r="D1211" s="867">
        <v>0</v>
      </c>
      <c r="E1211" s="867">
        <v>8.0000000000000002E-3</v>
      </c>
      <c r="F1211" s="1608">
        <v>1.9E-2</v>
      </c>
      <c r="G1211" s="1608">
        <v>2.1999999999999999E-2</v>
      </c>
      <c r="H1211" s="1609">
        <v>3.3000000000000002E-2</v>
      </c>
      <c r="I1211" s="1610">
        <v>5.7000000000000002E-2</v>
      </c>
      <c r="J1211" s="95">
        <v>0.111</v>
      </c>
    </row>
    <row r="1212" spans="2:10">
      <c r="B1212" s="53" t="s">
        <v>505</v>
      </c>
      <c r="C1212" s="867">
        <v>0</v>
      </c>
      <c r="D1212" s="867">
        <v>0</v>
      </c>
      <c r="E1212" s="867">
        <v>8.0000000000000002E-3</v>
      </c>
      <c r="F1212" s="1608">
        <v>1.9E-2</v>
      </c>
      <c r="G1212" s="1608">
        <v>2.1999999999999999E-2</v>
      </c>
      <c r="H1212" s="1609">
        <v>4.0000000000000001E-3</v>
      </c>
      <c r="I1212" s="1610">
        <v>1E-3</v>
      </c>
      <c r="J1212" s="95">
        <v>0</v>
      </c>
    </row>
    <row r="1213" spans="2:10">
      <c r="B1213" s="52" t="s">
        <v>118</v>
      </c>
      <c r="C1213" s="867">
        <v>0</v>
      </c>
      <c r="D1213" s="867">
        <v>0</v>
      </c>
      <c r="E1213" s="867">
        <v>3.0000000000000001E-3</v>
      </c>
      <c r="F1213" s="867">
        <v>1.9E-2</v>
      </c>
      <c r="G1213" s="867">
        <v>2.1999999999999999E-2</v>
      </c>
      <c r="H1213" s="867">
        <v>2.9000000000000001E-2</v>
      </c>
      <c r="I1213" s="306">
        <v>5.6000000000000001E-2</v>
      </c>
      <c r="J1213" s="95">
        <v>0.111</v>
      </c>
    </row>
    <row r="1214" spans="2:10">
      <c r="B1214" s="52" t="s">
        <v>117</v>
      </c>
      <c r="C1214" s="867">
        <v>0</v>
      </c>
      <c r="D1214" s="867">
        <v>0</v>
      </c>
      <c r="E1214" s="867">
        <v>5.0000000000000001E-3</v>
      </c>
      <c r="F1214" s="867">
        <v>0</v>
      </c>
      <c r="G1214" s="867">
        <v>0</v>
      </c>
      <c r="H1214" s="867">
        <v>0</v>
      </c>
      <c r="I1214" s="306">
        <v>0</v>
      </c>
      <c r="J1214" s="95">
        <v>0</v>
      </c>
    </row>
    <row r="1215" spans="2:10">
      <c r="B1215" s="52"/>
      <c r="C1215" s="867"/>
      <c r="D1215" s="867">
        <v>0</v>
      </c>
      <c r="E1215" s="867">
        <v>0</v>
      </c>
      <c r="F1215" s="867">
        <v>0</v>
      </c>
      <c r="G1215" s="867">
        <v>0</v>
      </c>
      <c r="H1215" s="867">
        <v>0</v>
      </c>
      <c r="I1215" s="306">
        <v>0</v>
      </c>
      <c r="J1215" s="95">
        <v>0</v>
      </c>
    </row>
    <row r="1216" spans="2:10">
      <c r="B1216" s="59" t="s">
        <v>1319</v>
      </c>
      <c r="C1216" s="867"/>
      <c r="D1216" s="867"/>
      <c r="E1216" s="867"/>
      <c r="F1216" s="867"/>
      <c r="G1216" s="867"/>
      <c r="H1216" s="867"/>
      <c r="I1216" s="306"/>
    </row>
    <row r="1217" spans="2:10">
      <c r="B1217" s="54" t="s">
        <v>123</v>
      </c>
      <c r="C1217" s="867">
        <v>0</v>
      </c>
      <c r="D1217" s="867">
        <v>0</v>
      </c>
      <c r="E1217" s="867">
        <v>0</v>
      </c>
      <c r="F1217" s="867">
        <v>0</v>
      </c>
      <c r="G1217" s="867">
        <v>0</v>
      </c>
      <c r="H1217" s="867">
        <v>0</v>
      </c>
      <c r="I1217" s="306">
        <v>0</v>
      </c>
      <c r="J1217" s="95">
        <v>0</v>
      </c>
    </row>
    <row r="1218" spans="2:10">
      <c r="B1218" s="52" t="s">
        <v>121</v>
      </c>
      <c r="C1218" s="867">
        <v>0</v>
      </c>
      <c r="D1218" s="867">
        <v>0</v>
      </c>
      <c r="E1218" s="867">
        <v>0</v>
      </c>
      <c r="F1218" s="867">
        <v>0</v>
      </c>
      <c r="G1218" s="867">
        <v>0</v>
      </c>
      <c r="H1218" s="867">
        <v>0</v>
      </c>
      <c r="I1218" s="306">
        <v>0</v>
      </c>
      <c r="J1218" s="95">
        <v>0</v>
      </c>
    </row>
    <row r="1219" spans="2:10">
      <c r="B1219" s="53" t="s">
        <v>120</v>
      </c>
      <c r="C1219" s="867">
        <v>0</v>
      </c>
      <c r="D1219" s="867">
        <v>0</v>
      </c>
      <c r="E1219" s="867">
        <v>0</v>
      </c>
      <c r="F1219" s="867">
        <v>0</v>
      </c>
      <c r="G1219" s="867">
        <v>0</v>
      </c>
      <c r="H1219" s="867">
        <v>0</v>
      </c>
      <c r="I1219" s="306">
        <v>0</v>
      </c>
      <c r="J1219" s="95">
        <v>0</v>
      </c>
    </row>
    <row r="1220" spans="2:10">
      <c r="B1220" s="53" t="s">
        <v>119</v>
      </c>
      <c r="C1220" s="867">
        <v>0</v>
      </c>
      <c r="D1220" s="867">
        <v>0</v>
      </c>
      <c r="E1220" s="867">
        <v>0</v>
      </c>
      <c r="F1220" s="867">
        <v>0</v>
      </c>
      <c r="G1220" s="867">
        <v>0</v>
      </c>
      <c r="H1220" s="867">
        <v>0</v>
      </c>
      <c r="I1220" s="306">
        <v>0</v>
      </c>
      <c r="J1220" s="95">
        <v>0</v>
      </c>
    </row>
    <row r="1221" spans="2:10">
      <c r="B1221" s="52" t="s">
        <v>118</v>
      </c>
      <c r="C1221" s="867">
        <v>0</v>
      </c>
      <c r="D1221" s="867">
        <v>0</v>
      </c>
      <c r="E1221" s="867">
        <v>0</v>
      </c>
      <c r="F1221" s="867">
        <v>0</v>
      </c>
      <c r="G1221" s="867">
        <v>0</v>
      </c>
      <c r="H1221" s="867">
        <v>0</v>
      </c>
      <c r="I1221" s="306">
        <v>0</v>
      </c>
      <c r="J1221" s="95">
        <v>0</v>
      </c>
    </row>
    <row r="1222" spans="2:10">
      <c r="B1222" s="52" t="s">
        <v>117</v>
      </c>
      <c r="C1222" s="867">
        <v>0</v>
      </c>
      <c r="D1222" s="867">
        <v>0</v>
      </c>
      <c r="E1222" s="867">
        <v>0</v>
      </c>
      <c r="F1222" s="867">
        <v>0</v>
      </c>
      <c r="G1222" s="867">
        <v>0</v>
      </c>
      <c r="H1222" s="867">
        <v>0</v>
      </c>
      <c r="I1222" s="306">
        <v>0</v>
      </c>
      <c r="J1222" s="95">
        <v>0</v>
      </c>
    </row>
    <row r="1223" spans="2:10">
      <c r="B1223" s="52"/>
      <c r="C1223" s="867"/>
      <c r="D1223" s="867"/>
      <c r="E1223" s="867"/>
      <c r="F1223" s="867"/>
      <c r="G1223" s="867"/>
      <c r="H1223" s="867"/>
      <c r="I1223" s="306"/>
    </row>
    <row r="1224" spans="2:10">
      <c r="B1224" s="54" t="s">
        <v>122</v>
      </c>
      <c r="C1224" s="867">
        <v>3.2439999999999998</v>
      </c>
      <c r="D1224" s="867">
        <v>4.9680000000000002E-3</v>
      </c>
      <c r="E1224" s="867">
        <v>7.2249999999999997E-3</v>
      </c>
      <c r="F1224" s="867">
        <v>5.8570000000000002E-3</v>
      </c>
      <c r="G1224" s="867">
        <v>5.672E-3</v>
      </c>
      <c r="H1224" s="867">
        <v>10.042</v>
      </c>
      <c r="I1224" s="306">
        <v>11.356</v>
      </c>
      <c r="J1224" s="95">
        <v>11.122999999999999</v>
      </c>
    </row>
    <row r="1225" spans="2:10">
      <c r="B1225" s="52" t="s">
        <v>121</v>
      </c>
      <c r="C1225" s="867">
        <v>3.2439999999999998</v>
      </c>
      <c r="D1225" s="867">
        <v>4.9680000000000002E-3</v>
      </c>
      <c r="E1225" s="867">
        <v>7.2249999999999997E-3</v>
      </c>
      <c r="F1225" s="867">
        <v>5.8570000000000002E-3</v>
      </c>
      <c r="G1225" s="867">
        <v>5.672E-3</v>
      </c>
      <c r="H1225" s="867">
        <v>8.891</v>
      </c>
      <c r="I1225" s="306">
        <v>10.247999999999999</v>
      </c>
      <c r="J1225" s="95">
        <v>10.207000000000001</v>
      </c>
    </row>
    <row r="1226" spans="2:10">
      <c r="B1226" s="53" t="s">
        <v>120</v>
      </c>
      <c r="C1226" s="867">
        <v>0.307</v>
      </c>
      <c r="D1226" s="867">
        <v>0</v>
      </c>
      <c r="E1226" s="867">
        <v>0</v>
      </c>
      <c r="F1226" s="867">
        <v>1.3700000000000002E-4</v>
      </c>
      <c r="G1226" s="867">
        <v>2.9599999999999998E-4</v>
      </c>
      <c r="H1226" s="867">
        <v>0.36899999999999999</v>
      </c>
      <c r="I1226" s="306">
        <v>0.73499999999999999</v>
      </c>
      <c r="J1226" s="95">
        <v>0</v>
      </c>
    </row>
    <row r="1227" spans="2:10">
      <c r="B1227" s="53" t="s">
        <v>119</v>
      </c>
      <c r="C1227" s="867">
        <v>2.9369999999999998</v>
      </c>
      <c r="D1227" s="867">
        <v>4.9680000000000002E-3</v>
      </c>
      <c r="E1227" s="867">
        <v>7.2249999999999997E-3</v>
      </c>
      <c r="F1227" s="867">
        <v>5.7199999999999994E-3</v>
      </c>
      <c r="G1227" s="867">
        <v>5.3759999999999997E-3</v>
      </c>
      <c r="H1227" s="867">
        <v>8.891</v>
      </c>
      <c r="I1227" s="306">
        <v>9.5129999999999999</v>
      </c>
      <c r="J1227" s="95">
        <v>10.207000000000001</v>
      </c>
    </row>
    <row r="1228" spans="2:10">
      <c r="B1228" s="52" t="s">
        <v>118</v>
      </c>
      <c r="C1228" s="867">
        <v>0</v>
      </c>
      <c r="D1228" s="867">
        <v>0</v>
      </c>
      <c r="E1228" s="867">
        <v>0</v>
      </c>
      <c r="F1228" s="867">
        <v>0</v>
      </c>
      <c r="G1228" s="867">
        <v>0</v>
      </c>
      <c r="H1228" s="867">
        <v>0.68400000000000005</v>
      </c>
      <c r="I1228" s="306">
        <v>1.046</v>
      </c>
      <c r="J1228" s="95">
        <v>0.58699999999999997</v>
      </c>
    </row>
    <row r="1229" spans="2:10" ht="15" thickBot="1">
      <c r="B1229" s="50" t="s">
        <v>117</v>
      </c>
      <c r="C1229" s="867">
        <v>0</v>
      </c>
      <c r="D1229" s="867">
        <v>0</v>
      </c>
      <c r="E1229" s="867">
        <v>0</v>
      </c>
      <c r="F1229" s="867">
        <v>0</v>
      </c>
      <c r="G1229" s="867">
        <v>0</v>
      </c>
      <c r="H1229" s="867">
        <v>0.46700000000000003</v>
      </c>
      <c r="I1229" s="306">
        <v>6.2E-2</v>
      </c>
      <c r="J1229" s="95">
        <v>0.32900000000000001</v>
      </c>
    </row>
    <row r="1230" spans="2:10" ht="15" thickTop="1">
      <c r="B1230" s="2025" t="s">
        <v>2048</v>
      </c>
      <c r="C1230" s="2025"/>
      <c r="D1230" s="2025"/>
      <c r="E1230" s="2025"/>
      <c r="F1230" s="2025"/>
      <c r="G1230" s="2025"/>
      <c r="H1230" s="2025"/>
      <c r="I1230" s="2025"/>
      <c r="J1230" s="2025"/>
    </row>
    <row r="1231" spans="2:10">
      <c r="B1231" s="2066" t="s">
        <v>2062</v>
      </c>
      <c r="C1231" s="2066"/>
      <c r="D1231" s="2066"/>
      <c r="E1231" s="2066"/>
      <c r="F1231" s="2066"/>
      <c r="G1231" s="2066"/>
      <c r="H1231" s="2066"/>
      <c r="I1231" s="2066"/>
      <c r="J1231" s="2066"/>
    </row>
    <row r="1232" spans="2:10">
      <c r="B1232" s="64"/>
      <c r="C1232" s="339"/>
      <c r="D1232" s="302"/>
      <c r="E1232" s="302"/>
      <c r="F1232" s="302"/>
      <c r="G1232" s="302"/>
      <c r="H1232" s="302"/>
      <c r="I1232" s="302"/>
      <c r="J1232" s="439"/>
    </row>
    <row r="1233" spans="2:18">
      <c r="B1233" s="2100" t="s">
        <v>129</v>
      </c>
      <c r="C1233" s="2100"/>
      <c r="D1233" s="2100"/>
      <c r="E1233" s="2100"/>
      <c r="F1233" s="2100"/>
      <c r="G1233" s="2100"/>
      <c r="H1233" s="2100"/>
      <c r="I1233" s="2100"/>
      <c r="J1233" s="2100"/>
    </row>
    <row r="1234" spans="2:18">
      <c r="B1234" s="12" t="s">
        <v>128</v>
      </c>
      <c r="C1234" s="339"/>
      <c r="D1234" s="302"/>
      <c r="E1234" s="302"/>
      <c r="F1234" s="302"/>
      <c r="G1234" s="302"/>
      <c r="H1234" s="302"/>
      <c r="I1234" s="302"/>
      <c r="J1234" s="439"/>
    </row>
    <row r="1235" spans="2:18">
      <c r="B1235" s="62" t="s">
        <v>127</v>
      </c>
      <c r="C1235" s="339"/>
      <c r="D1235" s="302"/>
      <c r="E1235" s="302"/>
      <c r="F1235" s="302"/>
      <c r="G1235" s="302"/>
      <c r="H1235" s="302"/>
      <c r="I1235" s="302"/>
      <c r="J1235" s="439"/>
    </row>
    <row r="1236" spans="2:18">
      <c r="B1236" s="62"/>
      <c r="C1236" s="339"/>
      <c r="D1236" s="302"/>
      <c r="E1236" s="302"/>
      <c r="F1236" s="302"/>
      <c r="G1236" s="302"/>
      <c r="H1236" s="302"/>
      <c r="I1236" s="302"/>
      <c r="J1236" s="439"/>
    </row>
    <row r="1237" spans="2:18">
      <c r="B1237" s="61"/>
      <c r="C1237" s="1536">
        <v>2014</v>
      </c>
      <c r="D1237" s="303">
        <v>2015</v>
      </c>
      <c r="E1237" s="303">
        <v>2016</v>
      </c>
      <c r="F1237" s="303">
        <v>2017</v>
      </c>
      <c r="G1237" s="303">
        <v>2018</v>
      </c>
      <c r="H1237" s="303">
        <v>2019</v>
      </c>
      <c r="I1237" s="303">
        <v>2020</v>
      </c>
      <c r="J1237" s="303">
        <v>2021</v>
      </c>
      <c r="L1237" s="1388">
        <v>5799.89</v>
      </c>
      <c r="M1237" s="1388">
        <v>5759.23</v>
      </c>
      <c r="N1237" s="1388">
        <v>5579.97</v>
      </c>
      <c r="O1237" s="1388">
        <v>5960.14</v>
      </c>
      <c r="P1237" s="1388">
        <v>6442.33</v>
      </c>
      <c r="Q1237" s="1388">
        <v>6891.96</v>
      </c>
      <c r="R1237" s="1388">
        <v>7322.9</v>
      </c>
    </row>
    <row r="1238" spans="2:18">
      <c r="B1238" s="71" t="s">
        <v>124</v>
      </c>
      <c r="C1238" s="306"/>
      <c r="D1238" s="306"/>
      <c r="E1238" s="306"/>
      <c r="F1238" s="306"/>
      <c r="G1238" s="306"/>
      <c r="H1238" s="306"/>
      <c r="I1238" s="306"/>
      <c r="J1238" s="306"/>
    </row>
    <row r="1239" spans="2:18">
      <c r="B1239" s="71"/>
      <c r="C1239" s="1561"/>
      <c r="D1239" s="1561"/>
      <c r="E1239" s="1561"/>
      <c r="F1239" s="1561"/>
      <c r="G1239" s="1561"/>
      <c r="H1239" s="1561"/>
      <c r="I1239" s="1561"/>
      <c r="J1239" s="1561"/>
    </row>
    <row r="1240" spans="2:18">
      <c r="B1240" s="59" t="s">
        <v>2063</v>
      </c>
      <c r="C1240" s="1561">
        <v>125.46966533977913</v>
      </c>
      <c r="D1240" s="1561">
        <v>152.94772831898536</v>
      </c>
      <c r="E1240" s="1561">
        <v>146.65033346471665</v>
      </c>
      <c r="F1240" s="1561">
        <v>148.01334057351562</v>
      </c>
      <c r="G1240" s="1561">
        <v>348.40792330381498</v>
      </c>
      <c r="H1240" s="1561">
        <v>217.24593431258566</v>
      </c>
      <c r="I1240" s="1561">
        <v>255.01221713416794</v>
      </c>
      <c r="J1240" s="95">
        <v>431.79341517704739</v>
      </c>
    </row>
    <row r="1241" spans="2:18">
      <c r="B1241" s="54" t="s">
        <v>124</v>
      </c>
      <c r="C1241" s="306">
        <v>125.37257403349651</v>
      </c>
      <c r="D1241" s="306">
        <v>152.94772831898536</v>
      </c>
      <c r="E1241" s="306">
        <v>106.01642927960857</v>
      </c>
      <c r="F1241" s="306">
        <v>56.756577544323711</v>
      </c>
      <c r="G1241" s="306">
        <v>268.65895767549085</v>
      </c>
      <c r="H1241" s="306">
        <v>125.62225157668111</v>
      </c>
      <c r="I1241" s="306">
        <v>132.74496659876147</v>
      </c>
      <c r="J1241" s="95">
        <v>136.35212825519946</v>
      </c>
    </row>
    <row r="1242" spans="2:18">
      <c r="B1242" s="54" t="s">
        <v>123</v>
      </c>
      <c r="C1242" s="306">
        <v>125.37257403349651</v>
      </c>
      <c r="D1242" s="306">
        <v>152.94772831898536</v>
      </c>
      <c r="E1242" s="306">
        <v>106.01642927960857</v>
      </c>
      <c r="F1242" s="306">
        <v>56.756577544323711</v>
      </c>
      <c r="G1242" s="306">
        <v>268.65895767549085</v>
      </c>
      <c r="H1242" s="306">
        <v>125.62225157668111</v>
      </c>
      <c r="I1242" s="306">
        <v>132.74496659876147</v>
      </c>
      <c r="J1242" s="95">
        <v>136.35212825519946</v>
      </c>
    </row>
    <row r="1243" spans="2:18">
      <c r="B1243" s="52" t="s">
        <v>121</v>
      </c>
      <c r="C1243" s="306">
        <v>117.932952689591</v>
      </c>
      <c r="D1243" s="306">
        <v>152.89600320006068</v>
      </c>
      <c r="E1243" s="306">
        <v>96.071870718828734</v>
      </c>
      <c r="F1243" s="306">
        <v>56.720735057715359</v>
      </c>
      <c r="G1243" s="306">
        <v>202.44826463807897</v>
      </c>
      <c r="H1243" s="306">
        <v>124.30285316026965</v>
      </c>
      <c r="I1243" s="306">
        <v>128.04775419474285</v>
      </c>
      <c r="J1243" s="95">
        <v>107.1979680181349</v>
      </c>
    </row>
    <row r="1244" spans="2:18">
      <c r="B1244" s="53" t="s">
        <v>120</v>
      </c>
      <c r="C1244" s="306">
        <v>7.4396213439054986</v>
      </c>
      <c r="D1244" s="306">
        <v>5.1725118924669258E-2</v>
      </c>
      <c r="E1244" s="306">
        <v>9.9445585607798268</v>
      </c>
      <c r="F1244" s="306">
        <v>3.5842486608350939E-2</v>
      </c>
      <c r="G1244" s="306">
        <v>66.210693037411872</v>
      </c>
      <c r="H1244" s="306">
        <v>1.3193984164114536</v>
      </c>
      <c r="I1244" s="306">
        <v>4.6972124040185959</v>
      </c>
      <c r="J1244" s="95">
        <v>29.154160237064552</v>
      </c>
    </row>
    <row r="1245" spans="2:18">
      <c r="B1245" s="53" t="s">
        <v>119</v>
      </c>
      <c r="C1245" s="306">
        <v>0</v>
      </c>
      <c r="D1245" s="306">
        <v>0</v>
      </c>
      <c r="E1245" s="306">
        <v>0</v>
      </c>
      <c r="F1245" s="306">
        <v>0</v>
      </c>
      <c r="G1245" s="306">
        <v>0</v>
      </c>
      <c r="H1245" s="306">
        <v>0</v>
      </c>
      <c r="I1245" s="306">
        <v>0</v>
      </c>
      <c r="J1245" s="306">
        <v>0</v>
      </c>
    </row>
    <row r="1246" spans="2:18">
      <c r="B1246" s="52" t="s">
        <v>118</v>
      </c>
      <c r="C1246" s="306">
        <v>0</v>
      </c>
      <c r="D1246" s="306">
        <v>0</v>
      </c>
      <c r="E1246" s="306">
        <v>0</v>
      </c>
      <c r="F1246" s="306">
        <v>0</v>
      </c>
      <c r="G1246" s="306">
        <v>0</v>
      </c>
      <c r="H1246" s="306">
        <v>0</v>
      </c>
      <c r="I1246" s="306">
        <v>0</v>
      </c>
      <c r="J1246" s="306">
        <v>0</v>
      </c>
    </row>
    <row r="1247" spans="2:18">
      <c r="B1247" s="52" t="s">
        <v>117</v>
      </c>
      <c r="C1247" s="306"/>
      <c r="D1247" s="306"/>
      <c r="E1247" s="306"/>
      <c r="F1247" s="306"/>
      <c r="G1247" s="306"/>
      <c r="H1247" s="306"/>
      <c r="I1247" s="306"/>
    </row>
    <row r="1248" spans="2:18">
      <c r="B1248" s="52"/>
      <c r="C1248" s="306">
        <v>9.7091306282616613E-2</v>
      </c>
      <c r="D1248" s="306"/>
      <c r="E1248" s="306"/>
      <c r="F1248" s="306"/>
      <c r="G1248" s="306"/>
      <c r="H1248" s="306"/>
      <c r="I1248" s="306"/>
    </row>
    <row r="1249" spans="2:10">
      <c r="B1249" s="54" t="s">
        <v>122</v>
      </c>
      <c r="C1249" s="306">
        <v>9.7091306282616613E-2</v>
      </c>
      <c r="D1249" s="306">
        <v>0</v>
      </c>
      <c r="E1249" s="306">
        <v>40.633904185108079</v>
      </c>
      <c r="F1249" s="306">
        <v>91.256763029191916</v>
      </c>
      <c r="G1249" s="306">
        <v>79.748965628324157</v>
      </c>
      <c r="H1249" s="306">
        <v>91.623682735904552</v>
      </c>
      <c r="I1249" s="306">
        <v>122.26725053540648</v>
      </c>
      <c r="J1249" s="95">
        <v>295.4412869218479</v>
      </c>
    </row>
    <row r="1250" spans="2:10">
      <c r="B1250" s="52" t="s">
        <v>121</v>
      </c>
      <c r="C1250" s="306">
        <v>0</v>
      </c>
      <c r="D1250" s="306">
        <v>0</v>
      </c>
      <c r="E1250" s="306">
        <v>40.633904185108079</v>
      </c>
      <c r="F1250" s="306">
        <v>91.256763029191916</v>
      </c>
      <c r="G1250" s="306">
        <v>79.748965628324157</v>
      </c>
      <c r="H1250" s="306">
        <v>91.623682735904552</v>
      </c>
      <c r="I1250" s="306">
        <v>122.26725053540648</v>
      </c>
      <c r="J1250" s="95">
        <v>295.4412869218479</v>
      </c>
    </row>
    <row r="1251" spans="2:10">
      <c r="B1251" s="53" t="s">
        <v>120</v>
      </c>
      <c r="C1251" s="306">
        <v>9.7091306282616613E-2</v>
      </c>
      <c r="D1251" s="306">
        <v>0</v>
      </c>
      <c r="E1251" s="306">
        <v>6.0772012925338981</v>
      </c>
      <c r="F1251" s="306">
        <v>91.256763029191916</v>
      </c>
      <c r="G1251" s="306">
        <v>79.748965628324157</v>
      </c>
      <c r="H1251" s="306">
        <v>13.349207507221767</v>
      </c>
      <c r="I1251" s="306">
        <v>7.2548302659910968</v>
      </c>
      <c r="J1251" s="95">
        <v>0</v>
      </c>
    </row>
    <row r="1252" spans="2:10">
      <c r="B1252" s="53" t="s">
        <v>119</v>
      </c>
      <c r="C1252" s="306">
        <v>0</v>
      </c>
      <c r="D1252" s="306">
        <v>0</v>
      </c>
      <c r="E1252" s="306">
        <v>34.556702892574187</v>
      </c>
      <c r="F1252" s="306">
        <v>0</v>
      </c>
      <c r="G1252" s="306">
        <v>0</v>
      </c>
      <c r="H1252" s="306">
        <v>78.274475228682789</v>
      </c>
      <c r="I1252" s="306">
        <v>115.01242026941537</v>
      </c>
      <c r="J1252" s="95">
        <v>295.4412869218479</v>
      </c>
    </row>
    <row r="1253" spans="2:10">
      <c r="B1253" s="52" t="s">
        <v>118</v>
      </c>
      <c r="C1253" s="306">
        <v>0</v>
      </c>
      <c r="D1253" s="306">
        <v>0</v>
      </c>
      <c r="E1253" s="306">
        <v>0</v>
      </c>
      <c r="F1253" s="306">
        <v>0</v>
      </c>
      <c r="G1253" s="306">
        <v>0</v>
      </c>
      <c r="H1253" s="306">
        <v>0</v>
      </c>
      <c r="I1253" s="306">
        <v>0</v>
      </c>
      <c r="J1253" s="306">
        <v>0</v>
      </c>
    </row>
    <row r="1254" spans="2:10">
      <c r="B1254" s="52" t="s">
        <v>117</v>
      </c>
      <c r="C1254" s="306"/>
      <c r="D1254" s="306"/>
      <c r="E1254" s="306"/>
      <c r="F1254" s="306"/>
      <c r="G1254" s="306"/>
      <c r="H1254" s="306"/>
      <c r="I1254" s="306"/>
    </row>
    <row r="1255" spans="2:10">
      <c r="B1255" s="52"/>
      <c r="C1255" s="339"/>
      <c r="D1255" s="339"/>
      <c r="E1255" s="339"/>
      <c r="F1255" s="339"/>
      <c r="G1255" s="339"/>
      <c r="H1255" s="339"/>
      <c r="I1255" s="1561"/>
    </row>
    <row r="1256" spans="2:10">
      <c r="B1256" s="59" t="s">
        <v>1319</v>
      </c>
      <c r="C1256" s="306">
        <v>0</v>
      </c>
      <c r="D1256" s="306">
        <v>0</v>
      </c>
      <c r="E1256" s="306">
        <v>0</v>
      </c>
      <c r="F1256" s="306">
        <v>0</v>
      </c>
      <c r="G1256" s="306">
        <v>0</v>
      </c>
      <c r="H1256" s="306">
        <v>0</v>
      </c>
      <c r="I1256" s="306">
        <v>0</v>
      </c>
      <c r="J1256" s="306">
        <v>0</v>
      </c>
    </row>
    <row r="1257" spans="2:10">
      <c r="B1257" s="54" t="s">
        <v>124</v>
      </c>
      <c r="C1257" s="306">
        <v>0</v>
      </c>
      <c r="D1257" s="306">
        <v>0</v>
      </c>
      <c r="E1257" s="306">
        <v>0</v>
      </c>
      <c r="F1257" s="306">
        <v>0</v>
      </c>
      <c r="G1257" s="306">
        <v>0</v>
      </c>
      <c r="H1257" s="306">
        <v>0</v>
      </c>
      <c r="I1257" s="306">
        <v>0</v>
      </c>
      <c r="J1257" s="306">
        <v>0</v>
      </c>
    </row>
    <row r="1258" spans="2:10">
      <c r="B1258" s="54" t="s">
        <v>123</v>
      </c>
      <c r="C1258" s="306">
        <v>0</v>
      </c>
      <c r="D1258" s="306">
        <v>0</v>
      </c>
      <c r="E1258" s="306">
        <v>0</v>
      </c>
      <c r="F1258" s="306">
        <v>0</v>
      </c>
      <c r="G1258" s="306">
        <v>0</v>
      </c>
      <c r="H1258" s="306">
        <v>0</v>
      </c>
      <c r="I1258" s="306">
        <v>0</v>
      </c>
      <c r="J1258" s="306">
        <v>0</v>
      </c>
    </row>
    <row r="1259" spans="2:10">
      <c r="B1259" s="52" t="s">
        <v>121</v>
      </c>
      <c r="C1259" s="306">
        <v>0</v>
      </c>
      <c r="D1259" s="306">
        <v>0</v>
      </c>
      <c r="E1259" s="306">
        <v>0</v>
      </c>
      <c r="F1259" s="306">
        <v>0</v>
      </c>
      <c r="G1259" s="306">
        <v>0</v>
      </c>
      <c r="H1259" s="306">
        <v>0</v>
      </c>
      <c r="I1259" s="306">
        <v>0</v>
      </c>
      <c r="J1259" s="306">
        <v>0</v>
      </c>
    </row>
    <row r="1260" spans="2:10">
      <c r="B1260" s="53" t="s">
        <v>120</v>
      </c>
      <c r="C1260" s="306">
        <v>0</v>
      </c>
      <c r="D1260" s="306">
        <v>0</v>
      </c>
      <c r="E1260" s="306">
        <v>0</v>
      </c>
      <c r="F1260" s="306">
        <v>0</v>
      </c>
      <c r="G1260" s="306">
        <v>0</v>
      </c>
      <c r="H1260" s="306">
        <v>0</v>
      </c>
      <c r="I1260" s="306">
        <v>0</v>
      </c>
      <c r="J1260" s="306">
        <v>0</v>
      </c>
    </row>
    <row r="1261" spans="2:10">
      <c r="B1261" s="53" t="s">
        <v>119</v>
      </c>
      <c r="C1261" s="306">
        <v>0</v>
      </c>
      <c r="D1261" s="306">
        <v>0</v>
      </c>
      <c r="E1261" s="306">
        <v>0</v>
      </c>
      <c r="F1261" s="306">
        <v>0</v>
      </c>
      <c r="G1261" s="306">
        <v>0</v>
      </c>
      <c r="H1261" s="306">
        <v>0</v>
      </c>
      <c r="I1261" s="306">
        <v>0</v>
      </c>
      <c r="J1261" s="306">
        <v>0</v>
      </c>
    </row>
    <row r="1262" spans="2:10">
      <c r="B1262" s="52" t="s">
        <v>118</v>
      </c>
      <c r="C1262" s="306"/>
      <c r="D1262" s="306"/>
      <c r="E1262" s="306"/>
      <c r="F1262" s="306"/>
      <c r="G1262" s="306"/>
      <c r="H1262" s="306"/>
      <c r="I1262" s="306"/>
    </row>
    <row r="1263" spans="2:10">
      <c r="B1263" s="52" t="s">
        <v>117</v>
      </c>
      <c r="C1263" s="306"/>
      <c r="D1263" s="306"/>
      <c r="E1263" s="306"/>
      <c r="F1263" s="306"/>
      <c r="G1263" s="306"/>
      <c r="H1263" s="306"/>
      <c r="I1263" s="306"/>
    </row>
    <row r="1264" spans="2:10">
      <c r="B1264" s="52"/>
      <c r="C1264" s="339"/>
      <c r="D1264" s="339"/>
      <c r="E1264" s="339"/>
      <c r="F1264" s="339"/>
      <c r="G1264" s="339"/>
      <c r="H1264" s="339"/>
      <c r="I1264" s="1561"/>
    </row>
    <row r="1265" spans="2:10">
      <c r="B1265" s="54" t="s">
        <v>122</v>
      </c>
      <c r="C1265" s="306">
        <v>0</v>
      </c>
      <c r="D1265" s="306">
        <v>422.05350081294642</v>
      </c>
      <c r="E1265" s="306">
        <v>562.5453085954199</v>
      </c>
      <c r="F1265" s="306">
        <v>500.89605130547289</v>
      </c>
      <c r="G1265" s="306">
        <v>605.06972957430526</v>
      </c>
      <c r="H1265" s="306">
        <v>951.69895237903063</v>
      </c>
      <c r="I1265" s="306">
        <v>1934.7204568801908</v>
      </c>
      <c r="J1265" s="95">
        <v>3359.2188886916388</v>
      </c>
    </row>
    <row r="1266" spans="2:10">
      <c r="B1266" s="52" t="s">
        <v>121</v>
      </c>
      <c r="C1266" s="306">
        <v>0</v>
      </c>
      <c r="D1266" s="306">
        <v>422.05350081294642</v>
      </c>
      <c r="E1266" s="306">
        <v>562.5453085954199</v>
      </c>
      <c r="F1266" s="306">
        <v>500.89605130547289</v>
      </c>
      <c r="G1266" s="306">
        <v>605.06972957430526</v>
      </c>
      <c r="H1266" s="306">
        <v>912.77373278984476</v>
      </c>
      <c r="I1266" s="306">
        <v>1897.0117354134381</v>
      </c>
      <c r="J1266" s="95">
        <v>3106.7841975173769</v>
      </c>
    </row>
    <row r="1267" spans="2:10">
      <c r="B1267" s="53" t="s">
        <v>120</v>
      </c>
      <c r="C1267" s="306">
        <v>0</v>
      </c>
      <c r="D1267" s="306">
        <v>0</v>
      </c>
      <c r="E1267" s="306">
        <v>0</v>
      </c>
      <c r="F1267" s="306">
        <v>3.591088518397052</v>
      </c>
      <c r="G1267" s="306">
        <v>9.7836211422886024</v>
      </c>
      <c r="H1267" s="306">
        <v>15.239579476990468</v>
      </c>
      <c r="I1267" s="306">
        <v>17.311621077313276</v>
      </c>
      <c r="J1267" s="95">
        <v>0</v>
      </c>
    </row>
    <row r="1268" spans="2:10">
      <c r="B1268" s="53" t="s">
        <v>119</v>
      </c>
      <c r="C1268" s="306">
        <v>0</v>
      </c>
      <c r="D1268" s="306">
        <v>422.05350081294642</v>
      </c>
      <c r="E1268" s="306">
        <v>562.5453085954199</v>
      </c>
      <c r="F1268" s="306">
        <v>497.30496278707591</v>
      </c>
      <c r="G1268" s="306">
        <v>595.2861084320167</v>
      </c>
      <c r="H1268" s="306">
        <v>912.77373278984476</v>
      </c>
      <c r="I1268" s="306">
        <v>1879.7001143361249</v>
      </c>
      <c r="J1268" s="95">
        <v>3106.7841975173769</v>
      </c>
    </row>
    <row r="1269" spans="2:10">
      <c r="B1269" s="52" t="s">
        <v>118</v>
      </c>
      <c r="C1269" s="306">
        <v>0</v>
      </c>
      <c r="D1269" s="306">
        <v>0</v>
      </c>
      <c r="E1269" s="306">
        <v>0</v>
      </c>
      <c r="F1269" s="306">
        <v>0</v>
      </c>
      <c r="G1269" s="306">
        <v>0</v>
      </c>
      <c r="H1269" s="306">
        <v>22.710113117924728</v>
      </c>
      <c r="I1269" s="306">
        <v>37.24034962478018</v>
      </c>
      <c r="J1269" s="95">
        <v>230.08698739570389</v>
      </c>
    </row>
    <row r="1270" spans="2:10" ht="15" thickBot="1">
      <c r="B1270" s="50" t="s">
        <v>117</v>
      </c>
      <c r="C1270" s="306">
        <v>0</v>
      </c>
      <c r="D1270" s="306">
        <v>0</v>
      </c>
      <c r="E1270" s="306">
        <v>0</v>
      </c>
      <c r="F1270" s="306">
        <v>0</v>
      </c>
      <c r="G1270" s="306">
        <v>0</v>
      </c>
      <c r="H1270" s="306">
        <v>16.215106471261176</v>
      </c>
      <c r="I1270" s="306">
        <v>0.46837184197238524</v>
      </c>
      <c r="J1270" s="95">
        <v>22.347703778557676</v>
      </c>
    </row>
    <row r="1271" spans="2:10" ht="15" thickTop="1">
      <c r="B1271" s="2025" t="s">
        <v>2059</v>
      </c>
      <c r="C1271" s="2025"/>
      <c r="D1271" s="2025"/>
      <c r="E1271" s="2025"/>
      <c r="F1271" s="2025"/>
      <c r="G1271" s="2025"/>
      <c r="H1271" s="2025"/>
      <c r="I1271" s="2025"/>
      <c r="J1271" s="2025"/>
    </row>
    <row r="1272" spans="2:10">
      <c r="B1272" s="2066" t="s">
        <v>2049</v>
      </c>
      <c r="C1272" s="2066"/>
      <c r="D1272" s="2066"/>
      <c r="E1272" s="2066"/>
      <c r="F1272" s="2066"/>
      <c r="G1272" s="2066"/>
      <c r="H1272" s="2066"/>
      <c r="I1272" s="2066"/>
      <c r="J1272" s="2066"/>
    </row>
    <row r="1273" spans="2:10">
      <c r="B1273" s="302"/>
      <c r="C1273" s="339"/>
      <c r="D1273" s="302"/>
      <c r="E1273" s="302"/>
      <c r="F1273" s="302"/>
      <c r="G1273" s="302"/>
      <c r="H1273" s="302"/>
      <c r="I1273" s="302"/>
      <c r="J1273" s="439"/>
    </row>
    <row r="1274" spans="2:10">
      <c r="B1274" s="2100" t="s">
        <v>115</v>
      </c>
      <c r="C1274" s="2100"/>
      <c r="D1274" s="2100"/>
      <c r="E1274" s="2100"/>
      <c r="F1274" s="2100"/>
      <c r="G1274" s="2100"/>
      <c r="H1274" s="2100"/>
      <c r="I1274" s="2100"/>
      <c r="J1274" s="2100"/>
    </row>
    <row r="1275" spans="2:10">
      <c r="B1275" s="12" t="s">
        <v>114</v>
      </c>
      <c r="C1275" s="339"/>
      <c r="D1275" s="302"/>
      <c r="E1275" s="302"/>
      <c r="F1275" s="302"/>
      <c r="G1275" s="302"/>
      <c r="H1275" s="302"/>
      <c r="I1275" s="302"/>
      <c r="J1275" s="439"/>
    </row>
    <row r="1276" spans="2:10">
      <c r="B1276" s="302"/>
      <c r="C1276" s="339"/>
      <c r="D1276" s="302"/>
      <c r="E1276" s="302"/>
      <c r="F1276" s="302"/>
      <c r="G1276" s="302"/>
      <c r="H1276" s="302"/>
      <c r="I1276" s="302"/>
      <c r="J1276" s="439"/>
    </row>
    <row r="1277" spans="2:10">
      <c r="B1277" s="2109" t="s">
        <v>11</v>
      </c>
      <c r="C1277" s="2138" t="s">
        <v>604</v>
      </c>
      <c r="D1277" s="2109" t="s">
        <v>113</v>
      </c>
      <c r="E1277" s="2111" t="s">
        <v>24</v>
      </c>
      <c r="F1277" s="2109" t="s">
        <v>112</v>
      </c>
      <c r="G1277" s="2109" t="s">
        <v>111</v>
      </c>
      <c r="H1277" s="2111" t="s">
        <v>110</v>
      </c>
      <c r="I1277" s="1326"/>
      <c r="J1277" s="2140"/>
    </row>
    <row r="1278" spans="2:10">
      <c r="B1278" s="2110"/>
      <c r="C1278" s="2139"/>
      <c r="D1278" s="2110"/>
      <c r="E1278" s="2110"/>
      <c r="F1278" s="2110"/>
      <c r="G1278" s="2110"/>
      <c r="H1278" s="2110"/>
      <c r="I1278" s="341"/>
      <c r="J1278" s="2141"/>
    </row>
    <row r="1279" spans="2:10" ht="15" thickBot="1">
      <c r="B1279" s="1611" t="s">
        <v>1255</v>
      </c>
      <c r="C1279" s="321" t="s">
        <v>2064</v>
      </c>
      <c r="D1279" s="250" t="s">
        <v>2065</v>
      </c>
      <c r="E1279" s="1041" t="s">
        <v>1</v>
      </c>
      <c r="F1279" s="1612" t="s">
        <v>1256</v>
      </c>
      <c r="G1279" s="1041" t="s">
        <v>103</v>
      </c>
      <c r="H1279" s="1041" t="s">
        <v>102</v>
      </c>
      <c r="I1279" s="1041"/>
      <c r="J1279" s="1613"/>
    </row>
    <row r="1280" spans="2:10" ht="15" thickTop="1">
      <c r="B1280" s="2127"/>
      <c r="C1280" s="2127"/>
      <c r="D1280" s="2127"/>
      <c r="E1280" s="302"/>
      <c r="F1280" s="302"/>
      <c r="G1280" s="302"/>
      <c r="H1280" s="302"/>
      <c r="I1280" s="302"/>
      <c r="J1280" s="439"/>
    </row>
    <row r="1281" spans="2:10">
      <c r="B1281" s="2109" t="s">
        <v>11</v>
      </c>
      <c r="C1281" s="2138" t="s">
        <v>610</v>
      </c>
      <c r="D1281" s="2111" t="s">
        <v>101</v>
      </c>
      <c r="E1281" s="2111" t="s">
        <v>100</v>
      </c>
      <c r="F1281" s="2111" t="s">
        <v>99</v>
      </c>
      <c r="G1281" s="2109" t="s">
        <v>98</v>
      </c>
      <c r="H1281" s="2109"/>
      <c r="I1281" s="2109"/>
      <c r="J1281" s="2109"/>
    </row>
    <row r="1282" spans="2:10">
      <c r="B1282" s="2110"/>
      <c r="C1282" s="2139"/>
      <c r="D1282" s="2110"/>
      <c r="E1282" s="2110"/>
      <c r="F1282" s="2110"/>
      <c r="G1282" s="352" t="s">
        <v>97</v>
      </c>
      <c r="H1282" s="352" t="s">
        <v>96</v>
      </c>
      <c r="I1282" s="352"/>
      <c r="J1282" s="1614"/>
    </row>
    <row r="1283" spans="2:10" ht="15" thickBot="1">
      <c r="B1283" s="1611" t="s">
        <v>1255</v>
      </c>
      <c r="C1283" s="1615">
        <v>0</v>
      </c>
      <c r="D1283" s="1616">
        <v>0.83333333333333337</v>
      </c>
      <c r="E1283" s="1041" t="s">
        <v>1225</v>
      </c>
      <c r="F1283" s="1616">
        <v>0.83333333333333337</v>
      </c>
      <c r="G1283" s="1616">
        <v>0.33333333333333331</v>
      </c>
      <c r="H1283" s="1617">
        <v>0.83333333333333337</v>
      </c>
      <c r="I1283" s="1618"/>
      <c r="J1283" s="1613"/>
    </row>
    <row r="1284" spans="2:10" ht="15" thickTop="1">
      <c r="B1284" s="2127" t="s">
        <v>2066</v>
      </c>
      <c r="C1284" s="2112"/>
      <c r="D1284" s="2112"/>
      <c r="E1284" s="302"/>
      <c r="F1284" s="302"/>
      <c r="G1284" s="302"/>
      <c r="H1284" s="302"/>
      <c r="I1284" s="302"/>
      <c r="J1284" s="439"/>
    </row>
    <row r="1285" spans="2:10">
      <c r="B1285" s="2123"/>
      <c r="C1285" s="2123"/>
      <c r="D1285" s="2123"/>
      <c r="E1285" s="302"/>
      <c r="F1285" s="302"/>
      <c r="G1285" s="302"/>
      <c r="H1285" s="302"/>
      <c r="I1285" s="302"/>
      <c r="J1285" s="439"/>
    </row>
    <row r="1286" spans="2:10">
      <c r="B1286" s="302"/>
      <c r="C1286" s="339"/>
      <c r="D1286" s="302"/>
      <c r="E1286" s="302"/>
      <c r="F1286" s="302"/>
      <c r="G1286" s="302"/>
      <c r="H1286" s="302"/>
      <c r="I1286" s="302"/>
      <c r="J1286" s="439"/>
    </row>
    <row r="1287" spans="2:10">
      <c r="B1287" s="2100" t="s">
        <v>76</v>
      </c>
      <c r="C1287" s="2100"/>
      <c r="D1287" s="2100"/>
      <c r="E1287" s="2100"/>
      <c r="F1287" s="2100"/>
      <c r="G1287" s="2100"/>
      <c r="H1287" s="2100"/>
      <c r="I1287" s="2100"/>
      <c r="J1287" s="2100"/>
    </row>
    <row r="1288" spans="2:10">
      <c r="B1288" s="12" t="s">
        <v>75</v>
      </c>
      <c r="C1288" s="339"/>
      <c r="D1288" s="302"/>
      <c r="E1288" s="302"/>
      <c r="F1288" s="302"/>
      <c r="G1288" s="302"/>
      <c r="H1288" s="302"/>
      <c r="I1288" s="302"/>
      <c r="J1288" s="439"/>
    </row>
    <row r="1289" spans="2:10">
      <c r="B1289" s="302"/>
      <c r="C1289" s="339"/>
      <c r="D1289" s="302"/>
      <c r="E1289" s="302"/>
      <c r="F1289" s="302"/>
      <c r="G1289" s="302"/>
      <c r="H1289" s="302"/>
      <c r="I1289" s="302"/>
      <c r="J1289" s="439"/>
    </row>
    <row r="1290" spans="2:10" ht="25">
      <c r="B1290" s="358" t="s">
        <v>11</v>
      </c>
      <c r="C1290" s="1619" t="s">
        <v>24</v>
      </c>
      <c r="D1290" s="359" t="s">
        <v>74</v>
      </c>
      <c r="E1290" s="359" t="s">
        <v>73</v>
      </c>
      <c r="F1290" s="359" t="s">
        <v>72</v>
      </c>
      <c r="G1290" s="359" t="s">
        <v>71</v>
      </c>
      <c r="H1290" s="302"/>
      <c r="I1290" s="302"/>
      <c r="J1290" s="439"/>
    </row>
    <row r="1291" spans="2:10" ht="15" thickBot="1">
      <c r="B1291" s="1611" t="s">
        <v>1306</v>
      </c>
      <c r="C1291" s="1615" t="s">
        <v>890</v>
      </c>
      <c r="D1291" s="1620" t="s">
        <v>2067</v>
      </c>
      <c r="E1291" s="1620" t="s">
        <v>2068</v>
      </c>
      <c r="F1291" s="1621">
        <v>8.3333333333333339</v>
      </c>
      <c r="G1291" s="1317" t="s">
        <v>1522</v>
      </c>
      <c r="H1291" s="363"/>
      <c r="I1291" s="363"/>
      <c r="J1291" s="1622"/>
    </row>
    <row r="1292" spans="2:10" ht="15" thickTop="1">
      <c r="B1292" s="2127" t="s">
        <v>2069</v>
      </c>
      <c r="C1292" s="2112"/>
      <c r="D1292" s="2112"/>
      <c r="E1292" s="302"/>
      <c r="F1292" s="302"/>
      <c r="G1292" s="302"/>
      <c r="H1292" s="302"/>
      <c r="I1292" s="302"/>
      <c r="J1292" s="439"/>
    </row>
    <row r="1293" spans="2:10">
      <c r="B1293" s="302"/>
      <c r="C1293" s="339"/>
      <c r="D1293" s="302"/>
      <c r="E1293" s="302"/>
      <c r="F1293" s="302"/>
      <c r="G1293" s="302"/>
      <c r="H1293" s="302"/>
      <c r="I1293" s="302"/>
      <c r="J1293" s="439"/>
    </row>
    <row r="1294" spans="2:10">
      <c r="B1294" s="2100" t="s">
        <v>52</v>
      </c>
      <c r="C1294" s="2100"/>
      <c r="D1294" s="2100"/>
      <c r="E1294" s="2100"/>
      <c r="F1294" s="2100"/>
      <c r="G1294" s="2100"/>
      <c r="H1294" s="2100"/>
      <c r="I1294" s="2100"/>
      <c r="J1294" s="2100"/>
    </row>
    <row r="1295" spans="2:10">
      <c r="B1295" s="12" t="s">
        <v>51</v>
      </c>
      <c r="C1295" s="339"/>
      <c r="D1295" s="302"/>
      <c r="E1295" s="302"/>
      <c r="F1295" s="302"/>
      <c r="G1295" s="302"/>
      <c r="H1295" s="302"/>
      <c r="I1295" s="302"/>
      <c r="J1295" s="439"/>
    </row>
    <row r="1296" spans="2:10">
      <c r="B1296" s="302"/>
      <c r="C1296" s="339"/>
      <c r="D1296" s="302"/>
      <c r="E1296" s="302"/>
      <c r="F1296" s="302"/>
      <c r="G1296" s="302"/>
      <c r="H1296" s="302"/>
      <c r="I1296" s="302"/>
      <c r="J1296" s="439"/>
    </row>
    <row r="1297" spans="2:10">
      <c r="B1297" s="2109" t="s">
        <v>38</v>
      </c>
      <c r="C1297" s="2145" t="s">
        <v>530</v>
      </c>
      <c r="D1297" s="2111" t="s">
        <v>24</v>
      </c>
      <c r="E1297" s="2111" t="s">
        <v>50</v>
      </c>
      <c r="F1297" s="2111" t="s">
        <v>49</v>
      </c>
      <c r="G1297" s="2111" t="s">
        <v>48</v>
      </c>
      <c r="H1297" s="2111" t="s">
        <v>47</v>
      </c>
      <c r="I1297" s="1326"/>
      <c r="J1297" s="2140"/>
    </row>
    <row r="1298" spans="2:10">
      <c r="B1298" s="2110"/>
      <c r="C1298" s="2146"/>
      <c r="D1298" s="2108"/>
      <c r="E1298" s="2108"/>
      <c r="F1298" s="2108"/>
      <c r="G1298" s="2108"/>
      <c r="H1298" s="2108"/>
      <c r="I1298" s="504"/>
      <c r="J1298" s="2142"/>
    </row>
    <row r="1299" spans="2:10" ht="15" thickBot="1">
      <c r="B1299" s="1611" t="s">
        <v>2070</v>
      </c>
      <c r="C1299" s="1623" t="s">
        <v>623</v>
      </c>
      <c r="D1299" s="362" t="s">
        <v>623</v>
      </c>
      <c r="E1299" s="362" t="s">
        <v>41</v>
      </c>
      <c r="F1299" s="362" t="s">
        <v>42</v>
      </c>
      <c r="G1299" s="362" t="s">
        <v>891</v>
      </c>
      <c r="H1299" s="362" t="s">
        <v>2071</v>
      </c>
      <c r="I1299" s="362"/>
      <c r="J1299" s="1624"/>
    </row>
    <row r="1300" spans="2:10" ht="15" thickTop="1">
      <c r="B1300" s="370"/>
      <c r="C1300" s="339"/>
      <c r="D1300" s="302"/>
      <c r="E1300" s="302"/>
      <c r="F1300" s="302"/>
      <c r="G1300" s="302"/>
      <c r="H1300" s="302"/>
      <c r="I1300" s="302"/>
      <c r="J1300" s="439"/>
    </row>
    <row r="1301" spans="2:10">
      <c r="B1301" s="2109" t="s">
        <v>38</v>
      </c>
      <c r="C1301" s="2138" t="s">
        <v>538</v>
      </c>
      <c r="D1301" s="2111" t="s">
        <v>37</v>
      </c>
      <c r="E1301" s="2111" t="s">
        <v>8</v>
      </c>
      <c r="F1301" s="2111" t="s">
        <v>36</v>
      </c>
      <c r="G1301" s="2113"/>
      <c r="H1301" s="2113"/>
      <c r="I1301" s="579"/>
      <c r="J1301" s="2143"/>
    </row>
    <row r="1302" spans="2:10">
      <c r="B1302" s="2110"/>
      <c r="C1302" s="2139"/>
      <c r="D1302" s="2110"/>
      <c r="E1302" s="2110"/>
      <c r="F1302" s="2110"/>
      <c r="G1302" s="2114"/>
      <c r="H1302" s="2114"/>
      <c r="I1302" s="342"/>
      <c r="J1302" s="2144"/>
    </row>
    <row r="1303" spans="2:10" ht="15" thickBot="1">
      <c r="B1303" s="1611" t="s">
        <v>2070</v>
      </c>
      <c r="C1303" s="1623" t="s">
        <v>1387</v>
      </c>
      <c r="D1303" s="255" t="s">
        <v>890</v>
      </c>
      <c r="E1303" s="362" t="s">
        <v>890</v>
      </c>
      <c r="F1303" s="362">
        <v>0</v>
      </c>
      <c r="G1303" s="239"/>
      <c r="H1303" s="239"/>
      <c r="I1303" s="239"/>
      <c r="J1303" s="1625"/>
    </row>
    <row r="1304" spans="2:10" ht="15" thickTop="1">
      <c r="B1304" s="370" t="s">
        <v>2072</v>
      </c>
      <c r="C1304" s="339"/>
      <c r="D1304" s="302"/>
      <c r="E1304" s="302"/>
      <c r="F1304" s="302"/>
      <c r="G1304" s="302"/>
      <c r="H1304" s="302"/>
      <c r="I1304" s="302"/>
      <c r="J1304" s="439"/>
    </row>
    <row r="1305" spans="2:10">
      <c r="B1305" s="1626"/>
      <c r="C1305" s="339"/>
      <c r="D1305" s="302"/>
      <c r="E1305" s="302"/>
      <c r="F1305" s="302"/>
      <c r="G1305" s="302"/>
      <c r="H1305" s="302"/>
      <c r="I1305" s="302"/>
      <c r="J1305" s="439"/>
    </row>
    <row r="1306" spans="2:10">
      <c r="B1306" s="302"/>
      <c r="C1306" s="339"/>
      <c r="D1306" s="302"/>
      <c r="E1306" s="302"/>
      <c r="F1306" s="302"/>
      <c r="G1306" s="302"/>
      <c r="H1306" s="302"/>
      <c r="I1306" s="302"/>
      <c r="J1306" s="439"/>
    </row>
    <row r="1307" spans="2:10">
      <c r="B1307" s="2100" t="s">
        <v>26</v>
      </c>
      <c r="C1307" s="2100"/>
      <c r="D1307" s="2100"/>
      <c r="E1307" s="2100"/>
      <c r="F1307" s="2100"/>
      <c r="G1307" s="2100"/>
      <c r="H1307" s="2100"/>
      <c r="I1307" s="2100"/>
      <c r="J1307" s="2100"/>
    </row>
    <row r="1308" spans="2:10">
      <c r="B1308" s="12" t="s">
        <v>25</v>
      </c>
      <c r="C1308" s="339"/>
      <c r="D1308" s="302"/>
      <c r="E1308" s="302"/>
      <c r="F1308" s="302"/>
      <c r="G1308" s="302"/>
      <c r="H1308" s="302"/>
      <c r="I1308" s="302"/>
      <c r="J1308" s="439"/>
    </row>
    <row r="1309" spans="2:10">
      <c r="B1309" s="302"/>
      <c r="C1309" s="339"/>
      <c r="D1309" s="302"/>
      <c r="E1309" s="302"/>
      <c r="F1309" s="302"/>
      <c r="G1309" s="302"/>
      <c r="H1309" s="302"/>
      <c r="I1309" s="302"/>
      <c r="J1309" s="439"/>
    </row>
    <row r="1310" spans="2:10">
      <c r="B1310" s="2109" t="s">
        <v>11</v>
      </c>
      <c r="C1310" s="2145" t="s">
        <v>541</v>
      </c>
      <c r="D1310" s="2111" t="s">
        <v>24</v>
      </c>
      <c r="E1310" s="2111" t="s">
        <v>23</v>
      </c>
      <c r="F1310" s="2111" t="s">
        <v>22</v>
      </c>
      <c r="G1310" s="2111" t="s">
        <v>21</v>
      </c>
      <c r="H1310" s="2111" t="s">
        <v>20</v>
      </c>
      <c r="I1310" s="1326"/>
      <c r="J1310" s="2140"/>
    </row>
    <row r="1311" spans="2:10">
      <c r="B1311" s="2110"/>
      <c r="C1311" s="2139"/>
      <c r="D1311" s="2110"/>
      <c r="E1311" s="2110"/>
      <c r="F1311" s="2110"/>
      <c r="G1311" s="2110"/>
      <c r="H1311" s="2110"/>
      <c r="I1311" s="341"/>
      <c r="J1311" s="2141"/>
    </row>
    <row r="1312" spans="2:10">
      <c r="B1312" s="1611" t="s">
        <v>2073</v>
      </c>
      <c r="C1312" s="250" t="s">
        <v>2074</v>
      </c>
      <c r="D1312" s="250" t="s">
        <v>890</v>
      </c>
      <c r="E1312" s="250" t="s">
        <v>2075</v>
      </c>
      <c r="F1312" s="509">
        <v>0.84027777777777779</v>
      </c>
      <c r="G1312" s="250" t="s">
        <v>1522</v>
      </c>
      <c r="H1312" s="250" t="s">
        <v>1380</v>
      </c>
      <c r="I1312" s="240"/>
      <c r="J1312" s="1627"/>
    </row>
    <row r="1313" spans="2:10" ht="15" thickBot="1">
      <c r="B1313" s="1611" t="s">
        <v>1319</v>
      </c>
      <c r="C1313" s="250" t="s">
        <v>2076</v>
      </c>
      <c r="D1313" s="250" t="s">
        <v>1368</v>
      </c>
      <c r="E1313" s="250" t="s">
        <v>2077</v>
      </c>
      <c r="F1313" s="509">
        <v>0.72916666666666663</v>
      </c>
      <c r="G1313" s="250">
        <v>2</v>
      </c>
      <c r="H1313" s="250" t="s">
        <v>1372</v>
      </c>
      <c r="I1313" s="251"/>
      <c r="J1313" s="1628"/>
    </row>
    <row r="1314" spans="2:10" ht="15" thickTop="1">
      <c r="B1314" s="370"/>
      <c r="C1314" s="339"/>
      <c r="D1314" s="302"/>
      <c r="E1314" s="302"/>
      <c r="F1314" s="302"/>
      <c r="G1314" s="302"/>
      <c r="H1314" s="302"/>
      <c r="I1314" s="302"/>
      <c r="J1314" s="439"/>
    </row>
    <row r="1315" spans="2:10">
      <c r="B1315" s="2109" t="s">
        <v>11</v>
      </c>
      <c r="C1315" s="2138" t="s">
        <v>546</v>
      </c>
      <c r="D1315" s="2111" t="s">
        <v>10</v>
      </c>
      <c r="E1315" s="2111" t="s">
        <v>9</v>
      </c>
      <c r="F1315" s="2111" t="s">
        <v>8</v>
      </c>
      <c r="G1315" s="2113"/>
      <c r="H1315" s="2113"/>
      <c r="I1315" s="579"/>
      <c r="J1315" s="2143"/>
    </row>
    <row r="1316" spans="2:10">
      <c r="B1316" s="2110"/>
      <c r="C1316" s="2139"/>
      <c r="D1316" s="2110"/>
      <c r="E1316" s="2110"/>
      <c r="F1316" s="2110"/>
      <c r="G1316" s="2114"/>
      <c r="H1316" s="2114"/>
      <c r="I1316" s="342"/>
      <c r="J1316" s="2144"/>
    </row>
    <row r="1317" spans="2:10">
      <c r="B1317" s="1611" t="s">
        <v>2073</v>
      </c>
      <c r="C1317" s="250" t="s">
        <v>2078</v>
      </c>
      <c r="D1317" s="258" t="s">
        <v>2078</v>
      </c>
      <c r="E1317" s="250" t="s">
        <v>1387</v>
      </c>
      <c r="F1317" s="1321" t="s">
        <v>890</v>
      </c>
      <c r="G1317" s="240"/>
      <c r="H1317" s="240"/>
      <c r="I1317" s="240"/>
      <c r="J1317" s="1627"/>
    </row>
    <row r="1318" spans="2:10" ht="15" thickBot="1">
      <c r="B1318" s="1611" t="s">
        <v>1319</v>
      </c>
      <c r="C1318" s="250" t="s">
        <v>1371</v>
      </c>
      <c r="D1318" s="507" t="s">
        <v>2079</v>
      </c>
      <c r="E1318" s="250" t="s">
        <v>2080</v>
      </c>
      <c r="F1318" s="1321" t="s">
        <v>5</v>
      </c>
      <c r="G1318" s="240"/>
      <c r="H1318" s="240"/>
      <c r="I1318" s="240"/>
      <c r="J1318" s="1627"/>
    </row>
    <row r="1319" spans="2:10" ht="15" thickTop="1">
      <c r="B1319" s="370" t="s">
        <v>2081</v>
      </c>
      <c r="C1319" s="339"/>
      <c r="D1319" s="302"/>
      <c r="E1319" s="302"/>
      <c r="F1319" s="302"/>
      <c r="G1319" s="302"/>
      <c r="H1319" s="302"/>
      <c r="I1319" s="302"/>
      <c r="J1319" s="439"/>
    </row>
    <row r="1320" spans="2:10">
      <c r="B1320" s="367"/>
      <c r="C1320" s="339"/>
      <c r="D1320" s="302"/>
      <c r="E1320" s="302"/>
      <c r="F1320" s="302"/>
      <c r="G1320" s="302"/>
      <c r="H1320" s="302"/>
      <c r="I1320" s="302"/>
      <c r="J1320" s="439"/>
    </row>
    <row r="1321" spans="2:10">
      <c r="B1321" s="302"/>
      <c r="C1321" s="339"/>
      <c r="D1321" s="302"/>
      <c r="E1321" s="302"/>
      <c r="F1321" s="302"/>
      <c r="G1321" s="302"/>
      <c r="H1321" s="302"/>
      <c r="I1321" s="302"/>
      <c r="J1321" s="439"/>
    </row>
    <row r="1322" spans="2:10">
      <c r="B1322" s="2100" t="s">
        <v>765</v>
      </c>
      <c r="C1322" s="2100"/>
      <c r="D1322" s="2100"/>
      <c r="E1322" s="2100"/>
      <c r="F1322" s="2100"/>
      <c r="G1322" s="2100"/>
      <c r="H1322" s="2100"/>
      <c r="I1322" s="2100"/>
      <c r="J1322" s="2100"/>
    </row>
    <row r="1323" spans="2:10">
      <c r="B1323" s="12" t="s">
        <v>764</v>
      </c>
      <c r="C1323" s="339"/>
      <c r="D1323" s="302"/>
      <c r="E1323" s="302"/>
      <c r="F1323" s="302"/>
      <c r="G1323" s="302"/>
      <c r="H1323" s="302"/>
      <c r="I1323" s="302"/>
      <c r="J1323" s="439"/>
    </row>
    <row r="1324" spans="2:10">
      <c r="B1324" s="1274" t="s">
        <v>269</v>
      </c>
      <c r="C1324" s="339"/>
      <c r="D1324" s="302"/>
      <c r="E1324" s="302"/>
      <c r="F1324" s="302"/>
      <c r="G1324" s="302"/>
      <c r="H1324" s="302"/>
      <c r="I1324" s="302"/>
      <c r="J1324" s="439"/>
    </row>
    <row r="1325" spans="2:10">
      <c r="B1325" s="302"/>
      <c r="C1325" s="339"/>
      <c r="D1325" s="302"/>
      <c r="E1325" s="302"/>
      <c r="F1325" s="302"/>
      <c r="G1325" s="302"/>
      <c r="H1325" s="302"/>
      <c r="I1325" s="302"/>
      <c r="J1325" s="439"/>
    </row>
    <row r="1326" spans="2:10">
      <c r="B1326" s="61"/>
      <c r="C1326" s="1536">
        <v>2014</v>
      </c>
      <c r="D1326" s="303">
        <v>2015</v>
      </c>
      <c r="E1326" s="303">
        <v>2016</v>
      </c>
      <c r="F1326" s="303">
        <v>2017</v>
      </c>
      <c r="G1326" s="303">
        <v>2018</v>
      </c>
      <c r="H1326" s="303">
        <v>2019</v>
      </c>
      <c r="I1326" s="303"/>
      <c r="J1326" s="1597">
        <v>2020</v>
      </c>
    </row>
    <row r="1327" spans="2:10">
      <c r="B1327" s="188" t="s">
        <v>329</v>
      </c>
      <c r="C1327" s="321">
        <v>1</v>
      </c>
      <c r="D1327" s="321">
        <v>1</v>
      </c>
      <c r="E1327" s="321">
        <v>1</v>
      </c>
      <c r="F1327" s="321">
        <v>1</v>
      </c>
      <c r="G1327" s="321">
        <v>1</v>
      </c>
      <c r="H1327" s="321">
        <v>1</v>
      </c>
      <c r="I1327" s="321"/>
      <c r="J1327" s="306"/>
    </row>
    <row r="1328" spans="2:10">
      <c r="B1328" s="188" t="s">
        <v>2082</v>
      </c>
      <c r="C1328" s="321">
        <v>28</v>
      </c>
      <c r="D1328" s="321">
        <v>29</v>
      </c>
      <c r="E1328" s="321">
        <v>26</v>
      </c>
      <c r="F1328" s="321">
        <v>26</v>
      </c>
      <c r="G1328" s="321">
        <v>26</v>
      </c>
      <c r="H1328" s="321">
        <v>25</v>
      </c>
      <c r="I1328" s="321"/>
      <c r="J1328" s="306"/>
    </row>
    <row r="1329" spans="2:10">
      <c r="B1329" s="188" t="s">
        <v>260</v>
      </c>
      <c r="C1329" s="321">
        <v>16</v>
      </c>
      <c r="D1329" s="321">
        <v>17</v>
      </c>
      <c r="E1329" s="321">
        <v>17</v>
      </c>
      <c r="F1329" s="321">
        <v>17</v>
      </c>
      <c r="G1329" s="321">
        <v>17</v>
      </c>
      <c r="H1329" s="321">
        <v>17</v>
      </c>
      <c r="I1329" s="321"/>
      <c r="J1329" s="306"/>
    </row>
    <row r="1330" spans="2:10" ht="15" thickBot="1">
      <c r="B1330" s="1274" t="s">
        <v>2083</v>
      </c>
      <c r="C1330" s="158">
        <v>12</v>
      </c>
      <c r="D1330" s="158">
        <v>12</v>
      </c>
      <c r="E1330" s="158">
        <v>9</v>
      </c>
      <c r="F1330" s="158">
        <v>9</v>
      </c>
      <c r="G1330" s="158">
        <v>9</v>
      </c>
      <c r="H1330" s="158">
        <v>8</v>
      </c>
      <c r="I1330" s="158"/>
      <c r="J1330" s="306"/>
    </row>
    <row r="1331" spans="2:10" ht="15" thickTop="1">
      <c r="B1331" s="2025" t="s">
        <v>2084</v>
      </c>
      <c r="C1331" s="2025"/>
      <c r="D1331" s="2025"/>
      <c r="E1331" s="2025"/>
      <c r="F1331" s="2025"/>
      <c r="G1331" s="2025"/>
      <c r="H1331" s="2025"/>
      <c r="I1331" s="2025"/>
      <c r="J1331" s="2025"/>
    </row>
    <row r="1332" spans="2:10">
      <c r="B1332" s="2017"/>
      <c r="C1332" s="2017"/>
      <c r="D1332" s="2017"/>
      <c r="E1332" s="2017"/>
      <c r="F1332" s="2017"/>
      <c r="G1332" s="2017"/>
      <c r="H1332" s="2017"/>
      <c r="I1332" s="2017"/>
      <c r="J1332" s="2017"/>
    </row>
    <row r="1333" spans="2:10">
      <c r="B1333" s="302"/>
      <c r="C1333" s="339"/>
      <c r="D1333" s="302"/>
      <c r="E1333" s="302"/>
      <c r="F1333" s="302"/>
      <c r="G1333" s="302"/>
      <c r="H1333" s="302"/>
      <c r="I1333" s="302"/>
      <c r="J1333" s="439"/>
    </row>
    <row r="1334" spans="2:10">
      <c r="B1334" s="2100" t="s">
        <v>767</v>
      </c>
      <c r="C1334" s="2100"/>
      <c r="D1334" s="2100"/>
      <c r="E1334" s="2100"/>
      <c r="F1334" s="2100"/>
      <c r="G1334" s="2100"/>
      <c r="H1334" s="2100"/>
      <c r="I1334" s="2100"/>
      <c r="J1334" s="2100"/>
    </row>
    <row r="1335" spans="2:10">
      <c r="B1335" s="12" t="s">
        <v>766</v>
      </c>
      <c r="C1335" s="339"/>
      <c r="D1335" s="302"/>
      <c r="E1335" s="302"/>
      <c r="F1335" s="302"/>
      <c r="G1335" s="302"/>
      <c r="H1335" s="302"/>
      <c r="I1335" s="302"/>
      <c r="J1335" s="439"/>
    </row>
    <row r="1336" spans="2:10">
      <c r="B1336" s="1274" t="s">
        <v>269</v>
      </c>
      <c r="C1336" s="339"/>
      <c r="D1336" s="302"/>
      <c r="E1336" s="302"/>
      <c r="F1336" s="302"/>
      <c r="G1336" s="302"/>
      <c r="H1336" s="302"/>
      <c r="I1336" s="302"/>
      <c r="J1336" s="439"/>
    </row>
    <row r="1337" spans="2:10">
      <c r="B1337" s="302"/>
      <c r="C1337" s="339"/>
      <c r="D1337" s="302"/>
      <c r="E1337" s="302"/>
      <c r="F1337" s="302"/>
      <c r="G1337" s="302"/>
      <c r="H1337" s="302"/>
      <c r="I1337" s="302"/>
      <c r="J1337" s="439"/>
    </row>
    <row r="1338" spans="2:10">
      <c r="B1338" s="61"/>
      <c r="C1338" s="1536">
        <v>2014</v>
      </c>
      <c r="D1338" s="303">
        <v>2015</v>
      </c>
      <c r="E1338" s="303">
        <v>2016</v>
      </c>
      <c r="F1338" s="303">
        <v>2017</v>
      </c>
      <c r="G1338" s="303">
        <v>2018</v>
      </c>
      <c r="H1338" s="303">
        <v>2019</v>
      </c>
      <c r="I1338" s="303"/>
      <c r="J1338" s="1597">
        <v>2020</v>
      </c>
    </row>
    <row r="1339" spans="2:10">
      <c r="B1339" s="188" t="s">
        <v>329</v>
      </c>
      <c r="C1339" s="321">
        <v>1</v>
      </c>
      <c r="D1339" s="321">
        <v>1</v>
      </c>
      <c r="E1339" s="321">
        <v>1</v>
      </c>
      <c r="F1339" s="321">
        <v>1</v>
      </c>
      <c r="G1339" s="321">
        <v>1</v>
      </c>
      <c r="H1339" s="321">
        <v>1</v>
      </c>
      <c r="I1339" s="321"/>
      <c r="J1339" s="306"/>
    </row>
    <row r="1340" spans="2:10">
      <c r="B1340" s="188" t="s">
        <v>2082</v>
      </c>
      <c r="C1340" s="321">
        <v>638</v>
      </c>
      <c r="D1340" s="321">
        <v>655</v>
      </c>
      <c r="E1340" s="321">
        <v>653</v>
      </c>
      <c r="F1340" s="321">
        <v>641</v>
      </c>
      <c r="G1340" s="321">
        <v>637</v>
      </c>
      <c r="H1340" s="321">
        <v>601</v>
      </c>
      <c r="I1340" s="321"/>
      <c r="J1340" s="306"/>
    </row>
    <row r="1341" spans="2:10">
      <c r="B1341" s="188" t="s">
        <v>260</v>
      </c>
      <c r="C1341" s="321">
        <v>470</v>
      </c>
      <c r="D1341" s="321">
        <v>542</v>
      </c>
      <c r="E1341" s="321">
        <v>547</v>
      </c>
      <c r="F1341" s="321">
        <v>547</v>
      </c>
      <c r="G1341" s="321">
        <v>549</v>
      </c>
      <c r="H1341" s="321">
        <v>533</v>
      </c>
      <c r="I1341" s="321"/>
      <c r="J1341" s="306"/>
    </row>
    <row r="1342" spans="2:10" ht="15" thickBot="1">
      <c r="B1342" s="1274" t="s">
        <v>2083</v>
      </c>
      <c r="C1342" s="321">
        <v>168</v>
      </c>
      <c r="D1342" s="321">
        <v>113</v>
      </c>
      <c r="E1342" s="321">
        <v>106</v>
      </c>
      <c r="F1342" s="321">
        <v>94</v>
      </c>
      <c r="G1342" s="321">
        <v>88</v>
      </c>
      <c r="H1342" s="321">
        <v>68</v>
      </c>
      <c r="I1342" s="321"/>
      <c r="J1342" s="306"/>
    </row>
    <row r="1343" spans="2:10" ht="15" thickTop="1">
      <c r="B1343" s="2025" t="s">
        <v>2084</v>
      </c>
      <c r="C1343" s="2025"/>
      <c r="D1343" s="2025"/>
      <c r="E1343" s="2025"/>
      <c r="F1343" s="2025"/>
      <c r="G1343" s="2025"/>
      <c r="H1343" s="2025"/>
      <c r="I1343" s="2025"/>
      <c r="J1343" s="2025"/>
    </row>
    <row r="1344" spans="2:10">
      <c r="B1344" s="2017"/>
      <c r="C1344" s="2017"/>
      <c r="D1344" s="2017"/>
      <c r="E1344" s="2017"/>
      <c r="F1344" s="2017"/>
      <c r="G1344" s="2017"/>
      <c r="H1344" s="2017"/>
      <c r="I1344" s="2017"/>
      <c r="J1344" s="2017"/>
    </row>
    <row r="1345" spans="2:10">
      <c r="B1345" s="302"/>
      <c r="C1345" s="339"/>
      <c r="D1345" s="302"/>
      <c r="E1345" s="302"/>
      <c r="F1345" s="302"/>
      <c r="G1345" s="302"/>
      <c r="H1345" s="302"/>
      <c r="I1345" s="302"/>
      <c r="J1345" s="439"/>
    </row>
    <row r="1346" spans="2:10">
      <c r="B1346" s="2100" t="s">
        <v>769</v>
      </c>
      <c r="C1346" s="2100"/>
      <c r="D1346" s="2100"/>
      <c r="E1346" s="2100"/>
      <c r="F1346" s="2100"/>
      <c r="G1346" s="2100"/>
      <c r="H1346" s="2100"/>
      <c r="I1346" s="2100"/>
      <c r="J1346" s="2100"/>
    </row>
    <row r="1347" spans="2:10">
      <c r="B1347" s="12" t="s">
        <v>768</v>
      </c>
      <c r="C1347" s="339"/>
      <c r="D1347" s="302"/>
      <c r="E1347" s="302"/>
      <c r="F1347" s="302"/>
      <c r="G1347" s="302"/>
      <c r="H1347" s="302"/>
      <c r="I1347" s="302"/>
      <c r="J1347" s="439"/>
    </row>
    <row r="1348" spans="2:10">
      <c r="B1348" s="1274" t="s">
        <v>269</v>
      </c>
      <c r="C1348" s="339"/>
      <c r="D1348" s="302"/>
      <c r="E1348" s="302"/>
      <c r="F1348" s="302"/>
      <c r="G1348" s="302"/>
      <c r="H1348" s="302"/>
      <c r="I1348" s="302"/>
      <c r="J1348" s="439"/>
    </row>
    <row r="1349" spans="2:10">
      <c r="B1349" s="302"/>
      <c r="C1349" s="339"/>
      <c r="D1349" s="302"/>
      <c r="E1349" s="302"/>
      <c r="F1349" s="302"/>
      <c r="G1349" s="302"/>
      <c r="H1349" s="302"/>
      <c r="I1349" s="302"/>
      <c r="J1349" s="439"/>
    </row>
    <row r="1350" spans="2:10">
      <c r="B1350" s="61"/>
      <c r="C1350" s="1536">
        <v>2014</v>
      </c>
      <c r="D1350" s="303">
        <v>2015</v>
      </c>
      <c r="E1350" s="303">
        <v>2016</v>
      </c>
      <c r="F1350" s="303">
        <v>2017</v>
      </c>
      <c r="G1350" s="303">
        <v>2018</v>
      </c>
      <c r="H1350" s="303">
        <v>2019</v>
      </c>
      <c r="I1350" s="303"/>
      <c r="J1350" s="1597">
        <v>2020</v>
      </c>
    </row>
    <row r="1351" spans="2:10">
      <c r="B1351" s="188" t="s">
        <v>329</v>
      </c>
      <c r="C1351" s="158">
        <v>0</v>
      </c>
      <c r="D1351" s="158">
        <v>0</v>
      </c>
      <c r="E1351" s="158">
        <v>0</v>
      </c>
      <c r="F1351" s="158">
        <v>0</v>
      </c>
      <c r="G1351" s="158">
        <v>0</v>
      </c>
      <c r="H1351" s="158">
        <v>0</v>
      </c>
      <c r="I1351" s="158"/>
      <c r="J1351" s="306"/>
    </row>
    <row r="1352" spans="2:10">
      <c r="B1352" s="188" t="s">
        <v>2082</v>
      </c>
      <c r="C1352" s="158">
        <v>13540</v>
      </c>
      <c r="D1352" s="158">
        <v>13383</v>
      </c>
      <c r="E1352" s="158">
        <v>12774</v>
      </c>
      <c r="F1352" s="158">
        <v>12485</v>
      </c>
      <c r="G1352" s="158">
        <v>12310</v>
      </c>
      <c r="H1352" s="158">
        <v>12242</v>
      </c>
      <c r="I1352" s="158"/>
      <c r="J1352" s="306"/>
    </row>
    <row r="1353" spans="2:10">
      <c r="B1353" s="188" t="s">
        <v>260</v>
      </c>
      <c r="C1353" s="158">
        <v>9697</v>
      </c>
      <c r="D1353" s="158">
        <v>10781</v>
      </c>
      <c r="E1353" s="158">
        <v>10486</v>
      </c>
      <c r="F1353" s="158">
        <v>10221</v>
      </c>
      <c r="G1353" s="158">
        <v>10113</v>
      </c>
      <c r="H1353" s="158">
        <v>10257</v>
      </c>
      <c r="I1353" s="158"/>
      <c r="J1353" s="306"/>
    </row>
    <row r="1354" spans="2:10" ht="15" thickBot="1">
      <c r="B1354" s="1274" t="s">
        <v>2083</v>
      </c>
      <c r="C1354" s="158">
        <v>3843</v>
      </c>
      <c r="D1354" s="158">
        <v>2602</v>
      </c>
      <c r="E1354" s="158">
        <v>2288</v>
      </c>
      <c r="F1354" s="158">
        <v>2264</v>
      </c>
      <c r="G1354" s="158">
        <v>2197</v>
      </c>
      <c r="H1354" s="158">
        <v>1985</v>
      </c>
      <c r="I1354" s="158"/>
      <c r="J1354" s="306"/>
    </row>
    <row r="1355" spans="2:10" ht="15" thickTop="1">
      <c r="B1355" s="2025" t="s">
        <v>2084</v>
      </c>
      <c r="C1355" s="2025"/>
      <c r="D1355" s="2025"/>
      <c r="E1355" s="2025"/>
      <c r="F1355" s="2025"/>
      <c r="G1355" s="2025"/>
      <c r="H1355" s="2025"/>
      <c r="I1355" s="2025"/>
      <c r="J1355" s="2025"/>
    </row>
    <row r="1356" spans="2:10">
      <c r="B1356" s="2017"/>
      <c r="C1356" s="2017"/>
      <c r="D1356" s="2017"/>
      <c r="E1356" s="2017"/>
      <c r="F1356" s="2017"/>
      <c r="G1356" s="2017"/>
      <c r="H1356" s="2017"/>
      <c r="I1356" s="2017"/>
      <c r="J1356" s="2017"/>
    </row>
    <row r="1357" spans="2:10">
      <c r="B1357" s="302"/>
      <c r="C1357" s="339"/>
      <c r="D1357" s="302"/>
      <c r="E1357" s="302"/>
      <c r="F1357" s="302"/>
      <c r="G1357" s="302"/>
      <c r="H1357" s="302"/>
      <c r="I1357" s="302"/>
      <c r="J1357" s="439"/>
    </row>
    <row r="1358" spans="2:10">
      <c r="B1358" s="2100" t="s">
        <v>772</v>
      </c>
      <c r="C1358" s="2100"/>
      <c r="D1358" s="2100"/>
      <c r="E1358" s="2100"/>
      <c r="F1358" s="2100"/>
      <c r="G1358" s="2100"/>
      <c r="H1358" s="2100"/>
      <c r="I1358" s="2100"/>
      <c r="J1358" s="2100"/>
    </row>
    <row r="1359" spans="2:10">
      <c r="B1359" s="12" t="s">
        <v>771</v>
      </c>
      <c r="C1359" s="339"/>
      <c r="D1359" s="302"/>
      <c r="E1359" s="302"/>
      <c r="F1359" s="302"/>
      <c r="G1359" s="302"/>
      <c r="H1359" s="302"/>
      <c r="I1359" s="302"/>
      <c r="J1359" s="439"/>
    </row>
    <row r="1360" spans="2:10">
      <c r="B1360" s="1274" t="s">
        <v>2085</v>
      </c>
      <c r="C1360" s="339"/>
      <c r="D1360" s="302"/>
      <c r="E1360" s="302"/>
      <c r="F1360" s="302"/>
      <c r="G1360" s="302"/>
      <c r="H1360" s="302"/>
      <c r="I1360" s="302"/>
      <c r="J1360" s="439"/>
    </row>
    <row r="1361" spans="2:10">
      <c r="B1361" s="1274"/>
      <c r="C1361" s="339"/>
      <c r="D1361" s="302"/>
      <c r="E1361" s="302"/>
      <c r="F1361" s="302"/>
      <c r="G1361" s="302"/>
      <c r="H1361" s="302"/>
      <c r="I1361" s="302"/>
      <c r="J1361" s="439"/>
    </row>
    <row r="1362" spans="2:10">
      <c r="B1362" s="61"/>
      <c r="C1362" s="1536">
        <v>2014</v>
      </c>
      <c r="D1362" s="303">
        <v>2015</v>
      </c>
      <c r="E1362" s="303">
        <v>2016</v>
      </c>
      <c r="F1362" s="303">
        <v>2017</v>
      </c>
      <c r="G1362" s="303">
        <v>2018</v>
      </c>
      <c r="H1362" s="303">
        <v>2019</v>
      </c>
      <c r="I1362" s="303"/>
      <c r="J1362" s="1597">
        <v>2020</v>
      </c>
    </row>
    <row r="1363" spans="2:10">
      <c r="B1363" s="188" t="s">
        <v>329</v>
      </c>
      <c r="C1363" s="321">
        <v>0</v>
      </c>
      <c r="D1363" s="321">
        <v>0</v>
      </c>
      <c r="E1363" s="321">
        <v>0</v>
      </c>
      <c r="F1363" s="321">
        <v>0</v>
      </c>
      <c r="G1363" s="321">
        <v>0</v>
      </c>
      <c r="H1363" s="321">
        <v>0</v>
      </c>
      <c r="I1363" s="321"/>
      <c r="J1363" s="306"/>
    </row>
    <row r="1364" spans="2:10">
      <c r="B1364" s="188" t="s">
        <v>2082</v>
      </c>
      <c r="C1364" s="999">
        <v>20.378067543322729</v>
      </c>
      <c r="D1364" s="999">
        <v>18.979787261536021</v>
      </c>
      <c r="E1364" s="999">
        <v>19.742088812124493</v>
      </c>
      <c r="F1364" s="999">
        <v>21.779229106673341</v>
      </c>
      <c r="G1364" s="999">
        <v>22.370794439722861</v>
      </c>
      <c r="H1364" s="999">
        <v>22.272851009600117</v>
      </c>
      <c r="I1364" s="999"/>
      <c r="J1364" s="999"/>
    </row>
    <row r="1365" spans="2:10">
      <c r="B1365" s="188" t="s">
        <v>260</v>
      </c>
      <c r="C1365" s="306">
        <v>19.311244903443704</v>
      </c>
      <c r="D1365" s="304">
        <v>18.269543526591598</v>
      </c>
      <c r="E1365" s="304">
        <v>18.953950893573356</v>
      </c>
      <c r="F1365" s="304">
        <v>20.847755645852494</v>
      </c>
      <c r="G1365" s="304">
        <v>21.3671151392446</v>
      </c>
      <c r="H1365" s="304">
        <v>21.488088034002587</v>
      </c>
      <c r="I1365" s="304"/>
      <c r="J1365" s="304"/>
    </row>
    <row r="1366" spans="2:10" ht="15" thickBot="1">
      <c r="B1366" s="1274" t="s">
        <v>2083</v>
      </c>
      <c r="C1366" s="306">
        <v>1.0668226398790235</v>
      </c>
      <c r="D1366" s="304">
        <v>0.71024373494442494</v>
      </c>
      <c r="E1366" s="304">
        <v>0.78813791855113546</v>
      </c>
      <c r="F1366" s="304">
        <v>0.93147346082084514</v>
      </c>
      <c r="G1366" s="304">
        <v>1.003679300478262</v>
      </c>
      <c r="H1366" s="304">
        <v>0.7847629755975275</v>
      </c>
      <c r="I1366" s="304"/>
      <c r="J1366" s="304"/>
    </row>
    <row r="1367" spans="2:10" ht="15" thickTop="1">
      <c r="B1367" s="2025" t="s">
        <v>2084</v>
      </c>
      <c r="C1367" s="2025"/>
      <c r="D1367" s="2025"/>
      <c r="E1367" s="2025"/>
      <c r="F1367" s="2025"/>
      <c r="G1367" s="2025"/>
      <c r="H1367" s="2025"/>
      <c r="I1367" s="2025"/>
      <c r="J1367" s="2025"/>
    </row>
    <row r="1368" spans="2:10">
      <c r="B1368" s="2017"/>
      <c r="C1368" s="2017"/>
      <c r="D1368" s="2017"/>
      <c r="E1368" s="2017"/>
      <c r="F1368" s="2017"/>
      <c r="G1368" s="2017"/>
      <c r="H1368" s="2017"/>
      <c r="I1368" s="2017"/>
      <c r="J1368" s="2017"/>
    </row>
    <row r="1369" spans="2:10">
      <c r="B1369" s="302"/>
      <c r="C1369" s="339"/>
      <c r="D1369" s="302"/>
      <c r="E1369" s="302"/>
      <c r="F1369" s="302"/>
      <c r="G1369" s="302"/>
      <c r="H1369" s="302"/>
      <c r="I1369" s="302"/>
      <c r="J1369" s="439"/>
    </row>
    <row r="1370" spans="2:10">
      <c r="B1370" s="2100" t="s">
        <v>774</v>
      </c>
      <c r="C1370" s="2100"/>
      <c r="D1370" s="2100"/>
      <c r="E1370" s="2100"/>
      <c r="F1370" s="2100"/>
      <c r="G1370" s="2100"/>
      <c r="H1370" s="2100"/>
      <c r="I1370" s="2100"/>
      <c r="J1370" s="2100"/>
    </row>
    <row r="1371" spans="2:10">
      <c r="B1371" s="12" t="s">
        <v>773</v>
      </c>
      <c r="C1371" s="339"/>
      <c r="D1371" s="302"/>
      <c r="E1371" s="302"/>
      <c r="F1371" s="302"/>
      <c r="G1371" s="302"/>
      <c r="H1371" s="302"/>
      <c r="I1371" s="302"/>
      <c r="J1371" s="439"/>
    </row>
    <row r="1372" spans="2:10">
      <c r="B1372" s="1274" t="s">
        <v>2085</v>
      </c>
      <c r="C1372" s="339"/>
      <c r="D1372" s="302"/>
      <c r="E1372" s="302"/>
      <c r="F1372" s="302"/>
      <c r="G1372" s="302"/>
      <c r="H1372" s="302"/>
      <c r="I1372" s="302"/>
      <c r="J1372" s="439"/>
    </row>
    <row r="1373" spans="2:10">
      <c r="B1373" s="302"/>
      <c r="C1373" s="339"/>
      <c r="D1373" s="302"/>
      <c r="E1373" s="302"/>
      <c r="F1373" s="302"/>
      <c r="G1373" s="302"/>
      <c r="H1373" s="302"/>
      <c r="I1373" s="302"/>
      <c r="J1373" s="439"/>
    </row>
    <row r="1374" spans="2:10">
      <c r="B1374" s="61"/>
      <c r="C1374" s="1536">
        <v>2014</v>
      </c>
      <c r="D1374" s="303">
        <v>2015</v>
      </c>
      <c r="E1374" s="303">
        <v>2016</v>
      </c>
      <c r="F1374" s="303">
        <v>2017</v>
      </c>
      <c r="G1374" s="303">
        <v>2018</v>
      </c>
      <c r="H1374" s="303">
        <v>2019</v>
      </c>
      <c r="I1374" s="303"/>
      <c r="J1374" s="1597">
        <v>2020</v>
      </c>
    </row>
    <row r="1375" spans="2:10">
      <c r="B1375" s="188" t="s">
        <v>329</v>
      </c>
      <c r="C1375" s="321">
        <v>0</v>
      </c>
      <c r="D1375" s="321">
        <v>0</v>
      </c>
      <c r="E1375" s="321">
        <v>0</v>
      </c>
      <c r="F1375" s="321">
        <v>0</v>
      </c>
      <c r="G1375" s="321">
        <v>0</v>
      </c>
      <c r="H1375" s="321">
        <v>0</v>
      </c>
      <c r="I1375" s="321"/>
      <c r="J1375" s="306"/>
    </row>
    <row r="1376" spans="2:10">
      <c r="B1376" s="188" t="s">
        <v>2082</v>
      </c>
      <c r="C1376" s="306">
        <v>14.545138055577736</v>
      </c>
      <c r="D1376" s="306">
        <v>13.218382754339228</v>
      </c>
      <c r="E1376" s="306">
        <v>14.224084224827614</v>
      </c>
      <c r="F1376" s="306">
        <v>15.789593391392113</v>
      </c>
      <c r="G1376" s="306">
        <v>15.756133537072218</v>
      </c>
      <c r="H1376" s="306">
        <v>16.089282184895769</v>
      </c>
      <c r="I1376" s="306"/>
      <c r="J1376" s="306"/>
    </row>
    <row r="1377" spans="2:10">
      <c r="B1377" s="188" t="s">
        <v>260</v>
      </c>
      <c r="C1377" s="306">
        <v>13.753697139613164</v>
      </c>
      <c r="D1377" s="306">
        <v>12.706662923999167</v>
      </c>
      <c r="E1377" s="306">
        <v>13.659567419448997</v>
      </c>
      <c r="F1377" s="306">
        <v>15.091981493382988</v>
      </c>
      <c r="G1377" s="306">
        <v>15.027747359617567</v>
      </c>
      <c r="H1377" s="306">
        <v>15.507274767467907</v>
      </c>
      <c r="I1377" s="306"/>
      <c r="J1377" s="306"/>
    </row>
    <row r="1378" spans="2:10" ht="15" thickBot="1">
      <c r="B1378" s="1274" t="s">
        <v>2083</v>
      </c>
      <c r="C1378" s="306">
        <v>0.79144091596457111</v>
      </c>
      <c r="D1378" s="306">
        <v>0.51171983034006041</v>
      </c>
      <c r="E1378" s="306">
        <v>0.56451680537861737</v>
      </c>
      <c r="F1378" s="306">
        <v>0.69761189800912438</v>
      </c>
      <c r="G1378" s="306">
        <v>0.72838617745465017</v>
      </c>
      <c r="H1378" s="306">
        <v>0.58200741742786455</v>
      </c>
      <c r="I1378" s="306"/>
      <c r="J1378" s="306"/>
    </row>
    <row r="1379" spans="2:10" ht="15" thickTop="1">
      <c r="B1379" s="2025" t="s">
        <v>2084</v>
      </c>
      <c r="C1379" s="2025"/>
      <c r="D1379" s="2025"/>
      <c r="E1379" s="2025"/>
      <c r="F1379" s="2025"/>
      <c r="G1379" s="2025"/>
      <c r="H1379" s="2025"/>
      <c r="I1379" s="2025"/>
      <c r="J1379" s="2025"/>
    </row>
    <row r="1380" spans="2:10">
      <c r="B1380" s="2017"/>
      <c r="C1380" s="2017"/>
      <c r="D1380" s="2017"/>
      <c r="E1380" s="2017"/>
      <c r="F1380" s="2017"/>
      <c r="G1380" s="2017"/>
      <c r="H1380" s="2017"/>
      <c r="I1380" s="2017"/>
      <c r="J1380" s="2017"/>
    </row>
    <row r="1381" spans="2:10">
      <c r="B1381" s="302"/>
      <c r="C1381" s="339"/>
      <c r="D1381" s="302"/>
      <c r="E1381" s="302"/>
      <c r="F1381" s="302"/>
      <c r="G1381" s="302"/>
      <c r="H1381" s="302"/>
      <c r="I1381" s="302"/>
      <c r="J1381" s="439"/>
    </row>
    <row r="1382" spans="2:10">
      <c r="B1382" s="2100" t="s">
        <v>776</v>
      </c>
      <c r="C1382" s="2100"/>
      <c r="D1382" s="2100"/>
      <c r="E1382" s="2100"/>
      <c r="F1382" s="2100"/>
      <c r="G1382" s="2100"/>
      <c r="H1382" s="2100"/>
      <c r="I1382" s="2100"/>
      <c r="J1382" s="2100"/>
    </row>
    <row r="1383" spans="2:10">
      <c r="B1383" s="12" t="s">
        <v>775</v>
      </c>
      <c r="C1383" s="339"/>
      <c r="D1383" s="302"/>
      <c r="E1383" s="302"/>
      <c r="F1383" s="302"/>
      <c r="G1383" s="302"/>
      <c r="H1383" s="302"/>
      <c r="I1383" s="302"/>
      <c r="J1383" s="439"/>
    </row>
    <row r="1384" spans="2:10">
      <c r="B1384" s="1274" t="s">
        <v>2085</v>
      </c>
      <c r="C1384" s="339"/>
      <c r="D1384" s="302"/>
      <c r="E1384" s="302"/>
      <c r="F1384" s="302"/>
      <c r="G1384" s="302"/>
      <c r="H1384" s="302"/>
      <c r="I1384" s="302"/>
      <c r="J1384" s="439"/>
    </row>
    <row r="1385" spans="2:10">
      <c r="B1385" s="302"/>
      <c r="C1385" s="339"/>
      <c r="D1385" s="302"/>
      <c r="E1385" s="302"/>
      <c r="F1385" s="302"/>
      <c r="G1385" s="302"/>
      <c r="H1385" s="302"/>
      <c r="I1385" s="302"/>
      <c r="J1385" s="439"/>
    </row>
    <row r="1386" spans="2:10">
      <c r="B1386" s="61"/>
      <c r="C1386" s="1536">
        <v>2014</v>
      </c>
      <c r="D1386" s="303">
        <v>2015</v>
      </c>
      <c r="E1386" s="303">
        <v>2016</v>
      </c>
      <c r="F1386" s="303">
        <v>2017</v>
      </c>
      <c r="G1386" s="303">
        <v>2018</v>
      </c>
      <c r="H1386" s="303">
        <v>2019</v>
      </c>
      <c r="I1386" s="303"/>
      <c r="J1386" s="1597">
        <v>2020</v>
      </c>
    </row>
    <row r="1387" spans="2:10">
      <c r="B1387" s="188" t="s">
        <v>329</v>
      </c>
      <c r="C1387" s="321">
        <v>0</v>
      </c>
      <c r="D1387" s="321">
        <v>0</v>
      </c>
      <c r="E1387" s="321">
        <v>0</v>
      </c>
      <c r="F1387" s="321">
        <v>0</v>
      </c>
      <c r="G1387" s="321">
        <v>0</v>
      </c>
      <c r="H1387" s="321">
        <v>0</v>
      </c>
      <c r="I1387" s="321"/>
      <c r="J1387" s="306"/>
    </row>
    <row r="1388" spans="2:10">
      <c r="B1388" s="188" t="s">
        <v>2082</v>
      </c>
      <c r="C1388" s="306">
        <v>13.177899568819761</v>
      </c>
      <c r="D1388" s="306">
        <v>12.754758487798942</v>
      </c>
      <c r="E1388" s="306">
        <v>12.893050328819257</v>
      </c>
      <c r="F1388" s="306">
        <v>13.885701526567169</v>
      </c>
      <c r="G1388" s="306">
        <v>15.017439510458837</v>
      </c>
      <c r="H1388" s="306">
        <v>15.227393530884667</v>
      </c>
      <c r="I1388" s="306"/>
      <c r="J1388" s="306"/>
    </row>
    <row r="1389" spans="2:10">
      <c r="B1389" s="188" t="s">
        <v>260</v>
      </c>
      <c r="C1389" s="306">
        <v>12.321953713538083</v>
      </c>
      <c r="D1389" s="306">
        <v>12.163939245081066</v>
      </c>
      <c r="E1389" s="306">
        <v>12.25272242361126</v>
      </c>
      <c r="F1389" s="306">
        <v>13.127440436660216</v>
      </c>
      <c r="G1389" s="306">
        <v>14.183773170719466</v>
      </c>
      <c r="H1389" s="306">
        <v>14.586813050085359</v>
      </c>
      <c r="I1389" s="306"/>
      <c r="J1389" s="306"/>
    </row>
    <row r="1390" spans="2:10" ht="15" thickBot="1">
      <c r="B1390" s="1274" t="s">
        <v>2083</v>
      </c>
      <c r="C1390" s="306">
        <v>0.85594585528167855</v>
      </c>
      <c r="D1390" s="306">
        <v>0.59081924271787578</v>
      </c>
      <c r="E1390" s="306">
        <v>0.64032790520799621</v>
      </c>
      <c r="F1390" s="306">
        <v>0.75826108990695418</v>
      </c>
      <c r="G1390" s="306">
        <v>0.83366633973937088</v>
      </c>
      <c r="H1390" s="306">
        <v>0.64058048079931007</v>
      </c>
      <c r="I1390" s="306"/>
      <c r="J1390" s="306"/>
    </row>
    <row r="1391" spans="2:10" ht="15" thickTop="1">
      <c r="B1391" s="2025" t="s">
        <v>2084</v>
      </c>
      <c r="C1391" s="2025"/>
      <c r="D1391" s="2025"/>
      <c r="E1391" s="2025"/>
      <c r="F1391" s="2025"/>
      <c r="G1391" s="2025"/>
      <c r="H1391" s="2025"/>
      <c r="I1391" s="2025"/>
      <c r="J1391" s="2025"/>
    </row>
    <row r="1392" spans="2:10">
      <c r="B1392" s="2017"/>
      <c r="C1392" s="2017"/>
      <c r="D1392" s="2017"/>
      <c r="E1392" s="2017"/>
      <c r="F1392" s="2017"/>
      <c r="G1392" s="2017"/>
      <c r="H1392" s="2017"/>
      <c r="I1392" s="2017"/>
      <c r="J1392" s="2017"/>
    </row>
    <row r="1393" spans="2:10">
      <c r="B1393" s="302"/>
      <c r="C1393" s="339"/>
      <c r="D1393" s="302"/>
      <c r="E1393" s="302"/>
      <c r="F1393" s="302"/>
      <c r="G1393" s="302"/>
      <c r="H1393" s="302"/>
      <c r="I1393" s="302"/>
      <c r="J1393" s="439"/>
    </row>
    <row r="1394" spans="2:10">
      <c r="B1394" s="2100" t="s">
        <v>778</v>
      </c>
      <c r="C1394" s="2100"/>
      <c r="D1394" s="2100"/>
      <c r="E1394" s="2100"/>
      <c r="F1394" s="2100"/>
      <c r="G1394" s="2100"/>
      <c r="H1394" s="2100"/>
      <c r="I1394" s="2100"/>
      <c r="J1394" s="2100"/>
    </row>
    <row r="1395" spans="2:10">
      <c r="B1395" s="12" t="s">
        <v>777</v>
      </c>
      <c r="C1395" s="339"/>
      <c r="D1395" s="302"/>
      <c r="E1395" s="302"/>
      <c r="F1395" s="302"/>
      <c r="G1395" s="302"/>
      <c r="H1395" s="302"/>
      <c r="I1395" s="302"/>
      <c r="J1395" s="439"/>
    </row>
    <row r="1396" spans="2:10">
      <c r="B1396" s="1274" t="s">
        <v>2085</v>
      </c>
      <c r="C1396" s="339"/>
      <c r="D1396" s="302"/>
      <c r="E1396" s="302"/>
      <c r="F1396" s="302"/>
      <c r="G1396" s="302"/>
      <c r="H1396" s="302"/>
      <c r="I1396" s="302"/>
      <c r="J1396" s="439"/>
    </row>
    <row r="1397" spans="2:10">
      <c r="B1397" s="302"/>
      <c r="C1397" s="339"/>
      <c r="D1397" s="302"/>
      <c r="E1397" s="302"/>
      <c r="F1397" s="302"/>
      <c r="G1397" s="302"/>
      <c r="H1397" s="302"/>
      <c r="I1397" s="302"/>
      <c r="J1397" s="439"/>
    </row>
    <row r="1398" spans="2:10">
      <c r="B1398" s="61"/>
      <c r="C1398" s="1536">
        <v>2014</v>
      </c>
      <c r="D1398" s="303">
        <v>2015</v>
      </c>
      <c r="E1398" s="303">
        <v>2016</v>
      </c>
      <c r="F1398" s="303">
        <v>2017</v>
      </c>
      <c r="G1398" s="303">
        <v>2018</v>
      </c>
      <c r="H1398" s="303">
        <v>2019</v>
      </c>
      <c r="I1398" s="303"/>
      <c r="J1398" s="1597">
        <v>2020</v>
      </c>
    </row>
    <row r="1399" spans="2:10">
      <c r="B1399" s="188" t="s">
        <v>329</v>
      </c>
      <c r="C1399" s="321">
        <v>0</v>
      </c>
      <c r="D1399" s="321">
        <v>0</v>
      </c>
      <c r="E1399" s="321">
        <v>0</v>
      </c>
      <c r="F1399" s="321">
        <v>0</v>
      </c>
      <c r="G1399" s="321">
        <v>0</v>
      </c>
      <c r="H1399" s="321">
        <v>0</v>
      </c>
      <c r="I1399" s="321"/>
      <c r="J1399" s="306"/>
    </row>
    <row r="1400" spans="2:10">
      <c r="B1400" s="188" t="s">
        <v>2082</v>
      </c>
      <c r="C1400" s="306">
        <v>2.2236949500008709</v>
      </c>
      <c r="D1400" s="306">
        <v>1.9940684493422991</v>
      </c>
      <c r="E1400" s="306">
        <v>2.2117075777246544</v>
      </c>
      <c r="F1400" s="306">
        <v>2.5089286534008481</v>
      </c>
      <c r="G1400" s="306">
        <v>2.6184917460909669</v>
      </c>
      <c r="H1400" s="306">
        <v>2.7070554772632898</v>
      </c>
      <c r="I1400" s="306"/>
      <c r="J1400" s="306"/>
    </row>
    <row r="1401" spans="2:10">
      <c r="B1401" s="188" t="s">
        <v>260</v>
      </c>
      <c r="C1401" s="306">
        <v>2.082237240139853</v>
      </c>
      <c r="D1401" s="306">
        <v>1.8990688679521466</v>
      </c>
      <c r="E1401" s="306">
        <v>2.1047016682283988</v>
      </c>
      <c r="F1401" s="306">
        <v>2.3836510217580633</v>
      </c>
      <c r="G1401" s="306">
        <v>2.4778030759479512</v>
      </c>
      <c r="H1401" s="306">
        <v>2.5913562850885348</v>
      </c>
      <c r="I1401" s="306"/>
      <c r="J1401" s="306"/>
    </row>
    <row r="1402" spans="2:10" ht="15" thickBot="1">
      <c r="B1402" s="1274" t="s">
        <v>2083</v>
      </c>
      <c r="C1402" s="306">
        <v>0.14145770986101749</v>
      </c>
      <c r="D1402" s="306">
        <v>9.4999581390152424E-2</v>
      </c>
      <c r="E1402" s="306">
        <v>0.10700590949625538</v>
      </c>
      <c r="F1402" s="306">
        <v>0.12527763164278496</v>
      </c>
      <c r="G1402" s="306">
        <v>0.14068867014301559</v>
      </c>
      <c r="H1402" s="306">
        <v>0.11569919217475523</v>
      </c>
      <c r="I1402" s="306"/>
      <c r="J1402" s="306"/>
    </row>
    <row r="1403" spans="2:10" ht="15" thickTop="1">
      <c r="B1403" s="2025" t="s">
        <v>2084</v>
      </c>
      <c r="C1403" s="2025"/>
      <c r="D1403" s="2025"/>
      <c r="E1403" s="2025"/>
      <c r="F1403" s="2025"/>
      <c r="G1403" s="2025"/>
      <c r="H1403" s="2025"/>
      <c r="I1403" s="2025"/>
      <c r="J1403" s="2025"/>
    </row>
    <row r="1404" spans="2:10">
      <c r="B1404" s="64"/>
      <c r="C1404" s="339"/>
      <c r="D1404" s="302"/>
      <c r="E1404" s="302"/>
      <c r="F1404" s="302"/>
      <c r="G1404" s="302"/>
      <c r="H1404" s="302"/>
      <c r="I1404" s="302"/>
      <c r="J1404" s="439"/>
    </row>
  </sheetData>
  <mergeCells count="129">
    <mergeCell ref="B1391:J1391"/>
    <mergeCell ref="B1392:J1392"/>
    <mergeCell ref="B1394:J1394"/>
    <mergeCell ref="B1403:J1403"/>
    <mergeCell ref="B1367:J1367"/>
    <mergeCell ref="B1368:J1368"/>
    <mergeCell ref="B1370:J1370"/>
    <mergeCell ref="B1379:J1379"/>
    <mergeCell ref="B1380:J1380"/>
    <mergeCell ref="B1382:J1382"/>
    <mergeCell ref="B1343:J1343"/>
    <mergeCell ref="B1344:J1344"/>
    <mergeCell ref="B1346:J1346"/>
    <mergeCell ref="B1355:J1355"/>
    <mergeCell ref="B1356:J1356"/>
    <mergeCell ref="B1358:J1358"/>
    <mergeCell ref="H1315:H1316"/>
    <mergeCell ref="J1315:J1316"/>
    <mergeCell ref="B1322:J1322"/>
    <mergeCell ref="B1331:J1331"/>
    <mergeCell ref="B1332:J1332"/>
    <mergeCell ref="B1334:J1334"/>
    <mergeCell ref="B1315:B1316"/>
    <mergeCell ref="C1315:C1316"/>
    <mergeCell ref="D1315:D1316"/>
    <mergeCell ref="E1315:E1316"/>
    <mergeCell ref="F1315:F1316"/>
    <mergeCell ref="G1315:G1316"/>
    <mergeCell ref="B1307:J1307"/>
    <mergeCell ref="B1310:B1311"/>
    <mergeCell ref="C1310:C1311"/>
    <mergeCell ref="D1310:D1311"/>
    <mergeCell ref="E1310:E1311"/>
    <mergeCell ref="F1310:F1311"/>
    <mergeCell ref="G1310:G1311"/>
    <mergeCell ref="H1310:H1311"/>
    <mergeCell ref="J1310:J1311"/>
    <mergeCell ref="H1297:H1298"/>
    <mergeCell ref="J1297:J1298"/>
    <mergeCell ref="B1301:B1302"/>
    <mergeCell ref="C1301:C1302"/>
    <mergeCell ref="D1301:D1302"/>
    <mergeCell ref="E1301:E1302"/>
    <mergeCell ref="F1301:F1302"/>
    <mergeCell ref="G1301:G1302"/>
    <mergeCell ref="H1301:H1302"/>
    <mergeCell ref="J1301:J1302"/>
    <mergeCell ref="B1297:B1298"/>
    <mergeCell ref="C1297:C1298"/>
    <mergeCell ref="D1297:D1298"/>
    <mergeCell ref="E1297:E1298"/>
    <mergeCell ref="F1297:F1298"/>
    <mergeCell ref="G1297:G1298"/>
    <mergeCell ref="G1281:J1281"/>
    <mergeCell ref="B1284:D1284"/>
    <mergeCell ref="B1285:D1285"/>
    <mergeCell ref="B1287:J1287"/>
    <mergeCell ref="B1292:D1292"/>
    <mergeCell ref="B1294:J1294"/>
    <mergeCell ref="B1280:D1280"/>
    <mergeCell ref="B1281:B1282"/>
    <mergeCell ref="C1281:C1282"/>
    <mergeCell ref="D1281:D1282"/>
    <mergeCell ref="E1281:E1282"/>
    <mergeCell ref="F1281:F1282"/>
    <mergeCell ref="B1272:J1272"/>
    <mergeCell ref="B1274:J1274"/>
    <mergeCell ref="B1277:B1278"/>
    <mergeCell ref="C1277:C1278"/>
    <mergeCell ref="D1277:D1278"/>
    <mergeCell ref="E1277:E1278"/>
    <mergeCell ref="F1277:F1278"/>
    <mergeCell ref="G1277:G1278"/>
    <mergeCell ref="H1277:H1278"/>
    <mergeCell ref="J1277:J1278"/>
    <mergeCell ref="B1191:J1191"/>
    <mergeCell ref="B1194:J1194"/>
    <mergeCell ref="B1230:J1230"/>
    <mergeCell ref="B1231:J1231"/>
    <mergeCell ref="B1233:J1233"/>
    <mergeCell ref="B1271:J1271"/>
    <mergeCell ref="B1137:J1137"/>
    <mergeCell ref="B1139:J1139"/>
    <mergeCell ref="B1159:J1159"/>
    <mergeCell ref="B1160:J1160"/>
    <mergeCell ref="B1162:J1162"/>
    <mergeCell ref="B1190:J1190"/>
    <mergeCell ref="B988:J988"/>
    <mergeCell ref="B1035:J1035"/>
    <mergeCell ref="B1038:J1038"/>
    <mergeCell ref="B1085:J1085"/>
    <mergeCell ref="B1088:J1088"/>
    <mergeCell ref="B1136:J1136"/>
    <mergeCell ref="B880:J880"/>
    <mergeCell ref="B919:J919"/>
    <mergeCell ref="B920:J920"/>
    <mergeCell ref="B922:J922"/>
    <mergeCell ref="B985:J985"/>
    <mergeCell ref="B986:J986"/>
    <mergeCell ref="B277:J277"/>
    <mergeCell ref="B279:J279"/>
    <mergeCell ref="B409:J409"/>
    <mergeCell ref="B764:J764"/>
    <mergeCell ref="B808:J808"/>
    <mergeCell ref="B831:J831"/>
    <mergeCell ref="B142:J142"/>
    <mergeCell ref="B145:J145"/>
    <mergeCell ref="B209:J209"/>
    <mergeCell ref="B210:J210"/>
    <mergeCell ref="B212:J212"/>
    <mergeCell ref="B276:J276"/>
    <mergeCell ref="B109:J109"/>
    <mergeCell ref="B111:J111"/>
    <mergeCell ref="B141:J141"/>
    <mergeCell ref="B33:J33"/>
    <mergeCell ref="B34:J34"/>
    <mergeCell ref="B49:J49"/>
    <mergeCell ref="B50:J50"/>
    <mergeCell ref="B53:J53"/>
    <mergeCell ref="B78:J78"/>
    <mergeCell ref="B2:J2"/>
    <mergeCell ref="B13:J13"/>
    <mergeCell ref="B14:J14"/>
    <mergeCell ref="B16:J16"/>
    <mergeCell ref="B31:J31"/>
    <mergeCell ref="B32:J32"/>
    <mergeCell ref="B79:J79"/>
    <mergeCell ref="B81:J81"/>
    <mergeCell ref="B108:J108"/>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D1711-77BC-4B20-AC8F-CD95DF1BE319}">
  <dimension ref="B2:J797"/>
  <sheetViews>
    <sheetView topLeftCell="A670" zoomScaleNormal="100" zoomScaleSheetLayoutView="80" workbookViewId="0">
      <selection activeCell="B688" sqref="B688"/>
    </sheetView>
  </sheetViews>
  <sheetFormatPr baseColWidth="10" defaultColWidth="10.81640625" defaultRowHeight="14.5"/>
  <cols>
    <col min="1" max="1" width="3.1796875" customWidth="1"/>
    <col min="2" max="2" width="44" customWidth="1"/>
    <col min="3" max="10" width="14.81640625" customWidth="1"/>
  </cols>
  <sheetData>
    <row r="2" spans="2:10">
      <c r="B2" s="2024" t="s">
        <v>464</v>
      </c>
      <c r="C2" s="2024"/>
      <c r="D2" s="2024"/>
      <c r="E2" s="2024"/>
      <c r="F2" s="2024"/>
      <c r="G2" s="2024"/>
      <c r="H2" s="2024"/>
      <c r="I2" s="2024"/>
      <c r="J2" s="2024"/>
    </row>
    <row r="3" spans="2:10">
      <c r="B3" s="12" t="s">
        <v>463</v>
      </c>
      <c r="C3" s="1"/>
      <c r="D3" s="1"/>
      <c r="E3" s="1"/>
      <c r="F3" s="1"/>
      <c r="G3" s="1"/>
      <c r="H3" s="1"/>
      <c r="I3" s="1"/>
      <c r="J3" s="1"/>
    </row>
    <row r="4" spans="2:10">
      <c r="B4" s="76"/>
      <c r="C4" s="1"/>
      <c r="D4" s="1"/>
      <c r="E4" s="1"/>
      <c r="F4" s="1"/>
      <c r="G4" s="1"/>
      <c r="H4" s="1"/>
      <c r="I4" s="1"/>
      <c r="J4" s="1"/>
    </row>
    <row r="5" spans="2:10">
      <c r="B5" s="61"/>
      <c r="C5" s="303">
        <v>2014</v>
      </c>
      <c r="D5" s="303">
        <v>2015</v>
      </c>
      <c r="E5" s="303">
        <v>2016</v>
      </c>
      <c r="F5" s="303">
        <v>2017</v>
      </c>
      <c r="G5" s="303">
        <v>2018</v>
      </c>
      <c r="H5" s="303">
        <v>2019</v>
      </c>
      <c r="I5" s="303">
        <v>2020</v>
      </c>
      <c r="J5" s="303">
        <v>2021</v>
      </c>
    </row>
    <row r="6" spans="2:10">
      <c r="B6" s="64" t="s">
        <v>465</v>
      </c>
      <c r="C6" s="203">
        <v>30814.174999999999</v>
      </c>
      <c r="D6" s="203">
        <v>31151.643</v>
      </c>
      <c r="E6" s="203">
        <v>31488.625</v>
      </c>
      <c r="F6" s="203">
        <v>31826.018</v>
      </c>
      <c r="G6" s="203">
        <v>32162.184000000001</v>
      </c>
      <c r="H6" s="203">
        <v>32495.51</v>
      </c>
      <c r="I6" s="203">
        <v>32824.358</v>
      </c>
      <c r="J6" s="203">
        <v>33149.016000000003</v>
      </c>
    </row>
    <row r="7" spans="2:10">
      <c r="B7" s="64" t="s">
        <v>1466</v>
      </c>
      <c r="C7" s="203">
        <v>202916.90204485282</v>
      </c>
      <c r="D7" s="203">
        <v>192035.99209216211</v>
      </c>
      <c r="E7" s="203">
        <v>195740.35538054333</v>
      </c>
      <c r="F7" s="203">
        <v>215885.15602410008</v>
      </c>
      <c r="G7" s="203">
        <v>226856.48375052586</v>
      </c>
      <c r="H7" s="203">
        <v>232446.72455709445</v>
      </c>
      <c r="I7" s="203">
        <v>205552.59853814536</v>
      </c>
      <c r="J7" s="203">
        <v>225860.72321882989</v>
      </c>
    </row>
    <row r="8" spans="2:10">
      <c r="B8" s="64" t="s">
        <v>460</v>
      </c>
      <c r="C8" s="203">
        <v>6585.1804257246158</v>
      </c>
      <c r="D8" s="203">
        <v>6164.554212827944</v>
      </c>
      <c r="E8" s="203">
        <v>6216.224283548213</v>
      </c>
      <c r="F8" s="203">
        <v>6783.2914574515753</v>
      </c>
      <c r="G8" s="203">
        <v>7053.5161340574959</v>
      </c>
      <c r="H8" s="203">
        <v>7153.1951508714428</v>
      </c>
      <c r="I8" s="203">
        <v>6262.1970713987876</v>
      </c>
      <c r="J8" s="203">
        <v>6813.4970648549534</v>
      </c>
    </row>
    <row r="9" spans="2:10">
      <c r="B9" s="64" t="s">
        <v>466</v>
      </c>
      <c r="C9" s="202">
        <v>3.2240611887172999</v>
      </c>
      <c r="D9" s="202">
        <v>4.3979285416694003</v>
      </c>
      <c r="E9" s="202">
        <v>3.2348819503701201</v>
      </c>
      <c r="F9" s="202">
        <v>1.3648558837145399</v>
      </c>
      <c r="G9" s="202">
        <v>2.1925231538681902</v>
      </c>
      <c r="H9" s="202">
        <v>1.90009157916242</v>
      </c>
      <c r="I9" s="202">
        <v>1.97323222946076</v>
      </c>
      <c r="J9" s="202">
        <v>6.4303871634072296</v>
      </c>
    </row>
    <row r="10" spans="2:10" ht="15.5">
      <c r="B10" s="64" t="s">
        <v>1467</v>
      </c>
      <c r="C10" s="203"/>
      <c r="D10" s="203"/>
      <c r="E10" s="203"/>
      <c r="F10" s="203"/>
      <c r="G10" s="203"/>
      <c r="H10" s="203"/>
      <c r="I10" s="203"/>
      <c r="J10" s="203"/>
    </row>
    <row r="11" spans="2:10">
      <c r="B11" s="190" t="s">
        <v>468</v>
      </c>
      <c r="C11" s="203">
        <v>2.9849999999999999</v>
      </c>
      <c r="D11" s="203">
        <v>3.4104999999999999</v>
      </c>
      <c r="E11" s="203">
        <v>3.3559999999999999</v>
      </c>
      <c r="F11" s="203">
        <v>3.2414999999999998</v>
      </c>
      <c r="G11" s="203">
        <v>3.3740000000000001</v>
      </c>
      <c r="H11" s="203">
        <v>3.3140000000000001</v>
      </c>
      <c r="I11" s="203">
        <v>3.621</v>
      </c>
      <c r="J11" s="203">
        <v>3.9864999999999999</v>
      </c>
    </row>
    <row r="12" spans="2:10" ht="15" thickBot="1">
      <c r="B12" s="196" t="s">
        <v>456</v>
      </c>
      <c r="C12" s="933">
        <v>2.8383998737373743</v>
      </c>
      <c r="D12" s="933">
        <v>3.1844524999999995</v>
      </c>
      <c r="E12" s="933">
        <v>3.3751000000000002</v>
      </c>
      <c r="F12" s="933">
        <v>3.2607499999999998</v>
      </c>
      <c r="G12" s="933">
        <v>3.2866</v>
      </c>
      <c r="H12" s="933">
        <v>3.33697</v>
      </c>
      <c r="I12" s="933">
        <v>3.4950233333333336</v>
      </c>
      <c r="J12" s="933">
        <v>3.8805900000000002</v>
      </c>
    </row>
    <row r="13" spans="2:10" ht="15" thickTop="1">
      <c r="B13" s="2031" t="s">
        <v>1468</v>
      </c>
      <c r="C13" s="2031"/>
      <c r="D13" s="2031"/>
      <c r="E13" s="2031"/>
      <c r="F13" s="2031"/>
      <c r="G13" s="2031"/>
      <c r="H13" s="1"/>
      <c r="I13" s="1"/>
      <c r="J13" s="1"/>
    </row>
    <row r="14" spans="2:10">
      <c r="B14" s="2066"/>
      <c r="C14" s="2066"/>
      <c r="D14" s="2066"/>
      <c r="E14" s="2066"/>
      <c r="F14" s="2066"/>
      <c r="G14" s="2066"/>
      <c r="H14" s="2066"/>
      <c r="I14" s="2066"/>
      <c r="J14" s="2066"/>
    </row>
    <row r="15" spans="2:10">
      <c r="B15" s="2024" t="s">
        <v>454</v>
      </c>
      <c r="C15" s="2024"/>
      <c r="D15" s="2024"/>
      <c r="E15" s="2024"/>
      <c r="F15" s="2024"/>
      <c r="G15" s="2024"/>
      <c r="H15" s="2024"/>
      <c r="I15" s="2024"/>
      <c r="J15" s="2024"/>
    </row>
    <row r="16" spans="2:10" ht="15.5">
      <c r="B16" s="934" t="s">
        <v>453</v>
      </c>
      <c r="C16" s="1"/>
      <c r="D16" s="1"/>
      <c r="E16" s="1"/>
      <c r="F16" s="1"/>
      <c r="G16" s="1"/>
      <c r="H16" s="1"/>
      <c r="I16" s="1"/>
      <c r="J16" s="1"/>
    </row>
    <row r="17" spans="2:10">
      <c r="B17" s="62" t="s">
        <v>242</v>
      </c>
      <c r="C17" s="1"/>
      <c r="D17" s="1"/>
      <c r="E17" s="1"/>
      <c r="F17" s="1"/>
      <c r="G17" s="1"/>
      <c r="H17" s="1"/>
      <c r="I17" s="1"/>
      <c r="J17" s="1"/>
    </row>
    <row r="18" spans="2:10">
      <c r="B18" s="64"/>
      <c r="C18" s="1"/>
      <c r="D18" s="1"/>
      <c r="E18" s="1"/>
      <c r="F18" s="1"/>
      <c r="G18" s="1"/>
      <c r="H18" s="1"/>
      <c r="I18" s="1"/>
      <c r="J18" s="1"/>
    </row>
    <row r="19" spans="2:10">
      <c r="B19" s="61"/>
      <c r="C19" s="303">
        <v>2014</v>
      </c>
      <c r="D19" s="303">
        <v>2015</v>
      </c>
      <c r="E19" s="303">
        <v>2016</v>
      </c>
      <c r="F19" s="303">
        <v>2017</v>
      </c>
      <c r="G19" s="303">
        <v>2018</v>
      </c>
      <c r="H19" s="303">
        <v>2019</v>
      </c>
      <c r="I19" s="303">
        <v>2020</v>
      </c>
      <c r="J19" s="303">
        <v>2021</v>
      </c>
    </row>
    <row r="20" spans="2:10">
      <c r="B20" s="188" t="s">
        <v>476</v>
      </c>
      <c r="C20" s="203">
        <v>13443.440871035176</v>
      </c>
      <c r="D20" s="203">
        <v>12233.82948421346</v>
      </c>
      <c r="E20" s="203">
        <v>13165.456946558557</v>
      </c>
      <c r="F20" s="203">
        <v>14611.457588795311</v>
      </c>
      <c r="G20" s="203">
        <v>15191.864980545346</v>
      </c>
      <c r="H20" s="203">
        <v>16252.49929495172</v>
      </c>
      <c r="I20" s="203">
        <v>20210.04224515603</v>
      </c>
      <c r="J20" s="203">
        <v>21295.290901873828</v>
      </c>
    </row>
    <row r="21" spans="2:10">
      <c r="B21" s="197" t="s">
        <v>452</v>
      </c>
      <c r="C21" s="203">
        <v>40942.647188542709</v>
      </c>
      <c r="D21" s="203">
        <v>43729.761473660757</v>
      </c>
      <c r="E21" s="203">
        <v>45883.17140131109</v>
      </c>
      <c r="F21" s="203">
        <v>50442.187678028691</v>
      </c>
      <c r="G21" s="203">
        <v>53474.609162866043</v>
      </c>
      <c r="H21" s="203">
        <v>59460.555505461678</v>
      </c>
      <c r="I21" s="203">
        <v>77750.642281273118</v>
      </c>
      <c r="J21" s="203">
        <v>75496.447788435966</v>
      </c>
    </row>
    <row r="22" spans="2:10">
      <c r="B22" s="194" t="s">
        <v>379</v>
      </c>
      <c r="C22" s="203"/>
      <c r="D22" s="203"/>
      <c r="E22" s="203"/>
      <c r="F22" s="203"/>
      <c r="G22" s="203"/>
      <c r="H22" s="66"/>
      <c r="I22" s="66"/>
      <c r="J22" s="66"/>
    </row>
    <row r="23" spans="2:10">
      <c r="B23" s="198" t="s">
        <v>451</v>
      </c>
      <c r="C23" s="203">
        <v>22722.582055879393</v>
      </c>
      <c r="D23" s="203">
        <v>23828.348588432782</v>
      </c>
      <c r="E23" s="203">
        <v>25192.934667124555</v>
      </c>
      <c r="F23" s="203">
        <v>29824.515673913313</v>
      </c>
      <c r="G23" s="203">
        <v>33302.7105893361</v>
      </c>
      <c r="H23" s="203">
        <v>38079.415067420035</v>
      </c>
      <c r="I23" s="203">
        <v>52695.154505785686</v>
      </c>
      <c r="J23" s="203">
        <v>47774.245557870308</v>
      </c>
    </row>
    <row r="24" spans="2:10">
      <c r="B24" s="198" t="s">
        <v>450</v>
      </c>
      <c r="C24" s="203">
        <v>18220.065132663312</v>
      </c>
      <c r="D24" s="203">
        <v>19901.412885227975</v>
      </c>
      <c r="E24" s="203">
        <v>20690.236734186536</v>
      </c>
      <c r="F24" s="203">
        <v>20617.672004115379</v>
      </c>
      <c r="G24" s="203">
        <v>20171.898573529936</v>
      </c>
      <c r="H24" s="203">
        <v>21381.140438041642</v>
      </c>
      <c r="I24" s="203">
        <v>25055.487775487432</v>
      </c>
      <c r="J24" s="203">
        <v>27722.202230565661</v>
      </c>
    </row>
    <row r="25" spans="2:10">
      <c r="B25" s="197" t="s">
        <v>449</v>
      </c>
      <c r="C25" s="203">
        <v>22908.562384924622</v>
      </c>
      <c r="D25" s="203">
        <v>20913.117822020231</v>
      </c>
      <c r="E25" s="203">
        <v>21991.86150625745</v>
      </c>
      <c r="F25" s="203">
        <v>25208.410290914704</v>
      </c>
      <c r="G25" s="203">
        <v>27325.976787196207</v>
      </c>
      <c r="H25" s="203">
        <v>30002.068249547374</v>
      </c>
      <c r="I25" s="203">
        <v>39519.522671085339</v>
      </c>
      <c r="J25" s="203">
        <v>36277.716716167059</v>
      </c>
    </row>
    <row r="26" spans="2:10">
      <c r="B26" s="197" t="s">
        <v>448</v>
      </c>
      <c r="C26" s="1"/>
      <c r="D26" s="1"/>
      <c r="E26" s="1"/>
      <c r="F26" s="1"/>
      <c r="G26" s="1"/>
      <c r="H26" s="1"/>
      <c r="I26" s="1"/>
      <c r="J26" s="1"/>
    </row>
    <row r="27" spans="2:10">
      <c r="B27" s="195" t="s">
        <v>1469</v>
      </c>
      <c r="C27" s="3">
        <v>0</v>
      </c>
      <c r="D27" s="3">
        <v>0</v>
      </c>
      <c r="E27" s="203">
        <v>7.2383221096543507E-2</v>
      </c>
      <c r="F27" s="203">
        <v>0.13298214715409531</v>
      </c>
      <c r="G27" s="203">
        <v>0.32488115589804384</v>
      </c>
      <c r="H27" s="203">
        <v>0.34372492456246223</v>
      </c>
      <c r="I27" s="203">
        <v>2.1349731814415907</v>
      </c>
      <c r="J27" s="203">
        <v>2.9101029624984323</v>
      </c>
    </row>
    <row r="28" spans="2:10">
      <c r="B28" s="195" t="s">
        <v>445</v>
      </c>
      <c r="C28" s="3">
        <v>0</v>
      </c>
      <c r="D28" s="3">
        <v>0</v>
      </c>
      <c r="E28" s="3">
        <v>0</v>
      </c>
      <c r="F28" s="3">
        <v>0</v>
      </c>
      <c r="G28" s="3">
        <v>0</v>
      </c>
      <c r="H28" s="3">
        <v>0</v>
      </c>
      <c r="I28" s="3">
        <v>0</v>
      </c>
      <c r="J28" s="3">
        <v>0</v>
      </c>
    </row>
    <row r="29" spans="2:10">
      <c r="B29" s="195" t="s">
        <v>444</v>
      </c>
      <c r="C29" s="3">
        <v>0</v>
      </c>
      <c r="D29" s="3">
        <v>0</v>
      </c>
      <c r="E29" s="3">
        <v>0</v>
      </c>
      <c r="F29" s="3">
        <v>0</v>
      </c>
      <c r="G29" s="3">
        <v>0</v>
      </c>
      <c r="H29" s="3">
        <v>0</v>
      </c>
      <c r="I29" s="3">
        <v>0</v>
      </c>
      <c r="J29" s="3">
        <v>0</v>
      </c>
    </row>
    <row r="30" spans="2:10" ht="15" thickBot="1">
      <c r="B30" s="196" t="s">
        <v>443</v>
      </c>
      <c r="C30" s="3">
        <v>0</v>
      </c>
      <c r="D30" s="3">
        <v>0</v>
      </c>
      <c r="E30" s="3">
        <v>0</v>
      </c>
      <c r="F30" s="3">
        <v>0</v>
      </c>
      <c r="G30" s="3">
        <v>0</v>
      </c>
      <c r="H30" s="100">
        <v>0</v>
      </c>
      <c r="I30" s="100">
        <v>0</v>
      </c>
      <c r="J30" s="100">
        <v>0</v>
      </c>
    </row>
    <row r="31" spans="2:10" ht="15" thickTop="1">
      <c r="B31" s="2025" t="s">
        <v>1470</v>
      </c>
      <c r="C31" s="2025"/>
      <c r="D31" s="2025"/>
      <c r="E31" s="2025"/>
      <c r="F31" s="2025"/>
      <c r="G31" s="2025"/>
      <c r="H31" s="1"/>
      <c r="I31" s="1"/>
      <c r="J31" s="1"/>
    </row>
    <row r="32" spans="2:10">
      <c r="B32" s="2066" t="s">
        <v>1471</v>
      </c>
      <c r="C32" s="2066"/>
      <c r="D32" s="2066"/>
      <c r="E32" s="2066"/>
      <c r="F32" s="2066"/>
      <c r="G32" s="2066"/>
      <c r="H32" s="2066"/>
      <c r="I32" s="2066"/>
      <c r="J32" s="2066"/>
    </row>
    <row r="33" spans="2:10">
      <c r="B33" s="64"/>
      <c r="C33" s="1"/>
      <c r="D33" s="1"/>
      <c r="E33" s="1"/>
      <c r="F33" s="1"/>
      <c r="G33" s="1"/>
      <c r="H33" s="1"/>
      <c r="I33" s="1"/>
      <c r="J33" s="1"/>
    </row>
    <row r="34" spans="2:10">
      <c r="B34" s="2024" t="s">
        <v>442</v>
      </c>
      <c r="C34" s="2024"/>
      <c r="D34" s="2024"/>
      <c r="E34" s="2024"/>
      <c r="F34" s="2024"/>
      <c r="G34" s="2024"/>
      <c r="H34" s="2024"/>
      <c r="I34" s="2024"/>
      <c r="J34" s="2024"/>
    </row>
    <row r="35" spans="2:10">
      <c r="B35" s="12" t="s">
        <v>441</v>
      </c>
      <c r="C35" s="1"/>
      <c r="D35" s="1"/>
      <c r="E35" s="1"/>
      <c r="F35" s="1"/>
      <c r="G35" s="1"/>
      <c r="H35" s="1"/>
      <c r="I35" s="1"/>
      <c r="J35" s="1"/>
    </row>
    <row r="36" spans="2:10">
      <c r="B36" s="77" t="s">
        <v>242</v>
      </c>
      <c r="C36" s="1"/>
      <c r="D36" s="1"/>
      <c r="E36" s="1"/>
      <c r="F36" s="1"/>
      <c r="G36" s="1"/>
      <c r="H36" s="1"/>
      <c r="I36" s="1"/>
      <c r="J36" s="1"/>
    </row>
    <row r="37" spans="2:10">
      <c r="B37" s="64"/>
      <c r="C37" s="1"/>
      <c r="D37" s="1"/>
      <c r="E37" s="1"/>
      <c r="F37" s="1"/>
      <c r="G37" s="1"/>
      <c r="H37" s="1"/>
      <c r="I37" s="1"/>
      <c r="J37" s="1"/>
    </row>
    <row r="38" spans="2:10">
      <c r="B38" s="61"/>
      <c r="C38" s="935">
        <v>2014</v>
      </c>
      <c r="D38" s="935">
        <v>2015</v>
      </c>
      <c r="E38" s="935">
        <v>2016</v>
      </c>
      <c r="F38" s="935">
        <v>2017</v>
      </c>
      <c r="G38" s="935">
        <v>2018</v>
      </c>
      <c r="H38" s="935">
        <v>2019</v>
      </c>
      <c r="I38" s="935">
        <v>2020</v>
      </c>
      <c r="J38" s="935">
        <v>2021</v>
      </c>
    </row>
    <row r="39" spans="2:10">
      <c r="B39" s="188" t="s">
        <v>792</v>
      </c>
      <c r="C39" s="203"/>
      <c r="D39" s="203"/>
      <c r="E39" s="203"/>
      <c r="F39" s="203"/>
      <c r="G39" s="203"/>
      <c r="H39" s="203"/>
      <c r="I39" s="203"/>
      <c r="J39" s="203"/>
    </row>
    <row r="40" spans="2:10">
      <c r="B40" s="150" t="s">
        <v>1472</v>
      </c>
      <c r="C40" s="203">
        <v>1227.9678845191036</v>
      </c>
      <c r="D40" s="203">
        <v>503.12501817552237</v>
      </c>
      <c r="E40" s="203">
        <v>670.59319416907874</v>
      </c>
      <c r="F40" s="203">
        <v>641.63087647515351</v>
      </c>
      <c r="G40" s="203">
        <v>803.39527966524201</v>
      </c>
      <c r="H40" s="203">
        <v>854.69460595123132</v>
      </c>
      <c r="I40" s="203">
        <v>759.70468345392624</v>
      </c>
      <c r="J40" s="203">
        <v>780.64778003691038</v>
      </c>
    </row>
    <row r="41" spans="2:10">
      <c r="B41" s="150" t="s">
        <v>1473</v>
      </c>
      <c r="C41" s="203">
        <v>11841.769063607619</v>
      </c>
      <c r="D41" s="203">
        <v>11132.061251357143</v>
      </c>
      <c r="E41" s="203">
        <v>9304.3187641409531</v>
      </c>
      <c r="F41" s="203">
        <v>9665.8039508852653</v>
      </c>
      <c r="G41" s="203">
        <v>9085.0334254610534</v>
      </c>
      <c r="H41" s="203">
        <v>10670.69008466143</v>
      </c>
      <c r="I41" s="203">
        <v>11271.305171603808</v>
      </c>
      <c r="J41" s="203">
        <v>10760.350217773639</v>
      </c>
    </row>
    <row r="42" spans="2:10" ht="15">
      <c r="B42" s="150" t="s">
        <v>1474</v>
      </c>
      <c r="C42" s="203">
        <v>3076.609715242882</v>
      </c>
      <c r="D42" s="203">
        <v>1909.7727930167046</v>
      </c>
      <c r="E42" s="203">
        <v>2238.1134049225566</v>
      </c>
      <c r="F42" s="203">
        <v>2077.751750048772</v>
      </c>
      <c r="G42" s="203">
        <v>2203.7261552223904</v>
      </c>
      <c r="H42" s="203">
        <v>2444.1714268032279</v>
      </c>
      <c r="I42" s="203">
        <v>2388.1375592051118</v>
      </c>
      <c r="J42" s="203">
        <v>2378.9911498550237</v>
      </c>
    </row>
    <row r="43" spans="2:10" ht="15">
      <c r="B43" s="150" t="s">
        <v>1475</v>
      </c>
      <c r="C43" s="203">
        <v>12856.173965142743</v>
      </c>
      <c r="D43" s="203">
        <v>12220.553525252475</v>
      </c>
      <c r="E43" s="203">
        <v>10358.885476253146</v>
      </c>
      <c r="F43" s="203">
        <v>11110.63093271921</v>
      </c>
      <c r="G43" s="203">
        <v>10411.988377178634</v>
      </c>
      <c r="H43" s="203">
        <v>11515.893756234487</v>
      </c>
      <c r="I43" s="203">
        <v>12384.314705332023</v>
      </c>
      <c r="J43" s="203">
        <v>12386.400377214874</v>
      </c>
    </row>
    <row r="44" spans="2:10">
      <c r="B44" s="195" t="s">
        <v>471</v>
      </c>
      <c r="C44" s="66"/>
      <c r="D44" s="66"/>
      <c r="E44" s="66"/>
      <c r="F44" s="66"/>
      <c r="G44" s="66"/>
      <c r="H44" s="66"/>
      <c r="I44" s="66"/>
      <c r="J44" s="66"/>
    </row>
    <row r="45" spans="2:10" ht="15">
      <c r="B45" s="150" t="s">
        <v>1476</v>
      </c>
      <c r="C45" s="203">
        <v>66.314907872696452</v>
      </c>
      <c r="D45" s="203">
        <v>33.639278482308924</v>
      </c>
      <c r="E45" s="203">
        <v>55.778803979335969</v>
      </c>
      <c r="F45" s="203">
        <v>60.189743069951518</v>
      </c>
      <c r="G45" s="203">
        <v>36.709490889762328</v>
      </c>
      <c r="H45" s="203">
        <v>55.355630718955055</v>
      </c>
      <c r="I45" s="203">
        <v>77.570353452857006</v>
      </c>
      <c r="J45" s="203">
        <v>103.15144443547487</v>
      </c>
    </row>
    <row r="46" spans="2:10" ht="15">
      <c r="B46" s="150" t="s">
        <v>1477</v>
      </c>
      <c r="C46" s="203">
        <v>202.48436222777559</v>
      </c>
      <c r="D46" s="203">
        <v>237.83661265720235</v>
      </c>
      <c r="E46" s="203">
        <v>136.23144493847116</v>
      </c>
      <c r="F46" s="203">
        <v>132.0066779777535</v>
      </c>
      <c r="G46" s="203">
        <v>117.0961727877033</v>
      </c>
      <c r="H46" s="203">
        <v>172.08813734990133</v>
      </c>
      <c r="I46" s="203">
        <v>261.73742441612745</v>
      </c>
      <c r="J46" s="203">
        <v>254.57055501924523</v>
      </c>
    </row>
    <row r="47" spans="2:10">
      <c r="B47" s="188" t="s">
        <v>437</v>
      </c>
      <c r="C47" s="3">
        <v>0</v>
      </c>
      <c r="D47" s="3">
        <v>0</v>
      </c>
      <c r="E47" s="3">
        <v>0</v>
      </c>
      <c r="F47" s="3">
        <v>0</v>
      </c>
      <c r="G47" s="3">
        <v>0</v>
      </c>
      <c r="H47" s="3">
        <v>0</v>
      </c>
      <c r="I47" s="3">
        <v>0</v>
      </c>
      <c r="J47" s="3">
        <v>0</v>
      </c>
    </row>
    <row r="48" spans="2:10" ht="15" thickBot="1">
      <c r="B48" s="193" t="s">
        <v>436</v>
      </c>
      <c r="C48" s="66">
        <v>0</v>
      </c>
      <c r="D48" s="66">
        <v>0</v>
      </c>
      <c r="E48" s="66">
        <v>0</v>
      </c>
      <c r="F48" s="66">
        <v>0</v>
      </c>
      <c r="G48" s="66">
        <v>0</v>
      </c>
      <c r="H48" s="66">
        <v>0</v>
      </c>
      <c r="I48" s="66">
        <v>0</v>
      </c>
      <c r="J48" s="66">
        <v>0</v>
      </c>
    </row>
    <row r="49" spans="2:10" ht="15" thickTop="1">
      <c r="B49" s="578" t="s">
        <v>1478</v>
      </c>
      <c r="C49" s="578"/>
      <c r="D49" s="578"/>
      <c r="E49" s="578"/>
      <c r="F49" s="578"/>
      <c r="G49" s="578"/>
      <c r="H49" s="578"/>
      <c r="I49" s="578"/>
      <c r="J49" s="578"/>
    </row>
    <row r="50" spans="2:10">
      <c r="B50" s="936" t="s">
        <v>1479</v>
      </c>
      <c r="C50" s="936"/>
      <c r="D50" s="936"/>
      <c r="E50" s="936"/>
      <c r="F50" s="936"/>
      <c r="G50" s="936"/>
      <c r="H50" s="936"/>
      <c r="I50" s="936"/>
      <c r="J50" s="936"/>
    </row>
    <row r="51" spans="2:10">
      <c r="B51" s="936" t="s">
        <v>1480</v>
      </c>
      <c r="C51" s="936"/>
      <c r="D51" s="936"/>
      <c r="E51" s="936"/>
      <c r="F51" s="936"/>
      <c r="G51" s="936"/>
      <c r="H51" s="936"/>
      <c r="I51" s="936"/>
      <c r="J51" s="936"/>
    </row>
    <row r="52" spans="2:10">
      <c r="B52" s="936"/>
      <c r="C52" s="936"/>
      <c r="D52" s="936"/>
      <c r="E52" s="936"/>
      <c r="F52" s="936"/>
      <c r="G52" s="936"/>
      <c r="H52" s="936"/>
      <c r="I52" s="936"/>
      <c r="J52" s="936"/>
    </row>
    <row r="53" spans="2:10">
      <c r="B53" s="936" t="s">
        <v>1470</v>
      </c>
      <c r="C53" s="936"/>
      <c r="D53" s="936"/>
      <c r="E53" s="936"/>
      <c r="F53" s="936"/>
      <c r="G53" s="936"/>
      <c r="H53" s="936"/>
      <c r="I53" s="936"/>
      <c r="J53" s="936"/>
    </row>
    <row r="54" spans="2:10">
      <c r="B54" s="2066"/>
      <c r="C54" s="2066"/>
      <c r="D54" s="2066"/>
      <c r="E54" s="2066"/>
      <c r="F54" s="2066"/>
      <c r="G54" s="2066"/>
      <c r="H54" s="2066"/>
      <c r="I54" s="2066"/>
      <c r="J54" s="2066"/>
    </row>
    <row r="55" spans="2:10">
      <c r="B55" s="1"/>
      <c r="C55" s="1"/>
      <c r="D55" s="1"/>
      <c r="E55" s="1"/>
      <c r="F55" s="1"/>
      <c r="G55" s="1"/>
      <c r="H55" s="1"/>
      <c r="I55" s="1"/>
      <c r="J55" s="1"/>
    </row>
    <row r="56" spans="2:10">
      <c r="B56" s="2024" t="s">
        <v>434</v>
      </c>
      <c r="C56" s="2024"/>
      <c r="D56" s="2024"/>
      <c r="E56" s="2024"/>
      <c r="F56" s="2024"/>
      <c r="G56" s="2024"/>
      <c r="H56" s="2024"/>
      <c r="I56" s="2024"/>
      <c r="J56" s="2024"/>
    </row>
    <row r="57" spans="2:10">
      <c r="B57" s="12" t="s">
        <v>433</v>
      </c>
      <c r="C57" s="1"/>
      <c r="D57" s="1"/>
      <c r="E57" s="1"/>
      <c r="F57" s="1"/>
      <c r="G57" s="1"/>
      <c r="H57" s="1"/>
      <c r="I57" s="1"/>
      <c r="J57" s="1"/>
    </row>
    <row r="58" spans="2:10">
      <c r="B58" s="62" t="s">
        <v>242</v>
      </c>
      <c r="C58" s="1"/>
      <c r="D58" s="1"/>
      <c r="E58" s="1"/>
      <c r="F58" s="1"/>
      <c r="G58" s="1"/>
      <c r="H58" s="1"/>
      <c r="I58" s="1"/>
      <c r="J58" s="1"/>
    </row>
    <row r="59" spans="2:10">
      <c r="B59" s="64"/>
      <c r="C59" s="1"/>
      <c r="D59" s="1"/>
      <c r="E59" s="1"/>
      <c r="F59" s="1"/>
      <c r="G59" s="1"/>
      <c r="H59" s="1"/>
      <c r="I59" s="1"/>
      <c r="J59" s="1"/>
    </row>
    <row r="60" spans="2:10">
      <c r="B60" s="61"/>
      <c r="C60" s="935">
        <v>2014</v>
      </c>
      <c r="D60" s="935">
        <v>2015</v>
      </c>
      <c r="E60" s="935">
        <v>2016</v>
      </c>
      <c r="F60" s="935">
        <v>2017</v>
      </c>
      <c r="G60" s="935">
        <v>2018</v>
      </c>
      <c r="H60" s="935">
        <v>2019</v>
      </c>
      <c r="I60" s="935">
        <v>2020</v>
      </c>
      <c r="J60" s="935">
        <v>2021</v>
      </c>
    </row>
    <row r="61" spans="2:10">
      <c r="B61" s="64" t="s">
        <v>432</v>
      </c>
      <c r="C61" s="203">
        <v>15926.73025796985</v>
      </c>
      <c r="D61" s="203">
        <v>14334.644907171971</v>
      </c>
      <c r="E61" s="203">
        <v>15212.948586293205</v>
      </c>
      <c r="F61" s="203">
        <v>17050.412777316058</v>
      </c>
      <c r="G61" s="203">
        <v>17558.466463070537</v>
      </c>
      <c r="H61" s="203">
        <v>18737.914496116475</v>
      </c>
      <c r="I61" s="203">
        <v>22835.437178991986</v>
      </c>
      <c r="J61" s="203">
        <v>23464.113583376398</v>
      </c>
    </row>
    <row r="62" spans="2:10">
      <c r="B62" s="62"/>
      <c r="C62" s="203"/>
      <c r="D62" s="203"/>
      <c r="E62" s="203"/>
      <c r="F62" s="203"/>
      <c r="G62" s="203"/>
      <c r="H62" s="203"/>
      <c r="I62" s="203"/>
      <c r="J62" s="203"/>
    </row>
    <row r="63" spans="2:10">
      <c r="B63" s="64" t="s">
        <v>431</v>
      </c>
      <c r="C63" s="203">
        <v>15265.835199329984</v>
      </c>
      <c r="D63" s="203">
        <v>13699.612133118313</v>
      </c>
      <c r="E63" s="203">
        <v>14530.717932061978</v>
      </c>
      <c r="F63" s="203">
        <v>16290.807240475089</v>
      </c>
      <c r="G63" s="203">
        <v>16771.923260225249</v>
      </c>
      <c r="H63" s="203">
        <v>17886.536457453229</v>
      </c>
      <c r="I63" s="203">
        <v>22028.982317039488</v>
      </c>
      <c r="J63" s="203">
        <v>22666.876360215731</v>
      </c>
    </row>
    <row r="64" spans="2:10">
      <c r="B64" s="190" t="s">
        <v>379</v>
      </c>
      <c r="C64" s="203"/>
      <c r="D64" s="203"/>
      <c r="E64" s="203"/>
      <c r="F64" s="203"/>
      <c r="G64" s="203"/>
      <c r="H64" s="203"/>
      <c r="I64" s="203"/>
      <c r="J64" s="203"/>
    </row>
    <row r="65" spans="2:10">
      <c r="B65" s="189" t="s">
        <v>1481</v>
      </c>
      <c r="C65" s="203">
        <v>1135.5413065326634</v>
      </c>
      <c r="D65" s="203">
        <v>953.77569271367838</v>
      </c>
      <c r="E65" s="203">
        <v>926.90816448152555</v>
      </c>
      <c r="F65" s="203">
        <v>1065.5038099645226</v>
      </c>
      <c r="G65" s="203">
        <v>1192.1018968583285</v>
      </c>
      <c r="H65" s="203">
        <v>1425.0724200362099</v>
      </c>
      <c r="I65" s="203">
        <v>1961.4560066280035</v>
      </c>
      <c r="J65" s="203">
        <v>2185.4220995861033</v>
      </c>
    </row>
    <row r="66" spans="2:10">
      <c r="B66" s="189" t="s">
        <v>1482</v>
      </c>
      <c r="C66" s="203">
        <v>10867.508341708543</v>
      </c>
      <c r="D66" s="203">
        <v>9777.7994722181502</v>
      </c>
      <c r="E66" s="203">
        <v>10536.855065554231</v>
      </c>
      <c r="F66" s="203">
        <v>11700.692950794384</v>
      </c>
      <c r="G66" s="203">
        <v>12003.080023710729</v>
      </c>
      <c r="H66" s="203">
        <v>12756.244417622209</v>
      </c>
      <c r="I66" s="203">
        <v>15290.455205744269</v>
      </c>
      <c r="J66" s="203">
        <v>15659.653355073373</v>
      </c>
    </row>
    <row r="67" spans="2:10">
      <c r="B67" s="189" t="s">
        <v>1483</v>
      </c>
      <c r="C67" s="203">
        <v>1985.6596817420436</v>
      </c>
      <c r="D67" s="203">
        <v>1801.4132971705028</v>
      </c>
      <c r="E67" s="203">
        <v>1866.8182657926102</v>
      </c>
      <c r="F67" s="203">
        <v>2209.1107357704768</v>
      </c>
      <c r="G67" s="203">
        <v>2289.8386633076466</v>
      </c>
      <c r="H67" s="203">
        <v>2375.7328756789379</v>
      </c>
      <c r="I67" s="203">
        <v>3300.664181165424</v>
      </c>
      <c r="J67" s="203">
        <v>3461.479556001505</v>
      </c>
    </row>
    <row r="68" spans="2:10">
      <c r="B68" s="189" t="s">
        <v>1484</v>
      </c>
      <c r="C68" s="203">
        <v>858.61705192629825</v>
      </c>
      <c r="D68" s="203">
        <v>781.88092655035916</v>
      </c>
      <c r="E68" s="203">
        <v>823.75218712753292</v>
      </c>
      <c r="F68" s="203">
        <v>927.3342341508561</v>
      </c>
      <c r="G68" s="203">
        <v>925.22408417308827</v>
      </c>
      <c r="H68" s="203">
        <v>960.04106819553419</v>
      </c>
      <c r="I68" s="203">
        <v>1064.8090693178681</v>
      </c>
      <c r="J68" s="203">
        <v>952.50403612191155</v>
      </c>
    </row>
    <row r="69" spans="2:10">
      <c r="B69" s="189" t="s">
        <v>1485</v>
      </c>
      <c r="C69" s="203">
        <v>418.50881742043555</v>
      </c>
      <c r="D69" s="203">
        <v>384.74274446562094</v>
      </c>
      <c r="E69" s="203">
        <v>376.3842491060787</v>
      </c>
      <c r="F69" s="203">
        <v>388.16550979484805</v>
      </c>
      <c r="G69" s="203">
        <v>361.67859217545941</v>
      </c>
      <c r="H69" s="203">
        <v>369.44567592033792</v>
      </c>
      <c r="I69" s="203">
        <v>411.5978541839271</v>
      </c>
      <c r="J69" s="203">
        <v>407.81731343283582</v>
      </c>
    </row>
    <row r="70" spans="2:10">
      <c r="B70" s="189" t="s">
        <v>496</v>
      </c>
      <c r="C70" s="386"/>
      <c r="D70" s="386"/>
      <c r="E70" s="386"/>
      <c r="F70" s="386"/>
      <c r="G70" s="386"/>
      <c r="H70" s="386"/>
      <c r="I70" s="386"/>
      <c r="J70" s="386"/>
    </row>
    <row r="71" spans="2:10">
      <c r="B71" s="190"/>
      <c r="C71" s="203"/>
      <c r="D71" s="203"/>
      <c r="E71" s="203"/>
      <c r="F71" s="203"/>
      <c r="G71" s="203"/>
      <c r="H71" s="203"/>
      <c r="I71" s="203"/>
      <c r="J71" s="203"/>
    </row>
    <row r="72" spans="2:10">
      <c r="B72" s="64" t="s">
        <v>424</v>
      </c>
      <c r="C72" s="203">
        <v>660.89505863986608</v>
      </c>
      <c r="D72" s="203">
        <v>635.03277405365793</v>
      </c>
      <c r="E72" s="203">
        <v>682.23065423122762</v>
      </c>
      <c r="F72" s="203">
        <v>759.60553684096897</v>
      </c>
      <c r="G72" s="203">
        <v>786.54320284528751</v>
      </c>
      <c r="H72" s="203">
        <v>851.37803866324668</v>
      </c>
      <c r="I72" s="203">
        <v>806.45486195249919</v>
      </c>
      <c r="J72" s="203">
        <v>797.23722316066721</v>
      </c>
    </row>
    <row r="73" spans="2:10">
      <c r="B73" s="190" t="s">
        <v>379</v>
      </c>
      <c r="C73" s="203"/>
      <c r="D73" s="203"/>
      <c r="E73" s="203"/>
      <c r="F73" s="203"/>
      <c r="G73" s="203"/>
      <c r="H73" s="203"/>
      <c r="I73" s="203"/>
      <c r="J73" s="203"/>
    </row>
    <row r="74" spans="2:10">
      <c r="B74" s="189" t="s">
        <v>1486</v>
      </c>
      <c r="C74" s="203">
        <v>229.25873031825796</v>
      </c>
      <c r="D74" s="203">
        <v>214.60130626007916</v>
      </c>
      <c r="E74" s="203">
        <v>219.67416716328964</v>
      </c>
      <c r="F74" s="203">
        <v>238.11428813820766</v>
      </c>
      <c r="G74" s="203">
        <v>244.19945761707174</v>
      </c>
      <c r="H74" s="203">
        <v>262.30490494870247</v>
      </c>
      <c r="I74" s="203">
        <v>246.49795084230874</v>
      </c>
      <c r="J74" s="203">
        <v>244.97164304527783</v>
      </c>
    </row>
    <row r="75" spans="2:10">
      <c r="B75" s="189" t="s">
        <v>1487</v>
      </c>
      <c r="C75" s="203">
        <v>88.021995309882755</v>
      </c>
      <c r="D75" s="203">
        <v>84.224387040023458</v>
      </c>
      <c r="E75" s="203">
        <v>90.171975566150181</v>
      </c>
      <c r="F75" s="203">
        <v>103.56382538948019</v>
      </c>
      <c r="G75" s="203">
        <v>107.49174273858921</v>
      </c>
      <c r="H75" s="203">
        <v>121.14929511164756</v>
      </c>
      <c r="I75" s="203">
        <v>115.26162165147748</v>
      </c>
      <c r="J75" s="203">
        <v>115.23885764455035</v>
      </c>
    </row>
    <row r="76" spans="2:10">
      <c r="B76" s="189" t="s">
        <v>1488</v>
      </c>
      <c r="C76" s="203">
        <v>208.06433098827472</v>
      </c>
      <c r="D76" s="203">
        <v>208.96084327811172</v>
      </c>
      <c r="E76" s="203">
        <v>233.76490196662692</v>
      </c>
      <c r="F76" s="203">
        <v>265.41575165818296</v>
      </c>
      <c r="G76" s="203">
        <v>278.87361588618847</v>
      </c>
      <c r="H76" s="203">
        <v>301.33244477972238</v>
      </c>
      <c r="I76" s="203">
        <v>284.55022838994756</v>
      </c>
      <c r="J76" s="203">
        <v>281.55814925373136</v>
      </c>
    </row>
    <row r="77" spans="2:10">
      <c r="B77" s="189" t="s">
        <v>1489</v>
      </c>
      <c r="C77" s="203">
        <v>65.941839530988275</v>
      </c>
      <c r="D77" s="203">
        <v>61.388884621023315</v>
      </c>
      <c r="E77" s="203">
        <v>66.087094010727057</v>
      </c>
      <c r="F77" s="203">
        <v>72.302090236001845</v>
      </c>
      <c r="G77" s="203">
        <v>73.965256372258438</v>
      </c>
      <c r="H77" s="203">
        <v>78.162649668074835</v>
      </c>
      <c r="I77" s="203">
        <v>75.626203811101902</v>
      </c>
      <c r="J77" s="203">
        <v>73.964338141226648</v>
      </c>
    </row>
    <row r="78" spans="2:10">
      <c r="B78" s="189" t="s">
        <v>1490</v>
      </c>
      <c r="C78" s="203">
        <v>21.432675644891123</v>
      </c>
      <c r="D78" s="203">
        <v>20.571134144553586</v>
      </c>
      <c r="E78" s="203">
        <v>23.309430870083432</v>
      </c>
      <c r="F78" s="203">
        <v>26.062164800246801</v>
      </c>
      <c r="G78" s="203">
        <v>26.750072791938351</v>
      </c>
      <c r="H78" s="203">
        <v>29.071398792999393</v>
      </c>
      <c r="I78" s="203">
        <v>27.885955481911072</v>
      </c>
      <c r="J78" s="203">
        <v>27.249023454157783</v>
      </c>
    </row>
    <row r="79" spans="2:10">
      <c r="B79" s="189" t="s">
        <v>1491</v>
      </c>
      <c r="C79" s="203">
        <v>40.391248274706868</v>
      </c>
      <c r="D79" s="203">
        <v>38.058742031960122</v>
      </c>
      <c r="E79" s="203">
        <v>41.488806138259839</v>
      </c>
      <c r="F79" s="203">
        <v>45.664137806571034</v>
      </c>
      <c r="G79" s="203">
        <v>46.745543301719024</v>
      </c>
      <c r="H79" s="203">
        <v>50.706472269161132</v>
      </c>
      <c r="I79" s="203">
        <v>48.716758409279201</v>
      </c>
      <c r="J79" s="203">
        <v>47.065608027091436</v>
      </c>
    </row>
    <row r="80" spans="2:10">
      <c r="B80" s="189" t="s">
        <v>1492</v>
      </c>
      <c r="C80" s="203">
        <v>6.5985377721943053</v>
      </c>
      <c r="D80" s="203">
        <v>6.1899807799442899</v>
      </c>
      <c r="E80" s="203">
        <v>6.6958398986889156</v>
      </c>
      <c r="F80" s="203">
        <v>7.4084249421564099</v>
      </c>
      <c r="G80" s="203">
        <v>7.4852087136929457</v>
      </c>
      <c r="H80" s="203">
        <v>7.6014373566686775</v>
      </c>
      <c r="I80" s="203">
        <v>6.955745581331124</v>
      </c>
      <c r="J80" s="203">
        <v>6.3173289226138216</v>
      </c>
    </row>
    <row r="81" spans="2:10">
      <c r="B81" s="189" t="s">
        <v>117</v>
      </c>
      <c r="C81" s="203">
        <v>1.1857008006700169</v>
      </c>
      <c r="D81" s="203">
        <v>1.0374958979621756</v>
      </c>
      <c r="E81" s="203">
        <v>1.0384386174016687</v>
      </c>
      <c r="F81" s="203">
        <v>1.0748538701218573</v>
      </c>
      <c r="G81" s="203">
        <v>1.0323054238292826</v>
      </c>
      <c r="H81" s="203">
        <v>1.0494357362703681</v>
      </c>
      <c r="I81" s="203">
        <v>0.96039778514222596</v>
      </c>
      <c r="J81" s="203">
        <v>0.87227467201806097</v>
      </c>
    </row>
    <row r="82" spans="2:10">
      <c r="B82" s="189"/>
      <c r="C82" s="203"/>
      <c r="D82" s="203"/>
      <c r="E82" s="203"/>
      <c r="F82" s="203"/>
      <c r="G82" s="203"/>
      <c r="H82" s="203"/>
      <c r="I82" s="203"/>
      <c r="J82" s="203"/>
    </row>
    <row r="83" spans="2:10">
      <c r="B83" s="197" t="s">
        <v>414</v>
      </c>
      <c r="C83" s="203">
        <v>2483.2893869346735</v>
      </c>
      <c r="D83" s="203">
        <v>2100.8154229585107</v>
      </c>
      <c r="E83" s="203">
        <v>2047.4916397346501</v>
      </c>
      <c r="F83" s="203">
        <v>2438.9551885207466</v>
      </c>
      <c r="G83" s="203">
        <v>2366.6014825251923</v>
      </c>
      <c r="H83" s="203">
        <v>2485.4152011647557</v>
      </c>
      <c r="I83" s="203">
        <v>2625.3949338359571</v>
      </c>
      <c r="J83" s="203">
        <v>2168.822681502571</v>
      </c>
    </row>
    <row r="84" spans="2:10" ht="15" thickBot="1">
      <c r="B84" s="208" t="s">
        <v>413</v>
      </c>
      <c r="C84" s="933">
        <v>13443.440871035176</v>
      </c>
      <c r="D84" s="933">
        <v>12233.82948421346</v>
      </c>
      <c r="E84" s="933">
        <v>13165.456946558557</v>
      </c>
      <c r="F84" s="933">
        <v>14611.457588795311</v>
      </c>
      <c r="G84" s="933">
        <v>15191.864980545346</v>
      </c>
      <c r="H84" s="933">
        <v>16252.49929495172</v>
      </c>
      <c r="I84" s="933">
        <v>20210.04224515603</v>
      </c>
      <c r="J84" s="933">
        <v>21295.290901873828</v>
      </c>
    </row>
    <row r="85" spans="2:10" ht="15" thickTop="1">
      <c r="B85" s="2025" t="s">
        <v>1470</v>
      </c>
      <c r="C85" s="2025"/>
      <c r="D85" s="2025"/>
      <c r="E85" s="2025"/>
      <c r="F85" s="2025"/>
      <c r="G85" s="2025"/>
      <c r="H85" s="1"/>
      <c r="I85" s="1"/>
      <c r="J85" s="1"/>
    </row>
    <row r="86" spans="2:10">
      <c r="B86" s="64"/>
      <c r="C86" s="1"/>
      <c r="D86" s="1"/>
      <c r="E86" s="1"/>
      <c r="F86" s="1"/>
      <c r="G86" s="1"/>
      <c r="H86" s="1"/>
      <c r="I86" s="1"/>
      <c r="J86" s="1"/>
    </row>
    <row r="87" spans="2:10">
      <c r="B87" s="2024" t="s">
        <v>411</v>
      </c>
      <c r="C87" s="2024"/>
      <c r="D87" s="2024"/>
      <c r="E87" s="2024"/>
      <c r="F87" s="2024"/>
      <c r="G87" s="2024"/>
      <c r="H87" s="2024"/>
      <c r="I87" s="2024"/>
      <c r="J87" s="2024"/>
    </row>
    <row r="88" spans="2:10">
      <c r="B88" s="12" t="s">
        <v>410</v>
      </c>
      <c r="C88" s="1"/>
      <c r="D88" s="1"/>
      <c r="E88" s="1"/>
      <c r="F88" s="1"/>
      <c r="G88" s="1"/>
      <c r="H88" s="1"/>
      <c r="I88" s="1"/>
      <c r="J88" s="1"/>
    </row>
    <row r="89" spans="2:10">
      <c r="B89" s="62" t="s">
        <v>409</v>
      </c>
      <c r="C89" s="1"/>
      <c r="D89" s="1"/>
      <c r="E89" s="1"/>
      <c r="F89" s="1"/>
      <c r="G89" s="1"/>
      <c r="H89" s="1"/>
      <c r="I89" s="1"/>
      <c r="J89" s="1"/>
    </row>
    <row r="90" spans="2:10">
      <c r="B90" s="64"/>
      <c r="C90" s="1"/>
      <c r="D90" s="1"/>
      <c r="E90" s="1"/>
      <c r="F90" s="1"/>
      <c r="G90" s="1"/>
      <c r="H90" s="1"/>
      <c r="I90" s="1"/>
      <c r="J90" s="1"/>
    </row>
    <row r="91" spans="2:10">
      <c r="B91" s="61"/>
      <c r="C91" s="935">
        <v>2014</v>
      </c>
      <c r="D91" s="935">
        <v>2015</v>
      </c>
      <c r="E91" s="935">
        <v>2016</v>
      </c>
      <c r="F91" s="935">
        <v>2017</v>
      </c>
      <c r="G91" s="935">
        <v>2018</v>
      </c>
      <c r="H91" s="935">
        <v>2019</v>
      </c>
      <c r="I91" s="935">
        <v>2020</v>
      </c>
      <c r="J91" s="935">
        <v>2021</v>
      </c>
    </row>
    <row r="92" spans="2:10">
      <c r="B92" s="114" t="s">
        <v>262</v>
      </c>
      <c r="C92" s="1"/>
      <c r="D92" s="1"/>
      <c r="E92" s="1"/>
      <c r="F92" s="1"/>
      <c r="G92" s="1"/>
      <c r="H92" s="1"/>
      <c r="I92" s="1"/>
      <c r="J92" s="1"/>
    </row>
    <row r="93" spans="2:10">
      <c r="B93" s="186" t="s">
        <v>408</v>
      </c>
      <c r="C93" s="3"/>
      <c r="D93" s="3"/>
      <c r="E93" s="3"/>
      <c r="F93" s="3"/>
      <c r="G93" s="3"/>
      <c r="H93" s="3"/>
      <c r="I93" s="3"/>
      <c r="J93" s="3"/>
    </row>
    <row r="94" spans="2:10">
      <c r="B94" s="65" t="s">
        <v>407</v>
      </c>
      <c r="C94" s="3"/>
      <c r="D94" s="3"/>
      <c r="E94" s="3"/>
      <c r="F94" s="3"/>
      <c r="G94" s="3"/>
      <c r="H94" s="3"/>
      <c r="I94" s="3"/>
      <c r="J94" s="3"/>
    </row>
    <row r="95" spans="2:10">
      <c r="B95" s="65" t="s">
        <v>406</v>
      </c>
      <c r="C95" s="3"/>
      <c r="D95" s="3"/>
      <c r="E95" s="3"/>
      <c r="F95" s="3"/>
      <c r="G95" s="3"/>
      <c r="H95" s="3"/>
      <c r="I95" s="3"/>
      <c r="J95" s="3"/>
    </row>
    <row r="96" spans="2:10">
      <c r="B96" s="186" t="s">
        <v>1493</v>
      </c>
      <c r="C96" s="3"/>
      <c r="D96" s="3"/>
      <c r="E96" s="3"/>
      <c r="F96" s="3"/>
      <c r="G96" s="3"/>
      <c r="H96" s="3"/>
      <c r="I96" s="3"/>
      <c r="J96" s="3"/>
    </row>
    <row r="97" spans="2:10">
      <c r="B97" s="186"/>
      <c r="C97" s="121"/>
      <c r="D97" s="121"/>
      <c r="E97" s="121"/>
      <c r="F97" s="121"/>
      <c r="G97" s="121"/>
      <c r="H97" s="121"/>
      <c r="I97" s="121"/>
      <c r="J97" s="121"/>
    </row>
    <row r="98" spans="2:10">
      <c r="B98" s="114" t="s">
        <v>477</v>
      </c>
      <c r="C98" s="121"/>
      <c r="D98" s="121"/>
      <c r="E98" s="121"/>
      <c r="F98" s="121"/>
      <c r="G98" s="121"/>
      <c r="H98" s="121"/>
      <c r="I98" s="121"/>
      <c r="J98" s="121"/>
    </row>
    <row r="99" spans="2:10">
      <c r="B99" s="186" t="s">
        <v>399</v>
      </c>
      <c r="C99" s="937">
        <v>17</v>
      </c>
      <c r="D99" s="937">
        <v>17</v>
      </c>
      <c r="E99" s="937">
        <v>16</v>
      </c>
      <c r="F99" s="937">
        <v>16</v>
      </c>
      <c r="G99" s="937">
        <v>16</v>
      </c>
      <c r="H99" s="937">
        <v>16</v>
      </c>
      <c r="I99" s="937">
        <v>16</v>
      </c>
      <c r="J99" s="937">
        <v>16</v>
      </c>
    </row>
    <row r="100" spans="2:10">
      <c r="B100" s="186" t="s">
        <v>408</v>
      </c>
      <c r="C100" s="937">
        <v>1879</v>
      </c>
      <c r="D100" s="937">
        <v>2144</v>
      </c>
      <c r="E100" s="937">
        <v>2128</v>
      </c>
      <c r="F100" s="937">
        <v>2076</v>
      </c>
      <c r="G100" s="937">
        <v>2032</v>
      </c>
      <c r="H100" s="937">
        <v>1911</v>
      </c>
      <c r="I100" s="937">
        <v>1805</v>
      </c>
      <c r="J100" s="937">
        <v>1636</v>
      </c>
    </row>
    <row r="101" spans="2:10">
      <c r="B101" s="186" t="s">
        <v>402</v>
      </c>
      <c r="C101" s="3"/>
      <c r="D101" s="3"/>
      <c r="E101" s="3"/>
      <c r="F101" s="3"/>
      <c r="G101" s="3"/>
      <c r="H101" s="3"/>
      <c r="I101" s="3"/>
      <c r="J101" s="3"/>
    </row>
    <row r="102" spans="2:10">
      <c r="B102" s="186" t="s">
        <v>401</v>
      </c>
      <c r="C102" s="3"/>
      <c r="D102" s="3"/>
      <c r="E102" s="3"/>
      <c r="F102" s="3"/>
      <c r="G102" s="3"/>
      <c r="H102" s="3"/>
      <c r="I102" s="3"/>
      <c r="J102" s="3"/>
    </row>
    <row r="103" spans="2:10">
      <c r="B103" s="186"/>
      <c r="C103" s="3"/>
      <c r="D103" s="3"/>
      <c r="E103" s="3"/>
      <c r="F103" s="3"/>
      <c r="G103" s="3"/>
      <c r="H103" s="3"/>
      <c r="I103" s="3"/>
      <c r="J103" s="3"/>
    </row>
    <row r="104" spans="2:10" ht="26">
      <c r="B104" s="148" t="s">
        <v>404</v>
      </c>
      <c r="C104" s="3"/>
      <c r="D104" s="3"/>
      <c r="E104" s="3"/>
      <c r="F104" s="3"/>
      <c r="G104" s="3"/>
      <c r="H104" s="3"/>
      <c r="I104" s="3"/>
      <c r="J104" s="3"/>
    </row>
    <row r="105" spans="2:10">
      <c r="B105" s="186" t="s">
        <v>399</v>
      </c>
      <c r="C105" s="16">
        <v>35</v>
      </c>
      <c r="D105" s="16">
        <v>31</v>
      </c>
      <c r="E105" s="16">
        <v>31</v>
      </c>
      <c r="F105" s="16">
        <v>31</v>
      </c>
      <c r="G105" s="16">
        <v>31</v>
      </c>
      <c r="H105" s="16">
        <v>31</v>
      </c>
      <c r="I105" s="16">
        <v>31</v>
      </c>
      <c r="J105" s="16">
        <v>30</v>
      </c>
    </row>
    <row r="106" spans="2:10">
      <c r="B106" s="186" t="s">
        <v>408</v>
      </c>
      <c r="C106" s="16">
        <v>2132</v>
      </c>
      <c r="D106" s="16">
        <v>1953</v>
      </c>
      <c r="E106" s="16">
        <v>2239</v>
      </c>
      <c r="F106" s="16">
        <v>2344</v>
      </c>
      <c r="G106" s="16">
        <v>2441</v>
      </c>
      <c r="H106" s="16">
        <v>2572</v>
      </c>
      <c r="I106" s="16">
        <v>2536</v>
      </c>
      <c r="J106" s="16">
        <v>2532</v>
      </c>
    </row>
    <row r="107" spans="2:10">
      <c r="B107" s="186" t="s">
        <v>402</v>
      </c>
      <c r="C107" s="3"/>
      <c r="D107" s="3"/>
      <c r="E107" s="3"/>
      <c r="F107" s="3"/>
      <c r="G107" s="3"/>
      <c r="H107" s="3"/>
      <c r="I107" s="3"/>
      <c r="J107" s="3"/>
    </row>
    <row r="108" spans="2:10">
      <c r="B108" s="186" t="s">
        <v>401</v>
      </c>
      <c r="C108" s="3"/>
      <c r="D108" s="3"/>
      <c r="E108" s="3"/>
      <c r="F108" s="3"/>
      <c r="G108" s="3"/>
      <c r="H108" s="3"/>
      <c r="I108" s="3"/>
      <c r="J108" s="3"/>
    </row>
    <row r="109" spans="2:10">
      <c r="B109" s="186"/>
      <c r="C109" s="3"/>
      <c r="D109" s="3"/>
      <c r="E109" s="3"/>
      <c r="F109" s="3"/>
      <c r="G109" s="3"/>
      <c r="H109" s="3"/>
      <c r="I109" s="3"/>
      <c r="J109" s="3"/>
    </row>
    <row r="110" spans="2:10">
      <c r="B110" s="114" t="s">
        <v>400</v>
      </c>
      <c r="C110" s="3"/>
      <c r="D110" s="3"/>
      <c r="E110" s="3"/>
      <c r="F110" s="3"/>
      <c r="G110" s="3"/>
      <c r="H110" s="3"/>
      <c r="I110" s="3"/>
      <c r="J110" s="3"/>
    </row>
    <row r="111" spans="2:10">
      <c r="B111" s="186" t="s">
        <v>399</v>
      </c>
      <c r="C111" s="3"/>
      <c r="D111" s="3"/>
      <c r="E111" s="3"/>
      <c r="F111" s="3"/>
      <c r="G111" s="3"/>
      <c r="H111" s="3"/>
      <c r="I111" s="3"/>
      <c r="J111" s="3"/>
    </row>
    <row r="112" spans="2:10">
      <c r="B112" s="186" t="s">
        <v>401</v>
      </c>
      <c r="C112" s="3"/>
      <c r="D112" s="3"/>
      <c r="E112" s="3"/>
      <c r="F112" s="3"/>
      <c r="G112" s="3"/>
      <c r="H112" s="3"/>
      <c r="I112" s="3"/>
      <c r="J112" s="3"/>
    </row>
    <row r="113" spans="2:10" ht="15" thickBot="1">
      <c r="B113" s="183" t="s">
        <v>395</v>
      </c>
      <c r="C113" s="3"/>
      <c r="D113" s="3"/>
      <c r="E113" s="3"/>
      <c r="F113" s="3"/>
      <c r="G113" s="3"/>
      <c r="H113" s="100"/>
      <c r="I113" s="100"/>
      <c r="J113" s="100"/>
    </row>
    <row r="114" spans="2:10" ht="15" thickTop="1">
      <c r="B114" s="2025" t="s">
        <v>1470</v>
      </c>
      <c r="C114" s="2025"/>
      <c r="D114" s="2025"/>
      <c r="E114" s="2025"/>
      <c r="F114" s="2025"/>
      <c r="G114" s="2025"/>
      <c r="H114" s="1"/>
      <c r="I114" s="1"/>
      <c r="J114" s="1"/>
    </row>
    <row r="115" spans="2:10">
      <c r="B115" s="64"/>
      <c r="C115" s="1"/>
      <c r="D115" s="1"/>
      <c r="E115" s="1"/>
      <c r="F115" s="1"/>
      <c r="G115" s="1"/>
      <c r="H115" s="1"/>
      <c r="I115" s="1"/>
      <c r="J115" s="1"/>
    </row>
    <row r="116" spans="2:10">
      <c r="B116" s="2024" t="s">
        <v>393</v>
      </c>
      <c r="C116" s="2024"/>
      <c r="D116" s="2024"/>
      <c r="E116" s="2024"/>
      <c r="F116" s="2024"/>
      <c r="G116" s="2024"/>
      <c r="H116" s="2024"/>
      <c r="I116" s="2024"/>
      <c r="J116" s="2024"/>
    </row>
    <row r="117" spans="2:10">
      <c r="B117" s="12" t="s">
        <v>392</v>
      </c>
      <c r="C117" s="1"/>
      <c r="D117" s="1"/>
      <c r="E117" s="1"/>
      <c r="F117" s="1"/>
      <c r="G117" s="1"/>
      <c r="H117" s="1"/>
      <c r="I117" s="1"/>
      <c r="J117" s="1"/>
    </row>
    <row r="118" spans="2:10">
      <c r="B118" s="62" t="s">
        <v>269</v>
      </c>
      <c r="C118" s="1"/>
      <c r="D118" s="1"/>
      <c r="E118" s="1"/>
      <c r="F118" s="1"/>
      <c r="G118" s="1"/>
      <c r="H118" s="1"/>
      <c r="I118" s="1"/>
      <c r="J118" s="1"/>
    </row>
    <row r="119" spans="2:10">
      <c r="B119" s="64"/>
      <c r="C119" s="1"/>
      <c r="D119" s="1"/>
      <c r="E119" s="1"/>
      <c r="F119" s="1"/>
      <c r="G119" s="1"/>
      <c r="H119" s="1"/>
      <c r="I119" s="1"/>
      <c r="J119" s="1"/>
    </row>
    <row r="120" spans="2:10">
      <c r="B120" s="61"/>
      <c r="C120" s="935">
        <v>2014</v>
      </c>
      <c r="D120" s="935">
        <v>2015</v>
      </c>
      <c r="E120" s="935">
        <v>2016</v>
      </c>
      <c r="F120" s="935">
        <v>2017</v>
      </c>
      <c r="G120" s="935">
        <v>2018</v>
      </c>
      <c r="H120" s="935">
        <v>2019</v>
      </c>
      <c r="I120" s="935">
        <v>2020</v>
      </c>
      <c r="J120" s="935">
        <v>2021</v>
      </c>
    </row>
    <row r="121" spans="2:10">
      <c r="B121" s="179" t="s">
        <v>391</v>
      </c>
      <c r="C121" s="1"/>
      <c r="D121" s="1"/>
      <c r="E121" s="1"/>
      <c r="F121" s="1"/>
      <c r="G121" s="1"/>
      <c r="H121" s="1"/>
      <c r="I121" s="1"/>
      <c r="J121" s="1"/>
    </row>
    <row r="122" spans="2:10">
      <c r="B122" s="149" t="s">
        <v>390</v>
      </c>
      <c r="C122" s="3">
        <v>0</v>
      </c>
      <c r="D122" s="3">
        <v>0</v>
      </c>
      <c r="E122" s="3">
        <v>0</v>
      </c>
      <c r="F122" s="3">
        <v>0</v>
      </c>
      <c r="G122" s="3">
        <v>0</v>
      </c>
      <c r="H122" s="3">
        <v>0</v>
      </c>
      <c r="I122" s="3">
        <v>0</v>
      </c>
      <c r="J122" s="3">
        <v>0</v>
      </c>
    </row>
    <row r="123" spans="2:10">
      <c r="B123" s="149" t="s">
        <v>389</v>
      </c>
      <c r="C123" s="3">
        <v>0</v>
      </c>
      <c r="D123" s="3">
        <v>0</v>
      </c>
      <c r="E123" s="3">
        <v>0</v>
      </c>
      <c r="F123" s="3">
        <v>0</v>
      </c>
      <c r="G123" s="3">
        <v>0</v>
      </c>
      <c r="H123" s="3">
        <v>0</v>
      </c>
      <c r="I123" s="3">
        <v>0</v>
      </c>
      <c r="J123" s="3">
        <v>0</v>
      </c>
    </row>
    <row r="124" spans="2:10">
      <c r="B124" s="149" t="s">
        <v>388</v>
      </c>
      <c r="C124" s="3">
        <v>0</v>
      </c>
      <c r="D124" s="3">
        <v>0</v>
      </c>
      <c r="E124" s="3">
        <v>0</v>
      </c>
      <c r="F124" s="3">
        <v>0</v>
      </c>
      <c r="G124" s="3">
        <v>0</v>
      </c>
      <c r="H124" s="3">
        <v>0</v>
      </c>
      <c r="I124" s="3">
        <v>0</v>
      </c>
      <c r="J124" s="3">
        <v>0</v>
      </c>
    </row>
    <row r="125" spans="2:10">
      <c r="B125" s="149" t="s">
        <v>387</v>
      </c>
      <c r="C125" s="3">
        <v>0</v>
      </c>
      <c r="D125" s="3">
        <v>0</v>
      </c>
      <c r="E125" s="3">
        <v>0</v>
      </c>
      <c r="F125" s="3">
        <v>0</v>
      </c>
      <c r="G125" s="3">
        <v>0</v>
      </c>
      <c r="H125" s="3">
        <v>0</v>
      </c>
      <c r="I125" s="3">
        <v>0</v>
      </c>
      <c r="J125" s="3">
        <v>0</v>
      </c>
    </row>
    <row r="126" spans="2:10">
      <c r="B126" s="149" t="s">
        <v>386</v>
      </c>
      <c r="C126" s="3">
        <v>0</v>
      </c>
      <c r="D126" s="3">
        <v>0</v>
      </c>
      <c r="E126" s="3">
        <v>0</v>
      </c>
      <c r="F126" s="3">
        <v>0</v>
      </c>
      <c r="G126" s="3">
        <v>0</v>
      </c>
      <c r="H126" s="3">
        <v>0</v>
      </c>
      <c r="I126" s="3">
        <v>0</v>
      </c>
      <c r="J126" s="3">
        <v>0</v>
      </c>
    </row>
    <row r="127" spans="2:10" ht="26">
      <c r="B127" s="147" t="s">
        <v>385</v>
      </c>
      <c r="C127" s="3">
        <v>0</v>
      </c>
      <c r="D127" s="3">
        <v>0</v>
      </c>
      <c r="E127" s="3">
        <v>0</v>
      </c>
      <c r="F127" s="3">
        <v>0</v>
      </c>
      <c r="G127" s="3">
        <v>0</v>
      </c>
      <c r="H127" s="3">
        <v>0</v>
      </c>
      <c r="I127" s="3">
        <v>0</v>
      </c>
      <c r="J127" s="3">
        <v>0</v>
      </c>
    </row>
    <row r="128" spans="2:10">
      <c r="B128" s="54" t="s">
        <v>384</v>
      </c>
      <c r="C128" s="3">
        <v>0</v>
      </c>
      <c r="D128" s="3">
        <v>0</v>
      </c>
      <c r="E128" s="3">
        <v>0</v>
      </c>
      <c r="F128" s="3">
        <v>0</v>
      </c>
      <c r="G128" s="3">
        <v>0</v>
      </c>
      <c r="H128" s="3">
        <v>0</v>
      </c>
      <c r="I128" s="3">
        <v>0</v>
      </c>
      <c r="J128" s="3">
        <v>0</v>
      </c>
    </row>
    <row r="129" spans="2:10" ht="26">
      <c r="B129" s="147" t="s">
        <v>383</v>
      </c>
      <c r="C129" s="3">
        <v>0</v>
      </c>
      <c r="D129" s="3">
        <v>0</v>
      </c>
      <c r="E129" s="3">
        <v>0</v>
      </c>
      <c r="F129" s="3">
        <v>0</v>
      </c>
      <c r="G129" s="3">
        <v>0</v>
      </c>
      <c r="H129" s="3">
        <v>0</v>
      </c>
      <c r="I129" s="3">
        <v>0</v>
      </c>
      <c r="J129" s="3">
        <v>0</v>
      </c>
    </row>
    <row r="130" spans="2:10">
      <c r="B130" s="149" t="s">
        <v>382</v>
      </c>
      <c r="C130" s="3">
        <v>0</v>
      </c>
      <c r="D130" s="3">
        <v>0</v>
      </c>
      <c r="E130" s="3">
        <v>0</v>
      </c>
      <c r="F130" s="3">
        <v>0</v>
      </c>
      <c r="G130" s="3">
        <v>0</v>
      </c>
      <c r="H130" s="3">
        <v>0</v>
      </c>
      <c r="I130" s="3">
        <v>0</v>
      </c>
      <c r="J130" s="3">
        <v>0</v>
      </c>
    </row>
    <row r="131" spans="2:10">
      <c r="B131" s="149"/>
      <c r="C131" s="3"/>
      <c r="D131" s="67"/>
      <c r="E131" s="67"/>
      <c r="F131" s="67"/>
      <c r="G131" s="67"/>
      <c r="H131" s="67"/>
      <c r="I131" s="67"/>
      <c r="J131" s="67"/>
    </row>
    <row r="132" spans="2:10">
      <c r="B132" s="175" t="s">
        <v>381</v>
      </c>
      <c r="C132" s="3"/>
      <c r="D132" s="67"/>
      <c r="E132" s="67"/>
      <c r="F132" s="67"/>
      <c r="G132" s="67"/>
      <c r="H132" s="67"/>
      <c r="I132" s="67"/>
      <c r="J132" s="67"/>
    </row>
    <row r="133" spans="2:10">
      <c r="B133" s="149" t="s">
        <v>380</v>
      </c>
      <c r="C133" s="3">
        <v>0</v>
      </c>
      <c r="D133" s="3">
        <v>0</v>
      </c>
      <c r="E133" s="3">
        <v>0</v>
      </c>
      <c r="F133" s="3">
        <v>0</v>
      </c>
      <c r="G133" s="3">
        <v>0</v>
      </c>
      <c r="H133" s="3">
        <v>0</v>
      </c>
      <c r="I133" s="3">
        <v>0</v>
      </c>
      <c r="J133" s="3">
        <v>0</v>
      </c>
    </row>
    <row r="134" spans="2:10">
      <c r="B134" s="172" t="s">
        <v>379</v>
      </c>
      <c r="C134" s="3"/>
      <c r="D134" s="67"/>
      <c r="E134" s="67"/>
      <c r="F134" s="67"/>
      <c r="G134" s="67"/>
      <c r="H134" s="67"/>
      <c r="I134" s="67"/>
      <c r="J134" s="67"/>
    </row>
    <row r="135" spans="2:10">
      <c r="B135" s="168" t="s">
        <v>378</v>
      </c>
      <c r="C135" s="3">
        <v>0</v>
      </c>
      <c r="D135" s="3">
        <v>0</v>
      </c>
      <c r="E135" s="3">
        <v>0</v>
      </c>
      <c r="F135" s="3">
        <v>0</v>
      </c>
      <c r="G135" s="3">
        <v>0</v>
      </c>
      <c r="H135" s="3">
        <v>0</v>
      </c>
      <c r="I135" s="3">
        <v>0</v>
      </c>
      <c r="J135" s="3">
        <v>0</v>
      </c>
    </row>
    <row r="136" spans="2:10">
      <c r="B136" s="168" t="s">
        <v>377</v>
      </c>
      <c r="C136" s="3">
        <v>0</v>
      </c>
      <c r="D136" s="3">
        <v>0</v>
      </c>
      <c r="E136" s="3">
        <v>0</v>
      </c>
      <c r="F136" s="3">
        <v>0</v>
      </c>
      <c r="G136" s="3">
        <v>0</v>
      </c>
      <c r="H136" s="3">
        <v>0</v>
      </c>
      <c r="I136" s="3">
        <v>0</v>
      </c>
      <c r="J136" s="3">
        <v>0</v>
      </c>
    </row>
    <row r="137" spans="2:10">
      <c r="B137" s="149" t="s">
        <v>376</v>
      </c>
      <c r="C137" s="3">
        <v>0</v>
      </c>
      <c r="D137" s="3">
        <v>0</v>
      </c>
      <c r="E137" s="3">
        <v>0</v>
      </c>
      <c r="F137" s="3">
        <v>0</v>
      </c>
      <c r="G137" s="3">
        <v>0</v>
      </c>
      <c r="H137" s="3">
        <v>0</v>
      </c>
      <c r="I137" s="3">
        <v>0</v>
      </c>
      <c r="J137" s="3">
        <v>0</v>
      </c>
    </row>
    <row r="138" spans="2:10">
      <c r="B138" s="149"/>
      <c r="C138" s="3"/>
      <c r="D138" s="3"/>
      <c r="E138" s="3"/>
      <c r="F138" s="3"/>
      <c r="G138" s="3"/>
      <c r="H138" s="3"/>
      <c r="I138" s="3"/>
      <c r="J138" s="3"/>
    </row>
    <row r="139" spans="2:10">
      <c r="B139" s="149" t="s">
        <v>375</v>
      </c>
      <c r="C139" s="3">
        <v>0</v>
      </c>
      <c r="D139" s="3">
        <v>0</v>
      </c>
      <c r="E139" s="3">
        <v>0</v>
      </c>
      <c r="F139" s="3">
        <v>0</v>
      </c>
      <c r="G139" s="3">
        <v>0</v>
      </c>
      <c r="H139" s="3">
        <v>0</v>
      </c>
      <c r="I139" s="3">
        <v>0</v>
      </c>
      <c r="J139" s="3">
        <v>0</v>
      </c>
    </row>
    <row r="140" spans="2:10">
      <c r="B140" s="168" t="s">
        <v>374</v>
      </c>
      <c r="C140" s="3"/>
      <c r="D140" s="3"/>
      <c r="E140" s="3"/>
      <c r="F140" s="3"/>
      <c r="G140" s="3"/>
      <c r="H140" s="3"/>
      <c r="I140" s="3"/>
      <c r="J140" s="3"/>
    </row>
    <row r="141" spans="2:10">
      <c r="B141" s="149" t="s">
        <v>478</v>
      </c>
      <c r="C141" s="3">
        <v>0</v>
      </c>
      <c r="D141" s="3">
        <v>0</v>
      </c>
      <c r="E141" s="3">
        <v>0</v>
      </c>
      <c r="F141" s="3">
        <v>0</v>
      </c>
      <c r="G141" s="3">
        <v>0</v>
      </c>
      <c r="H141" s="3">
        <v>0</v>
      </c>
      <c r="I141" s="3">
        <v>0</v>
      </c>
      <c r="J141" s="3">
        <v>0</v>
      </c>
    </row>
    <row r="142" spans="2:10">
      <c r="B142" s="165" t="s">
        <v>373</v>
      </c>
      <c r="C142" s="3">
        <v>0</v>
      </c>
      <c r="D142" s="3">
        <v>0</v>
      </c>
      <c r="E142" s="3">
        <v>0</v>
      </c>
      <c r="F142" s="3">
        <v>0</v>
      </c>
      <c r="G142" s="3">
        <v>0</v>
      </c>
      <c r="H142" s="3">
        <v>0</v>
      </c>
      <c r="I142" s="3">
        <v>0</v>
      </c>
      <c r="J142" s="3">
        <v>0</v>
      </c>
    </row>
    <row r="143" spans="2:10">
      <c r="B143" s="149" t="s">
        <v>372</v>
      </c>
      <c r="C143" s="3">
        <v>0</v>
      </c>
      <c r="D143" s="3">
        <v>0</v>
      </c>
      <c r="E143" s="3">
        <v>0</v>
      </c>
      <c r="F143" s="3">
        <v>0</v>
      </c>
      <c r="G143" s="3">
        <v>0</v>
      </c>
      <c r="H143" s="3">
        <v>0</v>
      </c>
      <c r="I143" s="3">
        <v>0</v>
      </c>
      <c r="J143" s="3">
        <v>0</v>
      </c>
    </row>
    <row r="144" spans="2:10">
      <c r="B144" s="149" t="s">
        <v>371</v>
      </c>
      <c r="C144" s="3">
        <v>0</v>
      </c>
      <c r="D144" s="3">
        <v>0</v>
      </c>
      <c r="E144" s="3">
        <v>0</v>
      </c>
      <c r="F144" s="3">
        <v>0</v>
      </c>
      <c r="G144" s="3">
        <v>0</v>
      </c>
      <c r="H144" s="3">
        <v>0</v>
      </c>
      <c r="I144" s="3">
        <v>0</v>
      </c>
      <c r="J144" s="3">
        <v>0</v>
      </c>
    </row>
    <row r="145" spans="2:10">
      <c r="B145" s="147" t="s">
        <v>370</v>
      </c>
      <c r="C145" s="3">
        <v>0</v>
      </c>
      <c r="D145" s="3">
        <v>0</v>
      </c>
      <c r="E145" s="3">
        <v>0</v>
      </c>
      <c r="F145" s="3">
        <v>0</v>
      </c>
      <c r="G145" s="3">
        <v>0</v>
      </c>
      <c r="H145" s="3">
        <v>0</v>
      </c>
      <c r="I145" s="3">
        <v>0</v>
      </c>
      <c r="J145" s="3">
        <v>0</v>
      </c>
    </row>
    <row r="146" spans="2:10" ht="15" thickBot="1">
      <c r="B146" s="209" t="s">
        <v>369</v>
      </c>
      <c r="C146" s="3">
        <v>0</v>
      </c>
      <c r="D146" s="3">
        <v>0</v>
      </c>
      <c r="E146" s="3">
        <v>0</v>
      </c>
      <c r="F146" s="3">
        <v>0</v>
      </c>
      <c r="G146" s="3">
        <v>0</v>
      </c>
      <c r="H146" s="100">
        <v>0</v>
      </c>
      <c r="I146" s="100">
        <v>0</v>
      </c>
      <c r="J146" s="100">
        <v>0</v>
      </c>
    </row>
    <row r="147" spans="2:10" ht="15" thickTop="1">
      <c r="B147" s="2025" t="s">
        <v>1470</v>
      </c>
      <c r="C147" s="2025"/>
      <c r="D147" s="2025"/>
      <c r="E147" s="2025"/>
      <c r="F147" s="2025"/>
      <c r="G147" s="2025"/>
      <c r="H147" s="1"/>
      <c r="I147" s="1"/>
      <c r="J147" s="1"/>
    </row>
    <row r="148" spans="2:10">
      <c r="B148" s="64"/>
      <c r="C148" s="1"/>
      <c r="D148" s="1"/>
      <c r="E148" s="1"/>
      <c r="F148" s="1"/>
      <c r="G148" s="1"/>
      <c r="H148" s="1"/>
      <c r="I148" s="1"/>
      <c r="J148" s="1"/>
    </row>
    <row r="149" spans="2:10">
      <c r="B149" s="2024" t="s">
        <v>367</v>
      </c>
      <c r="C149" s="2024"/>
      <c r="D149" s="2024"/>
      <c r="E149" s="2024"/>
      <c r="F149" s="2024"/>
      <c r="G149" s="2024"/>
      <c r="H149" s="2024"/>
      <c r="I149" s="2024"/>
      <c r="J149" s="2024"/>
    </row>
    <row r="150" spans="2:10">
      <c r="B150" s="12" t="s">
        <v>366</v>
      </c>
      <c r="C150" s="1"/>
      <c r="D150" s="1"/>
      <c r="E150" s="1"/>
      <c r="F150" s="1"/>
      <c r="G150" s="1"/>
      <c r="H150" s="1"/>
      <c r="I150" s="1"/>
      <c r="J150" s="1"/>
    </row>
    <row r="151" spans="2:10">
      <c r="B151" s="62" t="s">
        <v>210</v>
      </c>
      <c r="C151" s="1"/>
      <c r="D151" s="1"/>
      <c r="E151" s="1"/>
      <c r="F151" s="1"/>
      <c r="G151" s="1"/>
      <c r="H151" s="1"/>
      <c r="I151" s="1"/>
      <c r="J151" s="1"/>
    </row>
    <row r="152" spans="2:10">
      <c r="B152" s="64"/>
      <c r="C152" s="1"/>
      <c r="D152" s="1"/>
      <c r="E152" s="1"/>
      <c r="F152" s="1"/>
      <c r="G152" s="1"/>
      <c r="H152" s="1"/>
      <c r="I152" s="1"/>
      <c r="J152" s="1"/>
    </row>
    <row r="153" spans="2:10">
      <c r="B153" s="61"/>
      <c r="C153" s="935">
        <v>2014</v>
      </c>
      <c r="D153" s="935">
        <v>2015</v>
      </c>
      <c r="E153" s="935">
        <v>2016</v>
      </c>
      <c r="F153" s="935">
        <v>2017</v>
      </c>
      <c r="G153" s="935">
        <v>2018</v>
      </c>
      <c r="H153" s="935">
        <v>2019</v>
      </c>
      <c r="I153" s="935">
        <v>2020</v>
      </c>
      <c r="J153" s="935">
        <v>2021</v>
      </c>
    </row>
    <row r="154" spans="2:10">
      <c r="B154" s="114" t="s">
        <v>362</v>
      </c>
      <c r="C154" s="1"/>
      <c r="D154" s="1"/>
      <c r="E154" s="1"/>
      <c r="F154" s="1"/>
      <c r="G154" s="1"/>
      <c r="H154" s="1"/>
      <c r="I154" s="1"/>
      <c r="J154" s="1"/>
    </row>
    <row r="155" spans="2:10">
      <c r="B155" s="54" t="s">
        <v>361</v>
      </c>
      <c r="C155" s="327">
        <v>205330.29045599999</v>
      </c>
      <c r="D155" s="327">
        <v>228892.476383</v>
      </c>
      <c r="E155" s="327">
        <v>191338.51181799997</v>
      </c>
      <c r="F155" s="327">
        <v>224658.40400099999</v>
      </c>
      <c r="G155" s="327">
        <v>279972.34216299996</v>
      </c>
      <c r="H155" s="327">
        <v>384542.39500299998</v>
      </c>
      <c r="I155" s="327">
        <v>659511.25916300004</v>
      </c>
      <c r="J155" s="327">
        <v>1285829.4235340001</v>
      </c>
    </row>
    <row r="156" spans="2:10">
      <c r="B156" s="151" t="s">
        <v>360</v>
      </c>
      <c r="C156" s="327"/>
      <c r="D156" s="327"/>
      <c r="E156" s="327"/>
      <c r="F156" s="327"/>
      <c r="G156" s="327"/>
      <c r="H156" s="327"/>
      <c r="I156" s="327"/>
      <c r="J156" s="327"/>
    </row>
    <row r="157" spans="2:10" ht="15">
      <c r="B157" s="151" t="s">
        <v>1494</v>
      </c>
      <c r="C157" s="327">
        <v>205330.29045599999</v>
      </c>
      <c r="D157" s="327">
        <v>228892.476383</v>
      </c>
      <c r="E157" s="327">
        <v>191338.51181799997</v>
      </c>
      <c r="F157" s="327">
        <v>224658.40400099999</v>
      </c>
      <c r="G157" s="327">
        <v>279972.34216299996</v>
      </c>
      <c r="H157" s="327">
        <v>384542.39500299998</v>
      </c>
      <c r="I157" s="327">
        <v>659511.25916300004</v>
      </c>
      <c r="J157" s="327">
        <v>1285829.4235340001</v>
      </c>
    </row>
    <row r="158" spans="2:10">
      <c r="B158" s="152" t="s">
        <v>358</v>
      </c>
      <c r="C158" s="327">
        <v>26426.684999999998</v>
      </c>
      <c r="D158" s="327">
        <v>25836.725999999999</v>
      </c>
      <c r="E158" s="327">
        <v>24863.258999999998</v>
      </c>
      <c r="F158" s="66">
        <v>19114.399000000001</v>
      </c>
      <c r="G158" s="66">
        <v>19169.582999999999</v>
      </c>
      <c r="H158" s="66">
        <v>52636.298999999999</v>
      </c>
      <c r="I158" s="66">
        <v>50292.935000000005</v>
      </c>
      <c r="J158" s="66">
        <v>49229.259999999995</v>
      </c>
    </row>
    <row r="159" spans="2:10">
      <c r="B159" s="71" t="s">
        <v>357</v>
      </c>
      <c r="C159" s="327">
        <v>234778.99</v>
      </c>
      <c r="D159" s="327">
        <v>272063.18</v>
      </c>
      <c r="E159" s="327">
        <v>327030.36199999996</v>
      </c>
      <c r="F159" s="66">
        <v>366678.728</v>
      </c>
      <c r="G159" s="66">
        <v>449063.29499999993</v>
      </c>
      <c r="H159" s="66">
        <v>540548.18800000008</v>
      </c>
      <c r="I159" s="66">
        <v>454100.109</v>
      </c>
      <c r="J159" s="66">
        <v>727419.42700000003</v>
      </c>
    </row>
    <row r="160" spans="2:10">
      <c r="B160" s="151" t="s">
        <v>356</v>
      </c>
      <c r="C160" s="327">
        <v>121047.045</v>
      </c>
      <c r="D160" s="327">
        <v>143285.27100000001</v>
      </c>
      <c r="E160" s="327">
        <v>171813.24200000003</v>
      </c>
      <c r="F160" s="66">
        <v>198776.997</v>
      </c>
      <c r="G160" s="66">
        <v>253004.23399999997</v>
      </c>
      <c r="H160" s="66">
        <v>316322.95200000005</v>
      </c>
      <c r="I160" s="66">
        <v>307493.20699999999</v>
      </c>
      <c r="J160" s="66">
        <v>526141.64300000004</v>
      </c>
    </row>
    <row r="161" spans="2:10">
      <c r="B161" s="151" t="s">
        <v>355</v>
      </c>
      <c r="C161" s="327"/>
      <c r="D161" s="327"/>
      <c r="E161" s="327"/>
      <c r="F161" s="327"/>
      <c r="G161" s="327"/>
      <c r="H161" s="327"/>
      <c r="I161" s="327"/>
      <c r="J161" s="327"/>
    </row>
    <row r="162" spans="2:10">
      <c r="B162" s="151" t="s">
        <v>354</v>
      </c>
      <c r="C162" s="327">
        <v>113731.94500000001</v>
      </c>
      <c r="D162" s="327">
        <v>128777.909</v>
      </c>
      <c r="E162" s="327">
        <v>155217.11999999997</v>
      </c>
      <c r="F162" s="66">
        <v>167901.731</v>
      </c>
      <c r="G162" s="66">
        <v>196059.06099999999</v>
      </c>
      <c r="H162" s="66">
        <v>224225.23600000006</v>
      </c>
      <c r="I162" s="66">
        <v>146606.902</v>
      </c>
      <c r="J162" s="66">
        <v>201277.78399999999</v>
      </c>
    </row>
    <row r="163" spans="2:10">
      <c r="B163" s="71" t="s">
        <v>338</v>
      </c>
      <c r="C163" s="327"/>
      <c r="D163" s="327"/>
      <c r="E163" s="327">
        <v>34.319000000000003</v>
      </c>
      <c r="F163" s="327">
        <v>243.30700000000002</v>
      </c>
      <c r="G163" s="327">
        <v>557.09299999999996</v>
      </c>
      <c r="H163" s="327">
        <v>710.80799999999999</v>
      </c>
      <c r="I163" s="327">
        <v>768.2349999999999</v>
      </c>
      <c r="J163" s="327">
        <v>710.71199999999988</v>
      </c>
    </row>
    <row r="164" spans="2:10">
      <c r="B164" s="71" t="s">
        <v>353</v>
      </c>
      <c r="C164" s="327">
        <v>34043.728000000003</v>
      </c>
      <c r="D164" s="327">
        <v>30712.535000000003</v>
      </c>
      <c r="E164" s="327">
        <v>27983.548000000003</v>
      </c>
      <c r="F164" s="66">
        <v>24541.032999999999</v>
      </c>
      <c r="G164" s="66">
        <v>22275.134000000002</v>
      </c>
      <c r="H164" s="66">
        <v>18923.025000000001</v>
      </c>
      <c r="I164" s="66">
        <v>8469.8119999999999</v>
      </c>
      <c r="J164" s="66">
        <v>6520.3449999999984</v>
      </c>
    </row>
    <row r="165" spans="2:10">
      <c r="B165" s="150" t="s">
        <v>352</v>
      </c>
      <c r="C165" s="327">
        <v>29773.163</v>
      </c>
      <c r="D165" s="327">
        <v>26765.312000000002</v>
      </c>
      <c r="E165" s="327">
        <v>24368.869000000002</v>
      </c>
      <c r="F165" s="66">
        <v>21345.906999999999</v>
      </c>
      <c r="G165" s="66">
        <v>19497.274000000001</v>
      </c>
      <c r="H165" s="66">
        <v>16797.216</v>
      </c>
      <c r="I165" s="66">
        <v>7635.5380000000005</v>
      </c>
      <c r="J165" s="66">
        <v>5814.1599999999989</v>
      </c>
    </row>
    <row r="166" spans="2:10">
      <c r="B166" s="150" t="s">
        <v>351</v>
      </c>
      <c r="C166" s="327">
        <v>4270.5649999999996</v>
      </c>
      <c r="D166" s="327">
        <v>3947.223</v>
      </c>
      <c r="E166" s="327">
        <v>3614.6790000000001</v>
      </c>
      <c r="F166" s="66">
        <v>3195.1259999999997</v>
      </c>
      <c r="G166" s="66">
        <v>2777.8600000000006</v>
      </c>
      <c r="H166" s="66">
        <v>2125.8089999999997</v>
      </c>
      <c r="I166" s="66">
        <v>834.274</v>
      </c>
      <c r="J166" s="66">
        <v>706.18499999999972</v>
      </c>
    </row>
    <row r="167" spans="2:10">
      <c r="B167" s="54" t="s">
        <v>350</v>
      </c>
      <c r="C167" s="327"/>
      <c r="D167" s="327"/>
      <c r="E167" s="327"/>
      <c r="F167" s="327"/>
      <c r="G167" s="327"/>
      <c r="H167" s="327"/>
      <c r="I167" s="327"/>
      <c r="J167" s="327"/>
    </row>
    <row r="168" spans="2:10">
      <c r="B168" s="54"/>
      <c r="J168" s="267"/>
    </row>
    <row r="169" spans="2:10" ht="25">
      <c r="B169" s="54" t="s">
        <v>365</v>
      </c>
      <c r="C169" s="938">
        <f>C155+C158+C159+C163+C164</f>
        <v>500579.69345599995</v>
      </c>
      <c r="D169" s="938">
        <f t="shared" ref="D169:J169" si="0">D155+D158+D159+D163+D164</f>
        <v>557504.91738300002</v>
      </c>
      <c r="E169" s="938">
        <f t="shared" si="0"/>
        <v>571249.99981799989</v>
      </c>
      <c r="F169" s="938">
        <f t="shared" si="0"/>
        <v>635235.87100100005</v>
      </c>
      <c r="G169" s="938">
        <f t="shared" si="0"/>
        <v>771037.44716299977</v>
      </c>
      <c r="H169" s="938">
        <f t="shared" si="0"/>
        <v>997360.71500299999</v>
      </c>
      <c r="I169" s="938">
        <f t="shared" si="0"/>
        <v>1173142.3501630002</v>
      </c>
      <c r="J169" s="938">
        <f t="shared" si="0"/>
        <v>2069709.1675340002</v>
      </c>
    </row>
    <row r="170" spans="2:10">
      <c r="B170" s="147" t="s">
        <v>348</v>
      </c>
      <c r="C170" s="66"/>
      <c r="D170" s="66"/>
      <c r="E170" s="66"/>
      <c r="F170" s="66"/>
      <c r="G170" s="66"/>
      <c r="H170" s="66"/>
      <c r="I170" s="66"/>
      <c r="J170" s="66"/>
    </row>
    <row r="171" spans="2:10">
      <c r="B171" s="147"/>
      <c r="C171" s="66"/>
      <c r="D171" s="66"/>
      <c r="E171" s="66"/>
      <c r="F171" s="66"/>
      <c r="G171" s="66"/>
      <c r="H171" s="66"/>
      <c r="I171" s="66"/>
      <c r="J171" s="66"/>
    </row>
    <row r="172" spans="2:10">
      <c r="B172" s="54" t="s">
        <v>347</v>
      </c>
      <c r="C172" s="66"/>
      <c r="D172" s="66"/>
      <c r="E172" s="66"/>
      <c r="F172" s="66"/>
      <c r="G172" s="66"/>
      <c r="H172" s="66"/>
      <c r="I172" s="66"/>
      <c r="J172" s="66"/>
    </row>
    <row r="173" spans="2:10">
      <c r="B173" s="54"/>
      <c r="C173" s="267"/>
      <c r="D173" s="267"/>
      <c r="E173" s="267"/>
      <c r="F173" s="203"/>
      <c r="G173" s="203"/>
      <c r="H173" s="203"/>
      <c r="I173" s="203"/>
      <c r="J173" s="203"/>
    </row>
    <row r="174" spans="2:10">
      <c r="B174" s="114" t="s">
        <v>346</v>
      </c>
      <c r="C174" s="267"/>
      <c r="D174" s="267"/>
      <c r="E174" s="267"/>
      <c r="F174" s="203"/>
      <c r="G174" s="203"/>
      <c r="H174" s="203"/>
      <c r="I174" s="203"/>
      <c r="J174" s="203"/>
    </row>
    <row r="175" spans="2:10">
      <c r="B175" s="54" t="s">
        <v>342</v>
      </c>
      <c r="C175" s="939"/>
      <c r="D175" s="939"/>
      <c r="E175" s="939"/>
      <c r="F175" s="939"/>
      <c r="G175" s="939"/>
      <c r="H175" s="939"/>
      <c r="I175" s="939"/>
      <c r="J175" s="939"/>
    </row>
    <row r="176" spans="2:10">
      <c r="B176" s="147" t="s">
        <v>341</v>
      </c>
      <c r="C176" s="939">
        <v>351111.201</v>
      </c>
      <c r="D176" s="939">
        <v>382470.11599999998</v>
      </c>
      <c r="E176" s="939">
        <v>406234.75500000006</v>
      </c>
      <c r="F176" s="66">
        <v>432682.19699999993</v>
      </c>
      <c r="G176" s="66">
        <v>466562.35300000006</v>
      </c>
      <c r="H176" s="66">
        <v>495244.65499999997</v>
      </c>
      <c r="I176" s="66">
        <v>348605.81900000002</v>
      </c>
      <c r="J176" s="66">
        <v>387776.53600000002</v>
      </c>
    </row>
    <row r="177" spans="2:10">
      <c r="B177" s="147" t="s">
        <v>340</v>
      </c>
      <c r="C177" s="939"/>
      <c r="D177" s="939"/>
      <c r="E177" s="939"/>
      <c r="F177" s="939"/>
      <c r="G177" s="939"/>
      <c r="H177" s="939"/>
      <c r="I177" s="939"/>
      <c r="J177" s="939"/>
    </row>
    <row r="178" spans="2:10">
      <c r="B178" s="54" t="s">
        <v>339</v>
      </c>
      <c r="C178" s="939">
        <v>195867.96600000001</v>
      </c>
      <c r="D178" s="939">
        <v>227332.59299999999</v>
      </c>
      <c r="E178" s="939">
        <v>272547.63099999999</v>
      </c>
      <c r="F178" s="66">
        <v>293811.42300000001</v>
      </c>
      <c r="G178" s="66">
        <v>358030.92200000002</v>
      </c>
      <c r="H178" s="66">
        <v>411484.76199999999</v>
      </c>
      <c r="I178" s="66">
        <v>315998.61900000001</v>
      </c>
      <c r="J178" s="66">
        <v>473741</v>
      </c>
    </row>
    <row r="179" spans="2:10">
      <c r="B179" s="54" t="s">
        <v>338</v>
      </c>
      <c r="C179" s="327"/>
      <c r="D179" s="327"/>
      <c r="E179" s="327"/>
      <c r="F179" s="327"/>
      <c r="G179" s="327"/>
      <c r="H179" s="327"/>
      <c r="I179" s="327"/>
      <c r="J179" s="327"/>
    </row>
    <row r="180" spans="2:10">
      <c r="B180" s="147" t="s">
        <v>337</v>
      </c>
      <c r="C180" s="327"/>
      <c r="D180" s="327"/>
      <c r="E180" s="327"/>
      <c r="F180" s="327"/>
      <c r="G180" s="327"/>
      <c r="H180" s="327"/>
      <c r="I180" s="327"/>
      <c r="J180" s="327"/>
    </row>
    <row r="181" spans="2:10">
      <c r="B181" s="147" t="s">
        <v>336</v>
      </c>
      <c r="C181" s="327"/>
      <c r="D181" s="327"/>
      <c r="E181" s="327"/>
      <c r="F181" s="327"/>
      <c r="G181" s="327"/>
      <c r="H181" s="327"/>
      <c r="I181" s="327"/>
      <c r="J181" s="327"/>
    </row>
    <row r="182" spans="2:10">
      <c r="B182" s="147" t="s">
        <v>335</v>
      </c>
      <c r="C182" s="327"/>
      <c r="D182" s="327"/>
      <c r="E182" s="327"/>
      <c r="F182" s="327"/>
      <c r="G182" s="327"/>
      <c r="H182" s="327"/>
      <c r="I182" s="327"/>
      <c r="J182" s="327"/>
    </row>
    <row r="183" spans="2:10">
      <c r="B183" s="147"/>
      <c r="C183" s="267"/>
      <c r="D183" s="267"/>
      <c r="E183" s="267"/>
      <c r="F183" s="267"/>
      <c r="G183" s="267"/>
      <c r="H183" s="267"/>
      <c r="I183" s="267"/>
      <c r="J183" s="267"/>
    </row>
    <row r="184" spans="2:10" ht="26">
      <c r="B184" s="148" t="s">
        <v>345</v>
      </c>
      <c r="C184" s="267"/>
      <c r="D184" s="267"/>
      <c r="E184" s="267"/>
      <c r="F184" s="267"/>
      <c r="G184" s="267"/>
      <c r="H184" s="267"/>
      <c r="I184" s="267"/>
      <c r="J184" s="267"/>
    </row>
    <row r="185" spans="2:10">
      <c r="B185" s="54" t="s">
        <v>342</v>
      </c>
      <c r="C185" s="327"/>
      <c r="D185" s="327"/>
      <c r="E185" s="327"/>
      <c r="F185" s="327"/>
      <c r="G185" s="327"/>
      <c r="H185" s="327"/>
      <c r="I185" s="327"/>
      <c r="J185" s="327"/>
    </row>
    <row r="186" spans="2:10">
      <c r="B186" s="147" t="s">
        <v>341</v>
      </c>
      <c r="C186" s="327"/>
      <c r="D186" s="327"/>
      <c r="E186" s="327"/>
      <c r="F186" s="327"/>
      <c r="G186" s="327"/>
      <c r="H186" s="327"/>
      <c r="I186" s="327"/>
      <c r="J186" s="327"/>
    </row>
    <row r="187" spans="2:10">
      <c r="B187" s="147" t="s">
        <v>340</v>
      </c>
      <c r="C187" s="327"/>
      <c r="D187" s="327"/>
      <c r="E187" s="327"/>
      <c r="F187" s="327"/>
      <c r="G187" s="327"/>
      <c r="H187" s="327"/>
      <c r="I187" s="327"/>
      <c r="J187" s="327"/>
    </row>
    <row r="188" spans="2:10">
      <c r="B188" s="54" t="s">
        <v>339</v>
      </c>
      <c r="C188" s="327"/>
      <c r="D188" s="327"/>
      <c r="E188" s="327"/>
      <c r="F188" s="327"/>
      <c r="G188" s="327"/>
      <c r="H188" s="327"/>
      <c r="I188" s="327"/>
      <c r="J188" s="327"/>
    </row>
    <row r="189" spans="2:10">
      <c r="B189" s="54" t="s">
        <v>338</v>
      </c>
      <c r="C189" s="327"/>
      <c r="D189" s="327"/>
      <c r="E189" s="327"/>
      <c r="F189" s="327"/>
      <c r="G189" s="327"/>
      <c r="H189" s="327"/>
      <c r="I189" s="327"/>
      <c r="J189" s="327"/>
    </row>
    <row r="190" spans="2:10">
      <c r="B190" s="147" t="s">
        <v>337</v>
      </c>
      <c r="C190" s="327"/>
      <c r="D190" s="327"/>
      <c r="E190" s="327"/>
      <c r="F190" s="327"/>
      <c r="G190" s="327"/>
      <c r="H190" s="327"/>
      <c r="I190" s="327"/>
      <c r="J190" s="327"/>
    </row>
    <row r="191" spans="2:10">
      <c r="B191" s="147" t="s">
        <v>336</v>
      </c>
      <c r="C191" s="327"/>
      <c r="D191" s="327"/>
      <c r="E191" s="327"/>
      <c r="F191" s="327"/>
      <c r="G191" s="327"/>
      <c r="H191" s="327"/>
      <c r="I191" s="327"/>
      <c r="J191" s="327"/>
    </row>
    <row r="192" spans="2:10">
      <c r="B192" s="147" t="s">
        <v>335</v>
      </c>
      <c r="C192" s="327"/>
      <c r="D192" s="327"/>
      <c r="E192" s="327"/>
      <c r="F192" s="327"/>
      <c r="G192" s="327"/>
      <c r="H192" s="327"/>
      <c r="I192" s="327"/>
      <c r="J192" s="327"/>
    </row>
    <row r="193" spans="2:10">
      <c r="B193" s="147"/>
      <c r="C193" s="66"/>
      <c r="D193" s="66"/>
      <c r="E193" s="66"/>
      <c r="F193" s="66"/>
      <c r="G193" s="66"/>
      <c r="H193" s="66"/>
      <c r="I193" s="66"/>
      <c r="J193" s="66"/>
    </row>
    <row r="194" spans="2:10" ht="26">
      <c r="B194" s="148" t="s">
        <v>344</v>
      </c>
      <c r="C194" s="66"/>
      <c r="D194" s="66"/>
      <c r="E194" s="66"/>
      <c r="F194" s="66"/>
      <c r="G194" s="66"/>
      <c r="H194" s="66"/>
      <c r="I194" s="66"/>
      <c r="J194" s="66"/>
    </row>
    <row r="195" spans="2:10">
      <c r="B195" s="54" t="s">
        <v>342</v>
      </c>
      <c r="C195" s="327"/>
      <c r="D195" s="327"/>
      <c r="E195" s="327"/>
      <c r="F195" s="327"/>
      <c r="G195" s="327"/>
      <c r="H195" s="327"/>
      <c r="I195" s="327"/>
      <c r="J195" s="327"/>
    </row>
    <row r="196" spans="2:10">
      <c r="B196" s="147" t="s">
        <v>341</v>
      </c>
      <c r="C196" s="327"/>
      <c r="D196" s="327"/>
      <c r="E196" s="327"/>
      <c r="F196" s="327"/>
      <c r="G196" s="327"/>
      <c r="H196" s="327"/>
      <c r="I196" s="327"/>
      <c r="J196" s="327"/>
    </row>
    <row r="197" spans="2:10">
      <c r="B197" s="147" t="s">
        <v>340</v>
      </c>
      <c r="C197" s="327"/>
      <c r="D197" s="327"/>
      <c r="E197" s="327"/>
      <c r="F197" s="327"/>
      <c r="G197" s="327"/>
      <c r="H197" s="327"/>
      <c r="I197" s="327"/>
      <c r="J197" s="327"/>
    </row>
    <row r="198" spans="2:10">
      <c r="B198" s="54" t="s">
        <v>339</v>
      </c>
      <c r="C198" s="327"/>
      <c r="D198" s="327"/>
      <c r="E198" s="327"/>
      <c r="F198" s="327"/>
      <c r="G198" s="327"/>
      <c r="H198" s="327"/>
      <c r="I198" s="327"/>
      <c r="J198" s="327"/>
    </row>
    <row r="199" spans="2:10">
      <c r="B199" s="54" t="s">
        <v>338</v>
      </c>
      <c r="C199" s="327"/>
      <c r="D199" s="327"/>
      <c r="E199" s="327"/>
      <c r="F199" s="327"/>
      <c r="G199" s="327"/>
      <c r="H199" s="327"/>
      <c r="I199" s="327"/>
      <c r="J199" s="327"/>
    </row>
    <row r="200" spans="2:10">
      <c r="B200" s="147" t="s">
        <v>337</v>
      </c>
      <c r="C200" s="327"/>
      <c r="D200" s="327"/>
      <c r="E200" s="327"/>
      <c r="F200" s="327"/>
      <c r="G200" s="327"/>
      <c r="H200" s="327"/>
      <c r="I200" s="327"/>
      <c r="J200" s="327"/>
    </row>
    <row r="201" spans="2:10">
      <c r="B201" s="147" t="s">
        <v>336</v>
      </c>
      <c r="C201" s="327"/>
      <c r="D201" s="327"/>
      <c r="E201" s="327"/>
      <c r="F201" s="327"/>
      <c r="G201" s="327"/>
      <c r="H201" s="327"/>
      <c r="I201" s="327"/>
      <c r="J201" s="327"/>
    </row>
    <row r="202" spans="2:10">
      <c r="B202" s="147" t="s">
        <v>335</v>
      </c>
      <c r="C202" s="327"/>
      <c r="D202" s="327"/>
      <c r="E202" s="327"/>
      <c r="F202" s="327"/>
      <c r="G202" s="327"/>
      <c r="H202" s="327"/>
      <c r="I202" s="327"/>
      <c r="J202" s="327"/>
    </row>
    <row r="203" spans="2:10">
      <c r="B203" s="147"/>
      <c r="C203" s="66"/>
      <c r="D203" s="66"/>
      <c r="E203" s="66"/>
      <c r="F203" s="66"/>
      <c r="G203" s="66"/>
      <c r="H203" s="66"/>
      <c r="I203" s="66"/>
      <c r="J203" s="66"/>
    </row>
    <row r="204" spans="2:10" ht="26">
      <c r="B204" s="148" t="s">
        <v>343</v>
      </c>
      <c r="C204" s="66"/>
      <c r="D204" s="66"/>
      <c r="E204" s="66"/>
      <c r="F204" s="66"/>
      <c r="G204" s="66"/>
      <c r="H204" s="66"/>
      <c r="I204" s="66"/>
      <c r="J204" s="66"/>
    </row>
    <row r="205" spans="2:10">
      <c r="B205" s="54" t="s">
        <v>342</v>
      </c>
      <c r="C205" s="327"/>
      <c r="D205" s="327"/>
      <c r="E205" s="327"/>
      <c r="F205" s="327"/>
      <c r="G205" s="327"/>
      <c r="H205" s="327"/>
      <c r="I205" s="327"/>
      <c r="J205" s="327"/>
    </row>
    <row r="206" spans="2:10">
      <c r="B206" s="147" t="s">
        <v>341</v>
      </c>
      <c r="C206" s="327"/>
      <c r="D206" s="327"/>
      <c r="E206" s="327"/>
      <c r="F206" s="327"/>
      <c r="G206" s="327"/>
      <c r="H206" s="327"/>
      <c r="I206" s="327"/>
      <c r="J206" s="327"/>
    </row>
    <row r="207" spans="2:10">
      <c r="B207" s="147" t="s">
        <v>340</v>
      </c>
      <c r="C207" s="327"/>
      <c r="D207" s="327"/>
      <c r="E207" s="327"/>
      <c r="F207" s="327"/>
      <c r="G207" s="327"/>
      <c r="H207" s="327"/>
      <c r="I207" s="327"/>
      <c r="J207" s="327"/>
    </row>
    <row r="208" spans="2:10">
      <c r="B208" s="54" t="s">
        <v>339</v>
      </c>
      <c r="C208" s="327"/>
      <c r="D208" s="327"/>
      <c r="E208" s="327"/>
      <c r="F208" s="327"/>
      <c r="G208" s="327"/>
      <c r="H208" s="327"/>
      <c r="I208" s="327"/>
      <c r="J208" s="327"/>
    </row>
    <row r="209" spans="2:10">
      <c r="B209" s="54" t="s">
        <v>338</v>
      </c>
      <c r="C209" s="327"/>
      <c r="D209" s="327"/>
      <c r="E209" s="327"/>
      <c r="F209" s="327"/>
      <c r="G209" s="327"/>
      <c r="H209" s="327"/>
      <c r="I209" s="327"/>
      <c r="J209" s="327"/>
    </row>
    <row r="210" spans="2:10">
      <c r="B210" s="147" t="s">
        <v>337</v>
      </c>
      <c r="C210" s="327"/>
      <c r="D210" s="327"/>
      <c r="E210" s="327"/>
      <c r="F210" s="327"/>
      <c r="G210" s="327"/>
      <c r="H210" s="327"/>
      <c r="I210" s="327"/>
      <c r="J210" s="327"/>
    </row>
    <row r="211" spans="2:10">
      <c r="B211" s="147" t="s">
        <v>336</v>
      </c>
      <c r="C211" s="327"/>
      <c r="D211" s="327"/>
      <c r="E211" s="327"/>
      <c r="F211" s="327"/>
      <c r="G211" s="327"/>
      <c r="H211" s="327"/>
      <c r="I211" s="327"/>
      <c r="J211" s="327"/>
    </row>
    <row r="212" spans="2:10" ht="15" thickBot="1">
      <c r="B212" s="146" t="s">
        <v>335</v>
      </c>
      <c r="H212" s="940"/>
      <c r="I212" s="940"/>
      <c r="J212" s="940"/>
    </row>
    <row r="213" spans="2:10" ht="15" thickTop="1">
      <c r="B213" s="2148" t="s">
        <v>1495</v>
      </c>
      <c r="C213" s="2148"/>
      <c r="D213" s="2148"/>
      <c r="E213" s="2148"/>
      <c r="F213" s="2148"/>
      <c r="G213" s="2148"/>
      <c r="H213" s="2148"/>
      <c r="I213" s="2148"/>
      <c r="J213" s="2148"/>
    </row>
    <row r="214" spans="2:10">
      <c r="B214" s="936" t="s">
        <v>1470</v>
      </c>
      <c r="H214" s="1"/>
      <c r="I214" s="1"/>
      <c r="J214" s="1"/>
    </row>
    <row r="215" spans="2:10">
      <c r="B215" s="64"/>
      <c r="C215" s="1"/>
      <c r="D215" s="1"/>
      <c r="E215" s="1"/>
      <c r="F215" s="1"/>
      <c r="G215" s="1"/>
      <c r="H215" s="1"/>
      <c r="I215" s="1"/>
      <c r="J215" s="1"/>
    </row>
    <row r="216" spans="2:10">
      <c r="B216" s="2024" t="s">
        <v>364</v>
      </c>
      <c r="C216" s="2024"/>
      <c r="D216" s="2024"/>
      <c r="E216" s="2024"/>
      <c r="F216" s="2024"/>
      <c r="G216" s="2024"/>
      <c r="H216" s="2024"/>
      <c r="I216" s="2024"/>
      <c r="J216" s="2024"/>
    </row>
    <row r="217" spans="2:10">
      <c r="B217" s="12" t="s">
        <v>363</v>
      </c>
      <c r="C217" s="1"/>
      <c r="D217" s="1"/>
      <c r="E217" s="1"/>
      <c r="F217" s="1"/>
      <c r="G217" s="1"/>
      <c r="H217" s="1"/>
      <c r="I217" s="1"/>
      <c r="J217" s="1"/>
    </row>
    <row r="218" spans="2:10">
      <c r="B218" s="62" t="s">
        <v>311</v>
      </c>
      <c r="C218" s="1"/>
      <c r="D218" s="1"/>
      <c r="E218" s="1"/>
      <c r="F218" s="1"/>
      <c r="G218" s="1"/>
      <c r="H218" s="1"/>
      <c r="I218" s="1"/>
      <c r="J218" s="1"/>
    </row>
    <row r="219" spans="2:10">
      <c r="B219" s="64"/>
      <c r="C219" s="1"/>
      <c r="D219" s="1"/>
      <c r="E219" s="1"/>
      <c r="F219" s="1"/>
      <c r="G219" s="1"/>
      <c r="H219" s="1"/>
      <c r="I219" s="1"/>
      <c r="J219" s="1"/>
    </row>
    <row r="220" spans="2:10">
      <c r="B220" s="61"/>
      <c r="C220" s="935">
        <v>2014</v>
      </c>
      <c r="D220" s="935">
        <v>2015</v>
      </c>
      <c r="E220" s="935">
        <v>2016</v>
      </c>
      <c r="F220" s="935">
        <v>2017</v>
      </c>
      <c r="G220" s="935">
        <v>2018</v>
      </c>
      <c r="H220" s="935">
        <v>2019</v>
      </c>
      <c r="I220" s="935">
        <v>2020</v>
      </c>
      <c r="J220" s="935">
        <v>2021</v>
      </c>
    </row>
    <row r="221" spans="2:10">
      <c r="B221" s="114" t="s">
        <v>362</v>
      </c>
      <c r="C221" s="1"/>
      <c r="D221" s="1"/>
      <c r="E221" s="1"/>
      <c r="F221" s="1"/>
      <c r="G221" s="1"/>
      <c r="H221" s="1"/>
      <c r="I221" s="1"/>
      <c r="J221" s="1"/>
    </row>
    <row r="222" spans="2:10">
      <c r="B222" s="54" t="s">
        <v>361</v>
      </c>
      <c r="C222" s="327">
        <f>C224</f>
        <v>633622.10280628805</v>
      </c>
      <c r="D222" s="327">
        <f t="shared" ref="D222:J222" si="1">D224</f>
        <v>585883.47908766312</v>
      </c>
      <c r="E222" s="327">
        <f t="shared" si="1"/>
        <v>597220.11516830651</v>
      </c>
      <c r="F222" s="327">
        <f t="shared" si="1"/>
        <v>733389.28465734492</v>
      </c>
      <c r="G222" s="327">
        <f t="shared" si="1"/>
        <v>884369.82452035381</v>
      </c>
      <c r="H222" s="327">
        <f t="shared" si="1"/>
        <v>1119057.7301910548</v>
      </c>
      <c r="I222" s="327">
        <f t="shared" si="1"/>
        <v>1078129.4457548179</v>
      </c>
      <c r="J222" s="327">
        <f t="shared" si="1"/>
        <v>1279495.4439751734</v>
      </c>
    </row>
    <row r="223" spans="2:10">
      <c r="B223" s="151" t="s">
        <v>360</v>
      </c>
      <c r="C223" s="327"/>
      <c r="D223" s="327"/>
      <c r="E223" s="327"/>
      <c r="F223" s="327"/>
      <c r="G223" s="327"/>
      <c r="H223" s="327"/>
      <c r="I223" s="327"/>
      <c r="J223" s="327"/>
    </row>
    <row r="224" spans="2:10" ht="15">
      <c r="B224" s="151" t="s">
        <v>1496</v>
      </c>
      <c r="C224" s="327">
        <f>[1]A8!Q8/'[1]A1 A2'!Q10</f>
        <v>633622.10280628805</v>
      </c>
      <c r="D224" s="327">
        <f>[1]A8!R8/'[1]A1 A2'!R10</f>
        <v>585883.47908766312</v>
      </c>
      <c r="E224" s="327">
        <f>[1]A8!S8/'[1]A1 A2'!S10</f>
        <v>597220.11516830651</v>
      </c>
      <c r="F224" s="327">
        <f>[1]A8!T8/'[1]A1 A2'!T10</f>
        <v>733389.28465734492</v>
      </c>
      <c r="G224" s="327">
        <f>[1]A8!U8/'[1]A1 A2'!U10</f>
        <v>884369.82452035381</v>
      </c>
      <c r="H224" s="327">
        <f>[1]A8!V8/'[1]A1 A2'!V10</f>
        <v>1119057.7301910548</v>
      </c>
      <c r="I224" s="327">
        <f>[1]A8!W8/'[1]A1 A2'!W10</f>
        <v>1078129.4457548179</v>
      </c>
      <c r="J224" s="327">
        <f>[1]A8!X8/'[1]A1 A2'!X10</f>
        <v>1279495.4439751734</v>
      </c>
    </row>
    <row r="225" spans="2:10">
      <c r="B225" s="152" t="s">
        <v>358</v>
      </c>
      <c r="C225" s="327">
        <v>1730.6389913485937</v>
      </c>
      <c r="D225" s="327">
        <v>1585.7169765012472</v>
      </c>
      <c r="E225" s="327">
        <v>1554.2717268895294</v>
      </c>
      <c r="F225" s="327">
        <v>1598.0077311138198</v>
      </c>
      <c r="G225" s="327">
        <v>1724.7571041591978</v>
      </c>
      <c r="H225" s="327">
        <v>2115.4841099655628</v>
      </c>
      <c r="I225" s="327">
        <v>1813.4688068209684</v>
      </c>
      <c r="J225" s="327">
        <v>1936.9349805568604</v>
      </c>
    </row>
    <row r="226" spans="2:10">
      <c r="B226" s="71" t="s">
        <v>357</v>
      </c>
      <c r="C226" s="327">
        <v>15418.519696103469</v>
      </c>
      <c r="D226" s="327">
        <v>15890.832365808976</v>
      </c>
      <c r="E226" s="327">
        <v>18737.292990900594</v>
      </c>
      <c r="F226" s="327">
        <v>20221.211727424958</v>
      </c>
      <c r="G226" s="327">
        <v>22743.666984381165</v>
      </c>
      <c r="H226" s="327">
        <v>26594.995270472042</v>
      </c>
      <c r="I226" s="327">
        <v>20034.922861391853</v>
      </c>
      <c r="J226" s="327">
        <v>27537.973962057131</v>
      </c>
    </row>
    <row r="227" spans="2:10">
      <c r="B227" s="151" t="s">
        <v>356</v>
      </c>
      <c r="C227" s="327">
        <v>4043.6613982128324</v>
      </c>
      <c r="D227" s="327">
        <v>4207.2970025226086</v>
      </c>
      <c r="E227" s="327">
        <v>4975.2216409579696</v>
      </c>
      <c r="F227" s="327">
        <v>5557.6175317506577</v>
      </c>
      <c r="G227" s="327">
        <v>6540.6242357315332</v>
      </c>
      <c r="H227" s="327">
        <v>7896.0273230183457</v>
      </c>
      <c r="I227" s="327">
        <v>8254.2936917213246</v>
      </c>
      <c r="J227" s="327">
        <v>13132.444834398895</v>
      </c>
    </row>
    <row r="228" spans="2:10">
      <c r="B228" s="151" t="s">
        <v>354</v>
      </c>
      <c r="C228" s="327">
        <v>11374.858297890636</v>
      </c>
      <c r="D228" s="327">
        <v>11683.535363286368</v>
      </c>
      <c r="E228" s="327">
        <v>13762.071349942624</v>
      </c>
      <c r="F228" s="327">
        <v>14663.594195674299</v>
      </c>
      <c r="G228" s="327">
        <v>16203.042748649634</v>
      </c>
      <c r="H228" s="327">
        <v>18698.967947453697</v>
      </c>
      <c r="I228" s="327">
        <v>11780.62916967053</v>
      </c>
      <c r="J228" s="327">
        <v>14405.529127658236</v>
      </c>
    </row>
    <row r="229" spans="2:10">
      <c r="B229" s="71" t="s">
        <v>338</v>
      </c>
      <c r="C229" s="327"/>
      <c r="D229" s="327"/>
      <c r="E229" s="327">
        <v>5.3636263408820016E-2</v>
      </c>
      <c r="F229" s="327">
        <v>0.81035799475551451</v>
      </c>
      <c r="G229" s="327">
        <v>8.247500204505041</v>
      </c>
      <c r="H229" s="327">
        <v>39.310281882920954</v>
      </c>
      <c r="I229" s="327">
        <v>29.305935846451263</v>
      </c>
      <c r="J229" s="327">
        <v>31.46425302395587</v>
      </c>
    </row>
    <row r="230" spans="2:10">
      <c r="B230" s="71" t="s">
        <v>353</v>
      </c>
      <c r="C230" s="327">
        <v>81740.173478490658</v>
      </c>
      <c r="D230" s="327">
        <v>64565.27417420072</v>
      </c>
      <c r="E230" s="327">
        <v>60214.989617762025</v>
      </c>
      <c r="F230" s="327">
        <v>57298.853323363641</v>
      </c>
      <c r="G230" s="327">
        <v>53300.05832863113</v>
      </c>
      <c r="H230" s="327">
        <v>47566.2533258685</v>
      </c>
      <c r="I230" s="327">
        <v>24266.749546694067</v>
      </c>
      <c r="J230" s="327">
        <v>24876.827761333781</v>
      </c>
    </row>
    <row r="231" spans="2:10">
      <c r="B231" s="150" t="s">
        <v>352</v>
      </c>
      <c r="C231" s="327">
        <v>60893.560083326622</v>
      </c>
      <c r="D231" s="327">
        <v>46674.49128514294</v>
      </c>
      <c r="E231" s="327">
        <v>43325.764779013705</v>
      </c>
      <c r="F231" s="327">
        <v>40914.529705377143</v>
      </c>
      <c r="G231" s="327">
        <v>38620.660254024893</v>
      </c>
      <c r="H231" s="327">
        <v>35367.640329242611</v>
      </c>
      <c r="I231" s="327">
        <v>18653.022064589892</v>
      </c>
      <c r="J231" s="327">
        <v>18327.223858913832</v>
      </c>
    </row>
    <row r="232" spans="2:10">
      <c r="B232" s="150" t="s">
        <v>351</v>
      </c>
      <c r="C232" s="327">
        <v>20846.613395164033</v>
      </c>
      <c r="D232" s="327">
        <v>17890.782889057777</v>
      </c>
      <c r="E232" s="327">
        <v>16889.224838748316</v>
      </c>
      <c r="F232" s="327">
        <v>16384.323617986498</v>
      </c>
      <c r="G232" s="327">
        <v>14679.398074606241</v>
      </c>
      <c r="H232" s="327">
        <v>12198.61299662589</v>
      </c>
      <c r="I232" s="327">
        <v>5613.7274821041756</v>
      </c>
      <c r="J232" s="327">
        <v>6549.603902419949</v>
      </c>
    </row>
    <row r="233" spans="2:10">
      <c r="B233" s="54" t="s">
        <v>350</v>
      </c>
      <c r="C233" s="327"/>
      <c r="D233" s="327"/>
      <c r="E233" s="327"/>
      <c r="F233" s="327"/>
      <c r="G233" s="327"/>
      <c r="H233" s="327"/>
      <c r="I233" s="327"/>
      <c r="J233" s="327"/>
    </row>
    <row r="234" spans="2:10">
      <c r="B234" s="54"/>
      <c r="C234" s="327"/>
      <c r="D234" s="327"/>
      <c r="E234" s="327"/>
      <c r="F234" s="327"/>
      <c r="G234" s="327"/>
      <c r="H234" s="327"/>
      <c r="I234" s="327"/>
      <c r="J234" s="327"/>
    </row>
    <row r="235" spans="2:10">
      <c r="B235" s="54" t="s">
        <v>349</v>
      </c>
      <c r="C235" s="327">
        <f>C222+C225+C226+C229+C230</f>
        <v>732511.43497223081</v>
      </c>
      <c r="D235" s="327">
        <f t="shared" ref="D235:J235" si="2">D222+D225+D226+D229+D230</f>
        <v>667925.30260417413</v>
      </c>
      <c r="E235" s="327">
        <f t="shared" si="2"/>
        <v>677726.72314012202</v>
      </c>
      <c r="F235" s="327">
        <f t="shared" si="2"/>
        <v>812508.16779724206</v>
      </c>
      <c r="G235" s="327">
        <f t="shared" si="2"/>
        <v>962146.55443772976</v>
      </c>
      <c r="H235" s="327">
        <f t="shared" si="2"/>
        <v>1195373.7731792438</v>
      </c>
      <c r="I235" s="327">
        <f t="shared" si="2"/>
        <v>1124273.8929055713</v>
      </c>
      <c r="J235" s="327">
        <f t="shared" si="2"/>
        <v>1333878.644932145</v>
      </c>
    </row>
    <row r="236" spans="2:10">
      <c r="B236" s="147" t="s">
        <v>348</v>
      </c>
      <c r="C236" s="327"/>
      <c r="D236" s="327"/>
      <c r="E236" s="327"/>
      <c r="F236" s="327"/>
      <c r="G236" s="327"/>
      <c r="H236" s="327"/>
      <c r="I236" s="327"/>
      <c r="J236" s="327"/>
    </row>
    <row r="237" spans="2:10">
      <c r="B237" s="147"/>
      <c r="C237" s="327"/>
      <c r="D237" s="327"/>
      <c r="E237" s="327"/>
      <c r="F237" s="327"/>
      <c r="G237" s="327"/>
      <c r="H237" s="327"/>
      <c r="I237" s="327"/>
      <c r="J237" s="327"/>
    </row>
    <row r="238" spans="2:10">
      <c r="B238" s="54" t="s">
        <v>347</v>
      </c>
      <c r="C238" s="327"/>
      <c r="D238" s="327"/>
      <c r="E238" s="327"/>
      <c r="F238" s="327"/>
      <c r="G238" s="327"/>
      <c r="H238" s="327"/>
      <c r="I238" s="327"/>
      <c r="J238" s="327"/>
    </row>
    <row r="239" spans="2:10">
      <c r="B239" s="54"/>
      <c r="C239" s="327"/>
      <c r="D239" s="327"/>
      <c r="E239" s="327"/>
      <c r="F239" s="327"/>
      <c r="G239" s="327"/>
      <c r="H239" s="327"/>
      <c r="I239" s="941"/>
      <c r="J239" s="941"/>
    </row>
    <row r="240" spans="2:10">
      <c r="B240" s="114" t="s">
        <v>346</v>
      </c>
      <c r="C240" s="327"/>
      <c r="D240" s="327"/>
      <c r="E240" s="941"/>
      <c r="F240" s="941"/>
      <c r="G240" s="941"/>
      <c r="H240" s="941"/>
      <c r="I240" s="327"/>
      <c r="J240" s="327"/>
    </row>
    <row r="241" spans="2:10">
      <c r="B241" s="54" t="s">
        <v>342</v>
      </c>
      <c r="C241" s="327"/>
      <c r="D241" s="327"/>
      <c r="E241" s="327"/>
      <c r="F241" s="327"/>
      <c r="G241" s="327"/>
      <c r="H241" s="327"/>
      <c r="I241" s="203"/>
      <c r="J241" s="203"/>
    </row>
    <row r="242" spans="2:10">
      <c r="B242" s="147" t="s">
        <v>341</v>
      </c>
      <c r="C242" s="327">
        <v>35692.10735997514</v>
      </c>
      <c r="D242" s="327">
        <v>35225.44107212322</v>
      </c>
      <c r="E242" s="327">
        <v>40162.175058555309</v>
      </c>
      <c r="F242" s="327">
        <v>46497.030768524353</v>
      </c>
      <c r="G242" s="327">
        <v>50744.375586895439</v>
      </c>
      <c r="H242" s="327">
        <v>55925.588301411764</v>
      </c>
      <c r="I242" s="327">
        <v>43682.468957570716</v>
      </c>
      <c r="J242" s="327">
        <v>46548.139192652307</v>
      </c>
    </row>
    <row r="243" spans="2:10">
      <c r="B243" s="147" t="s">
        <v>340</v>
      </c>
      <c r="C243" s="327"/>
      <c r="D243" s="327"/>
      <c r="E243" s="327"/>
      <c r="F243" s="327"/>
      <c r="G243" s="327"/>
      <c r="H243" s="327"/>
      <c r="I243" s="327"/>
      <c r="J243" s="327"/>
    </row>
    <row r="244" spans="2:10">
      <c r="B244" s="54" t="s">
        <v>339</v>
      </c>
      <c r="C244" s="327">
        <v>9073.6528268785314</v>
      </c>
      <c r="D244" s="327">
        <v>9144.6925439441857</v>
      </c>
      <c r="E244" s="327">
        <v>10855.722649463116</v>
      </c>
      <c r="F244" s="327">
        <v>11692.314956109321</v>
      </c>
      <c r="G244" s="327">
        <v>13156.767079766843</v>
      </c>
      <c r="H244" s="327">
        <v>14445.977520264983</v>
      </c>
      <c r="I244" s="327">
        <v>10460.093896713615</v>
      </c>
      <c r="J244" s="327">
        <v>15010.410134202935</v>
      </c>
    </row>
    <row r="245" spans="2:10">
      <c r="B245" s="54" t="s">
        <v>338</v>
      </c>
      <c r="C245" s="327"/>
      <c r="D245" s="327"/>
      <c r="E245" s="327"/>
      <c r="F245" s="327"/>
      <c r="G245" s="327"/>
      <c r="H245" s="327"/>
    </row>
    <row r="246" spans="2:10">
      <c r="B246" s="147" t="s">
        <v>337</v>
      </c>
      <c r="C246" s="327"/>
      <c r="D246" s="327"/>
      <c r="E246" s="327"/>
      <c r="F246" s="327"/>
      <c r="G246" s="327"/>
      <c r="H246" s="327"/>
      <c r="I246" s="327"/>
      <c r="J246" s="327"/>
    </row>
    <row r="247" spans="2:10">
      <c r="B247" s="147" t="s">
        <v>336</v>
      </c>
      <c r="C247" s="327"/>
      <c r="D247" s="327"/>
      <c r="E247" s="327"/>
      <c r="F247" s="327"/>
      <c r="G247" s="327"/>
      <c r="H247" s="327"/>
      <c r="I247" s="327"/>
      <c r="J247" s="327"/>
    </row>
    <row r="248" spans="2:10">
      <c r="B248" s="147" t="s">
        <v>335</v>
      </c>
      <c r="C248" s="327"/>
      <c r="D248" s="327"/>
      <c r="E248" s="327"/>
      <c r="F248" s="327"/>
      <c r="G248" s="327"/>
      <c r="H248" s="327"/>
      <c r="I248" s="327"/>
      <c r="J248" s="327"/>
    </row>
    <row r="249" spans="2:10">
      <c r="B249" s="147"/>
      <c r="C249" s="327"/>
      <c r="D249" s="327"/>
      <c r="E249" s="941"/>
      <c r="F249" s="941"/>
      <c r="G249" s="941"/>
      <c r="H249" s="941"/>
      <c r="I249" s="941"/>
      <c r="J249" s="941"/>
    </row>
    <row r="250" spans="2:10" ht="26">
      <c r="B250" s="148" t="s">
        <v>345</v>
      </c>
      <c r="C250" s="327"/>
      <c r="D250" s="327"/>
      <c r="E250" s="941"/>
      <c r="F250" s="941"/>
      <c r="G250" s="941"/>
      <c r="H250" s="941"/>
      <c r="I250" s="941"/>
      <c r="J250" s="941"/>
    </row>
    <row r="251" spans="2:10">
      <c r="B251" s="54" t="s">
        <v>342</v>
      </c>
      <c r="C251" s="327"/>
      <c r="D251" s="327"/>
      <c r="E251" s="327"/>
      <c r="F251" s="327"/>
      <c r="G251" s="327"/>
      <c r="H251" s="327"/>
      <c r="I251" s="327"/>
      <c r="J251" s="327"/>
    </row>
    <row r="252" spans="2:10">
      <c r="B252" s="147" t="s">
        <v>341</v>
      </c>
      <c r="C252" s="327"/>
      <c r="D252" s="327"/>
      <c r="E252" s="327"/>
      <c r="F252" s="327"/>
      <c r="G252" s="327"/>
      <c r="H252" s="327"/>
      <c r="I252" s="327"/>
      <c r="J252" s="327"/>
    </row>
    <row r="253" spans="2:10">
      <c r="B253" s="147" t="s">
        <v>340</v>
      </c>
      <c r="C253" s="327"/>
      <c r="D253" s="327"/>
      <c r="E253" s="327"/>
      <c r="F253" s="327"/>
      <c r="G253" s="327"/>
      <c r="H253" s="327"/>
      <c r="I253" s="327"/>
      <c r="J253" s="327"/>
    </row>
    <row r="254" spans="2:10">
      <c r="B254" s="54" t="s">
        <v>339</v>
      </c>
      <c r="C254" s="327"/>
      <c r="D254" s="327"/>
      <c r="E254" s="327"/>
      <c r="F254" s="327"/>
      <c r="G254" s="327"/>
      <c r="H254" s="327"/>
      <c r="I254" s="327"/>
      <c r="J254" s="327"/>
    </row>
    <row r="255" spans="2:10">
      <c r="B255" s="54" t="s">
        <v>338</v>
      </c>
      <c r="C255" s="327"/>
      <c r="D255" s="327"/>
      <c r="E255" s="327"/>
      <c r="F255" s="327"/>
      <c r="G255" s="327"/>
      <c r="H255" s="327"/>
      <c r="I255" s="327"/>
      <c r="J255" s="327"/>
    </row>
    <row r="256" spans="2:10">
      <c r="B256" s="147" t="s">
        <v>337</v>
      </c>
      <c r="C256" s="327"/>
      <c r="D256" s="327"/>
      <c r="E256" s="327"/>
      <c r="F256" s="327"/>
      <c r="G256" s="327"/>
      <c r="H256" s="327"/>
      <c r="I256" s="327"/>
      <c r="J256" s="327"/>
    </row>
    <row r="257" spans="2:10">
      <c r="B257" s="147" t="s">
        <v>336</v>
      </c>
      <c r="C257" s="327"/>
      <c r="D257" s="327"/>
      <c r="E257" s="327"/>
      <c r="F257" s="327"/>
      <c r="G257" s="327"/>
      <c r="H257" s="327"/>
      <c r="I257" s="327"/>
      <c r="J257" s="327"/>
    </row>
    <row r="258" spans="2:10">
      <c r="B258" s="147" t="s">
        <v>335</v>
      </c>
      <c r="C258" s="327"/>
      <c r="D258" s="327"/>
      <c r="E258" s="327"/>
      <c r="F258" s="327"/>
      <c r="G258" s="327"/>
      <c r="H258" s="327"/>
      <c r="I258" s="327"/>
      <c r="J258" s="327"/>
    </row>
    <row r="259" spans="2:10">
      <c r="B259" s="147"/>
      <c r="C259" s="327"/>
      <c r="D259" s="327"/>
      <c r="E259" s="941"/>
      <c r="F259" s="941"/>
      <c r="G259" s="941"/>
      <c r="H259" s="941"/>
      <c r="I259" s="941"/>
      <c r="J259" s="941"/>
    </row>
    <row r="260" spans="2:10" ht="26">
      <c r="B260" s="148" t="s">
        <v>344</v>
      </c>
      <c r="C260" s="327"/>
      <c r="D260" s="327"/>
      <c r="E260" s="941"/>
      <c r="F260" s="941"/>
      <c r="G260" s="941"/>
      <c r="H260" s="941"/>
      <c r="I260" s="941"/>
      <c r="J260" s="941"/>
    </row>
    <row r="261" spans="2:10">
      <c r="B261" s="54" t="s">
        <v>342</v>
      </c>
      <c r="C261" s="327"/>
      <c r="D261" s="327"/>
      <c r="E261" s="327"/>
      <c r="F261" s="327"/>
      <c r="G261" s="327"/>
      <c r="H261" s="327"/>
      <c r="I261" s="327"/>
      <c r="J261" s="327"/>
    </row>
    <row r="262" spans="2:10">
      <c r="B262" s="147" t="s">
        <v>341</v>
      </c>
      <c r="C262" s="327"/>
      <c r="D262" s="327"/>
      <c r="E262" s="327"/>
      <c r="F262" s="327"/>
      <c r="G262" s="327"/>
      <c r="H262" s="327"/>
      <c r="I262" s="327"/>
      <c r="J262" s="327"/>
    </row>
    <row r="263" spans="2:10">
      <c r="B263" s="147" t="s">
        <v>340</v>
      </c>
      <c r="C263" s="327"/>
      <c r="D263" s="327"/>
      <c r="E263" s="327"/>
      <c r="F263" s="327"/>
      <c r="G263" s="327"/>
      <c r="H263" s="327"/>
      <c r="I263" s="327"/>
      <c r="J263" s="327"/>
    </row>
    <row r="264" spans="2:10">
      <c r="B264" s="54" t="s">
        <v>339</v>
      </c>
      <c r="C264" s="327"/>
      <c r="D264" s="327"/>
      <c r="E264" s="327"/>
      <c r="F264" s="327"/>
      <c r="G264" s="327"/>
      <c r="H264" s="327"/>
      <c r="I264" s="327"/>
      <c r="J264" s="327"/>
    </row>
    <row r="265" spans="2:10">
      <c r="B265" s="54" t="s">
        <v>338</v>
      </c>
      <c r="C265" s="327"/>
      <c r="D265" s="327"/>
      <c r="E265" s="327"/>
      <c r="F265" s="327"/>
      <c r="G265" s="327"/>
      <c r="H265" s="327"/>
      <c r="I265" s="327"/>
      <c r="J265" s="327"/>
    </row>
    <row r="266" spans="2:10">
      <c r="B266" s="147" t="s">
        <v>337</v>
      </c>
      <c r="C266" s="327"/>
      <c r="D266" s="327"/>
      <c r="E266" s="327"/>
      <c r="F266" s="327"/>
      <c r="G266" s="327"/>
      <c r="H266" s="327"/>
      <c r="I266" s="327"/>
      <c r="J266" s="327"/>
    </row>
    <row r="267" spans="2:10">
      <c r="B267" s="147" t="s">
        <v>336</v>
      </c>
      <c r="C267" s="327"/>
      <c r="D267" s="327"/>
      <c r="E267" s="327"/>
      <c r="F267" s="327"/>
      <c r="G267" s="327"/>
      <c r="H267" s="327"/>
      <c r="I267" s="327"/>
      <c r="J267" s="327"/>
    </row>
    <row r="268" spans="2:10">
      <c r="B268" s="147" t="s">
        <v>335</v>
      </c>
      <c r="C268" s="327"/>
      <c r="D268" s="327"/>
      <c r="E268" s="327"/>
      <c r="F268" s="327"/>
      <c r="G268" s="327"/>
      <c r="H268" s="327"/>
      <c r="I268" s="327"/>
      <c r="J268" s="327"/>
    </row>
    <row r="269" spans="2:10">
      <c r="B269" s="147"/>
      <c r="C269" s="327"/>
      <c r="D269" s="327"/>
      <c r="E269" s="941"/>
      <c r="F269" s="941"/>
      <c r="G269" s="941"/>
      <c r="H269" s="941"/>
      <c r="I269" s="941"/>
      <c r="J269" s="941"/>
    </row>
    <row r="270" spans="2:10" ht="26">
      <c r="B270" s="148" t="s">
        <v>343</v>
      </c>
      <c r="C270" s="327"/>
      <c r="D270" s="327"/>
      <c r="E270" s="941"/>
      <c r="F270" s="941"/>
      <c r="G270" s="941"/>
      <c r="H270" s="941"/>
      <c r="I270" s="941"/>
      <c r="J270" s="941"/>
    </row>
    <row r="271" spans="2:10">
      <c r="B271" s="54" t="s">
        <v>342</v>
      </c>
      <c r="C271" s="327"/>
      <c r="D271" s="327"/>
      <c r="E271" s="327"/>
      <c r="F271" s="327"/>
      <c r="G271" s="327"/>
      <c r="H271" s="327"/>
      <c r="I271" s="327"/>
      <c r="J271" s="327"/>
    </row>
    <row r="272" spans="2:10">
      <c r="B272" s="147" t="s">
        <v>341</v>
      </c>
      <c r="C272" s="327"/>
      <c r="D272" s="327"/>
      <c r="E272" s="327"/>
      <c r="F272" s="327"/>
      <c r="G272" s="327"/>
      <c r="H272" s="327"/>
      <c r="I272" s="327"/>
      <c r="J272" s="327"/>
    </row>
    <row r="273" spans="2:10">
      <c r="B273" s="147" t="s">
        <v>340</v>
      </c>
      <c r="C273" s="327"/>
      <c r="D273" s="327"/>
      <c r="E273" s="327"/>
      <c r="F273" s="327"/>
      <c r="G273" s="327"/>
      <c r="H273" s="327"/>
      <c r="I273" s="327"/>
      <c r="J273" s="327"/>
    </row>
    <row r="274" spans="2:10">
      <c r="B274" s="54" t="s">
        <v>339</v>
      </c>
      <c r="C274" s="327"/>
      <c r="D274" s="327"/>
      <c r="E274" s="327"/>
      <c r="F274" s="327"/>
      <c r="G274" s="327"/>
      <c r="H274" s="327"/>
      <c r="I274" s="327"/>
      <c r="J274" s="327"/>
    </row>
    <row r="275" spans="2:10">
      <c r="B275" s="54" t="s">
        <v>338</v>
      </c>
      <c r="C275" s="327"/>
      <c r="D275" s="327"/>
      <c r="E275" s="327"/>
      <c r="F275" s="327"/>
      <c r="G275" s="327"/>
      <c r="H275" s="327"/>
      <c r="I275" s="327"/>
      <c r="J275" s="327"/>
    </row>
    <row r="276" spans="2:10">
      <c r="B276" s="147" t="s">
        <v>337</v>
      </c>
      <c r="C276" s="327"/>
      <c r="D276" s="327"/>
      <c r="E276" s="327"/>
      <c r="F276" s="327"/>
      <c r="G276" s="327"/>
      <c r="H276" s="327"/>
      <c r="I276" s="327"/>
      <c r="J276" s="327"/>
    </row>
    <row r="277" spans="2:10">
      <c r="B277" s="147" t="s">
        <v>336</v>
      </c>
      <c r="C277" s="327"/>
      <c r="D277" s="327"/>
      <c r="E277" s="327"/>
      <c r="F277" s="327"/>
      <c r="G277" s="327"/>
      <c r="H277" s="327"/>
      <c r="I277" s="327"/>
      <c r="J277" s="327"/>
    </row>
    <row r="278" spans="2:10" ht="15" thickBot="1">
      <c r="B278" s="146" t="s">
        <v>335</v>
      </c>
      <c r="C278" s="327"/>
      <c r="D278" s="327"/>
      <c r="E278" s="327"/>
      <c r="F278" s="327"/>
      <c r="G278" s="327"/>
      <c r="H278" s="940"/>
      <c r="I278" s="940"/>
      <c r="J278" s="940"/>
    </row>
    <row r="279" spans="2:10" ht="15" thickTop="1">
      <c r="B279" s="2148" t="s">
        <v>1495</v>
      </c>
      <c r="C279" s="2148"/>
      <c r="D279" s="2148"/>
      <c r="E279" s="2148"/>
      <c r="F279" s="2148"/>
      <c r="G279" s="2148"/>
      <c r="H279" s="2148"/>
      <c r="I279" s="2148"/>
      <c r="J279" s="2148"/>
    </row>
    <row r="280" spans="2:10">
      <c r="B280" s="936" t="s">
        <v>1470</v>
      </c>
      <c r="H280" s="1"/>
      <c r="I280" s="1"/>
      <c r="J280" s="1"/>
    </row>
    <row r="281" spans="2:10">
      <c r="B281" s="64"/>
      <c r="C281" s="1"/>
      <c r="D281" s="1"/>
      <c r="E281" s="1"/>
      <c r="F281" s="1"/>
      <c r="G281" s="1"/>
      <c r="H281" s="1"/>
      <c r="I281" s="1"/>
      <c r="J281" s="1"/>
    </row>
    <row r="282" spans="2:10">
      <c r="B282" s="2024" t="s">
        <v>333</v>
      </c>
      <c r="C282" s="2024"/>
      <c r="D282" s="2024"/>
      <c r="E282" s="2024"/>
      <c r="F282" s="2024"/>
      <c r="G282" s="2024"/>
      <c r="H282" s="2024"/>
      <c r="I282" s="2024"/>
      <c r="J282" s="2024"/>
    </row>
    <row r="283" spans="2:10">
      <c r="B283" s="12" t="s">
        <v>332</v>
      </c>
      <c r="C283" s="1"/>
      <c r="D283" s="1"/>
      <c r="E283" s="1"/>
      <c r="F283" s="1"/>
      <c r="G283" s="1"/>
      <c r="H283" s="1"/>
      <c r="I283" s="1"/>
      <c r="J283" s="1"/>
    </row>
    <row r="284" spans="2:10">
      <c r="B284" s="62" t="s">
        <v>269</v>
      </c>
      <c r="C284" s="1"/>
      <c r="D284" s="1"/>
      <c r="E284" s="1"/>
      <c r="F284" s="1"/>
      <c r="G284" s="1"/>
      <c r="H284" s="1"/>
      <c r="I284" s="1"/>
      <c r="J284" s="1"/>
    </row>
    <row r="285" spans="2:10">
      <c r="B285" s="64"/>
      <c r="C285" s="1"/>
      <c r="D285" s="1"/>
      <c r="E285" s="1"/>
      <c r="F285" s="1"/>
      <c r="G285" s="1"/>
      <c r="H285" s="1"/>
      <c r="I285" s="1"/>
      <c r="J285" s="1"/>
    </row>
    <row r="286" spans="2:10">
      <c r="B286" s="61"/>
      <c r="C286" s="935">
        <v>2014</v>
      </c>
      <c r="D286" s="935">
        <v>2015</v>
      </c>
      <c r="E286" s="935">
        <v>2016</v>
      </c>
      <c r="F286" s="935">
        <v>2017</v>
      </c>
      <c r="G286" s="935">
        <v>2018</v>
      </c>
      <c r="H286" s="935">
        <v>2019</v>
      </c>
      <c r="I286" s="935">
        <v>2020</v>
      </c>
      <c r="J286" s="935">
        <v>2021</v>
      </c>
    </row>
    <row r="287" spans="2:10">
      <c r="B287" s="114" t="s">
        <v>310</v>
      </c>
      <c r="C287" s="1"/>
      <c r="D287" s="1"/>
      <c r="E287" s="1"/>
      <c r="F287" s="1"/>
      <c r="G287" s="1"/>
      <c r="H287" s="1"/>
      <c r="I287" s="1"/>
      <c r="J287" s="1"/>
    </row>
    <row r="288" spans="2:10">
      <c r="B288" s="114"/>
      <c r="C288" s="1"/>
      <c r="D288" s="1"/>
      <c r="E288" s="1"/>
      <c r="F288" s="1"/>
      <c r="G288" s="1"/>
      <c r="H288" s="1"/>
      <c r="I288" s="1"/>
      <c r="J288" s="1"/>
    </row>
    <row r="289" spans="2:10">
      <c r="B289" s="59" t="s">
        <v>1497</v>
      </c>
      <c r="C289" s="1"/>
      <c r="D289" s="1"/>
      <c r="E289" s="1"/>
      <c r="F289" s="1"/>
      <c r="G289" s="1"/>
      <c r="H289" s="1"/>
      <c r="I289" s="1"/>
      <c r="J289" s="1"/>
    </row>
    <row r="290" spans="2:10">
      <c r="B290" s="71" t="s">
        <v>331</v>
      </c>
      <c r="C290" s="121">
        <v>58</v>
      </c>
      <c r="D290" s="121">
        <v>55</v>
      </c>
      <c r="E290" s="121">
        <v>53</v>
      </c>
      <c r="F290" s="121">
        <v>54</v>
      </c>
      <c r="G290" s="121">
        <v>53</v>
      </c>
      <c r="H290" s="121">
        <v>54</v>
      </c>
      <c r="I290" s="121">
        <v>54</v>
      </c>
      <c r="J290" s="121">
        <v>53</v>
      </c>
    </row>
    <row r="291" spans="2:10">
      <c r="B291" s="133" t="s">
        <v>330</v>
      </c>
      <c r="C291" s="121">
        <v>58</v>
      </c>
      <c r="D291" s="121">
        <v>55</v>
      </c>
      <c r="E291" s="121">
        <v>53</v>
      </c>
      <c r="F291" s="121">
        <v>54</v>
      </c>
      <c r="G291" s="121">
        <v>53</v>
      </c>
      <c r="H291" s="121">
        <v>54</v>
      </c>
      <c r="I291" s="121">
        <v>54</v>
      </c>
      <c r="J291" s="121">
        <v>53</v>
      </c>
    </row>
    <row r="292" spans="2:10">
      <c r="B292" s="52" t="s">
        <v>1498</v>
      </c>
      <c r="C292" s="121">
        <v>17</v>
      </c>
      <c r="D292" s="121">
        <v>17</v>
      </c>
      <c r="E292" s="121">
        <v>16</v>
      </c>
      <c r="F292" s="121">
        <v>16</v>
      </c>
      <c r="G292" s="121">
        <v>16</v>
      </c>
      <c r="H292" s="121">
        <v>16</v>
      </c>
      <c r="I292" s="121">
        <v>16</v>
      </c>
      <c r="J292" s="121">
        <v>16</v>
      </c>
    </row>
    <row r="293" spans="2:10">
      <c r="B293" s="52" t="s">
        <v>329</v>
      </c>
      <c r="C293" s="121">
        <v>1</v>
      </c>
      <c r="D293" s="121">
        <v>1</v>
      </c>
      <c r="E293" s="121">
        <v>1</v>
      </c>
      <c r="F293" s="121">
        <v>1</v>
      </c>
      <c r="G293" s="121">
        <v>1</v>
      </c>
      <c r="H293" s="121">
        <v>1</v>
      </c>
      <c r="I293" s="121">
        <v>1</v>
      </c>
      <c r="J293" s="121">
        <v>1</v>
      </c>
    </row>
    <row r="294" spans="2:10">
      <c r="B294" s="52" t="s">
        <v>328</v>
      </c>
      <c r="C294" s="121">
        <v>40</v>
      </c>
      <c r="D294" s="121">
        <v>37</v>
      </c>
      <c r="E294" s="121">
        <v>36</v>
      </c>
      <c r="F294" s="121">
        <v>37</v>
      </c>
      <c r="G294" s="121">
        <v>36</v>
      </c>
      <c r="H294" s="121">
        <v>37</v>
      </c>
      <c r="I294" s="121">
        <v>37</v>
      </c>
      <c r="J294" s="121">
        <v>36</v>
      </c>
    </row>
    <row r="295" spans="2:10">
      <c r="B295" s="136" t="s">
        <v>327</v>
      </c>
      <c r="C295" s="121">
        <v>0</v>
      </c>
      <c r="D295" s="121">
        <v>1</v>
      </c>
      <c r="E295" s="121">
        <v>1</v>
      </c>
      <c r="F295" s="121">
        <v>1</v>
      </c>
      <c r="G295" s="121">
        <v>1</v>
      </c>
      <c r="H295" s="121">
        <v>1</v>
      </c>
      <c r="I295" s="121">
        <v>1</v>
      </c>
      <c r="J295" s="121">
        <v>1</v>
      </c>
    </row>
    <row r="296" spans="2:10">
      <c r="B296" s="136" t="s">
        <v>326</v>
      </c>
      <c r="C296" s="121">
        <v>0</v>
      </c>
      <c r="D296" s="121">
        <v>0</v>
      </c>
      <c r="E296" s="121">
        <v>0</v>
      </c>
      <c r="F296" s="121">
        <v>0</v>
      </c>
      <c r="G296" s="121">
        <v>0</v>
      </c>
      <c r="H296" s="121">
        <v>0</v>
      </c>
      <c r="I296" s="121">
        <v>0</v>
      </c>
      <c r="J296" s="121">
        <v>0</v>
      </c>
    </row>
    <row r="297" spans="2:10">
      <c r="B297" s="136" t="s">
        <v>325</v>
      </c>
      <c r="C297" s="121">
        <v>1</v>
      </c>
      <c r="D297" s="121">
        <v>1</v>
      </c>
      <c r="E297" s="121">
        <v>1</v>
      </c>
      <c r="F297" s="121">
        <v>1</v>
      </c>
      <c r="G297" s="121">
        <v>1</v>
      </c>
      <c r="H297" s="121">
        <v>1</v>
      </c>
      <c r="I297" s="121">
        <v>1</v>
      </c>
      <c r="J297" s="121">
        <v>1</v>
      </c>
    </row>
    <row r="298" spans="2:10">
      <c r="B298" s="136" t="s">
        <v>323</v>
      </c>
      <c r="C298" s="121">
        <v>35</v>
      </c>
      <c r="D298" s="121">
        <v>31</v>
      </c>
      <c r="E298" s="121">
        <v>30</v>
      </c>
      <c r="F298" s="121">
        <v>31</v>
      </c>
      <c r="G298" s="121">
        <v>31</v>
      </c>
      <c r="H298" s="121">
        <v>31</v>
      </c>
      <c r="I298" s="121">
        <v>31</v>
      </c>
      <c r="J298" s="121">
        <v>30</v>
      </c>
    </row>
    <row r="299" spans="2:10">
      <c r="B299" s="136" t="s">
        <v>117</v>
      </c>
      <c r="C299" s="121">
        <v>4</v>
      </c>
      <c r="D299" s="121">
        <v>4</v>
      </c>
      <c r="E299" s="121">
        <v>4</v>
      </c>
      <c r="F299" s="121">
        <v>4</v>
      </c>
      <c r="G299" s="121">
        <v>3</v>
      </c>
      <c r="H299" s="121">
        <v>4</v>
      </c>
      <c r="I299" s="121">
        <v>4</v>
      </c>
      <c r="J299" s="121">
        <v>4</v>
      </c>
    </row>
    <row r="300" spans="2:10">
      <c r="B300" s="133" t="s">
        <v>322</v>
      </c>
      <c r="C300" s="121">
        <v>0</v>
      </c>
      <c r="D300" s="121">
        <v>0</v>
      </c>
      <c r="E300" s="121">
        <v>0</v>
      </c>
      <c r="F300" s="121">
        <v>0</v>
      </c>
      <c r="G300" s="121">
        <v>0</v>
      </c>
      <c r="H300" s="121">
        <v>0</v>
      </c>
      <c r="I300" s="121">
        <v>0</v>
      </c>
      <c r="J300" s="121">
        <v>0</v>
      </c>
    </row>
    <row r="301" spans="2:10">
      <c r="B301" s="133"/>
      <c r="C301" s="121"/>
      <c r="D301" s="121"/>
      <c r="E301" s="121"/>
      <c r="F301" s="121"/>
      <c r="G301" s="121"/>
      <c r="H301" s="121"/>
      <c r="I301" s="121"/>
      <c r="J301" s="121"/>
    </row>
    <row r="302" spans="2:10">
      <c r="B302" s="114" t="s">
        <v>302</v>
      </c>
      <c r="C302" s="121"/>
      <c r="D302" s="121"/>
      <c r="E302" s="121"/>
      <c r="F302" s="121"/>
      <c r="G302" s="121"/>
      <c r="H302" s="121"/>
      <c r="I302" s="121"/>
      <c r="J302" s="121"/>
    </row>
    <row r="303" spans="2:10">
      <c r="B303" s="114"/>
      <c r="C303" s="121"/>
      <c r="D303" s="121"/>
      <c r="E303" s="121"/>
      <c r="F303" s="121"/>
      <c r="G303" s="121"/>
      <c r="H303" s="121"/>
      <c r="I303" s="121"/>
      <c r="J303" s="121"/>
    </row>
    <row r="304" spans="2:10">
      <c r="B304" s="59" t="s">
        <v>1499</v>
      </c>
      <c r="C304" s="121"/>
      <c r="D304" s="121"/>
      <c r="E304" s="121"/>
      <c r="F304" s="121"/>
      <c r="G304" s="121"/>
      <c r="H304" s="121"/>
      <c r="I304" s="121"/>
      <c r="J304" s="121"/>
    </row>
    <row r="305" spans="2:10">
      <c r="B305" s="71" t="s">
        <v>331</v>
      </c>
      <c r="C305" s="121">
        <v>23</v>
      </c>
      <c r="D305" s="121">
        <v>24</v>
      </c>
      <c r="E305" s="121">
        <v>27</v>
      </c>
      <c r="F305" s="121">
        <v>30</v>
      </c>
      <c r="G305" s="121">
        <v>31</v>
      </c>
      <c r="H305" s="121">
        <v>31</v>
      </c>
      <c r="I305" s="121">
        <v>31</v>
      </c>
      <c r="J305" s="121">
        <v>34</v>
      </c>
    </row>
    <row r="306" spans="2:10">
      <c r="B306" s="133" t="s">
        <v>330</v>
      </c>
      <c r="C306" s="121">
        <v>23</v>
      </c>
      <c r="D306" s="121">
        <v>24</v>
      </c>
      <c r="E306" s="121">
        <v>27</v>
      </c>
      <c r="F306" s="121">
        <v>30</v>
      </c>
      <c r="G306" s="121">
        <v>31</v>
      </c>
      <c r="H306" s="121">
        <v>31</v>
      </c>
      <c r="I306" s="121">
        <v>31</v>
      </c>
      <c r="J306" s="121">
        <v>34</v>
      </c>
    </row>
    <row r="307" spans="2:10">
      <c r="B307" s="52" t="s">
        <v>260</v>
      </c>
      <c r="C307" s="121">
        <v>13</v>
      </c>
      <c r="D307" s="121">
        <v>14</v>
      </c>
      <c r="E307" s="121">
        <v>15</v>
      </c>
      <c r="F307" s="121">
        <v>15</v>
      </c>
      <c r="G307" s="121">
        <v>15</v>
      </c>
      <c r="H307" s="121">
        <v>15</v>
      </c>
      <c r="I307" s="121">
        <v>15</v>
      </c>
      <c r="J307" s="121">
        <v>16</v>
      </c>
    </row>
    <row r="308" spans="2:10">
      <c r="B308" s="52" t="s">
        <v>329</v>
      </c>
      <c r="C308" s="121">
        <v>1</v>
      </c>
      <c r="D308" s="121">
        <v>1</v>
      </c>
      <c r="E308" s="121">
        <v>1</v>
      </c>
      <c r="F308" s="121">
        <v>1</v>
      </c>
      <c r="G308" s="121">
        <v>1</v>
      </c>
      <c r="H308" s="121">
        <v>1</v>
      </c>
      <c r="I308" s="121">
        <v>1</v>
      </c>
      <c r="J308" s="121">
        <v>1</v>
      </c>
    </row>
    <row r="309" spans="2:10">
      <c r="B309" s="52" t="s">
        <v>328</v>
      </c>
      <c r="C309" s="121">
        <v>9</v>
      </c>
      <c r="D309" s="121">
        <v>9</v>
      </c>
      <c r="E309" s="121">
        <v>11</v>
      </c>
      <c r="F309" s="121">
        <v>14</v>
      </c>
      <c r="G309" s="121">
        <v>15</v>
      </c>
      <c r="H309" s="121">
        <v>15</v>
      </c>
      <c r="I309" s="121">
        <v>15</v>
      </c>
      <c r="J309" s="121">
        <v>17</v>
      </c>
    </row>
    <row r="310" spans="2:10">
      <c r="B310" s="136" t="s">
        <v>327</v>
      </c>
      <c r="C310" s="121">
        <v>0</v>
      </c>
      <c r="D310" s="121">
        <v>0</v>
      </c>
      <c r="E310" s="121">
        <v>0</v>
      </c>
      <c r="F310" s="121">
        <v>0</v>
      </c>
      <c r="G310" s="121">
        <v>0</v>
      </c>
      <c r="H310" s="121">
        <v>0</v>
      </c>
      <c r="I310" s="121">
        <v>0</v>
      </c>
      <c r="J310" s="121">
        <v>0</v>
      </c>
    </row>
    <row r="311" spans="2:10">
      <c r="B311" s="136" t="s">
        <v>326</v>
      </c>
      <c r="C311" s="121">
        <v>0</v>
      </c>
      <c r="D311" s="121">
        <v>0</v>
      </c>
      <c r="E311" s="121">
        <v>0</v>
      </c>
      <c r="F311" s="121">
        <v>0</v>
      </c>
      <c r="G311" s="121">
        <v>0</v>
      </c>
      <c r="H311" s="121">
        <v>0</v>
      </c>
      <c r="I311" s="121">
        <v>0</v>
      </c>
      <c r="J311" s="121">
        <v>0</v>
      </c>
    </row>
    <row r="312" spans="2:10">
      <c r="B312" s="136" t="s">
        <v>325</v>
      </c>
      <c r="C312" s="121">
        <v>0</v>
      </c>
      <c r="D312" s="121">
        <v>0</v>
      </c>
      <c r="E312" s="121">
        <v>0</v>
      </c>
      <c r="F312" s="121">
        <v>0</v>
      </c>
      <c r="G312" s="121">
        <v>0</v>
      </c>
      <c r="H312" s="121">
        <v>0</v>
      </c>
      <c r="I312" s="121">
        <v>0</v>
      </c>
      <c r="J312" s="121">
        <v>0</v>
      </c>
    </row>
    <row r="313" spans="2:10">
      <c r="B313" s="136" t="s">
        <v>323</v>
      </c>
      <c r="C313" s="121">
        <v>9</v>
      </c>
      <c r="D313" s="121">
        <v>9</v>
      </c>
      <c r="E313" s="121">
        <v>10</v>
      </c>
      <c r="F313" s="121">
        <v>13</v>
      </c>
      <c r="G313" s="121">
        <v>14</v>
      </c>
      <c r="H313" s="121">
        <v>14</v>
      </c>
      <c r="I313" s="121">
        <v>15</v>
      </c>
      <c r="J313" s="121">
        <v>17</v>
      </c>
    </row>
    <row r="314" spans="2:10">
      <c r="B314" s="136" t="s">
        <v>117</v>
      </c>
      <c r="C314" s="121">
        <v>0</v>
      </c>
      <c r="D314" s="121">
        <v>0</v>
      </c>
      <c r="E314" s="121">
        <v>1</v>
      </c>
      <c r="F314" s="121">
        <v>1</v>
      </c>
      <c r="G314" s="121">
        <v>1</v>
      </c>
      <c r="H314" s="121">
        <v>1</v>
      </c>
      <c r="I314" s="121">
        <v>0</v>
      </c>
      <c r="J314" s="121">
        <v>0</v>
      </c>
    </row>
    <row r="315" spans="2:10" ht="15" thickBot="1">
      <c r="B315" s="133" t="s">
        <v>322</v>
      </c>
      <c r="C315" s="121">
        <v>0</v>
      </c>
      <c r="D315" s="121">
        <v>0</v>
      </c>
      <c r="E315" s="121">
        <v>0</v>
      </c>
      <c r="F315" s="121">
        <v>0</v>
      </c>
      <c r="G315" s="121">
        <v>0</v>
      </c>
      <c r="H315" s="942">
        <v>0</v>
      </c>
      <c r="I315" s="942">
        <v>0</v>
      </c>
      <c r="J315" s="942">
        <v>0</v>
      </c>
    </row>
    <row r="316" spans="2:10" ht="15" thickTop="1">
      <c r="B316" s="2039" t="s">
        <v>1470</v>
      </c>
      <c r="C316" s="2039"/>
      <c r="D316" s="2039"/>
      <c r="E316" s="2039"/>
      <c r="F316" s="2039"/>
      <c r="G316" s="2039"/>
      <c r="H316" s="2039"/>
      <c r="I316" s="2039"/>
      <c r="J316" s="2039"/>
    </row>
    <row r="317" spans="2:10">
      <c r="B317" s="2066" t="s">
        <v>1500</v>
      </c>
      <c r="C317" s="2066"/>
      <c r="D317" s="2066"/>
      <c r="E317" s="2066"/>
      <c r="F317" s="2066"/>
      <c r="G317" s="2066"/>
      <c r="H317" s="2066"/>
      <c r="I317" s="2066"/>
      <c r="J317" s="2066"/>
    </row>
    <row r="318" spans="2:10">
      <c r="B318" s="64"/>
      <c r="C318" s="1"/>
      <c r="D318" s="1"/>
      <c r="E318" s="1"/>
      <c r="F318" s="1"/>
      <c r="G318" s="1"/>
      <c r="H318" s="1"/>
      <c r="I318" s="1"/>
      <c r="J318" s="1"/>
    </row>
    <row r="319" spans="2:10">
      <c r="B319" s="2024" t="s">
        <v>320</v>
      </c>
      <c r="C319" s="2024"/>
      <c r="D319" s="2024"/>
      <c r="E319" s="2024"/>
      <c r="F319" s="2024"/>
      <c r="G319" s="2024"/>
      <c r="H319" s="2024"/>
      <c r="I319" s="2024"/>
      <c r="J319" s="2024"/>
    </row>
    <row r="320" spans="2:10">
      <c r="B320" s="12" t="s">
        <v>319</v>
      </c>
      <c r="C320" s="1"/>
      <c r="D320" s="1"/>
      <c r="E320" s="1"/>
      <c r="F320" s="1"/>
      <c r="G320" s="1"/>
      <c r="H320" s="1"/>
      <c r="I320" s="1"/>
      <c r="J320" s="1"/>
    </row>
    <row r="321" spans="2:10">
      <c r="B321" s="62" t="s">
        <v>242</v>
      </c>
      <c r="C321" s="1"/>
      <c r="D321" s="1"/>
      <c r="E321" s="1"/>
      <c r="F321" s="1"/>
      <c r="G321" s="1"/>
      <c r="H321" s="1"/>
      <c r="I321" s="1"/>
      <c r="J321" s="1"/>
    </row>
    <row r="322" spans="2:10">
      <c r="B322" s="64"/>
      <c r="C322" s="1"/>
      <c r="D322" s="1"/>
      <c r="E322" s="1"/>
      <c r="F322" s="1"/>
      <c r="G322" s="1"/>
      <c r="H322" s="1"/>
      <c r="I322" s="1"/>
      <c r="J322" s="1"/>
    </row>
    <row r="323" spans="2:10">
      <c r="B323" s="61"/>
      <c r="C323" s="935">
        <v>2014</v>
      </c>
      <c r="D323" s="935">
        <v>2015</v>
      </c>
      <c r="E323" s="935">
        <v>2016</v>
      </c>
      <c r="F323" s="935">
        <v>2017</v>
      </c>
      <c r="G323" s="935">
        <v>2018</v>
      </c>
      <c r="H323" s="935">
        <v>2019</v>
      </c>
      <c r="I323" s="935">
        <v>2020</v>
      </c>
      <c r="J323" s="935">
        <v>2021</v>
      </c>
    </row>
    <row r="324" spans="2:10">
      <c r="B324" s="114" t="s">
        <v>310</v>
      </c>
      <c r="C324" s="107"/>
      <c r="D324" s="107"/>
      <c r="E324" s="107"/>
      <c r="F324" s="107"/>
      <c r="G324" s="107"/>
      <c r="H324" s="107"/>
      <c r="I324" s="107"/>
      <c r="J324" s="107"/>
    </row>
    <row r="325" spans="2:10">
      <c r="B325" s="114"/>
      <c r="C325" s="107"/>
      <c r="D325" s="107"/>
      <c r="E325" s="107"/>
      <c r="F325" s="107"/>
      <c r="G325" s="107"/>
      <c r="H325" s="107"/>
      <c r="I325" s="107"/>
      <c r="J325" s="107"/>
    </row>
    <row r="326" spans="2:10">
      <c r="B326" s="59" t="s">
        <v>1497</v>
      </c>
      <c r="C326" s="107"/>
      <c r="D326" s="107"/>
      <c r="E326" s="107"/>
      <c r="F326" s="107"/>
      <c r="G326" s="107"/>
      <c r="H326" s="107"/>
      <c r="I326" s="107"/>
      <c r="J326" s="107"/>
    </row>
    <row r="327" spans="2:10">
      <c r="B327" s="71" t="s">
        <v>297</v>
      </c>
      <c r="C327" s="140">
        <v>0.82913599999999998</v>
      </c>
      <c r="D327" s="140">
        <v>0.78653799999999996</v>
      </c>
      <c r="E327" s="140">
        <v>0.80179</v>
      </c>
      <c r="F327" s="140">
        <v>0.853495</v>
      </c>
      <c r="G327" s="140">
        <v>0.96003899999999998</v>
      </c>
      <c r="H327" s="140">
        <v>0.98333300000000001</v>
      </c>
      <c r="I327" s="140">
        <v>0.86230700000000005</v>
      </c>
      <c r="J327" s="140">
        <v>0.95622200000000002</v>
      </c>
    </row>
    <row r="328" spans="2:10">
      <c r="B328" s="133" t="s">
        <v>296</v>
      </c>
      <c r="C328" s="943">
        <f>C327</f>
        <v>0.82913599999999998</v>
      </c>
      <c r="D328" s="943">
        <f t="shared" ref="D328:J328" si="3">D327</f>
        <v>0.78653799999999996</v>
      </c>
      <c r="E328" s="943">
        <f t="shared" si="3"/>
        <v>0.80179</v>
      </c>
      <c r="F328" s="943">
        <f t="shared" si="3"/>
        <v>0.853495</v>
      </c>
      <c r="G328" s="943">
        <f t="shared" si="3"/>
        <v>0.96003899999999998</v>
      </c>
      <c r="H328" s="943">
        <f t="shared" si="3"/>
        <v>0.98333300000000001</v>
      </c>
      <c r="I328" s="943">
        <f t="shared" si="3"/>
        <v>0.86230700000000005</v>
      </c>
      <c r="J328" s="943">
        <f t="shared" si="3"/>
        <v>0.95622200000000002</v>
      </c>
    </row>
    <row r="329" spans="2:10">
      <c r="B329" s="132" t="s">
        <v>295</v>
      </c>
      <c r="C329" s="235"/>
      <c r="D329" s="235"/>
      <c r="E329" s="235"/>
      <c r="F329" s="235"/>
      <c r="G329" s="235"/>
      <c r="H329" s="235"/>
      <c r="I329" s="235"/>
      <c r="J329" s="235"/>
    </row>
    <row r="330" spans="2:10">
      <c r="B330" s="132" t="s">
        <v>303</v>
      </c>
      <c r="C330" s="235"/>
      <c r="D330" s="235"/>
      <c r="E330" s="235"/>
      <c r="F330" s="235"/>
      <c r="G330" s="235"/>
      <c r="H330" s="235"/>
      <c r="I330" s="235"/>
      <c r="J330" s="235"/>
    </row>
    <row r="331" spans="2:10">
      <c r="B331" s="65" t="s">
        <v>287</v>
      </c>
      <c r="C331" s="235"/>
      <c r="D331" s="235"/>
      <c r="E331" s="235"/>
      <c r="F331" s="235"/>
      <c r="G331" s="235"/>
      <c r="H331" s="235"/>
      <c r="I331" s="235"/>
      <c r="J331" s="235"/>
    </row>
    <row r="332" spans="2:10">
      <c r="B332" s="136"/>
      <c r="C332" s="140"/>
      <c r="D332" s="140"/>
      <c r="E332" s="140"/>
      <c r="F332" s="140"/>
      <c r="G332" s="140"/>
      <c r="H332" s="140"/>
      <c r="I332" s="140"/>
      <c r="J332" s="140"/>
    </row>
    <row r="333" spans="2:10">
      <c r="B333" s="114" t="s">
        <v>302</v>
      </c>
      <c r="C333" s="140"/>
      <c r="D333" s="140"/>
      <c r="E333" s="140"/>
      <c r="F333" s="140"/>
      <c r="G333" s="140"/>
      <c r="H333" s="140"/>
      <c r="I333" s="140"/>
      <c r="J333" s="140"/>
    </row>
    <row r="334" spans="2:10">
      <c r="B334" s="114"/>
      <c r="C334" s="140"/>
      <c r="D334" s="140"/>
      <c r="E334" s="140"/>
      <c r="F334" s="140"/>
      <c r="G334" s="140"/>
      <c r="H334" s="140"/>
      <c r="I334" s="140"/>
      <c r="J334" s="140"/>
    </row>
    <row r="335" spans="2:10">
      <c r="B335" s="59" t="s">
        <v>1499</v>
      </c>
      <c r="C335" s="140"/>
      <c r="D335" s="140"/>
      <c r="E335" s="140"/>
      <c r="F335" s="140"/>
      <c r="G335" s="140"/>
      <c r="H335" s="140"/>
      <c r="I335" s="140"/>
      <c r="J335" s="140"/>
    </row>
    <row r="336" spans="2:10">
      <c r="B336" s="71" t="s">
        <v>297</v>
      </c>
      <c r="C336" s="66">
        <v>16.533323999999997</v>
      </c>
      <c r="D336" s="66">
        <v>18.173548</v>
      </c>
      <c r="E336" s="66">
        <v>20.492685999999999</v>
      </c>
      <c r="F336" s="66">
        <v>24.894942</v>
      </c>
      <c r="G336" s="66">
        <v>30.230205999999999</v>
      </c>
      <c r="H336" s="66">
        <v>38.634247999999999</v>
      </c>
      <c r="I336" s="944">
        <v>62.309848000000002</v>
      </c>
      <c r="J336" s="944">
        <v>105.46029700000003</v>
      </c>
    </row>
    <row r="337" spans="2:10">
      <c r="B337" s="133" t="s">
        <v>296</v>
      </c>
      <c r="C337" s="66">
        <f>C338+C343</f>
        <v>16.533323999999997</v>
      </c>
      <c r="D337" s="66">
        <f t="shared" ref="D337:J337" si="4">D338+D343</f>
        <v>18.173548</v>
      </c>
      <c r="E337" s="66">
        <f t="shared" si="4"/>
        <v>20.492685999999999</v>
      </c>
      <c r="F337" s="66">
        <f t="shared" si="4"/>
        <v>24.894942</v>
      </c>
      <c r="G337" s="66">
        <f t="shared" si="4"/>
        <v>30.230206000000003</v>
      </c>
      <c r="H337" s="66">
        <f t="shared" si="4"/>
        <v>38.634247999999999</v>
      </c>
      <c r="I337" s="66">
        <f t="shared" si="4"/>
        <v>62.309848000000002</v>
      </c>
      <c r="J337" s="66">
        <f t="shared" si="4"/>
        <v>105.46029700000003</v>
      </c>
    </row>
    <row r="338" spans="2:10">
      <c r="B338" s="131" t="s">
        <v>294</v>
      </c>
      <c r="C338" s="66">
        <v>9.3244559999999979</v>
      </c>
      <c r="D338" s="66">
        <v>11.783383000000001</v>
      </c>
      <c r="E338" s="66">
        <v>14.759817999999999</v>
      </c>
      <c r="F338" s="66">
        <v>19.882000999999999</v>
      </c>
      <c r="G338" s="66">
        <v>25.971163000000001</v>
      </c>
      <c r="H338" s="66">
        <v>34.909002999999998</v>
      </c>
      <c r="I338" s="944">
        <v>60.515163000000001</v>
      </c>
      <c r="J338" s="944">
        <v>103.93953400000002</v>
      </c>
    </row>
    <row r="339" spans="2:10">
      <c r="B339" s="131" t="s">
        <v>293</v>
      </c>
      <c r="C339" s="945"/>
      <c r="D339" s="945"/>
      <c r="E339" s="945"/>
      <c r="F339" s="945"/>
      <c r="G339" s="945"/>
      <c r="H339" s="945"/>
      <c r="I339" s="944"/>
      <c r="J339" s="74"/>
    </row>
    <row r="340" spans="2:10">
      <c r="B340" s="131" t="s">
        <v>292</v>
      </c>
      <c r="C340" s="945"/>
      <c r="D340" s="945"/>
      <c r="E340" s="945"/>
      <c r="F340" s="945"/>
      <c r="G340" s="945"/>
      <c r="H340" s="945"/>
      <c r="I340" s="74"/>
      <c r="J340" s="944"/>
    </row>
    <row r="341" spans="2:10">
      <c r="B341" s="131" t="s">
        <v>291</v>
      </c>
      <c r="C341" s="945"/>
      <c r="D341" s="945"/>
      <c r="E341" s="945"/>
      <c r="F341" s="945"/>
      <c r="G341" s="945"/>
      <c r="H341" s="945"/>
      <c r="I341" s="944"/>
      <c r="J341" s="944"/>
    </row>
    <row r="342" spans="2:10">
      <c r="B342" s="131" t="s">
        <v>290</v>
      </c>
      <c r="C342" s="945"/>
      <c r="D342" s="945"/>
      <c r="E342" s="945"/>
      <c r="F342" s="945"/>
      <c r="G342" s="945"/>
      <c r="H342" s="945"/>
      <c r="I342" s="944"/>
      <c r="J342" s="944"/>
    </row>
    <row r="343" spans="2:10">
      <c r="B343" s="131" t="s">
        <v>289</v>
      </c>
      <c r="C343" s="66">
        <v>7.2088679999999998</v>
      </c>
      <c r="D343" s="66">
        <v>6.3901649999999997</v>
      </c>
      <c r="E343" s="66">
        <v>5.7328679999999999</v>
      </c>
      <c r="F343" s="66">
        <v>5.0129409999999996</v>
      </c>
      <c r="G343" s="66">
        <v>4.2590430000000001</v>
      </c>
      <c r="H343" s="66">
        <v>3.7252450000000001</v>
      </c>
      <c r="I343" s="944">
        <v>1.7946850000000001</v>
      </c>
      <c r="J343">
        <v>1.5207629999999999</v>
      </c>
    </row>
    <row r="344" spans="2:10">
      <c r="B344" s="131" t="s">
        <v>288</v>
      </c>
      <c r="C344" s="945"/>
      <c r="D344" s="945"/>
      <c r="E344" s="945"/>
      <c r="F344" s="945"/>
      <c r="G344" s="945"/>
      <c r="H344" s="945"/>
    </row>
    <row r="345" spans="2:10">
      <c r="B345" s="132" t="s">
        <v>295</v>
      </c>
      <c r="C345" s="945"/>
      <c r="D345" s="945"/>
      <c r="E345" s="945"/>
      <c r="F345" s="945"/>
      <c r="G345" s="945"/>
      <c r="H345" s="945"/>
    </row>
    <row r="346" spans="2:10">
      <c r="B346" s="131" t="s">
        <v>294</v>
      </c>
      <c r="C346" s="945"/>
      <c r="D346" s="945"/>
      <c r="E346" s="945"/>
      <c r="F346" s="945"/>
      <c r="G346" s="945"/>
      <c r="H346" s="945"/>
    </row>
    <row r="347" spans="2:10">
      <c r="B347" s="131" t="s">
        <v>293</v>
      </c>
      <c r="C347" s="945"/>
      <c r="D347" s="945"/>
      <c r="E347" s="945"/>
      <c r="F347" s="945"/>
      <c r="G347" s="945"/>
      <c r="H347" s="945"/>
      <c r="I347" s="945"/>
      <c r="J347" s="945"/>
    </row>
    <row r="348" spans="2:10">
      <c r="B348" s="131" t="s">
        <v>292</v>
      </c>
      <c r="C348" s="945"/>
      <c r="D348" s="945"/>
      <c r="E348" s="945"/>
      <c r="F348" s="945"/>
      <c r="G348" s="945"/>
      <c r="H348" s="945"/>
      <c r="I348" s="945"/>
      <c r="J348" s="945"/>
    </row>
    <row r="349" spans="2:10">
      <c r="B349" s="131" t="s">
        <v>291</v>
      </c>
      <c r="C349" s="945"/>
      <c r="D349" s="945"/>
      <c r="E349" s="945"/>
      <c r="F349" s="945"/>
      <c r="G349" s="945"/>
      <c r="H349" s="945"/>
      <c r="I349" s="945"/>
      <c r="J349" s="945"/>
    </row>
    <row r="350" spans="2:10">
      <c r="B350" s="131" t="s">
        <v>290</v>
      </c>
      <c r="C350" s="945"/>
      <c r="D350" s="945"/>
      <c r="E350" s="945"/>
      <c r="F350" s="945"/>
      <c r="G350" s="945"/>
      <c r="H350" s="945"/>
      <c r="I350" s="945"/>
      <c r="J350" s="945"/>
    </row>
    <row r="351" spans="2:10">
      <c r="B351" s="131" t="s">
        <v>289</v>
      </c>
      <c r="C351" s="945"/>
      <c r="D351" s="945"/>
      <c r="E351" s="945"/>
      <c r="F351" s="945"/>
      <c r="G351" s="945"/>
      <c r="H351" s="945"/>
      <c r="I351" s="945"/>
      <c r="J351" s="945"/>
    </row>
    <row r="352" spans="2:10">
      <c r="B352" s="131" t="s">
        <v>288</v>
      </c>
      <c r="C352" s="945"/>
      <c r="D352" s="945"/>
      <c r="E352" s="945"/>
      <c r="F352" s="945"/>
      <c r="G352" s="945"/>
      <c r="H352" s="945"/>
      <c r="I352" s="945"/>
      <c r="J352" s="945"/>
    </row>
    <row r="353" spans="2:10" ht="15" thickBot="1">
      <c r="B353" s="65" t="s">
        <v>287</v>
      </c>
      <c r="C353" s="945"/>
      <c r="D353" s="945"/>
      <c r="E353" s="945"/>
      <c r="F353" s="945"/>
      <c r="G353" s="945"/>
      <c r="H353" s="945"/>
      <c r="I353" s="945"/>
      <c r="J353" s="945"/>
    </row>
    <row r="354" spans="2:10" ht="15" thickTop="1">
      <c r="B354" s="2025" t="s">
        <v>1470</v>
      </c>
      <c r="C354" s="2025"/>
      <c r="D354" s="2025"/>
      <c r="E354" s="2025"/>
      <c r="F354" s="2025"/>
      <c r="G354" s="2025"/>
      <c r="H354" s="2025"/>
      <c r="I354" s="2025"/>
      <c r="J354" s="2025"/>
    </row>
    <row r="355" spans="2:10">
      <c r="B355" s="64"/>
      <c r="C355" s="1"/>
      <c r="D355" s="1"/>
      <c r="E355" s="1"/>
      <c r="F355" s="1"/>
      <c r="G355" s="1"/>
      <c r="H355" s="1"/>
      <c r="I355" s="1"/>
      <c r="J355" s="1"/>
    </row>
    <row r="356" spans="2:10">
      <c r="B356" s="14" t="s">
        <v>313</v>
      </c>
      <c r="C356" s="14"/>
      <c r="D356" s="14"/>
      <c r="E356" s="14"/>
      <c r="F356" s="14"/>
      <c r="G356" s="14"/>
      <c r="H356" s="14"/>
      <c r="I356" s="14"/>
      <c r="J356" s="14"/>
    </row>
    <row r="357" spans="2:10">
      <c r="B357" s="12" t="s">
        <v>312</v>
      </c>
      <c r="C357" s="1"/>
      <c r="D357" s="1"/>
      <c r="E357" s="1"/>
      <c r="F357" s="1"/>
      <c r="G357" s="1"/>
      <c r="H357" s="1"/>
      <c r="I357" s="1"/>
      <c r="J357" s="1"/>
    </row>
    <row r="358" spans="2:10">
      <c r="B358" s="62" t="s">
        <v>311</v>
      </c>
      <c r="C358" s="1"/>
      <c r="D358" s="1"/>
      <c r="E358" s="1"/>
      <c r="F358" s="1"/>
      <c r="G358" s="1"/>
      <c r="H358" s="1"/>
      <c r="I358" s="1"/>
      <c r="J358" s="1"/>
    </row>
    <row r="359" spans="2:10">
      <c r="B359" s="64"/>
      <c r="C359" s="1"/>
      <c r="D359" s="1"/>
      <c r="E359" s="1"/>
      <c r="F359" s="1"/>
      <c r="G359" s="1"/>
      <c r="H359" s="1"/>
      <c r="I359" s="1"/>
      <c r="J359" s="1"/>
    </row>
    <row r="360" spans="2:10">
      <c r="B360" s="61"/>
      <c r="C360" s="935">
        <v>2014</v>
      </c>
      <c r="D360" s="935">
        <v>2015</v>
      </c>
      <c r="E360" s="935">
        <v>2016</v>
      </c>
      <c r="F360" s="935">
        <v>2017</v>
      </c>
      <c r="G360" s="935">
        <v>2018</v>
      </c>
      <c r="H360" s="935">
        <v>2019</v>
      </c>
      <c r="I360" s="935">
        <v>2020</v>
      </c>
      <c r="J360" s="935">
        <v>2021</v>
      </c>
    </row>
    <row r="361" spans="2:10">
      <c r="B361" s="114" t="s">
        <v>310</v>
      </c>
      <c r="C361" s="107"/>
      <c r="D361" s="107"/>
      <c r="E361" s="107"/>
      <c r="F361" s="107"/>
      <c r="G361" s="107"/>
      <c r="H361" s="107"/>
      <c r="I361" s="107"/>
      <c r="J361" s="107"/>
    </row>
    <row r="362" spans="2:10">
      <c r="B362" s="114"/>
      <c r="C362" s="107"/>
      <c r="D362" s="107"/>
      <c r="E362" s="107"/>
      <c r="F362" s="107"/>
      <c r="G362" s="107"/>
      <c r="H362" s="107"/>
      <c r="I362" s="107"/>
      <c r="J362" s="107"/>
    </row>
    <row r="363" spans="2:10">
      <c r="B363" s="59" t="s">
        <v>94</v>
      </c>
      <c r="C363" s="107"/>
      <c r="D363" s="107"/>
      <c r="E363" s="107"/>
      <c r="F363" s="107"/>
      <c r="G363" s="107"/>
      <c r="H363" s="107"/>
      <c r="I363" s="107"/>
      <c r="J363" s="107"/>
    </row>
    <row r="364" spans="2:10">
      <c r="B364" s="71" t="s">
        <v>297</v>
      </c>
      <c r="C364" s="66">
        <v>1185908.1066799632</v>
      </c>
      <c r="D364" s="66">
        <v>907851.93357570039</v>
      </c>
      <c r="E364" s="66">
        <v>939471.3260926127</v>
      </c>
      <c r="F364" s="66">
        <v>1012089.6863679405</v>
      </c>
      <c r="G364" s="66">
        <v>1288327.8795138383</v>
      </c>
      <c r="H364" s="66">
        <v>1352205.9398680804</v>
      </c>
      <c r="I364" s="66">
        <v>967856.5380153826</v>
      </c>
      <c r="J364" s="66">
        <v>971744.40180056123</v>
      </c>
    </row>
    <row r="365" spans="2:10">
      <c r="B365" s="133" t="s">
        <v>296</v>
      </c>
      <c r="C365" s="66">
        <f>C364</f>
        <v>1185908.1066799632</v>
      </c>
      <c r="D365" s="66">
        <f t="shared" ref="D365:J365" si="5">D364</f>
        <v>907851.93357570039</v>
      </c>
      <c r="E365" s="66">
        <f t="shared" si="5"/>
        <v>939471.3260926127</v>
      </c>
      <c r="F365" s="66">
        <f t="shared" si="5"/>
        <v>1012089.6863679405</v>
      </c>
      <c r="G365" s="66">
        <f t="shared" si="5"/>
        <v>1288327.8795138383</v>
      </c>
      <c r="H365" s="66">
        <f t="shared" si="5"/>
        <v>1352205.9398680804</v>
      </c>
      <c r="I365" s="66">
        <f t="shared" si="5"/>
        <v>967856.5380153826</v>
      </c>
      <c r="J365" s="66">
        <f t="shared" si="5"/>
        <v>971744.40180056123</v>
      </c>
    </row>
    <row r="366" spans="2:10">
      <c r="B366" s="132" t="s">
        <v>295</v>
      </c>
      <c r="C366" s="66"/>
      <c r="D366" s="66"/>
      <c r="E366" s="66"/>
      <c r="F366" s="66"/>
      <c r="G366" s="66"/>
      <c r="H366" s="66"/>
      <c r="I366" s="66"/>
      <c r="J366" s="66"/>
    </row>
    <row r="367" spans="2:10">
      <c r="B367" s="132" t="s">
        <v>303</v>
      </c>
      <c r="C367" s="66"/>
      <c r="D367" s="66"/>
      <c r="E367" s="66"/>
      <c r="F367" s="66"/>
      <c r="G367" s="66"/>
      <c r="H367" s="66"/>
      <c r="I367" s="66"/>
      <c r="J367" s="66"/>
    </row>
    <row r="368" spans="2:10">
      <c r="B368" s="65" t="s">
        <v>301</v>
      </c>
      <c r="C368" s="66"/>
      <c r="D368" s="66"/>
      <c r="E368" s="66"/>
      <c r="F368" s="66"/>
      <c r="G368" s="66"/>
      <c r="H368" s="66"/>
      <c r="I368" s="66"/>
      <c r="J368" s="66"/>
    </row>
    <row r="369" spans="2:10">
      <c r="B369" s="136"/>
      <c r="C369" s="66"/>
      <c r="D369" s="66"/>
      <c r="E369" s="66"/>
      <c r="F369" s="66"/>
      <c r="G369" s="66"/>
      <c r="H369" s="66"/>
      <c r="I369" s="66"/>
      <c r="J369" s="66"/>
    </row>
    <row r="370" spans="2:10">
      <c r="B370" s="114" t="s">
        <v>302</v>
      </c>
      <c r="C370" s="66"/>
      <c r="D370" s="66"/>
      <c r="E370" s="66"/>
      <c r="F370" s="66"/>
      <c r="G370" s="66"/>
      <c r="H370" s="66"/>
      <c r="I370" s="66"/>
      <c r="J370" s="66"/>
    </row>
    <row r="371" spans="2:10">
      <c r="B371" s="114"/>
      <c r="C371" s="66"/>
      <c r="D371" s="66"/>
      <c r="E371" s="66"/>
      <c r="F371" s="66"/>
      <c r="G371" s="66"/>
      <c r="H371" s="66"/>
      <c r="I371" s="66"/>
      <c r="J371" s="66"/>
    </row>
    <row r="372" spans="2:10">
      <c r="B372" s="59" t="s">
        <v>1499</v>
      </c>
      <c r="C372" s="66"/>
      <c r="D372" s="66"/>
      <c r="E372" s="66"/>
      <c r="F372" s="66"/>
      <c r="G372" s="66"/>
      <c r="H372" s="66"/>
      <c r="I372" s="66"/>
      <c r="J372" s="66"/>
    </row>
    <row r="373" spans="2:10">
      <c r="B373" s="71" t="s">
        <v>297</v>
      </c>
      <c r="C373" s="66">
        <v>80851.767644452862</v>
      </c>
      <c r="D373" s="66">
        <v>69301.258863018593</v>
      </c>
      <c r="E373" s="66">
        <v>72643.218054385361</v>
      </c>
      <c r="F373" s="66">
        <v>76027.270101711751</v>
      </c>
      <c r="G373" s="66">
        <v>78763.77823715446</v>
      </c>
      <c r="H373" s="66">
        <v>90739.89136994569</v>
      </c>
      <c r="I373" s="66">
        <v>75068.602539261279</v>
      </c>
      <c r="J373" s="66">
        <v>92993.308447112067</v>
      </c>
    </row>
    <row r="374" spans="2:10">
      <c r="B374" s="133" t="s">
        <v>296</v>
      </c>
      <c r="C374" s="66">
        <f>C373</f>
        <v>80851.767644452862</v>
      </c>
      <c r="D374" s="66">
        <f t="shared" ref="D374:J374" si="6">D373</f>
        <v>69301.258863018593</v>
      </c>
      <c r="E374" s="66">
        <f t="shared" si="6"/>
        <v>72643.218054385361</v>
      </c>
      <c r="F374" s="66">
        <f t="shared" si="6"/>
        <v>76027.270101711751</v>
      </c>
      <c r="G374" s="66">
        <f t="shared" si="6"/>
        <v>78763.77823715446</v>
      </c>
      <c r="H374" s="66">
        <f t="shared" si="6"/>
        <v>90739.89136994569</v>
      </c>
      <c r="I374" s="66">
        <f t="shared" si="6"/>
        <v>75068.602539261279</v>
      </c>
      <c r="J374" s="66">
        <f t="shared" si="6"/>
        <v>92993.308447112067</v>
      </c>
    </row>
    <row r="375" spans="2:10">
      <c r="B375" s="131" t="s">
        <v>294</v>
      </c>
      <c r="C375" s="66">
        <v>28330.069247385443</v>
      </c>
      <c r="D375" s="66">
        <v>29739.259601151316</v>
      </c>
      <c r="E375" s="66">
        <v>35601.315560488678</v>
      </c>
      <c r="F375" s="66">
        <v>41128.82428196822</v>
      </c>
      <c r="G375" s="66">
        <v>47232.244696843271</v>
      </c>
      <c r="H375" s="66">
        <v>54941.158720579362</v>
      </c>
      <c r="I375" s="66">
        <v>56670.681868491025</v>
      </c>
      <c r="J375" s="66">
        <v>75252.469695859152</v>
      </c>
    </row>
    <row r="376" spans="2:10">
      <c r="B376" s="131" t="s">
        <v>293</v>
      </c>
      <c r="C376" s="66"/>
      <c r="D376" s="66"/>
      <c r="E376" s="66"/>
      <c r="F376" s="66"/>
      <c r="G376" s="66"/>
      <c r="H376" s="66"/>
      <c r="I376" s="66"/>
      <c r="J376" s="66"/>
    </row>
    <row r="377" spans="2:10">
      <c r="B377" s="131" t="s">
        <v>292</v>
      </c>
      <c r="C377" s="66"/>
      <c r="D377" s="66"/>
      <c r="E377" s="66"/>
      <c r="F377" s="66"/>
      <c r="G377" s="66"/>
      <c r="H377" s="66"/>
      <c r="I377" s="66"/>
      <c r="J377" s="66"/>
    </row>
    <row r="378" spans="2:10">
      <c r="B378" s="131" t="s">
        <v>291</v>
      </c>
      <c r="C378" s="66"/>
      <c r="D378" s="66"/>
      <c r="E378" s="66"/>
      <c r="F378" s="66"/>
      <c r="G378" s="66"/>
      <c r="H378" s="66"/>
      <c r="I378" s="66"/>
      <c r="J378" s="66"/>
    </row>
    <row r="379" spans="2:10">
      <c r="B379" s="131" t="s">
        <v>290</v>
      </c>
      <c r="C379" s="66"/>
      <c r="D379" s="66"/>
      <c r="E379" s="66"/>
      <c r="F379" s="66"/>
      <c r="G379" s="66"/>
      <c r="H379" s="66"/>
      <c r="I379" s="66"/>
      <c r="J379" s="66"/>
    </row>
    <row r="380" spans="2:10">
      <c r="B380" s="131" t="s">
        <v>289</v>
      </c>
      <c r="C380" s="66">
        <v>52521.698397067412</v>
      </c>
      <c r="D380" s="66">
        <v>39561.99926186727</v>
      </c>
      <c r="E380" s="66">
        <v>37041.902493896683</v>
      </c>
      <c r="F380" s="66">
        <v>34898.445819743538</v>
      </c>
      <c r="G380" s="66">
        <v>31531.533540311182</v>
      </c>
      <c r="H380" s="66">
        <v>35798.732649366328</v>
      </c>
      <c r="I380" s="66">
        <v>18397.920670770254</v>
      </c>
      <c r="J380" s="66">
        <v>17740.838751252908</v>
      </c>
    </row>
    <row r="381" spans="2:10">
      <c r="B381" s="131" t="s">
        <v>288</v>
      </c>
      <c r="C381" s="945"/>
      <c r="D381" s="945"/>
      <c r="E381" s="945"/>
      <c r="F381" s="945"/>
      <c r="G381" s="945"/>
      <c r="H381" s="945"/>
      <c r="I381" s="66"/>
    </row>
    <row r="382" spans="2:10">
      <c r="B382" s="132" t="s">
        <v>295</v>
      </c>
      <c r="C382" s="945"/>
      <c r="D382" s="945"/>
      <c r="E382" s="945"/>
      <c r="F382" s="945"/>
      <c r="G382" s="945"/>
      <c r="H382" s="945"/>
    </row>
    <row r="383" spans="2:10">
      <c r="B383" s="131" t="s">
        <v>294</v>
      </c>
      <c r="C383" s="945"/>
      <c r="D383" s="945"/>
      <c r="E383" s="945"/>
      <c r="F383" s="945"/>
      <c r="G383" s="945"/>
      <c r="H383" s="945"/>
    </row>
    <row r="384" spans="2:10">
      <c r="B384" s="131" t="s">
        <v>293</v>
      </c>
      <c r="C384" s="945"/>
      <c r="D384" s="945"/>
      <c r="E384" s="945"/>
      <c r="F384" s="945"/>
      <c r="G384" s="945"/>
      <c r="H384" s="945"/>
    </row>
    <row r="385" spans="2:10">
      <c r="B385" s="131" t="s">
        <v>292</v>
      </c>
      <c r="C385" s="945"/>
      <c r="D385" s="945"/>
      <c r="E385" s="945"/>
      <c r="F385" s="945"/>
      <c r="G385" s="945"/>
      <c r="H385" s="945"/>
      <c r="I385" s="945"/>
      <c r="J385" s="945"/>
    </row>
    <row r="386" spans="2:10">
      <c r="B386" s="131" t="s">
        <v>291</v>
      </c>
      <c r="C386" s="945"/>
      <c r="D386" s="945"/>
      <c r="E386" s="945"/>
      <c r="F386" s="945"/>
      <c r="G386" s="945"/>
      <c r="H386" s="945"/>
      <c r="I386" s="945"/>
      <c r="J386" s="945"/>
    </row>
    <row r="387" spans="2:10">
      <c r="B387" s="131" t="s">
        <v>290</v>
      </c>
      <c r="C387" s="945"/>
      <c r="D387" s="945"/>
      <c r="E387" s="945"/>
      <c r="F387" s="945"/>
      <c r="G387" s="945"/>
      <c r="H387" s="945"/>
      <c r="I387" s="945"/>
      <c r="J387" s="945"/>
    </row>
    <row r="388" spans="2:10">
      <c r="B388" s="131" t="s">
        <v>289</v>
      </c>
      <c r="C388" s="945"/>
      <c r="D388" s="945"/>
      <c r="E388" s="945"/>
      <c r="F388" s="945"/>
      <c r="G388" s="945"/>
      <c r="H388" s="945"/>
      <c r="I388" s="945"/>
      <c r="J388" s="945"/>
    </row>
    <row r="389" spans="2:10">
      <c r="B389" s="131" t="s">
        <v>288</v>
      </c>
      <c r="C389" s="945"/>
      <c r="D389" s="945"/>
      <c r="E389" s="945"/>
      <c r="F389" s="945"/>
      <c r="G389" s="945"/>
      <c r="H389" s="945"/>
      <c r="I389" s="945"/>
      <c r="J389" s="945"/>
    </row>
    <row r="390" spans="2:10" ht="15" thickBot="1">
      <c r="B390" s="65" t="s">
        <v>301</v>
      </c>
      <c r="C390" s="945"/>
      <c r="D390" s="945"/>
      <c r="E390" s="945"/>
      <c r="F390" s="945"/>
      <c r="G390" s="945"/>
      <c r="H390" s="946"/>
      <c r="I390" s="946"/>
      <c r="J390" s="946"/>
    </row>
    <row r="391" spans="2:10" ht="15" thickTop="1">
      <c r="B391" s="2025" t="s">
        <v>1470</v>
      </c>
      <c r="C391" s="2025"/>
      <c r="D391" s="2025"/>
      <c r="E391" s="2025"/>
      <c r="F391" s="2025"/>
      <c r="G391" s="2025"/>
      <c r="H391" s="1"/>
      <c r="I391" s="1"/>
      <c r="J391" s="1"/>
    </row>
    <row r="392" spans="2:10">
      <c r="B392" s="64"/>
      <c r="C392" s="1"/>
      <c r="D392" s="1"/>
      <c r="E392" s="1"/>
      <c r="F392" s="1"/>
      <c r="G392" s="1"/>
      <c r="H392" s="1"/>
      <c r="I392" s="1"/>
      <c r="J392" s="1"/>
    </row>
    <row r="393" spans="2:10">
      <c r="B393" s="14" t="s">
        <v>285</v>
      </c>
      <c r="C393" s="14"/>
      <c r="D393" s="14"/>
      <c r="E393" s="14"/>
      <c r="F393" s="14"/>
      <c r="G393" s="14"/>
      <c r="H393" s="14"/>
      <c r="I393" s="14"/>
      <c r="J393" s="14"/>
    </row>
    <row r="394" spans="2:10">
      <c r="B394" s="2097" t="s">
        <v>284</v>
      </c>
      <c r="C394" s="2097"/>
      <c r="D394" s="2097"/>
      <c r="E394" s="2097"/>
      <c r="F394" s="2097"/>
      <c r="G394" s="2097"/>
      <c r="H394" s="2097"/>
      <c r="I394" s="2097"/>
      <c r="J394" s="2097"/>
    </row>
    <row r="395" spans="2:10">
      <c r="B395" s="62" t="s">
        <v>269</v>
      </c>
      <c r="C395" s="1"/>
      <c r="D395" s="1"/>
      <c r="E395" s="1"/>
      <c r="F395" s="1"/>
      <c r="G395" s="1"/>
      <c r="H395" s="1"/>
      <c r="I395" s="1"/>
      <c r="J395" s="1"/>
    </row>
    <row r="396" spans="2:10">
      <c r="B396" s="64"/>
      <c r="C396" s="1"/>
      <c r="D396" s="1"/>
      <c r="E396" s="1"/>
      <c r="F396" s="1"/>
      <c r="G396" s="1"/>
      <c r="H396" s="1"/>
      <c r="I396" s="1"/>
      <c r="J396" s="1"/>
    </row>
    <row r="397" spans="2:10">
      <c r="B397" s="61"/>
      <c r="C397" s="935">
        <v>2014</v>
      </c>
      <c r="D397" s="935">
        <v>2015</v>
      </c>
      <c r="E397" s="935">
        <v>2016</v>
      </c>
      <c r="F397" s="935">
        <v>2017</v>
      </c>
      <c r="G397" s="935">
        <v>2018</v>
      </c>
      <c r="H397" s="935">
        <v>2019</v>
      </c>
      <c r="I397" s="935">
        <v>2020</v>
      </c>
      <c r="J397" s="935">
        <v>2021</v>
      </c>
    </row>
    <row r="398" spans="2:10" ht="15" thickBot="1">
      <c r="B398" s="126" t="s">
        <v>283</v>
      </c>
      <c r="C398" s="121"/>
      <c r="D398" s="121"/>
      <c r="E398" s="121"/>
      <c r="F398" s="121"/>
      <c r="G398" s="121"/>
      <c r="H398" s="947"/>
      <c r="I398" s="947"/>
      <c r="J398" s="947"/>
    </row>
    <row r="399" spans="2:10" ht="15" thickTop="1">
      <c r="B399" s="2025" t="s">
        <v>272</v>
      </c>
      <c r="C399" s="2025"/>
      <c r="D399" s="2025"/>
      <c r="E399" s="2025"/>
      <c r="F399" s="2025"/>
      <c r="G399" s="2025"/>
      <c r="H399" s="1"/>
      <c r="I399" s="1"/>
      <c r="J399" s="1"/>
    </row>
    <row r="400" spans="2:10">
      <c r="B400" s="64"/>
      <c r="C400" s="1"/>
      <c r="D400" s="1"/>
      <c r="E400" s="1"/>
      <c r="F400" s="1"/>
      <c r="G400" s="1"/>
      <c r="H400" s="1"/>
      <c r="I400" s="1"/>
      <c r="J400" s="1"/>
    </row>
    <row r="401" spans="2:10">
      <c r="B401" s="14" t="s">
        <v>282</v>
      </c>
      <c r="C401" s="14"/>
      <c r="D401" s="14"/>
      <c r="E401" s="14"/>
      <c r="F401" s="14"/>
      <c r="G401" s="14"/>
      <c r="H401" s="14"/>
      <c r="I401" s="14"/>
      <c r="J401" s="14"/>
    </row>
    <row r="402" spans="2:10">
      <c r="B402" s="12" t="s">
        <v>281</v>
      </c>
      <c r="C402" s="1"/>
      <c r="D402" s="1"/>
      <c r="E402" s="1"/>
      <c r="F402" s="1"/>
      <c r="G402" s="1"/>
      <c r="H402" s="1"/>
      <c r="I402" s="1"/>
      <c r="J402" s="1"/>
    </row>
    <row r="403" spans="2:10">
      <c r="B403" s="62" t="s">
        <v>236</v>
      </c>
      <c r="C403" s="1"/>
      <c r="D403" s="1"/>
      <c r="E403" s="1"/>
      <c r="F403" s="1"/>
      <c r="G403" s="1"/>
      <c r="H403" s="1"/>
      <c r="I403" s="1"/>
      <c r="J403" s="1"/>
    </row>
    <row r="404" spans="2:10">
      <c r="B404" s="64"/>
      <c r="C404" s="1"/>
      <c r="D404" s="1"/>
      <c r="E404" s="1"/>
      <c r="F404" s="1"/>
      <c r="G404" s="1"/>
      <c r="H404" s="1"/>
      <c r="I404" s="1"/>
      <c r="J404" s="1"/>
    </row>
    <row r="405" spans="2:10">
      <c r="B405" s="61"/>
      <c r="C405" s="935">
        <v>2014</v>
      </c>
      <c r="D405" s="935">
        <v>2015</v>
      </c>
      <c r="E405" s="935">
        <v>2016</v>
      </c>
      <c r="F405" s="935">
        <v>2017</v>
      </c>
      <c r="G405" s="935">
        <v>2018</v>
      </c>
      <c r="H405" s="935">
        <v>2019</v>
      </c>
      <c r="I405" s="935">
        <v>2020</v>
      </c>
      <c r="J405" s="935">
        <v>2021</v>
      </c>
    </row>
    <row r="406" spans="2:10">
      <c r="B406" s="126" t="s">
        <v>280</v>
      </c>
      <c r="C406" s="1"/>
      <c r="D406" s="1"/>
      <c r="E406" s="1"/>
      <c r="F406" s="1"/>
      <c r="G406" s="1"/>
      <c r="H406" s="1"/>
      <c r="I406" s="1"/>
      <c r="J406" s="1"/>
    </row>
    <row r="407" spans="2:10">
      <c r="B407" s="124" t="s">
        <v>277</v>
      </c>
      <c r="C407" s="3"/>
      <c r="D407" s="3"/>
      <c r="E407" s="3"/>
      <c r="F407" s="3"/>
      <c r="G407" s="3"/>
      <c r="H407" s="3"/>
      <c r="I407" s="3"/>
      <c r="J407" s="3"/>
    </row>
    <row r="408" spans="2:10">
      <c r="B408" s="123" t="s">
        <v>276</v>
      </c>
      <c r="C408" s="948"/>
      <c r="D408" s="948"/>
      <c r="E408" s="948"/>
      <c r="F408" s="948"/>
      <c r="G408" s="948"/>
      <c r="H408" s="948"/>
      <c r="I408" s="948"/>
      <c r="J408" s="948"/>
    </row>
    <row r="409" spans="2:10">
      <c r="B409" s="123" t="s">
        <v>275</v>
      </c>
      <c r="C409" s="948"/>
      <c r="D409" s="948"/>
      <c r="E409" s="948"/>
      <c r="F409" s="948"/>
      <c r="G409" s="948"/>
      <c r="H409" s="948"/>
      <c r="I409" s="948"/>
      <c r="J409" s="948"/>
    </row>
    <row r="410" spans="2:10">
      <c r="B410" s="123" t="s">
        <v>274</v>
      </c>
      <c r="C410" s="948"/>
      <c r="D410" s="948"/>
      <c r="E410" s="948"/>
      <c r="F410" s="948"/>
      <c r="G410" s="948"/>
      <c r="H410" s="948"/>
      <c r="I410" s="948"/>
      <c r="J410" s="948"/>
    </row>
    <row r="411" spans="2:10">
      <c r="B411" s="123" t="s">
        <v>273</v>
      </c>
      <c r="C411" s="948"/>
      <c r="D411" s="948"/>
      <c r="E411" s="948"/>
      <c r="F411" s="948"/>
      <c r="G411" s="948"/>
      <c r="H411" s="948"/>
      <c r="I411" s="948"/>
      <c r="J411" s="948"/>
    </row>
    <row r="412" spans="2:10">
      <c r="B412" s="125" t="s">
        <v>279</v>
      </c>
      <c r="C412" s="3"/>
      <c r="D412" s="3"/>
      <c r="E412" s="3"/>
      <c r="F412" s="3"/>
      <c r="G412" s="3"/>
      <c r="H412" s="3"/>
      <c r="I412" s="3"/>
      <c r="J412" s="3"/>
    </row>
    <row r="413" spans="2:10">
      <c r="B413" s="124" t="s">
        <v>277</v>
      </c>
      <c r="C413" s="3"/>
      <c r="D413" s="3"/>
      <c r="E413" s="3"/>
      <c r="F413" s="3"/>
      <c r="G413" s="3"/>
      <c r="H413" s="3"/>
      <c r="I413" s="3"/>
      <c r="J413" s="3"/>
    </row>
    <row r="414" spans="2:10">
      <c r="B414" s="123" t="s">
        <v>276</v>
      </c>
      <c r="C414" s="948"/>
      <c r="D414" s="948"/>
      <c r="E414" s="948"/>
      <c r="F414" s="948"/>
      <c r="G414" s="948"/>
      <c r="H414" s="948"/>
      <c r="I414" s="948"/>
      <c r="J414" s="948"/>
    </row>
    <row r="415" spans="2:10">
      <c r="B415" s="123" t="s">
        <v>275</v>
      </c>
      <c r="C415" s="948"/>
      <c r="D415" s="948"/>
      <c r="E415" s="948"/>
      <c r="F415" s="948"/>
      <c r="G415" s="948"/>
      <c r="H415" s="948"/>
      <c r="I415" s="948"/>
      <c r="J415" s="948"/>
    </row>
    <row r="416" spans="2:10">
      <c r="B416" s="123" t="s">
        <v>274</v>
      </c>
      <c r="C416" s="948"/>
      <c r="D416" s="948"/>
      <c r="E416" s="948"/>
      <c r="F416" s="948"/>
      <c r="G416" s="948"/>
      <c r="H416" s="948"/>
      <c r="I416" s="948"/>
      <c r="J416" s="948"/>
    </row>
    <row r="417" spans="2:10">
      <c r="B417" s="123" t="s">
        <v>273</v>
      </c>
      <c r="C417" s="948"/>
      <c r="D417" s="948"/>
      <c r="E417" s="948"/>
      <c r="F417" s="948"/>
      <c r="G417" s="948"/>
      <c r="H417" s="948"/>
      <c r="I417" s="948"/>
      <c r="J417" s="948"/>
    </row>
    <row r="418" spans="2:10">
      <c r="B418" s="125" t="s">
        <v>278</v>
      </c>
      <c r="C418" s="3"/>
      <c r="D418" s="3"/>
      <c r="E418" s="3"/>
      <c r="F418" s="3"/>
      <c r="G418" s="3"/>
      <c r="H418" s="3"/>
      <c r="I418" s="3"/>
      <c r="J418" s="3"/>
    </row>
    <row r="419" spans="2:10">
      <c r="B419" s="124" t="s">
        <v>277</v>
      </c>
      <c r="C419" s="3"/>
      <c r="D419" s="3"/>
      <c r="E419" s="3"/>
      <c r="F419" s="3"/>
      <c r="G419" s="3"/>
      <c r="H419" s="3"/>
      <c r="I419" s="3"/>
      <c r="J419" s="3"/>
    </row>
    <row r="420" spans="2:10">
      <c r="B420" s="123" t="s">
        <v>276</v>
      </c>
      <c r="C420" s="948"/>
      <c r="D420" s="948"/>
      <c r="E420" s="948"/>
      <c r="F420" s="948"/>
      <c r="G420" s="948"/>
      <c r="H420" s="948"/>
      <c r="I420" s="948"/>
      <c r="J420" s="948"/>
    </row>
    <row r="421" spans="2:10">
      <c r="B421" s="123" t="s">
        <v>275</v>
      </c>
      <c r="C421" s="3"/>
      <c r="D421" s="3"/>
      <c r="E421" s="3"/>
      <c r="F421" s="3"/>
      <c r="G421" s="3"/>
      <c r="H421" s="1"/>
      <c r="I421" s="1"/>
      <c r="J421" s="1"/>
    </row>
    <row r="422" spans="2:10">
      <c r="B422" s="123" t="s">
        <v>274</v>
      </c>
      <c r="C422" s="948"/>
      <c r="D422" s="948"/>
      <c r="E422" s="948"/>
      <c r="F422" s="948"/>
      <c r="G422" s="948"/>
      <c r="H422" s="3"/>
      <c r="I422" s="3"/>
      <c r="J422" s="3"/>
    </row>
    <row r="423" spans="2:10" ht="15" thickBot="1">
      <c r="B423" s="123" t="s">
        <v>273</v>
      </c>
      <c r="C423" s="100"/>
      <c r="D423" s="100"/>
      <c r="E423" s="100"/>
      <c r="F423" s="100"/>
      <c r="G423" s="100"/>
      <c r="H423" s="100"/>
      <c r="I423" s="100"/>
      <c r="J423" s="100"/>
    </row>
    <row r="424" spans="2:10" ht="15" thickTop="1">
      <c r="B424" s="2025" t="s">
        <v>272</v>
      </c>
      <c r="C424" s="2025"/>
      <c r="D424" s="2025"/>
      <c r="E424" s="2025"/>
      <c r="F424" s="2025"/>
      <c r="G424" s="2025"/>
      <c r="H424" s="1"/>
      <c r="I424" s="1"/>
      <c r="J424" s="1"/>
    </row>
    <row r="425" spans="2:10">
      <c r="B425" s="64"/>
      <c r="C425" s="1"/>
      <c r="D425" s="1"/>
      <c r="E425" s="1"/>
      <c r="F425" s="1"/>
      <c r="G425" s="1"/>
      <c r="H425" s="1"/>
      <c r="I425" s="1"/>
      <c r="J425" s="1"/>
    </row>
    <row r="426" spans="2:10">
      <c r="B426" s="14" t="s">
        <v>271</v>
      </c>
      <c r="C426" s="14"/>
      <c r="D426" s="14"/>
      <c r="E426" s="14"/>
      <c r="F426" s="14"/>
      <c r="G426" s="14"/>
      <c r="H426" s="14"/>
      <c r="I426" s="14"/>
      <c r="J426" s="14"/>
    </row>
    <row r="427" spans="2:10">
      <c r="B427" s="12" t="s">
        <v>270</v>
      </c>
      <c r="C427" s="1"/>
      <c r="D427" s="1"/>
      <c r="E427" s="1"/>
      <c r="F427" s="1"/>
      <c r="G427" s="1"/>
      <c r="H427" s="1"/>
      <c r="I427" s="1"/>
      <c r="J427" s="1"/>
    </row>
    <row r="428" spans="2:10">
      <c r="B428" s="77" t="s">
        <v>269</v>
      </c>
      <c r="C428" s="1"/>
      <c r="D428" s="1"/>
      <c r="E428" s="1"/>
      <c r="F428" s="1"/>
      <c r="G428" s="1"/>
      <c r="H428" s="1"/>
      <c r="I428" s="1"/>
      <c r="J428" s="1"/>
    </row>
    <row r="429" spans="2:10">
      <c r="B429" s="76"/>
      <c r="C429" s="1"/>
      <c r="D429" s="1"/>
      <c r="E429" s="1"/>
      <c r="F429" s="1"/>
      <c r="G429" s="1"/>
      <c r="H429" s="1"/>
      <c r="I429" s="1"/>
      <c r="J429" s="1"/>
    </row>
    <row r="430" spans="2:10">
      <c r="B430" s="61"/>
      <c r="C430" s="935">
        <v>2014</v>
      </c>
      <c r="D430" s="935">
        <v>2015</v>
      </c>
      <c r="E430" s="935">
        <v>2016</v>
      </c>
      <c r="F430" s="935">
        <v>2017</v>
      </c>
      <c r="G430" s="935">
        <v>2018</v>
      </c>
      <c r="H430" s="935">
        <v>2019</v>
      </c>
      <c r="I430" s="935">
        <v>2020</v>
      </c>
      <c r="J430" s="935">
        <v>2021</v>
      </c>
    </row>
    <row r="431" spans="2:10">
      <c r="B431" s="59" t="s">
        <v>1329</v>
      </c>
      <c r="C431" s="1"/>
      <c r="D431" s="1"/>
      <c r="E431" s="1"/>
      <c r="F431" s="1"/>
      <c r="G431" s="1"/>
      <c r="H431" s="1"/>
      <c r="I431" s="1"/>
      <c r="J431" s="1"/>
    </row>
    <row r="432" spans="2:10">
      <c r="B432" s="71" t="s">
        <v>265</v>
      </c>
      <c r="C432" s="235">
        <v>25</v>
      </c>
      <c r="D432" s="235">
        <v>24</v>
      </c>
      <c r="E432" s="235">
        <v>24</v>
      </c>
      <c r="F432" s="235">
        <v>23</v>
      </c>
      <c r="G432" s="235">
        <v>22</v>
      </c>
      <c r="H432" s="235">
        <v>21</v>
      </c>
      <c r="I432" s="235">
        <v>21</v>
      </c>
      <c r="J432" s="235">
        <v>21</v>
      </c>
    </row>
    <row r="433" spans="2:10">
      <c r="B433" s="52" t="s">
        <v>262</v>
      </c>
      <c r="C433" s="226"/>
      <c r="D433" s="226"/>
      <c r="E433" s="226"/>
      <c r="F433" s="226"/>
      <c r="G433" s="226"/>
      <c r="H433" s="226"/>
      <c r="I433" s="226"/>
      <c r="J433" s="226"/>
    </row>
    <row r="434" spans="2:10">
      <c r="B434" s="52" t="s">
        <v>261</v>
      </c>
      <c r="C434" s="226"/>
      <c r="D434" s="226"/>
      <c r="E434" s="226"/>
      <c r="F434" s="226"/>
      <c r="G434" s="226"/>
      <c r="H434" s="226"/>
      <c r="I434" s="226"/>
      <c r="J434" s="226"/>
    </row>
    <row r="435" spans="2:10">
      <c r="B435" s="52" t="s">
        <v>260</v>
      </c>
      <c r="C435" s="226"/>
      <c r="D435" s="226"/>
      <c r="E435" s="226"/>
      <c r="F435" s="226"/>
      <c r="G435" s="226"/>
      <c r="H435" s="226"/>
      <c r="I435" s="226"/>
      <c r="J435" s="226"/>
    </row>
    <row r="436" spans="2:10">
      <c r="B436" s="52" t="s">
        <v>1501</v>
      </c>
      <c r="C436" s="865">
        <v>25</v>
      </c>
      <c r="D436" s="865">
        <v>24</v>
      </c>
      <c r="E436" s="865">
        <v>24</v>
      </c>
      <c r="F436" s="865">
        <v>23</v>
      </c>
      <c r="G436" s="865">
        <v>22</v>
      </c>
      <c r="H436" s="865">
        <v>21</v>
      </c>
      <c r="I436" s="865">
        <v>21</v>
      </c>
      <c r="J436" s="865">
        <v>21</v>
      </c>
    </row>
    <row r="437" spans="2:10">
      <c r="B437" s="52"/>
      <c r="C437" s="3"/>
      <c r="D437" s="3"/>
      <c r="E437" s="3"/>
      <c r="F437" s="3"/>
      <c r="G437" s="3"/>
      <c r="H437" s="3"/>
      <c r="I437" s="3"/>
      <c r="J437" s="3"/>
    </row>
    <row r="438" spans="2:10">
      <c r="B438" s="71" t="s">
        <v>264</v>
      </c>
      <c r="C438" s="865">
        <v>25</v>
      </c>
      <c r="D438" s="865">
        <v>24</v>
      </c>
      <c r="E438" s="865">
        <v>24</v>
      </c>
      <c r="F438" s="865">
        <v>23</v>
      </c>
      <c r="G438" s="865">
        <v>22</v>
      </c>
      <c r="H438" s="865">
        <v>21</v>
      </c>
      <c r="I438" s="865">
        <v>21</v>
      </c>
      <c r="J438" s="865">
        <v>21</v>
      </c>
    </row>
    <row r="439" spans="2:10">
      <c r="B439" s="52" t="s">
        <v>262</v>
      </c>
      <c r="C439" s="226"/>
      <c r="D439" s="226"/>
      <c r="E439" s="226"/>
      <c r="F439" s="226"/>
      <c r="G439" s="226"/>
      <c r="H439" s="226"/>
      <c r="I439" s="226"/>
      <c r="J439" s="226"/>
    </row>
    <row r="440" spans="2:10">
      <c r="B440" s="52" t="s">
        <v>261</v>
      </c>
      <c r="C440" s="226"/>
      <c r="D440" s="226"/>
      <c r="E440" s="226"/>
      <c r="F440" s="226"/>
      <c r="G440" s="226"/>
      <c r="H440" s="226"/>
      <c r="I440" s="226"/>
      <c r="J440" s="226"/>
    </row>
    <row r="441" spans="2:10">
      <c r="B441" s="52" t="s">
        <v>260</v>
      </c>
      <c r="C441" s="226"/>
      <c r="D441" s="226"/>
      <c r="E441" s="226"/>
      <c r="F441" s="226"/>
      <c r="G441" s="226"/>
      <c r="H441" s="226"/>
      <c r="I441" s="226"/>
      <c r="J441" s="226"/>
    </row>
    <row r="442" spans="2:10">
      <c r="B442" s="52" t="s">
        <v>1501</v>
      </c>
      <c r="C442" s="865">
        <v>25</v>
      </c>
      <c r="D442" s="865">
        <v>24</v>
      </c>
      <c r="E442" s="865">
        <v>24</v>
      </c>
      <c r="F442" s="865">
        <v>23</v>
      </c>
      <c r="G442" s="865">
        <v>22</v>
      </c>
      <c r="H442" s="865">
        <v>21</v>
      </c>
      <c r="I442" s="865">
        <v>21</v>
      </c>
      <c r="J442" s="865">
        <v>21</v>
      </c>
    </row>
    <row r="443" spans="2:10">
      <c r="B443" s="52"/>
      <c r="C443" s="1"/>
      <c r="D443" s="1"/>
      <c r="E443" s="1"/>
      <c r="F443" s="1"/>
      <c r="G443" s="1"/>
      <c r="H443" s="1"/>
      <c r="I443" s="1"/>
      <c r="J443" s="1"/>
    </row>
    <row r="444" spans="2:10">
      <c r="B444" s="71" t="s">
        <v>263</v>
      </c>
      <c r="C444" s="226"/>
      <c r="D444" s="226"/>
      <c r="E444" s="226"/>
      <c r="F444" s="226"/>
      <c r="G444" s="226"/>
      <c r="H444" s="226"/>
      <c r="I444" s="226"/>
      <c r="J444" s="226"/>
    </row>
    <row r="445" spans="2:10">
      <c r="B445" s="52" t="s">
        <v>262</v>
      </c>
      <c r="C445" s="226"/>
      <c r="D445" s="226"/>
      <c r="E445" s="226"/>
      <c r="F445" s="226"/>
      <c r="G445" s="226"/>
      <c r="H445" s="226"/>
      <c r="I445" s="226"/>
      <c r="J445" s="226"/>
    </row>
    <row r="446" spans="2:10">
      <c r="B446" s="52" t="s">
        <v>261</v>
      </c>
      <c r="C446" s="226"/>
      <c r="D446" s="226"/>
      <c r="E446" s="226"/>
      <c r="F446" s="226"/>
      <c r="G446" s="226"/>
      <c r="H446" s="226"/>
      <c r="I446" s="226"/>
      <c r="J446" s="226"/>
    </row>
    <row r="447" spans="2:10">
      <c r="B447" s="52" t="s">
        <v>260</v>
      </c>
      <c r="C447" s="226"/>
      <c r="D447" s="226"/>
      <c r="E447" s="226"/>
      <c r="F447" s="226"/>
      <c r="G447" s="226"/>
      <c r="H447" s="226"/>
      <c r="I447" s="226"/>
      <c r="J447" s="226"/>
    </row>
    <row r="448" spans="2:10" ht="15" thickBot="1">
      <c r="B448" s="52" t="s">
        <v>117</v>
      </c>
      <c r="C448" s="226"/>
      <c r="D448" s="226"/>
      <c r="E448" s="226"/>
      <c r="F448" s="226"/>
      <c r="G448" s="226"/>
      <c r="H448" s="949"/>
      <c r="I448" s="949"/>
      <c r="J448" s="949"/>
    </row>
    <row r="449" spans="2:10" ht="15" thickTop="1">
      <c r="B449" s="2025" t="s">
        <v>1502</v>
      </c>
      <c r="C449" s="2025"/>
      <c r="D449" s="2025"/>
      <c r="E449" s="2025"/>
      <c r="F449" s="2025"/>
      <c r="G449" s="2025"/>
      <c r="H449" s="1"/>
      <c r="I449" s="1"/>
      <c r="J449" s="1"/>
    </row>
    <row r="450" spans="2:10">
      <c r="B450" s="62"/>
      <c r="C450" s="1"/>
      <c r="D450" s="1"/>
      <c r="E450" s="1"/>
      <c r="F450" s="1"/>
      <c r="G450" s="1"/>
      <c r="H450" s="1"/>
      <c r="I450" s="1"/>
      <c r="J450" s="1"/>
    </row>
    <row r="451" spans="2:10">
      <c r="B451" s="14" t="s">
        <v>258</v>
      </c>
      <c r="C451" s="14"/>
      <c r="D451" s="14"/>
      <c r="E451" s="14"/>
      <c r="F451" s="14"/>
      <c r="G451" s="14"/>
      <c r="H451" s="14"/>
      <c r="I451" s="14"/>
      <c r="J451" s="14"/>
    </row>
    <row r="452" spans="2:10">
      <c r="B452" s="12" t="s">
        <v>257</v>
      </c>
      <c r="C452" s="1"/>
      <c r="D452" s="1"/>
      <c r="E452" s="1"/>
      <c r="F452" s="1"/>
      <c r="G452" s="1"/>
      <c r="H452" s="1"/>
      <c r="I452" s="1"/>
      <c r="J452" s="1"/>
    </row>
    <row r="453" spans="2:10">
      <c r="B453" s="77" t="s">
        <v>256</v>
      </c>
      <c r="C453" s="1"/>
      <c r="D453" s="1"/>
      <c r="E453" s="1"/>
      <c r="F453" s="1"/>
      <c r="G453" s="1"/>
      <c r="H453" s="1"/>
      <c r="I453" s="1"/>
      <c r="J453" s="1"/>
    </row>
    <row r="454" spans="2:10">
      <c r="B454" s="62"/>
      <c r="C454" s="1"/>
      <c r="D454" s="1"/>
      <c r="E454" s="1"/>
      <c r="F454" s="1"/>
      <c r="G454" s="1"/>
      <c r="H454" s="1"/>
      <c r="I454" s="1"/>
      <c r="J454" s="1"/>
    </row>
    <row r="455" spans="2:10">
      <c r="B455" s="61"/>
      <c r="C455" s="935">
        <v>2014</v>
      </c>
      <c r="D455" s="935">
        <v>2015</v>
      </c>
      <c r="E455" s="935">
        <v>2016</v>
      </c>
      <c r="F455" s="935">
        <v>2017</v>
      </c>
      <c r="G455" s="935">
        <v>2018</v>
      </c>
      <c r="H455" s="935">
        <v>2019</v>
      </c>
      <c r="I455" s="935">
        <v>2020</v>
      </c>
      <c r="J455" s="935">
        <v>2021</v>
      </c>
    </row>
    <row r="456" spans="2:10">
      <c r="B456" s="59" t="s">
        <v>1329</v>
      </c>
      <c r="C456" s="1"/>
      <c r="D456" s="1"/>
      <c r="E456" s="1"/>
      <c r="F456" s="1"/>
      <c r="G456" s="1"/>
      <c r="H456" s="1"/>
      <c r="I456" s="1"/>
      <c r="J456" s="1"/>
    </row>
    <row r="457" spans="2:10">
      <c r="B457" s="71" t="s">
        <v>247</v>
      </c>
      <c r="C457" s="121">
        <v>0.66500000000000004</v>
      </c>
      <c r="D457" s="121">
        <v>0.66900000000000004</v>
      </c>
      <c r="E457" s="121">
        <v>0.69699999999999995</v>
      </c>
      <c r="F457" s="121">
        <v>0.69899999999999995</v>
      </c>
      <c r="G457" s="121">
        <v>0.70599999999999996</v>
      </c>
      <c r="H457" s="121">
        <v>0.69000000000000006</v>
      </c>
      <c r="I457" s="121">
        <v>0.70099999999999996</v>
      </c>
      <c r="J457" s="121">
        <v>0.71200000000000008</v>
      </c>
    </row>
    <row r="458" spans="2:10">
      <c r="B458" s="52" t="s">
        <v>121</v>
      </c>
      <c r="C458" s="121">
        <v>0.35399999999999998</v>
      </c>
      <c r="D458" s="121">
        <v>0.318</v>
      </c>
      <c r="E458" s="121">
        <v>0.315</v>
      </c>
      <c r="F458" s="121">
        <v>0.32799999999999996</v>
      </c>
      <c r="G458" s="121">
        <v>0.32</v>
      </c>
      <c r="H458" s="121">
        <v>0.33200000000000002</v>
      </c>
      <c r="I458" s="121">
        <v>0.314</v>
      </c>
      <c r="J458" s="121">
        <v>0.27900000000000003</v>
      </c>
    </row>
    <row r="459" spans="2:10">
      <c r="B459" s="53" t="s">
        <v>120</v>
      </c>
      <c r="C459" s="121">
        <v>4.3999999999999997E-2</v>
      </c>
      <c r="D459" s="121">
        <v>3.7999999999999999E-2</v>
      </c>
      <c r="E459" s="121">
        <v>4.1000000000000002E-2</v>
      </c>
      <c r="F459" s="121">
        <v>0.04</v>
      </c>
      <c r="G459" s="121">
        <v>4.2999999999999997E-2</v>
      </c>
      <c r="H459" s="121">
        <v>5.6000000000000001E-2</v>
      </c>
      <c r="I459" s="121">
        <v>2.8000000000000001E-2</v>
      </c>
      <c r="J459" s="121">
        <v>3.3000000000000002E-2</v>
      </c>
    </row>
    <row r="460" spans="2:10">
      <c r="B460" s="53" t="s">
        <v>119</v>
      </c>
      <c r="C460" s="121">
        <v>0.31</v>
      </c>
      <c r="D460" s="121">
        <v>0.28000000000000003</v>
      </c>
      <c r="E460" s="121">
        <v>0.27400000000000002</v>
      </c>
      <c r="F460" s="121">
        <v>0.28799999999999998</v>
      </c>
      <c r="G460" s="121">
        <v>0.27700000000000002</v>
      </c>
      <c r="H460" s="121">
        <v>0.27600000000000002</v>
      </c>
      <c r="I460" s="121">
        <v>0.28599999999999998</v>
      </c>
      <c r="J460" s="121">
        <v>0.246</v>
      </c>
    </row>
    <row r="461" spans="2:10">
      <c r="B461" s="52" t="s">
        <v>118</v>
      </c>
      <c r="C461" s="121">
        <v>0.30099999999999999</v>
      </c>
      <c r="D461" s="121">
        <v>0.35099999999999998</v>
      </c>
      <c r="E461" s="121">
        <v>0.373</v>
      </c>
      <c r="F461" s="121">
        <v>0.36199999999999999</v>
      </c>
      <c r="G461" s="121">
        <v>0.376</v>
      </c>
      <c r="H461" s="121">
        <v>0.35699999999999998</v>
      </c>
      <c r="I461" s="121">
        <v>0.38600000000000001</v>
      </c>
      <c r="J461" s="121">
        <v>0.29099999999999998</v>
      </c>
    </row>
    <row r="462" spans="2:10" ht="15" thickBot="1">
      <c r="B462" s="52" t="s">
        <v>117</v>
      </c>
      <c r="C462" s="121">
        <v>0.01</v>
      </c>
      <c r="D462" s="121">
        <v>0.01</v>
      </c>
      <c r="E462" s="121">
        <v>8.9999999999999993E-3</v>
      </c>
      <c r="F462" s="121">
        <v>8.9999999999999993E-3</v>
      </c>
      <c r="G462" s="121">
        <v>0.01</v>
      </c>
      <c r="H462" s="942">
        <v>1E-3</v>
      </c>
      <c r="I462" s="942">
        <v>1E-3</v>
      </c>
      <c r="J462" s="942">
        <v>0.14199999999999999</v>
      </c>
    </row>
    <row r="463" spans="2:10" ht="15" thickTop="1">
      <c r="B463" s="2025" t="s">
        <v>1502</v>
      </c>
      <c r="C463" s="2025"/>
      <c r="D463" s="2025"/>
      <c r="E463" s="2025"/>
      <c r="F463" s="2025"/>
      <c r="G463" s="2025"/>
      <c r="H463" s="1"/>
      <c r="I463" s="1"/>
      <c r="J463" s="1"/>
    </row>
    <row r="464" spans="2:10">
      <c r="B464" s="2017"/>
      <c r="C464" s="2017"/>
      <c r="D464" s="2017"/>
      <c r="E464" s="2017"/>
      <c r="F464" s="2017"/>
      <c r="G464" s="2017"/>
      <c r="H464" s="1"/>
      <c r="I464" s="1"/>
      <c r="J464" s="1"/>
    </row>
    <row r="465" spans="2:10">
      <c r="B465" s="14" t="s">
        <v>244</v>
      </c>
      <c r="C465" s="14"/>
      <c r="D465" s="14"/>
      <c r="E465" s="14"/>
      <c r="F465" s="14"/>
      <c r="G465" s="14"/>
      <c r="H465" s="14"/>
      <c r="I465" s="14"/>
      <c r="J465" s="14"/>
    </row>
    <row r="466" spans="2:10">
      <c r="B466" s="12" t="s">
        <v>243</v>
      </c>
      <c r="C466" s="1"/>
      <c r="D466" s="1"/>
      <c r="E466" s="1"/>
      <c r="F466" s="1"/>
      <c r="G466" s="1"/>
      <c r="H466" s="1"/>
      <c r="I466" s="1"/>
      <c r="J466" s="1"/>
    </row>
    <row r="467" spans="2:10">
      <c r="B467" s="62" t="s">
        <v>242</v>
      </c>
      <c r="C467" s="1"/>
      <c r="D467" s="1"/>
      <c r="E467" s="1"/>
      <c r="F467" s="1"/>
      <c r="G467" s="1"/>
      <c r="H467" s="1"/>
      <c r="I467" s="1"/>
      <c r="J467" s="1"/>
    </row>
    <row r="468" spans="2:10">
      <c r="B468" s="64"/>
      <c r="C468" s="1"/>
      <c r="D468" s="1"/>
      <c r="E468" s="1"/>
      <c r="F468" s="1"/>
      <c r="G468" s="1"/>
      <c r="H468" s="1"/>
      <c r="I468" s="1"/>
      <c r="J468" s="1"/>
    </row>
    <row r="469" spans="2:10">
      <c r="B469" s="61"/>
      <c r="C469" s="935">
        <v>2014</v>
      </c>
      <c r="D469" s="935">
        <v>2015</v>
      </c>
      <c r="E469" s="935">
        <v>2016</v>
      </c>
      <c r="F469" s="935">
        <v>2017</v>
      </c>
      <c r="G469" s="935">
        <v>2018</v>
      </c>
      <c r="H469" s="935">
        <v>2019</v>
      </c>
      <c r="I469" s="935">
        <v>2020</v>
      </c>
      <c r="J469" s="935">
        <v>2021</v>
      </c>
    </row>
    <row r="470" spans="2:10">
      <c r="B470" s="114" t="s">
        <v>1503</v>
      </c>
      <c r="C470" s="1"/>
      <c r="D470" s="1"/>
      <c r="E470" s="1"/>
      <c r="F470" s="1"/>
      <c r="G470" s="1"/>
      <c r="H470" s="1"/>
      <c r="I470" s="1"/>
      <c r="J470" s="1"/>
    </row>
    <row r="471" spans="2:10" ht="15" thickBot="1">
      <c r="B471" s="71" t="s">
        <v>239</v>
      </c>
      <c r="C471" s="950">
        <v>120884.41183149078</v>
      </c>
      <c r="D471" s="950">
        <v>90603.638762644783</v>
      </c>
      <c r="E471" s="950">
        <v>124006.86255303933</v>
      </c>
      <c r="F471" s="950">
        <v>162379.81397501158</v>
      </c>
      <c r="G471" s="950">
        <v>142057.24659158269</v>
      </c>
      <c r="H471" s="950">
        <v>162132.8364514182</v>
      </c>
      <c r="I471" s="950">
        <v>165425.98453465893</v>
      </c>
      <c r="J471" s="950">
        <v>148434.37852753041</v>
      </c>
    </row>
    <row r="472" spans="2:10" ht="15" thickTop="1">
      <c r="B472" s="2025" t="s">
        <v>1502</v>
      </c>
      <c r="C472" s="2025"/>
      <c r="D472" s="2025"/>
      <c r="E472" s="2025"/>
      <c r="F472" s="2025"/>
      <c r="G472" s="2025"/>
      <c r="H472" s="1"/>
      <c r="I472" s="1"/>
      <c r="J472" s="1"/>
    </row>
    <row r="473" spans="2:10">
      <c r="B473" s="64"/>
      <c r="C473" s="1"/>
      <c r="D473" s="1"/>
      <c r="E473" s="1"/>
      <c r="F473" s="1"/>
      <c r="G473" s="1"/>
      <c r="H473" s="1"/>
      <c r="I473" s="1"/>
      <c r="J473" s="1"/>
    </row>
    <row r="474" spans="2:10">
      <c r="B474" s="14" t="s">
        <v>238</v>
      </c>
      <c r="C474" s="14"/>
      <c r="D474" s="14"/>
      <c r="E474" s="14"/>
      <c r="F474" s="14"/>
      <c r="G474" s="14"/>
      <c r="H474" s="14"/>
      <c r="I474" s="14"/>
      <c r="J474" s="14"/>
    </row>
    <row r="475" spans="2:10">
      <c r="B475" s="12" t="s">
        <v>237</v>
      </c>
      <c r="C475" s="1"/>
      <c r="D475" s="1"/>
      <c r="E475" s="1"/>
      <c r="F475" s="1"/>
      <c r="G475" s="1"/>
      <c r="H475" s="1"/>
      <c r="I475" s="1"/>
      <c r="J475" s="1"/>
    </row>
    <row r="476" spans="2:10">
      <c r="B476" s="62" t="s">
        <v>236</v>
      </c>
      <c r="C476" s="1"/>
      <c r="D476" s="1"/>
      <c r="E476" s="1"/>
      <c r="F476" s="1"/>
      <c r="G476" s="1"/>
      <c r="H476" s="1"/>
      <c r="I476" s="1"/>
      <c r="J476" s="1"/>
    </row>
    <row r="477" spans="2:10">
      <c r="B477" s="64"/>
      <c r="C477" s="1"/>
      <c r="D477" s="1"/>
      <c r="E477" s="1"/>
      <c r="F477" s="1"/>
      <c r="G477" s="1"/>
      <c r="H477" s="1"/>
      <c r="I477" s="1"/>
      <c r="J477" s="1"/>
    </row>
    <row r="478" spans="2:10">
      <c r="B478" s="61"/>
      <c r="C478" s="935">
        <v>2014</v>
      </c>
      <c r="D478" s="935">
        <v>2015</v>
      </c>
      <c r="E478" s="935">
        <v>2016</v>
      </c>
      <c r="F478" s="935">
        <v>2017</v>
      </c>
      <c r="G478" s="935">
        <v>2018</v>
      </c>
      <c r="H478" s="935">
        <v>2019</v>
      </c>
      <c r="I478" s="935">
        <v>2020</v>
      </c>
      <c r="J478" s="935">
        <v>2021</v>
      </c>
    </row>
    <row r="479" spans="2:10">
      <c r="B479" s="59" t="s">
        <v>1504</v>
      </c>
      <c r="C479" s="1"/>
      <c r="D479" s="1"/>
      <c r="E479" s="1"/>
      <c r="F479" s="1"/>
      <c r="G479" s="1"/>
      <c r="H479" s="1"/>
      <c r="I479" s="1"/>
      <c r="J479" s="1"/>
    </row>
    <row r="480" spans="2:10">
      <c r="B480" s="71" t="s">
        <v>231</v>
      </c>
      <c r="C480" s="121">
        <v>199.99</v>
      </c>
      <c r="D480" s="121">
        <v>110.035</v>
      </c>
      <c r="E480" s="121">
        <v>143.95699999999999</v>
      </c>
      <c r="F480" s="121">
        <v>176.41600000000003</v>
      </c>
      <c r="G480" s="121">
        <v>131.048</v>
      </c>
      <c r="H480" s="121">
        <v>101.363</v>
      </c>
      <c r="I480" s="121">
        <v>128.624</v>
      </c>
      <c r="J480" s="121">
        <v>163.89399999999998</v>
      </c>
    </row>
    <row r="481" spans="2:10">
      <c r="B481" s="52" t="s">
        <v>1505</v>
      </c>
      <c r="C481" s="121">
        <v>0.11700000000000001</v>
      </c>
      <c r="D481" s="121">
        <v>0.23</v>
      </c>
      <c r="E481" s="121">
        <v>0.254</v>
      </c>
      <c r="F481" s="121">
        <v>0.13899999999999998</v>
      </c>
      <c r="G481" s="121">
        <v>0.36499999999999999</v>
      </c>
      <c r="H481" s="121">
        <v>0.47600000000000003</v>
      </c>
      <c r="I481" s="121">
        <v>0.65600000000000003</v>
      </c>
      <c r="J481" s="121">
        <v>0.18099999999999999</v>
      </c>
    </row>
    <row r="482" spans="2:10">
      <c r="B482" s="53" t="s">
        <v>1506</v>
      </c>
      <c r="C482" s="121">
        <v>0</v>
      </c>
      <c r="D482" s="121"/>
      <c r="E482" s="121"/>
      <c r="F482" s="121">
        <v>0</v>
      </c>
      <c r="G482" s="121">
        <v>0.14399999999999999</v>
      </c>
      <c r="H482" s="3">
        <v>8.2000000000000003E-2</v>
      </c>
      <c r="I482" s="3">
        <v>0.42199999999999999</v>
      </c>
      <c r="J482" s="3">
        <v>0</v>
      </c>
    </row>
    <row r="483" spans="2:10">
      <c r="B483" s="53" t="s">
        <v>1507</v>
      </c>
      <c r="C483" s="121">
        <v>0.11700000000000001</v>
      </c>
      <c r="D483" s="121">
        <v>0.22600000000000001</v>
      </c>
      <c r="E483" s="121">
        <v>0.224</v>
      </c>
      <c r="F483" s="121">
        <v>0.12</v>
      </c>
      <c r="G483" s="121">
        <v>0.20100000000000001</v>
      </c>
      <c r="H483" s="121">
        <v>0.32500000000000001</v>
      </c>
      <c r="I483" s="121">
        <v>0.191</v>
      </c>
      <c r="J483" s="121">
        <v>0.14399999999999999</v>
      </c>
    </row>
    <row r="484" spans="2:10">
      <c r="B484" s="53" t="s">
        <v>1508</v>
      </c>
      <c r="C484" s="121">
        <v>0</v>
      </c>
      <c r="D484" s="121">
        <v>4.0000000000000001E-3</v>
      </c>
      <c r="E484" s="121">
        <v>0.03</v>
      </c>
      <c r="F484" s="121">
        <v>1.9E-2</v>
      </c>
      <c r="G484" s="121">
        <v>0.02</v>
      </c>
      <c r="H484" s="121">
        <v>6.9000000000000006E-2</v>
      </c>
      <c r="I484" s="121">
        <v>4.2999999999999997E-2</v>
      </c>
      <c r="J484" s="121">
        <v>3.6999999999999998E-2</v>
      </c>
    </row>
    <row r="485" spans="2:10">
      <c r="B485" s="52" t="s">
        <v>1509</v>
      </c>
      <c r="C485" s="121">
        <v>1.8129999999999999</v>
      </c>
      <c r="D485" s="121">
        <v>1.0429999999999999</v>
      </c>
      <c r="E485" s="121">
        <v>0.94599999999999995</v>
      </c>
      <c r="F485" s="121">
        <v>0.95499999999999996</v>
      </c>
      <c r="G485" s="121">
        <v>1.054</v>
      </c>
      <c r="H485" s="121">
        <v>0.39200000000000002</v>
      </c>
      <c r="I485" s="121">
        <v>0</v>
      </c>
      <c r="J485" s="121">
        <v>0</v>
      </c>
    </row>
    <row r="486" spans="2:10">
      <c r="B486" s="53" t="s">
        <v>1507</v>
      </c>
      <c r="C486" s="121">
        <v>1.8129999999999999</v>
      </c>
      <c r="D486" s="121">
        <v>1.0429999999999999</v>
      </c>
      <c r="E486" s="121">
        <v>0.94599999999999995</v>
      </c>
      <c r="F486" s="121">
        <v>0.95499999999999996</v>
      </c>
      <c r="G486" s="121">
        <v>1.054</v>
      </c>
      <c r="H486" s="121">
        <v>0.39200000000000002</v>
      </c>
      <c r="I486" s="121">
        <v>0</v>
      </c>
      <c r="J486" s="121">
        <v>0</v>
      </c>
    </row>
    <row r="487" spans="2:10">
      <c r="B487" s="52" t="s">
        <v>1510</v>
      </c>
      <c r="C487" s="121">
        <v>0.78200000000000003</v>
      </c>
      <c r="D487" s="121">
        <v>0.71599999999999997</v>
      </c>
      <c r="E487" s="121">
        <v>1.17</v>
      </c>
      <c r="F487" s="121">
        <v>1.1140000000000001</v>
      </c>
      <c r="G487" s="121">
        <v>1.133</v>
      </c>
      <c r="H487" s="121">
        <v>1.8169999999999999</v>
      </c>
      <c r="I487" s="121">
        <v>0.497</v>
      </c>
      <c r="J487" s="121">
        <v>0.54200000000000004</v>
      </c>
    </row>
    <row r="488" spans="2:10">
      <c r="B488" s="53" t="s">
        <v>1508</v>
      </c>
      <c r="C488" s="121">
        <v>0.78200000000000003</v>
      </c>
      <c r="D488" s="121">
        <v>0.71599999999999997</v>
      </c>
      <c r="E488" s="121">
        <v>1.17</v>
      </c>
      <c r="F488" s="121">
        <v>1.1140000000000001</v>
      </c>
      <c r="G488" s="121">
        <v>1.133</v>
      </c>
      <c r="H488" s="121">
        <v>1.8169999999999999</v>
      </c>
      <c r="I488" s="121">
        <v>0.497</v>
      </c>
      <c r="J488" s="121">
        <v>0.54200000000000004</v>
      </c>
    </row>
    <row r="489" spans="2:10">
      <c r="B489" s="52" t="s">
        <v>1511</v>
      </c>
      <c r="C489" s="121">
        <v>12.712999999999999</v>
      </c>
      <c r="D489" s="121">
        <v>6.8609999999999998</v>
      </c>
      <c r="E489" s="121">
        <v>6.1580000000000004</v>
      </c>
      <c r="F489" s="121">
        <v>13.712</v>
      </c>
      <c r="G489" s="121">
        <v>23.873000000000001</v>
      </c>
      <c r="H489" s="121">
        <v>16.954000000000001</v>
      </c>
      <c r="I489" s="121">
        <v>14.285</v>
      </c>
      <c r="J489" s="121">
        <v>16.291</v>
      </c>
    </row>
    <row r="490" spans="2:10">
      <c r="B490" s="53" t="s">
        <v>1512</v>
      </c>
      <c r="C490" s="121">
        <v>0</v>
      </c>
      <c r="D490" s="121">
        <v>0</v>
      </c>
      <c r="E490" s="121">
        <v>0</v>
      </c>
      <c r="F490" s="121">
        <v>0</v>
      </c>
      <c r="G490" s="121">
        <v>0</v>
      </c>
      <c r="H490" s="121">
        <v>0</v>
      </c>
      <c r="I490" s="121">
        <v>0</v>
      </c>
      <c r="J490" s="121"/>
    </row>
    <row r="491" spans="2:10">
      <c r="B491" s="53" t="s">
        <v>1508</v>
      </c>
      <c r="C491" s="121">
        <v>12.712999999999999</v>
      </c>
      <c r="D491" s="121">
        <v>6.8609999999999998</v>
      </c>
      <c r="E491" s="121">
        <v>6.1580000000000004</v>
      </c>
      <c r="F491" s="121">
        <v>13.712</v>
      </c>
      <c r="G491" s="121">
        <v>23.873000000000001</v>
      </c>
      <c r="H491" s="121">
        <v>16.954000000000001</v>
      </c>
      <c r="I491" s="121">
        <v>14.285</v>
      </c>
      <c r="J491" s="121">
        <v>16.291</v>
      </c>
    </row>
    <row r="492" spans="2:10">
      <c r="B492" s="52" t="s">
        <v>1513</v>
      </c>
      <c r="C492" s="121">
        <v>0</v>
      </c>
      <c r="D492" s="121">
        <v>0</v>
      </c>
      <c r="E492" s="121">
        <v>0</v>
      </c>
      <c r="F492" s="121"/>
      <c r="G492" s="121">
        <v>0</v>
      </c>
      <c r="H492" s="121">
        <v>0</v>
      </c>
      <c r="I492" s="121">
        <v>0</v>
      </c>
      <c r="J492" s="121"/>
    </row>
    <row r="493" spans="2:10">
      <c r="B493" s="53" t="s">
        <v>1508</v>
      </c>
      <c r="C493" s="121">
        <v>0</v>
      </c>
      <c r="D493" s="121">
        <v>0</v>
      </c>
      <c r="E493" s="121">
        <v>0</v>
      </c>
      <c r="F493" s="121"/>
      <c r="G493" s="121">
        <v>0</v>
      </c>
      <c r="H493" s="121">
        <v>0</v>
      </c>
      <c r="I493" s="121">
        <v>0</v>
      </c>
      <c r="J493" s="121"/>
    </row>
    <row r="494" spans="2:10">
      <c r="B494" s="52" t="s">
        <v>1514</v>
      </c>
      <c r="C494" s="121">
        <v>2.9260000000000002</v>
      </c>
      <c r="D494" s="121">
        <v>2.8860000000000001</v>
      </c>
      <c r="E494" s="121">
        <v>1.744</v>
      </c>
      <c r="F494" s="121">
        <v>1.4769999999999999</v>
      </c>
      <c r="G494" s="121">
        <v>1.2329999999999999</v>
      </c>
      <c r="H494" s="121">
        <v>1.0069999999999999</v>
      </c>
      <c r="I494" s="121">
        <v>0.50600000000000001</v>
      </c>
      <c r="J494" s="121">
        <v>0.51800000000000002</v>
      </c>
    </row>
    <row r="495" spans="2:10">
      <c r="B495" s="53" t="s">
        <v>1507</v>
      </c>
      <c r="C495" s="121">
        <v>0.08</v>
      </c>
      <c r="D495" s="121">
        <v>8.4000000000000005E-2</v>
      </c>
      <c r="E495" s="121">
        <v>8.5000000000000006E-2</v>
      </c>
      <c r="F495" s="121">
        <v>6.5000000000000002E-2</v>
      </c>
      <c r="G495" s="121">
        <v>3.1E-2</v>
      </c>
      <c r="H495" s="121">
        <v>0.02</v>
      </c>
      <c r="I495" s="121">
        <v>3.7999999999999999E-2</v>
      </c>
      <c r="J495" s="121">
        <v>3.1E-2</v>
      </c>
    </row>
    <row r="496" spans="2:10">
      <c r="B496" s="53" t="s">
        <v>1508</v>
      </c>
      <c r="C496" s="121">
        <v>2.8460000000000001</v>
      </c>
      <c r="D496" s="121">
        <v>2.802</v>
      </c>
      <c r="E496" s="121">
        <v>1.659</v>
      </c>
      <c r="F496" s="121">
        <v>1.4119999999999999</v>
      </c>
      <c r="G496" s="121">
        <v>1.202</v>
      </c>
      <c r="H496" s="121">
        <v>0.98699999999999999</v>
      </c>
      <c r="I496" s="121">
        <v>0.46800000000000003</v>
      </c>
      <c r="J496" s="121">
        <v>0.48699999999999999</v>
      </c>
    </row>
    <row r="497" spans="2:10">
      <c r="B497" s="52" t="s">
        <v>1515</v>
      </c>
      <c r="C497" s="121">
        <v>0.82899999999999996</v>
      </c>
      <c r="D497" s="121">
        <v>0.82499999999999996</v>
      </c>
      <c r="E497" s="121">
        <v>0.72499999999999998</v>
      </c>
      <c r="F497" s="121">
        <v>0.7589999999999999</v>
      </c>
      <c r="G497" s="121">
        <v>0.88700000000000001</v>
      </c>
      <c r="H497" s="121">
        <v>0.627</v>
      </c>
      <c r="I497" s="121">
        <v>0.63500000000000001</v>
      </c>
      <c r="J497" s="121">
        <v>0.75900000000000001</v>
      </c>
    </row>
    <row r="498" spans="2:10">
      <c r="B498" s="53" t="s">
        <v>1507</v>
      </c>
      <c r="C498" s="121">
        <v>0.65100000000000002</v>
      </c>
      <c r="D498" s="121">
        <v>0.63400000000000001</v>
      </c>
      <c r="E498" s="121">
        <v>0.59399999999999997</v>
      </c>
      <c r="F498" s="121">
        <v>0.57599999999999996</v>
      </c>
      <c r="G498" s="121">
        <v>0.748</v>
      </c>
      <c r="H498" s="121">
        <v>0.32600000000000001</v>
      </c>
      <c r="I498" s="121">
        <v>7.6999999999999999E-2</v>
      </c>
      <c r="J498" s="121">
        <v>2.7E-2</v>
      </c>
    </row>
    <row r="499" spans="2:10">
      <c r="B499" s="53" t="s">
        <v>1508</v>
      </c>
      <c r="C499" s="121">
        <v>0.17799999999999999</v>
      </c>
      <c r="D499" s="121">
        <v>0.191</v>
      </c>
      <c r="E499" s="121">
        <v>0.13100000000000001</v>
      </c>
      <c r="F499" s="121">
        <v>0.183</v>
      </c>
      <c r="G499" s="121">
        <v>0.13900000000000001</v>
      </c>
      <c r="H499" s="121">
        <v>0.30099999999999999</v>
      </c>
      <c r="I499" s="121">
        <v>0.55800000000000005</v>
      </c>
      <c r="J499" s="121">
        <v>0.73199999999999998</v>
      </c>
    </row>
    <row r="500" spans="2:10">
      <c r="B500" s="52" t="s">
        <v>1516</v>
      </c>
      <c r="C500" s="121">
        <v>180.81</v>
      </c>
      <c r="D500" s="121">
        <v>97.474000000000004</v>
      </c>
      <c r="E500" s="121">
        <v>132.96</v>
      </c>
      <c r="F500" s="121">
        <v>158.26000000000002</v>
      </c>
      <c r="G500" s="121">
        <v>102.503</v>
      </c>
      <c r="H500" s="121">
        <v>80.09</v>
      </c>
      <c r="I500" s="121">
        <v>112.045</v>
      </c>
      <c r="J500" s="121">
        <v>145.60299999999998</v>
      </c>
    </row>
    <row r="501" spans="2:10">
      <c r="B501" s="53" t="s">
        <v>118</v>
      </c>
      <c r="C501" s="121">
        <v>180.56800000000001</v>
      </c>
      <c r="D501" s="121">
        <v>97.119</v>
      </c>
      <c r="E501" s="121">
        <v>132.55500000000001</v>
      </c>
      <c r="F501" s="121">
        <v>157.75800000000001</v>
      </c>
      <c r="G501" s="121">
        <v>101.996</v>
      </c>
      <c r="H501" s="121">
        <v>79.064999999999998</v>
      </c>
      <c r="I501" s="121">
        <v>110.504</v>
      </c>
      <c r="J501" s="121">
        <v>143.46899999999999</v>
      </c>
    </row>
    <row r="502" spans="2:10">
      <c r="B502" s="53" t="s">
        <v>1512</v>
      </c>
      <c r="C502" s="121">
        <v>0.24199999999999999</v>
      </c>
      <c r="D502" s="121">
        <v>0.35499999999999998</v>
      </c>
      <c r="E502" s="121">
        <v>0.40500000000000003</v>
      </c>
      <c r="F502" s="121">
        <v>0.442</v>
      </c>
      <c r="G502" s="121">
        <v>0.44700000000000001</v>
      </c>
      <c r="H502" s="121">
        <v>0.878</v>
      </c>
      <c r="I502" s="121">
        <v>1.3819999999999999</v>
      </c>
      <c r="J502" s="121">
        <v>2.0070000000000001</v>
      </c>
    </row>
    <row r="503" spans="2:10">
      <c r="B503" s="53" t="s">
        <v>1507</v>
      </c>
      <c r="C503" s="121">
        <v>0</v>
      </c>
      <c r="D503" s="121">
        <v>0</v>
      </c>
      <c r="E503" s="121">
        <v>0</v>
      </c>
      <c r="F503" s="121">
        <v>0</v>
      </c>
      <c r="G503" s="121">
        <v>0</v>
      </c>
      <c r="H503" s="121">
        <v>0</v>
      </c>
      <c r="I503" s="121">
        <v>0</v>
      </c>
      <c r="J503" s="121"/>
    </row>
    <row r="504" spans="2:10">
      <c r="B504" s="53" t="s">
        <v>1517</v>
      </c>
      <c r="C504" s="121">
        <v>0</v>
      </c>
      <c r="D504" s="121">
        <v>0</v>
      </c>
      <c r="E504" s="121">
        <v>0</v>
      </c>
      <c r="F504" s="121">
        <v>5.3999999999999999E-2</v>
      </c>
      <c r="G504" s="121">
        <v>0</v>
      </c>
      <c r="H504" s="121">
        <v>0</v>
      </c>
      <c r="I504" s="121">
        <v>3.5000000000000003E-2</v>
      </c>
      <c r="J504" s="121">
        <v>0.111</v>
      </c>
    </row>
    <row r="505" spans="2:10">
      <c r="B505" s="53" t="s">
        <v>1518</v>
      </c>
      <c r="C505" s="121">
        <v>0</v>
      </c>
      <c r="D505" s="121">
        <v>0</v>
      </c>
      <c r="E505" s="121">
        <v>0</v>
      </c>
      <c r="F505" s="121">
        <v>6.0000000000000001E-3</v>
      </c>
      <c r="G505" s="121">
        <v>0.06</v>
      </c>
      <c r="H505" s="121">
        <v>0.14699999999999999</v>
      </c>
      <c r="I505" s="121">
        <v>0.124</v>
      </c>
      <c r="J505" s="121">
        <v>1.6E-2</v>
      </c>
    </row>
    <row r="506" spans="2:10">
      <c r="B506" s="52"/>
      <c r="C506" s="1"/>
      <c r="D506" s="1"/>
      <c r="E506" s="1"/>
      <c r="F506" s="1"/>
      <c r="G506" s="1"/>
      <c r="H506" s="1"/>
      <c r="I506" s="1"/>
      <c r="J506" s="1"/>
    </row>
    <row r="507" spans="2:10">
      <c r="B507" s="71" t="s">
        <v>230</v>
      </c>
      <c r="C507" s="3"/>
      <c r="D507" s="3"/>
      <c r="E507" s="3"/>
      <c r="F507" s="3"/>
      <c r="G507" s="3"/>
      <c r="H507" s="3"/>
      <c r="I507" s="3"/>
      <c r="J507" s="3"/>
    </row>
    <row r="508" spans="2:10">
      <c r="B508" s="52" t="s">
        <v>169</v>
      </c>
      <c r="C508" s="3"/>
      <c r="D508" s="3"/>
      <c r="E508" s="3"/>
      <c r="F508" s="3"/>
      <c r="G508" s="3"/>
      <c r="H508" s="3"/>
      <c r="I508" s="3"/>
      <c r="J508" s="3"/>
    </row>
    <row r="509" spans="2:10">
      <c r="B509" s="52" t="s">
        <v>168</v>
      </c>
      <c r="C509" s="3"/>
      <c r="D509" s="3"/>
      <c r="E509" s="3"/>
      <c r="F509" s="3"/>
      <c r="G509" s="3"/>
      <c r="H509" s="3"/>
      <c r="I509" s="3"/>
      <c r="J509" s="3"/>
    </row>
    <row r="510" spans="2:10">
      <c r="B510" s="52" t="s">
        <v>167</v>
      </c>
      <c r="C510" s="3"/>
      <c r="D510" s="3"/>
      <c r="E510" s="3"/>
      <c r="F510" s="3"/>
      <c r="G510" s="3"/>
      <c r="H510" s="3"/>
      <c r="I510" s="3"/>
      <c r="J510" s="3"/>
    </row>
    <row r="511" spans="2:10">
      <c r="B511" s="52" t="s">
        <v>166</v>
      </c>
      <c r="C511" s="3"/>
      <c r="D511" s="3"/>
      <c r="E511" s="3"/>
      <c r="F511" s="3"/>
      <c r="G511" s="3"/>
      <c r="H511" s="3"/>
      <c r="I511" s="3"/>
      <c r="J511" s="3"/>
    </row>
    <row r="512" spans="2:10">
      <c r="B512" s="52" t="s">
        <v>165</v>
      </c>
      <c r="C512" s="3"/>
      <c r="D512" s="3"/>
      <c r="E512" s="3"/>
      <c r="F512" s="3"/>
      <c r="G512" s="3"/>
      <c r="H512" s="3"/>
      <c r="I512" s="3"/>
      <c r="J512" s="3"/>
    </row>
    <row r="513" spans="2:10" ht="15" thickBot="1">
      <c r="B513" s="52" t="s">
        <v>164</v>
      </c>
      <c r="C513" s="3"/>
      <c r="D513" s="3"/>
      <c r="E513" s="3"/>
      <c r="F513" s="3"/>
      <c r="G513" s="3"/>
      <c r="H513" s="100"/>
      <c r="I513" s="100"/>
      <c r="J513" s="100"/>
    </row>
    <row r="514" spans="2:10" ht="15" thickTop="1">
      <c r="B514" s="2025" t="s">
        <v>1502</v>
      </c>
      <c r="C514" s="2025"/>
      <c r="D514" s="2025"/>
      <c r="E514" s="2025"/>
      <c r="F514" s="2025"/>
      <c r="G514" s="2025"/>
      <c r="H514" s="1"/>
      <c r="I514" s="1"/>
      <c r="J514" s="1"/>
    </row>
    <row r="515" spans="2:10">
      <c r="B515" s="64"/>
      <c r="C515" s="1"/>
      <c r="D515" s="1"/>
      <c r="E515" s="1"/>
      <c r="F515" s="1"/>
      <c r="G515" s="1"/>
      <c r="H515" s="1"/>
      <c r="I515" s="1"/>
      <c r="J515" s="1"/>
    </row>
    <row r="516" spans="2:10">
      <c r="B516" s="14" t="s">
        <v>228</v>
      </c>
      <c r="C516" s="14"/>
      <c r="D516" s="14"/>
      <c r="E516" s="14"/>
      <c r="F516" s="14"/>
      <c r="G516" s="14"/>
      <c r="H516" s="14"/>
      <c r="I516" s="14"/>
      <c r="J516" s="14"/>
    </row>
    <row r="517" spans="2:10">
      <c r="B517" s="12" t="s">
        <v>227</v>
      </c>
      <c r="C517" s="1"/>
      <c r="D517" s="1"/>
      <c r="E517" s="1"/>
      <c r="F517" s="1"/>
      <c r="G517" s="1"/>
      <c r="H517" s="1"/>
      <c r="I517" s="1"/>
      <c r="J517" s="1"/>
    </row>
    <row r="518" spans="2:10">
      <c r="B518" s="62" t="s">
        <v>127</v>
      </c>
      <c r="C518" s="1"/>
      <c r="D518" s="1"/>
      <c r="E518" s="1"/>
      <c r="F518" s="1"/>
      <c r="G518" s="1"/>
      <c r="H518" s="1"/>
      <c r="I518" s="1"/>
      <c r="J518" s="1"/>
    </row>
    <row r="519" spans="2:10">
      <c r="B519" s="62"/>
      <c r="C519" s="1"/>
      <c r="D519" s="1"/>
      <c r="E519" s="1"/>
      <c r="F519" s="1"/>
      <c r="G519" s="1"/>
      <c r="H519" s="1"/>
      <c r="I519" s="1"/>
      <c r="J519" s="1"/>
    </row>
    <row r="520" spans="2:10">
      <c r="B520" s="61"/>
      <c r="C520" s="935">
        <v>2014</v>
      </c>
      <c r="D520" s="935">
        <v>2015</v>
      </c>
      <c r="E520" s="935">
        <v>2016</v>
      </c>
      <c r="F520" s="935">
        <v>2017</v>
      </c>
      <c r="G520" s="935">
        <v>2018</v>
      </c>
      <c r="H520" s="935">
        <v>2019</v>
      </c>
      <c r="I520" s="935">
        <v>2020</v>
      </c>
      <c r="J520" s="935">
        <v>2021</v>
      </c>
    </row>
    <row r="521" spans="2:10">
      <c r="B521" s="59" t="s">
        <v>1504</v>
      </c>
      <c r="C521" s="1"/>
      <c r="D521" s="1"/>
      <c r="E521" s="1"/>
      <c r="F521" s="1"/>
      <c r="G521" s="1"/>
      <c r="H521" s="1"/>
      <c r="I521" s="1"/>
      <c r="J521" s="1"/>
    </row>
    <row r="522" spans="2:10">
      <c r="B522" s="71" t="s">
        <v>222</v>
      </c>
      <c r="C522" s="66">
        <v>19005.27284095377</v>
      </c>
      <c r="D522" s="66">
        <v>10056.068406685237</v>
      </c>
      <c r="E522" s="66">
        <v>14958.661352800955</v>
      </c>
      <c r="F522" s="66">
        <v>30027.617766510873</v>
      </c>
      <c r="G522" s="66">
        <v>26541.10106698281</v>
      </c>
      <c r="H522" s="66">
        <v>31366.912492456246</v>
      </c>
      <c r="I522" s="66">
        <v>29287.609759041705</v>
      </c>
      <c r="J522" s="66">
        <v>20364.250344914082</v>
      </c>
    </row>
    <row r="523" spans="2:10">
      <c r="B523" s="52" t="s">
        <v>1505</v>
      </c>
      <c r="C523" s="66">
        <v>10.518488976549413</v>
      </c>
      <c r="D523" s="66">
        <v>22.344741533499487</v>
      </c>
      <c r="E523" s="66">
        <v>21.845963051251488</v>
      </c>
      <c r="F523" s="66">
        <v>38.224551325312355</v>
      </c>
      <c r="G523" s="66">
        <v>47.669235328986368</v>
      </c>
      <c r="H523" s="66">
        <v>33.769764634882314</v>
      </c>
      <c r="I523" s="66">
        <v>46.624449309859159</v>
      </c>
      <c r="J523" s="66">
        <v>8.8905054559137096</v>
      </c>
    </row>
    <row r="524" spans="2:10">
      <c r="B524" s="53" t="s">
        <v>1506</v>
      </c>
      <c r="C524" s="66">
        <v>0</v>
      </c>
      <c r="D524" s="66">
        <v>0</v>
      </c>
      <c r="E524" s="66">
        <v>0</v>
      </c>
      <c r="F524" s="66">
        <v>0</v>
      </c>
      <c r="G524" s="66">
        <v>22.304979253112034</v>
      </c>
      <c r="H524" s="66">
        <v>4.7000603500301752</v>
      </c>
      <c r="I524" s="66">
        <v>36.216823855012429</v>
      </c>
      <c r="J524" s="66">
        <v>0</v>
      </c>
    </row>
    <row r="525" spans="2:10">
      <c r="B525" s="53" t="s">
        <v>1507</v>
      </c>
      <c r="C525" s="66">
        <v>10.518488976549413</v>
      </c>
      <c r="D525" s="66">
        <v>18.826195865708844</v>
      </c>
      <c r="E525" s="66">
        <v>14.378809892729439</v>
      </c>
      <c r="F525" s="66">
        <v>10.602000037328397</v>
      </c>
      <c r="G525" s="66">
        <v>23.249851807943092</v>
      </c>
      <c r="H525" s="66">
        <v>25.002414001207001</v>
      </c>
      <c r="I525" s="66">
        <v>8.7517357834852252</v>
      </c>
      <c r="J525" s="66">
        <v>7.3721309419290106</v>
      </c>
    </row>
    <row r="526" spans="2:10">
      <c r="B526" s="53" t="s">
        <v>1508</v>
      </c>
      <c r="C526" s="66">
        <v>0</v>
      </c>
      <c r="D526" s="66">
        <v>3.5185456677906468</v>
      </c>
      <c r="E526" s="66">
        <v>7.4671531585220503</v>
      </c>
      <c r="F526" s="66">
        <v>27.62255128798396</v>
      </c>
      <c r="G526" s="66">
        <v>2.1144042679312389</v>
      </c>
      <c r="H526" s="66">
        <v>4.0672902836451419</v>
      </c>
      <c r="I526" s="66">
        <v>1.6558896713615023</v>
      </c>
      <c r="J526" s="66">
        <v>1.5183745139846985</v>
      </c>
    </row>
    <row r="527" spans="2:10">
      <c r="B527" s="52" t="s">
        <v>1509</v>
      </c>
      <c r="C527" s="66">
        <v>250.4098960509213</v>
      </c>
      <c r="D527" s="66">
        <v>405.12884591702101</v>
      </c>
      <c r="E527" s="66">
        <v>926.25170828367106</v>
      </c>
      <c r="F527" s="66">
        <v>1225.3471168533088</v>
      </c>
      <c r="G527" s="66">
        <v>1281.7148784825133</v>
      </c>
      <c r="H527" s="66">
        <v>449.72329511164759</v>
      </c>
      <c r="I527" s="66">
        <v>0</v>
      </c>
      <c r="J527" s="66">
        <v>0</v>
      </c>
    </row>
    <row r="528" spans="2:10">
      <c r="B528" s="53" t="s">
        <v>1507</v>
      </c>
      <c r="C528" s="66">
        <v>250.4098960509213</v>
      </c>
      <c r="D528" s="66">
        <v>405.12884591702101</v>
      </c>
      <c r="E528" s="66">
        <v>926.25170828367106</v>
      </c>
      <c r="F528" s="66">
        <v>1225.3471168533088</v>
      </c>
      <c r="G528" s="66">
        <v>1281.7148784825133</v>
      </c>
      <c r="H528" s="66">
        <v>449.72329511164759</v>
      </c>
      <c r="I528" s="66">
        <v>0</v>
      </c>
      <c r="J528" s="66">
        <v>0</v>
      </c>
    </row>
    <row r="529" spans="2:10">
      <c r="B529" s="52" t="s">
        <v>1510</v>
      </c>
      <c r="C529" s="66">
        <v>1508.1231122847571</v>
      </c>
      <c r="D529" s="66">
        <v>817.46086350974929</v>
      </c>
      <c r="E529" s="66">
        <v>3697.444521454112</v>
      </c>
      <c r="F529" s="66">
        <v>3991.6969556625022</v>
      </c>
      <c r="G529" s="66">
        <v>3084.7788974510963</v>
      </c>
      <c r="H529" s="66">
        <v>4006.6451418225711</v>
      </c>
      <c r="I529" s="66">
        <v>925.51337297155487</v>
      </c>
      <c r="J529" s="66">
        <v>1416.5473472971278</v>
      </c>
    </row>
    <row r="530" spans="2:10">
      <c r="B530" s="53" t="s">
        <v>1508</v>
      </c>
      <c r="C530" s="66">
        <v>1508.1231122847571</v>
      </c>
      <c r="D530" s="66">
        <v>817.46086350974929</v>
      </c>
      <c r="E530" s="66">
        <v>3697.444521454112</v>
      </c>
      <c r="F530" s="66">
        <v>3991.6969556625022</v>
      </c>
      <c r="G530" s="66">
        <v>3084.7788974510963</v>
      </c>
      <c r="H530" s="66">
        <v>4006.6451418225711</v>
      </c>
      <c r="I530" s="66">
        <v>925.51337297155487</v>
      </c>
      <c r="J530" s="66">
        <v>1416.5473472971278</v>
      </c>
    </row>
    <row r="531" spans="2:10">
      <c r="B531" s="52" t="s">
        <v>1511</v>
      </c>
      <c r="C531" s="66">
        <v>12591.161982576214</v>
      </c>
      <c r="D531" s="66">
        <v>6058.9834074182672</v>
      </c>
      <c r="E531" s="66">
        <v>6289.2656591179984</v>
      </c>
      <c r="F531" s="66">
        <v>16491.801711389788</v>
      </c>
      <c r="G531" s="66">
        <v>16812.573206876114</v>
      </c>
      <c r="H531" s="66">
        <v>21964.327700663853</v>
      </c>
      <c r="I531" s="66">
        <v>23300.847607851421</v>
      </c>
      <c r="J531" s="66">
        <v>17620.195409507087</v>
      </c>
    </row>
    <row r="532" spans="2:10">
      <c r="B532" s="53" t="s">
        <v>1512</v>
      </c>
      <c r="C532" s="66">
        <v>0</v>
      </c>
      <c r="D532" s="66">
        <v>0</v>
      </c>
      <c r="E532" s="66">
        <v>0</v>
      </c>
      <c r="F532" s="66">
        <v>0</v>
      </c>
      <c r="G532" s="66">
        <v>0</v>
      </c>
      <c r="H532" s="66">
        <v>0</v>
      </c>
      <c r="I532" s="66">
        <v>0</v>
      </c>
      <c r="J532" s="66">
        <v>0</v>
      </c>
    </row>
    <row r="533" spans="2:10">
      <c r="B533" s="53" t="s">
        <v>1508</v>
      </c>
      <c r="C533" s="66">
        <v>12591.161982576214</v>
      </c>
      <c r="D533" s="66">
        <v>6058.9834074182672</v>
      </c>
      <c r="E533" s="66">
        <v>6289.2656591179984</v>
      </c>
      <c r="F533" s="66">
        <v>16491.801711389788</v>
      </c>
      <c r="G533" s="66">
        <v>16812.573206876114</v>
      </c>
      <c r="H533" s="66">
        <v>21964.327700663853</v>
      </c>
      <c r="I533" s="66">
        <v>23300.847607851421</v>
      </c>
      <c r="J533" s="66">
        <v>17620.195409507087</v>
      </c>
    </row>
    <row r="534" spans="2:10">
      <c r="B534" s="52" t="s">
        <v>1513</v>
      </c>
      <c r="C534" s="66">
        <v>0</v>
      </c>
      <c r="D534" s="66">
        <v>0</v>
      </c>
      <c r="E534" s="66">
        <v>0</v>
      </c>
      <c r="F534" s="66">
        <v>0</v>
      </c>
      <c r="G534" s="66">
        <v>0</v>
      </c>
      <c r="H534" s="66">
        <v>0</v>
      </c>
      <c r="I534" s="66">
        <v>0</v>
      </c>
      <c r="J534" s="66">
        <v>0</v>
      </c>
    </row>
    <row r="535" spans="2:10">
      <c r="B535" s="53" t="s">
        <v>1508</v>
      </c>
      <c r="C535" s="66">
        <v>0</v>
      </c>
      <c r="D535" s="66">
        <v>0</v>
      </c>
      <c r="E535" s="66">
        <v>0</v>
      </c>
      <c r="F535" s="66">
        <v>0</v>
      </c>
      <c r="G535" s="66">
        <v>0</v>
      </c>
      <c r="H535" s="66">
        <v>0</v>
      </c>
      <c r="I535" s="66">
        <v>0</v>
      </c>
      <c r="J535" s="66">
        <v>0</v>
      </c>
    </row>
    <row r="536" spans="2:10">
      <c r="B536" s="52" t="s">
        <v>1514</v>
      </c>
      <c r="C536" s="66">
        <v>666.97698194706879</v>
      </c>
      <c r="D536" s="66">
        <v>505.38590148072137</v>
      </c>
      <c r="E536" s="66">
        <v>315.53726340882008</v>
      </c>
      <c r="F536" s="66">
        <v>335.91382819990741</v>
      </c>
      <c r="G536" s="66">
        <v>345.34173088322467</v>
      </c>
      <c r="H536" s="66">
        <v>367.99547374773687</v>
      </c>
      <c r="I536" s="66">
        <v>303.80394516128143</v>
      </c>
      <c r="J536" s="66">
        <v>40.837325975166188</v>
      </c>
    </row>
    <row r="537" spans="2:10">
      <c r="B537" s="53" t="s">
        <v>1507</v>
      </c>
      <c r="C537" s="66">
        <v>19.344415521943048</v>
      </c>
      <c r="D537" s="66">
        <v>14.953850461809122</v>
      </c>
      <c r="E537" s="66">
        <v>26.92357806912992</v>
      </c>
      <c r="F537" s="66">
        <v>33.550695213018663</v>
      </c>
      <c r="G537" s="66">
        <v>15.676644931831653</v>
      </c>
      <c r="H537" s="66">
        <v>4.5081472540736272</v>
      </c>
      <c r="I537" s="66">
        <v>32.916465988124827</v>
      </c>
      <c r="J537" s="66">
        <v>3.6350181863790292</v>
      </c>
    </row>
    <row r="538" spans="2:10">
      <c r="B538" s="53" t="s">
        <v>1508</v>
      </c>
      <c r="C538" s="66">
        <v>647.63256642512567</v>
      </c>
      <c r="D538" s="66">
        <v>490.4320510189122</v>
      </c>
      <c r="E538" s="66">
        <v>288.61368504171634</v>
      </c>
      <c r="F538" s="66">
        <v>302.36313298688879</v>
      </c>
      <c r="G538" s="66">
        <v>329.665085951393</v>
      </c>
      <c r="H538" s="66">
        <v>363.48732649366326</v>
      </c>
      <c r="I538" s="66">
        <v>270.88747917315658</v>
      </c>
      <c r="J538" s="66">
        <v>37.202307788787152</v>
      </c>
    </row>
    <row r="539" spans="2:10">
      <c r="B539" s="52" t="s">
        <v>1515</v>
      </c>
      <c r="C539" s="66">
        <v>326.99844806231158</v>
      </c>
      <c r="D539" s="66">
        <v>448.24210760885506</v>
      </c>
      <c r="E539" s="66">
        <v>1056.3492818831944</v>
      </c>
      <c r="F539" s="66">
        <v>1590.7511259753201</v>
      </c>
      <c r="G539" s="66">
        <v>1665.4774748073503</v>
      </c>
      <c r="H539" s="66">
        <v>892.61979480989737</v>
      </c>
      <c r="I539" s="66">
        <v>1112.2767994995859</v>
      </c>
      <c r="J539" s="66">
        <v>211.81211589113258</v>
      </c>
    </row>
    <row r="540" spans="2:10">
      <c r="B540" s="53" t="s">
        <v>1507</v>
      </c>
      <c r="C540" s="66">
        <v>206.56134223417087</v>
      </c>
      <c r="D540" s="66">
        <v>356.20225861310661</v>
      </c>
      <c r="E540" s="66">
        <v>998.99634952324186</v>
      </c>
      <c r="F540" s="66">
        <v>1465.925631997532</v>
      </c>
      <c r="G540" s="66">
        <v>1532.4653230586839</v>
      </c>
      <c r="H540" s="66">
        <v>551.33041641520822</v>
      </c>
      <c r="I540" s="66">
        <v>75.535289721347695</v>
      </c>
      <c r="J540" s="66">
        <v>7.2888498683055323</v>
      </c>
    </row>
    <row r="541" spans="2:10">
      <c r="B541" s="53" t="s">
        <v>1508</v>
      </c>
      <c r="C541" s="66">
        <v>120.43710582814072</v>
      </c>
      <c r="D541" s="66">
        <v>92.039849288960568</v>
      </c>
      <c r="E541" s="66">
        <v>57.352932061978549</v>
      </c>
      <c r="F541" s="66">
        <v>124.82549397778807</v>
      </c>
      <c r="G541" s="66">
        <v>133.01215174866627</v>
      </c>
      <c r="H541" s="66">
        <v>341.28937839468915</v>
      </c>
      <c r="I541" s="66">
        <v>1036.741509778238</v>
      </c>
      <c r="J541" s="66">
        <v>204.52326602282704</v>
      </c>
    </row>
    <row r="542" spans="2:10">
      <c r="B542" s="52" t="s">
        <v>1516</v>
      </c>
      <c r="C542" s="66">
        <v>3651.0839310559459</v>
      </c>
      <c r="D542" s="66">
        <v>1798.5225392171237</v>
      </c>
      <c r="E542" s="66">
        <v>2651.9669556019071</v>
      </c>
      <c r="F542" s="66">
        <v>6353.8824771047357</v>
      </c>
      <c r="G542" s="66">
        <v>3303.5456431535272</v>
      </c>
      <c r="H542" s="66">
        <v>3651.8313216656607</v>
      </c>
      <c r="I542" s="66">
        <v>3598.5435842479978</v>
      </c>
      <c r="J542" s="66">
        <v>1065.9676407876584</v>
      </c>
    </row>
    <row r="543" spans="2:10">
      <c r="B543" s="53" t="s">
        <v>118</v>
      </c>
      <c r="C543" s="66">
        <v>3638.521474932998</v>
      </c>
      <c r="D543" s="66">
        <v>1785.808710746225</v>
      </c>
      <c r="E543" s="66">
        <v>2619.349696662694</v>
      </c>
      <c r="F543" s="66">
        <v>6305.3266187761847</v>
      </c>
      <c r="G543" s="66">
        <v>3273.5260818020156</v>
      </c>
      <c r="H543" s="66">
        <v>3594.4474954737475</v>
      </c>
      <c r="I543" s="66">
        <v>3489.1537230063518</v>
      </c>
      <c r="J543" s="66">
        <v>1019.9357832685314</v>
      </c>
    </row>
    <row r="544" spans="2:10">
      <c r="B544" s="53" t="s">
        <v>1512</v>
      </c>
      <c r="C544" s="66">
        <v>12.562100963819095</v>
      </c>
      <c r="D544" s="66">
        <v>12.713828470898695</v>
      </c>
      <c r="E544" s="66">
        <v>32.61725893921335</v>
      </c>
      <c r="F544" s="66">
        <v>38.612114258830793</v>
      </c>
      <c r="G544" s="66">
        <v>29.932720806164788</v>
      </c>
      <c r="H544" s="66">
        <v>57.370850935425473</v>
      </c>
      <c r="I544" s="66">
        <v>107.53887395056614</v>
      </c>
      <c r="J544" s="66">
        <v>45.926000250846606</v>
      </c>
    </row>
    <row r="545" spans="2:10">
      <c r="B545" s="53" t="s">
        <v>1507</v>
      </c>
      <c r="C545" s="66">
        <v>0</v>
      </c>
      <c r="D545" s="66">
        <v>0</v>
      </c>
      <c r="E545" s="66">
        <v>0</v>
      </c>
      <c r="F545" s="66">
        <v>0</v>
      </c>
      <c r="G545" s="66">
        <v>0</v>
      </c>
      <c r="H545" s="66">
        <v>0</v>
      </c>
      <c r="I545" s="66">
        <v>0</v>
      </c>
      <c r="J545" s="66">
        <v>0</v>
      </c>
    </row>
    <row r="546" spans="2:10">
      <c r="B546" s="53" t="s">
        <v>1517</v>
      </c>
      <c r="C546" s="66">
        <v>0</v>
      </c>
      <c r="D546" s="66">
        <v>0</v>
      </c>
      <c r="E546" s="66">
        <v>0</v>
      </c>
      <c r="F546" s="66">
        <v>9.9435048749035939</v>
      </c>
      <c r="G546" s="66">
        <v>0</v>
      </c>
      <c r="H546" s="66">
        <v>0</v>
      </c>
      <c r="I546" s="66">
        <v>1.8441418238055785</v>
      </c>
      <c r="J546" s="66">
        <v>0.10460303524394832</v>
      </c>
    </row>
    <row r="547" spans="2:10">
      <c r="B547" s="53" t="s">
        <v>1518</v>
      </c>
      <c r="C547" s="66">
        <v>3.551591289782245E-4</v>
      </c>
      <c r="D547" s="66">
        <v>0</v>
      </c>
      <c r="E547" s="66">
        <v>0</v>
      </c>
      <c r="F547" s="66">
        <v>2.3919481721425265E-4</v>
      </c>
      <c r="G547" s="66">
        <v>8.684054534676941E-2</v>
      </c>
      <c r="H547" s="66">
        <v>1.2975256487628243E-2</v>
      </c>
      <c r="I547" s="66">
        <v>6.8454672742336376E-3</v>
      </c>
      <c r="J547" s="66">
        <v>1.2542330364981814E-3</v>
      </c>
    </row>
    <row r="548" spans="2:10">
      <c r="B548" s="52"/>
      <c r="C548" s="1"/>
      <c r="D548" s="526"/>
      <c r="E548" s="526"/>
      <c r="F548" s="526"/>
      <c r="G548" s="526"/>
      <c r="H548" s="526"/>
      <c r="I548" s="526"/>
      <c r="J548" s="526"/>
    </row>
    <row r="549" spans="2:10">
      <c r="B549" s="71" t="s">
        <v>230</v>
      </c>
      <c r="C549" s="3"/>
      <c r="D549" s="3"/>
      <c r="E549" s="3"/>
      <c r="F549" s="3"/>
      <c r="G549" s="3"/>
      <c r="H549" s="3"/>
      <c r="I549" s="3"/>
      <c r="J549" s="3"/>
    </row>
    <row r="550" spans="2:10">
      <c r="B550" s="52" t="s">
        <v>169</v>
      </c>
      <c r="C550" s="3"/>
      <c r="D550" s="3"/>
      <c r="E550" s="3"/>
      <c r="F550" s="3"/>
      <c r="G550" s="3"/>
      <c r="H550" s="3"/>
      <c r="I550" s="3"/>
      <c r="J550" s="3"/>
    </row>
    <row r="551" spans="2:10">
      <c r="B551" s="52" t="s">
        <v>168</v>
      </c>
      <c r="C551" s="3"/>
      <c r="D551" s="3"/>
      <c r="E551" s="3"/>
      <c r="F551" s="3"/>
      <c r="G551" s="3"/>
      <c r="H551" s="3"/>
      <c r="I551" s="3"/>
      <c r="J551" s="3"/>
    </row>
    <row r="552" spans="2:10">
      <c r="B552" s="52" t="s">
        <v>167</v>
      </c>
      <c r="C552" s="3"/>
      <c r="D552" s="3"/>
      <c r="E552" s="3"/>
      <c r="F552" s="3"/>
      <c r="G552" s="3"/>
      <c r="H552" s="3"/>
      <c r="I552" s="3"/>
      <c r="J552" s="3"/>
    </row>
    <row r="553" spans="2:10">
      <c r="B553" s="52" t="s">
        <v>166</v>
      </c>
      <c r="C553" s="3"/>
      <c r="D553" s="3"/>
      <c r="E553" s="3"/>
      <c r="F553" s="3"/>
      <c r="G553" s="3"/>
      <c r="H553" s="3"/>
      <c r="I553" s="3"/>
      <c r="J553" s="3"/>
    </row>
    <row r="554" spans="2:10">
      <c r="B554" s="52" t="s">
        <v>165</v>
      </c>
      <c r="C554" s="3"/>
      <c r="D554" s="3"/>
      <c r="E554" s="3"/>
      <c r="F554" s="3"/>
      <c r="G554" s="3"/>
      <c r="H554" s="3"/>
      <c r="I554" s="3"/>
      <c r="J554" s="3"/>
    </row>
    <row r="555" spans="2:10">
      <c r="B555" s="52" t="s">
        <v>164</v>
      </c>
      <c r="C555" s="3"/>
      <c r="D555" s="3"/>
      <c r="E555" s="3"/>
      <c r="F555" s="3"/>
      <c r="G555" s="3"/>
      <c r="H555" s="3"/>
      <c r="I555" s="3"/>
      <c r="J555" s="3"/>
    </row>
    <row r="556" spans="2:10">
      <c r="B556" s="52" t="s">
        <v>118</v>
      </c>
      <c r="C556" s="3"/>
      <c r="D556" s="3"/>
      <c r="E556" s="3"/>
      <c r="F556" s="3"/>
      <c r="G556" s="3"/>
      <c r="H556" s="3"/>
      <c r="I556" s="3"/>
      <c r="J556" s="3"/>
    </row>
    <row r="557" spans="2:10" ht="15" thickBot="1">
      <c r="B557" s="52" t="s">
        <v>117</v>
      </c>
      <c r="C557" s="3"/>
      <c r="D557" s="3"/>
      <c r="E557" s="3"/>
      <c r="F557" s="3"/>
      <c r="G557" s="3"/>
      <c r="H557" s="3"/>
      <c r="I557" s="3"/>
      <c r="J557" s="3"/>
    </row>
    <row r="558" spans="2:10" ht="15" thickTop="1">
      <c r="B558" s="2025" t="s">
        <v>1519</v>
      </c>
      <c r="C558" s="2025"/>
      <c r="D558" s="2025"/>
      <c r="E558" s="2025"/>
      <c r="F558" s="2025"/>
      <c r="G558" s="2025"/>
      <c r="H558" s="1"/>
      <c r="I558" s="1"/>
      <c r="J558" s="1"/>
    </row>
    <row r="559" spans="2:10">
      <c r="B559" s="64"/>
      <c r="C559" s="1"/>
      <c r="D559" s="1"/>
      <c r="E559" s="1"/>
      <c r="F559" s="1"/>
      <c r="G559" s="1"/>
      <c r="H559" s="1"/>
      <c r="I559" s="1"/>
      <c r="J559" s="1"/>
    </row>
    <row r="560" spans="2:10">
      <c r="B560" s="2024" t="s">
        <v>219</v>
      </c>
      <c r="C560" s="2024"/>
      <c r="D560" s="2024"/>
      <c r="E560" s="2024"/>
      <c r="F560" s="2024"/>
      <c r="G560" s="2024"/>
      <c r="H560" s="2024"/>
      <c r="I560" s="2024"/>
      <c r="J560" s="2024"/>
    </row>
    <row r="561" spans="2:10">
      <c r="B561" s="12" t="s">
        <v>218</v>
      </c>
      <c r="C561" s="1"/>
      <c r="D561" s="1"/>
      <c r="E561" s="1"/>
      <c r="F561" s="1"/>
      <c r="G561" s="1"/>
      <c r="H561" s="1"/>
      <c r="I561" s="1"/>
      <c r="J561" s="1"/>
    </row>
    <row r="562" spans="2:10">
      <c r="B562" s="77" t="s">
        <v>269</v>
      </c>
      <c r="C562" s="1"/>
      <c r="D562" s="1"/>
      <c r="E562" s="1"/>
      <c r="F562" s="1"/>
      <c r="G562" s="1"/>
      <c r="H562" s="1"/>
      <c r="I562" s="1"/>
      <c r="J562" s="1"/>
    </row>
    <row r="563" spans="2:10">
      <c r="B563" s="76"/>
      <c r="C563" s="1"/>
      <c r="D563" s="1"/>
      <c r="E563" s="1"/>
      <c r="F563" s="1"/>
      <c r="G563" s="1"/>
      <c r="H563" s="1"/>
      <c r="I563" s="1"/>
      <c r="J563" s="1"/>
    </row>
    <row r="564" spans="2:10">
      <c r="B564" s="61"/>
      <c r="C564" s="935">
        <v>2014</v>
      </c>
      <c r="D564" s="935">
        <v>2015</v>
      </c>
      <c r="E564" s="935">
        <v>2016</v>
      </c>
      <c r="F564" s="935">
        <v>2017</v>
      </c>
      <c r="G564" s="935">
        <v>2018</v>
      </c>
      <c r="H564" s="935">
        <v>2019</v>
      </c>
      <c r="I564" s="935">
        <v>2020</v>
      </c>
      <c r="J564" s="935">
        <v>2021</v>
      </c>
    </row>
    <row r="565" spans="2:10">
      <c r="B565" s="59" t="s">
        <v>1257</v>
      </c>
      <c r="C565" s="1"/>
      <c r="D565" s="1"/>
      <c r="E565" s="1"/>
      <c r="F565" s="1"/>
      <c r="G565" s="1"/>
      <c r="H565" s="1"/>
      <c r="I565" s="1"/>
      <c r="J565" s="1"/>
    </row>
    <row r="566" spans="2:10">
      <c r="B566" s="71" t="s">
        <v>217</v>
      </c>
      <c r="C566" s="121"/>
      <c r="D566" s="121"/>
      <c r="E566" s="121"/>
      <c r="F566" s="121"/>
      <c r="G566" s="121"/>
      <c r="H566" s="121"/>
      <c r="I566" s="951"/>
      <c r="J566" s="951"/>
    </row>
    <row r="567" spans="2:10">
      <c r="B567" s="52" t="s">
        <v>150</v>
      </c>
      <c r="C567" s="121"/>
      <c r="D567" s="121"/>
      <c r="E567" s="121"/>
      <c r="F567" s="121"/>
      <c r="G567" s="121"/>
      <c r="H567" s="121"/>
      <c r="I567" s="951"/>
      <c r="J567" s="951"/>
    </row>
    <row r="568" spans="2:10">
      <c r="B568" s="52" t="s">
        <v>214</v>
      </c>
      <c r="C568" s="3"/>
      <c r="D568" s="3"/>
      <c r="E568" s="3"/>
      <c r="F568" s="3"/>
      <c r="G568" s="3"/>
      <c r="H568" s="3"/>
      <c r="I568" s="952"/>
      <c r="J568" s="952"/>
    </row>
    <row r="569" spans="2:10">
      <c r="B569" s="52" t="s">
        <v>147</v>
      </c>
      <c r="C569" s="121"/>
      <c r="D569" s="121"/>
      <c r="E569" s="121"/>
      <c r="F569" s="121"/>
      <c r="G569" s="121"/>
      <c r="H569" s="121"/>
      <c r="I569" s="951"/>
      <c r="J569" s="951"/>
    </row>
    <row r="570" spans="2:10">
      <c r="B570" s="52" t="s">
        <v>146</v>
      </c>
      <c r="C570" s="121"/>
      <c r="D570" s="121"/>
      <c r="E570" s="121"/>
      <c r="F570" s="121"/>
      <c r="G570" s="121"/>
      <c r="H570" s="121"/>
      <c r="I570" s="951"/>
      <c r="J570" s="951"/>
    </row>
    <row r="571" spans="2:10">
      <c r="B571" s="52"/>
      <c r="C571" s="1"/>
      <c r="D571" s="1"/>
      <c r="E571" s="1"/>
      <c r="F571" s="1"/>
      <c r="G571" s="1"/>
      <c r="H571" s="1"/>
      <c r="I571" s="1"/>
      <c r="J571" s="1"/>
    </row>
    <row r="572" spans="2:10">
      <c r="B572" s="71" t="s">
        <v>216</v>
      </c>
      <c r="C572" s="121"/>
      <c r="D572" s="121"/>
      <c r="E572" s="121"/>
      <c r="F572" s="121"/>
      <c r="G572" s="121"/>
      <c r="H572" s="121"/>
      <c r="I572" s="121"/>
      <c r="J572" s="121"/>
    </row>
    <row r="573" spans="2:10">
      <c r="B573" s="52" t="s">
        <v>150</v>
      </c>
      <c r="C573" s="121"/>
      <c r="D573" s="121"/>
      <c r="E573" s="121"/>
      <c r="F573" s="121"/>
      <c r="G573" s="121"/>
      <c r="H573" s="121"/>
      <c r="I573" s="121"/>
      <c r="J573" s="121"/>
    </row>
    <row r="574" spans="2:10">
      <c r="B574" s="52" t="s">
        <v>214</v>
      </c>
      <c r="C574" s="3"/>
      <c r="D574" s="3"/>
      <c r="E574" s="3"/>
      <c r="F574" s="3"/>
      <c r="G574" s="3"/>
      <c r="H574" s="3"/>
      <c r="I574" s="3"/>
      <c r="J574" s="3"/>
    </row>
    <row r="575" spans="2:10">
      <c r="B575" s="52" t="s">
        <v>147</v>
      </c>
      <c r="C575" s="121"/>
      <c r="D575" s="121"/>
      <c r="E575" s="121"/>
      <c r="F575" s="121"/>
      <c r="G575" s="121"/>
      <c r="H575" s="121"/>
      <c r="I575" s="121"/>
      <c r="J575" s="121"/>
    </row>
    <row r="576" spans="2:10">
      <c r="B576" s="52" t="s">
        <v>146</v>
      </c>
      <c r="C576" s="121"/>
      <c r="D576" s="121"/>
      <c r="E576" s="121"/>
      <c r="F576" s="121"/>
      <c r="G576" s="121"/>
      <c r="H576" s="121"/>
      <c r="I576" s="121"/>
      <c r="J576" s="121"/>
    </row>
    <row r="577" spans="2:10">
      <c r="B577" s="52"/>
      <c r="C577" s="1"/>
      <c r="D577" s="1"/>
      <c r="E577" s="1"/>
      <c r="F577" s="1"/>
      <c r="G577" s="1"/>
      <c r="H577" s="1"/>
      <c r="I577" s="1"/>
      <c r="J577" s="1"/>
    </row>
    <row r="578" spans="2:10">
      <c r="B578" s="71" t="s">
        <v>215</v>
      </c>
      <c r="C578" s="3"/>
      <c r="D578" s="3"/>
      <c r="E578" s="3"/>
      <c r="F578" s="3"/>
      <c r="G578" s="3"/>
      <c r="H578" s="3"/>
      <c r="I578" s="3"/>
      <c r="J578" s="3"/>
    </row>
    <row r="579" spans="2:10">
      <c r="B579" s="52" t="s">
        <v>150</v>
      </c>
      <c r="C579" s="3"/>
      <c r="D579" s="3"/>
      <c r="E579" s="3"/>
      <c r="F579" s="3"/>
      <c r="G579" s="3"/>
      <c r="H579" s="3"/>
      <c r="I579" s="3"/>
      <c r="J579" s="3"/>
    </row>
    <row r="580" spans="2:10">
      <c r="B580" s="52" t="s">
        <v>214</v>
      </c>
      <c r="C580" s="3"/>
      <c r="D580" s="3"/>
      <c r="E580" s="3"/>
      <c r="F580" s="3"/>
      <c r="G580" s="3"/>
      <c r="H580" s="3"/>
      <c r="I580" s="3"/>
      <c r="J580" s="3"/>
    </row>
    <row r="581" spans="2:10">
      <c r="B581" s="52" t="s">
        <v>147</v>
      </c>
      <c r="C581" s="3"/>
      <c r="D581" s="3"/>
      <c r="E581" s="3"/>
      <c r="F581" s="3"/>
      <c r="G581" s="3"/>
      <c r="H581" s="3"/>
      <c r="I581" s="3"/>
      <c r="J581" s="3"/>
    </row>
    <row r="582" spans="2:10" ht="15" thickBot="1">
      <c r="B582" s="52" t="s">
        <v>146</v>
      </c>
      <c r="C582" s="3"/>
      <c r="D582" s="3"/>
      <c r="E582" s="3"/>
      <c r="F582" s="3"/>
      <c r="G582" s="3"/>
      <c r="H582" s="100"/>
      <c r="I582" s="100"/>
      <c r="J582" s="100"/>
    </row>
    <row r="583" spans="2:10" ht="15" thickTop="1">
      <c r="B583" s="2025" t="s">
        <v>1520</v>
      </c>
      <c r="C583" s="2025"/>
      <c r="D583" s="2025"/>
      <c r="E583" s="2025"/>
      <c r="F583" s="2025"/>
      <c r="G583" s="2025"/>
      <c r="H583" s="1"/>
      <c r="I583" s="1"/>
      <c r="J583" s="1"/>
    </row>
    <row r="584" spans="2:10">
      <c r="B584" s="62"/>
      <c r="C584" s="1"/>
      <c r="D584" s="1"/>
      <c r="E584" s="1"/>
      <c r="F584" s="1"/>
      <c r="G584" s="1"/>
      <c r="H584" s="1"/>
      <c r="I584" s="1"/>
      <c r="J584" s="1"/>
    </row>
    <row r="585" spans="2:10">
      <c r="B585" s="2024" t="s">
        <v>212</v>
      </c>
      <c r="C585" s="2024"/>
      <c r="D585" s="2024"/>
      <c r="E585" s="2024"/>
      <c r="F585" s="2024"/>
      <c r="G585" s="2024"/>
      <c r="H585" s="2024"/>
      <c r="I585" s="2024"/>
      <c r="J585" s="2024"/>
    </row>
    <row r="586" spans="2:10">
      <c r="B586" s="12" t="s">
        <v>211</v>
      </c>
      <c r="C586" s="1"/>
      <c r="D586" s="1"/>
      <c r="E586" s="1"/>
      <c r="F586" s="1"/>
      <c r="G586" s="1"/>
      <c r="H586" s="1"/>
      <c r="I586" s="1"/>
      <c r="J586" s="1"/>
    </row>
    <row r="587" spans="2:10">
      <c r="B587" s="64" t="s">
        <v>210</v>
      </c>
      <c r="C587" s="1"/>
      <c r="D587" s="1"/>
      <c r="E587" s="1"/>
      <c r="F587" s="1"/>
      <c r="G587" s="1"/>
      <c r="H587" s="1"/>
      <c r="I587" s="1"/>
      <c r="J587" s="1"/>
    </row>
    <row r="588" spans="2:10">
      <c r="B588" s="64"/>
      <c r="C588" s="1"/>
      <c r="D588" s="1"/>
      <c r="E588" s="1"/>
      <c r="F588" s="1"/>
      <c r="G588" s="1"/>
      <c r="H588" s="1"/>
      <c r="I588" s="1"/>
      <c r="J588" s="1"/>
    </row>
    <row r="589" spans="2:10">
      <c r="B589" s="61"/>
      <c r="C589" s="935">
        <v>2014</v>
      </c>
      <c r="D589" s="935">
        <v>2015</v>
      </c>
      <c r="E589" s="935">
        <v>2016</v>
      </c>
      <c r="F589" s="935">
        <v>2017</v>
      </c>
      <c r="G589" s="935">
        <v>2018</v>
      </c>
      <c r="H589" s="935">
        <v>2019</v>
      </c>
      <c r="I589" s="935">
        <v>2020</v>
      </c>
      <c r="J589" s="935">
        <v>2021</v>
      </c>
    </row>
    <row r="590" spans="2:10">
      <c r="B590" s="59" t="s">
        <v>698</v>
      </c>
      <c r="C590" s="1"/>
      <c r="D590" s="1"/>
      <c r="E590" s="1"/>
      <c r="F590" s="1"/>
      <c r="G590" s="1"/>
      <c r="H590" s="1"/>
      <c r="I590" s="1"/>
      <c r="J590" s="1"/>
    </row>
    <row r="591" spans="2:10">
      <c r="B591" s="71" t="s">
        <v>209</v>
      </c>
      <c r="C591" s="3">
        <v>0</v>
      </c>
      <c r="D591" s="3">
        <v>0</v>
      </c>
      <c r="E591" s="3">
        <v>0</v>
      </c>
      <c r="F591" s="3">
        <v>0</v>
      </c>
      <c r="G591" s="3">
        <v>0</v>
      </c>
      <c r="H591" s="3">
        <v>0</v>
      </c>
      <c r="I591" s="3">
        <v>0</v>
      </c>
      <c r="J591" s="3">
        <v>0</v>
      </c>
    </row>
    <row r="592" spans="2:10">
      <c r="B592" s="71"/>
      <c r="C592" s="1"/>
      <c r="D592" s="1"/>
      <c r="E592" s="1"/>
      <c r="F592" s="1"/>
      <c r="G592" s="1"/>
      <c r="H592" s="1"/>
      <c r="I592" s="1"/>
      <c r="J592" s="1"/>
    </row>
    <row r="593" spans="2:10">
      <c r="B593" s="71" t="s">
        <v>208</v>
      </c>
      <c r="C593" s="3">
        <v>0</v>
      </c>
      <c r="D593" s="3">
        <v>0</v>
      </c>
      <c r="E593" s="3">
        <v>0</v>
      </c>
      <c r="F593" s="3">
        <v>0</v>
      </c>
      <c r="G593" s="3">
        <v>0</v>
      </c>
      <c r="H593" s="3">
        <v>0</v>
      </c>
      <c r="I593" s="3">
        <v>0</v>
      </c>
      <c r="J593" s="3">
        <v>0</v>
      </c>
    </row>
    <row r="594" spans="2:10">
      <c r="B594" s="52" t="s">
        <v>121</v>
      </c>
      <c r="C594" s="3">
        <v>0</v>
      </c>
      <c r="D594" s="3">
        <v>0</v>
      </c>
      <c r="E594" s="3">
        <v>0</v>
      </c>
      <c r="F594" s="3">
        <v>0</v>
      </c>
      <c r="G594" s="3">
        <v>0</v>
      </c>
      <c r="H594" s="3">
        <v>0</v>
      </c>
      <c r="I594" s="3">
        <v>0</v>
      </c>
      <c r="J594" s="3">
        <v>0</v>
      </c>
    </row>
    <row r="595" spans="2:10">
      <c r="B595" s="53" t="s">
        <v>120</v>
      </c>
      <c r="C595" s="3">
        <v>0</v>
      </c>
      <c r="D595" s="3">
        <v>0</v>
      </c>
      <c r="E595" s="3">
        <v>0</v>
      </c>
      <c r="F595" s="3">
        <v>0</v>
      </c>
      <c r="G595" s="3">
        <v>0</v>
      </c>
      <c r="H595" s="3">
        <v>0</v>
      </c>
      <c r="I595" s="3">
        <v>0</v>
      </c>
      <c r="J595" s="3">
        <v>0</v>
      </c>
    </row>
    <row r="596" spans="2:10">
      <c r="B596" s="53" t="s">
        <v>119</v>
      </c>
      <c r="C596" s="3">
        <v>0</v>
      </c>
      <c r="D596" s="3">
        <v>0</v>
      </c>
      <c r="E596" s="3">
        <v>0</v>
      </c>
      <c r="F596" s="3">
        <v>0</v>
      </c>
      <c r="G596" s="3">
        <v>0</v>
      </c>
      <c r="H596" s="3">
        <v>0</v>
      </c>
      <c r="I596" s="3">
        <v>0</v>
      </c>
      <c r="J596" s="3">
        <v>0</v>
      </c>
    </row>
    <row r="597" spans="2:10">
      <c r="B597" s="53" t="s">
        <v>172</v>
      </c>
      <c r="C597" s="3">
        <v>0</v>
      </c>
      <c r="D597" s="3">
        <v>0</v>
      </c>
      <c r="E597" s="3">
        <v>0</v>
      </c>
      <c r="F597" s="3">
        <v>0</v>
      </c>
      <c r="G597" s="3">
        <v>0</v>
      </c>
      <c r="H597" s="3">
        <v>0</v>
      </c>
      <c r="I597" s="3">
        <v>0</v>
      </c>
      <c r="J597" s="3">
        <v>0</v>
      </c>
    </row>
    <row r="598" spans="2:10">
      <c r="B598" s="52" t="s">
        <v>118</v>
      </c>
      <c r="C598" s="3">
        <v>0</v>
      </c>
      <c r="D598" s="3">
        <v>0</v>
      </c>
      <c r="E598" s="3">
        <v>0</v>
      </c>
      <c r="F598" s="3">
        <v>0</v>
      </c>
      <c r="G598" s="3">
        <v>0</v>
      </c>
      <c r="H598" s="3">
        <v>0</v>
      </c>
      <c r="I598" s="3">
        <v>0</v>
      </c>
      <c r="J598" s="3">
        <v>0</v>
      </c>
    </row>
    <row r="599" spans="2:10">
      <c r="B599" s="52" t="s">
        <v>117</v>
      </c>
      <c r="C599" s="3">
        <v>0</v>
      </c>
      <c r="D599" s="3">
        <v>0</v>
      </c>
      <c r="E599" s="3">
        <v>0</v>
      </c>
      <c r="F599" s="3">
        <v>0</v>
      </c>
      <c r="G599" s="3">
        <v>0</v>
      </c>
      <c r="H599" s="3">
        <v>0</v>
      </c>
      <c r="I599" s="3">
        <v>0</v>
      </c>
      <c r="J599" s="3">
        <v>0</v>
      </c>
    </row>
    <row r="600" spans="2:10">
      <c r="B600" s="52"/>
      <c r="C600" s="1"/>
      <c r="D600" s="1"/>
      <c r="E600" s="1"/>
      <c r="F600" s="1"/>
      <c r="G600" s="1"/>
      <c r="H600" s="1"/>
      <c r="I600" s="1"/>
      <c r="J600" s="1"/>
    </row>
    <row r="601" spans="2:10" ht="25">
      <c r="B601" s="71" t="s">
        <v>203</v>
      </c>
      <c r="C601" s="3">
        <v>0</v>
      </c>
      <c r="D601" s="3">
        <v>0</v>
      </c>
      <c r="E601" s="3">
        <v>0</v>
      </c>
      <c r="F601" s="3">
        <v>0</v>
      </c>
      <c r="G601" s="3">
        <v>0</v>
      </c>
      <c r="H601" s="3">
        <v>0</v>
      </c>
      <c r="I601" s="3">
        <v>0</v>
      </c>
      <c r="J601" s="3">
        <v>0</v>
      </c>
    </row>
    <row r="602" spans="2:10">
      <c r="B602" s="52" t="s">
        <v>169</v>
      </c>
      <c r="C602" s="3">
        <v>0</v>
      </c>
      <c r="D602" s="3">
        <v>0</v>
      </c>
      <c r="E602" s="3">
        <v>0</v>
      </c>
      <c r="F602" s="3">
        <v>0</v>
      </c>
      <c r="G602" s="3">
        <v>0</v>
      </c>
      <c r="H602" s="3">
        <v>0</v>
      </c>
      <c r="I602" s="3">
        <v>0</v>
      </c>
      <c r="J602" s="3">
        <v>0</v>
      </c>
    </row>
    <row r="603" spans="2:10">
      <c r="B603" s="52" t="s">
        <v>168</v>
      </c>
      <c r="C603" s="3">
        <v>0</v>
      </c>
      <c r="D603" s="3">
        <v>0</v>
      </c>
      <c r="E603" s="3">
        <v>0</v>
      </c>
      <c r="F603" s="3">
        <v>0</v>
      </c>
      <c r="G603" s="3">
        <v>0</v>
      </c>
      <c r="H603" s="3">
        <v>0</v>
      </c>
      <c r="I603" s="3">
        <v>0</v>
      </c>
      <c r="J603" s="3">
        <v>0</v>
      </c>
    </row>
    <row r="604" spans="2:10">
      <c r="B604" s="52" t="s">
        <v>167</v>
      </c>
      <c r="C604" s="3">
        <v>0</v>
      </c>
      <c r="D604" s="3">
        <v>0</v>
      </c>
      <c r="E604" s="3">
        <v>0</v>
      </c>
      <c r="F604" s="3">
        <v>0</v>
      </c>
      <c r="G604" s="3">
        <v>0</v>
      </c>
      <c r="H604" s="3">
        <v>0</v>
      </c>
      <c r="I604" s="3">
        <v>0</v>
      </c>
      <c r="J604" s="3">
        <v>0</v>
      </c>
    </row>
    <row r="605" spans="2:10">
      <c r="B605" s="52" t="s">
        <v>166</v>
      </c>
      <c r="C605" s="3">
        <v>0</v>
      </c>
      <c r="D605" s="3">
        <v>0</v>
      </c>
      <c r="E605" s="3">
        <v>0</v>
      </c>
      <c r="F605" s="3">
        <v>0</v>
      </c>
      <c r="G605" s="3">
        <v>0</v>
      </c>
      <c r="H605" s="3">
        <v>0</v>
      </c>
      <c r="I605" s="3">
        <v>0</v>
      </c>
      <c r="J605" s="3">
        <v>0</v>
      </c>
    </row>
    <row r="606" spans="2:10">
      <c r="B606" s="52" t="s">
        <v>165</v>
      </c>
      <c r="C606" s="3">
        <v>0</v>
      </c>
      <c r="D606" s="3">
        <v>0</v>
      </c>
      <c r="E606" s="3">
        <v>0</v>
      </c>
      <c r="F606" s="3">
        <v>0</v>
      </c>
      <c r="G606" s="3">
        <v>0</v>
      </c>
      <c r="H606" s="3">
        <v>0</v>
      </c>
      <c r="I606" s="3">
        <v>0</v>
      </c>
      <c r="J606" s="3">
        <v>0</v>
      </c>
    </row>
    <row r="607" spans="2:10">
      <c r="B607" s="52" t="s">
        <v>164</v>
      </c>
      <c r="C607" s="3">
        <v>0</v>
      </c>
      <c r="D607" s="3">
        <v>0</v>
      </c>
      <c r="E607" s="3">
        <v>0</v>
      </c>
      <c r="F607" s="3">
        <v>0</v>
      </c>
      <c r="G607" s="3">
        <v>0</v>
      </c>
      <c r="H607" s="3">
        <v>0</v>
      </c>
      <c r="I607" s="3">
        <v>0</v>
      </c>
      <c r="J607" s="3">
        <v>0</v>
      </c>
    </row>
    <row r="608" spans="2:10">
      <c r="B608" s="52"/>
      <c r="C608" s="1"/>
      <c r="D608" s="1"/>
      <c r="E608" s="1"/>
      <c r="F608" s="1"/>
      <c r="G608" s="1"/>
      <c r="H608" s="1"/>
      <c r="I608" s="1"/>
      <c r="J608" s="1"/>
    </row>
    <row r="609" spans="2:10">
      <c r="B609" s="80" t="s">
        <v>202</v>
      </c>
      <c r="C609" s="3">
        <v>0</v>
      </c>
      <c r="D609" s="3">
        <v>0</v>
      </c>
      <c r="E609" s="3">
        <v>0</v>
      </c>
      <c r="F609" s="3">
        <v>0</v>
      </c>
      <c r="G609" s="3">
        <v>0</v>
      </c>
      <c r="H609" s="3">
        <v>0</v>
      </c>
      <c r="I609" s="3">
        <v>0</v>
      </c>
      <c r="J609" s="3">
        <v>0</v>
      </c>
    </row>
    <row r="610" spans="2:10">
      <c r="B610" s="52" t="s">
        <v>169</v>
      </c>
      <c r="C610" s="3">
        <v>0</v>
      </c>
      <c r="D610" s="3">
        <v>0</v>
      </c>
      <c r="E610" s="3">
        <v>0</v>
      </c>
      <c r="F610" s="3">
        <v>0</v>
      </c>
      <c r="G610" s="3">
        <v>0</v>
      </c>
      <c r="H610" s="3">
        <v>0</v>
      </c>
      <c r="I610" s="3">
        <v>0</v>
      </c>
      <c r="J610" s="3">
        <v>0</v>
      </c>
    </row>
    <row r="611" spans="2:10">
      <c r="B611" s="52" t="s">
        <v>168</v>
      </c>
      <c r="C611" s="3">
        <v>0</v>
      </c>
      <c r="D611" s="3">
        <v>0</v>
      </c>
      <c r="E611" s="3">
        <v>0</v>
      </c>
      <c r="F611" s="3">
        <v>0</v>
      </c>
      <c r="G611" s="3">
        <v>0</v>
      </c>
      <c r="H611" s="3">
        <v>0</v>
      </c>
      <c r="I611" s="3">
        <v>0</v>
      </c>
      <c r="J611" s="3">
        <v>0</v>
      </c>
    </row>
    <row r="612" spans="2:10">
      <c r="B612" s="52" t="s">
        <v>167</v>
      </c>
      <c r="C612" s="3">
        <v>0</v>
      </c>
      <c r="D612" s="3">
        <v>0</v>
      </c>
      <c r="E612" s="3">
        <v>0</v>
      </c>
      <c r="F612" s="3">
        <v>0</v>
      </c>
      <c r="G612" s="3">
        <v>0</v>
      </c>
      <c r="H612" s="3">
        <v>0</v>
      </c>
      <c r="I612" s="3">
        <v>0</v>
      </c>
      <c r="J612" s="3">
        <v>0</v>
      </c>
    </row>
    <row r="613" spans="2:10">
      <c r="B613" s="52" t="s">
        <v>166</v>
      </c>
      <c r="C613" s="3">
        <v>0</v>
      </c>
      <c r="D613" s="3">
        <v>0</v>
      </c>
      <c r="E613" s="3">
        <v>0</v>
      </c>
      <c r="F613" s="3">
        <v>0</v>
      </c>
      <c r="G613" s="3">
        <v>0</v>
      </c>
      <c r="H613" s="3">
        <v>0</v>
      </c>
      <c r="I613" s="3">
        <v>0</v>
      </c>
      <c r="J613" s="3">
        <v>0</v>
      </c>
    </row>
    <row r="614" spans="2:10">
      <c r="B614" s="52" t="s">
        <v>165</v>
      </c>
      <c r="C614" s="3">
        <v>0</v>
      </c>
      <c r="D614" s="3">
        <v>0</v>
      </c>
      <c r="E614" s="3">
        <v>0</v>
      </c>
      <c r="F614" s="3">
        <v>0</v>
      </c>
      <c r="G614" s="3">
        <v>0</v>
      </c>
      <c r="H614" s="3">
        <v>0</v>
      </c>
      <c r="I614" s="3">
        <v>0</v>
      </c>
      <c r="J614" s="3">
        <v>0</v>
      </c>
    </row>
    <row r="615" spans="2:10" ht="15" thickBot="1">
      <c r="B615" s="52" t="s">
        <v>164</v>
      </c>
      <c r="C615" s="3">
        <v>0</v>
      </c>
      <c r="D615" s="3">
        <v>0</v>
      </c>
      <c r="E615" s="3">
        <v>0</v>
      </c>
      <c r="F615" s="3">
        <v>0</v>
      </c>
      <c r="G615" s="3">
        <v>0</v>
      </c>
      <c r="H615" s="100">
        <v>0</v>
      </c>
      <c r="I615" s="100">
        <v>0</v>
      </c>
      <c r="J615" s="100">
        <v>0</v>
      </c>
    </row>
    <row r="616" spans="2:10" ht="15" thickTop="1">
      <c r="B616" s="2025"/>
      <c r="C616" s="2025"/>
      <c r="D616" s="2025"/>
      <c r="E616" s="2025"/>
      <c r="F616" s="2025"/>
      <c r="G616" s="2025"/>
      <c r="H616" s="1"/>
      <c r="I616" s="1"/>
      <c r="J616" s="1"/>
    </row>
    <row r="617" spans="2:10">
      <c r="B617" s="64"/>
      <c r="C617" s="1"/>
      <c r="D617" s="1"/>
      <c r="E617" s="1"/>
      <c r="F617" s="1"/>
      <c r="G617" s="1"/>
      <c r="H617" s="1"/>
      <c r="I617" s="1"/>
      <c r="J617" s="1"/>
    </row>
    <row r="618" spans="2:10">
      <c r="B618" s="2024" t="s">
        <v>199</v>
      </c>
      <c r="C618" s="2024"/>
      <c r="D618" s="2024"/>
      <c r="E618" s="2024"/>
      <c r="F618" s="2024"/>
      <c r="G618" s="2024"/>
      <c r="H618" s="2024"/>
      <c r="I618" s="2024"/>
      <c r="J618" s="2024"/>
    </row>
    <row r="619" spans="2:10">
      <c r="B619" s="12" t="s">
        <v>198</v>
      </c>
      <c r="C619" s="1"/>
      <c r="D619" s="1"/>
      <c r="E619" s="1"/>
      <c r="F619" s="1"/>
      <c r="G619" s="1"/>
      <c r="H619" s="1"/>
      <c r="I619" s="1"/>
      <c r="J619" s="1"/>
    </row>
    <row r="620" spans="2:10">
      <c r="B620" s="62" t="s">
        <v>127</v>
      </c>
      <c r="C620" s="1"/>
      <c r="D620" s="1"/>
      <c r="E620" s="1"/>
      <c r="F620" s="1"/>
      <c r="G620" s="1"/>
      <c r="H620" s="1"/>
      <c r="I620" s="1"/>
      <c r="J620" s="1"/>
    </row>
    <row r="621" spans="2:10">
      <c r="B621" s="62"/>
      <c r="C621" s="1"/>
      <c r="D621" s="1"/>
      <c r="E621" s="1"/>
      <c r="F621" s="1"/>
      <c r="G621" s="1"/>
      <c r="H621" s="1"/>
      <c r="I621" s="1"/>
      <c r="J621" s="1"/>
    </row>
    <row r="622" spans="2:10">
      <c r="B622" s="61"/>
      <c r="C622" s="935">
        <v>2014</v>
      </c>
      <c r="D622" s="935">
        <v>2015</v>
      </c>
      <c r="E622" s="935">
        <v>2016</v>
      </c>
      <c r="F622" s="935">
        <v>2017</v>
      </c>
      <c r="G622" s="935">
        <v>2018</v>
      </c>
      <c r="H622" s="935">
        <v>2019</v>
      </c>
      <c r="I622" s="935">
        <v>2020</v>
      </c>
      <c r="J622" s="935">
        <v>2021</v>
      </c>
    </row>
    <row r="623" spans="2:10">
      <c r="B623" s="59" t="s">
        <v>698</v>
      </c>
      <c r="C623" s="1"/>
      <c r="D623" s="1"/>
      <c r="E623" s="1"/>
      <c r="F623" s="1"/>
      <c r="G623" s="1"/>
      <c r="H623" s="1"/>
      <c r="I623" s="1"/>
      <c r="J623" s="1"/>
    </row>
    <row r="624" spans="2:10">
      <c r="B624" s="71" t="s">
        <v>186</v>
      </c>
      <c r="C624" s="3">
        <v>0</v>
      </c>
      <c r="D624" s="3">
        <v>0</v>
      </c>
      <c r="E624" s="3">
        <v>0</v>
      </c>
      <c r="F624" s="3">
        <v>0</v>
      </c>
      <c r="G624" s="3">
        <v>0</v>
      </c>
      <c r="H624" s="3">
        <v>0</v>
      </c>
      <c r="I624" s="3">
        <v>0</v>
      </c>
      <c r="J624" s="3">
        <v>0</v>
      </c>
    </row>
    <row r="625" spans="2:10">
      <c r="B625" s="71"/>
      <c r="C625" s="1"/>
      <c r="D625" s="1"/>
      <c r="E625" s="1"/>
      <c r="F625" s="1"/>
      <c r="G625" s="1"/>
      <c r="H625" s="1"/>
      <c r="I625" s="1"/>
      <c r="J625" s="1"/>
    </row>
    <row r="626" spans="2:10">
      <c r="B626" s="71" t="s">
        <v>190</v>
      </c>
      <c r="C626" s="3">
        <v>0</v>
      </c>
      <c r="D626" s="3">
        <v>0</v>
      </c>
      <c r="E626" s="3">
        <v>0</v>
      </c>
      <c r="F626" s="3">
        <v>0</v>
      </c>
      <c r="G626" s="3">
        <v>0</v>
      </c>
      <c r="H626" s="3">
        <v>0</v>
      </c>
      <c r="I626" s="3">
        <v>0</v>
      </c>
      <c r="J626" s="3">
        <v>0</v>
      </c>
    </row>
    <row r="627" spans="2:10">
      <c r="B627" s="52" t="s">
        <v>121</v>
      </c>
      <c r="C627" s="3">
        <v>0</v>
      </c>
      <c r="D627" s="3">
        <v>0</v>
      </c>
      <c r="E627" s="3">
        <v>0</v>
      </c>
      <c r="F627" s="3">
        <v>0</v>
      </c>
      <c r="G627" s="3">
        <v>0</v>
      </c>
      <c r="H627" s="3">
        <v>0</v>
      </c>
      <c r="I627" s="3">
        <v>0</v>
      </c>
      <c r="J627" s="3">
        <v>0</v>
      </c>
    </row>
    <row r="628" spans="2:10">
      <c r="B628" s="53" t="s">
        <v>120</v>
      </c>
      <c r="C628" s="3">
        <v>0</v>
      </c>
      <c r="D628" s="3">
        <v>0</v>
      </c>
      <c r="E628" s="3">
        <v>0</v>
      </c>
      <c r="F628" s="3">
        <v>0</v>
      </c>
      <c r="G628" s="3">
        <v>0</v>
      </c>
      <c r="H628" s="3">
        <v>0</v>
      </c>
      <c r="I628" s="3">
        <v>0</v>
      </c>
      <c r="J628" s="3">
        <v>0</v>
      </c>
    </row>
    <row r="629" spans="2:10">
      <c r="B629" s="53" t="s">
        <v>119</v>
      </c>
      <c r="C629" s="3">
        <v>0</v>
      </c>
      <c r="D629" s="3">
        <v>0</v>
      </c>
      <c r="E629" s="3">
        <v>0</v>
      </c>
      <c r="F629" s="3">
        <v>0</v>
      </c>
      <c r="G629" s="3">
        <v>0</v>
      </c>
      <c r="H629" s="3">
        <v>0</v>
      </c>
      <c r="I629" s="3">
        <v>0</v>
      </c>
      <c r="J629" s="3">
        <v>0</v>
      </c>
    </row>
    <row r="630" spans="2:10">
      <c r="B630" s="53" t="s">
        <v>197</v>
      </c>
      <c r="C630" s="3">
        <v>0</v>
      </c>
      <c r="D630" s="3">
        <v>0</v>
      </c>
      <c r="E630" s="3">
        <v>0</v>
      </c>
      <c r="F630" s="3">
        <v>0</v>
      </c>
      <c r="G630" s="3">
        <v>0</v>
      </c>
      <c r="H630" s="3">
        <v>0</v>
      </c>
      <c r="I630" s="3">
        <v>0</v>
      </c>
      <c r="J630" s="3">
        <v>0</v>
      </c>
    </row>
    <row r="631" spans="2:10">
      <c r="B631" s="52" t="s">
        <v>118</v>
      </c>
      <c r="C631" s="3">
        <v>0</v>
      </c>
      <c r="D631" s="3">
        <v>0</v>
      </c>
      <c r="E631" s="3">
        <v>0</v>
      </c>
      <c r="F631" s="3">
        <v>0</v>
      </c>
      <c r="G631" s="3">
        <v>0</v>
      </c>
      <c r="H631" s="3">
        <v>0</v>
      </c>
      <c r="I631" s="3">
        <v>0</v>
      </c>
      <c r="J631" s="3">
        <v>0</v>
      </c>
    </row>
    <row r="632" spans="2:10">
      <c r="B632" s="52" t="s">
        <v>117</v>
      </c>
      <c r="C632" s="3">
        <v>0</v>
      </c>
      <c r="D632" s="3">
        <v>0</v>
      </c>
      <c r="E632" s="3">
        <v>0</v>
      </c>
      <c r="F632" s="3">
        <v>0</v>
      </c>
      <c r="G632" s="3">
        <v>0</v>
      </c>
      <c r="H632" s="3">
        <v>0</v>
      </c>
      <c r="I632" s="3">
        <v>0</v>
      </c>
      <c r="J632" s="3">
        <v>0</v>
      </c>
    </row>
    <row r="633" spans="2:10">
      <c r="B633" s="52"/>
      <c r="C633" s="1"/>
      <c r="D633" s="1"/>
      <c r="E633" s="1"/>
      <c r="F633" s="1"/>
      <c r="G633" s="1"/>
      <c r="H633" s="1"/>
      <c r="I633" s="1"/>
      <c r="J633" s="1"/>
    </row>
    <row r="634" spans="2:10" ht="25">
      <c r="B634" s="71" t="s">
        <v>171</v>
      </c>
      <c r="C634" s="3">
        <v>0</v>
      </c>
      <c r="D634" s="3">
        <v>0</v>
      </c>
      <c r="E634" s="3">
        <v>0</v>
      </c>
      <c r="F634" s="3">
        <v>0</v>
      </c>
      <c r="G634" s="3">
        <v>0</v>
      </c>
      <c r="H634" s="3">
        <v>0</v>
      </c>
      <c r="I634" s="3">
        <v>0</v>
      </c>
      <c r="J634" s="3">
        <v>0</v>
      </c>
    </row>
    <row r="635" spans="2:10">
      <c r="B635" s="52" t="s">
        <v>169</v>
      </c>
      <c r="C635" s="3">
        <v>0</v>
      </c>
      <c r="D635" s="3">
        <v>0</v>
      </c>
      <c r="E635" s="3">
        <v>0</v>
      </c>
      <c r="F635" s="3">
        <v>0</v>
      </c>
      <c r="G635" s="3">
        <v>0</v>
      </c>
      <c r="H635" s="3">
        <v>0</v>
      </c>
      <c r="I635" s="3">
        <v>0</v>
      </c>
      <c r="J635" s="3">
        <v>0</v>
      </c>
    </row>
    <row r="636" spans="2:10">
      <c r="B636" s="52" t="s">
        <v>168</v>
      </c>
      <c r="C636" s="3">
        <v>0</v>
      </c>
      <c r="D636" s="3">
        <v>0</v>
      </c>
      <c r="E636" s="3">
        <v>0</v>
      </c>
      <c r="F636" s="3">
        <v>0</v>
      </c>
      <c r="G636" s="3">
        <v>0</v>
      </c>
      <c r="H636" s="3">
        <v>0</v>
      </c>
      <c r="I636" s="3">
        <v>0</v>
      </c>
      <c r="J636" s="3">
        <v>0</v>
      </c>
    </row>
    <row r="637" spans="2:10">
      <c r="B637" s="52" t="s">
        <v>167</v>
      </c>
      <c r="C637" s="3">
        <v>0</v>
      </c>
      <c r="D637" s="3">
        <v>0</v>
      </c>
      <c r="E637" s="3">
        <v>0</v>
      </c>
      <c r="F637" s="3">
        <v>0</v>
      </c>
      <c r="G637" s="3">
        <v>0</v>
      </c>
      <c r="H637" s="3">
        <v>0</v>
      </c>
      <c r="I637" s="3">
        <v>0</v>
      </c>
      <c r="J637" s="3">
        <v>0</v>
      </c>
    </row>
    <row r="638" spans="2:10">
      <c r="B638" s="52" t="s">
        <v>166</v>
      </c>
      <c r="C638" s="3">
        <v>0</v>
      </c>
      <c r="D638" s="3">
        <v>0</v>
      </c>
      <c r="E638" s="3">
        <v>0</v>
      </c>
      <c r="F638" s="3">
        <v>0</v>
      </c>
      <c r="G638" s="3">
        <v>0</v>
      </c>
      <c r="H638" s="3">
        <v>0</v>
      </c>
      <c r="I638" s="3">
        <v>0</v>
      </c>
      <c r="J638" s="3">
        <v>0</v>
      </c>
    </row>
    <row r="639" spans="2:10">
      <c r="B639" s="52" t="s">
        <v>165</v>
      </c>
      <c r="C639" s="3">
        <v>0</v>
      </c>
      <c r="D639" s="3">
        <v>0</v>
      </c>
      <c r="E639" s="3">
        <v>0</v>
      </c>
      <c r="F639" s="3">
        <v>0</v>
      </c>
      <c r="G639" s="3">
        <v>0</v>
      </c>
      <c r="H639" s="3">
        <v>0</v>
      </c>
      <c r="I639" s="3">
        <v>0</v>
      </c>
      <c r="J639" s="3">
        <v>0</v>
      </c>
    </row>
    <row r="640" spans="2:10">
      <c r="B640" s="52" t="s">
        <v>164</v>
      </c>
      <c r="C640" s="3">
        <v>0</v>
      </c>
      <c r="D640" s="3">
        <v>0</v>
      </c>
      <c r="E640" s="3">
        <v>0</v>
      </c>
      <c r="F640" s="3">
        <v>0</v>
      </c>
      <c r="G640" s="3">
        <v>0</v>
      </c>
      <c r="H640" s="3">
        <v>0</v>
      </c>
      <c r="I640" s="3">
        <v>0</v>
      </c>
      <c r="J640" s="3">
        <v>0</v>
      </c>
    </row>
    <row r="641" spans="2:10">
      <c r="B641" s="52"/>
      <c r="C641" s="1"/>
      <c r="D641" s="1"/>
      <c r="E641" s="1"/>
      <c r="F641" s="1"/>
      <c r="G641" s="1"/>
      <c r="H641" s="1"/>
      <c r="I641" s="1"/>
      <c r="J641" s="1"/>
    </row>
    <row r="642" spans="2:10">
      <c r="B642" s="80" t="s">
        <v>170</v>
      </c>
      <c r="C642" s="3">
        <v>0</v>
      </c>
      <c r="D642" s="3">
        <v>0</v>
      </c>
      <c r="E642" s="3">
        <v>0</v>
      </c>
      <c r="F642" s="3">
        <v>0</v>
      </c>
      <c r="G642" s="3">
        <v>0</v>
      </c>
      <c r="H642" s="3">
        <v>0</v>
      </c>
      <c r="I642" s="3">
        <v>0</v>
      </c>
      <c r="J642" s="3">
        <v>0</v>
      </c>
    </row>
    <row r="643" spans="2:10">
      <c r="B643" s="52" t="s">
        <v>169</v>
      </c>
      <c r="C643" s="3">
        <v>0</v>
      </c>
      <c r="D643" s="3">
        <v>0</v>
      </c>
      <c r="E643" s="3">
        <v>0</v>
      </c>
      <c r="F643" s="3">
        <v>0</v>
      </c>
      <c r="G643" s="3">
        <v>0</v>
      </c>
      <c r="H643" s="3">
        <v>0</v>
      </c>
      <c r="I643" s="3">
        <v>0</v>
      </c>
      <c r="J643" s="3">
        <v>0</v>
      </c>
    </row>
    <row r="644" spans="2:10">
      <c r="B644" s="52" t="s">
        <v>168</v>
      </c>
      <c r="C644" s="3">
        <v>0</v>
      </c>
      <c r="D644" s="3">
        <v>0</v>
      </c>
      <c r="E644" s="3">
        <v>0</v>
      </c>
      <c r="F644" s="3">
        <v>0</v>
      </c>
      <c r="G644" s="3">
        <v>0</v>
      </c>
      <c r="H644" s="3">
        <v>0</v>
      </c>
      <c r="I644" s="3">
        <v>0</v>
      </c>
      <c r="J644" s="3">
        <v>0</v>
      </c>
    </row>
    <row r="645" spans="2:10">
      <c r="B645" s="52" t="s">
        <v>167</v>
      </c>
      <c r="C645" s="3">
        <v>0</v>
      </c>
      <c r="D645" s="3">
        <v>0</v>
      </c>
      <c r="E645" s="3">
        <v>0</v>
      </c>
      <c r="F645" s="3">
        <v>0</v>
      </c>
      <c r="G645" s="3">
        <v>0</v>
      </c>
      <c r="H645" s="3">
        <v>0</v>
      </c>
      <c r="I645" s="3">
        <v>0</v>
      </c>
      <c r="J645" s="3">
        <v>0</v>
      </c>
    </row>
    <row r="646" spans="2:10">
      <c r="B646" s="52" t="s">
        <v>166</v>
      </c>
      <c r="C646" s="3">
        <v>0</v>
      </c>
      <c r="D646" s="3">
        <v>0</v>
      </c>
      <c r="E646" s="3">
        <v>0</v>
      </c>
      <c r="F646" s="3">
        <v>0</v>
      </c>
      <c r="G646" s="3">
        <v>0</v>
      </c>
      <c r="H646" s="3">
        <v>0</v>
      </c>
      <c r="I646" s="3">
        <v>0</v>
      </c>
      <c r="J646" s="3">
        <v>0</v>
      </c>
    </row>
    <row r="647" spans="2:10">
      <c r="B647" s="52" t="s">
        <v>165</v>
      </c>
      <c r="C647" s="3">
        <v>0</v>
      </c>
      <c r="D647" s="3">
        <v>0</v>
      </c>
      <c r="E647" s="3">
        <v>0</v>
      </c>
      <c r="F647" s="3">
        <v>0</v>
      </c>
      <c r="G647" s="3">
        <v>0</v>
      </c>
      <c r="H647" s="3">
        <v>0</v>
      </c>
      <c r="I647" s="3">
        <v>0</v>
      </c>
      <c r="J647" s="3">
        <v>0</v>
      </c>
    </row>
    <row r="648" spans="2:10" ht="15" thickBot="1">
      <c r="B648" s="52" t="s">
        <v>164</v>
      </c>
      <c r="C648" s="3">
        <v>0</v>
      </c>
      <c r="D648" s="3">
        <v>0</v>
      </c>
      <c r="E648" s="3">
        <v>0</v>
      </c>
      <c r="F648" s="3">
        <v>0</v>
      </c>
      <c r="G648" s="3">
        <v>0</v>
      </c>
      <c r="H648" s="100">
        <v>0</v>
      </c>
      <c r="I648" s="100">
        <v>0</v>
      </c>
      <c r="J648" s="100">
        <v>0</v>
      </c>
    </row>
    <row r="649" spans="2:10" ht="15" thickTop="1">
      <c r="B649" s="2025"/>
      <c r="C649" s="2025"/>
      <c r="D649" s="2025"/>
      <c r="E649" s="2025"/>
      <c r="F649" s="2025"/>
      <c r="G649" s="2025"/>
      <c r="H649" s="1"/>
      <c r="I649" s="1"/>
      <c r="J649" s="1"/>
    </row>
    <row r="650" spans="2:10">
      <c r="B650" s="64"/>
      <c r="C650" s="1"/>
      <c r="D650" s="1"/>
      <c r="E650" s="1"/>
      <c r="F650" s="1"/>
      <c r="G650" s="1"/>
      <c r="H650" s="1"/>
      <c r="I650" s="1"/>
      <c r="J650" s="1"/>
    </row>
    <row r="651" spans="2:10">
      <c r="B651" s="2024" t="s">
        <v>161</v>
      </c>
      <c r="C651" s="2024"/>
      <c r="D651" s="2024"/>
      <c r="E651" s="2024"/>
      <c r="F651" s="2024"/>
      <c r="G651" s="2024"/>
      <c r="H651" s="2024"/>
      <c r="I651" s="2024"/>
      <c r="J651" s="2024"/>
    </row>
    <row r="652" spans="2:10">
      <c r="B652" s="12" t="s">
        <v>160</v>
      </c>
      <c r="C652" s="1"/>
      <c r="D652" s="1"/>
      <c r="E652" s="1"/>
      <c r="F652" s="1"/>
      <c r="G652" s="1"/>
      <c r="H652" s="1"/>
      <c r="I652" s="1"/>
      <c r="J652" s="1"/>
    </row>
    <row r="653" spans="2:10">
      <c r="B653" s="77" t="s">
        <v>269</v>
      </c>
      <c r="C653" s="1"/>
      <c r="D653" s="1"/>
      <c r="E653" s="1"/>
      <c r="F653" s="1"/>
      <c r="G653" s="1"/>
      <c r="H653" s="1"/>
      <c r="I653" s="1"/>
      <c r="J653" s="1"/>
    </row>
    <row r="654" spans="2:10">
      <c r="B654" s="76"/>
      <c r="C654" s="1"/>
      <c r="D654" s="1"/>
      <c r="E654" s="1"/>
      <c r="F654" s="1"/>
      <c r="G654" s="1"/>
      <c r="H654" s="1"/>
      <c r="I654" s="1"/>
      <c r="J654" s="1"/>
    </row>
    <row r="655" spans="2:10">
      <c r="B655" s="61"/>
      <c r="C655" s="935">
        <v>2014</v>
      </c>
      <c r="D655" s="935">
        <v>2015</v>
      </c>
      <c r="E655" s="935">
        <v>2016</v>
      </c>
      <c r="F655" s="935">
        <v>2017</v>
      </c>
      <c r="G655" s="935">
        <v>2018</v>
      </c>
      <c r="H655" s="935">
        <v>2019</v>
      </c>
      <c r="I655" s="935">
        <v>2020</v>
      </c>
      <c r="J655" s="935">
        <v>2021</v>
      </c>
    </row>
    <row r="656" spans="2:10">
      <c r="B656" s="59" t="s">
        <v>1388</v>
      </c>
      <c r="C656" s="1"/>
      <c r="D656" s="1"/>
      <c r="E656" s="1"/>
      <c r="F656" s="1"/>
      <c r="G656" s="1"/>
      <c r="H656" s="1"/>
      <c r="I656" s="1"/>
      <c r="J656" s="1"/>
    </row>
    <row r="657" spans="2:10">
      <c r="B657" s="71" t="s">
        <v>516</v>
      </c>
      <c r="C657" s="3">
        <v>39</v>
      </c>
      <c r="D657" s="3">
        <v>36</v>
      </c>
      <c r="E657" s="3">
        <v>36</v>
      </c>
      <c r="F657" s="3">
        <v>36</v>
      </c>
      <c r="G657" s="3">
        <v>38</v>
      </c>
      <c r="H657" s="3">
        <v>38</v>
      </c>
      <c r="I657" s="3">
        <v>38</v>
      </c>
      <c r="J657" s="3">
        <v>37</v>
      </c>
    </row>
    <row r="658" spans="2:10">
      <c r="B658" s="52" t="s">
        <v>150</v>
      </c>
      <c r="C658" s="3">
        <v>1</v>
      </c>
      <c r="D658" s="3">
        <v>0</v>
      </c>
      <c r="E658" s="3">
        <v>0</v>
      </c>
      <c r="F658" s="3">
        <v>0</v>
      </c>
      <c r="G658" s="3">
        <v>0</v>
      </c>
      <c r="H658" s="3">
        <v>0</v>
      </c>
      <c r="I658" s="3">
        <v>0</v>
      </c>
      <c r="J658" s="3">
        <v>0</v>
      </c>
    </row>
    <row r="659" spans="2:10">
      <c r="B659" s="52" t="s">
        <v>149</v>
      </c>
      <c r="C659" s="3" t="s">
        <v>1521</v>
      </c>
      <c r="D659" s="3" t="s">
        <v>1522</v>
      </c>
      <c r="E659" s="3" t="s">
        <v>1522</v>
      </c>
      <c r="F659" s="3" t="s">
        <v>1522</v>
      </c>
      <c r="G659" s="3" t="s">
        <v>1522</v>
      </c>
      <c r="H659" s="3" t="s">
        <v>1522</v>
      </c>
      <c r="I659" s="3" t="s">
        <v>1522</v>
      </c>
      <c r="J659" s="3" t="s">
        <v>1522</v>
      </c>
    </row>
    <row r="660" spans="2:10">
      <c r="B660" s="52" t="s">
        <v>148</v>
      </c>
      <c r="C660" s="3">
        <v>5</v>
      </c>
      <c r="D660" s="3">
        <v>3</v>
      </c>
      <c r="E660" s="3">
        <v>3</v>
      </c>
      <c r="F660" s="3">
        <v>3</v>
      </c>
      <c r="G660" s="3">
        <v>3</v>
      </c>
      <c r="H660" s="3">
        <v>3</v>
      </c>
      <c r="I660" s="3">
        <v>3</v>
      </c>
      <c r="J660" s="3">
        <v>3</v>
      </c>
    </row>
    <row r="661" spans="2:10">
      <c r="B661" s="52" t="s">
        <v>147</v>
      </c>
      <c r="C661" s="3">
        <v>8</v>
      </c>
      <c r="D661" s="3">
        <v>8</v>
      </c>
      <c r="E661" s="3">
        <v>8</v>
      </c>
      <c r="F661" s="3">
        <v>8</v>
      </c>
      <c r="G661" s="3">
        <v>9</v>
      </c>
      <c r="H661" s="3">
        <v>9</v>
      </c>
      <c r="I661" s="3">
        <v>9</v>
      </c>
      <c r="J661" s="3">
        <v>10</v>
      </c>
    </row>
    <row r="662" spans="2:10">
      <c r="B662" s="52" t="s">
        <v>146</v>
      </c>
      <c r="C662" s="3">
        <v>25</v>
      </c>
      <c r="D662" s="3">
        <v>25</v>
      </c>
      <c r="E662" s="3">
        <v>25</v>
      </c>
      <c r="F662" s="3">
        <v>25</v>
      </c>
      <c r="G662" s="3">
        <v>26</v>
      </c>
      <c r="H662" s="3">
        <v>26</v>
      </c>
      <c r="I662" s="3">
        <v>26</v>
      </c>
      <c r="J662" s="3">
        <v>24</v>
      </c>
    </row>
    <row r="663" spans="2:10">
      <c r="B663" s="52"/>
      <c r="C663" s="3"/>
      <c r="D663" s="3"/>
      <c r="E663" s="3"/>
      <c r="F663" s="3"/>
      <c r="G663" s="3"/>
      <c r="H663" s="3"/>
      <c r="I663" s="3"/>
      <c r="J663" s="3"/>
    </row>
    <row r="664" spans="2:10">
      <c r="B664" s="71" t="s">
        <v>152</v>
      </c>
      <c r="C664" s="3"/>
      <c r="D664" s="3"/>
      <c r="E664" s="3"/>
      <c r="F664" s="3"/>
      <c r="G664" s="3"/>
      <c r="H664" s="3"/>
      <c r="I664" s="3"/>
      <c r="J664" s="3"/>
    </row>
    <row r="665" spans="2:10">
      <c r="B665" s="52" t="s">
        <v>150</v>
      </c>
      <c r="C665" s="3">
        <v>1</v>
      </c>
      <c r="D665" s="3">
        <v>0</v>
      </c>
      <c r="E665" s="3">
        <v>0</v>
      </c>
      <c r="F665" s="3">
        <v>0</v>
      </c>
      <c r="G665" s="3">
        <v>0</v>
      </c>
      <c r="H665" s="3">
        <v>0</v>
      </c>
      <c r="I665" s="3">
        <v>0</v>
      </c>
      <c r="J665" s="3">
        <v>0</v>
      </c>
    </row>
    <row r="666" spans="2:10">
      <c r="B666" s="52" t="s">
        <v>149</v>
      </c>
      <c r="C666" s="3" t="s">
        <v>1521</v>
      </c>
      <c r="D666" s="3" t="s">
        <v>1522</v>
      </c>
      <c r="E666" s="3" t="s">
        <v>1522</v>
      </c>
      <c r="F666" s="3" t="s">
        <v>1522</v>
      </c>
      <c r="G666" s="3" t="s">
        <v>1522</v>
      </c>
      <c r="H666" s="3" t="s">
        <v>1522</v>
      </c>
      <c r="I666" s="3" t="s">
        <v>1522</v>
      </c>
      <c r="J666" s="3" t="s">
        <v>1522</v>
      </c>
    </row>
    <row r="667" spans="2:10">
      <c r="B667" s="52" t="s">
        <v>148</v>
      </c>
      <c r="C667" s="3">
        <v>1</v>
      </c>
      <c r="D667" s="3" t="s">
        <v>1522</v>
      </c>
      <c r="E667" s="3" t="s">
        <v>1522</v>
      </c>
      <c r="F667" s="3" t="s">
        <v>1522</v>
      </c>
      <c r="G667" s="3" t="s">
        <v>1522</v>
      </c>
      <c r="H667" s="3" t="s">
        <v>1522</v>
      </c>
      <c r="I667" s="3" t="s">
        <v>1522</v>
      </c>
      <c r="J667" s="3" t="s">
        <v>1522</v>
      </c>
    </row>
    <row r="668" spans="2:10">
      <c r="B668" s="52" t="s">
        <v>147</v>
      </c>
      <c r="C668" s="3">
        <v>8</v>
      </c>
      <c r="D668" s="3">
        <v>8</v>
      </c>
      <c r="E668" s="3">
        <v>8</v>
      </c>
      <c r="F668" s="3">
        <v>8</v>
      </c>
      <c r="G668" s="3">
        <v>9</v>
      </c>
      <c r="H668" s="3">
        <v>9</v>
      </c>
      <c r="I668" s="3">
        <v>9</v>
      </c>
      <c r="J668" s="3">
        <v>10</v>
      </c>
    </row>
    <row r="669" spans="2:10">
      <c r="B669" s="52" t="s">
        <v>146</v>
      </c>
      <c r="C669" s="3">
        <v>25</v>
      </c>
      <c r="D669" s="3">
        <v>25</v>
      </c>
      <c r="E669" s="3">
        <v>25</v>
      </c>
      <c r="F669" s="3">
        <v>25</v>
      </c>
      <c r="G669" s="3">
        <v>26</v>
      </c>
      <c r="H669" s="3">
        <v>26</v>
      </c>
      <c r="I669" s="3">
        <v>26</v>
      </c>
      <c r="J669" s="3">
        <v>24</v>
      </c>
    </row>
    <row r="670" spans="2:10">
      <c r="B670" s="52"/>
      <c r="C670" s="3"/>
      <c r="D670" s="3"/>
      <c r="E670" s="3"/>
      <c r="F670" s="3"/>
      <c r="G670" s="3"/>
      <c r="H670" s="3"/>
      <c r="I670" s="3"/>
      <c r="J670" s="3"/>
    </row>
    <row r="671" spans="2:10">
      <c r="B671" s="71" t="s">
        <v>151</v>
      </c>
      <c r="C671" s="3"/>
      <c r="D671" s="3"/>
      <c r="E671" s="3"/>
      <c r="F671" s="3"/>
      <c r="G671" s="3"/>
      <c r="H671" s="3"/>
      <c r="I671" s="3"/>
      <c r="J671" s="3"/>
    </row>
    <row r="672" spans="2:10">
      <c r="B672" s="52" t="s">
        <v>150</v>
      </c>
      <c r="C672" s="3"/>
      <c r="D672" s="3"/>
      <c r="E672" s="3"/>
      <c r="F672" s="3"/>
      <c r="G672" s="3"/>
      <c r="H672" s="3"/>
      <c r="I672" s="3"/>
      <c r="J672" s="3"/>
    </row>
    <row r="673" spans="2:10">
      <c r="B673" s="52" t="s">
        <v>149</v>
      </c>
      <c r="C673" s="3" t="s">
        <v>1521</v>
      </c>
      <c r="D673" s="3" t="s">
        <v>1522</v>
      </c>
      <c r="E673" s="3" t="s">
        <v>1522</v>
      </c>
      <c r="F673" s="3" t="s">
        <v>1522</v>
      </c>
      <c r="G673" s="3" t="s">
        <v>1522</v>
      </c>
      <c r="H673" s="3" t="s">
        <v>1522</v>
      </c>
      <c r="I673" s="3" t="s">
        <v>1522</v>
      </c>
      <c r="J673" s="3" t="s">
        <v>1522</v>
      </c>
    </row>
    <row r="674" spans="2:10">
      <c r="B674" s="52" t="s">
        <v>148</v>
      </c>
      <c r="C674" s="3">
        <v>5</v>
      </c>
      <c r="D674" s="3">
        <v>3</v>
      </c>
      <c r="E674" s="3">
        <v>3</v>
      </c>
      <c r="F674" s="3">
        <v>3</v>
      </c>
      <c r="G674" s="3">
        <v>3</v>
      </c>
      <c r="H674" s="3">
        <v>3</v>
      </c>
      <c r="I674" s="3">
        <v>3</v>
      </c>
      <c r="J674" s="3">
        <v>3</v>
      </c>
    </row>
    <row r="675" spans="2:10">
      <c r="B675" s="52" t="s">
        <v>147</v>
      </c>
      <c r="C675" s="3"/>
      <c r="D675" s="3"/>
      <c r="E675" s="3"/>
      <c r="F675" s="3"/>
      <c r="G675" s="3"/>
      <c r="H675" s="3"/>
      <c r="I675" s="3"/>
      <c r="J675" s="3"/>
    </row>
    <row r="676" spans="2:10" ht="15" thickBot="1">
      <c r="B676" s="52" t="s">
        <v>146</v>
      </c>
      <c r="C676" s="3"/>
      <c r="D676" s="3"/>
      <c r="E676" s="3"/>
      <c r="F676" s="3"/>
      <c r="G676" s="3"/>
      <c r="H676" s="100"/>
      <c r="I676" s="100"/>
      <c r="J676" s="100"/>
    </row>
    <row r="677" spans="2:10" ht="15" thickTop="1">
      <c r="B677" s="2025" t="s">
        <v>1502</v>
      </c>
      <c r="C677" s="2025"/>
      <c r="D677" s="2025"/>
      <c r="E677" s="2025"/>
      <c r="F677" s="2025"/>
      <c r="G677" s="2025"/>
      <c r="H677" s="1"/>
      <c r="I677" s="1"/>
      <c r="J677" s="1"/>
    </row>
    <row r="678" spans="2:10">
      <c r="B678" s="62"/>
      <c r="C678" s="1"/>
      <c r="D678" s="1"/>
      <c r="E678" s="1"/>
      <c r="F678" s="1"/>
      <c r="G678" s="1"/>
      <c r="H678" s="1"/>
      <c r="I678" s="1"/>
      <c r="J678" s="1"/>
    </row>
    <row r="679" spans="2:10">
      <c r="B679" s="2024" t="s">
        <v>144</v>
      </c>
      <c r="C679" s="2024"/>
      <c r="D679" s="2024"/>
      <c r="E679" s="2024"/>
      <c r="F679" s="2024"/>
      <c r="G679" s="2024"/>
      <c r="H679" s="2024"/>
      <c r="I679" s="2024"/>
      <c r="J679" s="2024"/>
    </row>
    <row r="680" spans="2:10">
      <c r="B680" s="12" t="s">
        <v>143</v>
      </c>
      <c r="C680" s="1"/>
      <c r="D680" s="1"/>
      <c r="E680" s="1"/>
      <c r="F680" s="1"/>
      <c r="G680" s="1"/>
      <c r="H680" s="1"/>
      <c r="I680" s="1"/>
      <c r="J680" s="1"/>
    </row>
    <row r="681" spans="2:10">
      <c r="B681" s="62" t="s">
        <v>142</v>
      </c>
      <c r="C681" s="1"/>
      <c r="D681" s="1"/>
      <c r="E681" s="1"/>
      <c r="F681" s="1"/>
      <c r="G681" s="1"/>
      <c r="H681" s="1"/>
      <c r="I681" s="1"/>
      <c r="J681" s="1"/>
    </row>
    <row r="682" spans="2:10">
      <c r="B682" s="62"/>
      <c r="C682" s="1"/>
      <c r="D682" s="1"/>
      <c r="E682" s="1"/>
      <c r="F682" s="1"/>
      <c r="G682" s="1"/>
      <c r="H682" s="1"/>
      <c r="I682" s="1"/>
      <c r="J682" s="1"/>
    </row>
    <row r="683" spans="2:10">
      <c r="B683" s="61"/>
      <c r="C683" s="935">
        <v>2014</v>
      </c>
      <c r="D683" s="935">
        <v>2015</v>
      </c>
      <c r="E683" s="935">
        <v>2016</v>
      </c>
      <c r="F683" s="935">
        <v>2017</v>
      </c>
      <c r="G683" s="935">
        <v>2018</v>
      </c>
      <c r="H683" s="935">
        <v>2019</v>
      </c>
      <c r="I683" s="935">
        <v>2020</v>
      </c>
      <c r="J683" s="935">
        <v>2021</v>
      </c>
    </row>
    <row r="684" spans="2:10">
      <c r="B684" s="59" t="s">
        <v>1388</v>
      </c>
      <c r="C684" s="232"/>
      <c r="D684" s="232"/>
      <c r="E684" s="232"/>
      <c r="F684" s="232"/>
      <c r="G684" s="232"/>
      <c r="H684" s="232"/>
      <c r="I684" s="232"/>
      <c r="J684" s="232"/>
    </row>
    <row r="685" spans="2:10">
      <c r="B685" s="71" t="s">
        <v>141</v>
      </c>
      <c r="C685" s="953">
        <v>1300</v>
      </c>
      <c r="D685" s="953">
        <v>1528</v>
      </c>
      <c r="E685" s="953">
        <v>1665</v>
      </c>
      <c r="F685" s="953">
        <v>1749</v>
      </c>
      <c r="G685" s="953">
        <v>2.0259999999999998</v>
      </c>
      <c r="H685" s="953">
        <v>2.1019999999999999</v>
      </c>
      <c r="I685" s="953">
        <v>2.2909999999999999</v>
      </c>
      <c r="J685" s="953">
        <v>2.2679999999999998</v>
      </c>
    </row>
    <row r="686" spans="2:10">
      <c r="B686" s="52" t="s">
        <v>121</v>
      </c>
      <c r="C686" s="953">
        <v>591</v>
      </c>
      <c r="D686" s="953">
        <v>719</v>
      </c>
      <c r="E686" s="953">
        <v>771</v>
      </c>
      <c r="F686" s="953">
        <v>803</v>
      </c>
      <c r="G686" s="953">
        <v>0.94899999999999995</v>
      </c>
      <c r="H686" s="953">
        <v>1.0549999999999999</v>
      </c>
      <c r="I686" s="953">
        <v>1.083</v>
      </c>
      <c r="J686" s="953">
        <v>0.94599999999999995</v>
      </c>
    </row>
    <row r="687" spans="2:10">
      <c r="B687" s="53" t="s">
        <v>120</v>
      </c>
      <c r="C687" s="953">
        <v>8</v>
      </c>
      <c r="D687" s="953">
        <v>56</v>
      </c>
      <c r="E687" s="953">
        <v>55</v>
      </c>
      <c r="F687" s="953">
        <v>60</v>
      </c>
      <c r="G687" s="953">
        <v>9.7000000000000003E-2</v>
      </c>
      <c r="H687" s="953">
        <v>9.0999999999999998E-2</v>
      </c>
      <c r="I687" s="953">
        <v>5.5E-2</v>
      </c>
      <c r="J687" s="953">
        <v>7.6999999999999999E-2</v>
      </c>
    </row>
    <row r="688" spans="2:10">
      <c r="B688" s="53" t="s">
        <v>119</v>
      </c>
      <c r="C688" s="953">
        <v>583</v>
      </c>
      <c r="D688" s="953">
        <v>663</v>
      </c>
      <c r="E688" s="953">
        <v>716</v>
      </c>
      <c r="F688" s="953">
        <v>743</v>
      </c>
      <c r="G688" s="953">
        <v>0.85199999999999998</v>
      </c>
      <c r="H688" s="953">
        <v>0.96399999999999997</v>
      </c>
      <c r="I688" s="953">
        <v>1.028</v>
      </c>
      <c r="J688" s="953">
        <v>0.86899999999999999</v>
      </c>
    </row>
    <row r="689" spans="2:10">
      <c r="B689" s="52" t="s">
        <v>118</v>
      </c>
      <c r="C689" s="939">
        <v>659</v>
      </c>
      <c r="D689" s="954">
        <v>743</v>
      </c>
      <c r="E689" s="954">
        <v>792</v>
      </c>
      <c r="F689" s="954">
        <v>827</v>
      </c>
      <c r="G689" s="954">
        <v>0.89500000000000002</v>
      </c>
      <c r="H689" s="954">
        <v>0.91100000000000003</v>
      </c>
      <c r="I689" s="954">
        <v>1.0589999999999999</v>
      </c>
      <c r="J689" s="954">
        <v>1.0580000000000001</v>
      </c>
    </row>
    <row r="690" spans="2:10" ht="15" thickBot="1">
      <c r="B690" s="52" t="s">
        <v>117</v>
      </c>
      <c r="C690" s="939">
        <v>50</v>
      </c>
      <c r="D690" s="954">
        <v>66</v>
      </c>
      <c r="E690" s="954">
        <v>102</v>
      </c>
      <c r="F690" s="954">
        <v>119</v>
      </c>
      <c r="G690" s="954">
        <v>0.182</v>
      </c>
      <c r="H690" s="955">
        <v>0.13600000000000001</v>
      </c>
      <c r="I690" s="955">
        <v>0.14899999999999999</v>
      </c>
      <c r="J690" s="955">
        <v>0.26400000000000001</v>
      </c>
    </row>
    <row r="691" spans="2:10" ht="15" thickTop="1">
      <c r="B691" s="2025" t="s">
        <v>1502</v>
      </c>
      <c r="C691" s="2025"/>
      <c r="D691" s="2025"/>
      <c r="E691" s="2025"/>
      <c r="F691" s="2025"/>
      <c r="G691" s="2025"/>
      <c r="H691" s="1"/>
      <c r="I691" s="1"/>
      <c r="J691" s="1"/>
    </row>
    <row r="692" spans="2:10">
      <c r="B692" s="64"/>
      <c r="C692" s="1"/>
      <c r="D692" s="1"/>
      <c r="E692" s="1"/>
      <c r="F692" s="1"/>
      <c r="G692" s="1"/>
      <c r="H692" s="1"/>
      <c r="I692" s="1"/>
      <c r="J692" s="1"/>
    </row>
    <row r="693" spans="2:10">
      <c r="B693" s="2024" t="s">
        <v>140</v>
      </c>
      <c r="C693" s="2024"/>
      <c r="D693" s="2024"/>
      <c r="E693" s="2024"/>
      <c r="F693" s="2024"/>
      <c r="G693" s="2024"/>
      <c r="H693" s="2024"/>
      <c r="I693" s="2024"/>
      <c r="J693" s="2024"/>
    </row>
    <row r="694" spans="2:10">
      <c r="B694" s="12" t="s">
        <v>139</v>
      </c>
      <c r="C694" s="1"/>
      <c r="D694" s="1"/>
      <c r="E694" s="1"/>
      <c r="F694" s="1"/>
      <c r="G694" s="1"/>
      <c r="H694" s="1"/>
      <c r="I694" s="1"/>
      <c r="J694" s="1"/>
    </row>
    <row r="695" spans="2:10">
      <c r="B695" s="62" t="s">
        <v>138</v>
      </c>
      <c r="C695" s="1"/>
      <c r="D695" s="1"/>
      <c r="E695" s="1"/>
      <c r="F695" s="1"/>
      <c r="G695" s="1"/>
      <c r="H695" s="1"/>
      <c r="I695" s="1"/>
      <c r="J695" s="1"/>
    </row>
    <row r="696" spans="2:10">
      <c r="B696" s="519"/>
      <c r="C696" s="1"/>
      <c r="D696" s="1"/>
      <c r="E696" s="1"/>
      <c r="F696" s="1"/>
      <c r="G696" s="1"/>
      <c r="H696" s="1"/>
      <c r="I696" s="1"/>
      <c r="J696" s="1"/>
    </row>
    <row r="697" spans="2:10">
      <c r="B697" s="61"/>
      <c r="C697" s="935">
        <v>2014</v>
      </c>
      <c r="D697" s="935">
        <v>2015</v>
      </c>
      <c r="E697" s="935">
        <v>2016</v>
      </c>
      <c r="F697" s="935">
        <v>2017</v>
      </c>
      <c r="G697" s="935">
        <v>2018</v>
      </c>
      <c r="H697" s="935">
        <v>2019</v>
      </c>
      <c r="I697" s="935">
        <v>2020</v>
      </c>
      <c r="J697" s="935">
        <v>2021</v>
      </c>
    </row>
    <row r="698" spans="2:10">
      <c r="B698" s="59" t="s">
        <v>1388</v>
      </c>
      <c r="C698" s="1"/>
      <c r="D698" s="1"/>
      <c r="E698" s="1"/>
      <c r="F698" s="1"/>
      <c r="G698" s="1"/>
      <c r="H698" s="1"/>
      <c r="I698" s="1"/>
      <c r="J698" s="1"/>
    </row>
    <row r="699" spans="2:10">
      <c r="B699" s="71" t="s">
        <v>137</v>
      </c>
      <c r="C699" s="953">
        <v>12912.900249916249</v>
      </c>
      <c r="D699" s="953">
        <v>20918.33682656036</v>
      </c>
      <c r="E699" s="953">
        <v>20740.677943492756</v>
      </c>
      <c r="F699" s="953">
        <v>18759.074788386577</v>
      </c>
      <c r="G699" s="953">
        <v>31601.565797273262</v>
      </c>
      <c r="H699" s="953">
        <v>34750.495473747731</v>
      </c>
      <c r="I699" s="953">
        <v>27955.802777368815</v>
      </c>
      <c r="J699" s="953">
        <v>25028.441239182241</v>
      </c>
    </row>
    <row r="700" spans="2:10">
      <c r="B700" s="52" t="s">
        <v>121</v>
      </c>
      <c r="C700" s="953">
        <v>1164.5878174204354</v>
      </c>
      <c r="D700" s="953">
        <v>2063.9791077507989</v>
      </c>
      <c r="E700" s="953">
        <v>3418.1192490048606</v>
      </c>
      <c r="F700" s="953">
        <v>11588.117151345301</v>
      </c>
      <c r="G700" s="953">
        <v>12056.17101363367</v>
      </c>
      <c r="H700" s="953">
        <v>14048.790887145444</v>
      </c>
      <c r="I700" s="953">
        <v>11931.775703295096</v>
      </c>
      <c r="J700" s="953">
        <v>9811.7346042894769</v>
      </c>
    </row>
    <row r="701" spans="2:10">
      <c r="B701" s="53" t="s">
        <v>120</v>
      </c>
      <c r="C701" s="953">
        <v>6.8618090452261318E-2</v>
      </c>
      <c r="D701" s="953">
        <v>43.239114499340275</v>
      </c>
      <c r="E701" s="953">
        <v>107.76089309585817</v>
      </c>
      <c r="F701" s="953">
        <v>355.66587384251113</v>
      </c>
      <c r="G701" s="953">
        <v>319.3381742738589</v>
      </c>
      <c r="H701" s="953">
        <v>298.20790585395292</v>
      </c>
      <c r="I701" s="953">
        <v>73.910846476139184</v>
      </c>
      <c r="J701" s="953">
        <v>123.7323466700113</v>
      </c>
    </row>
    <row r="702" spans="2:10">
      <c r="B702" s="53" t="s">
        <v>119</v>
      </c>
      <c r="C702" s="953">
        <v>1164.5191993299832</v>
      </c>
      <c r="D702" s="953">
        <v>2020.7399932514588</v>
      </c>
      <c r="E702" s="953">
        <v>3310.3583559090025</v>
      </c>
      <c r="F702" s="953">
        <v>11232.451277502789</v>
      </c>
      <c r="G702" s="953">
        <v>11736.832839359809</v>
      </c>
      <c r="H702" s="953">
        <v>13750.582981291491</v>
      </c>
      <c r="I702" s="953">
        <v>11857.864856818956</v>
      </c>
      <c r="J702" s="953">
        <v>9688.002257619466</v>
      </c>
    </row>
    <row r="703" spans="2:10">
      <c r="B703" s="52" t="s">
        <v>118</v>
      </c>
      <c r="C703" s="953">
        <v>11512.585072696818</v>
      </c>
      <c r="D703" s="953">
        <v>11752.904266236623</v>
      </c>
      <c r="E703" s="953">
        <v>15206.089544718674</v>
      </c>
      <c r="F703" s="953">
        <v>6340.5950679613425</v>
      </c>
      <c r="G703" s="953">
        <v>18653.418790752814</v>
      </c>
      <c r="H703" s="953">
        <v>19756.285153892575</v>
      </c>
      <c r="I703" s="953">
        <v>15088.224809505919</v>
      </c>
      <c r="J703" s="953">
        <v>14393.661357080146</v>
      </c>
    </row>
    <row r="704" spans="2:10" ht="15" thickBot="1">
      <c r="B704" s="52" t="s">
        <v>117</v>
      </c>
      <c r="C704" s="956">
        <v>235.72735979899497</v>
      </c>
      <c r="D704" s="956">
        <v>7101.4534525729368</v>
      </c>
      <c r="E704" s="956">
        <v>2116.4691497692197</v>
      </c>
      <c r="F704" s="956">
        <v>830.3625690799322</v>
      </c>
      <c r="G704" s="956">
        <v>891.97599288678123</v>
      </c>
      <c r="H704" s="956">
        <v>945.41943270971626</v>
      </c>
      <c r="I704" s="956">
        <v>935.80226456779894</v>
      </c>
      <c r="J704" s="956">
        <v>823.04527781261766</v>
      </c>
    </row>
    <row r="705" spans="2:10" ht="15" thickTop="1">
      <c r="B705" s="2025" t="s">
        <v>1502</v>
      </c>
      <c r="C705" s="2025"/>
      <c r="D705" s="2025"/>
      <c r="E705" s="2025"/>
      <c r="F705" s="2025"/>
      <c r="G705" s="2025"/>
      <c r="H705" s="1"/>
      <c r="I705" s="1"/>
      <c r="J705" s="1"/>
    </row>
    <row r="706" spans="2:10">
      <c r="B706" s="64"/>
      <c r="C706" s="1"/>
      <c r="D706" s="1"/>
      <c r="E706" s="1"/>
      <c r="F706" s="1"/>
      <c r="G706" s="1"/>
      <c r="H706" s="1"/>
      <c r="I706" s="1"/>
      <c r="J706" s="1"/>
    </row>
    <row r="707" spans="2:10">
      <c r="B707" s="2024" t="s">
        <v>133</v>
      </c>
      <c r="C707" s="2024"/>
      <c r="D707" s="2024"/>
      <c r="E707" s="2024"/>
      <c r="F707" s="2024"/>
      <c r="G707" s="2024"/>
      <c r="H707" s="2024"/>
      <c r="I707" s="2024"/>
      <c r="J707" s="2024"/>
    </row>
    <row r="708" spans="2:10">
      <c r="B708" s="12" t="s">
        <v>132</v>
      </c>
      <c r="C708" s="1"/>
      <c r="D708" s="1"/>
      <c r="E708" s="1"/>
      <c r="F708" s="1"/>
      <c r="G708" s="1"/>
      <c r="H708" s="1"/>
      <c r="I708" s="1"/>
      <c r="J708" s="1"/>
    </row>
    <row r="709" spans="2:10">
      <c r="B709" s="62" t="s">
        <v>131</v>
      </c>
      <c r="C709" s="1"/>
      <c r="D709" s="1"/>
      <c r="E709" s="1"/>
      <c r="F709" s="1"/>
      <c r="G709" s="1"/>
      <c r="H709" s="1"/>
      <c r="I709" s="1"/>
      <c r="J709" s="1"/>
    </row>
    <row r="710" spans="2:10">
      <c r="B710" s="62"/>
      <c r="C710" s="1"/>
      <c r="D710" s="1"/>
      <c r="E710" s="1"/>
      <c r="F710" s="1"/>
      <c r="G710" s="1"/>
      <c r="H710" s="1"/>
      <c r="I710" s="1"/>
      <c r="J710" s="1"/>
    </row>
    <row r="711" spans="2:10">
      <c r="B711" s="61"/>
      <c r="C711" s="935">
        <v>2014</v>
      </c>
      <c r="D711" s="935">
        <v>2015</v>
      </c>
      <c r="E711" s="935">
        <v>2016</v>
      </c>
      <c r="F711" s="935">
        <v>2017</v>
      </c>
      <c r="G711" s="935">
        <v>2018</v>
      </c>
      <c r="H711" s="935">
        <v>2019</v>
      </c>
      <c r="I711" s="935">
        <v>2020</v>
      </c>
      <c r="J711" s="935">
        <v>2021</v>
      </c>
    </row>
    <row r="712" spans="2:10">
      <c r="B712" s="71" t="s">
        <v>130</v>
      </c>
      <c r="C712" s="957"/>
      <c r="D712" s="957"/>
      <c r="E712" s="957"/>
      <c r="F712" s="957"/>
      <c r="G712" s="957"/>
      <c r="H712" s="957"/>
      <c r="I712" s="957"/>
      <c r="J712" s="957"/>
    </row>
    <row r="713" spans="2:10">
      <c r="B713" s="71"/>
      <c r="C713" s="1"/>
      <c r="D713" s="1"/>
      <c r="E713" s="1"/>
      <c r="F713" s="1"/>
      <c r="G713" s="1"/>
      <c r="H713" s="1"/>
      <c r="I713" s="1"/>
      <c r="J713" s="1"/>
    </row>
    <row r="714" spans="2:10">
      <c r="B714" s="59" t="s">
        <v>1388</v>
      </c>
      <c r="C714" s="1"/>
      <c r="D714" s="1"/>
      <c r="E714" s="1"/>
      <c r="F714" s="1"/>
      <c r="G714" s="1"/>
      <c r="H714" s="1"/>
      <c r="I714" s="1"/>
      <c r="J714" s="1"/>
    </row>
    <row r="715" spans="2:10">
      <c r="B715" s="54" t="s">
        <v>123</v>
      </c>
      <c r="C715" s="958">
        <v>6.9080000000000004</v>
      </c>
      <c r="D715" s="958">
        <v>6.8719999999999999</v>
      </c>
      <c r="E715" s="958">
        <v>6.665</v>
      </c>
      <c r="F715" s="958">
        <v>6.8920000000000003</v>
      </c>
      <c r="G715" s="958">
        <v>8.7260000000000009</v>
      </c>
      <c r="H715" s="958">
        <v>10.965999999999999</v>
      </c>
      <c r="I715" s="958">
        <v>19.283999999999999</v>
      </c>
      <c r="J715" s="958">
        <v>21.282</v>
      </c>
    </row>
    <row r="716" spans="2:10">
      <c r="B716" s="52" t="s">
        <v>121</v>
      </c>
      <c r="C716" s="958">
        <v>0.36</v>
      </c>
      <c r="D716" s="958">
        <v>0.47699999999999998</v>
      </c>
      <c r="E716" s="958">
        <v>0.56100000000000005</v>
      </c>
      <c r="F716" s="958">
        <v>0.70699999999999996</v>
      </c>
      <c r="G716" s="958">
        <v>1.502</v>
      </c>
      <c r="H716" s="958">
        <v>2.4580000000000002</v>
      </c>
      <c r="I716" s="958">
        <v>3.1909999999999998</v>
      </c>
      <c r="J716" s="958">
        <v>2.802</v>
      </c>
    </row>
    <row r="717" spans="2:10">
      <c r="B717" s="53" t="s">
        <v>120</v>
      </c>
      <c r="C717" s="958">
        <v>3.5999999999999997E-2</v>
      </c>
      <c r="D717" s="958">
        <v>1E-3</v>
      </c>
      <c r="E717" s="958"/>
      <c r="F717" s="958"/>
      <c r="G717" s="958"/>
      <c r="H717" s="958"/>
      <c r="I717" s="958"/>
      <c r="J717" s="958"/>
    </row>
    <row r="718" spans="2:10">
      <c r="B718" s="53" t="s">
        <v>119</v>
      </c>
      <c r="C718" s="958">
        <v>0.32400000000000001</v>
      </c>
      <c r="D718" s="958">
        <v>0.47599999999999998</v>
      </c>
      <c r="E718" s="958">
        <v>0.56100000000000005</v>
      </c>
      <c r="F718" s="958">
        <v>0.70699999999999996</v>
      </c>
      <c r="G718" s="958">
        <v>1.502</v>
      </c>
      <c r="H718" s="958">
        <v>2.4580000000000002</v>
      </c>
      <c r="I718" s="958">
        <v>3.1909999999999998</v>
      </c>
      <c r="J718" s="958">
        <v>2.802</v>
      </c>
    </row>
    <row r="719" spans="2:10">
      <c r="B719" s="52" t="s">
        <v>118</v>
      </c>
      <c r="C719" s="958">
        <v>6.5350000000000001</v>
      </c>
      <c r="D719" s="958">
        <v>6.39</v>
      </c>
      <c r="E719" s="958">
        <v>6.0369999999999999</v>
      </c>
      <c r="F719" s="958">
        <v>6.1310000000000002</v>
      </c>
      <c r="G719" s="958">
        <v>7.17</v>
      </c>
      <c r="H719" s="958">
        <v>8.4529999999999994</v>
      </c>
      <c r="I719" s="958">
        <v>16.029</v>
      </c>
      <c r="J719" s="958">
        <v>13.94</v>
      </c>
    </row>
    <row r="720" spans="2:10">
      <c r="B720" s="52" t="s">
        <v>117</v>
      </c>
      <c r="C720" s="958">
        <v>1.2999999999999999E-2</v>
      </c>
      <c r="D720" s="958">
        <v>5.0000000000000001E-3</v>
      </c>
      <c r="E720" s="958">
        <v>6.7000000000000004E-2</v>
      </c>
      <c r="F720" s="958">
        <v>5.3999999999999999E-2</v>
      </c>
      <c r="G720" s="958">
        <v>5.3999999999999999E-2</v>
      </c>
      <c r="H720" s="958">
        <v>5.5E-2</v>
      </c>
      <c r="I720" s="958">
        <v>6.4000000000000001E-2</v>
      </c>
      <c r="J720" s="958">
        <v>4.54</v>
      </c>
    </row>
    <row r="721" spans="2:10">
      <c r="B721" s="52"/>
      <c r="C721" s="1"/>
      <c r="D721" s="1"/>
      <c r="E721" s="1"/>
      <c r="F721" s="1"/>
      <c r="G721" s="1"/>
      <c r="H721" s="1"/>
      <c r="I721" s="1"/>
      <c r="J721" s="1"/>
    </row>
    <row r="722" spans="2:10">
      <c r="B722" s="54" t="s">
        <v>122</v>
      </c>
      <c r="C722" s="957">
        <v>11.701000000000001</v>
      </c>
      <c r="D722" s="957">
        <v>8.5460000000000012</v>
      </c>
      <c r="E722" s="957">
        <v>11.744999999999999</v>
      </c>
      <c r="F722" s="957">
        <v>20.14</v>
      </c>
      <c r="G722" s="957">
        <v>35.930999999999997</v>
      </c>
      <c r="H722" s="957">
        <v>53.026999999999994</v>
      </c>
      <c r="I722" s="957">
        <v>60.002000000000002</v>
      </c>
      <c r="J722" s="957">
        <v>64.924999999999997</v>
      </c>
    </row>
    <row r="723" spans="2:10">
      <c r="B723" s="52" t="s">
        <v>121</v>
      </c>
      <c r="C723" s="957">
        <v>11.606</v>
      </c>
      <c r="D723" s="957">
        <v>8.4429999999999996</v>
      </c>
      <c r="E723" s="957">
        <v>11.645</v>
      </c>
      <c r="F723" s="957">
        <v>19.866</v>
      </c>
      <c r="G723" s="957">
        <v>30.419</v>
      </c>
      <c r="H723" s="957">
        <v>48.254999999999995</v>
      </c>
      <c r="I723" s="957">
        <v>53.273000000000003</v>
      </c>
      <c r="J723" s="957">
        <v>53.775999999999996</v>
      </c>
    </row>
    <row r="724" spans="2:10">
      <c r="B724" s="53" t="s">
        <v>120</v>
      </c>
      <c r="C724" s="953">
        <v>1.4999999999999999E-2</v>
      </c>
      <c r="D724" s="959">
        <v>4.0000000000000001E-3</v>
      </c>
      <c r="E724" s="959">
        <v>7.0000000000000001E-3</v>
      </c>
      <c r="F724" s="959">
        <v>6.0000000000000001E-3</v>
      </c>
      <c r="G724" s="959">
        <v>2.5000000000000001E-2</v>
      </c>
      <c r="H724" s="959">
        <v>3.4000000000000002E-2</v>
      </c>
      <c r="I724" s="959">
        <v>3.0000000000000001E-3</v>
      </c>
      <c r="J724" s="959">
        <v>4.0000000000000001E-3</v>
      </c>
    </row>
    <row r="725" spans="2:10">
      <c r="B725" s="53" t="s">
        <v>119</v>
      </c>
      <c r="C725" s="957">
        <v>11.590999999999999</v>
      </c>
      <c r="D725" s="959">
        <v>8.4390000000000001</v>
      </c>
      <c r="E725" s="959">
        <v>11.638</v>
      </c>
      <c r="F725" s="959">
        <v>19.86</v>
      </c>
      <c r="G725" s="959">
        <v>30.394000000000002</v>
      </c>
      <c r="H725" s="959">
        <v>48.220999999999997</v>
      </c>
      <c r="I725" s="959">
        <v>53.27</v>
      </c>
      <c r="J725" s="959">
        <v>53.771999999999998</v>
      </c>
    </row>
    <row r="726" spans="2:10">
      <c r="B726" s="52" t="s">
        <v>118</v>
      </c>
      <c r="C726" s="957">
        <v>0.09</v>
      </c>
      <c r="D726" s="959">
        <v>0.10100000000000001</v>
      </c>
      <c r="E726" s="959">
        <v>6.0999999999999999E-2</v>
      </c>
      <c r="F726" s="959">
        <v>0.157</v>
      </c>
      <c r="G726" s="959">
        <v>5.2850000000000001</v>
      </c>
      <c r="H726" s="959">
        <v>4.3650000000000002</v>
      </c>
      <c r="I726" s="959">
        <v>6.7160000000000002</v>
      </c>
      <c r="J726" s="959">
        <v>8.0950000000000006</v>
      </c>
    </row>
    <row r="727" spans="2:10" ht="15" thickBot="1">
      <c r="B727" s="52" t="s">
        <v>117</v>
      </c>
      <c r="C727" s="957">
        <v>5.0000000000000001E-3</v>
      </c>
      <c r="D727" s="959">
        <v>2E-3</v>
      </c>
      <c r="E727" s="959">
        <v>3.9E-2</v>
      </c>
      <c r="F727" s="959">
        <v>0.11700000000000001</v>
      </c>
      <c r="G727" s="959">
        <v>0.22699999999999998</v>
      </c>
      <c r="H727" s="960">
        <v>0.40699999999999997</v>
      </c>
      <c r="I727" s="960">
        <v>1.2999999999999999E-2</v>
      </c>
      <c r="J727" s="960">
        <v>3.0540000000000003</v>
      </c>
    </row>
    <row r="728" spans="2:10" ht="15" thickTop="1">
      <c r="B728" s="2025" t="s">
        <v>1502</v>
      </c>
      <c r="C728" s="2025"/>
      <c r="D728" s="2025"/>
      <c r="E728" s="2025"/>
      <c r="F728" s="2025"/>
      <c r="G728" s="2025"/>
      <c r="H728" s="2025"/>
      <c r="I728" s="2025"/>
      <c r="J728" s="2025"/>
    </row>
    <row r="729" spans="2:10">
      <c r="B729" s="64"/>
      <c r="C729" s="1"/>
      <c r="D729" s="1"/>
      <c r="E729" s="1"/>
      <c r="F729" s="1"/>
      <c r="G729" s="1"/>
      <c r="H729" s="1"/>
      <c r="I729" s="1"/>
      <c r="J729" s="1"/>
    </row>
    <row r="730" spans="2:10">
      <c r="B730" s="2024" t="s">
        <v>129</v>
      </c>
      <c r="C730" s="2024"/>
      <c r="D730" s="2024"/>
      <c r="E730" s="2024"/>
      <c r="F730" s="2024"/>
      <c r="G730" s="2024"/>
      <c r="H730" s="2024"/>
      <c r="I730" s="2024"/>
      <c r="J730" s="2024"/>
    </row>
    <row r="731" spans="2:10">
      <c r="B731" s="12" t="s">
        <v>128</v>
      </c>
      <c r="C731" s="1"/>
      <c r="D731" s="1"/>
      <c r="E731" s="1"/>
      <c r="F731" s="1"/>
      <c r="G731" s="1"/>
      <c r="H731" s="1"/>
      <c r="I731" s="1"/>
      <c r="J731" s="1"/>
    </row>
    <row r="732" spans="2:10">
      <c r="B732" s="62" t="s">
        <v>127</v>
      </c>
      <c r="C732" s="1"/>
      <c r="D732" s="1"/>
      <c r="E732" s="1"/>
      <c r="F732" s="1"/>
      <c r="G732" s="1"/>
      <c r="H732" s="1"/>
      <c r="I732" s="1"/>
      <c r="J732" s="1"/>
    </row>
    <row r="733" spans="2:10">
      <c r="B733" s="62"/>
      <c r="C733" s="1"/>
      <c r="D733" s="1"/>
      <c r="E733" s="1"/>
      <c r="F733" s="1"/>
      <c r="G733" s="1"/>
      <c r="H733" s="1"/>
      <c r="I733" s="1"/>
      <c r="J733" s="1"/>
    </row>
    <row r="734" spans="2:10">
      <c r="B734" s="61"/>
      <c r="C734" s="935">
        <v>2014</v>
      </c>
      <c r="D734" s="935">
        <v>2015</v>
      </c>
      <c r="E734" s="935">
        <v>2016</v>
      </c>
      <c r="F734" s="935">
        <v>2017</v>
      </c>
      <c r="G734" s="935">
        <v>2018</v>
      </c>
      <c r="H734" s="935">
        <v>2019</v>
      </c>
      <c r="I734" s="935">
        <v>2020</v>
      </c>
      <c r="J734" s="935">
        <v>2021</v>
      </c>
    </row>
    <row r="735" spans="2:10">
      <c r="B735" s="71" t="s">
        <v>124</v>
      </c>
      <c r="C735" s="203"/>
      <c r="D735" s="203"/>
      <c r="E735" s="203"/>
      <c r="F735" s="203"/>
      <c r="G735" s="203"/>
      <c r="H735" s="203"/>
      <c r="I735" s="203"/>
      <c r="J735" s="203"/>
    </row>
    <row r="736" spans="2:10">
      <c r="B736" s="71"/>
      <c r="C736" s="1"/>
      <c r="D736" s="1"/>
      <c r="E736" s="1"/>
      <c r="F736" s="1"/>
      <c r="G736" s="1"/>
      <c r="H736" s="1"/>
      <c r="I736" s="1"/>
      <c r="J736" s="1"/>
    </row>
    <row r="737" spans="2:10">
      <c r="B737" s="59" t="s">
        <v>1388</v>
      </c>
      <c r="C737" s="267"/>
      <c r="D737" s="267"/>
      <c r="E737" s="267"/>
      <c r="F737" s="267"/>
      <c r="G737" s="267"/>
      <c r="H737" s="267"/>
      <c r="I737" s="267"/>
      <c r="J737" s="267"/>
    </row>
    <row r="738" spans="2:10">
      <c r="B738" s="54" t="s">
        <v>123</v>
      </c>
      <c r="C738" s="958">
        <v>223.50318257956451</v>
      </c>
      <c r="D738" s="958">
        <v>195.9240580560035</v>
      </c>
      <c r="E738" s="958">
        <v>220.5470798569726</v>
      </c>
      <c r="F738" s="958">
        <v>1318.6965910843746</v>
      </c>
      <c r="G738" s="958">
        <v>537.47184350918781</v>
      </c>
      <c r="H738" s="958">
        <v>1195.0120700060349</v>
      </c>
      <c r="I738" s="958">
        <v>1410.5468102734051</v>
      </c>
      <c r="J738" s="958">
        <v>1324.2230026338893</v>
      </c>
    </row>
    <row r="739" spans="2:10">
      <c r="B739" s="52" t="s">
        <v>121</v>
      </c>
      <c r="C739" s="958">
        <v>94.468006700167521</v>
      </c>
      <c r="D739" s="958">
        <v>74.938572056883146</v>
      </c>
      <c r="E739" s="958">
        <v>60.598629320619786</v>
      </c>
      <c r="F739" s="958">
        <v>1136.5593089619006</v>
      </c>
      <c r="G739" s="958">
        <v>293.17605216360403</v>
      </c>
      <c r="H739" s="958">
        <v>876.38261919130957</v>
      </c>
      <c r="I739" s="958">
        <v>1020.3231151615577</v>
      </c>
      <c r="J739" s="958">
        <v>853.74689577323466</v>
      </c>
    </row>
    <row r="740" spans="2:10">
      <c r="B740" s="53" t="s">
        <v>120</v>
      </c>
      <c r="C740" s="958">
        <v>25.388274706867676</v>
      </c>
      <c r="D740" s="958">
        <v>4.4881982114059529</v>
      </c>
      <c r="E740" s="958">
        <v>0</v>
      </c>
      <c r="F740" s="958">
        <v>0</v>
      </c>
      <c r="G740" s="958">
        <v>0</v>
      </c>
      <c r="H740" s="958">
        <v>0</v>
      </c>
      <c r="I740" s="958">
        <v>0</v>
      </c>
      <c r="J740" s="958">
        <v>0</v>
      </c>
    </row>
    <row r="741" spans="2:10">
      <c r="B741" s="53" t="s">
        <v>119</v>
      </c>
      <c r="C741" s="958">
        <v>69.079731993299831</v>
      </c>
      <c r="D741" s="958">
        <v>70.450373845477202</v>
      </c>
      <c r="E741" s="958">
        <v>60.598629320619786</v>
      </c>
      <c r="F741" s="958">
        <v>1136.5593089619006</v>
      </c>
      <c r="G741" s="958">
        <v>293.17605216360403</v>
      </c>
      <c r="H741" s="958">
        <v>876.38261919130957</v>
      </c>
      <c r="I741" s="958">
        <v>1020.3231151615577</v>
      </c>
      <c r="J741" s="958">
        <v>853.74689577323466</v>
      </c>
    </row>
    <row r="742" spans="2:10">
      <c r="B742" s="52" t="s">
        <v>118</v>
      </c>
      <c r="C742" s="958">
        <v>129.00167504187604</v>
      </c>
      <c r="D742" s="958">
        <v>120.92039290426624</v>
      </c>
      <c r="E742" s="958">
        <v>156.68533969010727</v>
      </c>
      <c r="F742" s="958">
        <v>179.04426962825852</v>
      </c>
      <c r="G742" s="958">
        <v>242.68435091879076</v>
      </c>
      <c r="H742" s="958">
        <v>317.02293301146653</v>
      </c>
      <c r="I742" s="958">
        <v>389.1935929301298</v>
      </c>
      <c r="J742" s="958">
        <v>344.74426188385803</v>
      </c>
    </row>
    <row r="743" spans="2:10">
      <c r="B743" s="52" t="s">
        <v>117</v>
      </c>
      <c r="C743" s="958">
        <v>3.3500837520938027E-2</v>
      </c>
      <c r="D743" s="958">
        <v>6.5093094854126968E-2</v>
      </c>
      <c r="E743" s="958">
        <v>3.2631108462455307</v>
      </c>
      <c r="F743" s="958">
        <v>3.0930124942156412</v>
      </c>
      <c r="G743" s="958">
        <v>1.6114404267931239</v>
      </c>
      <c r="H743" s="958">
        <v>1.6065178032589016</v>
      </c>
      <c r="I743" s="958">
        <v>1.0301021817177576</v>
      </c>
      <c r="J743" s="958">
        <v>125.73184497679669</v>
      </c>
    </row>
    <row r="744" spans="2:10">
      <c r="B744" s="52"/>
      <c r="C744" s="958"/>
      <c r="D744" s="958"/>
      <c r="E744" s="958"/>
      <c r="F744" s="958"/>
      <c r="G744" s="958"/>
      <c r="H744" s="958"/>
      <c r="I744" s="958"/>
      <c r="J744" s="958"/>
    </row>
    <row r="745" spans="2:10">
      <c r="B745" s="54" t="s">
        <v>122</v>
      </c>
      <c r="C745" s="958">
        <v>982.31033964221137</v>
      </c>
      <c r="D745" s="958">
        <v>818.89300619439837</v>
      </c>
      <c r="E745" s="958">
        <v>873.10589344755647</v>
      </c>
      <c r="F745" s="958">
        <v>1129.6483615231521</v>
      </c>
      <c r="G745" s="958">
        <v>13994.605512744518</v>
      </c>
      <c r="H745" s="958">
        <v>29570.588111044053</v>
      </c>
      <c r="I745" s="958">
        <v>38469.42281137807</v>
      </c>
      <c r="J745" s="958">
        <v>27674.778377022452</v>
      </c>
    </row>
    <row r="746" spans="2:10">
      <c r="B746" s="52" t="s">
        <v>121</v>
      </c>
      <c r="C746" s="958">
        <v>962.73335040067025</v>
      </c>
      <c r="D746" s="958">
        <v>797.10664047881414</v>
      </c>
      <c r="E746" s="958">
        <v>746.11860250297968</v>
      </c>
      <c r="F746" s="958">
        <v>915.27735902739391</v>
      </c>
      <c r="G746" s="958">
        <v>13695.362774155306</v>
      </c>
      <c r="H746" s="958">
        <v>26814.25196137598</v>
      </c>
      <c r="I746" s="958">
        <v>38113.61502347418</v>
      </c>
      <c r="J746" s="958">
        <v>23176.85639031732</v>
      </c>
    </row>
    <row r="747" spans="2:10">
      <c r="B747" s="53" t="s">
        <v>120</v>
      </c>
      <c r="C747" s="958">
        <v>1.2625330643216079</v>
      </c>
      <c r="D747" s="958">
        <v>6.1404428382935056E-2</v>
      </c>
      <c r="E747" s="958">
        <v>0</v>
      </c>
      <c r="F747" s="958">
        <v>6.4968302329168601E-2</v>
      </c>
      <c r="G747" s="958">
        <v>12.924422050978066</v>
      </c>
      <c r="H747" s="958">
        <v>38.349426674713335</v>
      </c>
      <c r="I747" s="958">
        <v>0.86440209886771602</v>
      </c>
      <c r="J747" s="958">
        <v>0.57870312304026084</v>
      </c>
    </row>
    <row r="748" spans="2:10">
      <c r="B748" s="53" t="s">
        <v>119</v>
      </c>
      <c r="C748" s="958">
        <v>961.47081733634866</v>
      </c>
      <c r="D748" s="958">
        <v>797.04523605043119</v>
      </c>
      <c r="E748" s="958">
        <v>746.11860250297968</v>
      </c>
      <c r="F748" s="958">
        <v>915.21239072506478</v>
      </c>
      <c r="G748" s="958">
        <v>13682.438352104326</v>
      </c>
      <c r="H748" s="958">
        <v>26775.902534701268</v>
      </c>
      <c r="I748" s="958">
        <v>38112.750621375308</v>
      </c>
      <c r="J748" s="958">
        <v>23176.277687194281</v>
      </c>
    </row>
    <row r="749" spans="2:10">
      <c r="B749" s="52" t="s">
        <v>118</v>
      </c>
      <c r="C749" s="958">
        <v>15.118182988944724</v>
      </c>
      <c r="D749" s="958">
        <v>21.766514537751064</v>
      </c>
      <c r="E749" s="958">
        <v>126.52094663885576</v>
      </c>
      <c r="F749" s="958">
        <v>43.235108449483242</v>
      </c>
      <c r="G749" s="958">
        <v>279.66953171310018</v>
      </c>
      <c r="H749" s="958">
        <v>2728.0745322872663</v>
      </c>
      <c r="I749" s="958">
        <v>354.9682408174537</v>
      </c>
      <c r="J749" s="958">
        <v>349.85751912705382</v>
      </c>
    </row>
    <row r="750" spans="2:10" ht="15" thickBot="1">
      <c r="B750" s="52" t="s">
        <v>117</v>
      </c>
      <c r="C750" s="958">
        <v>4.4588062525963155</v>
      </c>
      <c r="D750" s="958">
        <v>1.9851177833162294E-2</v>
      </c>
      <c r="E750" s="958">
        <v>0.46634430572109664</v>
      </c>
      <c r="F750" s="958">
        <v>171.1358940462749</v>
      </c>
      <c r="G750" s="958">
        <v>19.573206876111442</v>
      </c>
      <c r="H750" s="958">
        <v>28.261617380808687</v>
      </c>
      <c r="I750" s="958">
        <v>0.83954708644020992</v>
      </c>
      <c r="J750" s="958">
        <v>4148.0644675780768</v>
      </c>
    </row>
    <row r="751" spans="2:10" ht="15" thickTop="1">
      <c r="B751" s="2025" t="s">
        <v>1502</v>
      </c>
      <c r="C751" s="2025"/>
      <c r="D751" s="2025"/>
      <c r="E751" s="2025"/>
      <c r="F751" s="2025"/>
      <c r="G751" s="2025"/>
      <c r="H751" s="2025"/>
      <c r="I751" s="2025"/>
      <c r="J751" s="2025"/>
    </row>
    <row r="752" spans="2:10">
      <c r="B752" s="1"/>
      <c r="C752" s="1"/>
      <c r="D752" s="1"/>
      <c r="E752" s="1"/>
      <c r="F752" s="1"/>
      <c r="G752" s="1"/>
      <c r="H752" s="1"/>
      <c r="I752" s="1"/>
      <c r="J752" s="1"/>
    </row>
    <row r="753" spans="2:10">
      <c r="B753" s="2024" t="s">
        <v>115</v>
      </c>
      <c r="C753" s="2024"/>
      <c r="D753" s="2024"/>
      <c r="E753" s="2024"/>
      <c r="F753" s="2024"/>
      <c r="G753" s="2024"/>
      <c r="H753" s="2024"/>
      <c r="I753" s="2024"/>
      <c r="J753" s="2024"/>
    </row>
    <row r="754" spans="2:10">
      <c r="B754" s="12" t="s">
        <v>114</v>
      </c>
      <c r="C754" s="1"/>
      <c r="D754" s="1"/>
      <c r="E754" s="1"/>
      <c r="F754" s="1"/>
      <c r="G754" s="1"/>
      <c r="H754" s="1"/>
      <c r="I754" s="1"/>
      <c r="J754" s="1"/>
    </row>
    <row r="755" spans="2:10">
      <c r="B755" s="1"/>
      <c r="C755" s="1"/>
      <c r="D755" s="1"/>
      <c r="E755" s="1"/>
      <c r="F755" s="1"/>
      <c r="G755" s="1"/>
      <c r="H755" s="1"/>
      <c r="I755" s="1"/>
      <c r="J755" s="1"/>
    </row>
    <row r="756" spans="2:10">
      <c r="B756" s="2019" t="s">
        <v>11</v>
      </c>
      <c r="C756" s="2019" t="s">
        <v>604</v>
      </c>
      <c r="D756" s="2019" t="s">
        <v>113</v>
      </c>
      <c r="E756" s="2021" t="s">
        <v>24</v>
      </c>
      <c r="F756" s="2019" t="s">
        <v>112</v>
      </c>
      <c r="G756" s="2019" t="s">
        <v>111</v>
      </c>
      <c r="H756" s="2021" t="s">
        <v>110</v>
      </c>
      <c r="I756" s="2016"/>
      <c r="J756" s="2016"/>
    </row>
    <row r="757" spans="2:10">
      <c r="B757" s="2020"/>
      <c r="C757" s="2020"/>
      <c r="D757" s="2020"/>
      <c r="E757" s="2020"/>
      <c r="F757" s="2020"/>
      <c r="G757" s="2020"/>
      <c r="H757" s="2020"/>
      <c r="I757" s="2069"/>
      <c r="J757" s="2069"/>
    </row>
    <row r="758" spans="2:10">
      <c r="B758" s="242" t="s">
        <v>94</v>
      </c>
      <c r="C758" s="239" t="s">
        <v>606</v>
      </c>
      <c r="D758" s="239" t="s">
        <v>94</v>
      </c>
      <c r="E758" s="239" t="s">
        <v>1</v>
      </c>
      <c r="F758" s="239" t="s">
        <v>106</v>
      </c>
      <c r="G758" s="239" t="s">
        <v>877</v>
      </c>
      <c r="H758" s="239" t="s">
        <v>102</v>
      </c>
      <c r="I758" s="239"/>
      <c r="J758" s="239"/>
    </row>
    <row r="759" spans="2:10" ht="15" thickBot="1">
      <c r="B759" s="244" t="s">
        <v>1257</v>
      </c>
      <c r="C759" s="961" t="s">
        <v>103</v>
      </c>
      <c r="D759" s="245" t="s">
        <v>105</v>
      </c>
      <c r="E759" s="245" t="s">
        <v>108</v>
      </c>
      <c r="F759" s="245" t="s">
        <v>489</v>
      </c>
      <c r="G759" s="245" t="s">
        <v>103</v>
      </c>
      <c r="H759" s="245" t="s">
        <v>102</v>
      </c>
      <c r="I759" s="239"/>
      <c r="J759" s="239"/>
    </row>
    <row r="760" spans="2:10" ht="15" thickTop="1">
      <c r="B760" s="2038"/>
      <c r="C760" s="2038"/>
      <c r="D760" s="1"/>
      <c r="E760" s="1"/>
      <c r="F760" s="1"/>
      <c r="G760" s="1"/>
      <c r="H760" s="1"/>
      <c r="I760" s="1"/>
      <c r="J760" s="1"/>
    </row>
    <row r="761" spans="2:10" ht="14.5" customHeight="1">
      <c r="B761" s="2019" t="s">
        <v>11</v>
      </c>
      <c r="C761" s="2019" t="s">
        <v>610</v>
      </c>
      <c r="D761" s="2021" t="s">
        <v>101</v>
      </c>
      <c r="E761" s="2021" t="s">
        <v>100</v>
      </c>
      <c r="F761" s="2021" t="s">
        <v>99</v>
      </c>
      <c r="G761" s="2021" t="s">
        <v>98</v>
      </c>
      <c r="H761" s="2021"/>
      <c r="I761" s="48"/>
      <c r="J761" s="48"/>
    </row>
    <row r="762" spans="2:10">
      <c r="B762" s="2020"/>
      <c r="C762" s="2020"/>
      <c r="D762" s="2020"/>
      <c r="E762" s="2020"/>
      <c r="F762" s="2020"/>
      <c r="G762" s="45" t="s">
        <v>97</v>
      </c>
      <c r="H762" s="45" t="s">
        <v>96</v>
      </c>
      <c r="I762" s="44"/>
      <c r="J762" s="44"/>
    </row>
    <row r="763" spans="2:10">
      <c r="B763" s="242" t="s">
        <v>94</v>
      </c>
      <c r="C763" s="962">
        <v>0</v>
      </c>
      <c r="D763" s="963">
        <v>0</v>
      </c>
      <c r="E763" s="22" t="s">
        <v>1225</v>
      </c>
      <c r="F763" s="22">
        <v>0</v>
      </c>
      <c r="G763" s="963">
        <v>0</v>
      </c>
      <c r="H763" s="22">
        <v>0</v>
      </c>
      <c r="I763" s="16"/>
      <c r="J763" s="16"/>
    </row>
    <row r="764" spans="2:10" ht="15" thickBot="1">
      <c r="B764" s="242" t="s">
        <v>1257</v>
      </c>
      <c r="C764" s="964">
        <v>0</v>
      </c>
      <c r="D764" s="965">
        <v>0</v>
      </c>
      <c r="E764" s="17" t="s">
        <v>1225</v>
      </c>
      <c r="F764" s="17">
        <v>0</v>
      </c>
      <c r="G764" s="965">
        <v>0</v>
      </c>
      <c r="H764" s="17">
        <v>0</v>
      </c>
      <c r="I764" s="16"/>
      <c r="J764" s="16"/>
    </row>
    <row r="765" spans="2:10" ht="15" thickTop="1">
      <c r="B765" s="2036" t="s">
        <v>1470</v>
      </c>
      <c r="C765" s="2037"/>
      <c r="D765" s="2037"/>
      <c r="E765" s="1"/>
      <c r="F765" s="1"/>
      <c r="G765" s="1"/>
      <c r="H765" s="1"/>
      <c r="I765" s="1"/>
      <c r="J765" s="1"/>
    </row>
    <row r="766" spans="2:10">
      <c r="B766" s="1"/>
      <c r="C766" s="1"/>
      <c r="D766" s="1"/>
      <c r="E766" s="1"/>
      <c r="F766" s="1"/>
      <c r="G766" s="1"/>
      <c r="H766" s="1"/>
      <c r="I766" s="1"/>
      <c r="J766" s="1"/>
    </row>
    <row r="767" spans="2:10">
      <c r="B767" s="2024" t="s">
        <v>76</v>
      </c>
      <c r="C767" s="2024"/>
      <c r="D767" s="2024"/>
      <c r="E767" s="2024"/>
      <c r="F767" s="2024"/>
      <c r="G767" s="2024"/>
      <c r="H767" s="2024"/>
      <c r="I767" s="2024"/>
      <c r="J767" s="2024"/>
    </row>
    <row r="768" spans="2:10">
      <c r="B768" s="12" t="s">
        <v>75</v>
      </c>
      <c r="C768" s="1"/>
      <c r="D768" s="1"/>
      <c r="E768" s="1"/>
      <c r="F768" s="1"/>
      <c r="G768" s="1"/>
      <c r="H768" s="1"/>
      <c r="I768" s="1"/>
      <c r="J768" s="1"/>
    </row>
    <row r="769" spans="2:10">
      <c r="B769" s="1"/>
      <c r="C769" s="1"/>
      <c r="D769" s="1"/>
      <c r="E769" s="1"/>
      <c r="F769" s="1"/>
      <c r="G769" s="1"/>
      <c r="H769" s="1"/>
      <c r="I769" s="1"/>
      <c r="J769" s="1"/>
    </row>
    <row r="770" spans="2:10" ht="25">
      <c r="B770" s="33" t="s">
        <v>11</v>
      </c>
      <c r="C770" s="32" t="s">
        <v>24</v>
      </c>
      <c r="D770" s="32" t="s">
        <v>74</v>
      </c>
      <c r="E770" s="32" t="s">
        <v>73</v>
      </c>
      <c r="F770" s="32" t="s">
        <v>72</v>
      </c>
      <c r="G770" s="32" t="s">
        <v>71</v>
      </c>
      <c r="H770" s="1"/>
      <c r="I770" s="1"/>
      <c r="J770" s="1"/>
    </row>
    <row r="771" spans="2:10" ht="24.5" thickBot="1">
      <c r="B771" s="242" t="s">
        <v>1307</v>
      </c>
      <c r="C771" s="966" t="s">
        <v>19</v>
      </c>
      <c r="D771" s="967" t="s">
        <v>885</v>
      </c>
      <c r="E771" s="967" t="s">
        <v>56</v>
      </c>
      <c r="F771" s="967" t="s">
        <v>1523</v>
      </c>
      <c r="G771" s="967">
        <v>0</v>
      </c>
      <c r="H771" s="292"/>
      <c r="I771" s="292"/>
      <c r="J771" s="292"/>
    </row>
    <row r="772" spans="2:10" ht="15" thickTop="1">
      <c r="B772" s="2036" t="s">
        <v>1524</v>
      </c>
      <c r="C772" s="2036"/>
      <c r="D772" s="2036"/>
      <c r="E772" s="2036"/>
      <c r="F772" s="2036"/>
      <c r="G772" s="2036"/>
      <c r="H772" s="1"/>
      <c r="I772" s="1"/>
      <c r="J772" s="1"/>
    </row>
    <row r="773" spans="2:10">
      <c r="B773" s="2147" t="s">
        <v>1525</v>
      </c>
      <c r="C773" s="2147"/>
      <c r="D773" s="2147"/>
      <c r="E773" s="2147"/>
      <c r="F773" s="2147"/>
      <c r="G773" s="2147"/>
      <c r="H773" s="968"/>
      <c r="I773" s="968"/>
      <c r="J773" s="968"/>
    </row>
    <row r="774" spans="2:10">
      <c r="B774" s="1"/>
      <c r="C774" s="1"/>
      <c r="D774" s="1"/>
      <c r="E774" s="1"/>
      <c r="F774" s="1"/>
      <c r="G774" s="1"/>
      <c r="H774" s="1"/>
      <c r="I774" s="1"/>
      <c r="J774" s="1"/>
    </row>
    <row r="775" spans="2:10">
      <c r="B775" s="2024" t="s">
        <v>52</v>
      </c>
      <c r="C775" s="2024"/>
      <c r="D775" s="2024"/>
      <c r="E775" s="2024"/>
      <c r="F775" s="2024"/>
      <c r="G775" s="2024"/>
      <c r="H775" s="2024"/>
      <c r="I775" s="2024"/>
      <c r="J775" s="2024"/>
    </row>
    <row r="776" spans="2:10">
      <c r="B776" s="12" t="s">
        <v>51</v>
      </c>
      <c r="C776" s="1"/>
      <c r="D776" s="1"/>
      <c r="E776" s="1"/>
      <c r="F776" s="1"/>
      <c r="G776" s="1"/>
      <c r="H776" s="1"/>
      <c r="I776" s="1"/>
      <c r="J776" s="1"/>
    </row>
    <row r="777" spans="2:10">
      <c r="B777" s="1"/>
      <c r="C777" s="1"/>
      <c r="D777" s="1"/>
      <c r="E777" s="1"/>
      <c r="F777" s="1"/>
      <c r="G777" s="1"/>
      <c r="H777" s="1"/>
      <c r="I777" s="1"/>
      <c r="J777" s="1"/>
    </row>
    <row r="778" spans="2:10">
      <c r="B778" s="2019" t="s">
        <v>38</v>
      </c>
      <c r="C778" s="2021" t="s">
        <v>530</v>
      </c>
      <c r="D778" s="2021" t="s">
        <v>24</v>
      </c>
      <c r="E778" s="2021" t="s">
        <v>50</v>
      </c>
      <c r="F778" s="2021" t="s">
        <v>49</v>
      </c>
      <c r="G778" s="2021" t="s">
        <v>48</v>
      </c>
      <c r="H778" s="2021" t="s">
        <v>47</v>
      </c>
      <c r="I778" s="2016"/>
      <c r="J778" s="2016"/>
    </row>
    <row r="779" spans="2:10">
      <c r="B779" s="2020"/>
      <c r="C779" s="2020"/>
      <c r="D779" s="2020"/>
      <c r="E779" s="2020"/>
      <c r="F779" s="2020"/>
      <c r="G779" s="2020"/>
      <c r="H779" s="2020"/>
      <c r="I779" s="2069"/>
      <c r="J779" s="2069"/>
    </row>
    <row r="780" spans="2:10" ht="15" thickBot="1">
      <c r="B780" s="242" t="s">
        <v>80</v>
      </c>
      <c r="C780" s="365">
        <v>0</v>
      </c>
      <c r="D780" s="362">
        <v>0</v>
      </c>
      <c r="E780" s="362">
        <v>0</v>
      </c>
      <c r="F780" s="362">
        <v>0</v>
      </c>
      <c r="G780" s="362">
        <v>0</v>
      </c>
      <c r="H780" s="362">
        <v>0</v>
      </c>
      <c r="I780" s="239"/>
      <c r="J780" s="239"/>
    </row>
    <row r="781" spans="2:10" ht="15" thickTop="1">
      <c r="B781" s="243"/>
      <c r="C781" s="1"/>
      <c r="D781" s="1"/>
      <c r="E781" s="1"/>
      <c r="F781" s="1"/>
      <c r="G781" s="1"/>
      <c r="H781" s="1"/>
      <c r="I781" s="1"/>
      <c r="J781" s="1"/>
    </row>
    <row r="782" spans="2:10">
      <c r="B782" s="2019" t="s">
        <v>38</v>
      </c>
      <c r="C782" s="2021" t="s">
        <v>538</v>
      </c>
      <c r="D782" s="2021" t="s">
        <v>37</v>
      </c>
      <c r="E782" s="2021" t="s">
        <v>8</v>
      </c>
      <c r="F782" s="2021" t="s">
        <v>36</v>
      </c>
      <c r="G782" s="2105"/>
      <c r="H782" s="2105"/>
      <c r="I782" s="2105"/>
      <c r="J782" s="2105"/>
    </row>
    <row r="783" spans="2:10">
      <c r="B783" s="2020"/>
      <c r="C783" s="2020"/>
      <c r="D783" s="2020"/>
      <c r="E783" s="2020"/>
      <c r="F783" s="2020"/>
      <c r="G783" s="2105"/>
      <c r="H783" s="2105"/>
      <c r="I783" s="2105"/>
      <c r="J783" s="2105"/>
    </row>
    <row r="784" spans="2:10" ht="15" thickBot="1">
      <c r="B784" s="969" t="s">
        <v>80</v>
      </c>
      <c r="C784" s="365">
        <v>0</v>
      </c>
      <c r="D784" s="362">
        <v>0</v>
      </c>
      <c r="E784" s="362">
        <v>0</v>
      </c>
      <c r="F784" s="362">
        <v>0</v>
      </c>
      <c r="G784" s="239"/>
      <c r="H784" s="239"/>
      <c r="I784" s="239"/>
      <c r="J784" s="239"/>
    </row>
    <row r="785" spans="2:10" ht="15" thickTop="1">
      <c r="B785" s="1"/>
      <c r="C785" s="1"/>
      <c r="D785" s="1"/>
      <c r="E785" s="1"/>
      <c r="F785" s="1"/>
      <c r="G785" s="1"/>
      <c r="H785" s="1"/>
      <c r="I785" s="1"/>
      <c r="J785" s="1"/>
    </row>
    <row r="786" spans="2:10">
      <c r="B786" s="2024" t="s">
        <v>26</v>
      </c>
      <c r="C786" s="2024"/>
      <c r="D786" s="2024"/>
      <c r="E786" s="2024"/>
      <c r="F786" s="2024"/>
      <c r="G786" s="2024"/>
      <c r="H786" s="2024"/>
      <c r="I786" s="2024"/>
      <c r="J786" s="2024"/>
    </row>
    <row r="787" spans="2:10">
      <c r="B787" s="12" t="s">
        <v>25</v>
      </c>
      <c r="C787" s="1"/>
      <c r="D787" s="1"/>
      <c r="E787" s="1"/>
      <c r="F787" s="1"/>
      <c r="G787" s="1"/>
      <c r="H787" s="1"/>
      <c r="I787" s="1"/>
      <c r="J787" s="1"/>
    </row>
    <row r="788" spans="2:10">
      <c r="B788" s="1"/>
      <c r="C788" s="1"/>
      <c r="D788" s="1"/>
      <c r="E788" s="1"/>
      <c r="F788" s="1"/>
      <c r="G788" s="1"/>
      <c r="H788" s="1"/>
      <c r="I788" s="1"/>
      <c r="J788" s="1"/>
    </row>
    <row r="789" spans="2:10">
      <c r="B789" s="2019" t="s">
        <v>11</v>
      </c>
      <c r="C789" s="2021" t="s">
        <v>541</v>
      </c>
      <c r="D789" s="2021" t="s">
        <v>24</v>
      </c>
      <c r="E789" s="2021" t="s">
        <v>23</v>
      </c>
      <c r="F789" s="2021" t="s">
        <v>22</v>
      </c>
      <c r="G789" s="2021" t="s">
        <v>21</v>
      </c>
      <c r="H789" s="2021" t="s">
        <v>20</v>
      </c>
      <c r="I789" s="2016"/>
      <c r="J789" s="2016"/>
    </row>
    <row r="790" spans="2:10">
      <c r="B790" s="2020"/>
      <c r="C790" s="2020"/>
      <c r="D790" s="2020"/>
      <c r="E790" s="2020"/>
      <c r="F790" s="2020"/>
      <c r="G790" s="2020"/>
      <c r="H790" s="2020"/>
      <c r="I790" s="2069"/>
      <c r="J790" s="2069"/>
    </row>
    <row r="791" spans="2:10" ht="24.5" thickBot="1">
      <c r="B791" s="969" t="s">
        <v>1526</v>
      </c>
      <c r="C791" s="970" t="s">
        <v>1527</v>
      </c>
      <c r="D791" s="971" t="s">
        <v>503</v>
      </c>
      <c r="E791" s="972" t="s">
        <v>1528</v>
      </c>
      <c r="F791" s="971" t="s">
        <v>88</v>
      </c>
      <c r="G791" s="971">
        <v>6</v>
      </c>
      <c r="H791" s="971" t="s">
        <v>15</v>
      </c>
      <c r="I791" s="4"/>
      <c r="J791" s="4"/>
    </row>
    <row r="792" spans="2:10" ht="15" thickTop="1">
      <c r="B792" s="503"/>
      <c r="C792" s="296"/>
      <c r="D792" s="297"/>
      <c r="E792" s="296"/>
      <c r="F792" s="297"/>
      <c r="G792" s="4"/>
      <c r="H792" s="4"/>
      <c r="I792" s="4"/>
      <c r="J792" s="4"/>
    </row>
    <row r="793" spans="2:10">
      <c r="B793" s="2019" t="s">
        <v>11</v>
      </c>
      <c r="C793" s="2019" t="s">
        <v>546</v>
      </c>
      <c r="D793" s="2021" t="s">
        <v>10</v>
      </c>
      <c r="E793" s="2021" t="s">
        <v>9</v>
      </c>
      <c r="F793" s="2021" t="s">
        <v>8</v>
      </c>
      <c r="G793" s="2016"/>
      <c r="H793" s="2016"/>
      <c r="I793" s="2016"/>
      <c r="J793" s="2016"/>
    </row>
    <row r="794" spans="2:10">
      <c r="B794" s="2020"/>
      <c r="C794" s="2020"/>
      <c r="D794" s="2020"/>
      <c r="E794" s="2020"/>
      <c r="F794" s="2020"/>
      <c r="G794" s="2069"/>
      <c r="H794" s="2069"/>
      <c r="I794" s="2069"/>
      <c r="J794" s="2069"/>
    </row>
    <row r="795" spans="2:10" ht="15" thickBot="1">
      <c r="B795" s="969" t="s">
        <v>1526</v>
      </c>
      <c r="C795" s="973" t="s">
        <v>1529</v>
      </c>
      <c r="D795" s="971" t="s">
        <v>1529</v>
      </c>
      <c r="E795" s="971" t="s">
        <v>1530</v>
      </c>
      <c r="F795" s="971" t="s">
        <v>1</v>
      </c>
      <c r="G795" s="240"/>
      <c r="H795" s="240"/>
      <c r="I795" s="240"/>
      <c r="J795" s="240"/>
    </row>
    <row r="796" spans="2:10" ht="15" thickTop="1">
      <c r="B796" s="243" t="s">
        <v>1502</v>
      </c>
      <c r="C796" s="1"/>
      <c r="D796" s="1"/>
      <c r="E796" s="1"/>
      <c r="F796" s="1"/>
      <c r="G796" s="1"/>
      <c r="H796" s="1"/>
      <c r="I796" s="1"/>
      <c r="J796" s="1"/>
    </row>
    <row r="797" spans="2:10">
      <c r="B797" s="1"/>
      <c r="C797" s="1"/>
      <c r="D797" s="1"/>
      <c r="E797" s="1"/>
      <c r="F797" s="1"/>
      <c r="G797" s="1"/>
      <c r="H797" s="1"/>
      <c r="I797" s="1"/>
      <c r="J797" s="1"/>
    </row>
  </sheetData>
  <mergeCells count="108">
    <mergeCell ref="B34:J34"/>
    <mergeCell ref="B54:J54"/>
    <mergeCell ref="B56:J56"/>
    <mergeCell ref="B85:G85"/>
    <mergeCell ref="B87:J87"/>
    <mergeCell ref="B114:G114"/>
    <mergeCell ref="B2:J2"/>
    <mergeCell ref="B13:G13"/>
    <mergeCell ref="B14:J14"/>
    <mergeCell ref="B15:J15"/>
    <mergeCell ref="B31:G31"/>
    <mergeCell ref="B32:J32"/>
    <mergeCell ref="B282:J282"/>
    <mergeCell ref="B316:J316"/>
    <mergeCell ref="B317:J317"/>
    <mergeCell ref="B319:J319"/>
    <mergeCell ref="B354:J354"/>
    <mergeCell ref="B391:G391"/>
    <mergeCell ref="B116:J116"/>
    <mergeCell ref="B147:G147"/>
    <mergeCell ref="B149:J149"/>
    <mergeCell ref="B213:J213"/>
    <mergeCell ref="B216:J216"/>
    <mergeCell ref="B279:J279"/>
    <mergeCell ref="B472:G472"/>
    <mergeCell ref="B514:G514"/>
    <mergeCell ref="B558:G558"/>
    <mergeCell ref="B560:J560"/>
    <mergeCell ref="B583:G583"/>
    <mergeCell ref="B585:J585"/>
    <mergeCell ref="B394:J394"/>
    <mergeCell ref="B399:G399"/>
    <mergeCell ref="B424:G424"/>
    <mergeCell ref="B449:G449"/>
    <mergeCell ref="B463:G463"/>
    <mergeCell ref="B464:G464"/>
    <mergeCell ref="B691:G691"/>
    <mergeCell ref="B693:J693"/>
    <mergeCell ref="B705:G705"/>
    <mergeCell ref="B707:J707"/>
    <mergeCell ref="B728:J728"/>
    <mergeCell ref="B730:J730"/>
    <mergeCell ref="B616:G616"/>
    <mergeCell ref="B618:J618"/>
    <mergeCell ref="B649:G649"/>
    <mergeCell ref="B651:J651"/>
    <mergeCell ref="B677:G677"/>
    <mergeCell ref="B679:J679"/>
    <mergeCell ref="J756:J757"/>
    <mergeCell ref="B760:C760"/>
    <mergeCell ref="B761:B762"/>
    <mergeCell ref="C761:C762"/>
    <mergeCell ref="D761:D762"/>
    <mergeCell ref="E761:E762"/>
    <mergeCell ref="F761:F762"/>
    <mergeCell ref="G761:H761"/>
    <mergeCell ref="B751:J751"/>
    <mergeCell ref="B753:J753"/>
    <mergeCell ref="B756:B757"/>
    <mergeCell ref="C756:C757"/>
    <mergeCell ref="D756:D757"/>
    <mergeCell ref="E756:E757"/>
    <mergeCell ref="F756:F757"/>
    <mergeCell ref="G756:G757"/>
    <mergeCell ref="H756:H757"/>
    <mergeCell ref="I756:I757"/>
    <mergeCell ref="B765:D765"/>
    <mergeCell ref="B767:J767"/>
    <mergeCell ref="B772:G772"/>
    <mergeCell ref="B773:G773"/>
    <mergeCell ref="B775:J775"/>
    <mergeCell ref="B778:B779"/>
    <mergeCell ref="C778:C779"/>
    <mergeCell ref="D778:D779"/>
    <mergeCell ref="E778:E779"/>
    <mergeCell ref="F778:F779"/>
    <mergeCell ref="G778:G779"/>
    <mergeCell ref="H778:H779"/>
    <mergeCell ref="I778:I779"/>
    <mergeCell ref="J778:J779"/>
    <mergeCell ref="B782:B783"/>
    <mergeCell ref="C782:C783"/>
    <mergeCell ref="D782:D783"/>
    <mergeCell ref="E782:E783"/>
    <mergeCell ref="F782:F783"/>
    <mergeCell ref="G782:G783"/>
    <mergeCell ref="H782:H783"/>
    <mergeCell ref="I782:I783"/>
    <mergeCell ref="J782:J783"/>
    <mergeCell ref="B786:J786"/>
    <mergeCell ref="B789:B790"/>
    <mergeCell ref="C789:C790"/>
    <mergeCell ref="D789:D790"/>
    <mergeCell ref="E789:E790"/>
    <mergeCell ref="F789:F790"/>
    <mergeCell ref="G789:G790"/>
    <mergeCell ref="I793:I794"/>
    <mergeCell ref="J793:J794"/>
    <mergeCell ref="H789:H790"/>
    <mergeCell ref="I789:I790"/>
    <mergeCell ref="J789:J790"/>
    <mergeCell ref="B793:B794"/>
    <mergeCell ref="C793:C794"/>
    <mergeCell ref="D793:D794"/>
    <mergeCell ref="E793:E794"/>
    <mergeCell ref="F793:F794"/>
    <mergeCell ref="G793:G794"/>
    <mergeCell ref="H793:H794"/>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A619A-1B1C-44AF-961B-38697B753754}">
  <dimension ref="B1:S1002"/>
  <sheetViews>
    <sheetView topLeftCell="A819" zoomScale="90" zoomScaleNormal="90" zoomScaleSheetLayoutView="110" workbookViewId="0">
      <selection activeCell="B835" sqref="B835"/>
    </sheetView>
  </sheetViews>
  <sheetFormatPr baseColWidth="10" defaultColWidth="11.453125" defaultRowHeight="14.5"/>
  <cols>
    <col min="2" max="2" width="66.54296875" customWidth="1"/>
    <col min="6" max="6" width="12.26953125" customWidth="1"/>
    <col min="8" max="8" width="12.1796875" customWidth="1"/>
    <col min="10" max="10" width="12.1796875" customWidth="1"/>
    <col min="12" max="12" width="15.54296875" bestFit="1" customWidth="1"/>
    <col min="14" max="14" width="24" customWidth="1"/>
  </cols>
  <sheetData>
    <row r="1" spans="2:12">
      <c r="B1" s="302"/>
      <c r="C1" s="302"/>
      <c r="D1" s="302"/>
      <c r="E1" s="302"/>
      <c r="F1" s="302"/>
      <c r="G1" s="302"/>
      <c r="H1" s="302"/>
      <c r="I1" s="302"/>
      <c r="J1" s="302"/>
      <c r="L1" s="855"/>
    </row>
    <row r="2" spans="2:12">
      <c r="B2" s="2100" t="s">
        <v>464</v>
      </c>
      <c r="C2" s="2100"/>
      <c r="D2" s="2100"/>
      <c r="E2" s="2100"/>
      <c r="F2" s="2100"/>
      <c r="G2" s="2100"/>
      <c r="H2" s="2100"/>
      <c r="I2" s="2100"/>
      <c r="J2" s="2100"/>
    </row>
    <row r="3" spans="2:12">
      <c r="B3" s="12" t="s">
        <v>463</v>
      </c>
      <c r="C3" s="302"/>
      <c r="D3" s="302"/>
      <c r="E3" s="302"/>
      <c r="F3" s="302"/>
      <c r="G3" s="302"/>
      <c r="H3" s="302"/>
      <c r="I3" s="302"/>
      <c r="J3" s="302"/>
    </row>
    <row r="4" spans="2:12">
      <c r="B4" s="76"/>
      <c r="C4" s="302"/>
      <c r="D4" s="302"/>
      <c r="E4" s="302"/>
      <c r="F4" s="302"/>
      <c r="G4" s="302"/>
      <c r="H4" s="302"/>
      <c r="I4" s="302"/>
      <c r="J4" s="302"/>
    </row>
    <row r="5" spans="2:12">
      <c r="B5" s="61"/>
      <c r="C5" s="303">
        <v>2014</v>
      </c>
      <c r="D5" s="303">
        <v>2015</v>
      </c>
      <c r="E5" s="303">
        <v>2016</v>
      </c>
      <c r="F5" s="303">
        <v>2017</v>
      </c>
      <c r="G5" s="303">
        <v>2018</v>
      </c>
      <c r="H5" s="303">
        <v>2019</v>
      </c>
      <c r="I5" s="303">
        <v>2020</v>
      </c>
      <c r="J5" s="303">
        <v>2021</v>
      </c>
    </row>
    <row r="6" spans="2:12">
      <c r="B6" s="64" t="s">
        <v>465</v>
      </c>
      <c r="C6" s="304">
        <v>1345.3430000000001</v>
      </c>
      <c r="D6" s="304">
        <v>1349.6669999999999</v>
      </c>
      <c r="E6" s="304">
        <v>1353.895</v>
      </c>
      <c r="F6" s="304">
        <v>1356.633</v>
      </c>
      <c r="G6" s="304">
        <v>1359.193</v>
      </c>
      <c r="H6" s="304">
        <v>1363.9849999999999</v>
      </c>
      <c r="I6" s="1330">
        <v>1366.7249999999999</v>
      </c>
      <c r="J6" s="1330">
        <v>1367.558</v>
      </c>
    </row>
    <row r="7" spans="2:12">
      <c r="B7" s="64" t="s">
        <v>1798</v>
      </c>
      <c r="C7" s="1331">
        <v>29600.636264484321</v>
      </c>
      <c r="D7" s="1331">
        <v>26952.451376833877</v>
      </c>
      <c r="E7" s="1331">
        <v>23586.717560127312</v>
      </c>
      <c r="F7" s="1331">
        <v>23887.900056698567</v>
      </c>
      <c r="G7" s="1331">
        <v>24372.960249584063</v>
      </c>
      <c r="H7" s="1331">
        <v>23846.213300045787</v>
      </c>
      <c r="I7" s="1331">
        <v>21061.689704060442</v>
      </c>
      <c r="J7" s="1331">
        <v>24465.057945675449</v>
      </c>
    </row>
    <row r="8" spans="2:12">
      <c r="B8" s="64" t="s">
        <v>550</v>
      </c>
      <c r="C8" s="1332">
        <v>22002.297008632238</v>
      </c>
      <c r="D8" s="1332">
        <v>19969.704658137063</v>
      </c>
      <c r="E8" s="1332">
        <v>17421.378733304511</v>
      </c>
      <c r="F8" s="1332">
        <v>17608.225700464729</v>
      </c>
      <c r="G8" s="1332">
        <v>17931.934794826095</v>
      </c>
      <c r="H8" s="1332">
        <v>17482.753329432351</v>
      </c>
      <c r="I8" s="1332">
        <v>15410.334708196926</v>
      </c>
      <c r="J8" s="1332">
        <v>17889.594405265041</v>
      </c>
    </row>
    <row r="9" spans="2:12">
      <c r="B9" s="64" t="s">
        <v>466</v>
      </c>
      <c r="C9" s="1333">
        <v>5.6836609999999999</v>
      </c>
      <c r="D9" s="1333">
        <v>4.6694630000000004</v>
      </c>
      <c r="E9" s="1333">
        <v>3.07</v>
      </c>
      <c r="F9" s="1333">
        <v>1.8767339999999999</v>
      </c>
      <c r="G9" s="1333">
        <v>1.0187710000000001</v>
      </c>
      <c r="H9" s="1333">
        <v>1.0003310000000001</v>
      </c>
      <c r="I9" s="1333">
        <v>0.59791680000000003</v>
      </c>
      <c r="J9" s="1333">
        <v>2.0610687022900764</v>
      </c>
    </row>
    <row r="10" spans="2:12">
      <c r="B10" s="64" t="s">
        <v>467</v>
      </c>
      <c r="C10" s="305"/>
      <c r="D10" s="305"/>
      <c r="E10" s="305"/>
      <c r="F10" s="305"/>
      <c r="G10" s="305"/>
      <c r="H10" s="305"/>
      <c r="I10" s="305"/>
      <c r="J10" s="305"/>
    </row>
    <row r="11" spans="2:12">
      <c r="B11" s="190" t="s">
        <v>468</v>
      </c>
      <c r="C11" s="304">
        <v>6.3585000000000003</v>
      </c>
      <c r="D11" s="304">
        <v>6.4196</v>
      </c>
      <c r="E11" s="304">
        <v>6.7460000000000004</v>
      </c>
      <c r="F11" s="304">
        <v>6.7627499999999996</v>
      </c>
      <c r="G11" s="304">
        <v>6.7804500000000001</v>
      </c>
      <c r="H11" s="304">
        <v>6.7623499999999996</v>
      </c>
      <c r="I11" s="304">
        <v>6.7611499999999998</v>
      </c>
      <c r="J11" s="304">
        <v>6.7625000000000002</v>
      </c>
    </row>
    <row r="12" spans="2:12" ht="15" thickBot="1">
      <c r="B12" s="196" t="s">
        <v>456</v>
      </c>
      <c r="C12" s="304">
        <v>6.3849260000000001</v>
      </c>
      <c r="D12" s="304">
        <v>6.3536650000000003</v>
      </c>
      <c r="E12" s="304">
        <v>6.6433759999999999</v>
      </c>
      <c r="F12" s="304">
        <v>6.7539239999999996</v>
      </c>
      <c r="G12" s="304">
        <v>6.7566990000000002</v>
      </c>
      <c r="H12" s="304">
        <v>6.7552729999999999</v>
      </c>
      <c r="I12" s="304">
        <v>6.7503310000000001</v>
      </c>
      <c r="J12" s="304">
        <v>6.7571919999999999</v>
      </c>
    </row>
    <row r="13" spans="2:12" ht="15" thickTop="1">
      <c r="B13" s="2025" t="s">
        <v>1799</v>
      </c>
      <c r="C13" s="2025"/>
      <c r="D13" s="2025"/>
      <c r="E13" s="2025"/>
      <c r="F13" s="2025"/>
      <c r="G13" s="2025"/>
      <c r="H13" s="2025"/>
      <c r="I13" s="2025"/>
      <c r="J13" s="2025"/>
    </row>
    <row r="14" spans="2:12" ht="15" customHeight="1">
      <c r="B14" s="2149" t="s">
        <v>1800</v>
      </c>
      <c r="C14" s="2149"/>
      <c r="D14" s="2149"/>
      <c r="E14" s="2149"/>
      <c r="F14" s="2149"/>
      <c r="G14" s="2149"/>
      <c r="H14" s="2149"/>
      <c r="I14" s="2149"/>
      <c r="J14" s="2149"/>
    </row>
    <row r="15" spans="2:12">
      <c r="B15" s="64"/>
      <c r="C15" s="302"/>
      <c r="D15" s="302"/>
      <c r="E15" s="302"/>
      <c r="F15" s="302"/>
      <c r="G15" s="302"/>
      <c r="H15" s="302"/>
      <c r="I15" s="302"/>
      <c r="J15" s="302"/>
    </row>
    <row r="16" spans="2:12">
      <c r="B16" s="2100" t="s">
        <v>454</v>
      </c>
      <c r="C16" s="2100"/>
      <c r="D16" s="2100"/>
      <c r="E16" s="2100"/>
      <c r="F16" s="2100"/>
      <c r="G16" s="2100"/>
      <c r="H16" s="2100"/>
      <c r="I16" s="2100"/>
      <c r="J16" s="2100"/>
    </row>
    <row r="17" spans="2:12" ht="15.5">
      <c r="B17" s="934" t="s">
        <v>453</v>
      </c>
      <c r="C17" s="302"/>
      <c r="D17" s="302"/>
      <c r="E17" s="302"/>
      <c r="F17" s="302"/>
      <c r="G17" s="302"/>
      <c r="H17" s="302"/>
      <c r="I17" s="302"/>
      <c r="J17" s="302"/>
    </row>
    <row r="18" spans="2:12">
      <c r="B18" s="62" t="s">
        <v>1801</v>
      </c>
      <c r="C18" s="302"/>
      <c r="D18" s="302"/>
      <c r="E18" s="302"/>
      <c r="F18" s="302"/>
      <c r="G18" s="302"/>
      <c r="H18" s="302"/>
      <c r="I18" s="302"/>
      <c r="J18" s="302"/>
    </row>
    <row r="19" spans="2:12">
      <c r="B19" s="61"/>
      <c r="C19" s="303">
        <v>2014</v>
      </c>
      <c r="D19" s="303">
        <v>2015</v>
      </c>
      <c r="E19" s="303">
        <v>2016</v>
      </c>
      <c r="F19" s="303">
        <v>2017</v>
      </c>
      <c r="G19" s="303">
        <v>2018</v>
      </c>
      <c r="H19" s="303">
        <v>2019</v>
      </c>
      <c r="I19" s="303">
        <v>2020</v>
      </c>
      <c r="J19" s="303">
        <v>2021</v>
      </c>
    </row>
    <row r="20" spans="2:12">
      <c r="B20" s="188" t="s">
        <v>413</v>
      </c>
      <c r="C20" s="1335">
        <v>1084.3955117012895</v>
      </c>
      <c r="D20" s="1335">
        <v>1191.6326116281057</v>
      </c>
      <c r="E20" s="1335">
        <v>1163.1461522136001</v>
      </c>
      <c r="F20" s="1335">
        <v>1198.3374318268147</v>
      </c>
      <c r="G20" s="1335">
        <v>1171.1974010894123</v>
      </c>
      <c r="H20" s="1335">
        <v>707.19259967601022</v>
      </c>
      <c r="I20" s="1335">
        <v>1082.374298081485</v>
      </c>
      <c r="J20" s="1335">
        <v>1109.5938393668634</v>
      </c>
    </row>
    <row r="21" spans="2:12">
      <c r="B21" s="194" t="s">
        <v>379</v>
      </c>
      <c r="C21" s="1335"/>
      <c r="D21" s="1335"/>
      <c r="E21" s="1335"/>
      <c r="F21" s="1335"/>
      <c r="G21" s="1335"/>
      <c r="H21" s="1335"/>
      <c r="I21" s="1335"/>
      <c r="J21" s="1335"/>
    </row>
    <row r="22" spans="2:12">
      <c r="B22" s="198" t="s">
        <v>451</v>
      </c>
      <c r="C22" s="1335">
        <v>0</v>
      </c>
      <c r="D22" s="1335">
        <v>0</v>
      </c>
      <c r="E22" s="1335">
        <v>0</v>
      </c>
      <c r="F22" s="1335">
        <v>0</v>
      </c>
      <c r="G22" s="1335">
        <v>0</v>
      </c>
      <c r="H22" s="1335">
        <v>0</v>
      </c>
      <c r="I22" s="1335">
        <v>0</v>
      </c>
      <c r="J22" s="1335">
        <v>0</v>
      </c>
      <c r="L22" s="1335"/>
    </row>
    <row r="23" spans="2:12">
      <c r="B23" s="198" t="s">
        <v>450</v>
      </c>
      <c r="C23" s="1335">
        <v>0</v>
      </c>
      <c r="D23" s="1335">
        <v>0</v>
      </c>
      <c r="E23" s="1335">
        <v>0</v>
      </c>
      <c r="F23" s="1335">
        <v>0</v>
      </c>
      <c r="G23" s="1335">
        <v>0</v>
      </c>
      <c r="H23" s="1335">
        <v>0</v>
      </c>
      <c r="I23" s="1335">
        <v>0</v>
      </c>
      <c r="J23" s="1335">
        <v>0</v>
      </c>
      <c r="L23" s="1335"/>
    </row>
    <row r="24" spans="2:12">
      <c r="B24" s="198"/>
      <c r="C24" s="1336"/>
      <c r="D24" s="1336"/>
      <c r="E24" s="1336"/>
      <c r="F24" s="1336"/>
      <c r="G24" s="1336"/>
      <c r="H24" s="1336"/>
      <c r="I24" s="1336"/>
      <c r="J24" s="1336"/>
    </row>
    <row r="25" spans="2:12">
      <c r="B25" s="197" t="s">
        <v>449</v>
      </c>
      <c r="C25" s="1335">
        <v>12207.072872714107</v>
      </c>
      <c r="D25" s="1335">
        <v>11860.691431492272</v>
      </c>
      <c r="E25" s="1335">
        <v>11564.476718475089</v>
      </c>
      <c r="F25" s="1335">
        <v>11325.426559770329</v>
      </c>
      <c r="G25" s="1335">
        <v>11679.86720029153</v>
      </c>
      <c r="H25" s="1335">
        <v>11535.086368853885</v>
      </c>
      <c r="I25" s="1335">
        <v>13146.910669852561</v>
      </c>
      <c r="J25" s="1335">
        <v>13335.256833821577</v>
      </c>
    </row>
    <row r="26" spans="2:12">
      <c r="B26" s="197" t="s">
        <v>448</v>
      </c>
      <c r="C26" s="1335"/>
      <c r="D26" s="1335"/>
      <c r="E26" s="1335"/>
      <c r="F26" s="1335"/>
      <c r="G26" s="1335"/>
      <c r="H26" s="1335"/>
      <c r="I26" s="1335"/>
      <c r="J26" s="1335"/>
    </row>
    <row r="27" spans="2:12">
      <c r="B27" s="195" t="s">
        <v>447</v>
      </c>
      <c r="C27" s="1335">
        <v>108.8561105015156</v>
      </c>
      <c r="D27" s="1335">
        <v>110.12983203237818</v>
      </c>
      <c r="E27" s="1335">
        <v>106.68895121998213</v>
      </c>
      <c r="F27" s="1335">
        <v>122.96892991392858</v>
      </c>
      <c r="G27" s="1335">
        <v>135.54454904680523</v>
      </c>
      <c r="H27" s="1335">
        <v>157.61427702477755</v>
      </c>
      <c r="I27" s="1335">
        <v>175.80505385587759</v>
      </c>
      <c r="J27" s="1335">
        <v>183.52115893702594</v>
      </c>
    </row>
    <row r="28" spans="2:12">
      <c r="B28" s="195" t="s">
        <v>445</v>
      </c>
      <c r="C28" s="1335">
        <v>0</v>
      </c>
      <c r="D28" s="1335">
        <v>0</v>
      </c>
      <c r="E28" s="1335">
        <v>0</v>
      </c>
      <c r="F28" s="1335">
        <v>0</v>
      </c>
      <c r="G28" s="1335">
        <v>0</v>
      </c>
      <c r="H28" s="1335">
        <v>0</v>
      </c>
      <c r="I28" s="1335">
        <v>0</v>
      </c>
      <c r="J28" s="1335">
        <v>0</v>
      </c>
    </row>
    <row r="29" spans="2:12">
      <c r="B29" s="195" t="s">
        <v>444</v>
      </c>
      <c r="C29" s="1335">
        <v>0</v>
      </c>
      <c r="D29" s="1335">
        <v>0</v>
      </c>
      <c r="E29" s="1335">
        <v>0</v>
      </c>
      <c r="F29" s="1335">
        <v>0</v>
      </c>
      <c r="G29" s="1335">
        <v>0</v>
      </c>
      <c r="H29" s="1335">
        <v>0</v>
      </c>
      <c r="I29" s="1335">
        <v>0</v>
      </c>
      <c r="J29" s="1335">
        <v>0</v>
      </c>
    </row>
    <row r="30" spans="2:12" ht="15" thickBot="1">
      <c r="B30" s="196" t="s">
        <v>443</v>
      </c>
      <c r="C30" s="1335">
        <v>70.654206231990784</v>
      </c>
      <c r="D30" s="1335">
        <v>72.90705052795937</v>
      </c>
      <c r="E30" s="1335">
        <v>69.522039651225526</v>
      </c>
      <c r="F30" s="1335">
        <v>73.02243170478377</v>
      </c>
      <c r="G30" s="1335">
        <v>78.554448500842042</v>
      </c>
      <c r="H30" s="1335">
        <v>87.565062336636871</v>
      </c>
      <c r="I30" s="1335">
        <v>91.674914257707357</v>
      </c>
      <c r="J30" s="1335">
        <v>91.927771896286529</v>
      </c>
    </row>
    <row r="31" spans="2:12" ht="15" thickTop="1">
      <c r="B31" s="2025" t="s">
        <v>1799</v>
      </c>
      <c r="C31" s="2025"/>
      <c r="D31" s="2025"/>
      <c r="E31" s="2025"/>
      <c r="F31" s="2025"/>
      <c r="G31" s="2025"/>
      <c r="H31" s="2025"/>
      <c r="I31" s="2025"/>
      <c r="J31" s="2025"/>
    </row>
    <row r="32" spans="2:12">
      <c r="B32" s="2149" t="s">
        <v>1802</v>
      </c>
      <c r="C32" s="2149"/>
      <c r="D32" s="2149"/>
      <c r="E32" s="2149"/>
      <c r="F32" s="2149"/>
      <c r="G32" s="2149"/>
      <c r="H32" s="2149"/>
      <c r="I32" s="2149"/>
      <c r="J32" s="2149"/>
    </row>
    <row r="33" spans="2:10">
      <c r="B33" s="64"/>
      <c r="C33" s="302"/>
      <c r="D33" s="302"/>
      <c r="E33" s="302"/>
      <c r="F33" s="302"/>
      <c r="G33" s="302"/>
      <c r="H33" s="302"/>
      <c r="I33" s="302"/>
      <c r="J33" s="302"/>
    </row>
    <row r="34" spans="2:10">
      <c r="B34" s="2100" t="s">
        <v>442</v>
      </c>
      <c r="C34" s="2100"/>
      <c r="D34" s="2100"/>
      <c r="E34" s="2100"/>
      <c r="F34" s="2100"/>
      <c r="G34" s="2100"/>
      <c r="H34" s="2100"/>
      <c r="I34" s="2100"/>
      <c r="J34" s="2100"/>
    </row>
    <row r="35" spans="2:10">
      <c r="B35" s="12" t="s">
        <v>441</v>
      </c>
      <c r="C35" s="302"/>
      <c r="D35" s="302"/>
      <c r="E35" s="302"/>
      <c r="F35" s="302"/>
      <c r="G35" s="302"/>
      <c r="H35" s="302"/>
      <c r="I35" s="302"/>
      <c r="J35" s="302"/>
    </row>
    <row r="36" spans="2:10">
      <c r="B36" s="77" t="s">
        <v>1801</v>
      </c>
      <c r="C36" s="302"/>
      <c r="D36" s="302"/>
      <c r="E36" s="302"/>
      <c r="F36" s="302"/>
      <c r="G36" s="302"/>
      <c r="H36" s="302"/>
      <c r="I36" s="302"/>
      <c r="J36" s="302"/>
    </row>
    <row r="37" spans="2:10">
      <c r="B37" s="64"/>
      <c r="C37" s="302"/>
      <c r="D37" s="302"/>
      <c r="E37" s="302"/>
      <c r="F37" s="302"/>
      <c r="G37" s="302"/>
      <c r="H37" s="302"/>
      <c r="I37" s="302"/>
      <c r="J37" s="302"/>
    </row>
    <row r="38" spans="2:10">
      <c r="B38" s="61"/>
      <c r="C38" s="303">
        <v>2014</v>
      </c>
      <c r="D38" s="303">
        <v>2015</v>
      </c>
      <c r="E38" s="303">
        <v>2016</v>
      </c>
      <c r="F38" s="303">
        <v>2017</v>
      </c>
      <c r="G38" s="303">
        <v>2018</v>
      </c>
      <c r="H38" s="303">
        <v>2019</v>
      </c>
      <c r="I38" s="303">
        <v>2020</v>
      </c>
      <c r="J38" s="303">
        <v>2021</v>
      </c>
    </row>
    <row r="39" spans="2:10">
      <c r="B39" s="188" t="s">
        <v>440</v>
      </c>
      <c r="C39" s="200">
        <v>3029.4361877801366</v>
      </c>
      <c r="D39" s="200">
        <v>2796.8751947161818</v>
      </c>
      <c r="E39" s="200">
        <v>2337.2368811147344</v>
      </c>
      <c r="F39" s="200">
        <v>2307.7742042808031</v>
      </c>
      <c r="G39" s="200">
        <v>2370.8750894114696</v>
      </c>
      <c r="H39" s="200">
        <v>3085.0370063661298</v>
      </c>
      <c r="I39" s="200">
        <v>3474.0983412585142</v>
      </c>
      <c r="J39" s="200">
        <v>2635.0757855822553</v>
      </c>
    </row>
    <row r="40" spans="2:10">
      <c r="B40" s="195" t="s">
        <v>470</v>
      </c>
      <c r="C40" s="200">
        <v>2097.8170952268615</v>
      </c>
      <c r="D40" s="200">
        <v>2076.4876316281388</v>
      </c>
      <c r="E40" s="200">
        <v>2049.9407056033201</v>
      </c>
      <c r="F40" s="200">
        <v>1973.0435104062699</v>
      </c>
      <c r="G40" s="200">
        <v>2028.1692218068122</v>
      </c>
      <c r="H40" s="200">
        <v>2128.1802923539894</v>
      </c>
      <c r="I40" s="200">
        <v>1967.6238509720979</v>
      </c>
      <c r="J40" s="200">
        <v>1951.5563770794824</v>
      </c>
    </row>
    <row r="41" spans="2:10">
      <c r="B41" s="150" t="s">
        <v>1472</v>
      </c>
      <c r="C41" s="200">
        <v>2097.8170952268615</v>
      </c>
      <c r="D41" s="200">
        <v>2076.4876316281388</v>
      </c>
      <c r="E41" s="200">
        <v>2049.9407056033201</v>
      </c>
      <c r="F41" s="200">
        <v>1973.0435104062699</v>
      </c>
      <c r="G41" s="200">
        <v>2028.1692218068122</v>
      </c>
      <c r="H41" s="200">
        <v>2128.1802923539894</v>
      </c>
      <c r="I41" s="200">
        <v>1967.6238509720979</v>
      </c>
      <c r="J41" s="200">
        <v>1951.5563770794824</v>
      </c>
    </row>
    <row r="42" spans="2:10">
      <c r="B42" s="150" t="s">
        <v>351</v>
      </c>
      <c r="C42" s="200">
        <v>0</v>
      </c>
      <c r="D42" s="200">
        <v>0</v>
      </c>
      <c r="E42" s="200">
        <v>0</v>
      </c>
      <c r="F42" s="200">
        <v>0</v>
      </c>
      <c r="G42" s="200">
        <v>0</v>
      </c>
      <c r="H42" s="200">
        <v>0</v>
      </c>
      <c r="I42" s="200">
        <v>0</v>
      </c>
      <c r="J42" s="200">
        <v>0</v>
      </c>
    </row>
    <row r="43" spans="2:10">
      <c r="B43" s="195" t="s">
        <v>471</v>
      </c>
      <c r="C43" s="200">
        <v>931.6190925532751</v>
      </c>
      <c r="D43" s="200">
        <v>720.38756308804295</v>
      </c>
      <c r="E43" s="200">
        <v>287.29617551141416</v>
      </c>
      <c r="F43" s="200">
        <v>334.7306938745333</v>
      </c>
      <c r="G43" s="200">
        <v>342.7058676046575</v>
      </c>
      <c r="H43" s="200">
        <v>956.85671401214086</v>
      </c>
      <c r="I43" s="200">
        <v>1506.4744902864159</v>
      </c>
      <c r="J43" s="200">
        <v>683.51940850277265</v>
      </c>
    </row>
    <row r="44" spans="2:10">
      <c r="B44" s="150" t="s">
        <v>352</v>
      </c>
      <c r="C44" s="200">
        <v>931.6190925532751</v>
      </c>
      <c r="D44" s="200">
        <v>720.38756308804295</v>
      </c>
      <c r="E44" s="200">
        <v>287.29617551141416</v>
      </c>
      <c r="F44" s="200">
        <v>334.7306938745333</v>
      </c>
      <c r="G44" s="200">
        <v>342.7058676046575</v>
      </c>
      <c r="H44" s="200">
        <v>956.85671401214086</v>
      </c>
      <c r="I44" s="200">
        <v>1506.4744902864159</v>
      </c>
      <c r="J44" s="200">
        <v>683.51940850277265</v>
      </c>
    </row>
    <row r="45" spans="2:10">
      <c r="B45" s="150" t="s">
        <v>351</v>
      </c>
      <c r="C45" s="200">
        <v>0</v>
      </c>
      <c r="D45" s="200">
        <v>0</v>
      </c>
      <c r="E45" s="200">
        <v>0</v>
      </c>
      <c r="F45" s="200">
        <v>0</v>
      </c>
      <c r="G45" s="200">
        <v>0</v>
      </c>
      <c r="H45" s="200">
        <v>0</v>
      </c>
      <c r="I45" s="200">
        <v>0</v>
      </c>
      <c r="J45" s="200">
        <v>0</v>
      </c>
    </row>
    <row r="46" spans="2:10">
      <c r="B46" s="150"/>
      <c r="C46" s="200"/>
      <c r="D46" s="200"/>
      <c r="E46" s="200"/>
      <c r="F46" s="200"/>
      <c r="G46" s="200"/>
      <c r="H46" s="200"/>
      <c r="I46" s="200"/>
      <c r="J46" s="200"/>
    </row>
    <row r="47" spans="2:10">
      <c r="B47" s="188" t="s">
        <v>437</v>
      </c>
      <c r="C47" s="200">
        <v>3.2768734764488476</v>
      </c>
      <c r="D47" s="200">
        <v>1.611626892641286</v>
      </c>
      <c r="E47" s="200">
        <v>4.4246961162170173</v>
      </c>
      <c r="F47" s="200">
        <v>4.655946175742117</v>
      </c>
      <c r="G47" s="200">
        <v>13.424330243567905</v>
      </c>
      <c r="H47" s="200">
        <v>1.1407277056053</v>
      </c>
      <c r="I47" s="200">
        <v>1.3281764196919164</v>
      </c>
      <c r="J47" s="200">
        <v>5.463364140480591</v>
      </c>
    </row>
    <row r="48" spans="2:10" ht="15" thickBot="1">
      <c r="B48" s="193" t="s">
        <v>436</v>
      </c>
      <c r="C48" s="200">
        <v>0</v>
      </c>
      <c r="D48" s="200">
        <v>0</v>
      </c>
      <c r="E48" s="200">
        <v>0</v>
      </c>
      <c r="F48" s="200">
        <v>0</v>
      </c>
      <c r="G48" s="200">
        <v>0</v>
      </c>
      <c r="H48" s="200">
        <v>0</v>
      </c>
      <c r="I48" s="200">
        <v>0</v>
      </c>
      <c r="J48" s="200">
        <v>0</v>
      </c>
    </row>
    <row r="49" spans="2:10" ht="15" thickTop="1">
      <c r="B49" s="2025" t="s">
        <v>1799</v>
      </c>
      <c r="C49" s="2025"/>
      <c r="D49" s="2025"/>
      <c r="E49" s="2025"/>
      <c r="F49" s="2025"/>
      <c r="G49" s="2025"/>
      <c r="H49" s="2025"/>
      <c r="I49" s="2025"/>
      <c r="J49" s="2025"/>
    </row>
    <row r="50" spans="2:10">
      <c r="B50" s="2149" t="s">
        <v>1802</v>
      </c>
      <c r="C50" s="2149"/>
      <c r="D50" s="2149"/>
      <c r="E50" s="2149"/>
      <c r="F50" s="2149"/>
      <c r="G50" s="2149"/>
      <c r="H50" s="2149"/>
      <c r="I50" s="2149"/>
      <c r="J50" s="2149"/>
    </row>
    <row r="51" spans="2:10">
      <c r="B51" s="64"/>
      <c r="C51" s="302"/>
      <c r="D51" s="302"/>
      <c r="E51" s="302"/>
      <c r="F51" s="302"/>
      <c r="G51" s="302"/>
      <c r="H51" s="302"/>
      <c r="I51" s="302"/>
      <c r="J51" s="302"/>
    </row>
    <row r="52" spans="2:10">
      <c r="B52" s="2100" t="s">
        <v>434</v>
      </c>
      <c r="C52" s="2100"/>
      <c r="D52" s="2100"/>
      <c r="E52" s="2100"/>
      <c r="F52" s="2100"/>
      <c r="G52" s="2100"/>
      <c r="H52" s="2100"/>
      <c r="I52" s="2100"/>
      <c r="J52" s="2100"/>
    </row>
    <row r="53" spans="2:10">
      <c r="B53" s="12" t="s">
        <v>433</v>
      </c>
      <c r="C53" s="302"/>
      <c r="D53" s="302"/>
      <c r="E53" s="302"/>
      <c r="F53" s="302"/>
      <c r="G53" s="302"/>
      <c r="H53" s="302"/>
      <c r="I53" s="302"/>
      <c r="J53" s="302"/>
    </row>
    <row r="54" spans="2:10">
      <c r="B54" s="62" t="s">
        <v>1801</v>
      </c>
      <c r="C54" s="302"/>
      <c r="D54" s="302"/>
      <c r="E54" s="302"/>
      <c r="F54" s="302"/>
      <c r="G54" s="302"/>
      <c r="H54" s="302"/>
      <c r="I54" s="302"/>
      <c r="J54" s="302"/>
    </row>
    <row r="55" spans="2:10">
      <c r="B55" s="64"/>
      <c r="C55" s="302"/>
      <c r="D55" s="302"/>
      <c r="E55" s="302"/>
      <c r="F55" s="302"/>
      <c r="G55" s="302"/>
      <c r="H55" s="302"/>
      <c r="I55" s="302"/>
      <c r="J55" s="302"/>
    </row>
    <row r="56" spans="2:10">
      <c r="B56" s="61"/>
      <c r="C56" s="303">
        <v>2014</v>
      </c>
      <c r="D56" s="303">
        <v>2015</v>
      </c>
      <c r="E56" s="303">
        <v>2016</v>
      </c>
      <c r="F56" s="303">
        <v>2017</v>
      </c>
      <c r="G56" s="303">
        <v>2018</v>
      </c>
      <c r="H56" s="303">
        <v>2019</v>
      </c>
      <c r="I56" s="303">
        <v>2020</v>
      </c>
      <c r="J56" s="303">
        <v>2021</v>
      </c>
    </row>
    <row r="57" spans="2:10">
      <c r="B57" s="64" t="s">
        <v>432</v>
      </c>
      <c r="C57" s="199">
        <v>916.79326885271689</v>
      </c>
      <c r="D57" s="199">
        <v>993.36095706897629</v>
      </c>
      <c r="E57" s="199">
        <v>1010.4313667358434</v>
      </c>
      <c r="F57" s="199">
        <v>962.60411814720339</v>
      </c>
      <c r="G57" s="199">
        <v>866.08455191027144</v>
      </c>
      <c r="H57" s="199">
        <v>1170.7172802354212</v>
      </c>
      <c r="I57" s="199">
        <v>537.20772353815551</v>
      </c>
      <c r="J57" s="199">
        <v>403.37034676524956</v>
      </c>
    </row>
    <row r="58" spans="2:10">
      <c r="B58" s="62"/>
      <c r="C58" s="199"/>
      <c r="D58" s="199"/>
      <c r="E58" s="199"/>
      <c r="F58" s="199"/>
      <c r="G58" s="199"/>
      <c r="H58" s="199"/>
      <c r="I58" s="199"/>
      <c r="J58" s="199"/>
    </row>
    <row r="59" spans="2:10">
      <c r="B59" s="64" t="s">
        <v>431</v>
      </c>
      <c r="C59" s="199">
        <v>915.0743099787685</v>
      </c>
      <c r="D59" s="199">
        <v>991.46364259455424</v>
      </c>
      <c r="E59" s="199">
        <v>1008.7592647494811</v>
      </c>
      <c r="F59" s="199">
        <v>961.99386344312597</v>
      </c>
      <c r="G59" s="199">
        <v>864.95999528054926</v>
      </c>
      <c r="H59" s="199">
        <v>1169.5911998048016</v>
      </c>
      <c r="I59" s="199">
        <v>536.1726925153265</v>
      </c>
      <c r="J59" s="199">
        <v>402.61016192236599</v>
      </c>
    </row>
    <row r="60" spans="2:10">
      <c r="B60" s="520" t="s">
        <v>379</v>
      </c>
      <c r="C60" s="199"/>
      <c r="D60" s="199"/>
      <c r="E60" s="199"/>
      <c r="F60" s="199"/>
      <c r="G60" s="199"/>
      <c r="H60" s="199"/>
      <c r="I60" s="199"/>
      <c r="J60" s="199"/>
    </row>
    <row r="61" spans="2:10">
      <c r="B61" s="1337" t="s">
        <v>1803</v>
      </c>
      <c r="C61" s="199">
        <v>808.33529920578758</v>
      </c>
      <c r="D61" s="199">
        <v>838.69711508505213</v>
      </c>
      <c r="E61" s="199">
        <v>882.84909576045061</v>
      </c>
      <c r="F61" s="199">
        <v>855.0073564748069</v>
      </c>
      <c r="G61" s="199">
        <v>743.107168403277</v>
      </c>
      <c r="H61" s="199">
        <v>373.30218045501937</v>
      </c>
      <c r="I61" s="199">
        <v>2.8101728256287761E-4</v>
      </c>
      <c r="J61" s="199">
        <v>0</v>
      </c>
    </row>
    <row r="62" spans="2:10">
      <c r="B62" s="1337" t="s">
        <v>1804</v>
      </c>
      <c r="C62" s="999">
        <v>0</v>
      </c>
      <c r="D62" s="999">
        <v>0</v>
      </c>
      <c r="E62" s="999">
        <v>0</v>
      </c>
      <c r="F62" s="999">
        <v>0</v>
      </c>
      <c r="G62" s="999">
        <v>0</v>
      </c>
      <c r="H62" s="199">
        <v>719.42446043165467</v>
      </c>
      <c r="I62" s="199">
        <v>457.76236291163485</v>
      </c>
      <c r="J62" s="199">
        <v>226.09981515711644</v>
      </c>
    </row>
    <row r="63" spans="2:10">
      <c r="B63" s="1337" t="s">
        <v>1805</v>
      </c>
      <c r="C63" s="199">
        <v>4.6709129511677281</v>
      </c>
      <c r="D63" s="199">
        <v>0.202504828961306</v>
      </c>
      <c r="E63" s="199">
        <v>2.1345982804624963</v>
      </c>
      <c r="F63" s="199">
        <v>0</v>
      </c>
      <c r="G63" s="199">
        <v>0.10323798567941656</v>
      </c>
      <c r="H63" s="199">
        <v>0</v>
      </c>
      <c r="I63" s="199">
        <v>8.1347108110306678E-3</v>
      </c>
      <c r="J63" s="199">
        <v>0</v>
      </c>
    </row>
    <row r="64" spans="2:10">
      <c r="B64" s="1337" t="s">
        <v>1806</v>
      </c>
      <c r="C64" s="199">
        <v>4.7023669104348507</v>
      </c>
      <c r="D64" s="199">
        <v>49.037323197707025</v>
      </c>
      <c r="E64" s="199">
        <v>20.834568633264158</v>
      </c>
      <c r="F64" s="199">
        <v>14.772097149828104</v>
      </c>
      <c r="G64" s="199">
        <v>33.869433444682876</v>
      </c>
      <c r="H64" s="199">
        <v>0.14787758693353642</v>
      </c>
      <c r="I64" s="199">
        <v>1.3385296879968647</v>
      </c>
      <c r="J64" s="199">
        <v>22.876155268022178</v>
      </c>
    </row>
    <row r="65" spans="2:10">
      <c r="B65" s="1337" t="s">
        <v>1807</v>
      </c>
      <c r="C65" s="199">
        <v>75.819768813399392</v>
      </c>
      <c r="D65" s="199">
        <v>83.198330114025794</v>
      </c>
      <c r="E65" s="199">
        <v>83.338274533056634</v>
      </c>
      <c r="F65" s="199">
        <v>73.295626779046984</v>
      </c>
      <c r="G65" s="199">
        <v>70.358162068889229</v>
      </c>
      <c r="H65" s="199">
        <v>57.338055557609415</v>
      </c>
      <c r="I65" s="199">
        <v>38.602900394163719</v>
      </c>
      <c r="J65" s="199">
        <v>1.7449345656192237</v>
      </c>
    </row>
    <row r="66" spans="2:10">
      <c r="B66" s="1337" t="s">
        <v>1808</v>
      </c>
      <c r="C66" s="1338">
        <v>0</v>
      </c>
      <c r="D66" s="1338">
        <v>0</v>
      </c>
      <c r="E66" s="1338">
        <v>0</v>
      </c>
      <c r="F66" s="1338">
        <v>0</v>
      </c>
      <c r="G66" s="1338">
        <v>0</v>
      </c>
      <c r="H66" s="1338">
        <v>0</v>
      </c>
      <c r="I66" s="199">
        <v>23.244566382937816</v>
      </c>
      <c r="J66" s="199">
        <v>43.375378927911278</v>
      </c>
    </row>
    <row r="67" spans="2:10">
      <c r="B67" s="1337" t="s">
        <v>1809</v>
      </c>
      <c r="C67" s="199">
        <v>10.222536761814894</v>
      </c>
      <c r="D67" s="199">
        <v>9.3307994267555614</v>
      </c>
      <c r="E67" s="199">
        <v>9.1535724873999396</v>
      </c>
      <c r="F67" s="199">
        <v>8.9682451665372813</v>
      </c>
      <c r="G67" s="199">
        <v>8.3961978924702638</v>
      </c>
      <c r="H67" s="199">
        <v>9.6534488750212581</v>
      </c>
      <c r="I67" s="199">
        <v>4.5791026674456274</v>
      </c>
      <c r="J67" s="199">
        <v>3.8891031423290201</v>
      </c>
    </row>
    <row r="68" spans="2:10">
      <c r="B68" s="1337" t="s">
        <v>1810</v>
      </c>
      <c r="C68" s="1338">
        <v>0</v>
      </c>
      <c r="D68" s="1338">
        <v>0</v>
      </c>
      <c r="E68" s="1338">
        <v>0</v>
      </c>
      <c r="F68" s="1338">
        <v>0</v>
      </c>
      <c r="G68" s="1338">
        <v>0</v>
      </c>
      <c r="H68" s="1338">
        <v>0</v>
      </c>
      <c r="I68" s="199">
        <v>3.179932407948352</v>
      </c>
      <c r="J68" s="199">
        <v>91.386321626617374</v>
      </c>
    </row>
    <row r="69" spans="2:10">
      <c r="B69" s="1337" t="s">
        <v>1811</v>
      </c>
      <c r="C69" s="199">
        <v>6.4795156090272865</v>
      </c>
      <c r="D69" s="199">
        <v>6.4022680540843666</v>
      </c>
      <c r="E69" s="199">
        <v>6.1562407352505186</v>
      </c>
      <c r="F69" s="199">
        <v>5.8496913237957937</v>
      </c>
      <c r="G69" s="199">
        <v>5.5188077487482392</v>
      </c>
      <c r="H69" s="199">
        <v>6.3380333759713707</v>
      </c>
      <c r="I69" s="199">
        <v>3.1533097180213425</v>
      </c>
      <c r="J69" s="199">
        <v>1.582260998151571</v>
      </c>
    </row>
    <row r="70" spans="2:10">
      <c r="B70" s="1337" t="s">
        <v>1812</v>
      </c>
      <c r="C70" s="1338">
        <v>0</v>
      </c>
      <c r="D70" s="1338">
        <v>0</v>
      </c>
      <c r="E70" s="1338">
        <v>0</v>
      </c>
      <c r="F70" s="1338">
        <v>0</v>
      </c>
      <c r="G70" s="1338">
        <v>0</v>
      </c>
      <c r="H70" s="1338">
        <v>0</v>
      </c>
      <c r="I70" s="199">
        <v>1.8487979115978792</v>
      </c>
      <c r="J70" s="199">
        <v>6.1338262476894636</v>
      </c>
    </row>
    <row r="71" spans="2:10">
      <c r="B71" s="1337" t="s">
        <v>1813</v>
      </c>
      <c r="C71" s="199">
        <v>4.8439097271369036</v>
      </c>
      <c r="D71" s="199">
        <v>4.5953018879680974</v>
      </c>
      <c r="E71" s="199">
        <v>4.2899495997628225</v>
      </c>
      <c r="F71" s="199">
        <v>4.1008465491109387</v>
      </c>
      <c r="G71" s="199">
        <v>3.6069877368021297</v>
      </c>
      <c r="H71" s="199">
        <v>3.387136128712652</v>
      </c>
      <c r="I71" s="199">
        <v>2.4256228600164174</v>
      </c>
      <c r="J71" s="199">
        <v>2.2772643253234751E-2</v>
      </c>
    </row>
    <row r="72" spans="2:10">
      <c r="B72" s="1337" t="s">
        <v>1814</v>
      </c>
      <c r="C72" s="1338">
        <v>0</v>
      </c>
      <c r="D72" s="1338">
        <v>0</v>
      </c>
      <c r="E72" s="1338">
        <v>0</v>
      </c>
      <c r="F72" s="1338">
        <v>0</v>
      </c>
      <c r="G72" s="1338">
        <v>0</v>
      </c>
      <c r="H72" s="1338">
        <v>0</v>
      </c>
      <c r="I72" s="199">
        <v>0</v>
      </c>
      <c r="J72" s="199">
        <v>5.4995933456561925</v>
      </c>
    </row>
    <row r="73" spans="2:10">
      <c r="B73" s="190"/>
      <c r="C73" s="199"/>
      <c r="D73" s="199"/>
      <c r="E73" s="199"/>
      <c r="F73" s="199"/>
      <c r="G73" s="199"/>
      <c r="H73" s="199"/>
      <c r="I73" s="199"/>
      <c r="J73" s="199"/>
    </row>
    <row r="74" spans="2:10">
      <c r="B74" s="64" t="s">
        <v>424</v>
      </c>
      <c r="C74" s="199">
        <v>1.7189588739482582</v>
      </c>
      <c r="D74" s="199">
        <v>1.8973144744220822</v>
      </c>
      <c r="E74" s="199">
        <v>1.6735843462792763</v>
      </c>
      <c r="F74" s="199">
        <v>0.61025470407748328</v>
      </c>
      <c r="G74" s="199">
        <v>1.1245566297222163</v>
      </c>
      <c r="H74" s="199">
        <v>1.1260878244988799</v>
      </c>
      <c r="I74" s="199">
        <v>1.0350310228289568</v>
      </c>
      <c r="J74" s="199">
        <v>0.76018484288354904</v>
      </c>
    </row>
    <row r="75" spans="2:10">
      <c r="B75" s="520" t="s">
        <v>379</v>
      </c>
      <c r="C75" s="199"/>
      <c r="D75" s="199"/>
      <c r="E75" s="199"/>
      <c r="F75" s="199"/>
      <c r="G75" s="199"/>
      <c r="H75" s="199"/>
      <c r="I75" s="199"/>
      <c r="J75" s="199"/>
    </row>
    <row r="76" spans="2:10">
      <c r="B76" s="1339" t="s">
        <v>1813</v>
      </c>
      <c r="C76" s="199">
        <v>4.5608240937327991E-3</v>
      </c>
      <c r="D76" s="199">
        <v>1.2461835628388061E-2</v>
      </c>
      <c r="E76" s="199">
        <v>1.4823599169878445E-3</v>
      </c>
      <c r="F76" s="199">
        <v>0</v>
      </c>
      <c r="G76" s="199">
        <v>0</v>
      </c>
      <c r="H76" s="199">
        <v>0</v>
      </c>
      <c r="I76" s="199">
        <v>0</v>
      </c>
      <c r="J76" s="199">
        <v>0</v>
      </c>
    </row>
    <row r="77" spans="2:10">
      <c r="B77" s="1340" t="s">
        <v>1815</v>
      </c>
      <c r="C77" s="199">
        <v>1.7299677596917509E-3</v>
      </c>
      <c r="D77" s="199">
        <v>0</v>
      </c>
      <c r="E77" s="199">
        <v>1.4823599169878445E-3</v>
      </c>
      <c r="F77" s="199">
        <v>1.4786884033861965E-4</v>
      </c>
      <c r="G77" s="199">
        <v>1.474828366848808E-4</v>
      </c>
      <c r="H77" s="199">
        <v>4.4363276080060926E-4</v>
      </c>
      <c r="I77" s="199">
        <v>0</v>
      </c>
      <c r="J77" s="199">
        <v>4.4362292051756009E-4</v>
      </c>
    </row>
    <row r="78" spans="2:10">
      <c r="B78" s="1340" t="s">
        <v>1816</v>
      </c>
      <c r="C78" s="199">
        <v>1.199496736651726</v>
      </c>
      <c r="D78" s="199">
        <v>1.3240700355162316</v>
      </c>
      <c r="E78" s="199">
        <v>1.172546694337385</v>
      </c>
      <c r="F78" s="199">
        <v>0.39480980370411445</v>
      </c>
      <c r="G78" s="199">
        <v>0.74301853121842953</v>
      </c>
      <c r="H78" s="199">
        <v>0.75107026403543142</v>
      </c>
      <c r="I78" s="199">
        <v>0.69766237992057556</v>
      </c>
      <c r="J78" s="199">
        <v>0.47712384473197783</v>
      </c>
    </row>
    <row r="79" spans="2:10">
      <c r="B79" s="1340" t="s">
        <v>1817</v>
      </c>
      <c r="C79" s="199">
        <v>0.29425178894393328</v>
      </c>
      <c r="D79" s="199">
        <v>0.32712318524518663</v>
      </c>
      <c r="E79" s="199">
        <v>0.29350726356359325</v>
      </c>
      <c r="F79" s="199">
        <v>0.13012457949798528</v>
      </c>
      <c r="G79" s="199">
        <v>0.21001555943927025</v>
      </c>
      <c r="H79" s="199">
        <v>0.24592042707047107</v>
      </c>
      <c r="I79" s="199">
        <v>0.2220036532246733</v>
      </c>
      <c r="J79" s="199">
        <v>0.1760354898336414</v>
      </c>
    </row>
    <row r="80" spans="2:10">
      <c r="B80" s="1340" t="s">
        <v>1818</v>
      </c>
      <c r="C80" s="199">
        <v>0.13902649996068256</v>
      </c>
      <c r="D80" s="199">
        <v>0.15577294535485078</v>
      </c>
      <c r="E80" s="199">
        <v>0.13193003261191816</v>
      </c>
      <c r="F80" s="199">
        <v>7.171638756423053E-2</v>
      </c>
      <c r="G80" s="199">
        <v>0.12683523954899747</v>
      </c>
      <c r="H80" s="199">
        <v>0.12856551346795123</v>
      </c>
      <c r="I80" s="199">
        <v>0.11536498968370766</v>
      </c>
      <c r="J80" s="199">
        <v>0.10658188539741219</v>
      </c>
    </row>
    <row r="81" spans="2:10">
      <c r="B81" s="1340" t="s">
        <v>1819</v>
      </c>
      <c r="C81" s="199">
        <v>7.9893056538491783E-2</v>
      </c>
      <c r="D81" s="199">
        <v>7.7886472677425392E-2</v>
      </c>
      <c r="E81" s="199">
        <v>7.5600355766380078E-2</v>
      </c>
      <c r="F81" s="199">
        <v>1.3456064470814388E-2</v>
      </c>
      <c r="G81" s="199">
        <v>4.4539816678833999E-2</v>
      </c>
      <c r="H81" s="199">
        <v>0</v>
      </c>
      <c r="I81" s="199">
        <v>0</v>
      </c>
      <c r="J81" s="199">
        <v>0</v>
      </c>
    </row>
    <row r="82" spans="2:10">
      <c r="B82" s="62"/>
      <c r="C82" s="199"/>
      <c r="D82" s="199"/>
      <c r="E82" s="199"/>
      <c r="F82" s="199"/>
      <c r="G82" s="199"/>
      <c r="H82" s="199"/>
      <c r="I82" s="199"/>
      <c r="J82" s="199"/>
    </row>
    <row r="83" spans="2:10">
      <c r="B83" s="197" t="s">
        <v>414</v>
      </c>
      <c r="C83" s="199">
        <v>228.95541401273886</v>
      </c>
      <c r="D83" s="199">
        <v>224.71400087232851</v>
      </c>
      <c r="E83" s="199">
        <v>225.16083605099317</v>
      </c>
      <c r="F83" s="199">
        <v>194.72374403903737</v>
      </c>
      <c r="G83" s="199">
        <v>213.22301617149304</v>
      </c>
      <c r="H83" s="199">
        <v>593.91335852181567</v>
      </c>
      <c r="I83" s="199">
        <v>247.33026186373621</v>
      </c>
      <c r="J83" s="199">
        <v>258.70240295748613</v>
      </c>
    </row>
    <row r="84" spans="2:10" ht="15" thickBot="1">
      <c r="B84" s="208" t="s">
        <v>413</v>
      </c>
      <c r="C84" s="199">
        <v>1084.3955117012895</v>
      </c>
      <c r="D84" s="199">
        <v>1191.6326116281057</v>
      </c>
      <c r="E84" s="199">
        <v>1163.1461522136001</v>
      </c>
      <c r="F84" s="199">
        <v>1198.3374318268147</v>
      </c>
      <c r="G84" s="199">
        <v>1171.1974010894123</v>
      </c>
      <c r="H84" s="199">
        <v>707.19259967601022</v>
      </c>
      <c r="I84" s="199">
        <v>1082.374298081485</v>
      </c>
      <c r="J84" s="199">
        <v>1109.5938393668634</v>
      </c>
    </row>
    <row r="85" spans="2:10" ht="15" thickTop="1">
      <c r="B85" s="2025" t="s">
        <v>1820</v>
      </c>
      <c r="C85" s="2025"/>
      <c r="D85" s="2025"/>
      <c r="E85" s="2025"/>
      <c r="F85" s="2025"/>
      <c r="G85" s="2025"/>
      <c r="H85" s="2025"/>
      <c r="I85" s="2025"/>
      <c r="J85" s="2025"/>
    </row>
    <row r="86" spans="2:10">
      <c r="B86" s="2149" t="s">
        <v>1802</v>
      </c>
      <c r="C86" s="2149"/>
      <c r="D86" s="2149"/>
      <c r="E86" s="2149"/>
      <c r="F86" s="2149"/>
      <c r="G86" s="2149"/>
      <c r="H86" s="2149"/>
      <c r="I86" s="2149"/>
      <c r="J86" s="2149"/>
    </row>
    <row r="87" spans="2:10">
      <c r="B87" s="64"/>
      <c r="C87" s="302"/>
      <c r="D87" s="302"/>
      <c r="E87" s="302"/>
      <c r="F87" s="302"/>
      <c r="G87" s="302"/>
      <c r="H87" s="302"/>
      <c r="I87" s="302"/>
      <c r="J87" s="302"/>
    </row>
    <row r="88" spans="2:10">
      <c r="B88" s="2100" t="s">
        <v>411</v>
      </c>
      <c r="C88" s="2100"/>
      <c r="D88" s="2100"/>
      <c r="E88" s="2100"/>
      <c r="F88" s="2100"/>
      <c r="G88" s="2100"/>
      <c r="H88" s="2100"/>
      <c r="I88" s="2100"/>
      <c r="J88" s="2100"/>
    </row>
    <row r="89" spans="2:10">
      <c r="B89" s="12" t="s">
        <v>410</v>
      </c>
      <c r="C89" s="302"/>
      <c r="D89" s="302"/>
      <c r="E89" s="302"/>
      <c r="F89" s="302"/>
      <c r="G89" s="302"/>
      <c r="H89" s="302"/>
      <c r="I89" s="302"/>
      <c r="J89" s="302"/>
    </row>
    <row r="90" spans="2:10">
      <c r="B90" s="62" t="s">
        <v>409</v>
      </c>
      <c r="C90" s="302"/>
      <c r="D90" s="302"/>
      <c r="E90" s="302"/>
      <c r="F90" s="302"/>
      <c r="G90" s="302"/>
      <c r="H90" s="302"/>
      <c r="I90" s="302"/>
      <c r="J90" s="302"/>
    </row>
    <row r="91" spans="2:10">
      <c r="B91" s="64"/>
      <c r="C91" s="302"/>
      <c r="D91" s="302"/>
      <c r="E91" s="302"/>
      <c r="F91" s="302"/>
      <c r="G91" s="302"/>
      <c r="H91" s="302"/>
      <c r="I91" s="302"/>
      <c r="J91" s="302"/>
    </row>
    <row r="92" spans="2:10">
      <c r="B92" s="61"/>
      <c r="C92" s="303">
        <v>2014</v>
      </c>
      <c r="D92" s="303">
        <v>2015</v>
      </c>
      <c r="E92" s="303">
        <v>2016</v>
      </c>
      <c r="F92" s="303">
        <v>2017</v>
      </c>
      <c r="G92" s="303">
        <v>2018</v>
      </c>
      <c r="H92" s="303">
        <v>2019</v>
      </c>
      <c r="I92" s="303">
        <v>2020</v>
      </c>
      <c r="J92" s="303">
        <v>2021</v>
      </c>
    </row>
    <row r="93" spans="2:10">
      <c r="B93" s="114" t="s">
        <v>262</v>
      </c>
      <c r="C93" s="302"/>
      <c r="D93" s="302"/>
      <c r="E93" s="302"/>
      <c r="F93" s="302"/>
      <c r="G93" s="302"/>
      <c r="H93" s="302"/>
      <c r="I93" s="302"/>
      <c r="J93" s="302"/>
    </row>
    <row r="94" spans="2:10">
      <c r="B94" s="186" t="s">
        <v>408</v>
      </c>
      <c r="C94" s="1341">
        <v>1</v>
      </c>
      <c r="D94" s="1341">
        <v>1</v>
      </c>
      <c r="E94" s="1341">
        <v>1</v>
      </c>
      <c r="F94" s="1341">
        <v>1</v>
      </c>
      <c r="G94" s="1341">
        <v>1</v>
      </c>
      <c r="H94" s="1341">
        <v>1</v>
      </c>
      <c r="I94" s="1341">
        <v>1</v>
      </c>
      <c r="J94" s="1341">
        <v>1</v>
      </c>
    </row>
    <row r="95" spans="2:10">
      <c r="B95" s="65" t="s">
        <v>407</v>
      </c>
      <c r="C95" s="1341">
        <v>24</v>
      </c>
      <c r="D95" s="1341">
        <v>24</v>
      </c>
      <c r="E95" s="1341">
        <v>24</v>
      </c>
      <c r="F95" s="1341">
        <v>24</v>
      </c>
      <c r="G95" s="1341">
        <v>24</v>
      </c>
      <c r="H95" s="1341">
        <v>30</v>
      </c>
      <c r="I95" s="1341">
        <v>30</v>
      </c>
      <c r="J95" s="1341">
        <v>30</v>
      </c>
    </row>
    <row r="96" spans="2:10">
      <c r="B96" s="65" t="s">
        <v>406</v>
      </c>
      <c r="C96" s="1341">
        <v>172</v>
      </c>
      <c r="D96" s="1341">
        <v>182</v>
      </c>
      <c r="E96" s="1341">
        <v>222</v>
      </c>
      <c r="F96" s="1341">
        <v>241</v>
      </c>
      <c r="G96" s="1341">
        <v>246</v>
      </c>
      <c r="H96" s="1341">
        <v>239</v>
      </c>
      <c r="I96" s="1341">
        <v>243</v>
      </c>
      <c r="J96" s="1341">
        <v>242</v>
      </c>
    </row>
    <row r="97" spans="2:10">
      <c r="B97" s="186" t="s">
        <v>1821</v>
      </c>
      <c r="C97" s="199">
        <v>5.1546748446960766</v>
      </c>
      <c r="D97" s="199">
        <v>4.2245622780235532</v>
      </c>
      <c r="E97" s="199">
        <v>4.0702638600652232</v>
      </c>
      <c r="F97" s="199">
        <v>2.7749066577945363</v>
      </c>
      <c r="G97" s="199">
        <v>2.0448495306358723</v>
      </c>
      <c r="H97" s="199">
        <v>2.9143714832861356</v>
      </c>
      <c r="I97" s="199">
        <v>3.3411475858396873</v>
      </c>
      <c r="J97" s="199">
        <v>2.7915711645101662</v>
      </c>
    </row>
    <row r="98" spans="2:10">
      <c r="B98" s="186"/>
      <c r="C98" s="1341"/>
      <c r="D98" s="1341"/>
      <c r="E98" s="1341"/>
      <c r="F98" s="1341"/>
      <c r="G98" s="1341"/>
      <c r="H98" s="1341"/>
      <c r="I98" s="1341"/>
      <c r="J98" s="1341"/>
    </row>
    <row r="99" spans="2:10">
      <c r="B99" s="114" t="s">
        <v>477</v>
      </c>
      <c r="C99" s="1341"/>
      <c r="D99" s="1341"/>
      <c r="E99" s="1341"/>
      <c r="F99" s="1341"/>
      <c r="G99" s="1341"/>
      <c r="H99" s="1341"/>
      <c r="I99" s="1341"/>
      <c r="J99" s="1341"/>
    </row>
    <row r="100" spans="2:10">
      <c r="B100" s="186" t="s">
        <v>399</v>
      </c>
      <c r="C100" s="1341">
        <v>8</v>
      </c>
      <c r="D100" s="1341">
        <v>8</v>
      </c>
      <c r="E100" s="1341">
        <v>8</v>
      </c>
      <c r="F100" s="1341">
        <v>8</v>
      </c>
      <c r="G100" s="1341">
        <v>8</v>
      </c>
      <c r="H100" s="1341">
        <v>8</v>
      </c>
      <c r="I100" s="1341">
        <v>8</v>
      </c>
      <c r="J100" s="1341">
        <v>8</v>
      </c>
    </row>
    <row r="101" spans="2:10">
      <c r="B101" s="186" t="s">
        <v>408</v>
      </c>
      <c r="C101" s="1341">
        <v>135</v>
      </c>
      <c r="D101" s="1341">
        <v>131</v>
      </c>
      <c r="E101" s="1341">
        <v>133</v>
      </c>
      <c r="F101" s="1341">
        <v>127</v>
      </c>
      <c r="G101" s="1341">
        <v>124</v>
      </c>
      <c r="H101" s="1341">
        <v>122</v>
      </c>
      <c r="I101" s="1341">
        <v>119</v>
      </c>
      <c r="J101" s="1341">
        <v>118</v>
      </c>
    </row>
    <row r="102" spans="2:10">
      <c r="B102" s="186" t="s">
        <v>402</v>
      </c>
      <c r="C102" s="1341">
        <v>199772.5</v>
      </c>
      <c r="D102" s="1341">
        <v>214297</v>
      </c>
      <c r="E102" s="1341">
        <v>223499.2</v>
      </c>
      <c r="F102" s="1341">
        <v>218807</v>
      </c>
      <c r="G102" s="1341">
        <v>218061</v>
      </c>
      <c r="H102" s="1341">
        <v>228620.79999999999</v>
      </c>
      <c r="I102" s="1341">
        <v>233153.5</v>
      </c>
      <c r="J102" s="1341">
        <v>241746.2</v>
      </c>
    </row>
    <row r="103" spans="2:10">
      <c r="B103" s="186" t="s">
        <v>1821</v>
      </c>
      <c r="C103" s="200">
        <v>7.475297004010379</v>
      </c>
      <c r="D103" s="200">
        <v>6.780296280142065</v>
      </c>
      <c r="E103" s="200">
        <v>6.4836829232137561</v>
      </c>
      <c r="F103" s="200">
        <v>6.4249049573028731</v>
      </c>
      <c r="G103" s="200">
        <v>6.5765658621477927</v>
      </c>
      <c r="H103" s="200">
        <v>7.3009767314616969</v>
      </c>
      <c r="I103" s="200">
        <v>8.3231465061417076</v>
      </c>
      <c r="J103" s="200">
        <v>8.254297523105361</v>
      </c>
    </row>
    <row r="104" spans="2:10">
      <c r="B104" s="186"/>
      <c r="C104" s="1341"/>
      <c r="D104" s="1341"/>
      <c r="E104" s="1341"/>
      <c r="F104" s="1341"/>
      <c r="G104" s="1341"/>
      <c r="H104" s="1341"/>
      <c r="I104" s="1341"/>
      <c r="J104" s="1341"/>
    </row>
    <row r="105" spans="2:10">
      <c r="B105" s="148" t="s">
        <v>404</v>
      </c>
      <c r="C105" s="158"/>
      <c r="D105" s="158"/>
      <c r="E105" s="158"/>
      <c r="F105" s="158"/>
      <c r="G105" s="158"/>
      <c r="H105" s="158"/>
      <c r="I105" s="158"/>
      <c r="J105" s="158"/>
    </row>
    <row r="106" spans="2:10">
      <c r="B106" s="186" t="s">
        <v>399</v>
      </c>
      <c r="C106" s="158">
        <v>0</v>
      </c>
      <c r="D106" s="158">
        <v>0</v>
      </c>
      <c r="E106" s="158">
        <v>0</v>
      </c>
      <c r="F106" s="158">
        <v>0</v>
      </c>
      <c r="G106" s="158">
        <v>0</v>
      </c>
      <c r="H106" s="158">
        <v>0</v>
      </c>
      <c r="I106" s="158">
        <v>0</v>
      </c>
      <c r="J106" s="158">
        <v>0</v>
      </c>
    </row>
    <row r="107" spans="2:10">
      <c r="B107" s="186" t="s">
        <v>408</v>
      </c>
      <c r="C107" s="158">
        <v>0</v>
      </c>
      <c r="D107" s="158">
        <v>0</v>
      </c>
      <c r="E107" s="158">
        <v>0</v>
      </c>
      <c r="F107" s="158">
        <v>0</v>
      </c>
      <c r="G107" s="158">
        <v>0</v>
      </c>
      <c r="H107" s="158">
        <v>0</v>
      </c>
      <c r="I107" s="158">
        <v>0</v>
      </c>
      <c r="J107" s="158">
        <v>0</v>
      </c>
    </row>
    <row r="108" spans="2:10">
      <c r="B108" s="186" t="s">
        <v>402</v>
      </c>
      <c r="C108" s="158">
        <v>0</v>
      </c>
      <c r="D108" s="158">
        <v>0</v>
      </c>
      <c r="E108" s="158">
        <v>0</v>
      </c>
      <c r="F108" s="158">
        <v>0</v>
      </c>
      <c r="G108" s="158">
        <v>0</v>
      </c>
      <c r="H108" s="158">
        <v>0</v>
      </c>
      <c r="I108" s="158">
        <v>0</v>
      </c>
      <c r="J108" s="158">
        <v>0</v>
      </c>
    </row>
    <row r="109" spans="2:10">
      <c r="B109" s="186" t="s">
        <v>401</v>
      </c>
      <c r="C109" s="158">
        <v>0</v>
      </c>
      <c r="D109" s="158">
        <v>0</v>
      </c>
      <c r="E109" s="158">
        <v>0</v>
      </c>
      <c r="F109" s="158">
        <v>0</v>
      </c>
      <c r="G109" s="158">
        <v>0</v>
      </c>
      <c r="H109" s="158">
        <v>0</v>
      </c>
      <c r="I109" s="158">
        <v>0</v>
      </c>
      <c r="J109" s="158">
        <v>0</v>
      </c>
    </row>
    <row r="110" spans="2:10">
      <c r="B110" s="186"/>
      <c r="C110" s="158"/>
      <c r="D110" s="158"/>
      <c r="E110" s="158"/>
      <c r="F110" s="158"/>
      <c r="G110" s="158"/>
      <c r="H110" s="158"/>
      <c r="I110" s="158"/>
      <c r="J110" s="158"/>
    </row>
    <row r="111" spans="2:10">
      <c r="B111" s="114" t="s">
        <v>400</v>
      </c>
      <c r="C111" s="158"/>
      <c r="D111" s="158"/>
      <c r="E111" s="158"/>
      <c r="F111" s="158"/>
      <c r="G111" s="158"/>
      <c r="H111" s="158"/>
      <c r="I111" s="158"/>
      <c r="J111" s="158"/>
    </row>
    <row r="112" spans="2:10">
      <c r="B112" s="186" t="s">
        <v>399</v>
      </c>
      <c r="C112" s="158">
        <v>2</v>
      </c>
      <c r="D112" s="158">
        <v>2</v>
      </c>
      <c r="E112" s="158">
        <v>2</v>
      </c>
      <c r="F112" s="158">
        <v>2</v>
      </c>
      <c r="G112" s="158">
        <v>2</v>
      </c>
      <c r="H112" s="158">
        <v>2</v>
      </c>
      <c r="I112" s="158">
        <v>2</v>
      </c>
      <c r="J112" s="158">
        <v>2</v>
      </c>
    </row>
    <row r="113" spans="2:10">
      <c r="B113" s="186" t="s">
        <v>401</v>
      </c>
      <c r="C113" s="158">
        <v>0</v>
      </c>
      <c r="D113" s="158">
        <v>0</v>
      </c>
      <c r="E113" s="158">
        <v>0</v>
      </c>
      <c r="F113" s="158">
        <v>0</v>
      </c>
      <c r="G113" s="158">
        <v>0</v>
      </c>
      <c r="H113" s="158">
        <v>0</v>
      </c>
      <c r="I113" s="158">
        <v>0</v>
      </c>
      <c r="J113" s="158">
        <v>0</v>
      </c>
    </row>
    <row r="114" spans="2:10" ht="15" thickBot="1">
      <c r="B114" s="183" t="s">
        <v>395</v>
      </c>
      <c r="C114" s="856">
        <v>0</v>
      </c>
      <c r="D114" s="856">
        <v>0</v>
      </c>
      <c r="E114" s="856">
        <v>0</v>
      </c>
      <c r="F114" s="856">
        <v>0</v>
      </c>
      <c r="G114" s="856">
        <v>0</v>
      </c>
      <c r="H114" s="856">
        <v>0</v>
      </c>
      <c r="I114" s="856">
        <v>0</v>
      </c>
      <c r="J114" s="856">
        <v>0</v>
      </c>
    </row>
    <row r="115" spans="2:10" ht="15" thickTop="1">
      <c r="B115" s="2025" t="s">
        <v>1820</v>
      </c>
      <c r="C115" s="2025"/>
      <c r="D115" s="2025"/>
      <c r="E115" s="2025"/>
      <c r="F115" s="2025"/>
      <c r="G115" s="2025"/>
      <c r="H115" s="2025"/>
      <c r="I115" s="2025"/>
      <c r="J115" s="2025"/>
    </row>
    <row r="116" spans="2:10">
      <c r="B116" s="2149" t="s">
        <v>1802</v>
      </c>
      <c r="C116" s="2149"/>
      <c r="D116" s="2149"/>
      <c r="E116" s="2149"/>
      <c r="F116" s="2149"/>
      <c r="G116" s="2149"/>
      <c r="H116" s="2149"/>
      <c r="I116" s="2149"/>
      <c r="J116" s="2149"/>
    </row>
    <row r="117" spans="2:10">
      <c r="B117" s="64"/>
      <c r="C117" s="302"/>
      <c r="D117" s="302"/>
      <c r="E117" s="302"/>
      <c r="F117" s="302"/>
      <c r="G117" s="302"/>
      <c r="H117" s="302"/>
      <c r="I117" s="302"/>
      <c r="J117" s="302"/>
    </row>
    <row r="118" spans="2:10">
      <c r="B118" s="2100" t="s">
        <v>393</v>
      </c>
      <c r="C118" s="2100"/>
      <c r="D118" s="2100"/>
      <c r="E118" s="2100"/>
      <c r="F118" s="2100"/>
      <c r="G118" s="2100"/>
      <c r="H118" s="2100"/>
      <c r="I118" s="2100"/>
      <c r="J118" s="2100"/>
    </row>
    <row r="119" spans="2:10" ht="16.5">
      <c r="B119" s="12" t="s">
        <v>1822</v>
      </c>
      <c r="C119" s="302"/>
      <c r="D119" s="302"/>
      <c r="E119" s="302"/>
      <c r="F119" s="302"/>
      <c r="G119" s="302"/>
      <c r="H119" s="302"/>
      <c r="I119" s="302"/>
      <c r="J119" s="302"/>
    </row>
    <row r="120" spans="2:10">
      <c r="B120" s="62" t="s">
        <v>269</v>
      </c>
      <c r="C120" s="302"/>
      <c r="D120" s="302"/>
      <c r="E120" s="302"/>
      <c r="F120" s="302"/>
      <c r="G120" s="302"/>
      <c r="H120" s="302"/>
      <c r="I120" s="302"/>
      <c r="J120" s="302"/>
    </row>
    <row r="121" spans="2:10">
      <c r="B121" s="64"/>
      <c r="C121" s="302"/>
      <c r="D121" s="302"/>
      <c r="E121" s="302"/>
      <c r="F121" s="302"/>
      <c r="G121" s="302"/>
      <c r="H121" s="302"/>
      <c r="I121" s="302"/>
      <c r="J121" s="302"/>
    </row>
    <row r="122" spans="2:10">
      <c r="B122" s="61"/>
      <c r="C122" s="303">
        <v>2014</v>
      </c>
      <c r="D122" s="303">
        <v>2015</v>
      </c>
      <c r="E122" s="303">
        <v>2016</v>
      </c>
      <c r="F122" s="303">
        <v>2017</v>
      </c>
      <c r="G122" s="303">
        <v>2018</v>
      </c>
      <c r="H122" s="303">
        <v>2019</v>
      </c>
      <c r="I122" s="303">
        <v>2020</v>
      </c>
      <c r="J122" s="303">
        <v>2021</v>
      </c>
    </row>
    <row r="123" spans="2:10">
      <c r="B123" s="179" t="s">
        <v>391</v>
      </c>
      <c r="C123" s="302"/>
      <c r="D123" s="302"/>
      <c r="E123" s="302"/>
      <c r="F123" s="302"/>
      <c r="G123" s="302"/>
      <c r="H123" s="302"/>
      <c r="I123" s="302"/>
      <c r="J123" s="302"/>
    </row>
    <row r="124" spans="2:10">
      <c r="B124" s="149" t="s">
        <v>390</v>
      </c>
      <c r="C124" s="158">
        <v>3081832</v>
      </c>
      <c r="D124" s="158">
        <v>3230543</v>
      </c>
      <c r="E124" s="158">
        <v>3348853</v>
      </c>
      <c r="F124" s="158">
        <v>3449932</v>
      </c>
      <c r="G124" s="158">
        <v>3597132</v>
      </c>
      <c r="H124" s="158">
        <v>3793367</v>
      </c>
      <c r="I124" s="158">
        <v>3272035</v>
      </c>
      <c r="J124" s="158">
        <v>3374519</v>
      </c>
    </row>
    <row r="125" spans="2:10">
      <c r="B125" s="149" t="s">
        <v>389</v>
      </c>
      <c r="C125" s="158">
        <v>2705182</v>
      </c>
      <c r="D125" s="158">
        <v>2808091</v>
      </c>
      <c r="E125" s="158">
        <v>2922174</v>
      </c>
      <c r="F125" s="158">
        <v>3024315</v>
      </c>
      <c r="G125" s="158">
        <v>3143439</v>
      </c>
      <c r="H125" s="158">
        <v>3304523</v>
      </c>
      <c r="I125" s="158">
        <v>2760768</v>
      </c>
      <c r="J125" s="158">
        <v>2840577</v>
      </c>
    </row>
    <row r="126" spans="2:10">
      <c r="B126" s="149" t="s">
        <v>388</v>
      </c>
      <c r="C126" s="158">
        <v>0</v>
      </c>
      <c r="D126" s="158">
        <v>0</v>
      </c>
      <c r="E126" s="158">
        <v>0</v>
      </c>
      <c r="F126" s="158">
        <v>0</v>
      </c>
      <c r="G126" s="158">
        <v>0</v>
      </c>
      <c r="H126" s="158">
        <v>0</v>
      </c>
      <c r="I126" s="158">
        <v>0</v>
      </c>
      <c r="J126" s="158">
        <v>0</v>
      </c>
    </row>
    <row r="127" spans="2:10">
      <c r="B127" s="149" t="s">
        <v>387</v>
      </c>
      <c r="C127" s="158">
        <v>376650</v>
      </c>
      <c r="D127" s="158">
        <v>422452</v>
      </c>
      <c r="E127" s="158">
        <v>426679</v>
      </c>
      <c r="F127" s="158">
        <v>425617</v>
      </c>
      <c r="G127" s="158">
        <v>453693</v>
      </c>
      <c r="H127" s="158">
        <v>488844</v>
      </c>
      <c r="I127" s="158">
        <v>511267</v>
      </c>
      <c r="J127" s="158">
        <v>533942</v>
      </c>
    </row>
    <row r="128" spans="2:10">
      <c r="B128" s="149" t="s">
        <v>386</v>
      </c>
      <c r="C128" s="158">
        <v>218942</v>
      </c>
      <c r="D128" s="158">
        <v>247566</v>
      </c>
      <c r="E128" s="158">
        <v>242737</v>
      </c>
      <c r="F128" s="158">
        <v>253973</v>
      </c>
      <c r="G128" s="158">
        <v>262198</v>
      </c>
      <c r="H128" s="158">
        <v>263404</v>
      </c>
      <c r="I128" s="158">
        <v>194704</v>
      </c>
      <c r="J128" s="158">
        <v>181877</v>
      </c>
    </row>
    <row r="129" spans="2:10" ht="26">
      <c r="B129" s="147" t="s">
        <v>385</v>
      </c>
      <c r="C129" s="158">
        <v>218942</v>
      </c>
      <c r="D129" s="158">
        <v>247566</v>
      </c>
      <c r="E129" s="158">
        <v>242737</v>
      </c>
      <c r="F129" s="158">
        <v>253973</v>
      </c>
      <c r="G129" s="158">
        <v>262198</v>
      </c>
      <c r="H129" s="158">
        <v>263404</v>
      </c>
      <c r="I129" s="158">
        <v>194704</v>
      </c>
      <c r="J129" s="158">
        <v>181877</v>
      </c>
    </row>
    <row r="130" spans="2:10">
      <c r="B130" s="54" t="s">
        <v>384</v>
      </c>
      <c r="C130" s="158">
        <v>3300774</v>
      </c>
      <c r="D130" s="158">
        <v>3478109</v>
      </c>
      <c r="E130" s="158">
        <v>3591590</v>
      </c>
      <c r="F130" s="158">
        <v>3703905</v>
      </c>
      <c r="G130" s="158">
        <v>3859330</v>
      </c>
      <c r="H130" s="158">
        <v>4056771</v>
      </c>
      <c r="I130" s="158">
        <v>3466739</v>
      </c>
      <c r="J130" s="158">
        <v>3556396</v>
      </c>
    </row>
    <row r="131" spans="2:10">
      <c r="B131" s="147" t="s">
        <v>383</v>
      </c>
      <c r="C131" s="158">
        <v>0</v>
      </c>
      <c r="D131" s="158">
        <v>0</v>
      </c>
      <c r="E131" s="158">
        <v>0</v>
      </c>
      <c r="F131" s="158">
        <v>0</v>
      </c>
      <c r="G131" s="158">
        <v>0</v>
      </c>
      <c r="H131" s="158">
        <v>0</v>
      </c>
      <c r="I131" s="158">
        <v>0</v>
      </c>
      <c r="J131" s="158">
        <v>0</v>
      </c>
    </row>
    <row r="132" spans="2:10">
      <c r="B132" s="54" t="s">
        <v>382</v>
      </c>
      <c r="C132" s="158">
        <v>0</v>
      </c>
      <c r="D132" s="158">
        <v>0</v>
      </c>
      <c r="E132" s="158">
        <v>0</v>
      </c>
      <c r="F132" s="158">
        <v>0</v>
      </c>
      <c r="G132" s="158">
        <v>0</v>
      </c>
      <c r="H132" s="158">
        <v>0</v>
      </c>
      <c r="I132" s="158">
        <v>0</v>
      </c>
      <c r="J132" s="158">
        <v>0</v>
      </c>
    </row>
    <row r="133" spans="2:10">
      <c r="B133" s="54"/>
      <c r="C133" s="158"/>
      <c r="D133" s="158"/>
      <c r="E133" s="158"/>
      <c r="F133" s="158"/>
      <c r="G133" s="158"/>
      <c r="H133" s="158"/>
      <c r="I133" s="158"/>
      <c r="J133" s="158"/>
    </row>
    <row r="134" spans="2:10">
      <c r="B134" s="1342" t="s">
        <v>381</v>
      </c>
      <c r="C134" s="158"/>
      <c r="D134" s="158"/>
      <c r="E134" s="158"/>
      <c r="F134" s="158"/>
      <c r="G134" s="158"/>
      <c r="H134" s="158"/>
      <c r="I134" s="158"/>
      <c r="J134" s="158"/>
    </row>
    <row r="135" spans="2:10">
      <c r="B135" s="54" t="s">
        <v>380</v>
      </c>
      <c r="C135" s="158"/>
      <c r="D135" s="158"/>
      <c r="E135" s="158"/>
      <c r="F135" s="158"/>
      <c r="G135" s="158"/>
      <c r="H135" s="158"/>
      <c r="I135" s="158"/>
      <c r="J135" s="158"/>
    </row>
    <row r="136" spans="2:10">
      <c r="B136" s="172" t="s">
        <v>379</v>
      </c>
      <c r="C136" s="158"/>
      <c r="D136" s="158"/>
      <c r="E136" s="158"/>
      <c r="F136" s="158"/>
      <c r="G136" s="158"/>
      <c r="H136" s="158"/>
      <c r="I136" s="158"/>
      <c r="J136" s="158"/>
    </row>
    <row r="137" spans="2:10">
      <c r="B137" s="168" t="s">
        <v>378</v>
      </c>
      <c r="C137" s="997">
        <v>438</v>
      </c>
      <c r="D137" s="997">
        <v>442</v>
      </c>
      <c r="E137" s="997">
        <v>457</v>
      </c>
      <c r="F137" s="997">
        <v>469</v>
      </c>
      <c r="G137" s="997">
        <v>476</v>
      </c>
      <c r="H137" s="997">
        <v>495</v>
      </c>
      <c r="I137" s="997">
        <v>499</v>
      </c>
      <c r="J137" s="997">
        <v>491</v>
      </c>
    </row>
    <row r="138" spans="2:10">
      <c r="B138" s="168" t="s">
        <v>377</v>
      </c>
      <c r="C138" s="158">
        <v>0</v>
      </c>
      <c r="D138" s="158">
        <v>0</v>
      </c>
      <c r="E138" s="158">
        <v>0</v>
      </c>
      <c r="F138" s="158">
        <v>0</v>
      </c>
      <c r="G138" s="158">
        <v>0</v>
      </c>
      <c r="H138" s="158">
        <v>0</v>
      </c>
      <c r="I138" s="158">
        <v>0</v>
      </c>
      <c r="J138" s="158">
        <v>0</v>
      </c>
    </row>
    <row r="139" spans="2:10">
      <c r="B139" s="149" t="s">
        <v>376</v>
      </c>
      <c r="C139" s="158">
        <v>1</v>
      </c>
      <c r="D139" s="158">
        <v>1</v>
      </c>
      <c r="E139" s="158">
        <v>1</v>
      </c>
      <c r="F139" s="158">
        <v>1</v>
      </c>
      <c r="G139" s="158">
        <v>1</v>
      </c>
      <c r="H139" s="158">
        <v>1</v>
      </c>
      <c r="I139" s="158">
        <v>1</v>
      </c>
      <c r="J139" s="158">
        <v>1</v>
      </c>
    </row>
    <row r="140" spans="2:10">
      <c r="B140" s="149"/>
      <c r="C140" s="158"/>
      <c r="D140" s="158"/>
      <c r="E140" s="158"/>
      <c r="F140" s="158"/>
      <c r="G140" s="158"/>
      <c r="H140" s="158"/>
      <c r="I140" s="158"/>
      <c r="J140" s="158"/>
    </row>
    <row r="141" spans="2:10">
      <c r="B141" s="149" t="s">
        <v>375</v>
      </c>
      <c r="C141" s="997">
        <v>15272</v>
      </c>
      <c r="D141" s="997">
        <v>15637</v>
      </c>
      <c r="E141" s="997">
        <v>16427</v>
      </c>
      <c r="F141" s="997">
        <v>17035</v>
      </c>
      <c r="G141" s="997">
        <v>18774</v>
      </c>
      <c r="H141" s="997">
        <v>19357</v>
      </c>
      <c r="I141" s="997">
        <v>19222</v>
      </c>
      <c r="J141" s="997">
        <v>20243</v>
      </c>
    </row>
    <row r="142" spans="2:10">
      <c r="B142" s="168" t="s">
        <v>374</v>
      </c>
      <c r="C142" s="997">
        <v>15272</v>
      </c>
      <c r="D142" s="997">
        <v>15637</v>
      </c>
      <c r="E142" s="997">
        <v>16427</v>
      </c>
      <c r="F142" s="997">
        <v>17035</v>
      </c>
      <c r="G142" s="997">
        <v>18774</v>
      </c>
      <c r="H142" s="997">
        <v>19357</v>
      </c>
      <c r="I142" s="997">
        <v>19222</v>
      </c>
      <c r="J142" s="997">
        <v>20243</v>
      </c>
    </row>
    <row r="143" spans="2:10">
      <c r="B143" s="149" t="s">
        <v>478</v>
      </c>
      <c r="C143" s="158">
        <v>0</v>
      </c>
      <c r="D143" s="158">
        <v>0</v>
      </c>
      <c r="E143" s="158">
        <v>0</v>
      </c>
      <c r="F143" s="158">
        <v>0</v>
      </c>
      <c r="G143" s="158">
        <v>0</v>
      </c>
      <c r="H143" s="158">
        <v>0</v>
      </c>
      <c r="I143" s="158">
        <v>0</v>
      </c>
      <c r="J143" s="158">
        <v>0</v>
      </c>
    </row>
    <row r="144" spans="2:10">
      <c r="B144" s="165" t="s">
        <v>373</v>
      </c>
      <c r="C144" s="158">
        <v>0</v>
      </c>
      <c r="D144" s="158">
        <v>0</v>
      </c>
      <c r="E144" s="158">
        <v>0</v>
      </c>
      <c r="F144" s="158">
        <v>0</v>
      </c>
      <c r="G144" s="158">
        <v>0</v>
      </c>
      <c r="H144" s="158">
        <v>0</v>
      </c>
      <c r="I144" s="158">
        <v>0</v>
      </c>
      <c r="J144" s="158">
        <v>0</v>
      </c>
    </row>
    <row r="145" spans="2:10">
      <c r="B145" s="149" t="s">
        <v>372</v>
      </c>
      <c r="C145" s="158">
        <v>0</v>
      </c>
      <c r="D145" s="158">
        <v>0</v>
      </c>
      <c r="E145" s="158">
        <v>0</v>
      </c>
      <c r="F145" s="158">
        <v>0</v>
      </c>
      <c r="G145" s="158">
        <v>0</v>
      </c>
      <c r="H145" s="158">
        <v>0</v>
      </c>
      <c r="I145" s="158">
        <v>0</v>
      </c>
      <c r="J145" s="158">
        <v>0</v>
      </c>
    </row>
    <row r="146" spans="2:10">
      <c r="B146" s="149" t="s">
        <v>371</v>
      </c>
      <c r="C146" s="158"/>
      <c r="D146" s="158"/>
      <c r="E146" s="158"/>
      <c r="F146" s="158"/>
      <c r="G146" s="158"/>
      <c r="H146" s="158"/>
      <c r="I146" s="158"/>
      <c r="J146" s="158"/>
    </row>
    <row r="147" spans="2:10">
      <c r="B147" s="147" t="s">
        <v>370</v>
      </c>
      <c r="C147" s="158">
        <v>1</v>
      </c>
      <c r="D147" s="158">
        <v>1</v>
      </c>
      <c r="E147" s="158">
        <v>1</v>
      </c>
      <c r="F147" s="158">
        <v>1</v>
      </c>
      <c r="G147" s="158">
        <v>1</v>
      </c>
      <c r="H147" s="158">
        <v>1</v>
      </c>
      <c r="I147" s="158">
        <v>1</v>
      </c>
      <c r="J147" s="158">
        <v>1</v>
      </c>
    </row>
    <row r="148" spans="2:10" ht="15" thickBot="1">
      <c r="B148" s="209" t="s">
        <v>369</v>
      </c>
      <c r="C148" s="856">
        <v>0</v>
      </c>
      <c r="D148" s="856">
        <v>0</v>
      </c>
      <c r="E148" s="856">
        <v>0</v>
      </c>
      <c r="F148" s="856">
        <v>0</v>
      </c>
      <c r="G148" s="856">
        <v>0</v>
      </c>
      <c r="H148" s="856">
        <v>0</v>
      </c>
      <c r="I148" s="856">
        <v>0</v>
      </c>
      <c r="J148" s="856">
        <v>0</v>
      </c>
    </row>
    <row r="149" spans="2:10" ht="15" thickTop="1">
      <c r="B149" s="2031" t="s">
        <v>1823</v>
      </c>
      <c r="C149" s="2031"/>
      <c r="D149" s="2031"/>
      <c r="E149" s="2031"/>
      <c r="F149" s="2031"/>
      <c r="G149" s="2031"/>
      <c r="H149" s="2031"/>
      <c r="I149" s="2031"/>
      <c r="J149" s="2031"/>
    </row>
    <row r="150" spans="2:10">
      <c r="B150" s="2031" t="s">
        <v>1824</v>
      </c>
      <c r="C150" s="2031"/>
      <c r="D150" s="2031"/>
      <c r="E150" s="2031"/>
      <c r="F150" s="2031"/>
      <c r="G150" s="2031"/>
      <c r="H150" s="2031"/>
      <c r="I150" s="2031"/>
      <c r="J150" s="2031"/>
    </row>
    <row r="151" spans="2:10">
      <c r="B151" s="2031"/>
      <c r="C151" s="2031"/>
      <c r="D151" s="2031"/>
      <c r="E151" s="2031"/>
      <c r="F151" s="2031"/>
      <c r="G151" s="2031"/>
      <c r="H151" s="2031"/>
      <c r="I151" s="2031"/>
      <c r="J151" s="2031"/>
    </row>
    <row r="152" spans="2:10">
      <c r="B152" s="64"/>
      <c r="C152" s="302"/>
      <c r="D152" s="302"/>
      <c r="E152" s="302"/>
      <c r="F152" s="302"/>
      <c r="G152" s="302"/>
      <c r="H152" s="302"/>
      <c r="I152" s="302"/>
      <c r="J152" s="302"/>
    </row>
    <row r="153" spans="2:10">
      <c r="B153" s="2100" t="s">
        <v>367</v>
      </c>
      <c r="C153" s="2100"/>
      <c r="D153" s="2100"/>
      <c r="E153" s="2100"/>
      <c r="F153" s="2100"/>
      <c r="G153" s="2100"/>
      <c r="H153" s="2100"/>
      <c r="I153" s="2100"/>
      <c r="J153" s="2100"/>
    </row>
    <row r="154" spans="2:10">
      <c r="B154" s="12" t="s">
        <v>366</v>
      </c>
      <c r="C154" s="302"/>
      <c r="D154" s="302"/>
      <c r="E154" s="302"/>
      <c r="F154" s="302"/>
      <c r="G154" s="302"/>
      <c r="H154" s="302"/>
      <c r="I154" s="302"/>
      <c r="J154" s="302"/>
    </row>
    <row r="155" spans="2:10">
      <c r="B155" s="62" t="s">
        <v>210</v>
      </c>
      <c r="C155" s="302"/>
      <c r="D155" s="302"/>
      <c r="E155" s="302"/>
      <c r="F155" s="302"/>
      <c r="G155" s="302"/>
      <c r="H155" s="302"/>
      <c r="I155" s="302"/>
      <c r="J155" s="302"/>
    </row>
    <row r="156" spans="2:10">
      <c r="B156" s="64"/>
      <c r="C156" s="302"/>
      <c r="D156" s="302"/>
      <c r="E156" s="302"/>
      <c r="F156" s="302"/>
      <c r="G156" s="302"/>
      <c r="H156" s="302"/>
      <c r="I156" s="302"/>
      <c r="J156" s="302"/>
    </row>
    <row r="157" spans="2:10">
      <c r="B157" s="61"/>
      <c r="C157" s="303">
        <v>2014</v>
      </c>
      <c r="D157" s="303">
        <v>2015</v>
      </c>
      <c r="E157" s="303">
        <v>2016</v>
      </c>
      <c r="F157" s="303">
        <v>2017</v>
      </c>
      <c r="G157" s="303">
        <v>2018</v>
      </c>
      <c r="H157" s="303">
        <v>2019</v>
      </c>
      <c r="I157" s="303">
        <v>2020</v>
      </c>
      <c r="J157" s="303">
        <v>2021</v>
      </c>
    </row>
    <row r="158" spans="2:10">
      <c r="B158" s="114" t="s">
        <v>362</v>
      </c>
      <c r="C158" s="302"/>
      <c r="D158" s="302"/>
      <c r="E158" s="302"/>
      <c r="F158" s="302"/>
      <c r="G158" s="302"/>
      <c r="H158" s="302"/>
      <c r="I158" s="302"/>
      <c r="J158" s="302"/>
    </row>
    <row r="159" spans="2:10">
      <c r="B159" s="54" t="s">
        <v>1825</v>
      </c>
      <c r="C159" s="306">
        <v>6711.6280000000006</v>
      </c>
      <c r="D159" s="306">
        <v>7173.9159999999993</v>
      </c>
      <c r="E159" s="306">
        <v>7388.7780000000002</v>
      </c>
      <c r="F159" s="306">
        <v>7906.982</v>
      </c>
      <c r="G159" s="306">
        <v>8939.5879999999997</v>
      </c>
      <c r="H159" s="306">
        <v>10079.534</v>
      </c>
      <c r="I159" s="306">
        <v>11935.812000000002</v>
      </c>
      <c r="J159" s="306">
        <v>15901.573</v>
      </c>
    </row>
    <row r="160" spans="2:10">
      <c r="B160" s="151" t="s">
        <v>360</v>
      </c>
      <c r="C160" s="306">
        <v>0</v>
      </c>
      <c r="D160" s="306">
        <v>0</v>
      </c>
      <c r="E160" s="306">
        <v>0</v>
      </c>
      <c r="F160" s="306">
        <v>0</v>
      </c>
      <c r="G160" s="306">
        <v>0</v>
      </c>
      <c r="H160" s="306">
        <v>0</v>
      </c>
      <c r="I160" s="306">
        <v>0</v>
      </c>
      <c r="J160" s="306">
        <v>0</v>
      </c>
    </row>
    <row r="161" spans="2:19">
      <c r="B161" s="151" t="s">
        <v>359</v>
      </c>
      <c r="C161" s="306">
        <v>6711.6280000000006</v>
      </c>
      <c r="D161" s="306">
        <v>7173.9159999999993</v>
      </c>
      <c r="E161" s="306">
        <v>7388.7780000000002</v>
      </c>
      <c r="F161" s="306">
        <v>7906.982</v>
      </c>
      <c r="G161" s="306">
        <v>8939.5879999999997</v>
      </c>
      <c r="H161" s="306">
        <v>10079.534</v>
      </c>
      <c r="I161" s="306">
        <v>11935.812000000002</v>
      </c>
      <c r="J161" s="306">
        <v>15901.573</v>
      </c>
    </row>
    <row r="162" spans="2:19">
      <c r="B162" s="152" t="s">
        <v>358</v>
      </c>
      <c r="C162" s="306">
        <v>199.392</v>
      </c>
      <c r="D162" s="306">
        <v>225.267</v>
      </c>
      <c r="E162" s="306">
        <v>250.661</v>
      </c>
      <c r="F162" s="306">
        <v>275.56200000000001</v>
      </c>
      <c r="G162" s="306">
        <v>297.13099999999997</v>
      </c>
      <c r="H162" s="306">
        <v>321.916</v>
      </c>
      <c r="I162" s="306">
        <v>348.233</v>
      </c>
      <c r="J162" s="306">
        <v>419.92700000000002</v>
      </c>
    </row>
    <row r="163" spans="2:19">
      <c r="B163" s="71" t="s">
        <v>357</v>
      </c>
      <c r="C163" s="306">
        <v>45417.771000000001</v>
      </c>
      <c r="D163" s="306">
        <v>49344.08</v>
      </c>
      <c r="E163" s="306">
        <v>54468.437000000005</v>
      </c>
      <c r="F163" s="306">
        <v>55675.728999999999</v>
      </c>
      <c r="G163" s="306">
        <v>58460.055</v>
      </c>
      <c r="H163" s="306">
        <v>62554.593999999997</v>
      </c>
      <c r="I163" s="306">
        <v>57669.34</v>
      </c>
      <c r="J163" s="306">
        <v>60266.887000000002</v>
      </c>
    </row>
    <row r="164" spans="2:19">
      <c r="B164" s="151" t="s">
        <v>356</v>
      </c>
      <c r="C164" s="306">
        <v>31854.857</v>
      </c>
      <c r="D164" s="306">
        <v>34446.885999999999</v>
      </c>
      <c r="E164" s="306">
        <v>37715.828000000001</v>
      </c>
      <c r="F164" s="306">
        <v>38161.368999999999</v>
      </c>
      <c r="G164" s="306">
        <v>40142.737000000001</v>
      </c>
      <c r="H164" s="306">
        <v>43274.631000000001</v>
      </c>
      <c r="I164" s="306">
        <v>40458.860999999997</v>
      </c>
      <c r="J164" s="306">
        <v>42628.713000000003</v>
      </c>
    </row>
    <row r="165" spans="2:19">
      <c r="B165" s="151" t="s">
        <v>355</v>
      </c>
      <c r="C165" s="306">
        <v>0</v>
      </c>
      <c r="D165" s="306">
        <v>0</v>
      </c>
      <c r="E165" s="306">
        <v>0</v>
      </c>
      <c r="F165" s="306">
        <v>0</v>
      </c>
      <c r="G165" s="306">
        <v>0</v>
      </c>
      <c r="H165" s="306">
        <v>0</v>
      </c>
      <c r="I165" s="306">
        <v>0</v>
      </c>
      <c r="J165" s="306">
        <v>0</v>
      </c>
    </row>
    <row r="166" spans="2:19">
      <c r="B166" s="151" t="s">
        <v>354</v>
      </c>
      <c r="C166" s="306">
        <v>13562.914000000001</v>
      </c>
      <c r="D166" s="306">
        <v>14897.194</v>
      </c>
      <c r="E166" s="306">
        <v>16752.609</v>
      </c>
      <c r="F166" s="306">
        <v>17514.36</v>
      </c>
      <c r="G166" s="306">
        <v>18317.317999999999</v>
      </c>
      <c r="H166" s="306">
        <v>19279.963</v>
      </c>
      <c r="I166" s="306">
        <v>17210.478999999999</v>
      </c>
      <c r="J166" s="306">
        <v>17638.173999999999</v>
      </c>
    </row>
    <row r="167" spans="2:19">
      <c r="B167" s="71" t="s">
        <v>338</v>
      </c>
      <c r="C167" s="306">
        <v>3944.3</v>
      </c>
      <c r="D167" s="306">
        <v>4309.5069999999996</v>
      </c>
      <c r="E167" s="306">
        <v>4651.0429999999997</v>
      </c>
      <c r="F167" s="306">
        <v>4632.9179999999997</v>
      </c>
      <c r="G167" s="306">
        <v>5174.2650000000003</v>
      </c>
      <c r="H167" s="306">
        <v>6081.6350000000002</v>
      </c>
      <c r="I167" s="306">
        <v>5293.0929999999998</v>
      </c>
      <c r="J167" s="306">
        <v>5715.7440000000006</v>
      </c>
    </row>
    <row r="168" spans="2:19">
      <c r="B168" s="71" t="s">
        <v>353</v>
      </c>
      <c r="C168" s="200">
        <v>14722.382</v>
      </c>
      <c r="D168" s="200">
        <v>14444.267</v>
      </c>
      <c r="E168" s="200">
        <v>13601.422</v>
      </c>
      <c r="F168" s="200">
        <v>12952.458000000001</v>
      </c>
      <c r="G168" s="200">
        <v>12059.367</v>
      </c>
      <c r="H168" s="200">
        <v>11386.897000000001</v>
      </c>
      <c r="I168" s="200">
        <v>8333.6110000000008</v>
      </c>
      <c r="J168" s="200">
        <v>7212.13</v>
      </c>
    </row>
    <row r="169" spans="2:19">
      <c r="B169" s="150" t="s">
        <v>1472</v>
      </c>
      <c r="C169" s="200">
        <v>14722.382</v>
      </c>
      <c r="D169" s="200">
        <v>14444.267</v>
      </c>
      <c r="E169" s="200">
        <v>13601.422</v>
      </c>
      <c r="F169" s="200">
        <v>12952.458000000001</v>
      </c>
      <c r="G169" s="200">
        <v>12059.367</v>
      </c>
      <c r="H169" s="200">
        <v>11386.897000000001</v>
      </c>
      <c r="I169" s="200">
        <v>8333.6110000000008</v>
      </c>
      <c r="J169" s="200">
        <v>7212.13</v>
      </c>
    </row>
    <row r="170" spans="2:19">
      <c r="B170" s="150" t="s">
        <v>351</v>
      </c>
      <c r="C170" s="200">
        <v>0</v>
      </c>
      <c r="D170" s="200">
        <v>0</v>
      </c>
      <c r="E170" s="200">
        <v>0</v>
      </c>
      <c r="F170" s="200">
        <v>0</v>
      </c>
      <c r="G170" s="200">
        <v>0</v>
      </c>
      <c r="H170" s="200">
        <v>0</v>
      </c>
      <c r="I170" s="200">
        <v>0</v>
      </c>
      <c r="J170" s="200">
        <v>0</v>
      </c>
    </row>
    <row r="171" spans="2:19">
      <c r="B171" s="54" t="s">
        <v>350</v>
      </c>
      <c r="C171" s="200">
        <v>0</v>
      </c>
      <c r="D171" s="200">
        <v>0</v>
      </c>
      <c r="E171" s="200">
        <v>0</v>
      </c>
      <c r="F171" s="200">
        <v>0</v>
      </c>
      <c r="G171" s="200">
        <v>0</v>
      </c>
      <c r="H171" s="200">
        <v>0</v>
      </c>
      <c r="I171" s="200">
        <v>0</v>
      </c>
      <c r="J171" s="200">
        <v>0</v>
      </c>
    </row>
    <row r="172" spans="2:19">
      <c r="B172" s="54"/>
      <c r="C172" s="200"/>
      <c r="D172" s="200"/>
      <c r="E172" s="200"/>
      <c r="F172" s="200"/>
      <c r="G172" s="200"/>
      <c r="H172" s="200"/>
      <c r="I172" s="200"/>
      <c r="J172" s="200"/>
    </row>
    <row r="173" spans="2:19">
      <c r="B173" s="54" t="s">
        <v>365</v>
      </c>
      <c r="C173" s="200">
        <v>70995.472999999998</v>
      </c>
      <c r="D173" s="200">
        <v>75497.036999999997</v>
      </c>
      <c r="E173" s="200">
        <v>80360.341000000015</v>
      </c>
      <c r="F173" s="200">
        <v>81443.649000000005</v>
      </c>
      <c r="G173" s="200">
        <v>84930.406000000003</v>
      </c>
      <c r="H173" s="200">
        <v>90424.575999999986</v>
      </c>
      <c r="I173" s="200">
        <v>83580.088999999993</v>
      </c>
      <c r="J173" s="200">
        <v>89516.261000000013</v>
      </c>
    </row>
    <row r="174" spans="2:19">
      <c r="B174" s="147" t="s">
        <v>348</v>
      </c>
      <c r="C174" s="200">
        <v>0</v>
      </c>
      <c r="D174" s="200">
        <v>0</v>
      </c>
      <c r="E174" s="200">
        <v>0</v>
      </c>
      <c r="F174" s="200">
        <v>0</v>
      </c>
      <c r="G174" s="200">
        <v>0</v>
      </c>
      <c r="H174" s="200">
        <v>0</v>
      </c>
      <c r="I174" s="200">
        <v>0</v>
      </c>
      <c r="J174" s="200">
        <v>0</v>
      </c>
    </row>
    <row r="175" spans="2:19">
      <c r="B175" s="147"/>
      <c r="C175" s="200"/>
      <c r="D175" s="200"/>
      <c r="E175" s="200"/>
      <c r="F175" s="200"/>
      <c r="G175" s="200"/>
      <c r="H175" s="200"/>
      <c r="I175" s="200"/>
      <c r="J175" s="200"/>
    </row>
    <row r="176" spans="2:19">
      <c r="B176" s="54" t="s">
        <v>347</v>
      </c>
      <c r="C176" s="200">
        <v>0</v>
      </c>
      <c r="D176" s="200">
        <v>0</v>
      </c>
      <c r="E176" s="200">
        <v>0</v>
      </c>
      <c r="F176" s="200">
        <v>0</v>
      </c>
      <c r="G176" s="200">
        <v>0</v>
      </c>
      <c r="H176" s="200">
        <v>0</v>
      </c>
      <c r="I176" s="200">
        <v>0</v>
      </c>
      <c r="J176" s="200">
        <v>0</v>
      </c>
      <c r="L176" s="95"/>
      <c r="M176" s="95"/>
      <c r="N176" s="95"/>
      <c r="O176" s="95"/>
      <c r="P176" s="95"/>
      <c r="Q176" s="95"/>
      <c r="R176" s="95"/>
      <c r="S176" s="95"/>
    </row>
    <row r="177" spans="2:10">
      <c r="B177" s="54"/>
      <c r="C177" s="306"/>
      <c r="D177" s="306"/>
      <c r="E177" s="306"/>
      <c r="F177" s="306"/>
      <c r="G177" s="306"/>
      <c r="H177" s="306"/>
      <c r="I177" s="306"/>
      <c r="J177" s="306"/>
    </row>
    <row r="178" spans="2:10">
      <c r="B178" s="114" t="s">
        <v>346</v>
      </c>
      <c r="C178" s="306"/>
      <c r="D178" s="306"/>
      <c r="E178" s="306"/>
      <c r="F178" s="306"/>
      <c r="G178" s="306"/>
      <c r="H178" s="306"/>
      <c r="I178" s="306"/>
      <c r="J178" s="306"/>
    </row>
    <row r="179" spans="2:10">
      <c r="B179" s="54" t="s">
        <v>342</v>
      </c>
      <c r="C179" s="306">
        <v>35125.904000000002</v>
      </c>
      <c r="D179" s="306">
        <v>35215.447999999997</v>
      </c>
      <c r="E179" s="306">
        <v>34205.212</v>
      </c>
      <c r="F179" s="306">
        <v>33194.207999999999</v>
      </c>
      <c r="G179" s="306">
        <v>32710.43</v>
      </c>
      <c r="H179" s="306">
        <v>34039.313000000002</v>
      </c>
      <c r="I179" s="306">
        <v>29968.495999999999</v>
      </c>
      <c r="J179" s="306">
        <v>30238.013999999999</v>
      </c>
    </row>
    <row r="180" spans="2:10">
      <c r="B180" s="147" t="s">
        <v>341</v>
      </c>
      <c r="C180" s="306">
        <v>35125.904000000002</v>
      </c>
      <c r="D180" s="306">
        <v>35215.447999999997</v>
      </c>
      <c r="E180" s="306">
        <v>34205.212</v>
      </c>
      <c r="F180" s="306">
        <v>33194.207999999999</v>
      </c>
      <c r="G180" s="306">
        <v>32710.43</v>
      </c>
      <c r="H180" s="306">
        <v>34039.313000000002</v>
      </c>
      <c r="I180" s="306">
        <v>29968.495999999999</v>
      </c>
      <c r="J180" s="306">
        <v>30238.013999999999</v>
      </c>
    </row>
    <row r="181" spans="2:10">
      <c r="B181" s="147" t="s">
        <v>340</v>
      </c>
      <c r="C181" s="306">
        <v>0</v>
      </c>
      <c r="D181" s="306">
        <v>0</v>
      </c>
      <c r="E181" s="306">
        <v>0</v>
      </c>
      <c r="F181" s="306">
        <v>0</v>
      </c>
      <c r="G181" s="306">
        <v>0</v>
      </c>
      <c r="H181" s="306">
        <v>0</v>
      </c>
      <c r="I181" s="306">
        <v>0</v>
      </c>
      <c r="J181" s="306">
        <v>0</v>
      </c>
    </row>
    <row r="182" spans="2:10">
      <c r="B182" s="54" t="s">
        <v>339</v>
      </c>
      <c r="C182" s="306">
        <v>45417.771000000001</v>
      </c>
      <c r="D182" s="306">
        <v>49344.08</v>
      </c>
      <c r="E182" s="306">
        <v>54468.436999999998</v>
      </c>
      <c r="F182" s="306">
        <v>55675.728999999999</v>
      </c>
      <c r="G182" s="306">
        <v>58460.055</v>
      </c>
      <c r="H182" s="306">
        <v>62554.593999999997</v>
      </c>
      <c r="I182" s="306">
        <v>57669.34</v>
      </c>
      <c r="J182" s="306">
        <v>60266.887000000002</v>
      </c>
    </row>
    <row r="183" spans="2:10">
      <c r="B183" s="54" t="s">
        <v>1826</v>
      </c>
      <c r="C183" s="306">
        <v>3944.3</v>
      </c>
      <c r="D183" s="306">
        <v>4309.5069999999996</v>
      </c>
      <c r="E183" s="306">
        <v>4651.0429999999997</v>
      </c>
      <c r="F183" s="306">
        <v>4632.9179999999997</v>
      </c>
      <c r="G183" s="306">
        <v>5174.2650000000003</v>
      </c>
      <c r="H183" s="306">
        <v>6081.6350000000002</v>
      </c>
      <c r="I183" s="306">
        <v>5293.0929999999998</v>
      </c>
      <c r="J183" s="306">
        <v>5715.7440000000006</v>
      </c>
    </row>
    <row r="184" spans="2:10">
      <c r="B184" s="147" t="s">
        <v>337</v>
      </c>
      <c r="C184" s="306">
        <v>0</v>
      </c>
      <c r="D184" s="306">
        <v>0</v>
      </c>
      <c r="E184" s="306">
        <v>0</v>
      </c>
      <c r="F184" s="306">
        <v>0</v>
      </c>
      <c r="G184" s="306">
        <v>0</v>
      </c>
      <c r="H184" s="306">
        <v>0</v>
      </c>
      <c r="I184" s="306">
        <v>0</v>
      </c>
      <c r="J184" s="306">
        <v>0</v>
      </c>
    </row>
    <row r="185" spans="2:10">
      <c r="B185" s="147" t="s">
        <v>336</v>
      </c>
      <c r="C185" s="306">
        <v>3944.3</v>
      </c>
      <c r="D185" s="306">
        <v>4309.5069999999996</v>
      </c>
      <c r="E185" s="306">
        <v>4651.0429999999997</v>
      </c>
      <c r="F185" s="306">
        <v>4632.9179999999997</v>
      </c>
      <c r="G185" s="306">
        <v>5174.2650000000003</v>
      </c>
      <c r="H185" s="306">
        <v>6081.6350000000002</v>
      </c>
      <c r="I185" s="306">
        <v>5293.0929999999998</v>
      </c>
      <c r="J185" s="306">
        <v>5715.7440000000006</v>
      </c>
    </row>
    <row r="186" spans="2:10">
      <c r="B186" s="147" t="s">
        <v>335</v>
      </c>
      <c r="C186" s="306">
        <v>0</v>
      </c>
      <c r="D186" s="306">
        <v>0</v>
      </c>
      <c r="E186" s="306">
        <v>0</v>
      </c>
      <c r="F186" s="306">
        <v>0</v>
      </c>
      <c r="G186" s="306">
        <v>0</v>
      </c>
      <c r="H186" s="306">
        <v>0</v>
      </c>
      <c r="I186" s="306">
        <v>0</v>
      </c>
      <c r="J186" s="306">
        <v>0</v>
      </c>
    </row>
    <row r="187" spans="2:10">
      <c r="B187" s="147"/>
      <c r="C187" s="306"/>
      <c r="D187" s="306"/>
      <c r="E187" s="306"/>
      <c r="F187" s="306"/>
      <c r="G187" s="306"/>
      <c r="H187" s="306"/>
      <c r="I187" s="306"/>
      <c r="J187" s="306"/>
    </row>
    <row r="188" spans="2:10">
      <c r="B188" s="148" t="s">
        <v>345</v>
      </c>
      <c r="C188" s="306"/>
      <c r="D188" s="306"/>
      <c r="E188" s="306"/>
      <c r="F188" s="306"/>
      <c r="G188" s="306"/>
      <c r="H188" s="306"/>
      <c r="I188" s="306"/>
      <c r="J188" s="306"/>
    </row>
    <row r="189" spans="2:10">
      <c r="B189" s="54" t="s">
        <v>342</v>
      </c>
      <c r="C189" s="306">
        <v>35125.904000000002</v>
      </c>
      <c r="D189" s="306">
        <v>35215.447999999997</v>
      </c>
      <c r="E189" s="306">
        <v>34205.212</v>
      </c>
      <c r="F189" s="306">
        <v>33194.207999999999</v>
      </c>
      <c r="G189" s="306">
        <v>32710.43</v>
      </c>
      <c r="H189" s="306">
        <v>34039.313000000002</v>
      </c>
      <c r="I189" s="306">
        <v>29968.495999999999</v>
      </c>
      <c r="J189" s="306">
        <v>30238.013999999999</v>
      </c>
    </row>
    <row r="190" spans="2:10">
      <c r="B190" s="147" t="s">
        <v>341</v>
      </c>
      <c r="C190" s="306">
        <v>35125.904000000002</v>
      </c>
      <c r="D190" s="306">
        <v>35215.447999999997</v>
      </c>
      <c r="E190" s="306">
        <v>34205.212</v>
      </c>
      <c r="F190" s="306">
        <v>33194.207999999999</v>
      </c>
      <c r="G190" s="306">
        <v>32710.43</v>
      </c>
      <c r="H190" s="306">
        <v>34039.313000000002</v>
      </c>
      <c r="I190" s="306">
        <v>29968.495999999999</v>
      </c>
      <c r="J190" s="306">
        <v>30238.013999999999</v>
      </c>
    </row>
    <row r="191" spans="2:10">
      <c r="B191" s="147" t="s">
        <v>340</v>
      </c>
      <c r="C191" s="306">
        <v>0</v>
      </c>
      <c r="D191" s="306">
        <v>0</v>
      </c>
      <c r="E191" s="306">
        <v>0</v>
      </c>
      <c r="F191" s="306">
        <v>0</v>
      </c>
      <c r="G191" s="306">
        <v>0</v>
      </c>
      <c r="H191" s="306">
        <v>0</v>
      </c>
      <c r="I191" s="306">
        <v>0</v>
      </c>
      <c r="J191" s="306">
        <v>0</v>
      </c>
    </row>
    <row r="192" spans="2:10">
      <c r="B192" s="54" t="s">
        <v>339</v>
      </c>
      <c r="C192" s="306">
        <v>45417.771000000001</v>
      </c>
      <c r="D192" s="306">
        <v>49344.08</v>
      </c>
      <c r="E192" s="306">
        <v>54468.436999999998</v>
      </c>
      <c r="F192" s="306">
        <v>55675.728999999999</v>
      </c>
      <c r="G192" s="306">
        <v>58460.055</v>
      </c>
      <c r="H192" s="306">
        <v>62554.593999999997</v>
      </c>
      <c r="I192" s="306">
        <v>57669.34</v>
      </c>
      <c r="J192" s="306">
        <v>60266.887000000002</v>
      </c>
    </row>
    <row r="193" spans="2:10">
      <c r="B193" s="54" t="s">
        <v>338</v>
      </c>
      <c r="C193" s="306">
        <v>3944.3</v>
      </c>
      <c r="D193" s="306">
        <v>4309.5069999999996</v>
      </c>
      <c r="E193" s="306">
        <v>4651.0429999999997</v>
      </c>
      <c r="F193" s="306">
        <v>4632.9179999999997</v>
      </c>
      <c r="G193" s="306">
        <v>5174.2650000000003</v>
      </c>
      <c r="H193" s="306">
        <v>6081.6350000000002</v>
      </c>
      <c r="I193" s="306">
        <v>5293.0929999999998</v>
      </c>
      <c r="J193" s="306">
        <v>5715.7440000000006</v>
      </c>
    </row>
    <row r="194" spans="2:10">
      <c r="B194" s="147" t="s">
        <v>337</v>
      </c>
      <c r="C194" s="306">
        <v>0</v>
      </c>
      <c r="D194" s="306">
        <v>0</v>
      </c>
      <c r="E194" s="306">
        <v>0</v>
      </c>
      <c r="F194" s="306">
        <v>0</v>
      </c>
      <c r="G194" s="306">
        <v>0</v>
      </c>
      <c r="H194" s="306">
        <v>0</v>
      </c>
      <c r="I194" s="306">
        <v>0</v>
      </c>
      <c r="J194" s="306">
        <v>0</v>
      </c>
    </row>
    <row r="195" spans="2:10">
      <c r="B195" s="147" t="s">
        <v>336</v>
      </c>
      <c r="C195" s="306">
        <v>3944.3</v>
      </c>
      <c r="D195" s="306">
        <v>4309.5069999999996</v>
      </c>
      <c r="E195" s="306">
        <v>4651.0429999999997</v>
      </c>
      <c r="F195" s="306">
        <v>4632.9179999999997</v>
      </c>
      <c r="G195" s="306">
        <v>5174.2650000000003</v>
      </c>
      <c r="H195" s="306">
        <v>6081.6350000000002</v>
      </c>
      <c r="I195" s="306">
        <v>5293.0929999999998</v>
      </c>
      <c r="J195" s="306">
        <v>5715.7440000000006</v>
      </c>
    </row>
    <row r="196" spans="2:10">
      <c r="B196" s="147" t="s">
        <v>335</v>
      </c>
      <c r="C196" s="307">
        <v>0</v>
      </c>
      <c r="D196" s="307">
        <v>0</v>
      </c>
      <c r="E196" s="307">
        <v>0</v>
      </c>
      <c r="F196" s="307">
        <v>0</v>
      </c>
      <c r="G196" s="307">
        <v>0</v>
      </c>
      <c r="H196" s="307">
        <v>0</v>
      </c>
      <c r="I196" s="307">
        <v>0</v>
      </c>
      <c r="J196" s="307">
        <v>0</v>
      </c>
    </row>
    <row r="197" spans="2:10">
      <c r="B197" s="147"/>
      <c r="C197" s="307"/>
      <c r="D197" s="307"/>
      <c r="E197" s="307"/>
      <c r="F197" s="307"/>
      <c r="G197" s="307"/>
      <c r="H197" s="307"/>
      <c r="I197" s="307"/>
      <c r="J197" s="307"/>
    </row>
    <row r="198" spans="2:10" ht="28">
      <c r="B198" s="148" t="s">
        <v>1827</v>
      </c>
      <c r="C198" s="307"/>
      <c r="D198" s="307"/>
      <c r="E198" s="307"/>
      <c r="F198" s="307"/>
      <c r="G198" s="307"/>
      <c r="H198" s="307"/>
      <c r="I198" s="307"/>
      <c r="J198" s="307"/>
    </row>
    <row r="199" spans="2:10">
      <c r="B199" s="54" t="s">
        <v>342</v>
      </c>
      <c r="C199" s="307">
        <v>0</v>
      </c>
      <c r="D199" s="307">
        <v>0</v>
      </c>
      <c r="E199" s="307">
        <v>0</v>
      </c>
      <c r="F199" s="307">
        <v>0</v>
      </c>
      <c r="G199" s="307">
        <v>0</v>
      </c>
      <c r="H199" s="307">
        <v>0</v>
      </c>
      <c r="I199" s="307">
        <v>0</v>
      </c>
      <c r="J199" s="307">
        <v>0</v>
      </c>
    </row>
    <row r="200" spans="2:10">
      <c r="B200" s="147" t="s">
        <v>341</v>
      </c>
      <c r="C200" s="307">
        <v>0</v>
      </c>
      <c r="D200" s="307">
        <v>0</v>
      </c>
      <c r="E200" s="307">
        <v>0</v>
      </c>
      <c r="F200" s="307">
        <v>0</v>
      </c>
      <c r="G200" s="307">
        <v>0</v>
      </c>
      <c r="H200" s="307">
        <v>0</v>
      </c>
      <c r="I200" s="307">
        <v>0</v>
      </c>
      <c r="J200" s="307">
        <v>0</v>
      </c>
    </row>
    <row r="201" spans="2:10">
      <c r="B201" s="147" t="s">
        <v>340</v>
      </c>
      <c r="C201" s="307">
        <v>0</v>
      </c>
      <c r="D201" s="307">
        <v>0</v>
      </c>
      <c r="E201" s="307">
        <v>0</v>
      </c>
      <c r="F201" s="307">
        <v>0</v>
      </c>
      <c r="G201" s="307">
        <v>0</v>
      </c>
      <c r="H201" s="307">
        <v>0</v>
      </c>
      <c r="I201" s="307">
        <v>0</v>
      </c>
      <c r="J201" s="307">
        <v>0</v>
      </c>
    </row>
    <row r="202" spans="2:10">
      <c r="B202" s="54" t="s">
        <v>339</v>
      </c>
      <c r="C202" s="307">
        <v>0</v>
      </c>
      <c r="D202" s="307">
        <v>0</v>
      </c>
      <c r="E202" s="307">
        <v>0</v>
      </c>
      <c r="F202" s="307">
        <v>0</v>
      </c>
      <c r="G202" s="307">
        <v>0</v>
      </c>
      <c r="H202" s="307">
        <v>0</v>
      </c>
      <c r="I202" s="307">
        <v>0</v>
      </c>
      <c r="J202" s="307">
        <v>0</v>
      </c>
    </row>
    <row r="203" spans="2:10">
      <c r="B203" s="54" t="s">
        <v>338</v>
      </c>
      <c r="C203" s="307">
        <v>0</v>
      </c>
      <c r="D203" s="307">
        <v>0</v>
      </c>
      <c r="E203" s="307">
        <v>0</v>
      </c>
      <c r="F203" s="307">
        <v>0</v>
      </c>
      <c r="G203" s="307">
        <v>0</v>
      </c>
      <c r="H203" s="307">
        <v>0</v>
      </c>
      <c r="I203" s="307">
        <v>0</v>
      </c>
      <c r="J203" s="307">
        <v>0</v>
      </c>
    </row>
    <row r="204" spans="2:10">
      <c r="B204" s="147" t="s">
        <v>337</v>
      </c>
      <c r="C204" s="307">
        <v>0</v>
      </c>
      <c r="D204" s="307">
        <v>0</v>
      </c>
      <c r="E204" s="307">
        <v>0</v>
      </c>
      <c r="F204" s="307">
        <v>0</v>
      </c>
      <c r="G204" s="307">
        <v>0</v>
      </c>
      <c r="H204" s="307">
        <v>0</v>
      </c>
      <c r="I204" s="307">
        <v>0</v>
      </c>
      <c r="J204" s="307">
        <v>0</v>
      </c>
    </row>
    <row r="205" spans="2:10">
      <c r="B205" s="147" t="s">
        <v>336</v>
      </c>
      <c r="C205" s="307">
        <v>0</v>
      </c>
      <c r="D205" s="307">
        <v>0</v>
      </c>
      <c r="E205" s="307">
        <v>0</v>
      </c>
      <c r="F205" s="307">
        <v>0</v>
      </c>
      <c r="G205" s="307">
        <v>0</v>
      </c>
      <c r="H205" s="307">
        <v>0</v>
      </c>
      <c r="I205" s="307">
        <v>0</v>
      </c>
      <c r="J205" s="307">
        <v>0</v>
      </c>
    </row>
    <row r="206" spans="2:10">
      <c r="B206" s="147" t="s">
        <v>335</v>
      </c>
      <c r="C206" s="307">
        <v>0</v>
      </c>
      <c r="D206" s="307">
        <v>0</v>
      </c>
      <c r="E206" s="307">
        <v>0</v>
      </c>
      <c r="F206" s="307">
        <v>0</v>
      </c>
      <c r="G206" s="307">
        <v>0</v>
      </c>
      <c r="H206" s="307">
        <v>0</v>
      </c>
      <c r="I206" s="307">
        <v>0</v>
      </c>
      <c r="J206" s="307">
        <v>0</v>
      </c>
    </row>
    <row r="207" spans="2:10">
      <c r="B207" s="147"/>
      <c r="C207" s="307"/>
      <c r="D207" s="307"/>
      <c r="E207" s="307"/>
      <c r="F207" s="307"/>
      <c r="G207" s="307"/>
      <c r="H207" s="307"/>
      <c r="I207" s="307"/>
      <c r="J207" s="307"/>
    </row>
    <row r="208" spans="2:10" ht="26">
      <c r="B208" s="148" t="s">
        <v>343</v>
      </c>
      <c r="C208" s="307"/>
      <c r="D208" s="307"/>
      <c r="E208" s="307"/>
      <c r="F208" s="307"/>
      <c r="G208" s="307"/>
      <c r="H208" s="307"/>
      <c r="I208" s="307"/>
      <c r="J208" s="307"/>
    </row>
    <row r="209" spans="2:10">
      <c r="B209" s="54" t="s">
        <v>342</v>
      </c>
      <c r="C209" s="307">
        <v>0</v>
      </c>
      <c r="D209" s="307">
        <v>0</v>
      </c>
      <c r="E209" s="307">
        <v>0</v>
      </c>
      <c r="F209" s="307">
        <v>0</v>
      </c>
      <c r="G209" s="307">
        <v>0</v>
      </c>
      <c r="H209" s="307">
        <v>0</v>
      </c>
      <c r="I209" s="307">
        <v>0</v>
      </c>
      <c r="J209" s="307">
        <v>0</v>
      </c>
    </row>
    <row r="210" spans="2:10">
      <c r="B210" s="147" t="s">
        <v>341</v>
      </c>
      <c r="C210" s="307">
        <v>0</v>
      </c>
      <c r="D210" s="307">
        <v>0</v>
      </c>
      <c r="E210" s="307">
        <v>0</v>
      </c>
      <c r="F210" s="307">
        <v>0</v>
      </c>
      <c r="G210" s="307">
        <v>0</v>
      </c>
      <c r="H210" s="307">
        <v>0</v>
      </c>
      <c r="I210" s="307">
        <v>0</v>
      </c>
      <c r="J210" s="307">
        <v>0</v>
      </c>
    </row>
    <row r="211" spans="2:10">
      <c r="B211" s="147" t="s">
        <v>340</v>
      </c>
      <c r="C211" s="307">
        <v>0</v>
      </c>
      <c r="D211" s="307">
        <v>0</v>
      </c>
      <c r="E211" s="307">
        <v>0</v>
      </c>
      <c r="F211" s="307">
        <v>0</v>
      </c>
      <c r="G211" s="307">
        <v>0</v>
      </c>
      <c r="H211" s="307">
        <v>0</v>
      </c>
      <c r="I211" s="307">
        <v>0</v>
      </c>
      <c r="J211" s="307">
        <v>0</v>
      </c>
    </row>
    <row r="212" spans="2:10">
      <c r="B212" s="54" t="s">
        <v>339</v>
      </c>
      <c r="C212" s="307">
        <v>0</v>
      </c>
      <c r="D212" s="307">
        <v>0</v>
      </c>
      <c r="E212" s="307">
        <v>0</v>
      </c>
      <c r="F212" s="307">
        <v>0</v>
      </c>
      <c r="G212" s="307">
        <v>0</v>
      </c>
      <c r="H212" s="307">
        <v>0</v>
      </c>
      <c r="I212" s="307">
        <v>0</v>
      </c>
      <c r="J212" s="307">
        <v>0</v>
      </c>
    </row>
    <row r="213" spans="2:10">
      <c r="B213" s="54" t="s">
        <v>338</v>
      </c>
      <c r="C213" s="307">
        <v>0</v>
      </c>
      <c r="D213" s="307">
        <v>0</v>
      </c>
      <c r="E213" s="307">
        <v>0</v>
      </c>
      <c r="F213" s="307">
        <v>0</v>
      </c>
      <c r="G213" s="307">
        <v>0</v>
      </c>
      <c r="H213" s="307">
        <v>0</v>
      </c>
      <c r="I213" s="307">
        <v>0</v>
      </c>
      <c r="J213" s="307">
        <v>0</v>
      </c>
    </row>
    <row r="214" spans="2:10">
      <c r="B214" s="147" t="s">
        <v>337</v>
      </c>
      <c r="C214" s="307">
        <v>0</v>
      </c>
      <c r="D214" s="307">
        <v>0</v>
      </c>
      <c r="E214" s="307">
        <v>0</v>
      </c>
      <c r="F214" s="307">
        <v>0</v>
      </c>
      <c r="G214" s="307">
        <v>0</v>
      </c>
      <c r="H214" s="307">
        <v>0</v>
      </c>
      <c r="I214" s="307">
        <v>0</v>
      </c>
      <c r="J214" s="307">
        <v>0</v>
      </c>
    </row>
    <row r="215" spans="2:10">
      <c r="B215" s="147" t="s">
        <v>336</v>
      </c>
      <c r="C215" s="307">
        <v>0</v>
      </c>
      <c r="D215" s="307">
        <v>0</v>
      </c>
      <c r="E215" s="307">
        <v>0</v>
      </c>
      <c r="F215" s="307">
        <v>0</v>
      </c>
      <c r="G215" s="307">
        <v>0</v>
      </c>
      <c r="H215" s="307">
        <v>0</v>
      </c>
      <c r="I215" s="307">
        <v>0</v>
      </c>
      <c r="J215" s="307">
        <v>0</v>
      </c>
    </row>
    <row r="216" spans="2:10" ht="15" thickBot="1">
      <c r="B216" s="146" t="s">
        <v>335</v>
      </c>
      <c r="C216" s="307">
        <v>0</v>
      </c>
      <c r="D216" s="307">
        <v>0</v>
      </c>
      <c r="E216" s="307">
        <v>0</v>
      </c>
      <c r="F216" s="307">
        <v>0</v>
      </c>
      <c r="G216" s="307">
        <v>0</v>
      </c>
      <c r="H216" s="307">
        <v>0</v>
      </c>
      <c r="I216" s="307">
        <v>0</v>
      </c>
      <c r="J216" s="307">
        <v>0</v>
      </c>
    </row>
    <row r="217" spans="2:10" ht="15.5" thickTop="1" thickBot="1">
      <c r="B217" s="2025" t="s">
        <v>1828</v>
      </c>
      <c r="C217" s="2025"/>
      <c r="D217" s="2025"/>
      <c r="E217" s="2025"/>
      <c r="F217" s="2025"/>
      <c r="G217" s="2025"/>
      <c r="H217" s="2025"/>
      <c r="I217" s="2025"/>
      <c r="J217" s="2025"/>
    </row>
    <row r="218" spans="2:10" ht="15.75" customHeight="1" thickTop="1">
      <c r="B218" s="2039" t="s">
        <v>1829</v>
      </c>
      <c r="C218" s="2025"/>
      <c r="D218" s="2025"/>
      <c r="E218" s="2025"/>
      <c r="F218" s="2025"/>
      <c r="G218" s="2025"/>
      <c r="H218" s="2025"/>
      <c r="I218" s="2025"/>
      <c r="J218" s="2025"/>
    </row>
    <row r="219" spans="2:10">
      <c r="B219" s="108"/>
      <c r="C219" s="108"/>
      <c r="D219" s="108"/>
      <c r="E219" s="108"/>
      <c r="F219" s="108"/>
      <c r="G219" s="108"/>
      <c r="H219" s="108"/>
      <c r="I219" s="108"/>
      <c r="J219" s="108"/>
    </row>
    <row r="220" spans="2:10">
      <c r="B220" s="64"/>
      <c r="C220" s="302"/>
      <c r="D220" s="302"/>
      <c r="E220" s="302"/>
      <c r="F220" s="302"/>
      <c r="G220" s="302"/>
      <c r="H220" s="302"/>
      <c r="I220" s="302"/>
      <c r="J220" s="302"/>
    </row>
    <row r="221" spans="2:10">
      <c r="B221" s="2100" t="s">
        <v>364</v>
      </c>
      <c r="C221" s="2100"/>
      <c r="D221" s="2100"/>
      <c r="E221" s="2100"/>
      <c r="F221" s="2100"/>
      <c r="G221" s="2100"/>
      <c r="H221" s="2100"/>
      <c r="I221" s="2100"/>
      <c r="J221" s="2100"/>
    </row>
    <row r="222" spans="2:10">
      <c r="B222" s="12" t="s">
        <v>363</v>
      </c>
      <c r="C222" s="302"/>
      <c r="D222" s="302"/>
      <c r="E222" s="302"/>
      <c r="F222" s="302"/>
      <c r="G222" s="302"/>
      <c r="H222" s="302"/>
      <c r="I222" s="302"/>
      <c r="J222" s="302"/>
    </row>
    <row r="223" spans="2:10">
      <c r="B223" s="62" t="s">
        <v>1830</v>
      </c>
      <c r="C223" s="302"/>
      <c r="D223" s="302"/>
      <c r="E223" s="302"/>
      <c r="F223" s="302"/>
      <c r="G223" s="302"/>
      <c r="H223" s="302"/>
      <c r="I223" s="302"/>
      <c r="J223" s="302"/>
    </row>
    <row r="224" spans="2:10">
      <c r="B224" s="64"/>
      <c r="C224" s="302"/>
      <c r="D224" s="302"/>
      <c r="E224" s="302"/>
      <c r="F224" s="302"/>
      <c r="G224" s="302"/>
      <c r="H224" s="302"/>
      <c r="I224" s="302"/>
      <c r="J224" s="302"/>
    </row>
    <row r="225" spans="2:10">
      <c r="B225" s="61"/>
      <c r="C225" s="303">
        <v>2014</v>
      </c>
      <c r="D225" s="303">
        <v>2015</v>
      </c>
      <c r="E225" s="303">
        <v>2016</v>
      </c>
      <c r="F225" s="303">
        <v>2017</v>
      </c>
      <c r="G225" s="303">
        <v>2018</v>
      </c>
      <c r="H225" s="303">
        <v>2019</v>
      </c>
      <c r="I225" s="303">
        <v>2020</v>
      </c>
      <c r="J225" s="303">
        <v>2021</v>
      </c>
    </row>
    <row r="226" spans="2:10">
      <c r="B226" s="114" t="s">
        <v>362</v>
      </c>
      <c r="C226" s="302"/>
      <c r="D226" s="302"/>
      <c r="E226" s="302"/>
      <c r="F226" s="302"/>
      <c r="G226" s="302"/>
      <c r="H226" s="302"/>
      <c r="I226" s="302"/>
      <c r="J226" s="302"/>
    </row>
    <row r="227" spans="2:10">
      <c r="B227" s="54" t="s">
        <v>1831</v>
      </c>
      <c r="C227" s="306">
        <v>26335.076726065421</v>
      </c>
      <c r="D227" s="306">
        <v>26259.373985096787</v>
      </c>
      <c r="E227" s="306">
        <v>22891.361216556164</v>
      </c>
      <c r="F227" s="306">
        <v>22992.247100133201</v>
      </c>
      <c r="G227" s="306">
        <v>26257.053554578946</v>
      </c>
      <c r="H227" s="306">
        <v>26513.435919204156</v>
      </c>
      <c r="I227" s="306">
        <v>26973.354858591378</v>
      </c>
      <c r="J227" s="306">
        <v>31261.250261475481</v>
      </c>
    </row>
    <row r="228" spans="2:10">
      <c r="B228" s="151" t="s">
        <v>360</v>
      </c>
      <c r="C228" s="306">
        <v>0</v>
      </c>
      <c r="D228" s="306">
        <v>0</v>
      </c>
      <c r="E228" s="306">
        <v>0</v>
      </c>
      <c r="F228" s="306">
        <v>0</v>
      </c>
      <c r="G228" s="306">
        <v>0</v>
      </c>
      <c r="H228" s="306">
        <v>0</v>
      </c>
      <c r="I228" s="306">
        <v>0</v>
      </c>
      <c r="J228" s="306">
        <v>0</v>
      </c>
    </row>
    <row r="229" spans="2:10">
      <c r="B229" s="151" t="s">
        <v>359</v>
      </c>
      <c r="C229" s="306">
        <v>26335.076726065421</v>
      </c>
      <c r="D229" s="306">
        <v>26259.373985096787</v>
      </c>
      <c r="E229" s="306">
        <v>22891.361216556164</v>
      </c>
      <c r="F229" s="306">
        <v>22992.247100133201</v>
      </c>
      <c r="G229" s="306">
        <v>26257.053554578946</v>
      </c>
      <c r="H229" s="306">
        <v>26513.435919204156</v>
      </c>
      <c r="I229" s="306">
        <v>26973.354858591378</v>
      </c>
      <c r="J229" s="306">
        <v>31261.250261475481</v>
      </c>
    </row>
    <row r="230" spans="2:10">
      <c r="B230" s="152" t="s">
        <v>358</v>
      </c>
      <c r="C230" s="306">
        <v>79.075676444801388</v>
      </c>
      <c r="D230" s="306">
        <v>94.46639784439374</v>
      </c>
      <c r="E230" s="306">
        <v>78.835434574228529</v>
      </c>
      <c r="F230" s="306">
        <v>87.213313860209283</v>
      </c>
      <c r="G230" s="306">
        <v>133.30574807313454</v>
      </c>
      <c r="H230" s="306">
        <v>108.44589845591732</v>
      </c>
      <c r="I230" s="306">
        <v>277.30510723103799</v>
      </c>
      <c r="J230" s="306">
        <v>769.08324145591837</v>
      </c>
    </row>
    <row r="231" spans="2:10">
      <c r="B231" s="71" t="s">
        <v>357</v>
      </c>
      <c r="C231" s="306">
        <v>2827.2379614939937</v>
      </c>
      <c r="D231" s="306">
        <v>3175.5103298899135</v>
      </c>
      <c r="E231" s="306">
        <v>3285.0192388613864</v>
      </c>
      <c r="F231" s="306">
        <v>3277.800097261977</v>
      </c>
      <c r="G231" s="306">
        <v>3283.2977024579604</v>
      </c>
      <c r="H231" s="306">
        <v>3493.1253103864201</v>
      </c>
      <c r="I231" s="306">
        <v>3479.5467476439308</v>
      </c>
      <c r="J231" s="306">
        <v>3615.5322676949245</v>
      </c>
    </row>
    <row r="232" spans="2:10">
      <c r="B232" s="151" t="s">
        <v>356</v>
      </c>
      <c r="C232" s="306">
        <v>1547.7104528149582</v>
      </c>
      <c r="D232" s="306">
        <v>1714.6334067392597</v>
      </c>
      <c r="E232" s="306">
        <v>1764.7455011292454</v>
      </c>
      <c r="F232" s="306">
        <v>1746.7165595926162</v>
      </c>
      <c r="G232" s="306">
        <v>1796.2052277968871</v>
      </c>
      <c r="H232" s="306">
        <v>1901.2859537608624</v>
      </c>
      <c r="I232" s="306">
        <v>1948.0766083470573</v>
      </c>
      <c r="J232" s="306">
        <v>2098.010634097714</v>
      </c>
    </row>
    <row r="233" spans="2:10">
      <c r="B233" s="151" t="s">
        <v>355</v>
      </c>
      <c r="C233" s="306">
        <v>0</v>
      </c>
      <c r="D233" s="306">
        <v>0</v>
      </c>
      <c r="E233" s="306">
        <v>0</v>
      </c>
      <c r="F233" s="306">
        <v>0</v>
      </c>
      <c r="G233" s="306">
        <v>0</v>
      </c>
      <c r="H233" s="306">
        <v>0</v>
      </c>
      <c r="I233" s="306">
        <v>0</v>
      </c>
      <c r="J233" s="306">
        <v>0</v>
      </c>
    </row>
    <row r="234" spans="2:10">
      <c r="B234" s="151" t="s">
        <v>354</v>
      </c>
      <c r="C234" s="306">
        <v>1279.5275086790357</v>
      </c>
      <c r="D234" s="306">
        <v>1460.876923150654</v>
      </c>
      <c r="E234" s="306">
        <v>1520.2737377321412</v>
      </c>
      <c r="F234" s="306">
        <v>1531.0835376693608</v>
      </c>
      <c r="G234" s="306">
        <v>1487.0924746610735</v>
      </c>
      <c r="H234" s="306">
        <v>1591.8393566255575</v>
      </c>
      <c r="I234" s="306">
        <v>1531.470139296873</v>
      </c>
      <c r="J234" s="306">
        <v>1517.5216335972102</v>
      </c>
    </row>
    <row r="235" spans="2:10">
      <c r="B235" s="71" t="s">
        <v>338</v>
      </c>
      <c r="C235" s="306">
        <v>362.78819374220342</v>
      </c>
      <c r="D235" s="306">
        <v>400.46315387280009</v>
      </c>
      <c r="E235" s="306">
        <v>426.20871736881759</v>
      </c>
      <c r="F235" s="306">
        <v>462.6651114226338</v>
      </c>
      <c r="G235" s="306">
        <v>466.03921437758333</v>
      </c>
      <c r="H235" s="306">
        <v>513.90705605952621</v>
      </c>
      <c r="I235" s="306">
        <v>428.74309672407946</v>
      </c>
      <c r="J235" s="306">
        <v>482.8543520061022</v>
      </c>
    </row>
    <row r="236" spans="2:10">
      <c r="B236" s="71" t="s">
        <v>353</v>
      </c>
      <c r="C236" s="306">
        <v>53287.682256433356</v>
      </c>
      <c r="D236" s="306">
        <v>51763.569882156211</v>
      </c>
      <c r="E236" s="306">
        <v>44911.71729015639</v>
      </c>
      <c r="F236" s="306">
        <v>42593.080981056344</v>
      </c>
      <c r="G236" s="306">
        <v>41892.020216206169</v>
      </c>
      <c r="H236" s="306">
        <v>40757.138924610445</v>
      </c>
      <c r="I236" s="306">
        <v>33598.809471028901</v>
      </c>
      <c r="J236" s="306">
        <v>30221.110475918103</v>
      </c>
    </row>
    <row r="237" spans="2:10">
      <c r="B237" s="150" t="s">
        <v>1472</v>
      </c>
      <c r="C237" s="200">
        <v>53287.682256433356</v>
      </c>
      <c r="D237" s="200">
        <v>51763.569882156211</v>
      </c>
      <c r="E237" s="200">
        <v>44911.71729015639</v>
      </c>
      <c r="F237" s="200">
        <v>42593.080981056344</v>
      </c>
      <c r="G237" s="200">
        <v>41892.020216206169</v>
      </c>
      <c r="H237" s="200">
        <v>40757.138924610445</v>
      </c>
      <c r="I237" s="200">
        <v>33598.809471028901</v>
      </c>
      <c r="J237" s="200">
        <v>30221.110475918103</v>
      </c>
    </row>
    <row r="238" spans="2:10">
      <c r="B238" s="150" t="s">
        <v>351</v>
      </c>
      <c r="C238" s="200">
        <v>0</v>
      </c>
      <c r="D238" s="200">
        <v>0</v>
      </c>
      <c r="E238" s="200">
        <v>0</v>
      </c>
      <c r="F238" s="200">
        <v>0</v>
      </c>
      <c r="G238" s="200">
        <v>0</v>
      </c>
      <c r="H238" s="200">
        <v>0</v>
      </c>
      <c r="I238" s="200">
        <v>0</v>
      </c>
      <c r="J238" s="200">
        <v>0</v>
      </c>
    </row>
    <row r="239" spans="2:10">
      <c r="B239" s="54" t="s">
        <v>350</v>
      </c>
      <c r="C239" s="306">
        <v>0</v>
      </c>
      <c r="D239" s="306">
        <v>0</v>
      </c>
      <c r="E239" s="306">
        <v>0</v>
      </c>
      <c r="F239" s="306">
        <v>0</v>
      </c>
      <c r="G239" s="306">
        <v>0</v>
      </c>
      <c r="H239" s="306">
        <v>0</v>
      </c>
      <c r="I239" s="306">
        <v>0</v>
      </c>
      <c r="J239" s="306">
        <v>0</v>
      </c>
    </row>
    <row r="240" spans="2:10">
      <c r="B240" s="54"/>
      <c r="C240" s="306"/>
      <c r="D240" s="306"/>
      <c r="E240" s="306"/>
      <c r="F240" s="306"/>
      <c r="G240" s="306"/>
      <c r="H240" s="306"/>
      <c r="I240" s="306"/>
      <c r="J240" s="306"/>
    </row>
    <row r="241" spans="2:10">
      <c r="B241" s="54" t="s">
        <v>349</v>
      </c>
      <c r="C241" s="200">
        <v>82891.860814179774</v>
      </c>
      <c r="D241" s="200">
        <v>81693.383748860098</v>
      </c>
      <c r="E241" s="200">
        <v>71593.141897516995</v>
      </c>
      <c r="F241" s="200">
        <v>69413.006603734364</v>
      </c>
      <c r="G241" s="200">
        <v>72031.716435693786</v>
      </c>
      <c r="H241" s="200">
        <v>71386.053108716456</v>
      </c>
      <c r="I241" s="200">
        <v>64757.759281219325</v>
      </c>
      <c r="J241" s="200">
        <v>66349.830598550529</v>
      </c>
    </row>
    <row r="242" spans="2:10">
      <c r="B242" s="147" t="s">
        <v>348</v>
      </c>
      <c r="C242" s="200">
        <v>0</v>
      </c>
      <c r="D242" s="200">
        <v>0</v>
      </c>
      <c r="E242" s="200">
        <v>0</v>
      </c>
      <c r="F242" s="200">
        <v>0</v>
      </c>
      <c r="G242" s="200">
        <v>0</v>
      </c>
      <c r="H242" s="200">
        <v>0</v>
      </c>
      <c r="I242" s="200">
        <v>0</v>
      </c>
      <c r="J242" s="200">
        <v>0</v>
      </c>
    </row>
    <row r="243" spans="2:10">
      <c r="B243" s="147"/>
      <c r="C243" s="200"/>
      <c r="D243" s="200"/>
      <c r="E243" s="200"/>
      <c r="F243" s="200"/>
      <c r="G243" s="200"/>
      <c r="H243" s="200"/>
      <c r="I243" s="200"/>
      <c r="J243" s="200"/>
    </row>
    <row r="244" spans="2:10">
      <c r="B244" s="54" t="s">
        <v>347</v>
      </c>
      <c r="C244" s="200">
        <v>0</v>
      </c>
      <c r="D244" s="200">
        <v>0</v>
      </c>
      <c r="E244" s="200">
        <v>0</v>
      </c>
      <c r="F244" s="200">
        <v>0</v>
      </c>
      <c r="G244" s="200">
        <v>0</v>
      </c>
      <c r="H244" s="200">
        <v>0</v>
      </c>
      <c r="I244" s="200">
        <v>0</v>
      </c>
      <c r="J244" s="200">
        <v>0</v>
      </c>
    </row>
    <row r="245" spans="2:10">
      <c r="B245" s="54"/>
      <c r="C245" s="306"/>
      <c r="D245" s="306"/>
      <c r="E245" s="306"/>
      <c r="F245" s="306"/>
      <c r="G245" s="306"/>
      <c r="H245" s="306"/>
      <c r="I245" s="306"/>
      <c r="J245" s="306"/>
    </row>
    <row r="246" spans="2:10">
      <c r="B246" s="114" t="s">
        <v>346</v>
      </c>
      <c r="C246" s="306"/>
      <c r="D246" s="306"/>
      <c r="E246" s="306"/>
      <c r="F246" s="306"/>
      <c r="G246" s="306"/>
      <c r="H246" s="306"/>
      <c r="I246" s="306"/>
      <c r="J246" s="306"/>
    </row>
    <row r="247" spans="2:10">
      <c r="B247" s="54" t="s">
        <v>342</v>
      </c>
      <c r="C247" s="306">
        <v>3591.6963515097905</v>
      </c>
      <c r="D247" s="306">
        <v>3798.5812974873552</v>
      </c>
      <c r="E247" s="306">
        <v>3716.3530843053295</v>
      </c>
      <c r="F247" s="306">
        <v>3655.9065164117928</v>
      </c>
      <c r="G247" s="306">
        <v>3606.6738662873686</v>
      </c>
      <c r="H247" s="306">
        <v>3856.5815221472176</v>
      </c>
      <c r="I247" s="306">
        <v>3726.4199567532319</v>
      </c>
      <c r="J247" s="306">
        <v>4100.6510954668747</v>
      </c>
    </row>
    <row r="248" spans="2:10">
      <c r="B248" s="147" t="s">
        <v>341</v>
      </c>
      <c r="C248" s="306">
        <v>3591.6963515097905</v>
      </c>
      <c r="D248" s="306">
        <v>3798.5812974873552</v>
      </c>
      <c r="E248" s="306">
        <v>3716.3530843053295</v>
      </c>
      <c r="F248" s="306">
        <v>3655.9065164117928</v>
      </c>
      <c r="G248" s="306">
        <v>3606.6738662873686</v>
      </c>
      <c r="H248" s="306">
        <v>3856.5815221472176</v>
      </c>
      <c r="I248" s="306">
        <v>3726.4199567532319</v>
      </c>
      <c r="J248" s="306">
        <v>4100.6510954668747</v>
      </c>
    </row>
    <row r="249" spans="2:10">
      <c r="B249" s="147" t="s">
        <v>340</v>
      </c>
      <c r="C249" s="306">
        <v>0</v>
      </c>
      <c r="D249" s="306">
        <v>0</v>
      </c>
      <c r="E249" s="306">
        <v>0</v>
      </c>
      <c r="F249" s="306">
        <v>0</v>
      </c>
      <c r="G249" s="306">
        <v>0</v>
      </c>
      <c r="H249" s="306">
        <v>0</v>
      </c>
      <c r="I249" s="306">
        <v>0</v>
      </c>
      <c r="J249" s="306">
        <v>0</v>
      </c>
    </row>
    <row r="250" spans="2:10">
      <c r="B250" s="54" t="s">
        <v>339</v>
      </c>
      <c r="C250" s="306">
        <v>2827.2379614939941</v>
      </c>
      <c r="D250" s="306">
        <v>3175.5103298899135</v>
      </c>
      <c r="E250" s="306">
        <v>3285.0192388613859</v>
      </c>
      <c r="F250" s="306">
        <v>3277.8000972619766</v>
      </c>
      <c r="G250" s="306">
        <v>3283.2977024579604</v>
      </c>
      <c r="H250" s="306">
        <v>3493.1253103864201</v>
      </c>
      <c r="I250" s="306">
        <v>3479.5467476439298</v>
      </c>
      <c r="J250" s="306">
        <v>3615.5322676949231</v>
      </c>
    </row>
    <row r="251" spans="2:10">
      <c r="B251" s="54" t="s">
        <v>338</v>
      </c>
      <c r="C251" s="306">
        <v>362.78819374220342</v>
      </c>
      <c r="D251" s="306">
        <v>400.46315387280009</v>
      </c>
      <c r="E251" s="306">
        <v>426.20871736881759</v>
      </c>
      <c r="F251" s="306">
        <v>462.6651114226338</v>
      </c>
      <c r="G251" s="306">
        <v>466.03921437758333</v>
      </c>
      <c r="H251" s="306">
        <v>513.90705605952621</v>
      </c>
      <c r="I251" s="306">
        <v>428.74309672407946</v>
      </c>
      <c r="J251" s="306">
        <v>482.8543520061022</v>
      </c>
    </row>
    <row r="252" spans="2:10">
      <c r="B252" s="147" t="s">
        <v>337</v>
      </c>
      <c r="C252" s="306">
        <v>0</v>
      </c>
      <c r="D252" s="306">
        <v>0</v>
      </c>
      <c r="E252" s="306">
        <v>0</v>
      </c>
      <c r="F252" s="306">
        <v>0</v>
      </c>
      <c r="G252" s="306">
        <v>0</v>
      </c>
      <c r="H252" s="306">
        <v>0</v>
      </c>
      <c r="I252" s="306">
        <v>0</v>
      </c>
      <c r="J252" s="306">
        <v>0</v>
      </c>
    </row>
    <row r="253" spans="2:10">
      <c r="B253" s="147" t="s">
        <v>336</v>
      </c>
      <c r="C253" s="306">
        <v>362.78819374220342</v>
      </c>
      <c r="D253" s="306">
        <v>400.46315387280009</v>
      </c>
      <c r="E253" s="306">
        <v>426.20871736881759</v>
      </c>
      <c r="F253" s="306">
        <v>462.6651114226338</v>
      </c>
      <c r="G253" s="306">
        <v>466.03921437758333</v>
      </c>
      <c r="H253" s="306">
        <v>513.90705605952621</v>
      </c>
      <c r="I253" s="306">
        <v>428.74309672407946</v>
      </c>
      <c r="J253" s="306">
        <v>482.8543520061022</v>
      </c>
    </row>
    <row r="254" spans="2:10">
      <c r="B254" s="147" t="s">
        <v>335</v>
      </c>
      <c r="C254" s="306">
        <v>0</v>
      </c>
      <c r="D254" s="306">
        <v>0</v>
      </c>
      <c r="E254" s="306">
        <v>0</v>
      </c>
      <c r="F254" s="306">
        <v>0</v>
      </c>
      <c r="G254" s="306">
        <v>0</v>
      </c>
      <c r="H254" s="306">
        <v>0</v>
      </c>
      <c r="I254" s="306">
        <v>0</v>
      </c>
      <c r="J254" s="306">
        <v>0</v>
      </c>
    </row>
    <row r="255" spans="2:10">
      <c r="B255" s="147"/>
      <c r="C255" s="306"/>
      <c r="D255" s="306"/>
      <c r="E255" s="306"/>
      <c r="F255" s="306"/>
      <c r="G255" s="306"/>
      <c r="H255" s="306"/>
      <c r="I255" s="306"/>
      <c r="J255" s="306"/>
    </row>
    <row r="256" spans="2:10">
      <c r="B256" s="148" t="s">
        <v>345</v>
      </c>
      <c r="C256" s="306"/>
      <c r="D256" s="306"/>
      <c r="E256" s="306"/>
      <c r="F256" s="306"/>
      <c r="G256" s="306"/>
      <c r="H256" s="306"/>
      <c r="I256" s="306"/>
      <c r="J256" s="306"/>
    </row>
    <row r="257" spans="2:10">
      <c r="B257" s="54" t="s">
        <v>342</v>
      </c>
      <c r="C257" s="306">
        <v>3591.6963515097905</v>
      </c>
      <c r="D257" s="306">
        <v>3798.5812974873552</v>
      </c>
      <c r="E257" s="306">
        <v>3716.3530843053295</v>
      </c>
      <c r="F257" s="306">
        <v>3655.9065164117928</v>
      </c>
      <c r="G257" s="306">
        <v>3606.6738662873686</v>
      </c>
      <c r="H257" s="306">
        <v>3856.5815221472176</v>
      </c>
      <c r="I257" s="306">
        <v>3726.4199567532319</v>
      </c>
      <c r="J257" s="306">
        <v>4100.6510954668747</v>
      </c>
    </row>
    <row r="258" spans="2:10">
      <c r="B258" s="147" t="s">
        <v>341</v>
      </c>
      <c r="C258" s="306">
        <v>3591.6963515097905</v>
      </c>
      <c r="D258" s="306">
        <v>3798.5812974873552</v>
      </c>
      <c r="E258" s="306">
        <v>3716.3530843053295</v>
      </c>
      <c r="F258" s="306">
        <v>3655.9065164117928</v>
      </c>
      <c r="G258" s="306">
        <v>3606.6738662873686</v>
      </c>
      <c r="H258" s="306">
        <v>3856.5815221472176</v>
      </c>
      <c r="I258" s="306">
        <v>3726.4199567532319</v>
      </c>
      <c r="J258" s="306">
        <v>4100.6510954668747</v>
      </c>
    </row>
    <row r="259" spans="2:10">
      <c r="B259" s="147" t="s">
        <v>340</v>
      </c>
      <c r="C259" s="306">
        <v>0</v>
      </c>
      <c r="D259" s="306">
        <v>0</v>
      </c>
      <c r="E259" s="306">
        <v>0</v>
      </c>
      <c r="F259" s="306">
        <v>0</v>
      </c>
      <c r="G259" s="306">
        <v>0</v>
      </c>
      <c r="H259" s="306">
        <v>0</v>
      </c>
      <c r="I259" s="306">
        <v>0</v>
      </c>
      <c r="J259" s="306">
        <v>0</v>
      </c>
    </row>
    <row r="260" spans="2:10">
      <c r="B260" s="54" t="s">
        <v>339</v>
      </c>
      <c r="C260" s="306">
        <v>2827.2379614939941</v>
      </c>
      <c r="D260" s="306">
        <v>3175.5103298899135</v>
      </c>
      <c r="E260" s="306">
        <v>3285.0192388613859</v>
      </c>
      <c r="F260" s="306">
        <v>3277.8000972619766</v>
      </c>
      <c r="G260" s="306">
        <v>3283.2977024579604</v>
      </c>
      <c r="H260" s="306">
        <v>3493.1253103864201</v>
      </c>
      <c r="I260" s="306">
        <v>3479.5467476439298</v>
      </c>
      <c r="J260" s="306">
        <v>3615.5322676949231</v>
      </c>
    </row>
    <row r="261" spans="2:10">
      <c r="B261" s="54" t="s">
        <v>1826</v>
      </c>
      <c r="C261" s="306">
        <v>362.78819374220342</v>
      </c>
      <c r="D261" s="306">
        <v>400.46315387280009</v>
      </c>
      <c r="E261" s="306">
        <v>426.20871736881759</v>
      </c>
      <c r="F261" s="306">
        <v>462.6651114226338</v>
      </c>
      <c r="G261" s="306">
        <v>466.03921437758333</v>
      </c>
      <c r="H261" s="306">
        <v>513.90705605952621</v>
      </c>
      <c r="I261" s="306">
        <v>428.74309672407946</v>
      </c>
      <c r="J261" s="306">
        <v>482.8543520061022</v>
      </c>
    </row>
    <row r="262" spans="2:10">
      <c r="B262" s="147" t="s">
        <v>337</v>
      </c>
      <c r="C262" s="306">
        <v>0</v>
      </c>
      <c r="D262" s="306">
        <v>0</v>
      </c>
      <c r="E262" s="306">
        <v>0</v>
      </c>
      <c r="F262" s="306">
        <v>0</v>
      </c>
      <c r="G262" s="306">
        <v>0</v>
      </c>
      <c r="H262" s="306">
        <v>0</v>
      </c>
      <c r="I262" s="306">
        <v>0</v>
      </c>
      <c r="J262" s="306">
        <v>0</v>
      </c>
    </row>
    <row r="263" spans="2:10">
      <c r="B263" s="147" t="s">
        <v>336</v>
      </c>
      <c r="C263" s="306">
        <v>362.78819374220342</v>
      </c>
      <c r="D263" s="306">
        <v>400.46315387280009</v>
      </c>
      <c r="E263" s="306">
        <v>426.20871736881759</v>
      </c>
      <c r="F263" s="306">
        <v>462.6651114226338</v>
      </c>
      <c r="G263" s="306">
        <v>466.03921437758333</v>
      </c>
      <c r="H263" s="306">
        <v>513.90705605952621</v>
      </c>
      <c r="I263" s="306">
        <v>428.74309672407946</v>
      </c>
      <c r="J263" s="306">
        <v>482.8543520061022</v>
      </c>
    </row>
    <row r="264" spans="2:10">
      <c r="B264" s="147" t="s">
        <v>335</v>
      </c>
      <c r="C264" s="307">
        <v>0</v>
      </c>
      <c r="D264" s="307">
        <v>0</v>
      </c>
      <c r="E264" s="307">
        <v>0</v>
      </c>
      <c r="F264" s="307">
        <v>0</v>
      </c>
      <c r="G264" s="307">
        <v>0</v>
      </c>
      <c r="H264" s="307">
        <v>0</v>
      </c>
      <c r="I264" s="307">
        <v>0</v>
      </c>
      <c r="J264" s="307">
        <v>0</v>
      </c>
    </row>
    <row r="265" spans="2:10">
      <c r="B265" s="147"/>
      <c r="C265" s="307"/>
      <c r="D265" s="307"/>
      <c r="E265" s="307"/>
      <c r="F265" s="307"/>
      <c r="G265" s="307"/>
      <c r="H265" s="307"/>
      <c r="I265" s="307"/>
      <c r="J265" s="307"/>
    </row>
    <row r="266" spans="2:10" ht="28">
      <c r="B266" s="148" t="s">
        <v>1832</v>
      </c>
      <c r="C266" s="307"/>
      <c r="D266" s="307"/>
      <c r="E266" s="307"/>
      <c r="F266" s="307"/>
      <c r="G266" s="307"/>
      <c r="H266" s="307"/>
      <c r="I266" s="307"/>
      <c r="J266" s="307"/>
    </row>
    <row r="267" spans="2:10">
      <c r="B267" s="54" t="s">
        <v>342</v>
      </c>
      <c r="C267" s="307">
        <v>0</v>
      </c>
      <c r="D267" s="307">
        <v>0</v>
      </c>
      <c r="E267" s="307">
        <v>0</v>
      </c>
      <c r="F267" s="307">
        <v>0</v>
      </c>
      <c r="G267" s="307">
        <v>0</v>
      </c>
      <c r="H267" s="307">
        <v>0</v>
      </c>
      <c r="I267" s="307">
        <v>0</v>
      </c>
      <c r="J267" s="307">
        <v>0</v>
      </c>
    </row>
    <row r="268" spans="2:10">
      <c r="B268" s="147" t="s">
        <v>341</v>
      </c>
      <c r="C268" s="307">
        <v>0</v>
      </c>
      <c r="D268" s="307">
        <v>0</v>
      </c>
      <c r="E268" s="307">
        <v>0</v>
      </c>
      <c r="F268" s="307">
        <v>0</v>
      </c>
      <c r="G268" s="307">
        <v>0</v>
      </c>
      <c r="H268" s="307">
        <v>0</v>
      </c>
      <c r="I268" s="307">
        <v>0</v>
      </c>
      <c r="J268" s="307">
        <v>0</v>
      </c>
    </row>
    <row r="269" spans="2:10">
      <c r="B269" s="147" t="s">
        <v>340</v>
      </c>
      <c r="C269" s="307">
        <v>0</v>
      </c>
      <c r="D269" s="307">
        <v>0</v>
      </c>
      <c r="E269" s="307">
        <v>0</v>
      </c>
      <c r="F269" s="307">
        <v>0</v>
      </c>
      <c r="G269" s="307">
        <v>0</v>
      </c>
      <c r="H269" s="307">
        <v>0</v>
      </c>
      <c r="I269" s="307">
        <v>0</v>
      </c>
      <c r="J269" s="307">
        <v>0</v>
      </c>
    </row>
    <row r="270" spans="2:10">
      <c r="B270" s="54" t="s">
        <v>339</v>
      </c>
      <c r="C270" s="307">
        <v>0</v>
      </c>
      <c r="D270" s="307">
        <v>0</v>
      </c>
      <c r="E270" s="307">
        <v>0</v>
      </c>
      <c r="F270" s="307">
        <v>0</v>
      </c>
      <c r="G270" s="307">
        <v>0</v>
      </c>
      <c r="H270" s="307">
        <v>0</v>
      </c>
      <c r="I270" s="307">
        <v>0</v>
      </c>
      <c r="J270" s="307">
        <v>0</v>
      </c>
    </row>
    <row r="271" spans="2:10">
      <c r="B271" s="54" t="s">
        <v>338</v>
      </c>
      <c r="C271" s="307">
        <v>0</v>
      </c>
      <c r="D271" s="307">
        <v>0</v>
      </c>
      <c r="E271" s="307">
        <v>0</v>
      </c>
      <c r="F271" s="307">
        <v>0</v>
      </c>
      <c r="G271" s="307">
        <v>0</v>
      </c>
      <c r="H271" s="307">
        <v>0</v>
      </c>
      <c r="I271" s="307">
        <v>0</v>
      </c>
      <c r="J271" s="307">
        <v>0</v>
      </c>
    </row>
    <row r="272" spans="2:10">
      <c r="B272" s="147" t="s">
        <v>337</v>
      </c>
      <c r="C272" s="307">
        <v>0</v>
      </c>
      <c r="D272" s="307">
        <v>0</v>
      </c>
      <c r="E272" s="307">
        <v>0</v>
      </c>
      <c r="F272" s="307">
        <v>0</v>
      </c>
      <c r="G272" s="307">
        <v>0</v>
      </c>
      <c r="H272" s="307">
        <v>0</v>
      </c>
      <c r="I272" s="307">
        <v>0</v>
      </c>
      <c r="J272" s="307">
        <v>0</v>
      </c>
    </row>
    <row r="273" spans="2:10">
      <c r="B273" s="147" t="s">
        <v>336</v>
      </c>
      <c r="C273" s="307">
        <v>0</v>
      </c>
      <c r="D273" s="307">
        <v>0</v>
      </c>
      <c r="E273" s="307">
        <v>0</v>
      </c>
      <c r="F273" s="307">
        <v>0</v>
      </c>
      <c r="G273" s="307">
        <v>0</v>
      </c>
      <c r="H273" s="307">
        <v>0</v>
      </c>
      <c r="I273" s="307">
        <v>0</v>
      </c>
      <c r="J273" s="307">
        <v>0</v>
      </c>
    </row>
    <row r="274" spans="2:10">
      <c r="B274" s="147" t="s">
        <v>335</v>
      </c>
      <c r="C274" s="307">
        <v>0</v>
      </c>
      <c r="D274" s="307">
        <v>0</v>
      </c>
      <c r="E274" s="307">
        <v>0</v>
      </c>
      <c r="F274" s="307">
        <v>0</v>
      </c>
      <c r="G274" s="307">
        <v>0</v>
      </c>
      <c r="H274" s="307">
        <v>0</v>
      </c>
      <c r="I274" s="307">
        <v>0</v>
      </c>
      <c r="J274" s="307">
        <v>0</v>
      </c>
    </row>
    <row r="275" spans="2:10">
      <c r="B275" s="147"/>
      <c r="C275" s="307"/>
      <c r="D275" s="307"/>
      <c r="E275" s="307"/>
      <c r="F275" s="307"/>
      <c r="G275" s="307"/>
      <c r="H275" s="307"/>
      <c r="I275" s="307"/>
      <c r="J275" s="307"/>
    </row>
    <row r="276" spans="2:10" ht="26">
      <c r="B276" s="148" t="s">
        <v>343</v>
      </c>
      <c r="C276" s="307"/>
      <c r="D276" s="307"/>
      <c r="E276" s="307"/>
      <c r="F276" s="307"/>
      <c r="G276" s="307"/>
      <c r="H276" s="307"/>
      <c r="I276" s="307"/>
      <c r="J276" s="307"/>
    </row>
    <row r="277" spans="2:10">
      <c r="B277" s="54" t="s">
        <v>342</v>
      </c>
      <c r="C277" s="307">
        <v>0</v>
      </c>
      <c r="D277" s="307">
        <v>0</v>
      </c>
      <c r="E277" s="307">
        <v>0</v>
      </c>
      <c r="F277" s="307">
        <v>0</v>
      </c>
      <c r="G277" s="307">
        <v>0</v>
      </c>
      <c r="H277" s="307">
        <v>0</v>
      </c>
      <c r="I277" s="307">
        <v>0</v>
      </c>
      <c r="J277" s="307">
        <v>0</v>
      </c>
    </row>
    <row r="278" spans="2:10">
      <c r="B278" s="147" t="s">
        <v>341</v>
      </c>
      <c r="C278" s="307">
        <v>0</v>
      </c>
      <c r="D278" s="307">
        <v>0</v>
      </c>
      <c r="E278" s="307">
        <v>0</v>
      </c>
      <c r="F278" s="307">
        <v>0</v>
      </c>
      <c r="G278" s="307">
        <v>0</v>
      </c>
      <c r="H278" s="307">
        <v>0</v>
      </c>
      <c r="I278" s="307">
        <v>0</v>
      </c>
      <c r="J278" s="307">
        <v>0</v>
      </c>
    </row>
    <row r="279" spans="2:10">
      <c r="B279" s="147" t="s">
        <v>340</v>
      </c>
      <c r="C279" s="307">
        <v>0</v>
      </c>
      <c r="D279" s="307">
        <v>0</v>
      </c>
      <c r="E279" s="307">
        <v>0</v>
      </c>
      <c r="F279" s="307">
        <v>0</v>
      </c>
      <c r="G279" s="307">
        <v>0</v>
      </c>
      <c r="H279" s="307">
        <v>0</v>
      </c>
      <c r="I279" s="307">
        <v>0</v>
      </c>
      <c r="J279" s="307">
        <v>0</v>
      </c>
    </row>
    <row r="280" spans="2:10">
      <c r="B280" s="54" t="s">
        <v>339</v>
      </c>
      <c r="C280" s="307">
        <v>0</v>
      </c>
      <c r="D280" s="307">
        <v>0</v>
      </c>
      <c r="E280" s="307">
        <v>0</v>
      </c>
      <c r="F280" s="307">
        <v>0</v>
      </c>
      <c r="G280" s="307">
        <v>0</v>
      </c>
      <c r="H280" s="307">
        <v>0</v>
      </c>
      <c r="I280" s="307">
        <v>0</v>
      </c>
      <c r="J280" s="307">
        <v>0</v>
      </c>
    </row>
    <row r="281" spans="2:10">
      <c r="B281" s="54" t="s">
        <v>338</v>
      </c>
      <c r="C281" s="307">
        <v>0</v>
      </c>
      <c r="D281" s="307">
        <v>0</v>
      </c>
      <c r="E281" s="307">
        <v>0</v>
      </c>
      <c r="F281" s="307">
        <v>0</v>
      </c>
      <c r="G281" s="307">
        <v>0</v>
      </c>
      <c r="H281" s="307">
        <v>0</v>
      </c>
      <c r="I281" s="307">
        <v>0</v>
      </c>
      <c r="J281" s="307">
        <v>0</v>
      </c>
    </row>
    <row r="282" spans="2:10">
      <c r="B282" s="147" t="s">
        <v>337</v>
      </c>
      <c r="C282" s="307">
        <v>0</v>
      </c>
      <c r="D282" s="307">
        <v>0</v>
      </c>
      <c r="E282" s="307">
        <v>0</v>
      </c>
      <c r="F282" s="307">
        <v>0</v>
      </c>
      <c r="G282" s="307">
        <v>0</v>
      </c>
      <c r="H282" s="307">
        <v>0</v>
      </c>
      <c r="I282" s="307">
        <v>0</v>
      </c>
      <c r="J282" s="307">
        <v>0</v>
      </c>
    </row>
    <row r="283" spans="2:10">
      <c r="B283" s="147" t="s">
        <v>336</v>
      </c>
      <c r="C283" s="307">
        <v>0</v>
      </c>
      <c r="D283" s="307">
        <v>0</v>
      </c>
      <c r="E283" s="307">
        <v>0</v>
      </c>
      <c r="F283" s="307">
        <v>0</v>
      </c>
      <c r="G283" s="307">
        <v>0</v>
      </c>
      <c r="H283" s="307">
        <v>0</v>
      </c>
      <c r="I283" s="307">
        <v>0</v>
      </c>
      <c r="J283" s="307">
        <v>0</v>
      </c>
    </row>
    <row r="284" spans="2:10" ht="15" thickBot="1">
      <c r="B284" s="146" t="s">
        <v>335</v>
      </c>
      <c r="C284" s="307">
        <v>0</v>
      </c>
      <c r="D284" s="307">
        <v>0</v>
      </c>
      <c r="E284" s="307">
        <v>0</v>
      </c>
      <c r="F284" s="307">
        <v>0</v>
      </c>
      <c r="G284" s="307">
        <v>0</v>
      </c>
      <c r="H284" s="307">
        <v>0</v>
      </c>
      <c r="I284" s="307">
        <v>0</v>
      </c>
      <c r="J284" s="307">
        <v>0</v>
      </c>
    </row>
    <row r="285" spans="2:10" ht="15" thickTop="1">
      <c r="B285" s="2025" t="s">
        <v>1833</v>
      </c>
      <c r="C285" s="2025"/>
      <c r="D285" s="2025"/>
      <c r="E285" s="2025"/>
      <c r="F285" s="2025"/>
      <c r="G285" s="2025"/>
      <c r="H285" s="2025"/>
      <c r="I285" s="2025"/>
      <c r="J285" s="2025"/>
    </row>
    <row r="286" spans="2:10" ht="15.75" customHeight="1">
      <c r="B286" s="2149" t="s">
        <v>1834</v>
      </c>
      <c r="C286" s="2149"/>
      <c r="D286" s="2149"/>
      <c r="E286" s="2149"/>
      <c r="F286" s="2149"/>
      <c r="G286" s="2149"/>
      <c r="H286" s="2149"/>
      <c r="I286" s="2149"/>
      <c r="J286" s="2149"/>
    </row>
    <row r="287" spans="2:10" ht="45" customHeight="1">
      <c r="B287" s="2150" t="s">
        <v>1835</v>
      </c>
      <c r="C287" s="2150"/>
      <c r="D287" s="2150"/>
      <c r="E287" s="2150"/>
      <c r="F287" s="2150"/>
      <c r="G287" s="2150"/>
      <c r="H287" s="2150"/>
      <c r="I287" s="2150"/>
      <c r="J287" s="2150"/>
    </row>
    <row r="288" spans="2:10">
      <c r="B288" s="2149"/>
      <c r="C288" s="2149"/>
      <c r="D288" s="2149"/>
      <c r="E288" s="2149"/>
      <c r="F288" s="2149"/>
      <c r="G288" s="2149"/>
      <c r="H288" s="2149"/>
      <c r="I288" s="2149"/>
      <c r="J288" s="2149"/>
    </row>
    <row r="289" spans="2:10">
      <c r="B289" s="2100" t="s">
        <v>333</v>
      </c>
      <c r="C289" s="2100"/>
      <c r="D289" s="2100"/>
      <c r="E289" s="2100"/>
      <c r="F289" s="2100"/>
      <c r="G289" s="2100"/>
      <c r="H289" s="2100"/>
      <c r="I289" s="2100"/>
      <c r="J289" s="2100"/>
    </row>
    <row r="290" spans="2:10">
      <c r="B290" s="12" t="s">
        <v>332</v>
      </c>
      <c r="C290" s="302"/>
      <c r="D290" s="302"/>
      <c r="E290" s="302"/>
      <c r="F290" s="302"/>
      <c r="G290" s="302"/>
      <c r="H290" s="302"/>
      <c r="I290" s="302"/>
      <c r="J290" s="302"/>
    </row>
    <row r="291" spans="2:10">
      <c r="B291" s="62" t="s">
        <v>269</v>
      </c>
      <c r="C291" s="302"/>
      <c r="D291" s="302"/>
      <c r="E291" s="302"/>
      <c r="F291" s="302"/>
      <c r="G291" s="302"/>
      <c r="H291" s="302"/>
      <c r="I291" s="302"/>
      <c r="J291" s="302"/>
    </row>
    <row r="292" spans="2:10">
      <c r="B292" s="64"/>
      <c r="C292" s="302"/>
      <c r="D292" s="302"/>
      <c r="E292" s="302"/>
      <c r="F292" s="302"/>
      <c r="G292" s="302"/>
      <c r="H292" s="302"/>
      <c r="I292" s="302"/>
      <c r="J292" s="302"/>
    </row>
    <row r="293" spans="2:10">
      <c r="B293" s="61"/>
      <c r="C293" s="303">
        <v>2014</v>
      </c>
      <c r="D293" s="303">
        <v>2015</v>
      </c>
      <c r="E293" s="303">
        <v>2016</v>
      </c>
      <c r="F293" s="303">
        <v>2017</v>
      </c>
      <c r="G293" s="303">
        <v>2018</v>
      </c>
      <c r="H293" s="303">
        <v>2019</v>
      </c>
      <c r="I293" s="303">
        <v>2020</v>
      </c>
      <c r="J293" s="303">
        <v>2021</v>
      </c>
    </row>
    <row r="294" spans="2:10">
      <c r="B294" s="114" t="s">
        <v>310</v>
      </c>
      <c r="C294" s="302"/>
      <c r="D294" s="302"/>
      <c r="E294" s="302"/>
      <c r="F294" s="302"/>
      <c r="G294" s="302"/>
      <c r="H294" s="302"/>
      <c r="I294" s="302"/>
      <c r="J294" s="302"/>
    </row>
    <row r="295" spans="2:10">
      <c r="B295" s="114"/>
      <c r="C295" s="302"/>
      <c r="D295" s="302"/>
      <c r="E295" s="302"/>
      <c r="F295" s="302"/>
      <c r="G295" s="302"/>
      <c r="H295" s="302"/>
      <c r="I295" s="302"/>
      <c r="J295" s="302"/>
    </row>
    <row r="296" spans="2:10">
      <c r="B296" s="59" t="s">
        <v>94</v>
      </c>
      <c r="C296" s="302"/>
      <c r="D296" s="302"/>
      <c r="E296" s="302"/>
      <c r="F296" s="302"/>
      <c r="G296" s="302"/>
      <c r="H296" s="302"/>
      <c r="I296" s="302"/>
      <c r="J296" s="302"/>
    </row>
    <row r="297" spans="2:10">
      <c r="B297" s="71" t="s">
        <v>331</v>
      </c>
      <c r="C297" s="321">
        <v>25</v>
      </c>
      <c r="D297" s="321">
        <v>25</v>
      </c>
      <c r="E297" s="321">
        <v>25</v>
      </c>
      <c r="F297" s="321">
        <v>25</v>
      </c>
      <c r="G297" s="321">
        <v>25</v>
      </c>
      <c r="H297" s="321">
        <v>25</v>
      </c>
      <c r="I297" s="321">
        <v>25</v>
      </c>
      <c r="J297" s="321">
        <v>25</v>
      </c>
    </row>
    <row r="298" spans="2:10">
      <c r="B298" s="133" t="s">
        <v>330</v>
      </c>
      <c r="C298" s="321">
        <v>9</v>
      </c>
      <c r="D298" s="321">
        <v>9</v>
      </c>
      <c r="E298" s="321">
        <v>9</v>
      </c>
      <c r="F298" s="321">
        <v>9</v>
      </c>
      <c r="G298" s="321">
        <v>9</v>
      </c>
      <c r="H298" s="321">
        <v>9</v>
      </c>
      <c r="I298" s="321">
        <v>9</v>
      </c>
      <c r="J298" s="321">
        <v>9</v>
      </c>
    </row>
    <row r="299" spans="2:10">
      <c r="B299" s="52" t="s">
        <v>260</v>
      </c>
      <c r="C299" s="321">
        <v>8</v>
      </c>
      <c r="D299" s="321">
        <v>8</v>
      </c>
      <c r="E299" s="321">
        <v>8</v>
      </c>
      <c r="F299" s="321">
        <v>8</v>
      </c>
      <c r="G299" s="321">
        <v>8</v>
      </c>
      <c r="H299" s="321">
        <v>8</v>
      </c>
      <c r="I299" s="321">
        <v>8</v>
      </c>
      <c r="J299" s="321">
        <v>8</v>
      </c>
    </row>
    <row r="300" spans="2:10">
      <c r="B300" s="52" t="s">
        <v>329</v>
      </c>
      <c r="C300" s="321">
        <v>1</v>
      </c>
      <c r="D300" s="321">
        <v>1</v>
      </c>
      <c r="E300" s="321">
        <v>1</v>
      </c>
      <c r="F300" s="321">
        <v>1</v>
      </c>
      <c r="G300" s="321">
        <v>1</v>
      </c>
      <c r="H300" s="321">
        <v>1</v>
      </c>
      <c r="I300" s="321">
        <v>1</v>
      </c>
      <c r="J300" s="321">
        <v>1</v>
      </c>
    </row>
    <row r="301" spans="2:10">
      <c r="B301" s="52" t="s">
        <v>328</v>
      </c>
      <c r="C301" s="321">
        <v>0</v>
      </c>
      <c r="D301" s="321">
        <v>0</v>
      </c>
      <c r="E301" s="321">
        <v>0</v>
      </c>
      <c r="F301" s="321">
        <v>0</v>
      </c>
      <c r="G301" s="321">
        <v>0</v>
      </c>
      <c r="H301" s="321">
        <v>0</v>
      </c>
      <c r="I301" s="321">
        <v>0</v>
      </c>
      <c r="J301" s="321">
        <v>0</v>
      </c>
    </row>
    <row r="302" spans="2:10">
      <c r="B302" s="136" t="s">
        <v>327</v>
      </c>
      <c r="C302" s="321">
        <v>0</v>
      </c>
      <c r="D302" s="321">
        <v>0</v>
      </c>
      <c r="E302" s="321">
        <v>0</v>
      </c>
      <c r="F302" s="321">
        <v>0</v>
      </c>
      <c r="G302" s="321">
        <v>0</v>
      </c>
      <c r="H302" s="321">
        <v>0</v>
      </c>
      <c r="I302" s="321">
        <v>0</v>
      </c>
      <c r="J302" s="321">
        <v>0</v>
      </c>
    </row>
    <row r="303" spans="2:10">
      <c r="B303" s="136" t="s">
        <v>326</v>
      </c>
      <c r="C303" s="321">
        <v>0</v>
      </c>
      <c r="D303" s="321">
        <v>0</v>
      </c>
      <c r="E303" s="321">
        <v>0</v>
      </c>
      <c r="F303" s="321">
        <v>0</v>
      </c>
      <c r="G303" s="321">
        <v>0</v>
      </c>
      <c r="H303" s="321">
        <v>0</v>
      </c>
      <c r="I303" s="321">
        <v>0</v>
      </c>
      <c r="J303" s="321">
        <v>0</v>
      </c>
    </row>
    <row r="304" spans="2:10">
      <c r="B304" s="136" t="s">
        <v>325</v>
      </c>
      <c r="C304" s="321">
        <v>0</v>
      </c>
      <c r="D304" s="321">
        <v>0</v>
      </c>
      <c r="E304" s="321">
        <v>0</v>
      </c>
      <c r="F304" s="321">
        <v>0</v>
      </c>
      <c r="G304" s="321">
        <v>0</v>
      </c>
      <c r="H304" s="321">
        <v>0</v>
      </c>
      <c r="I304" s="321">
        <v>0</v>
      </c>
      <c r="J304" s="321">
        <v>0</v>
      </c>
    </row>
    <row r="305" spans="2:10">
      <c r="B305" s="136" t="s">
        <v>323</v>
      </c>
      <c r="C305" s="321">
        <v>0</v>
      </c>
      <c r="D305" s="321">
        <v>0</v>
      </c>
      <c r="E305" s="321">
        <v>0</v>
      </c>
      <c r="F305" s="321">
        <v>0</v>
      </c>
      <c r="G305" s="321">
        <v>0</v>
      </c>
      <c r="H305" s="321">
        <v>0</v>
      </c>
      <c r="I305" s="321">
        <v>0</v>
      </c>
      <c r="J305" s="321">
        <v>0</v>
      </c>
    </row>
    <row r="306" spans="2:10">
      <c r="B306" s="136" t="s">
        <v>117</v>
      </c>
      <c r="C306" s="321">
        <v>0</v>
      </c>
      <c r="D306" s="321">
        <v>0</v>
      </c>
      <c r="E306" s="321">
        <v>0</v>
      </c>
      <c r="F306" s="321">
        <v>0</v>
      </c>
      <c r="G306" s="321">
        <v>0</v>
      </c>
      <c r="H306" s="321">
        <v>0</v>
      </c>
      <c r="I306" s="321">
        <v>0</v>
      </c>
      <c r="J306" s="321">
        <v>0</v>
      </c>
    </row>
    <row r="307" spans="2:10">
      <c r="B307" s="133" t="s">
        <v>322</v>
      </c>
      <c r="C307" s="321">
        <v>16</v>
      </c>
      <c r="D307" s="321">
        <v>16</v>
      </c>
      <c r="E307" s="321">
        <v>16</v>
      </c>
      <c r="F307" s="321">
        <v>16</v>
      </c>
      <c r="G307" s="321">
        <v>16</v>
      </c>
      <c r="H307" s="321">
        <v>16</v>
      </c>
      <c r="I307" s="321">
        <v>16</v>
      </c>
      <c r="J307" s="321">
        <v>16</v>
      </c>
    </row>
    <row r="308" spans="2:10">
      <c r="B308" s="65"/>
      <c r="C308" s="321"/>
      <c r="D308" s="321"/>
      <c r="E308" s="321"/>
      <c r="F308" s="321"/>
      <c r="G308" s="321"/>
      <c r="H308" s="321"/>
      <c r="I308" s="321"/>
      <c r="J308" s="321"/>
    </row>
    <row r="309" spans="2:10">
      <c r="B309" s="114" t="s">
        <v>302</v>
      </c>
      <c r="C309" s="321"/>
      <c r="D309" s="321"/>
      <c r="E309" s="321"/>
      <c r="F309" s="321"/>
      <c r="G309" s="321"/>
      <c r="H309" s="321"/>
      <c r="I309" s="321"/>
      <c r="J309" s="321"/>
    </row>
    <row r="310" spans="2:10">
      <c r="B310" s="114"/>
      <c r="C310" s="321"/>
      <c r="D310" s="321"/>
      <c r="E310" s="321"/>
      <c r="F310" s="321"/>
      <c r="G310" s="321"/>
      <c r="H310" s="321"/>
      <c r="I310" s="321"/>
      <c r="J310" s="321"/>
    </row>
    <row r="311" spans="2:10">
      <c r="B311" s="59" t="s">
        <v>1836</v>
      </c>
      <c r="C311" s="952"/>
      <c r="D311" s="952"/>
      <c r="E311" s="952"/>
      <c r="F311" s="952"/>
      <c r="G311" s="952"/>
      <c r="H311" s="952"/>
      <c r="I311" s="952"/>
      <c r="J311" s="952"/>
    </row>
    <row r="312" spans="2:10">
      <c r="B312" s="71" t="s">
        <v>331</v>
      </c>
      <c r="C312" s="952">
        <v>7</v>
      </c>
      <c r="D312" s="952">
        <v>7</v>
      </c>
      <c r="E312" s="952">
        <v>7</v>
      </c>
      <c r="F312" s="952">
        <v>8</v>
      </c>
      <c r="G312" s="952">
        <v>8</v>
      </c>
      <c r="H312" s="952">
        <v>8</v>
      </c>
      <c r="I312" s="952">
        <v>8</v>
      </c>
      <c r="J312" s="952">
        <v>7</v>
      </c>
    </row>
    <row r="313" spans="2:10">
      <c r="B313" s="133" t="s">
        <v>330</v>
      </c>
      <c r="C313" s="952">
        <v>7</v>
      </c>
      <c r="D313" s="952">
        <v>7</v>
      </c>
      <c r="E313" s="952">
        <v>7</v>
      </c>
      <c r="F313" s="952">
        <v>8</v>
      </c>
      <c r="G313" s="952">
        <v>8</v>
      </c>
      <c r="H313" s="952">
        <v>8</v>
      </c>
      <c r="I313" s="952">
        <v>8</v>
      </c>
      <c r="J313" s="952">
        <v>7</v>
      </c>
    </row>
    <row r="314" spans="2:10">
      <c r="B314" s="52" t="s">
        <v>260</v>
      </c>
      <c r="C314" s="952">
        <v>6</v>
      </c>
      <c r="D314" s="952">
        <v>6</v>
      </c>
      <c r="E314" s="952">
        <v>6</v>
      </c>
      <c r="F314" s="952">
        <v>7</v>
      </c>
      <c r="G314" s="952">
        <v>7</v>
      </c>
      <c r="H314" s="952">
        <v>7</v>
      </c>
      <c r="I314" s="952">
        <v>7</v>
      </c>
      <c r="J314" s="952">
        <v>6</v>
      </c>
    </row>
    <row r="315" spans="2:10">
      <c r="B315" s="52" t="s">
        <v>329</v>
      </c>
      <c r="C315" s="952" t="s">
        <v>1187</v>
      </c>
      <c r="D315" s="952" t="s">
        <v>1187</v>
      </c>
      <c r="E315" s="952" t="s">
        <v>1187</v>
      </c>
      <c r="F315" s="952" t="s">
        <v>1187</v>
      </c>
      <c r="G315" s="952" t="s">
        <v>1187</v>
      </c>
      <c r="H315" s="952" t="s">
        <v>1187</v>
      </c>
      <c r="I315" s="952" t="s">
        <v>1187</v>
      </c>
      <c r="J315" s="952" t="s">
        <v>1187</v>
      </c>
    </row>
    <row r="316" spans="2:10">
      <c r="B316" s="52" t="s">
        <v>328</v>
      </c>
      <c r="C316" s="952" t="s">
        <v>1187</v>
      </c>
      <c r="D316" s="952" t="s">
        <v>1187</v>
      </c>
      <c r="E316" s="952" t="s">
        <v>1187</v>
      </c>
      <c r="F316" s="952" t="s">
        <v>1187</v>
      </c>
      <c r="G316" s="952" t="s">
        <v>1187</v>
      </c>
      <c r="H316" s="952" t="s">
        <v>1187</v>
      </c>
      <c r="I316" s="952" t="s">
        <v>1187</v>
      </c>
      <c r="J316" s="952" t="s">
        <v>1187</v>
      </c>
    </row>
    <row r="317" spans="2:10">
      <c r="B317" s="136" t="s">
        <v>327</v>
      </c>
      <c r="C317" s="952" t="s">
        <v>1187</v>
      </c>
      <c r="D317" s="952" t="s">
        <v>1187</v>
      </c>
      <c r="E317" s="952" t="s">
        <v>1187</v>
      </c>
      <c r="F317" s="952" t="s">
        <v>1187</v>
      </c>
      <c r="G317" s="952" t="s">
        <v>1187</v>
      </c>
      <c r="H317" s="952" t="s">
        <v>1187</v>
      </c>
      <c r="I317" s="952" t="s">
        <v>1187</v>
      </c>
      <c r="J317" s="952" t="s">
        <v>1187</v>
      </c>
    </row>
    <row r="318" spans="2:10">
      <c r="B318" s="136" t="s">
        <v>326</v>
      </c>
      <c r="C318" s="952" t="s">
        <v>1187</v>
      </c>
      <c r="D318" s="952" t="s">
        <v>1187</v>
      </c>
      <c r="E318" s="952" t="s">
        <v>1187</v>
      </c>
      <c r="F318" s="952" t="s">
        <v>1187</v>
      </c>
      <c r="G318" s="952" t="s">
        <v>1187</v>
      </c>
      <c r="H318" s="952" t="s">
        <v>1187</v>
      </c>
      <c r="I318" s="952" t="s">
        <v>1187</v>
      </c>
      <c r="J318" s="952" t="s">
        <v>1187</v>
      </c>
    </row>
    <row r="319" spans="2:10">
      <c r="B319" s="136" t="s">
        <v>325</v>
      </c>
      <c r="C319" s="952" t="s">
        <v>1187</v>
      </c>
      <c r="D319" s="952" t="s">
        <v>1187</v>
      </c>
      <c r="E319" s="952" t="s">
        <v>1187</v>
      </c>
      <c r="F319" s="952" t="s">
        <v>1187</v>
      </c>
      <c r="G319" s="952" t="s">
        <v>1187</v>
      </c>
      <c r="H319" s="952" t="s">
        <v>1187</v>
      </c>
      <c r="I319" s="952" t="s">
        <v>1187</v>
      </c>
      <c r="J319" s="952" t="s">
        <v>1187</v>
      </c>
    </row>
    <row r="320" spans="2:10">
      <c r="B320" s="136" t="s">
        <v>323</v>
      </c>
      <c r="C320" s="952" t="s">
        <v>1187</v>
      </c>
      <c r="D320" s="952" t="s">
        <v>1187</v>
      </c>
      <c r="E320" s="952" t="s">
        <v>1187</v>
      </c>
      <c r="F320" s="952" t="s">
        <v>1187</v>
      </c>
      <c r="G320" s="952" t="s">
        <v>1187</v>
      </c>
      <c r="H320" s="952" t="s">
        <v>1187</v>
      </c>
      <c r="I320" s="952" t="s">
        <v>1187</v>
      </c>
      <c r="J320" s="952" t="s">
        <v>1187</v>
      </c>
    </row>
    <row r="321" spans="2:10">
      <c r="B321" s="136" t="s">
        <v>117</v>
      </c>
      <c r="C321" s="952">
        <v>1</v>
      </c>
      <c r="D321" s="952">
        <v>1</v>
      </c>
      <c r="E321" s="952">
        <v>1</v>
      </c>
      <c r="F321" s="952">
        <v>1</v>
      </c>
      <c r="G321" s="952">
        <v>1</v>
      </c>
      <c r="H321" s="952">
        <v>1</v>
      </c>
      <c r="I321" s="952">
        <v>1</v>
      </c>
      <c r="J321" s="952">
        <v>1</v>
      </c>
    </row>
    <row r="322" spans="2:10">
      <c r="B322" s="133" t="s">
        <v>322</v>
      </c>
      <c r="C322" s="952" t="s">
        <v>1187</v>
      </c>
      <c r="D322" s="952" t="s">
        <v>1187</v>
      </c>
      <c r="E322" s="952" t="s">
        <v>1187</v>
      </c>
      <c r="F322" s="952" t="s">
        <v>1187</v>
      </c>
      <c r="G322" s="952" t="s">
        <v>1187</v>
      </c>
      <c r="H322" s="952" t="s">
        <v>1187</v>
      </c>
      <c r="I322" s="952" t="s">
        <v>1187</v>
      </c>
      <c r="J322" s="952" t="s">
        <v>1187</v>
      </c>
    </row>
    <row r="323" spans="2:10">
      <c r="B323" s="133"/>
      <c r="C323" s="321"/>
      <c r="D323" s="321"/>
      <c r="E323" s="321"/>
      <c r="F323" s="321"/>
      <c r="G323" s="321"/>
      <c r="H323" s="321"/>
      <c r="I323" s="321"/>
      <c r="J323" s="321"/>
    </row>
    <row r="324" spans="2:10">
      <c r="B324" s="59" t="s">
        <v>1837</v>
      </c>
      <c r="C324" s="321"/>
      <c r="D324" s="321"/>
      <c r="E324" s="321"/>
      <c r="F324" s="321"/>
      <c r="G324" s="321"/>
      <c r="H324" s="321"/>
      <c r="I324" s="321"/>
      <c r="J324" s="321"/>
    </row>
    <row r="325" spans="2:10">
      <c r="B325" s="71" t="s">
        <v>331</v>
      </c>
      <c r="C325" s="952">
        <v>9</v>
      </c>
      <c r="D325" s="952">
        <v>9</v>
      </c>
      <c r="E325" s="952">
        <v>9</v>
      </c>
      <c r="F325" s="952">
        <v>9</v>
      </c>
      <c r="G325" s="952">
        <v>9</v>
      </c>
      <c r="H325" s="952">
        <v>9</v>
      </c>
      <c r="I325" s="952">
        <v>9</v>
      </c>
      <c r="J325" s="952">
        <v>9</v>
      </c>
    </row>
    <row r="326" spans="2:10">
      <c r="B326" s="133" t="s">
        <v>330</v>
      </c>
      <c r="C326" s="952">
        <v>9</v>
      </c>
      <c r="D326" s="952">
        <v>9</v>
      </c>
      <c r="E326" s="952">
        <v>9</v>
      </c>
      <c r="F326" s="952">
        <v>9</v>
      </c>
      <c r="G326" s="952">
        <v>9</v>
      </c>
      <c r="H326" s="952">
        <v>9</v>
      </c>
      <c r="I326" s="952">
        <v>9</v>
      </c>
      <c r="J326" s="952">
        <v>9</v>
      </c>
    </row>
    <row r="327" spans="2:10">
      <c r="B327" s="52" t="s">
        <v>260</v>
      </c>
      <c r="C327" s="952">
        <v>8</v>
      </c>
      <c r="D327" s="952">
        <v>8</v>
      </c>
      <c r="E327" s="952">
        <v>8</v>
      </c>
      <c r="F327" s="952">
        <v>8</v>
      </c>
      <c r="G327" s="952">
        <v>8</v>
      </c>
      <c r="H327" s="952">
        <v>8</v>
      </c>
      <c r="I327" s="952">
        <v>8</v>
      </c>
      <c r="J327" s="952">
        <v>8</v>
      </c>
    </row>
    <row r="328" spans="2:10">
      <c r="B328" s="52" t="s">
        <v>329</v>
      </c>
      <c r="C328" s="952">
        <v>1</v>
      </c>
      <c r="D328" s="952">
        <v>1</v>
      </c>
      <c r="E328" s="952">
        <v>1</v>
      </c>
      <c r="F328" s="952">
        <v>1</v>
      </c>
      <c r="G328" s="952">
        <v>1</v>
      </c>
      <c r="H328" s="952">
        <v>1</v>
      </c>
      <c r="I328" s="952">
        <v>1</v>
      </c>
      <c r="J328" s="952">
        <v>1</v>
      </c>
    </row>
    <row r="329" spans="2:10">
      <c r="B329" s="52" t="s">
        <v>328</v>
      </c>
      <c r="C329" s="952" t="s">
        <v>1187</v>
      </c>
      <c r="D329" s="952" t="s">
        <v>1187</v>
      </c>
      <c r="E329" s="952" t="s">
        <v>1187</v>
      </c>
      <c r="F329" s="952" t="s">
        <v>1187</v>
      </c>
      <c r="G329" s="952" t="s">
        <v>1187</v>
      </c>
      <c r="H329" s="952" t="s">
        <v>1187</v>
      </c>
      <c r="I329" s="952" t="s">
        <v>1187</v>
      </c>
      <c r="J329" s="952" t="s">
        <v>1187</v>
      </c>
    </row>
    <row r="330" spans="2:10">
      <c r="B330" s="136" t="s">
        <v>327</v>
      </c>
      <c r="C330" s="952" t="s">
        <v>1187</v>
      </c>
      <c r="D330" s="952" t="s">
        <v>1187</v>
      </c>
      <c r="E330" s="952" t="s">
        <v>1187</v>
      </c>
      <c r="F330" s="952" t="s">
        <v>1187</v>
      </c>
      <c r="G330" s="952" t="s">
        <v>1187</v>
      </c>
      <c r="H330" s="952" t="s">
        <v>1187</v>
      </c>
      <c r="I330" s="952" t="s">
        <v>1187</v>
      </c>
      <c r="J330" s="952" t="s">
        <v>1187</v>
      </c>
    </row>
    <row r="331" spans="2:10">
      <c r="B331" s="136" t="s">
        <v>326</v>
      </c>
      <c r="C331" s="952" t="s">
        <v>1187</v>
      </c>
      <c r="D331" s="952" t="s">
        <v>1187</v>
      </c>
      <c r="E331" s="952" t="s">
        <v>1187</v>
      </c>
      <c r="F331" s="952" t="s">
        <v>1187</v>
      </c>
      <c r="G331" s="952" t="s">
        <v>1187</v>
      </c>
      <c r="H331" s="952" t="s">
        <v>1187</v>
      </c>
      <c r="I331" s="952" t="s">
        <v>1187</v>
      </c>
      <c r="J331" s="952" t="s">
        <v>1187</v>
      </c>
    </row>
    <row r="332" spans="2:10">
      <c r="B332" s="136" t="s">
        <v>325</v>
      </c>
      <c r="C332" s="952" t="s">
        <v>1187</v>
      </c>
      <c r="D332" s="952" t="s">
        <v>1187</v>
      </c>
      <c r="E332" s="952" t="s">
        <v>1187</v>
      </c>
      <c r="F332" s="952" t="s">
        <v>1187</v>
      </c>
      <c r="G332" s="952" t="s">
        <v>1187</v>
      </c>
      <c r="H332" s="952" t="s">
        <v>1187</v>
      </c>
      <c r="I332" s="952" t="s">
        <v>1187</v>
      </c>
      <c r="J332" s="952" t="s">
        <v>1187</v>
      </c>
    </row>
    <row r="333" spans="2:10">
      <c r="B333" s="136" t="s">
        <v>323</v>
      </c>
      <c r="C333" s="952" t="s">
        <v>1187</v>
      </c>
      <c r="D333" s="952" t="s">
        <v>1187</v>
      </c>
      <c r="E333" s="952" t="s">
        <v>1187</v>
      </c>
      <c r="F333" s="952" t="s">
        <v>1187</v>
      </c>
      <c r="G333" s="952" t="s">
        <v>1187</v>
      </c>
      <c r="H333" s="952" t="s">
        <v>1187</v>
      </c>
      <c r="I333" s="952" t="s">
        <v>1187</v>
      </c>
      <c r="J333" s="952" t="s">
        <v>1187</v>
      </c>
    </row>
    <row r="334" spans="2:10">
      <c r="B334" s="136" t="s">
        <v>117</v>
      </c>
      <c r="C334" s="952" t="s">
        <v>1187</v>
      </c>
      <c r="D334" s="952" t="s">
        <v>1187</v>
      </c>
      <c r="E334" s="952" t="s">
        <v>1187</v>
      </c>
      <c r="F334" s="952" t="s">
        <v>1187</v>
      </c>
      <c r="G334" s="952" t="s">
        <v>1187</v>
      </c>
      <c r="H334" s="952" t="s">
        <v>1187</v>
      </c>
      <c r="I334" s="952" t="s">
        <v>1187</v>
      </c>
      <c r="J334" s="952" t="s">
        <v>1187</v>
      </c>
    </row>
    <row r="335" spans="2:10" ht="15" thickBot="1">
      <c r="B335" s="133" t="s">
        <v>322</v>
      </c>
      <c r="C335" s="952" t="s">
        <v>1187</v>
      </c>
      <c r="D335" s="952" t="s">
        <v>1187</v>
      </c>
      <c r="E335" s="952" t="s">
        <v>1187</v>
      </c>
      <c r="F335" s="952" t="s">
        <v>1187</v>
      </c>
      <c r="G335" s="952" t="s">
        <v>1187</v>
      </c>
      <c r="H335" s="952" t="s">
        <v>1187</v>
      </c>
      <c r="I335" s="952" t="s">
        <v>1187</v>
      </c>
      <c r="J335" s="952" t="s">
        <v>1187</v>
      </c>
    </row>
    <row r="336" spans="2:10" ht="15" thickTop="1">
      <c r="B336" s="2025" t="s">
        <v>1838</v>
      </c>
      <c r="C336" s="2025"/>
      <c r="D336" s="2025"/>
      <c r="E336" s="2025"/>
      <c r="F336" s="2025"/>
      <c r="G336" s="2025"/>
      <c r="H336" s="2025"/>
      <c r="I336" s="2025"/>
      <c r="J336" s="2025"/>
    </row>
    <row r="337" spans="2:10">
      <c r="B337" s="2017"/>
      <c r="C337" s="2017"/>
      <c r="D337" s="2017"/>
      <c r="E337" s="2017"/>
      <c r="F337" s="2017"/>
      <c r="G337" s="2017"/>
      <c r="H337" s="2017"/>
      <c r="I337" s="2017"/>
      <c r="J337" s="2017"/>
    </row>
    <row r="338" spans="2:10">
      <c r="B338" s="64"/>
      <c r="C338" s="302"/>
      <c r="D338" s="302"/>
      <c r="E338" s="302"/>
      <c r="F338" s="302"/>
      <c r="G338" s="302"/>
      <c r="H338" s="302"/>
      <c r="I338" s="302"/>
      <c r="J338" s="302"/>
    </row>
    <row r="339" spans="2:10">
      <c r="B339" s="2100" t="s">
        <v>320</v>
      </c>
      <c r="C339" s="2100"/>
      <c r="D339" s="2100"/>
      <c r="E339" s="2100"/>
      <c r="F339" s="2100"/>
      <c r="G339" s="2100"/>
      <c r="H339" s="2100"/>
      <c r="I339" s="2100"/>
      <c r="J339" s="2100"/>
    </row>
    <row r="340" spans="2:10">
      <c r="B340" s="12" t="s">
        <v>319</v>
      </c>
      <c r="C340" s="302"/>
      <c r="D340" s="302"/>
      <c r="E340" s="302"/>
      <c r="F340" s="302"/>
      <c r="G340" s="302"/>
      <c r="H340" s="302"/>
      <c r="I340" s="302"/>
      <c r="J340" s="302"/>
    </row>
    <row r="341" spans="2:10">
      <c r="B341" s="62" t="s">
        <v>242</v>
      </c>
      <c r="C341" s="302"/>
      <c r="D341" s="302"/>
      <c r="E341" s="302"/>
      <c r="F341" s="302"/>
      <c r="G341" s="302"/>
      <c r="H341" s="302"/>
      <c r="I341" s="302"/>
      <c r="J341" s="302"/>
    </row>
    <row r="342" spans="2:10">
      <c r="B342" s="64"/>
      <c r="C342" s="302"/>
      <c r="D342" s="302"/>
      <c r="E342" s="302"/>
      <c r="F342" s="302"/>
      <c r="G342" s="302"/>
      <c r="H342" s="302"/>
      <c r="I342" s="302"/>
      <c r="J342" s="302"/>
    </row>
    <row r="343" spans="2:10">
      <c r="B343" s="61"/>
      <c r="C343" s="303">
        <v>2014</v>
      </c>
      <c r="D343" s="303">
        <v>2015</v>
      </c>
      <c r="E343" s="303">
        <v>2016</v>
      </c>
      <c r="F343" s="303">
        <v>2017</v>
      </c>
      <c r="G343" s="303">
        <v>2018</v>
      </c>
      <c r="H343" s="303">
        <v>2019</v>
      </c>
      <c r="I343" s="303">
        <v>2020</v>
      </c>
      <c r="J343" s="303">
        <v>2021</v>
      </c>
    </row>
    <row r="344" spans="2:10">
      <c r="B344" s="114" t="s">
        <v>310</v>
      </c>
      <c r="C344" s="107"/>
      <c r="D344" s="107"/>
      <c r="E344" s="107"/>
      <c r="F344" s="107"/>
      <c r="G344" s="107"/>
      <c r="H344" s="107"/>
      <c r="I344" s="107"/>
      <c r="J344" s="107"/>
    </row>
    <row r="345" spans="2:10">
      <c r="B345" s="114"/>
      <c r="C345" s="107"/>
      <c r="D345" s="107"/>
      <c r="E345" s="107"/>
      <c r="F345" s="107"/>
      <c r="G345" s="107"/>
      <c r="H345" s="107"/>
      <c r="I345" s="107"/>
      <c r="J345" s="107"/>
    </row>
    <row r="346" spans="2:10">
      <c r="B346" s="59" t="s">
        <v>1839</v>
      </c>
      <c r="C346" s="107"/>
      <c r="D346" s="107"/>
      <c r="E346" s="107"/>
      <c r="F346" s="107"/>
      <c r="G346" s="107"/>
      <c r="H346" s="107"/>
      <c r="I346" s="107"/>
      <c r="J346" s="107"/>
    </row>
    <row r="347" spans="2:10">
      <c r="B347" s="71" t="s">
        <v>297</v>
      </c>
      <c r="C347" s="102">
        <v>5.9966999999999999E-2</v>
      </c>
      <c r="D347" s="102">
        <v>6.0260000000000001E-2</v>
      </c>
      <c r="E347" s="102">
        <v>6.1693999999999999E-2</v>
      </c>
      <c r="F347" s="102">
        <v>6.5656999999999993E-2</v>
      </c>
      <c r="G347" s="102">
        <v>7.0921999999999999E-2</v>
      </c>
      <c r="H347" s="102">
        <v>7.0696999999999996E-2</v>
      </c>
      <c r="I347" s="102">
        <v>7.9021999999999995E-2</v>
      </c>
      <c r="J347" s="102">
        <v>8.0156000000000005E-2</v>
      </c>
    </row>
    <row r="348" spans="2:10">
      <c r="B348" s="133" t="s">
        <v>296</v>
      </c>
      <c r="C348" s="102">
        <v>5.9966999999999999E-2</v>
      </c>
      <c r="D348" s="102">
        <v>6.0260000000000001E-2</v>
      </c>
      <c r="E348" s="102">
        <v>6.1693999999999999E-2</v>
      </c>
      <c r="F348" s="102">
        <v>6.5656999999999993E-2</v>
      </c>
      <c r="G348" s="102">
        <v>7.0921999999999999E-2</v>
      </c>
      <c r="H348" s="102">
        <v>7.0696999999999996E-2</v>
      </c>
      <c r="I348" s="102">
        <v>7.9021999999999995E-2</v>
      </c>
      <c r="J348" s="102">
        <v>8.0156000000000005E-2</v>
      </c>
    </row>
    <row r="349" spans="2:10">
      <c r="B349" s="132" t="s">
        <v>295</v>
      </c>
      <c r="C349" s="129">
        <v>0</v>
      </c>
      <c r="D349" s="129">
        <v>0</v>
      </c>
      <c r="E349" s="129">
        <v>0</v>
      </c>
      <c r="F349" s="129">
        <v>0</v>
      </c>
      <c r="G349" s="129">
        <v>0</v>
      </c>
      <c r="H349" s="129">
        <v>0</v>
      </c>
      <c r="I349" s="129">
        <v>0</v>
      </c>
      <c r="J349" s="129">
        <v>0</v>
      </c>
    </row>
    <row r="350" spans="2:10">
      <c r="B350" s="132" t="s">
        <v>303</v>
      </c>
      <c r="C350" s="129">
        <v>0</v>
      </c>
      <c r="D350" s="129">
        <v>0</v>
      </c>
      <c r="E350" s="129">
        <v>0</v>
      </c>
      <c r="F350" s="129">
        <v>0</v>
      </c>
      <c r="G350" s="129">
        <v>0</v>
      </c>
      <c r="H350" s="129">
        <v>0</v>
      </c>
      <c r="I350" s="129">
        <v>0</v>
      </c>
      <c r="J350" s="129">
        <v>0</v>
      </c>
    </row>
    <row r="351" spans="2:10">
      <c r="B351" s="65" t="s">
        <v>287</v>
      </c>
      <c r="C351" s="129">
        <v>0</v>
      </c>
      <c r="D351" s="129">
        <v>0</v>
      </c>
      <c r="E351" s="129">
        <v>0</v>
      </c>
      <c r="F351" s="129">
        <v>0</v>
      </c>
      <c r="G351" s="129">
        <v>0</v>
      </c>
      <c r="H351" s="129">
        <v>0</v>
      </c>
      <c r="I351" s="129">
        <v>0</v>
      </c>
      <c r="J351" s="129">
        <v>0</v>
      </c>
    </row>
    <row r="352" spans="2:10">
      <c r="B352" s="302"/>
      <c r="C352" s="129"/>
      <c r="D352" s="129"/>
      <c r="E352" s="129"/>
      <c r="F352" s="129"/>
      <c r="G352" s="129"/>
      <c r="H352" s="129"/>
      <c r="I352" s="129"/>
      <c r="J352" s="129"/>
    </row>
    <row r="353" spans="2:10">
      <c r="B353" s="114" t="s">
        <v>302</v>
      </c>
      <c r="C353" s="129"/>
      <c r="D353" s="129"/>
      <c r="E353" s="129"/>
      <c r="F353" s="129"/>
      <c r="G353" s="129"/>
      <c r="H353" s="129"/>
      <c r="I353" s="129"/>
      <c r="J353" s="129"/>
    </row>
    <row r="354" spans="2:10">
      <c r="B354" s="114"/>
      <c r="C354" s="129"/>
      <c r="D354" s="129"/>
      <c r="E354" s="129"/>
      <c r="F354" s="129"/>
      <c r="G354" s="129"/>
      <c r="H354" s="129"/>
      <c r="I354" s="129"/>
      <c r="J354" s="129"/>
    </row>
    <row r="355" spans="2:10">
      <c r="B355" s="59" t="s">
        <v>489</v>
      </c>
      <c r="C355" s="129"/>
      <c r="D355" s="129"/>
      <c r="E355" s="129"/>
      <c r="F355" s="129"/>
      <c r="G355" s="129"/>
      <c r="H355" s="129"/>
      <c r="I355" s="129"/>
      <c r="J355" s="129"/>
    </row>
    <row r="356" spans="2:10">
      <c r="B356" s="71" t="s">
        <v>297</v>
      </c>
      <c r="C356" s="102">
        <v>3.8853689999999999</v>
      </c>
      <c r="D356" s="102">
        <v>4.1176589999999997</v>
      </c>
      <c r="E356" s="102">
        <v>4.2614989999999997</v>
      </c>
      <c r="F356" s="102">
        <v>4.4579449999999996</v>
      </c>
      <c r="G356" s="102">
        <v>4.9209680000000002</v>
      </c>
      <c r="H356" s="102">
        <v>5.409319</v>
      </c>
      <c r="I356" s="102">
        <v>6.1497299999999999</v>
      </c>
      <c r="J356" s="102">
        <v>7.8953420000000003</v>
      </c>
    </row>
    <row r="357" spans="2:10">
      <c r="B357" s="133" t="s">
        <v>296</v>
      </c>
      <c r="C357" s="102">
        <v>3.8853689999999999</v>
      </c>
      <c r="D357" s="102">
        <v>4.1176589999999997</v>
      </c>
      <c r="E357" s="102">
        <v>4.2614989999999997</v>
      </c>
      <c r="F357" s="102">
        <v>4.4579449999999996</v>
      </c>
      <c r="G357" s="102">
        <v>4.9209680000000002</v>
      </c>
      <c r="H357" s="102">
        <v>5.409319</v>
      </c>
      <c r="I357" s="102">
        <v>6.1497299999999999</v>
      </c>
      <c r="J357" s="102">
        <v>7.8953420000000003</v>
      </c>
    </row>
    <row r="358" spans="2:10">
      <c r="B358" s="131" t="s">
        <v>294</v>
      </c>
      <c r="C358" s="102">
        <v>3.6859769999999998</v>
      </c>
      <c r="D358" s="102">
        <v>3.8923920000000001</v>
      </c>
      <c r="E358" s="102">
        <v>4.0108379999999997</v>
      </c>
      <c r="F358" s="102">
        <v>4.1823829999999997</v>
      </c>
      <c r="G358" s="102">
        <v>4.623837</v>
      </c>
      <c r="H358" s="102">
        <v>5.0874030000000001</v>
      </c>
      <c r="I358" s="102">
        <v>5.8014970000000003</v>
      </c>
      <c r="J358" s="102">
        <v>7.4754149999999999</v>
      </c>
    </row>
    <row r="359" spans="2:10">
      <c r="B359" s="1343" t="s">
        <v>1840</v>
      </c>
      <c r="C359" s="102">
        <v>0.19939200000000001</v>
      </c>
      <c r="D359" s="102">
        <v>0.225267</v>
      </c>
      <c r="E359" s="102">
        <v>0.25066100000000002</v>
      </c>
      <c r="F359" s="102">
        <v>0.27556199999999997</v>
      </c>
      <c r="G359" s="102">
        <v>0.29713099999999998</v>
      </c>
      <c r="H359" s="102">
        <v>0.32191599999999998</v>
      </c>
      <c r="I359" s="102">
        <v>0.34823300000000001</v>
      </c>
      <c r="J359" s="102">
        <v>0.41992699999999999</v>
      </c>
    </row>
    <row r="360" spans="2:10">
      <c r="B360" s="131" t="s">
        <v>292</v>
      </c>
      <c r="C360" s="129">
        <v>0</v>
      </c>
      <c r="D360" s="129">
        <v>0</v>
      </c>
      <c r="E360" s="129">
        <v>0</v>
      </c>
      <c r="F360" s="129">
        <v>0</v>
      </c>
      <c r="G360" s="129">
        <v>0</v>
      </c>
      <c r="H360" s="129">
        <v>0</v>
      </c>
      <c r="I360" s="129">
        <v>0</v>
      </c>
      <c r="J360" s="129">
        <v>0</v>
      </c>
    </row>
    <row r="361" spans="2:10">
      <c r="B361" s="131" t="s">
        <v>291</v>
      </c>
      <c r="C361" s="129">
        <v>0</v>
      </c>
      <c r="D361" s="129">
        <v>0</v>
      </c>
      <c r="E361" s="129">
        <v>0</v>
      </c>
      <c r="F361" s="129">
        <v>0</v>
      </c>
      <c r="G361" s="129">
        <v>0</v>
      </c>
      <c r="H361" s="129">
        <v>0</v>
      </c>
      <c r="I361" s="129">
        <v>0</v>
      </c>
      <c r="J361" s="129">
        <v>0</v>
      </c>
    </row>
    <row r="362" spans="2:10">
      <c r="B362" s="131" t="s">
        <v>290</v>
      </c>
      <c r="C362" s="129">
        <v>0</v>
      </c>
      <c r="D362" s="129">
        <v>0</v>
      </c>
      <c r="E362" s="129">
        <v>0</v>
      </c>
      <c r="F362" s="129">
        <v>0</v>
      </c>
      <c r="G362" s="129">
        <v>0</v>
      </c>
      <c r="H362" s="129">
        <v>0</v>
      </c>
      <c r="I362" s="129">
        <v>0</v>
      </c>
      <c r="J362" s="129">
        <v>0</v>
      </c>
    </row>
    <row r="363" spans="2:10">
      <c r="B363" s="131" t="s">
        <v>289</v>
      </c>
      <c r="C363" s="129">
        <v>0</v>
      </c>
      <c r="D363" s="129">
        <v>0</v>
      </c>
      <c r="E363" s="129">
        <v>0</v>
      </c>
      <c r="F363" s="129">
        <v>0</v>
      </c>
      <c r="G363" s="129">
        <v>0</v>
      </c>
      <c r="H363" s="129">
        <v>0</v>
      </c>
      <c r="I363" s="129">
        <v>0</v>
      </c>
      <c r="J363" s="129">
        <v>0</v>
      </c>
    </row>
    <row r="364" spans="2:10">
      <c r="B364" s="131" t="s">
        <v>288</v>
      </c>
      <c r="C364" s="129">
        <v>0</v>
      </c>
      <c r="D364" s="129">
        <v>0</v>
      </c>
      <c r="E364" s="129">
        <v>0</v>
      </c>
      <c r="F364" s="129">
        <v>0</v>
      </c>
      <c r="G364" s="129">
        <v>0</v>
      </c>
      <c r="H364" s="129">
        <v>0</v>
      </c>
      <c r="I364" s="129">
        <v>0</v>
      </c>
      <c r="J364" s="129">
        <v>0</v>
      </c>
    </row>
    <row r="365" spans="2:10">
      <c r="B365" s="132" t="s">
        <v>295</v>
      </c>
      <c r="C365" s="129">
        <v>0</v>
      </c>
      <c r="D365" s="129">
        <v>0</v>
      </c>
      <c r="E365" s="129">
        <v>0</v>
      </c>
      <c r="F365" s="129">
        <v>0</v>
      </c>
      <c r="G365" s="129">
        <v>0</v>
      </c>
      <c r="H365" s="129">
        <v>0</v>
      </c>
      <c r="I365" s="129">
        <v>0</v>
      </c>
      <c r="J365" s="129">
        <v>0</v>
      </c>
    </row>
    <row r="366" spans="2:10">
      <c r="B366" s="131" t="s">
        <v>294</v>
      </c>
      <c r="C366" s="129">
        <v>0</v>
      </c>
      <c r="D366" s="129">
        <v>0</v>
      </c>
      <c r="E366" s="129">
        <v>0</v>
      </c>
      <c r="F366" s="129">
        <v>0</v>
      </c>
      <c r="G366" s="129">
        <v>0</v>
      </c>
      <c r="H366" s="129">
        <v>0</v>
      </c>
      <c r="I366" s="129">
        <v>0</v>
      </c>
      <c r="J366" s="129">
        <v>0</v>
      </c>
    </row>
    <row r="367" spans="2:10">
      <c r="B367" s="131" t="s">
        <v>293</v>
      </c>
      <c r="C367" s="129">
        <v>0</v>
      </c>
      <c r="D367" s="129">
        <v>0</v>
      </c>
      <c r="E367" s="129">
        <v>0</v>
      </c>
      <c r="F367" s="129">
        <v>0</v>
      </c>
      <c r="G367" s="129">
        <v>0</v>
      </c>
      <c r="H367" s="129">
        <v>0</v>
      </c>
      <c r="I367" s="129">
        <v>0</v>
      </c>
      <c r="J367" s="129">
        <v>0</v>
      </c>
    </row>
    <row r="368" spans="2:10">
      <c r="B368" s="131" t="s">
        <v>292</v>
      </c>
      <c r="C368" s="129">
        <v>0</v>
      </c>
      <c r="D368" s="129">
        <v>0</v>
      </c>
      <c r="E368" s="129">
        <v>0</v>
      </c>
      <c r="F368" s="129">
        <v>0</v>
      </c>
      <c r="G368" s="129">
        <v>0</v>
      </c>
      <c r="H368" s="129">
        <v>0</v>
      </c>
      <c r="I368" s="129">
        <v>0</v>
      </c>
      <c r="J368" s="129">
        <v>0</v>
      </c>
    </row>
    <row r="369" spans="2:10">
      <c r="B369" s="131" t="s">
        <v>291</v>
      </c>
      <c r="C369" s="129">
        <v>0</v>
      </c>
      <c r="D369" s="129">
        <v>0</v>
      </c>
      <c r="E369" s="129">
        <v>0</v>
      </c>
      <c r="F369" s="129">
        <v>0</v>
      </c>
      <c r="G369" s="129">
        <v>0</v>
      </c>
      <c r="H369" s="129">
        <v>0</v>
      </c>
      <c r="I369" s="129">
        <v>0</v>
      </c>
      <c r="J369" s="129">
        <v>0</v>
      </c>
    </row>
    <row r="370" spans="2:10">
      <c r="B370" s="131" t="s">
        <v>290</v>
      </c>
      <c r="C370" s="129">
        <v>0</v>
      </c>
      <c r="D370" s="129">
        <v>0</v>
      </c>
      <c r="E370" s="129">
        <v>0</v>
      </c>
      <c r="F370" s="129">
        <v>0</v>
      </c>
      <c r="G370" s="129">
        <v>0</v>
      </c>
      <c r="H370" s="129">
        <v>0</v>
      </c>
      <c r="I370" s="129">
        <v>0</v>
      </c>
      <c r="J370" s="129">
        <v>0</v>
      </c>
    </row>
    <row r="371" spans="2:10">
      <c r="B371" s="131" t="s">
        <v>289</v>
      </c>
      <c r="C371" s="129">
        <v>0</v>
      </c>
      <c r="D371" s="129">
        <v>0</v>
      </c>
      <c r="E371" s="129">
        <v>0</v>
      </c>
      <c r="F371" s="129">
        <v>0</v>
      </c>
      <c r="G371" s="129">
        <v>0</v>
      </c>
      <c r="H371" s="129">
        <v>0</v>
      </c>
      <c r="I371" s="129">
        <v>0</v>
      </c>
      <c r="J371" s="129">
        <v>0</v>
      </c>
    </row>
    <row r="372" spans="2:10">
      <c r="B372" s="131" t="s">
        <v>288</v>
      </c>
      <c r="C372" s="129">
        <v>0</v>
      </c>
      <c r="D372" s="129">
        <v>0</v>
      </c>
      <c r="E372" s="129">
        <v>0</v>
      </c>
      <c r="F372" s="129">
        <v>0</v>
      </c>
      <c r="G372" s="129">
        <v>0</v>
      </c>
      <c r="H372" s="129">
        <v>0</v>
      </c>
      <c r="I372" s="129">
        <v>0</v>
      </c>
      <c r="J372" s="129">
        <v>0</v>
      </c>
    </row>
    <row r="373" spans="2:10">
      <c r="B373" s="65" t="s">
        <v>287</v>
      </c>
      <c r="C373" s="129">
        <v>0</v>
      </c>
      <c r="D373" s="129">
        <v>0</v>
      </c>
      <c r="E373" s="129">
        <v>0</v>
      </c>
      <c r="F373" s="129">
        <v>0</v>
      </c>
      <c r="G373" s="129">
        <v>0</v>
      </c>
      <c r="H373" s="129">
        <v>0</v>
      </c>
      <c r="I373" s="129">
        <v>0</v>
      </c>
      <c r="J373" s="129">
        <v>0</v>
      </c>
    </row>
    <row r="374" spans="2:10">
      <c r="B374" s="133"/>
      <c r="C374" s="129"/>
      <c r="D374" s="129"/>
      <c r="E374" s="129"/>
      <c r="F374" s="129"/>
      <c r="G374" s="129"/>
      <c r="H374" s="129"/>
      <c r="I374" s="129"/>
      <c r="J374" s="129"/>
    </row>
    <row r="375" spans="2:10">
      <c r="B375" s="1344" t="s">
        <v>353</v>
      </c>
      <c r="C375" s="129"/>
      <c r="D375" s="129"/>
      <c r="E375" s="129"/>
      <c r="F375" s="129"/>
      <c r="G375" s="129"/>
      <c r="H375" s="129"/>
      <c r="I375" s="129"/>
      <c r="J375" s="129"/>
    </row>
    <row r="376" spans="2:10">
      <c r="B376" s="71" t="s">
        <v>297</v>
      </c>
      <c r="C376" s="102">
        <v>8.8859820000000003</v>
      </c>
      <c r="D376" s="102">
        <v>8.9110630000000004</v>
      </c>
      <c r="E376" s="102">
        <v>8.3206779999999991</v>
      </c>
      <c r="F376" s="102">
        <v>8.0610280000000003</v>
      </c>
      <c r="G376" s="102">
        <v>7.5470030000000001</v>
      </c>
      <c r="H376" s="102">
        <v>7.134182</v>
      </c>
      <c r="I376" s="102">
        <v>6.0286179999999998</v>
      </c>
      <c r="J376" s="102">
        <v>5.5339429999999998</v>
      </c>
    </row>
    <row r="377" spans="2:10">
      <c r="B377" s="133" t="s">
        <v>296</v>
      </c>
      <c r="C377" s="102">
        <v>8.8859820000000003</v>
      </c>
      <c r="D377" s="102">
        <v>8.9110630000000004</v>
      </c>
      <c r="E377" s="102">
        <v>8.3206779999999991</v>
      </c>
      <c r="F377" s="102">
        <v>8.0610280000000003</v>
      </c>
      <c r="G377" s="102">
        <v>7.5470030000000001</v>
      </c>
      <c r="H377" s="102">
        <v>7.134182</v>
      </c>
      <c r="I377" s="102">
        <v>6.0286179999999998</v>
      </c>
      <c r="J377" s="102">
        <v>5.5339429999999998</v>
      </c>
    </row>
    <row r="378" spans="2:10">
      <c r="B378" s="131" t="s">
        <v>294</v>
      </c>
      <c r="C378" s="102">
        <v>0</v>
      </c>
      <c r="D378" s="102">
        <v>0</v>
      </c>
      <c r="E378" s="102">
        <v>0</v>
      </c>
      <c r="F378" s="102">
        <v>0</v>
      </c>
      <c r="G378" s="102">
        <v>0</v>
      </c>
      <c r="H378" s="102">
        <v>0</v>
      </c>
      <c r="I378" s="102">
        <v>0</v>
      </c>
      <c r="J378" s="102">
        <v>0</v>
      </c>
    </row>
    <row r="379" spans="2:10">
      <c r="B379" s="1343" t="s">
        <v>293</v>
      </c>
      <c r="C379" s="102">
        <v>0</v>
      </c>
      <c r="D379" s="102">
        <v>0</v>
      </c>
      <c r="E379" s="102">
        <v>0</v>
      </c>
      <c r="F379" s="102">
        <v>0</v>
      </c>
      <c r="G379" s="102">
        <v>0</v>
      </c>
      <c r="H379" s="102">
        <v>0</v>
      </c>
      <c r="I379" s="102">
        <v>0</v>
      </c>
      <c r="J379" s="102">
        <v>0</v>
      </c>
    </row>
    <row r="380" spans="2:10">
      <c r="B380" s="131" t="s">
        <v>292</v>
      </c>
      <c r="C380" s="102">
        <v>0</v>
      </c>
      <c r="D380" s="102">
        <v>0</v>
      </c>
      <c r="E380" s="102">
        <v>0</v>
      </c>
      <c r="F380" s="102">
        <v>0</v>
      </c>
      <c r="G380" s="102">
        <v>0</v>
      </c>
      <c r="H380" s="102">
        <v>0</v>
      </c>
      <c r="I380" s="102">
        <v>0</v>
      </c>
      <c r="J380" s="102">
        <v>0</v>
      </c>
    </row>
    <row r="381" spans="2:10">
      <c r="B381" s="131" t="s">
        <v>291</v>
      </c>
      <c r="C381" s="102">
        <v>0</v>
      </c>
      <c r="D381" s="102">
        <v>0</v>
      </c>
      <c r="E381" s="102">
        <v>0</v>
      </c>
      <c r="F381" s="102">
        <v>0</v>
      </c>
      <c r="G381" s="102">
        <v>0</v>
      </c>
      <c r="H381" s="102">
        <v>0</v>
      </c>
      <c r="I381" s="102">
        <v>0</v>
      </c>
      <c r="J381" s="102">
        <v>0</v>
      </c>
    </row>
    <row r="382" spans="2:10">
      <c r="B382" s="131" t="s">
        <v>290</v>
      </c>
      <c r="C382" s="102">
        <v>0</v>
      </c>
      <c r="D382" s="102">
        <v>0</v>
      </c>
      <c r="E382" s="102">
        <v>0</v>
      </c>
      <c r="F382" s="102">
        <v>0</v>
      </c>
      <c r="G382" s="102">
        <v>0</v>
      </c>
      <c r="H382" s="102">
        <v>0</v>
      </c>
      <c r="I382" s="102">
        <v>0</v>
      </c>
      <c r="J382" s="102">
        <v>0</v>
      </c>
    </row>
    <row r="383" spans="2:10">
      <c r="B383" s="1343" t="s">
        <v>289</v>
      </c>
      <c r="C383" s="102">
        <v>8.8859820000000003</v>
      </c>
      <c r="D383" s="102">
        <v>8.9110630000000004</v>
      </c>
      <c r="E383" s="102">
        <v>8.3206779999999991</v>
      </c>
      <c r="F383" s="102">
        <v>8.0610280000000003</v>
      </c>
      <c r="G383" s="102">
        <v>7.5470030000000001</v>
      </c>
      <c r="H383" s="102">
        <v>7.134182</v>
      </c>
      <c r="I383" s="102">
        <v>6.0286179999999998</v>
      </c>
      <c r="J383" s="102">
        <v>5.5339429999999998</v>
      </c>
    </row>
    <row r="384" spans="2:10">
      <c r="B384" s="131" t="s">
        <v>288</v>
      </c>
      <c r="C384" s="129">
        <v>0</v>
      </c>
      <c r="D384" s="129">
        <v>0</v>
      </c>
      <c r="E384" s="129">
        <v>0</v>
      </c>
      <c r="F384" s="129">
        <v>0</v>
      </c>
      <c r="G384" s="129">
        <v>0</v>
      </c>
      <c r="H384" s="129">
        <v>0</v>
      </c>
      <c r="I384" s="129">
        <v>0</v>
      </c>
      <c r="J384" s="129">
        <v>0</v>
      </c>
    </row>
    <row r="385" spans="2:10">
      <c r="B385" s="132" t="s">
        <v>295</v>
      </c>
      <c r="C385" s="129">
        <v>0</v>
      </c>
      <c r="D385" s="129">
        <v>0</v>
      </c>
      <c r="E385" s="129">
        <v>0</v>
      </c>
      <c r="F385" s="129">
        <v>0</v>
      </c>
      <c r="G385" s="129">
        <v>0</v>
      </c>
      <c r="H385" s="129">
        <v>0</v>
      </c>
      <c r="I385" s="129">
        <v>0</v>
      </c>
      <c r="J385" s="129">
        <v>0</v>
      </c>
    </row>
    <row r="386" spans="2:10">
      <c r="B386" s="131" t="s">
        <v>294</v>
      </c>
      <c r="C386" s="129">
        <v>0</v>
      </c>
      <c r="D386" s="129">
        <v>0</v>
      </c>
      <c r="E386" s="129">
        <v>0</v>
      </c>
      <c r="F386" s="129">
        <v>0</v>
      </c>
      <c r="G386" s="129">
        <v>0</v>
      </c>
      <c r="H386" s="129">
        <v>0</v>
      </c>
      <c r="I386" s="129">
        <v>0</v>
      </c>
      <c r="J386" s="129">
        <v>0</v>
      </c>
    </row>
    <row r="387" spans="2:10">
      <c r="B387" s="131" t="s">
        <v>293</v>
      </c>
      <c r="C387" s="129">
        <v>0</v>
      </c>
      <c r="D387" s="129">
        <v>0</v>
      </c>
      <c r="E387" s="129">
        <v>0</v>
      </c>
      <c r="F387" s="129">
        <v>0</v>
      </c>
      <c r="G387" s="129">
        <v>0</v>
      </c>
      <c r="H387" s="129">
        <v>0</v>
      </c>
      <c r="I387" s="129">
        <v>0</v>
      </c>
      <c r="J387" s="129">
        <v>0</v>
      </c>
    </row>
    <row r="388" spans="2:10">
      <c r="B388" s="131" t="s">
        <v>292</v>
      </c>
      <c r="C388" s="129">
        <v>0</v>
      </c>
      <c r="D388" s="129">
        <v>0</v>
      </c>
      <c r="E388" s="129">
        <v>0</v>
      </c>
      <c r="F388" s="129">
        <v>0</v>
      </c>
      <c r="G388" s="129">
        <v>0</v>
      </c>
      <c r="H388" s="129">
        <v>0</v>
      </c>
      <c r="I388" s="129">
        <v>0</v>
      </c>
      <c r="J388" s="129">
        <v>0</v>
      </c>
    </row>
    <row r="389" spans="2:10">
      <c r="B389" s="131" t="s">
        <v>291</v>
      </c>
      <c r="C389" s="129">
        <v>0</v>
      </c>
      <c r="D389" s="129">
        <v>0</v>
      </c>
      <c r="E389" s="129">
        <v>0</v>
      </c>
      <c r="F389" s="129">
        <v>0</v>
      </c>
      <c r="G389" s="129">
        <v>0</v>
      </c>
      <c r="H389" s="129">
        <v>0</v>
      </c>
      <c r="I389" s="129">
        <v>0</v>
      </c>
      <c r="J389" s="129">
        <v>0</v>
      </c>
    </row>
    <row r="390" spans="2:10">
      <c r="B390" s="131" t="s">
        <v>290</v>
      </c>
      <c r="C390" s="129">
        <v>0</v>
      </c>
      <c r="D390" s="129">
        <v>0</v>
      </c>
      <c r="E390" s="129">
        <v>0</v>
      </c>
      <c r="F390" s="129">
        <v>0</v>
      </c>
      <c r="G390" s="129">
        <v>0</v>
      </c>
      <c r="H390" s="129">
        <v>0</v>
      </c>
      <c r="I390" s="129">
        <v>0</v>
      </c>
      <c r="J390" s="129">
        <v>0</v>
      </c>
    </row>
    <row r="391" spans="2:10">
      <c r="B391" s="131" t="s">
        <v>289</v>
      </c>
      <c r="C391" s="129">
        <v>0</v>
      </c>
      <c r="D391" s="129">
        <v>0</v>
      </c>
      <c r="E391" s="129">
        <v>0</v>
      </c>
      <c r="F391" s="129">
        <v>0</v>
      </c>
      <c r="G391" s="129">
        <v>0</v>
      </c>
      <c r="H391" s="129">
        <v>0</v>
      </c>
      <c r="I391" s="129">
        <v>0</v>
      </c>
      <c r="J391" s="129">
        <v>0</v>
      </c>
    </row>
    <row r="392" spans="2:10">
      <c r="B392" s="131" t="s">
        <v>288</v>
      </c>
      <c r="C392" s="129">
        <v>0</v>
      </c>
      <c r="D392" s="129">
        <v>0</v>
      </c>
      <c r="E392" s="129">
        <v>0</v>
      </c>
      <c r="F392" s="129">
        <v>0</v>
      </c>
      <c r="G392" s="129">
        <v>0</v>
      </c>
      <c r="H392" s="129">
        <v>0</v>
      </c>
      <c r="I392" s="129">
        <v>0</v>
      </c>
      <c r="J392" s="129">
        <v>0</v>
      </c>
    </row>
    <row r="393" spans="2:10">
      <c r="B393" s="65" t="s">
        <v>287</v>
      </c>
      <c r="C393" s="129">
        <v>0</v>
      </c>
      <c r="D393" s="129">
        <v>0</v>
      </c>
      <c r="E393" s="129">
        <v>0</v>
      </c>
      <c r="F393" s="129">
        <v>0</v>
      </c>
      <c r="G393" s="129">
        <v>0</v>
      </c>
      <c r="H393" s="129">
        <v>0</v>
      </c>
      <c r="I393" s="129">
        <v>0</v>
      </c>
      <c r="J393" s="129">
        <v>0</v>
      </c>
    </row>
    <row r="394" spans="2:10">
      <c r="B394" s="65"/>
      <c r="C394" s="129"/>
      <c r="D394" s="129"/>
      <c r="E394" s="129"/>
      <c r="F394" s="129"/>
      <c r="G394" s="129"/>
      <c r="H394" s="129"/>
      <c r="I394" s="129"/>
      <c r="J394" s="129"/>
    </row>
    <row r="395" spans="2:10">
      <c r="B395" s="1344" t="s">
        <v>1836</v>
      </c>
      <c r="C395" s="129"/>
      <c r="D395" s="129"/>
      <c r="E395" s="129"/>
      <c r="F395" s="129"/>
      <c r="G395" s="129"/>
      <c r="H395" s="129"/>
      <c r="I395" s="129"/>
      <c r="J395" s="129"/>
    </row>
    <row r="396" spans="2:10">
      <c r="B396" s="71" t="s">
        <v>297</v>
      </c>
      <c r="C396" s="102">
        <v>32.647689</v>
      </c>
      <c r="D396" s="102">
        <v>33.466606999999996</v>
      </c>
      <c r="E396" s="102">
        <v>35.584923000000003</v>
      </c>
      <c r="F396" s="102">
        <v>35.280664000000002</v>
      </c>
      <c r="G396" s="102">
        <v>36.674363999999997</v>
      </c>
      <c r="H396" s="102">
        <v>39.008600000000001</v>
      </c>
      <c r="I396" s="102">
        <v>35.648553</v>
      </c>
      <c r="J396" s="102">
        <v>35.547854999999998</v>
      </c>
    </row>
    <row r="397" spans="2:10">
      <c r="B397" s="133" t="s">
        <v>296</v>
      </c>
      <c r="C397" s="102">
        <v>32.647689</v>
      </c>
      <c r="D397" s="102">
        <v>33.466606999999996</v>
      </c>
      <c r="E397" s="102">
        <v>35.584923000000003</v>
      </c>
      <c r="F397" s="102">
        <v>35.280664000000002</v>
      </c>
      <c r="G397" s="102">
        <v>36.674363999999997</v>
      </c>
      <c r="H397" s="102">
        <v>39.008600000000001</v>
      </c>
      <c r="I397" s="102">
        <v>35.648553</v>
      </c>
      <c r="J397" s="102">
        <v>35.547854999999998</v>
      </c>
    </row>
    <row r="398" spans="2:10">
      <c r="B398" s="131" t="s">
        <v>294</v>
      </c>
      <c r="C398" s="102">
        <v>0</v>
      </c>
      <c r="D398" s="102">
        <v>0</v>
      </c>
      <c r="E398" s="102">
        <v>0</v>
      </c>
      <c r="F398" s="102">
        <v>0</v>
      </c>
      <c r="G398" s="102">
        <v>0</v>
      </c>
      <c r="H398" s="102">
        <v>0</v>
      </c>
      <c r="I398" s="102">
        <v>0</v>
      </c>
      <c r="J398" s="102">
        <v>0</v>
      </c>
    </row>
    <row r="399" spans="2:10">
      <c r="B399" s="1343" t="s">
        <v>293</v>
      </c>
      <c r="C399" s="102">
        <v>0</v>
      </c>
      <c r="D399" s="102">
        <v>0</v>
      </c>
      <c r="E399" s="102">
        <v>0</v>
      </c>
      <c r="F399" s="102">
        <v>0</v>
      </c>
      <c r="G399" s="102">
        <v>0</v>
      </c>
      <c r="H399" s="102">
        <v>0</v>
      </c>
      <c r="I399" s="102">
        <v>0</v>
      </c>
      <c r="J399" s="102">
        <v>0</v>
      </c>
    </row>
    <row r="400" spans="2:10">
      <c r="B400" s="131" t="s">
        <v>292</v>
      </c>
      <c r="C400" s="102">
        <v>22.944827</v>
      </c>
      <c r="D400" s="102">
        <v>23.821807</v>
      </c>
      <c r="E400" s="102">
        <v>25.883326</v>
      </c>
      <c r="F400" s="102">
        <v>26.186862999999999</v>
      </c>
      <c r="G400" s="102">
        <v>27.921975</v>
      </c>
      <c r="H400" s="102">
        <v>30.386438999999999</v>
      </c>
      <c r="I400" s="102">
        <v>27.974352</v>
      </c>
      <c r="J400" s="102">
        <v>28.342787999999999</v>
      </c>
    </row>
    <row r="401" spans="2:10">
      <c r="B401" s="131" t="s">
        <v>291</v>
      </c>
      <c r="C401" s="102">
        <v>9.7028619999999997</v>
      </c>
      <c r="D401" s="102">
        <v>9.6448</v>
      </c>
      <c r="E401" s="102">
        <v>9.7015969999999996</v>
      </c>
      <c r="F401" s="102">
        <v>9.0938009999999991</v>
      </c>
      <c r="G401" s="102">
        <v>8.7523890000000009</v>
      </c>
      <c r="H401" s="102">
        <v>8.6221610000000002</v>
      </c>
      <c r="I401" s="102">
        <v>7.6742010000000001</v>
      </c>
      <c r="J401" s="102">
        <v>7.2050669999999997</v>
      </c>
    </row>
    <row r="402" spans="2:10">
      <c r="B402" s="131" t="s">
        <v>290</v>
      </c>
      <c r="C402" s="102">
        <v>0</v>
      </c>
      <c r="D402" s="102">
        <v>0</v>
      </c>
      <c r="E402" s="102">
        <v>0</v>
      </c>
      <c r="F402" s="102">
        <v>0</v>
      </c>
      <c r="G402" s="102">
        <v>0</v>
      </c>
      <c r="H402" s="102">
        <v>0</v>
      </c>
      <c r="I402" s="102">
        <v>0</v>
      </c>
      <c r="J402" s="102">
        <v>0</v>
      </c>
    </row>
    <row r="403" spans="2:10">
      <c r="B403" s="1343" t="s">
        <v>289</v>
      </c>
      <c r="C403" s="102">
        <v>0</v>
      </c>
      <c r="D403" s="102">
        <v>0</v>
      </c>
      <c r="E403" s="102">
        <v>0</v>
      </c>
      <c r="F403" s="102">
        <v>0</v>
      </c>
      <c r="G403" s="102">
        <v>0</v>
      </c>
      <c r="H403" s="102">
        <v>0</v>
      </c>
      <c r="I403" s="102">
        <v>0</v>
      </c>
      <c r="J403" s="102">
        <v>0</v>
      </c>
    </row>
    <row r="404" spans="2:10">
      <c r="B404" s="131" t="s">
        <v>288</v>
      </c>
      <c r="C404" s="102">
        <v>0</v>
      </c>
      <c r="D404" s="102">
        <v>0</v>
      </c>
      <c r="E404" s="102">
        <v>0</v>
      </c>
      <c r="F404" s="102">
        <v>0</v>
      </c>
      <c r="G404" s="102">
        <v>0</v>
      </c>
      <c r="H404" s="102">
        <v>0</v>
      </c>
      <c r="I404" s="102">
        <v>0</v>
      </c>
      <c r="J404" s="102">
        <v>0</v>
      </c>
    </row>
    <row r="405" spans="2:10">
      <c r="B405" s="132" t="s">
        <v>295</v>
      </c>
      <c r="C405" s="102">
        <v>0</v>
      </c>
      <c r="D405" s="102">
        <v>0</v>
      </c>
      <c r="E405" s="102">
        <v>0</v>
      </c>
      <c r="F405" s="102">
        <v>0</v>
      </c>
      <c r="G405" s="102">
        <v>0</v>
      </c>
      <c r="H405" s="102">
        <v>0</v>
      </c>
      <c r="I405" s="102">
        <v>0</v>
      </c>
      <c r="J405" s="102">
        <v>0</v>
      </c>
    </row>
    <row r="406" spans="2:10">
      <c r="B406" s="131" t="s">
        <v>294</v>
      </c>
      <c r="C406" s="102">
        <v>0</v>
      </c>
      <c r="D406" s="102">
        <v>0</v>
      </c>
      <c r="E406" s="102">
        <v>0</v>
      </c>
      <c r="F406" s="102">
        <v>0</v>
      </c>
      <c r="G406" s="102">
        <v>0</v>
      </c>
      <c r="H406" s="102">
        <v>0</v>
      </c>
      <c r="I406" s="102">
        <v>0</v>
      </c>
      <c r="J406" s="102">
        <v>0</v>
      </c>
    </row>
    <row r="407" spans="2:10">
      <c r="B407" s="131" t="s">
        <v>293</v>
      </c>
      <c r="C407" s="102">
        <v>0</v>
      </c>
      <c r="D407" s="102">
        <v>0</v>
      </c>
      <c r="E407" s="102">
        <v>0</v>
      </c>
      <c r="F407" s="102">
        <v>0</v>
      </c>
      <c r="G407" s="102">
        <v>0</v>
      </c>
      <c r="H407" s="102">
        <v>0</v>
      </c>
      <c r="I407" s="102">
        <v>0</v>
      </c>
      <c r="J407" s="102">
        <v>0</v>
      </c>
    </row>
    <row r="408" spans="2:10">
      <c r="B408" s="131" t="s">
        <v>292</v>
      </c>
      <c r="C408" s="102">
        <v>0</v>
      </c>
      <c r="D408" s="102">
        <v>0</v>
      </c>
      <c r="E408" s="102">
        <v>0</v>
      </c>
      <c r="F408" s="102">
        <v>0</v>
      </c>
      <c r="G408" s="102">
        <v>0</v>
      </c>
      <c r="H408" s="102">
        <v>0</v>
      </c>
      <c r="I408" s="102">
        <v>0</v>
      </c>
      <c r="J408" s="102">
        <v>0</v>
      </c>
    </row>
    <row r="409" spans="2:10">
      <c r="B409" s="131" t="s">
        <v>291</v>
      </c>
      <c r="C409" s="102">
        <v>0</v>
      </c>
      <c r="D409" s="102">
        <v>0</v>
      </c>
      <c r="E409" s="102">
        <v>0</v>
      </c>
      <c r="F409" s="102">
        <v>0</v>
      </c>
      <c r="G409" s="102">
        <v>0</v>
      </c>
      <c r="H409" s="102">
        <v>0</v>
      </c>
      <c r="I409" s="102">
        <v>0</v>
      </c>
      <c r="J409" s="102">
        <v>0</v>
      </c>
    </row>
    <row r="410" spans="2:10">
      <c r="B410" s="131" t="s">
        <v>290</v>
      </c>
      <c r="C410" s="102">
        <v>0</v>
      </c>
      <c r="D410" s="102">
        <v>0</v>
      </c>
      <c r="E410" s="102">
        <v>0</v>
      </c>
      <c r="F410" s="102">
        <v>0</v>
      </c>
      <c r="G410" s="102">
        <v>0</v>
      </c>
      <c r="H410" s="102">
        <v>0</v>
      </c>
      <c r="I410" s="102">
        <v>0</v>
      </c>
      <c r="J410" s="102">
        <v>0</v>
      </c>
    </row>
    <row r="411" spans="2:10">
      <c r="B411" s="131" t="s">
        <v>289</v>
      </c>
      <c r="C411" s="102">
        <v>0</v>
      </c>
      <c r="D411" s="102">
        <v>0</v>
      </c>
      <c r="E411" s="102">
        <v>0</v>
      </c>
      <c r="F411" s="102">
        <v>0</v>
      </c>
      <c r="G411" s="102">
        <v>0</v>
      </c>
      <c r="H411" s="102">
        <v>0</v>
      </c>
      <c r="I411" s="102">
        <v>0</v>
      </c>
      <c r="J411" s="102">
        <v>0</v>
      </c>
    </row>
    <row r="412" spans="2:10">
      <c r="B412" s="131" t="s">
        <v>288</v>
      </c>
      <c r="C412" s="102">
        <v>0</v>
      </c>
      <c r="D412" s="102">
        <v>0</v>
      </c>
      <c r="E412" s="102">
        <v>0</v>
      </c>
      <c r="F412" s="102">
        <v>0</v>
      </c>
      <c r="G412" s="102">
        <v>0</v>
      </c>
      <c r="H412" s="102">
        <v>0</v>
      </c>
      <c r="I412" s="102">
        <v>0</v>
      </c>
      <c r="J412" s="102">
        <v>0</v>
      </c>
    </row>
    <row r="413" spans="2:10" ht="15" thickBot="1">
      <c r="B413" s="65" t="s">
        <v>287</v>
      </c>
      <c r="C413" s="1007">
        <v>0.99</v>
      </c>
      <c r="D413" s="1007">
        <v>0.99</v>
      </c>
      <c r="E413" s="1007">
        <v>0.99</v>
      </c>
      <c r="F413" s="1007">
        <v>0.99</v>
      </c>
      <c r="G413" s="1007">
        <v>0.99</v>
      </c>
      <c r="H413" s="1007">
        <v>0.99</v>
      </c>
      <c r="I413" s="1007">
        <v>0.99</v>
      </c>
      <c r="J413" s="1007">
        <v>0.99</v>
      </c>
    </row>
    <row r="414" spans="2:10" ht="15" thickTop="1">
      <c r="B414" s="2025" t="s">
        <v>1838</v>
      </c>
      <c r="C414" s="2025"/>
      <c r="D414" s="2025"/>
      <c r="E414" s="2025"/>
      <c r="F414" s="2025"/>
      <c r="G414" s="2025"/>
      <c r="H414" s="2025"/>
      <c r="I414" s="2025"/>
      <c r="J414" s="2025"/>
    </row>
    <row r="415" spans="2:10">
      <c r="B415" s="2066"/>
      <c r="C415" s="2066"/>
      <c r="D415" s="2066"/>
      <c r="E415" s="2066"/>
      <c r="F415" s="2066"/>
      <c r="G415" s="2066"/>
      <c r="H415" s="2066"/>
      <c r="I415" s="2066"/>
      <c r="J415" s="2066"/>
    </row>
    <row r="416" spans="2:10">
      <c r="B416" s="64"/>
      <c r="C416" s="302"/>
      <c r="D416" s="302"/>
      <c r="E416" s="302"/>
      <c r="F416" s="302"/>
      <c r="G416" s="302"/>
      <c r="H416" s="302"/>
      <c r="I416" s="302"/>
      <c r="J416" s="302"/>
    </row>
    <row r="417" spans="2:10">
      <c r="B417" s="2100" t="s">
        <v>313</v>
      </c>
      <c r="C417" s="2100"/>
      <c r="D417" s="2100"/>
      <c r="E417" s="2100"/>
      <c r="F417" s="2100"/>
      <c r="G417" s="2100"/>
      <c r="H417" s="2100"/>
      <c r="I417" s="2100"/>
      <c r="J417" s="2100"/>
    </row>
    <row r="418" spans="2:10">
      <c r="B418" s="12" t="s">
        <v>312</v>
      </c>
      <c r="C418" s="302"/>
      <c r="D418" s="302"/>
      <c r="E418" s="302"/>
      <c r="F418" s="302"/>
      <c r="G418" s="302"/>
      <c r="H418" s="302"/>
      <c r="I418" s="302"/>
      <c r="J418" s="302"/>
    </row>
    <row r="419" spans="2:10">
      <c r="B419" s="62" t="s">
        <v>1830</v>
      </c>
      <c r="C419" s="302"/>
      <c r="D419" s="302"/>
      <c r="E419" s="302"/>
      <c r="F419" s="302"/>
      <c r="G419" s="302"/>
      <c r="H419" s="302"/>
      <c r="I419" s="302"/>
      <c r="J419" s="302"/>
    </row>
    <row r="420" spans="2:10">
      <c r="B420" s="64"/>
      <c r="C420" s="302"/>
      <c r="D420" s="302"/>
      <c r="E420" s="302"/>
      <c r="F420" s="302"/>
      <c r="G420" s="302"/>
      <c r="H420" s="302"/>
      <c r="I420" s="302"/>
      <c r="J420" s="302"/>
    </row>
    <row r="421" spans="2:10">
      <c r="B421" s="61"/>
      <c r="C421" s="303">
        <v>2014</v>
      </c>
      <c r="D421" s="303">
        <v>2015</v>
      </c>
      <c r="E421" s="303">
        <v>2016</v>
      </c>
      <c r="F421" s="303">
        <v>2017</v>
      </c>
      <c r="G421" s="303">
        <v>2018</v>
      </c>
      <c r="H421" s="303">
        <v>2019</v>
      </c>
      <c r="I421" s="303">
        <v>2020</v>
      </c>
      <c r="J421" s="303">
        <v>2021</v>
      </c>
    </row>
    <row r="422" spans="2:10">
      <c r="B422" s="114" t="s">
        <v>310</v>
      </c>
      <c r="C422" s="107"/>
      <c r="D422" s="107"/>
      <c r="E422" s="107"/>
      <c r="F422" s="107"/>
      <c r="G422" s="107"/>
      <c r="H422" s="107"/>
      <c r="I422" s="107"/>
      <c r="J422" s="107"/>
    </row>
    <row r="423" spans="2:10">
      <c r="B423" s="114"/>
      <c r="C423" s="107"/>
      <c r="D423" s="107"/>
      <c r="E423" s="107"/>
      <c r="F423" s="107"/>
      <c r="G423" s="107"/>
      <c r="H423" s="107"/>
      <c r="I423" s="107"/>
      <c r="J423" s="107"/>
    </row>
    <row r="424" spans="2:10">
      <c r="B424" s="59" t="s">
        <v>1839</v>
      </c>
      <c r="C424" s="107"/>
      <c r="D424" s="107"/>
      <c r="E424" s="107"/>
      <c r="F424" s="107"/>
      <c r="G424" s="107"/>
      <c r="H424" s="107"/>
      <c r="I424" s="107"/>
      <c r="J424" s="107"/>
    </row>
    <row r="425" spans="2:10">
      <c r="B425" s="71" t="s">
        <v>297</v>
      </c>
      <c r="C425" s="102">
        <v>89136.003167653005</v>
      </c>
      <c r="D425" s="102">
        <v>93394.701792085369</v>
      </c>
      <c r="E425" s="102">
        <v>79119.226214302776</v>
      </c>
      <c r="F425" s="102">
        <v>78392.837536704566</v>
      </c>
      <c r="G425" s="102">
        <v>72848.212270666481</v>
      </c>
      <c r="H425" s="102">
        <v>55012.522380664712</v>
      </c>
      <c r="I425" s="102">
        <v>49195.79876320139</v>
      </c>
      <c r="J425" s="102">
        <v>42796.486617074079</v>
      </c>
    </row>
    <row r="426" spans="2:10">
      <c r="B426" s="133" t="s">
        <v>296</v>
      </c>
      <c r="C426" s="102">
        <v>89136.003167653005</v>
      </c>
      <c r="D426" s="102">
        <v>93394.701792085369</v>
      </c>
      <c r="E426" s="102">
        <v>79119.226214302776</v>
      </c>
      <c r="F426" s="102">
        <v>78392.837536704566</v>
      </c>
      <c r="G426" s="102">
        <v>72848.212270666481</v>
      </c>
      <c r="H426" s="102">
        <v>55012.522380664712</v>
      </c>
      <c r="I426" s="102">
        <v>49195.79876320139</v>
      </c>
      <c r="J426" s="102">
        <v>42796.486617074079</v>
      </c>
    </row>
    <row r="427" spans="2:10">
      <c r="B427" s="132" t="s">
        <v>295</v>
      </c>
      <c r="C427" s="102">
        <v>0</v>
      </c>
      <c r="D427" s="102">
        <v>0</v>
      </c>
      <c r="E427" s="102">
        <v>0</v>
      </c>
      <c r="F427" s="102">
        <v>0</v>
      </c>
      <c r="G427" s="102">
        <v>0</v>
      </c>
      <c r="H427" s="102">
        <v>0</v>
      </c>
      <c r="I427" s="102">
        <v>0</v>
      </c>
      <c r="J427" s="102">
        <v>0</v>
      </c>
    </row>
    <row r="428" spans="2:10">
      <c r="B428" s="132" t="s">
        <v>303</v>
      </c>
      <c r="C428" s="102">
        <v>0</v>
      </c>
      <c r="D428" s="102">
        <v>0</v>
      </c>
      <c r="E428" s="102">
        <v>0</v>
      </c>
      <c r="F428" s="102">
        <v>0</v>
      </c>
      <c r="G428" s="102">
        <v>0</v>
      </c>
      <c r="H428" s="102">
        <v>0</v>
      </c>
      <c r="I428" s="102">
        <v>0</v>
      </c>
      <c r="J428" s="102">
        <v>0</v>
      </c>
    </row>
    <row r="429" spans="2:10">
      <c r="B429" s="65" t="s">
        <v>301</v>
      </c>
      <c r="C429" s="102">
        <v>0</v>
      </c>
      <c r="D429" s="102">
        <v>0</v>
      </c>
      <c r="E429" s="102">
        <v>0</v>
      </c>
      <c r="F429" s="102">
        <v>0</v>
      </c>
      <c r="G429" s="102">
        <v>0</v>
      </c>
      <c r="H429" s="102">
        <v>0</v>
      </c>
      <c r="I429" s="102">
        <v>0</v>
      </c>
      <c r="J429" s="102">
        <v>0</v>
      </c>
    </row>
    <row r="430" spans="2:10">
      <c r="B430" s="302"/>
      <c r="C430" s="102"/>
      <c r="D430" s="102"/>
      <c r="E430" s="102"/>
      <c r="F430" s="102"/>
      <c r="G430" s="102"/>
      <c r="H430" s="102"/>
      <c r="I430" s="102"/>
      <c r="J430" s="102"/>
    </row>
    <row r="431" spans="2:10">
      <c r="B431" s="114" t="s">
        <v>302</v>
      </c>
      <c r="C431" s="102"/>
      <c r="D431" s="102"/>
      <c r="E431" s="102"/>
      <c r="F431" s="102"/>
      <c r="G431" s="102"/>
      <c r="H431" s="102"/>
      <c r="I431" s="102"/>
      <c r="J431" s="102"/>
    </row>
    <row r="432" spans="2:10">
      <c r="B432" s="114"/>
      <c r="C432" s="102"/>
      <c r="D432" s="102"/>
      <c r="E432" s="102"/>
      <c r="F432" s="102"/>
      <c r="G432" s="102"/>
      <c r="H432" s="102"/>
      <c r="I432" s="102"/>
      <c r="J432" s="102"/>
    </row>
    <row r="433" spans="2:10">
      <c r="B433" s="59" t="s">
        <v>489</v>
      </c>
      <c r="C433" s="102"/>
      <c r="D433" s="102"/>
      <c r="E433" s="102"/>
      <c r="F433" s="102"/>
      <c r="G433" s="102"/>
      <c r="H433" s="102"/>
      <c r="I433" s="102"/>
      <c r="J433" s="102"/>
    </row>
    <row r="434" spans="2:10">
      <c r="B434" s="71" t="s">
        <v>297</v>
      </c>
      <c r="C434" s="102">
        <v>3579.5719752272776</v>
      </c>
      <c r="D434" s="102">
        <v>4299.0224114208095</v>
      </c>
      <c r="E434" s="102">
        <v>4040.7316158230396</v>
      </c>
      <c r="F434" s="102">
        <v>4004.7173689843116</v>
      </c>
      <c r="G434" s="102">
        <v>4713.8833610465699</v>
      </c>
      <c r="H434" s="102">
        <v>5228.5551027767488</v>
      </c>
      <c r="I434" s="102">
        <v>6295.4048744868951</v>
      </c>
      <c r="J434" s="102">
        <v>8557.3370366714462</v>
      </c>
    </row>
    <row r="435" spans="2:10">
      <c r="B435" s="133" t="s">
        <v>296</v>
      </c>
      <c r="C435" s="102">
        <v>3579.5719752272776</v>
      </c>
      <c r="D435" s="102">
        <v>4299.0224114208095</v>
      </c>
      <c r="E435" s="102">
        <v>4040.7316158230396</v>
      </c>
      <c r="F435" s="102">
        <v>4004.7173689843116</v>
      </c>
      <c r="G435" s="102">
        <v>4713.8833610465699</v>
      </c>
      <c r="H435" s="102">
        <v>5228.5551027767488</v>
      </c>
      <c r="I435" s="102">
        <v>6295.4048744868951</v>
      </c>
      <c r="J435" s="102">
        <v>8557.3370366714462</v>
      </c>
    </row>
    <row r="436" spans="2:10">
      <c r="B436" s="131" t="s">
        <v>294</v>
      </c>
      <c r="C436" s="102">
        <v>3500.4962987824761</v>
      </c>
      <c r="D436" s="102">
        <v>4204.5560135764154</v>
      </c>
      <c r="E436" s="102">
        <v>3961.896181248811</v>
      </c>
      <c r="F436" s="102">
        <v>3917.5040551241027</v>
      </c>
      <c r="G436" s="102">
        <v>4580.5776129734359</v>
      </c>
      <c r="H436" s="102">
        <v>5120.1092043208319</v>
      </c>
      <c r="I436" s="102">
        <v>6018.0997672558569</v>
      </c>
      <c r="J436" s="102">
        <v>7788.253795215528</v>
      </c>
    </row>
    <row r="437" spans="2:10">
      <c r="B437" s="1343" t="s">
        <v>293</v>
      </c>
      <c r="C437" s="102">
        <v>79.075676444801388</v>
      </c>
      <c r="D437" s="102">
        <v>94.46639784439374</v>
      </c>
      <c r="E437" s="102">
        <v>78.835434574228529</v>
      </c>
      <c r="F437" s="102">
        <v>87.213313860209283</v>
      </c>
      <c r="G437" s="102">
        <v>133.30574807313454</v>
      </c>
      <c r="H437" s="102">
        <v>108.44589845591732</v>
      </c>
      <c r="I437" s="102">
        <v>277.30510723103799</v>
      </c>
      <c r="J437" s="102">
        <v>769.08324145591837</v>
      </c>
    </row>
    <row r="438" spans="2:10">
      <c r="B438" s="131" t="s">
        <v>292</v>
      </c>
      <c r="C438" s="129">
        <v>0</v>
      </c>
      <c r="D438" s="129">
        <v>0</v>
      </c>
      <c r="E438" s="129">
        <v>0</v>
      </c>
      <c r="F438" s="129">
        <v>0</v>
      </c>
      <c r="G438" s="129">
        <v>0</v>
      </c>
      <c r="H438" s="129">
        <v>0</v>
      </c>
      <c r="I438" s="129">
        <v>0</v>
      </c>
      <c r="J438" s="129">
        <v>0</v>
      </c>
    </row>
    <row r="439" spans="2:10">
      <c r="B439" s="131" t="s">
        <v>291</v>
      </c>
      <c r="C439" s="129">
        <v>0</v>
      </c>
      <c r="D439" s="129">
        <v>0</v>
      </c>
      <c r="E439" s="129">
        <v>0</v>
      </c>
      <c r="F439" s="129">
        <v>0</v>
      </c>
      <c r="G439" s="129">
        <v>0</v>
      </c>
      <c r="H439" s="129">
        <v>0</v>
      </c>
      <c r="I439" s="129">
        <v>0</v>
      </c>
      <c r="J439" s="129">
        <v>0</v>
      </c>
    </row>
    <row r="440" spans="2:10">
      <c r="B440" s="131" t="s">
        <v>290</v>
      </c>
      <c r="C440" s="129">
        <v>0</v>
      </c>
      <c r="D440" s="129">
        <v>0</v>
      </c>
      <c r="E440" s="129">
        <v>0</v>
      </c>
      <c r="F440" s="129">
        <v>0</v>
      </c>
      <c r="G440" s="129">
        <v>0</v>
      </c>
      <c r="H440" s="129">
        <v>0</v>
      </c>
      <c r="I440" s="129">
        <v>0</v>
      </c>
      <c r="J440" s="129">
        <v>0</v>
      </c>
    </row>
    <row r="441" spans="2:10">
      <c r="B441" s="131" t="s">
        <v>289</v>
      </c>
      <c r="C441" s="129">
        <v>0</v>
      </c>
      <c r="D441" s="129">
        <v>0</v>
      </c>
      <c r="E441" s="129">
        <v>0</v>
      </c>
      <c r="F441" s="129">
        <v>0</v>
      </c>
      <c r="G441" s="129">
        <v>0</v>
      </c>
      <c r="H441" s="129">
        <v>0</v>
      </c>
      <c r="I441" s="129">
        <v>0</v>
      </c>
      <c r="J441" s="129">
        <v>0</v>
      </c>
    </row>
    <row r="442" spans="2:10">
      <c r="B442" s="131" t="s">
        <v>288</v>
      </c>
      <c r="C442" s="129">
        <v>0</v>
      </c>
      <c r="D442" s="129">
        <v>0</v>
      </c>
      <c r="E442" s="129">
        <v>0</v>
      </c>
      <c r="F442" s="129">
        <v>0</v>
      </c>
      <c r="G442" s="129">
        <v>0</v>
      </c>
      <c r="H442" s="129">
        <v>0</v>
      </c>
      <c r="I442" s="129">
        <v>0</v>
      </c>
      <c r="J442" s="129">
        <v>0</v>
      </c>
    </row>
    <row r="443" spans="2:10">
      <c r="B443" s="132" t="s">
        <v>295</v>
      </c>
      <c r="C443" s="129">
        <v>0</v>
      </c>
      <c r="D443" s="129">
        <v>0</v>
      </c>
      <c r="E443" s="129">
        <v>0</v>
      </c>
      <c r="F443" s="129">
        <v>0</v>
      </c>
      <c r="G443" s="129">
        <v>0</v>
      </c>
      <c r="H443" s="129">
        <v>0</v>
      </c>
      <c r="I443" s="129">
        <v>0</v>
      </c>
      <c r="J443" s="129">
        <v>0</v>
      </c>
    </row>
    <row r="444" spans="2:10">
      <c r="B444" s="131" t="s">
        <v>294</v>
      </c>
      <c r="C444" s="129">
        <v>0</v>
      </c>
      <c r="D444" s="129">
        <v>0</v>
      </c>
      <c r="E444" s="129">
        <v>0</v>
      </c>
      <c r="F444" s="129">
        <v>0</v>
      </c>
      <c r="G444" s="129">
        <v>0</v>
      </c>
      <c r="H444" s="129">
        <v>0</v>
      </c>
      <c r="I444" s="129">
        <v>0</v>
      </c>
      <c r="J444" s="129">
        <v>0</v>
      </c>
    </row>
    <row r="445" spans="2:10">
      <c r="B445" s="131" t="s">
        <v>293</v>
      </c>
      <c r="C445" s="129">
        <v>0</v>
      </c>
      <c r="D445" s="129">
        <v>0</v>
      </c>
      <c r="E445" s="129">
        <v>0</v>
      </c>
      <c r="F445" s="129">
        <v>0</v>
      </c>
      <c r="G445" s="129">
        <v>0</v>
      </c>
      <c r="H445" s="129">
        <v>0</v>
      </c>
      <c r="I445" s="129">
        <v>0</v>
      </c>
      <c r="J445" s="129">
        <v>0</v>
      </c>
    </row>
    <row r="446" spans="2:10">
      <c r="B446" s="131" t="s">
        <v>292</v>
      </c>
      <c r="C446" s="129">
        <v>0</v>
      </c>
      <c r="D446" s="129">
        <v>0</v>
      </c>
      <c r="E446" s="129">
        <v>0</v>
      </c>
      <c r="F446" s="129">
        <v>0</v>
      </c>
      <c r="G446" s="129">
        <v>0</v>
      </c>
      <c r="H446" s="129">
        <v>0</v>
      </c>
      <c r="I446" s="129">
        <v>0</v>
      </c>
      <c r="J446" s="129">
        <v>0</v>
      </c>
    </row>
    <row r="447" spans="2:10">
      <c r="B447" s="131" t="s">
        <v>291</v>
      </c>
      <c r="C447" s="129">
        <v>0</v>
      </c>
      <c r="D447" s="129">
        <v>0</v>
      </c>
      <c r="E447" s="129">
        <v>0</v>
      </c>
      <c r="F447" s="129">
        <v>0</v>
      </c>
      <c r="G447" s="129">
        <v>0</v>
      </c>
      <c r="H447" s="129">
        <v>0</v>
      </c>
      <c r="I447" s="129">
        <v>0</v>
      </c>
      <c r="J447" s="129">
        <v>0</v>
      </c>
    </row>
    <row r="448" spans="2:10">
      <c r="B448" s="131" t="s">
        <v>290</v>
      </c>
      <c r="C448" s="129">
        <v>0</v>
      </c>
      <c r="D448" s="129">
        <v>0</v>
      </c>
      <c r="E448" s="129">
        <v>0</v>
      </c>
      <c r="F448" s="129">
        <v>0</v>
      </c>
      <c r="G448" s="129">
        <v>0</v>
      </c>
      <c r="H448" s="129">
        <v>0</v>
      </c>
      <c r="I448" s="129">
        <v>0</v>
      </c>
      <c r="J448" s="129">
        <v>0</v>
      </c>
    </row>
    <row r="449" spans="2:10">
      <c r="B449" s="131" t="s">
        <v>289</v>
      </c>
      <c r="C449" s="129">
        <v>0</v>
      </c>
      <c r="D449" s="129">
        <v>0</v>
      </c>
      <c r="E449" s="129">
        <v>0</v>
      </c>
      <c r="F449" s="129">
        <v>0</v>
      </c>
      <c r="G449" s="129">
        <v>0</v>
      </c>
      <c r="H449" s="129">
        <v>0</v>
      </c>
      <c r="I449" s="129">
        <v>0</v>
      </c>
      <c r="J449" s="129">
        <v>0</v>
      </c>
    </row>
    <row r="450" spans="2:10">
      <c r="B450" s="131" t="s">
        <v>288</v>
      </c>
      <c r="C450" s="129">
        <v>0</v>
      </c>
      <c r="D450" s="129">
        <v>0</v>
      </c>
      <c r="E450" s="129">
        <v>0</v>
      </c>
      <c r="F450" s="129">
        <v>0</v>
      </c>
      <c r="G450" s="129">
        <v>0</v>
      </c>
      <c r="H450" s="129">
        <v>0</v>
      </c>
      <c r="I450" s="129">
        <v>0</v>
      </c>
      <c r="J450" s="129">
        <v>0</v>
      </c>
    </row>
    <row r="451" spans="2:10">
      <c r="B451" s="65" t="s">
        <v>301</v>
      </c>
      <c r="C451" s="129">
        <v>0</v>
      </c>
      <c r="D451" s="129">
        <v>0</v>
      </c>
      <c r="E451" s="129">
        <v>0</v>
      </c>
      <c r="F451" s="129">
        <v>0</v>
      </c>
      <c r="G451" s="129">
        <v>0</v>
      </c>
      <c r="H451" s="129">
        <v>0</v>
      </c>
      <c r="I451" s="129">
        <v>0</v>
      </c>
      <c r="J451" s="129">
        <v>0</v>
      </c>
    </row>
    <row r="452" spans="2:10">
      <c r="B452" s="133"/>
      <c r="C452" s="102"/>
      <c r="D452" s="129"/>
      <c r="E452" s="129"/>
      <c r="F452" s="129"/>
      <c r="G452" s="129"/>
      <c r="H452" s="129"/>
      <c r="I452" s="129"/>
      <c r="J452" s="129"/>
    </row>
    <row r="453" spans="2:10">
      <c r="B453" s="1344" t="s">
        <v>353</v>
      </c>
      <c r="C453" s="102"/>
      <c r="D453" s="129"/>
      <c r="E453" s="129"/>
      <c r="F453" s="129"/>
      <c r="G453" s="129"/>
      <c r="H453" s="129"/>
      <c r="I453" s="129"/>
      <c r="J453" s="129"/>
    </row>
    <row r="454" spans="2:10">
      <c r="B454" s="71" t="s">
        <v>297</v>
      </c>
      <c r="C454" s="102">
        <v>39137.491902416725</v>
      </c>
      <c r="D454" s="102">
        <v>39573.013217007821</v>
      </c>
      <c r="E454" s="102">
        <v>29297.446583907036</v>
      </c>
      <c r="F454" s="102">
        <v>27681.76341414265</v>
      </c>
      <c r="G454" s="102">
        <v>27231.560980607541</v>
      </c>
      <c r="H454" s="102">
        <v>26827.581428982961</v>
      </c>
      <c r="I454" s="102">
        <v>22821.033829815166</v>
      </c>
      <c r="J454" s="102">
        <v>21059.584352106616</v>
      </c>
    </row>
    <row r="455" spans="2:10">
      <c r="B455" s="133" t="s">
        <v>296</v>
      </c>
      <c r="C455" s="102">
        <v>39137.491902416725</v>
      </c>
      <c r="D455" s="102">
        <v>39573.013217007821</v>
      </c>
      <c r="E455" s="102">
        <v>29297.446583907036</v>
      </c>
      <c r="F455" s="102">
        <v>27681.76341414265</v>
      </c>
      <c r="G455" s="102">
        <v>27231.560980607541</v>
      </c>
      <c r="H455" s="102">
        <v>26827.581428982961</v>
      </c>
      <c r="I455" s="102">
        <v>22821.033829815166</v>
      </c>
      <c r="J455" s="102">
        <v>21059.584352106616</v>
      </c>
    </row>
    <row r="456" spans="2:10">
      <c r="B456" s="131" t="s">
        <v>294</v>
      </c>
      <c r="C456" s="260">
        <v>0</v>
      </c>
      <c r="D456" s="260">
        <v>0</v>
      </c>
      <c r="E456" s="260">
        <v>0</v>
      </c>
      <c r="F456" s="260">
        <v>0</v>
      </c>
      <c r="G456" s="260">
        <v>0</v>
      </c>
      <c r="H456" s="260">
        <v>0</v>
      </c>
      <c r="I456" s="260">
        <v>0</v>
      </c>
      <c r="J456" s="260">
        <v>0</v>
      </c>
    </row>
    <row r="457" spans="2:10">
      <c r="B457" s="1343" t="s">
        <v>293</v>
      </c>
      <c r="C457" s="260">
        <v>0</v>
      </c>
      <c r="D457" s="260">
        <v>0</v>
      </c>
      <c r="E457" s="260">
        <v>0</v>
      </c>
      <c r="F457" s="260">
        <v>0</v>
      </c>
      <c r="G457" s="260">
        <v>0</v>
      </c>
      <c r="H457" s="260">
        <v>0</v>
      </c>
      <c r="I457" s="260">
        <v>0</v>
      </c>
      <c r="J457" s="260">
        <v>0</v>
      </c>
    </row>
    <row r="458" spans="2:10">
      <c r="B458" s="131" t="s">
        <v>292</v>
      </c>
      <c r="C458" s="260">
        <v>0</v>
      </c>
      <c r="D458" s="260">
        <v>0</v>
      </c>
      <c r="E458" s="260">
        <v>0</v>
      </c>
      <c r="F458" s="260">
        <v>0</v>
      </c>
      <c r="G458" s="260">
        <v>0</v>
      </c>
      <c r="H458" s="260">
        <v>0</v>
      </c>
      <c r="I458" s="260">
        <v>0</v>
      </c>
      <c r="J458" s="260">
        <v>0</v>
      </c>
    </row>
    <row r="459" spans="2:10">
      <c r="B459" s="131" t="s">
        <v>291</v>
      </c>
      <c r="C459" s="260">
        <v>0</v>
      </c>
      <c r="D459" s="260">
        <v>0</v>
      </c>
      <c r="E459" s="260">
        <v>0</v>
      </c>
      <c r="F459" s="260">
        <v>0</v>
      </c>
      <c r="G459" s="260">
        <v>0</v>
      </c>
      <c r="H459" s="260">
        <v>0</v>
      </c>
      <c r="I459" s="260">
        <v>0</v>
      </c>
      <c r="J459" s="260">
        <v>0</v>
      </c>
    </row>
    <row r="460" spans="2:10">
      <c r="B460" s="131" t="s">
        <v>290</v>
      </c>
      <c r="C460" s="260">
        <v>0</v>
      </c>
      <c r="D460" s="260">
        <v>0</v>
      </c>
      <c r="E460" s="260">
        <v>0</v>
      </c>
      <c r="F460" s="260">
        <v>0</v>
      </c>
      <c r="G460" s="260">
        <v>0</v>
      </c>
      <c r="H460" s="260">
        <v>0</v>
      </c>
      <c r="I460" s="260">
        <v>0</v>
      </c>
      <c r="J460" s="260">
        <v>0</v>
      </c>
    </row>
    <row r="461" spans="2:10">
      <c r="B461" s="1343" t="s">
        <v>289</v>
      </c>
      <c r="C461" s="102">
        <v>39137.491902416725</v>
      </c>
      <c r="D461" s="102">
        <v>39573.013217007821</v>
      </c>
      <c r="E461" s="102">
        <v>29297.446583907036</v>
      </c>
      <c r="F461" s="102">
        <v>27681.76341414265</v>
      </c>
      <c r="G461" s="102">
        <v>27231.560980607541</v>
      </c>
      <c r="H461" s="102">
        <v>26827.581428982961</v>
      </c>
      <c r="I461" s="102">
        <v>22821.033829815166</v>
      </c>
      <c r="J461" s="102">
        <v>21059.584352106616</v>
      </c>
    </row>
    <row r="462" spans="2:10">
      <c r="B462" s="131" t="s">
        <v>288</v>
      </c>
      <c r="C462" s="129">
        <v>0</v>
      </c>
      <c r="D462" s="129">
        <v>0</v>
      </c>
      <c r="E462" s="129">
        <v>0</v>
      </c>
      <c r="F462" s="129">
        <v>0</v>
      </c>
      <c r="G462" s="129">
        <v>0</v>
      </c>
      <c r="H462" s="129">
        <v>0</v>
      </c>
      <c r="I462" s="129">
        <v>0</v>
      </c>
      <c r="J462" s="129">
        <v>0</v>
      </c>
    </row>
    <row r="463" spans="2:10">
      <c r="B463" s="132" t="s">
        <v>295</v>
      </c>
      <c r="C463" s="129">
        <v>0</v>
      </c>
      <c r="D463" s="129">
        <v>0</v>
      </c>
      <c r="E463" s="129">
        <v>0</v>
      </c>
      <c r="F463" s="129">
        <v>0</v>
      </c>
      <c r="G463" s="129">
        <v>0</v>
      </c>
      <c r="H463" s="129">
        <v>0</v>
      </c>
      <c r="I463" s="129">
        <v>0</v>
      </c>
      <c r="J463" s="129">
        <v>0</v>
      </c>
    </row>
    <row r="464" spans="2:10">
      <c r="B464" s="131" t="s">
        <v>294</v>
      </c>
      <c r="C464" s="129">
        <v>0</v>
      </c>
      <c r="D464" s="129">
        <v>0</v>
      </c>
      <c r="E464" s="129">
        <v>0</v>
      </c>
      <c r="F464" s="129">
        <v>0</v>
      </c>
      <c r="G464" s="129">
        <v>0</v>
      </c>
      <c r="H464" s="129">
        <v>0</v>
      </c>
      <c r="I464" s="129">
        <v>0</v>
      </c>
      <c r="J464" s="129">
        <v>0</v>
      </c>
    </row>
    <row r="465" spans="2:10">
      <c r="B465" s="131" t="s">
        <v>293</v>
      </c>
      <c r="C465" s="129">
        <v>0</v>
      </c>
      <c r="D465" s="129">
        <v>0</v>
      </c>
      <c r="E465" s="129">
        <v>0</v>
      </c>
      <c r="F465" s="129">
        <v>0</v>
      </c>
      <c r="G465" s="129">
        <v>0</v>
      </c>
      <c r="H465" s="129">
        <v>0</v>
      </c>
      <c r="I465" s="129">
        <v>0</v>
      </c>
      <c r="J465" s="129">
        <v>0</v>
      </c>
    </row>
    <row r="466" spans="2:10">
      <c r="B466" s="131" t="s">
        <v>292</v>
      </c>
      <c r="C466" s="129">
        <v>0</v>
      </c>
      <c r="D466" s="129">
        <v>0</v>
      </c>
      <c r="E466" s="129">
        <v>0</v>
      </c>
      <c r="F466" s="129">
        <v>0</v>
      </c>
      <c r="G466" s="129">
        <v>0</v>
      </c>
      <c r="H466" s="129">
        <v>0</v>
      </c>
      <c r="I466" s="129">
        <v>0</v>
      </c>
      <c r="J466" s="129">
        <v>0</v>
      </c>
    </row>
    <row r="467" spans="2:10">
      <c r="B467" s="131" t="s">
        <v>291</v>
      </c>
      <c r="C467" s="129">
        <v>0</v>
      </c>
      <c r="D467" s="129">
        <v>0</v>
      </c>
      <c r="E467" s="129">
        <v>0</v>
      </c>
      <c r="F467" s="129">
        <v>0</v>
      </c>
      <c r="G467" s="129">
        <v>0</v>
      </c>
      <c r="H467" s="129">
        <v>0</v>
      </c>
      <c r="I467" s="129">
        <v>0</v>
      </c>
      <c r="J467" s="129">
        <v>0</v>
      </c>
    </row>
    <row r="468" spans="2:10">
      <c r="B468" s="131" t="s">
        <v>290</v>
      </c>
      <c r="C468" s="129">
        <v>0</v>
      </c>
      <c r="D468" s="129">
        <v>0</v>
      </c>
      <c r="E468" s="129">
        <v>0</v>
      </c>
      <c r="F468" s="129">
        <v>0</v>
      </c>
      <c r="G468" s="129">
        <v>0</v>
      </c>
      <c r="H468" s="129">
        <v>0</v>
      </c>
      <c r="I468" s="129">
        <v>0</v>
      </c>
      <c r="J468" s="129">
        <v>0</v>
      </c>
    </row>
    <row r="469" spans="2:10">
      <c r="B469" s="131" t="s">
        <v>289</v>
      </c>
      <c r="C469" s="129">
        <v>0</v>
      </c>
      <c r="D469" s="129">
        <v>0</v>
      </c>
      <c r="E469" s="129">
        <v>0</v>
      </c>
      <c r="F469" s="129">
        <v>0</v>
      </c>
      <c r="G469" s="129">
        <v>0</v>
      </c>
      <c r="H469" s="129">
        <v>0</v>
      </c>
      <c r="I469" s="129">
        <v>0</v>
      </c>
      <c r="J469" s="129">
        <v>0</v>
      </c>
    </row>
    <row r="470" spans="2:10">
      <c r="B470" s="131" t="s">
        <v>288</v>
      </c>
      <c r="C470" s="129">
        <v>0</v>
      </c>
      <c r="D470" s="129">
        <v>0</v>
      </c>
      <c r="E470" s="129">
        <v>0</v>
      </c>
      <c r="F470" s="129">
        <v>0</v>
      </c>
      <c r="G470" s="129">
        <v>0</v>
      </c>
      <c r="H470" s="129">
        <v>0</v>
      </c>
      <c r="I470" s="129">
        <v>0</v>
      </c>
      <c r="J470" s="129">
        <v>0</v>
      </c>
    </row>
    <row r="471" spans="2:10">
      <c r="B471" s="65" t="s">
        <v>301</v>
      </c>
      <c r="C471" s="129">
        <v>0</v>
      </c>
      <c r="D471" s="129">
        <v>0</v>
      </c>
      <c r="E471" s="129">
        <v>0</v>
      </c>
      <c r="F471" s="129">
        <v>0</v>
      </c>
      <c r="G471" s="129">
        <v>0</v>
      </c>
      <c r="H471" s="129">
        <v>0</v>
      </c>
      <c r="I471" s="129">
        <v>0</v>
      </c>
      <c r="J471" s="129">
        <v>0</v>
      </c>
    </row>
    <row r="472" spans="2:10">
      <c r="B472" s="65"/>
      <c r="C472" s="102"/>
      <c r="D472" s="129"/>
      <c r="E472" s="129"/>
      <c r="F472" s="129"/>
      <c r="G472" s="129"/>
      <c r="H472" s="129"/>
      <c r="I472" s="129"/>
      <c r="J472" s="129"/>
    </row>
    <row r="473" spans="2:10">
      <c r="B473" s="1344" t="s">
        <v>1836</v>
      </c>
      <c r="C473" s="102"/>
      <c r="D473" s="129"/>
      <c r="E473" s="129"/>
      <c r="F473" s="129"/>
      <c r="G473" s="129"/>
      <c r="H473" s="129"/>
      <c r="I473" s="129"/>
      <c r="J473" s="129"/>
    </row>
    <row r="474" spans="2:10">
      <c r="B474" s="71" t="s">
        <v>297</v>
      </c>
      <c r="C474" s="102">
        <v>2032.373580054021</v>
      </c>
      <c r="D474" s="102">
        <v>2139.3701934237956</v>
      </c>
      <c r="E474" s="102">
        <v>2165.0848815421555</v>
      </c>
      <c r="F474" s="102">
        <v>2110.2172519264354</v>
      </c>
      <c r="G474" s="102">
        <v>2124.2428720000698</v>
      </c>
      <c r="H474" s="102">
        <v>2244.3540888725001</v>
      </c>
      <c r="I474" s="102">
        <v>2193.3003323837011</v>
      </c>
      <c r="J474" s="102">
        <v>2210.7235450761204</v>
      </c>
    </row>
    <row r="475" spans="2:10">
      <c r="B475" s="133" t="s">
        <v>296</v>
      </c>
      <c r="C475" s="102">
        <v>2032.373580054021</v>
      </c>
      <c r="D475" s="102">
        <v>2139.3701934237956</v>
      </c>
      <c r="E475" s="102">
        <v>2165.0848815421555</v>
      </c>
      <c r="F475" s="102">
        <v>2110.2172519264354</v>
      </c>
      <c r="G475" s="102">
        <v>2124.2428720000698</v>
      </c>
      <c r="H475" s="102">
        <v>2244.3540888725001</v>
      </c>
      <c r="I475" s="102">
        <v>2193.3003323837011</v>
      </c>
      <c r="J475" s="102">
        <v>2210.7235450761204</v>
      </c>
    </row>
    <row r="476" spans="2:10">
      <c r="B476" s="131" t="s">
        <v>294</v>
      </c>
      <c r="C476" s="102">
        <v>0</v>
      </c>
      <c r="D476" s="102">
        <v>0</v>
      </c>
      <c r="E476" s="102">
        <v>0</v>
      </c>
      <c r="F476" s="102">
        <v>0</v>
      </c>
      <c r="G476" s="102">
        <v>0</v>
      </c>
      <c r="H476" s="102">
        <v>0</v>
      </c>
      <c r="I476" s="102">
        <v>0</v>
      </c>
      <c r="J476" s="102">
        <v>0</v>
      </c>
    </row>
    <row r="477" spans="2:10">
      <c r="B477" s="1343" t="s">
        <v>293</v>
      </c>
      <c r="C477" s="102">
        <v>0</v>
      </c>
      <c r="D477" s="102">
        <v>0</v>
      </c>
      <c r="E477" s="102">
        <v>0</v>
      </c>
      <c r="F477" s="102">
        <v>0</v>
      </c>
      <c r="G477" s="102">
        <v>0</v>
      </c>
      <c r="H477" s="102">
        <v>0</v>
      </c>
      <c r="I477" s="102">
        <v>0</v>
      </c>
      <c r="J477" s="102">
        <v>0</v>
      </c>
    </row>
    <row r="478" spans="2:10">
      <c r="B478" s="131" t="s">
        <v>292</v>
      </c>
      <c r="C478" s="102">
        <v>1122.6944711653666</v>
      </c>
      <c r="D478" s="102">
        <v>1194.5550081724484</v>
      </c>
      <c r="E478" s="102">
        <v>1227.3917758079626</v>
      </c>
      <c r="F478" s="102">
        <v>1214.4690029085314</v>
      </c>
      <c r="G478" s="102">
        <v>1251.0529844529112</v>
      </c>
      <c r="H478" s="102">
        <v>1357.2440757020479</v>
      </c>
      <c r="I478" s="102">
        <v>1351.0119290446646</v>
      </c>
      <c r="J478" s="102">
        <v>1394.924121291803</v>
      </c>
    </row>
    <row r="479" spans="2:10">
      <c r="B479" s="131" t="s">
        <v>291</v>
      </c>
      <c r="C479" s="102">
        <v>909.67910888865424</v>
      </c>
      <c r="D479" s="102">
        <v>944.81518525134697</v>
      </c>
      <c r="E479" s="102">
        <v>937.69310573419307</v>
      </c>
      <c r="F479" s="102">
        <v>895.7482490179043</v>
      </c>
      <c r="G479" s="102">
        <v>873.18988754715872</v>
      </c>
      <c r="H479" s="102">
        <v>887.11001317045225</v>
      </c>
      <c r="I479" s="102">
        <v>842.28840333903622</v>
      </c>
      <c r="J479" s="102">
        <v>815.79942378431758</v>
      </c>
    </row>
    <row r="480" spans="2:10">
      <c r="B480" s="131" t="s">
        <v>290</v>
      </c>
      <c r="C480" s="102">
        <v>0</v>
      </c>
      <c r="D480" s="102">
        <v>0</v>
      </c>
      <c r="E480" s="102">
        <v>0</v>
      </c>
      <c r="F480" s="102">
        <v>0</v>
      </c>
      <c r="G480" s="102">
        <v>0</v>
      </c>
      <c r="H480" s="102">
        <v>0</v>
      </c>
      <c r="I480" s="102">
        <v>0</v>
      </c>
      <c r="J480" s="102">
        <v>0</v>
      </c>
    </row>
    <row r="481" spans="2:10">
      <c r="B481" s="1343" t="s">
        <v>289</v>
      </c>
      <c r="C481" s="102">
        <v>0</v>
      </c>
      <c r="D481" s="102">
        <v>0</v>
      </c>
      <c r="E481" s="102">
        <v>0</v>
      </c>
      <c r="F481" s="102">
        <v>0</v>
      </c>
      <c r="G481" s="102">
        <v>0</v>
      </c>
      <c r="H481" s="102">
        <v>0</v>
      </c>
      <c r="I481" s="102">
        <v>0</v>
      </c>
      <c r="J481" s="102">
        <v>0</v>
      </c>
    </row>
    <row r="482" spans="2:10">
      <c r="B482" s="131" t="s">
        <v>288</v>
      </c>
      <c r="C482" s="102">
        <v>0</v>
      </c>
      <c r="D482" s="102">
        <v>0</v>
      </c>
      <c r="E482" s="102">
        <v>0</v>
      </c>
      <c r="F482" s="102">
        <v>0</v>
      </c>
      <c r="G482" s="102">
        <v>0</v>
      </c>
      <c r="H482" s="102">
        <v>0</v>
      </c>
      <c r="I482" s="102">
        <v>0</v>
      </c>
      <c r="J482" s="102">
        <v>0</v>
      </c>
    </row>
    <row r="483" spans="2:10">
      <c r="B483" s="132" t="s">
        <v>295</v>
      </c>
      <c r="C483" s="102">
        <v>0</v>
      </c>
      <c r="D483" s="102">
        <v>0</v>
      </c>
      <c r="E483" s="102">
        <v>0</v>
      </c>
      <c r="F483" s="102">
        <v>0</v>
      </c>
      <c r="G483" s="102">
        <v>0</v>
      </c>
      <c r="H483" s="102">
        <v>0</v>
      </c>
      <c r="I483" s="102">
        <v>0</v>
      </c>
      <c r="J483" s="102">
        <v>0</v>
      </c>
    </row>
    <row r="484" spans="2:10">
      <c r="B484" s="131" t="s">
        <v>294</v>
      </c>
      <c r="C484" s="102">
        <v>0</v>
      </c>
      <c r="D484" s="102">
        <v>0</v>
      </c>
      <c r="E484" s="102">
        <v>0</v>
      </c>
      <c r="F484" s="102">
        <v>0</v>
      </c>
      <c r="G484" s="102">
        <v>0</v>
      </c>
      <c r="H484" s="102">
        <v>0</v>
      </c>
      <c r="I484" s="102">
        <v>0</v>
      </c>
      <c r="J484" s="102">
        <v>0</v>
      </c>
    </row>
    <row r="485" spans="2:10">
      <c r="B485" s="131" t="s">
        <v>293</v>
      </c>
      <c r="C485" s="102">
        <v>0</v>
      </c>
      <c r="D485" s="102">
        <v>0</v>
      </c>
      <c r="E485" s="102">
        <v>0</v>
      </c>
      <c r="F485" s="102">
        <v>0</v>
      </c>
      <c r="G485" s="102">
        <v>0</v>
      </c>
      <c r="H485" s="102">
        <v>0</v>
      </c>
      <c r="I485" s="102">
        <v>0</v>
      </c>
      <c r="J485" s="102">
        <v>0</v>
      </c>
    </row>
    <row r="486" spans="2:10">
      <c r="B486" s="131" t="s">
        <v>292</v>
      </c>
      <c r="C486" s="102">
        <v>0</v>
      </c>
      <c r="D486" s="102">
        <v>0</v>
      </c>
      <c r="E486" s="102">
        <v>0</v>
      </c>
      <c r="F486" s="102">
        <v>0</v>
      </c>
      <c r="G486" s="102">
        <v>0</v>
      </c>
      <c r="H486" s="102">
        <v>0</v>
      </c>
      <c r="I486" s="102">
        <v>0</v>
      </c>
      <c r="J486" s="102">
        <v>0</v>
      </c>
    </row>
    <row r="487" spans="2:10">
      <c r="B487" s="131" t="s">
        <v>291</v>
      </c>
      <c r="C487" s="102">
        <v>0</v>
      </c>
      <c r="D487" s="102">
        <v>0</v>
      </c>
      <c r="E487" s="102">
        <v>0</v>
      </c>
      <c r="F487" s="102">
        <v>0</v>
      </c>
      <c r="G487" s="102">
        <v>0</v>
      </c>
      <c r="H487" s="102">
        <v>0</v>
      </c>
      <c r="I487" s="102">
        <v>0</v>
      </c>
      <c r="J487" s="102">
        <v>0</v>
      </c>
    </row>
    <row r="488" spans="2:10">
      <c r="B488" s="131" t="s">
        <v>290</v>
      </c>
      <c r="C488" s="102">
        <v>0</v>
      </c>
      <c r="D488" s="102">
        <v>0</v>
      </c>
      <c r="E488" s="102">
        <v>0</v>
      </c>
      <c r="F488" s="102">
        <v>0</v>
      </c>
      <c r="G488" s="102">
        <v>0</v>
      </c>
      <c r="H488" s="102">
        <v>0</v>
      </c>
      <c r="I488" s="102">
        <v>0</v>
      </c>
      <c r="J488" s="102">
        <v>0</v>
      </c>
    </row>
    <row r="489" spans="2:10">
      <c r="B489" s="131" t="s">
        <v>289</v>
      </c>
      <c r="C489" s="102">
        <v>0</v>
      </c>
      <c r="D489" s="102">
        <v>0</v>
      </c>
      <c r="E489" s="102">
        <v>0</v>
      </c>
      <c r="F489" s="102">
        <v>0</v>
      </c>
      <c r="G489" s="102">
        <v>0</v>
      </c>
      <c r="H489" s="102">
        <v>0</v>
      </c>
      <c r="I489" s="102">
        <v>0</v>
      </c>
      <c r="J489" s="102">
        <v>0</v>
      </c>
    </row>
    <row r="490" spans="2:10">
      <c r="B490" s="131" t="s">
        <v>288</v>
      </c>
      <c r="C490" s="102">
        <v>0</v>
      </c>
      <c r="D490" s="102">
        <v>0</v>
      </c>
      <c r="E490" s="102">
        <v>0</v>
      </c>
      <c r="F490" s="102">
        <v>0</v>
      </c>
      <c r="G490" s="102">
        <v>0</v>
      </c>
      <c r="H490" s="102">
        <v>0</v>
      </c>
      <c r="I490" s="102">
        <v>0</v>
      </c>
      <c r="J490" s="102">
        <v>0</v>
      </c>
    </row>
    <row r="491" spans="2:10" ht="15" thickBot="1">
      <c r="B491" s="65" t="s">
        <v>301</v>
      </c>
      <c r="C491" s="102">
        <v>0.99</v>
      </c>
      <c r="D491" s="102">
        <v>0.99</v>
      </c>
      <c r="E491" s="102">
        <v>0.99</v>
      </c>
      <c r="F491" s="102">
        <v>0.99</v>
      </c>
      <c r="G491" s="102">
        <v>0.99</v>
      </c>
      <c r="H491" s="102">
        <v>0.99</v>
      </c>
      <c r="I491" s="102">
        <v>0.99</v>
      </c>
      <c r="J491" s="102">
        <v>0.99</v>
      </c>
    </row>
    <row r="492" spans="2:10" ht="15" thickTop="1">
      <c r="B492" s="2025" t="s">
        <v>1841</v>
      </c>
      <c r="C492" s="2025"/>
      <c r="D492" s="2025"/>
      <c r="E492" s="2025"/>
      <c r="F492" s="2025"/>
      <c r="G492" s="2025"/>
      <c r="H492" s="2025"/>
      <c r="I492" s="2025"/>
      <c r="J492" s="2025"/>
    </row>
    <row r="493" spans="2:10">
      <c r="B493" s="2149" t="s">
        <v>1800</v>
      </c>
      <c r="C493" s="2149"/>
      <c r="D493" s="2149"/>
      <c r="E493" s="2149"/>
      <c r="F493" s="2149"/>
      <c r="G493" s="2149"/>
      <c r="H493" s="2149"/>
      <c r="I493" s="2149"/>
      <c r="J493" s="2149"/>
    </row>
    <row r="494" spans="2:10">
      <c r="B494" s="1334"/>
      <c r="C494" s="1334"/>
      <c r="D494" s="1334"/>
      <c r="E494" s="1334"/>
      <c r="F494" s="1334"/>
      <c r="G494" s="1334"/>
      <c r="H494" s="1334"/>
      <c r="I494" s="1334"/>
      <c r="J494" s="1334"/>
    </row>
    <row r="495" spans="2:10">
      <c r="B495" s="2100" t="s">
        <v>271</v>
      </c>
      <c r="C495" s="2100"/>
      <c r="D495" s="2100"/>
      <c r="E495" s="2100"/>
      <c r="F495" s="2100"/>
      <c r="G495" s="2100"/>
      <c r="H495" s="2100"/>
      <c r="I495" s="2100"/>
      <c r="J495" s="2100"/>
    </row>
    <row r="496" spans="2:10">
      <c r="B496" s="12" t="s">
        <v>270</v>
      </c>
      <c r="C496" s="302"/>
      <c r="D496" s="302"/>
      <c r="E496" s="302"/>
      <c r="F496" s="302"/>
      <c r="G496" s="302"/>
      <c r="H496" s="302"/>
      <c r="I496" s="302"/>
      <c r="J496" s="302"/>
    </row>
    <row r="497" spans="2:10">
      <c r="B497" s="77" t="s">
        <v>269</v>
      </c>
      <c r="C497" s="302"/>
      <c r="D497" s="302"/>
      <c r="E497" s="302"/>
      <c r="F497" s="302"/>
      <c r="G497" s="302"/>
      <c r="H497" s="302"/>
      <c r="I497" s="302"/>
      <c r="J497" s="302"/>
    </row>
    <row r="498" spans="2:10">
      <c r="B498" s="76"/>
      <c r="C498" s="302"/>
      <c r="D498" s="302"/>
      <c r="E498" s="302"/>
      <c r="F498" s="302"/>
      <c r="G498" s="302"/>
      <c r="H498" s="302"/>
      <c r="I498" s="302"/>
      <c r="J498" s="302"/>
    </row>
    <row r="499" spans="2:10">
      <c r="B499" s="61"/>
      <c r="C499" s="303">
        <v>2014</v>
      </c>
      <c r="D499" s="303">
        <v>2015</v>
      </c>
      <c r="E499" s="303">
        <v>2016</v>
      </c>
      <c r="F499" s="303">
        <v>2017</v>
      </c>
      <c r="G499" s="303">
        <v>2018</v>
      </c>
      <c r="H499" s="303">
        <v>2019</v>
      </c>
      <c r="I499" s="303">
        <v>2020</v>
      </c>
      <c r="J499" s="303">
        <v>2021</v>
      </c>
    </row>
    <row r="500" spans="2:10">
      <c r="B500" s="76" t="s">
        <v>1308</v>
      </c>
      <c r="C500" s="302"/>
      <c r="D500" s="302"/>
      <c r="E500" s="302"/>
      <c r="F500" s="302"/>
      <c r="G500" s="302"/>
      <c r="H500" s="302"/>
      <c r="I500" s="302"/>
      <c r="J500" s="302"/>
    </row>
    <row r="501" spans="2:10">
      <c r="B501" s="71" t="s">
        <v>265</v>
      </c>
      <c r="C501" s="321">
        <v>7</v>
      </c>
      <c r="D501" s="321">
        <v>7</v>
      </c>
      <c r="E501" s="321">
        <v>6</v>
      </c>
      <c r="F501" s="321">
        <v>6</v>
      </c>
      <c r="G501" s="321">
        <v>6</v>
      </c>
      <c r="H501" s="321">
        <v>6</v>
      </c>
      <c r="I501" s="321">
        <v>6</v>
      </c>
      <c r="J501" s="321">
        <v>7</v>
      </c>
    </row>
    <row r="502" spans="2:10">
      <c r="B502" s="52" t="s">
        <v>262</v>
      </c>
      <c r="C502" s="321">
        <v>0</v>
      </c>
      <c r="D502" s="321">
        <v>0</v>
      </c>
      <c r="E502" s="321">
        <v>0</v>
      </c>
      <c r="F502" s="321">
        <v>0</v>
      </c>
      <c r="G502" s="321">
        <v>0</v>
      </c>
      <c r="H502" s="321">
        <v>0</v>
      </c>
      <c r="I502" s="321">
        <v>0</v>
      </c>
      <c r="J502" s="321">
        <v>0</v>
      </c>
    </row>
    <row r="503" spans="2:10">
      <c r="B503" s="52" t="s">
        <v>261</v>
      </c>
      <c r="C503" s="321">
        <v>0</v>
      </c>
      <c r="D503" s="321">
        <v>0</v>
      </c>
      <c r="E503" s="321">
        <v>0</v>
      </c>
      <c r="F503" s="321">
        <v>0</v>
      </c>
      <c r="G503" s="321">
        <v>0</v>
      </c>
      <c r="H503" s="321">
        <v>0</v>
      </c>
      <c r="I503" s="321">
        <v>0</v>
      </c>
      <c r="J503" s="321">
        <v>0</v>
      </c>
    </row>
    <row r="504" spans="2:10">
      <c r="B504" s="52" t="s">
        <v>260</v>
      </c>
      <c r="C504" s="321">
        <v>0</v>
      </c>
      <c r="D504" s="321">
        <v>0</v>
      </c>
      <c r="E504" s="321">
        <v>0</v>
      </c>
      <c r="F504" s="321">
        <v>0</v>
      </c>
      <c r="G504" s="321">
        <v>0</v>
      </c>
      <c r="H504" s="321">
        <v>0</v>
      </c>
      <c r="I504" s="321">
        <v>0</v>
      </c>
      <c r="J504" s="321">
        <v>0</v>
      </c>
    </row>
    <row r="505" spans="2:10">
      <c r="B505" s="52" t="s">
        <v>117</v>
      </c>
      <c r="C505" s="321">
        <v>7</v>
      </c>
      <c r="D505" s="321">
        <v>7</v>
      </c>
      <c r="E505" s="321">
        <v>6</v>
      </c>
      <c r="F505" s="321">
        <v>6</v>
      </c>
      <c r="G505" s="321">
        <v>6</v>
      </c>
      <c r="H505" s="321">
        <v>6</v>
      </c>
      <c r="I505" s="321">
        <v>6</v>
      </c>
      <c r="J505" s="321">
        <v>7</v>
      </c>
    </row>
    <row r="506" spans="2:10">
      <c r="B506" s="52"/>
      <c r="C506" s="321"/>
      <c r="D506" s="321"/>
      <c r="E506" s="321"/>
      <c r="F506" s="321"/>
      <c r="G506" s="321"/>
      <c r="H506" s="321"/>
      <c r="I506" s="321"/>
      <c r="J506" s="321"/>
    </row>
    <row r="507" spans="2:10">
      <c r="B507" s="71" t="s">
        <v>264</v>
      </c>
      <c r="C507" s="321">
        <v>7</v>
      </c>
      <c r="D507" s="321">
        <v>7</v>
      </c>
      <c r="E507" s="321">
        <v>6</v>
      </c>
      <c r="F507" s="321">
        <v>6</v>
      </c>
      <c r="G507" s="321">
        <v>6</v>
      </c>
      <c r="H507" s="321">
        <v>6</v>
      </c>
      <c r="I507" s="321">
        <v>6</v>
      </c>
      <c r="J507" s="321">
        <v>7</v>
      </c>
    </row>
    <row r="508" spans="2:10">
      <c r="B508" s="52" t="s">
        <v>262</v>
      </c>
      <c r="C508" s="321">
        <v>0</v>
      </c>
      <c r="D508" s="321">
        <v>0</v>
      </c>
      <c r="E508" s="321">
        <v>0</v>
      </c>
      <c r="F508" s="321">
        <v>0</v>
      </c>
      <c r="G508" s="321">
        <v>0</v>
      </c>
      <c r="H508" s="321">
        <v>0</v>
      </c>
      <c r="I508" s="321">
        <v>0</v>
      </c>
      <c r="J508" s="321">
        <v>0</v>
      </c>
    </row>
    <row r="509" spans="2:10">
      <c r="B509" s="52" t="s">
        <v>261</v>
      </c>
      <c r="C509" s="321">
        <v>0</v>
      </c>
      <c r="D509" s="321">
        <v>0</v>
      </c>
      <c r="E509" s="321">
        <v>0</v>
      </c>
      <c r="F509" s="321">
        <v>0</v>
      </c>
      <c r="G509" s="321">
        <v>0</v>
      </c>
      <c r="H509" s="321">
        <v>0</v>
      </c>
      <c r="I509" s="321">
        <v>0</v>
      </c>
      <c r="J509" s="321">
        <v>0</v>
      </c>
    </row>
    <row r="510" spans="2:10">
      <c r="B510" s="52" t="s">
        <v>260</v>
      </c>
      <c r="C510" s="321">
        <v>0</v>
      </c>
      <c r="D510" s="321">
        <v>0</v>
      </c>
      <c r="E510" s="321">
        <v>0</v>
      </c>
      <c r="F510" s="321">
        <v>0</v>
      </c>
      <c r="G510" s="321">
        <v>0</v>
      </c>
      <c r="H510" s="321">
        <v>0</v>
      </c>
      <c r="I510" s="321">
        <v>0</v>
      </c>
      <c r="J510" s="321">
        <v>0</v>
      </c>
    </row>
    <row r="511" spans="2:10">
      <c r="B511" s="52" t="s">
        <v>117</v>
      </c>
      <c r="C511" s="321">
        <v>7</v>
      </c>
      <c r="D511" s="321">
        <v>7</v>
      </c>
      <c r="E511" s="321">
        <v>6</v>
      </c>
      <c r="F511" s="321">
        <v>6</v>
      </c>
      <c r="G511" s="321">
        <v>6</v>
      </c>
      <c r="H511" s="321">
        <v>6</v>
      </c>
      <c r="I511" s="321">
        <v>6</v>
      </c>
      <c r="J511" s="321">
        <v>7</v>
      </c>
    </row>
    <row r="512" spans="2:10">
      <c r="B512" s="52"/>
      <c r="C512" s="321"/>
      <c r="D512" s="321"/>
      <c r="E512" s="321"/>
      <c r="F512" s="321"/>
      <c r="G512" s="321"/>
      <c r="H512" s="321"/>
      <c r="I512" s="321"/>
      <c r="J512" s="321"/>
    </row>
    <row r="513" spans="2:10">
      <c r="B513" s="71" t="s">
        <v>263</v>
      </c>
      <c r="C513" s="321">
        <v>0</v>
      </c>
      <c r="D513" s="321">
        <v>0</v>
      </c>
      <c r="E513" s="321">
        <v>0</v>
      </c>
      <c r="F513" s="321">
        <v>0</v>
      </c>
      <c r="G513" s="321">
        <v>0</v>
      </c>
      <c r="H513" s="321">
        <v>0</v>
      </c>
      <c r="I513" s="321">
        <v>0</v>
      </c>
      <c r="J513" s="321">
        <v>0</v>
      </c>
    </row>
    <row r="514" spans="2:10">
      <c r="B514" s="52" t="s">
        <v>262</v>
      </c>
      <c r="C514" s="321">
        <v>0</v>
      </c>
      <c r="D514" s="321">
        <v>0</v>
      </c>
      <c r="E514" s="321">
        <v>0</v>
      </c>
      <c r="F514" s="321">
        <v>0</v>
      </c>
      <c r="G514" s="321">
        <v>0</v>
      </c>
      <c r="H514" s="321">
        <v>0</v>
      </c>
      <c r="I514" s="321">
        <v>0</v>
      </c>
      <c r="J514" s="321">
        <v>0</v>
      </c>
    </row>
    <row r="515" spans="2:10">
      <c r="B515" s="52" t="s">
        <v>261</v>
      </c>
      <c r="C515" s="321">
        <v>0</v>
      </c>
      <c r="D515" s="321">
        <v>0</v>
      </c>
      <c r="E515" s="321">
        <v>0</v>
      </c>
      <c r="F515" s="321">
        <v>0</v>
      </c>
      <c r="G515" s="321">
        <v>0</v>
      </c>
      <c r="H515" s="321">
        <v>0</v>
      </c>
      <c r="I515" s="321">
        <v>0</v>
      </c>
      <c r="J515" s="321">
        <v>0</v>
      </c>
    </row>
    <row r="516" spans="2:10">
      <c r="B516" s="52" t="s">
        <v>260</v>
      </c>
      <c r="C516" s="321">
        <v>0</v>
      </c>
      <c r="D516" s="321">
        <v>0</v>
      </c>
      <c r="E516" s="321">
        <v>0</v>
      </c>
      <c r="F516" s="321">
        <v>0</v>
      </c>
      <c r="G516" s="321">
        <v>0</v>
      </c>
      <c r="H516" s="321">
        <v>0</v>
      </c>
      <c r="I516" s="321">
        <v>0</v>
      </c>
      <c r="J516" s="321">
        <v>0</v>
      </c>
    </row>
    <row r="517" spans="2:10">
      <c r="B517" s="52" t="s">
        <v>117</v>
      </c>
      <c r="C517" s="321">
        <v>0</v>
      </c>
      <c r="D517" s="321">
        <v>0</v>
      </c>
      <c r="E517" s="321">
        <v>0</v>
      </c>
      <c r="F517" s="321">
        <v>0</v>
      </c>
      <c r="G517" s="321">
        <v>0</v>
      </c>
      <c r="H517" s="321">
        <v>0</v>
      </c>
      <c r="I517" s="321">
        <v>0</v>
      </c>
      <c r="J517" s="321">
        <v>0</v>
      </c>
    </row>
    <row r="518" spans="2:10">
      <c r="B518" s="52"/>
      <c r="C518" s="321"/>
      <c r="D518" s="321"/>
      <c r="E518" s="321"/>
      <c r="F518" s="321"/>
      <c r="G518" s="321"/>
      <c r="H518" s="321"/>
      <c r="I518" s="321"/>
      <c r="J518" s="321"/>
    </row>
    <row r="519" spans="2:10">
      <c r="B519" s="59" t="s">
        <v>1309</v>
      </c>
      <c r="C519" s="321"/>
      <c r="D519" s="321"/>
      <c r="E519" s="321"/>
      <c r="F519" s="321"/>
      <c r="G519" s="321"/>
      <c r="H519" s="321"/>
      <c r="I519" s="321"/>
      <c r="J519" s="321"/>
    </row>
    <row r="520" spans="2:10">
      <c r="B520" s="71" t="s">
        <v>265</v>
      </c>
      <c r="C520" s="321">
        <v>16</v>
      </c>
      <c r="D520" s="321">
        <v>16</v>
      </c>
      <c r="E520" s="321">
        <v>16</v>
      </c>
      <c r="F520" s="321">
        <v>16</v>
      </c>
      <c r="G520" s="321">
        <v>16</v>
      </c>
      <c r="H520" s="321">
        <v>17</v>
      </c>
      <c r="I520" s="321">
        <v>17</v>
      </c>
      <c r="J520" s="321">
        <v>20</v>
      </c>
    </row>
    <row r="521" spans="2:10">
      <c r="B521" s="52" t="s">
        <v>262</v>
      </c>
      <c r="C521" s="321">
        <v>1</v>
      </c>
      <c r="D521" s="321">
        <v>1</v>
      </c>
      <c r="E521" s="321">
        <v>1</v>
      </c>
      <c r="F521" s="321">
        <v>1</v>
      </c>
      <c r="G521" s="321">
        <v>1</v>
      </c>
      <c r="H521" s="321">
        <v>1</v>
      </c>
      <c r="I521" s="321">
        <v>1</v>
      </c>
      <c r="J521" s="321">
        <v>1</v>
      </c>
    </row>
    <row r="522" spans="2:10">
      <c r="B522" s="52" t="s">
        <v>261</v>
      </c>
      <c r="C522" s="321">
        <v>0</v>
      </c>
      <c r="D522" s="321">
        <v>0</v>
      </c>
      <c r="E522" s="321">
        <v>0</v>
      </c>
      <c r="F522" s="321">
        <v>0</v>
      </c>
      <c r="G522" s="321">
        <v>0</v>
      </c>
      <c r="H522" s="321">
        <v>0</v>
      </c>
      <c r="I522" s="321">
        <v>0</v>
      </c>
      <c r="J522" s="321">
        <v>0</v>
      </c>
    </row>
    <row r="523" spans="2:10">
      <c r="B523" s="52" t="s">
        <v>260</v>
      </c>
      <c r="C523" s="321">
        <v>8</v>
      </c>
      <c r="D523" s="321">
        <v>8</v>
      </c>
      <c r="E523" s="321">
        <v>8</v>
      </c>
      <c r="F523" s="321">
        <v>8</v>
      </c>
      <c r="G523" s="321">
        <v>8</v>
      </c>
      <c r="H523" s="952">
        <v>8</v>
      </c>
      <c r="I523" s="321">
        <v>8</v>
      </c>
      <c r="J523" s="321">
        <v>8</v>
      </c>
    </row>
    <row r="524" spans="2:10">
      <c r="B524" s="52" t="s">
        <v>117</v>
      </c>
      <c r="C524" s="321">
        <v>7</v>
      </c>
      <c r="D524" s="321">
        <v>7</v>
      </c>
      <c r="E524" s="321">
        <v>7</v>
      </c>
      <c r="F524" s="321">
        <v>7</v>
      </c>
      <c r="G524" s="321">
        <v>7</v>
      </c>
      <c r="H524" s="952">
        <v>8</v>
      </c>
      <c r="I524" s="321">
        <v>8</v>
      </c>
      <c r="J524" s="321">
        <v>11</v>
      </c>
    </row>
    <row r="525" spans="2:10">
      <c r="B525" s="52"/>
      <c r="C525" s="321"/>
      <c r="D525" s="321"/>
      <c r="E525" s="321"/>
      <c r="F525" s="321"/>
      <c r="G525" s="321"/>
      <c r="H525" s="952"/>
      <c r="I525" s="321"/>
      <c r="J525" s="321"/>
    </row>
    <row r="526" spans="2:10">
      <c r="B526" s="71" t="s">
        <v>264</v>
      </c>
      <c r="C526" s="321">
        <v>16</v>
      </c>
      <c r="D526" s="321">
        <v>16</v>
      </c>
      <c r="E526" s="321">
        <v>16</v>
      </c>
      <c r="F526" s="321">
        <v>16</v>
      </c>
      <c r="G526" s="321">
        <v>16</v>
      </c>
      <c r="H526" s="952">
        <v>17</v>
      </c>
      <c r="I526" s="321">
        <v>17</v>
      </c>
      <c r="J526" s="321">
        <v>20</v>
      </c>
    </row>
    <row r="527" spans="2:10">
      <c r="B527" s="52" t="s">
        <v>262</v>
      </c>
      <c r="C527" s="321">
        <v>1</v>
      </c>
      <c r="D527" s="321">
        <v>1</v>
      </c>
      <c r="E527" s="321">
        <v>1</v>
      </c>
      <c r="F527" s="321">
        <v>1</v>
      </c>
      <c r="G527" s="321">
        <v>1</v>
      </c>
      <c r="H527" s="952">
        <v>1</v>
      </c>
      <c r="I527" s="321">
        <v>1</v>
      </c>
      <c r="J527" s="321">
        <v>1</v>
      </c>
    </row>
    <row r="528" spans="2:10">
      <c r="B528" s="52" t="s">
        <v>261</v>
      </c>
      <c r="C528" s="321">
        <v>0</v>
      </c>
      <c r="D528" s="321">
        <v>0</v>
      </c>
      <c r="E528" s="321">
        <v>0</v>
      </c>
      <c r="F528" s="321">
        <v>0</v>
      </c>
      <c r="G528" s="321">
        <v>0</v>
      </c>
      <c r="H528" s="952">
        <v>0</v>
      </c>
      <c r="I528" s="321">
        <v>0</v>
      </c>
      <c r="J528" s="321">
        <v>0</v>
      </c>
    </row>
    <row r="529" spans="2:10">
      <c r="B529" s="52" t="s">
        <v>260</v>
      </c>
      <c r="C529" s="321">
        <v>8</v>
      </c>
      <c r="D529" s="321">
        <v>8</v>
      </c>
      <c r="E529" s="321">
        <v>8</v>
      </c>
      <c r="F529" s="321">
        <v>8</v>
      </c>
      <c r="G529" s="321">
        <v>8</v>
      </c>
      <c r="H529" s="952">
        <v>8</v>
      </c>
      <c r="I529" s="321">
        <v>8</v>
      </c>
      <c r="J529" s="321">
        <v>8</v>
      </c>
    </row>
    <row r="530" spans="2:10">
      <c r="B530" s="52" t="s">
        <v>117</v>
      </c>
      <c r="C530" s="321">
        <v>7</v>
      </c>
      <c r="D530" s="321">
        <v>7</v>
      </c>
      <c r="E530" s="321">
        <v>7</v>
      </c>
      <c r="F530" s="321">
        <v>7</v>
      </c>
      <c r="G530" s="321">
        <v>7</v>
      </c>
      <c r="H530" s="952">
        <v>8</v>
      </c>
      <c r="I530" s="321">
        <v>8</v>
      </c>
      <c r="J530" s="321">
        <v>11</v>
      </c>
    </row>
    <row r="531" spans="2:10">
      <c r="B531" s="52"/>
      <c r="C531" s="321"/>
      <c r="D531" s="321"/>
      <c r="E531" s="321"/>
      <c r="F531" s="321"/>
      <c r="G531" s="321"/>
      <c r="H531" s="952"/>
      <c r="I531" s="321"/>
      <c r="J531" s="321"/>
    </row>
    <row r="532" spans="2:10">
      <c r="B532" s="71" t="s">
        <v>263</v>
      </c>
      <c r="C532" s="321">
        <v>0</v>
      </c>
      <c r="D532" s="321">
        <v>0</v>
      </c>
      <c r="E532" s="321">
        <v>0</v>
      </c>
      <c r="F532" s="321">
        <v>0</v>
      </c>
      <c r="G532" s="321">
        <v>0</v>
      </c>
      <c r="H532" s="321">
        <v>0</v>
      </c>
      <c r="I532" s="321">
        <v>0</v>
      </c>
      <c r="J532" s="321">
        <v>0</v>
      </c>
    </row>
    <row r="533" spans="2:10">
      <c r="B533" s="52" t="s">
        <v>262</v>
      </c>
      <c r="C533" s="321">
        <v>0</v>
      </c>
      <c r="D533" s="321">
        <v>0</v>
      </c>
      <c r="E533" s="321">
        <v>0</v>
      </c>
      <c r="F533" s="321">
        <v>0</v>
      </c>
      <c r="G533" s="321">
        <v>0</v>
      </c>
      <c r="H533" s="321">
        <v>0</v>
      </c>
      <c r="I533" s="321">
        <v>0</v>
      </c>
      <c r="J533" s="321">
        <v>0</v>
      </c>
    </row>
    <row r="534" spans="2:10">
      <c r="B534" s="52" t="s">
        <v>261</v>
      </c>
      <c r="C534" s="321">
        <v>0</v>
      </c>
      <c r="D534" s="321">
        <v>0</v>
      </c>
      <c r="E534" s="321">
        <v>0</v>
      </c>
      <c r="F534" s="321">
        <v>0</v>
      </c>
      <c r="G534" s="321">
        <v>0</v>
      </c>
      <c r="H534" s="321">
        <v>0</v>
      </c>
      <c r="I534" s="321">
        <v>0</v>
      </c>
      <c r="J534" s="321">
        <v>0</v>
      </c>
    </row>
    <row r="535" spans="2:10">
      <c r="B535" s="52" t="s">
        <v>260</v>
      </c>
      <c r="C535" s="321">
        <v>0</v>
      </c>
      <c r="D535" s="321">
        <v>0</v>
      </c>
      <c r="E535" s="321">
        <v>0</v>
      </c>
      <c r="F535" s="321">
        <v>0</v>
      </c>
      <c r="G535" s="321">
        <v>0</v>
      </c>
      <c r="H535" s="321">
        <v>0</v>
      </c>
      <c r="I535" s="321">
        <v>0</v>
      </c>
      <c r="J535" s="321">
        <v>0</v>
      </c>
    </row>
    <row r="536" spans="2:10" ht="15" thickBot="1">
      <c r="B536" s="52" t="s">
        <v>117</v>
      </c>
      <c r="C536" s="321">
        <v>0</v>
      </c>
      <c r="D536" s="321">
        <v>0</v>
      </c>
      <c r="E536" s="321">
        <v>0</v>
      </c>
      <c r="F536" s="321">
        <v>0</v>
      </c>
      <c r="G536" s="321">
        <v>0</v>
      </c>
      <c r="H536" s="321">
        <v>0</v>
      </c>
      <c r="I536" s="321">
        <v>0</v>
      </c>
      <c r="J536" s="321">
        <v>0</v>
      </c>
    </row>
    <row r="537" spans="2:10" ht="15" thickTop="1">
      <c r="B537" s="2025" t="s">
        <v>1842</v>
      </c>
      <c r="C537" s="2025"/>
      <c r="D537" s="2025"/>
      <c r="E537" s="2025"/>
      <c r="F537" s="2025"/>
      <c r="G537" s="2025"/>
      <c r="H537" s="2025"/>
      <c r="I537" s="2025"/>
      <c r="J537" s="2025"/>
    </row>
    <row r="538" spans="2:10">
      <c r="B538" s="2066"/>
      <c r="C538" s="2066"/>
      <c r="D538" s="2066"/>
      <c r="E538" s="2066"/>
      <c r="F538" s="2066"/>
      <c r="G538" s="2066"/>
      <c r="H538" s="2066"/>
      <c r="I538" s="2066"/>
      <c r="J538" s="2066"/>
    </row>
    <row r="539" spans="2:10">
      <c r="B539" s="62"/>
      <c r="C539" s="302"/>
      <c r="D539" s="302"/>
      <c r="E539" s="302"/>
      <c r="F539" s="302"/>
      <c r="G539" s="302"/>
      <c r="H539" s="302"/>
      <c r="I539" s="302"/>
      <c r="J539" s="302"/>
    </row>
    <row r="540" spans="2:10">
      <c r="B540" s="2100" t="s">
        <v>258</v>
      </c>
      <c r="C540" s="2100"/>
      <c r="D540" s="2100"/>
      <c r="E540" s="2100"/>
      <c r="F540" s="2100"/>
      <c r="G540" s="2100"/>
      <c r="H540" s="2100"/>
      <c r="I540" s="2100"/>
      <c r="J540" s="2100"/>
    </row>
    <row r="541" spans="2:10">
      <c r="B541" s="12" t="s">
        <v>257</v>
      </c>
      <c r="C541" s="302"/>
      <c r="D541" s="302"/>
      <c r="E541" s="302"/>
      <c r="F541" s="302"/>
      <c r="G541" s="302"/>
      <c r="H541" s="302"/>
      <c r="I541" s="302"/>
      <c r="J541" s="302"/>
    </row>
    <row r="542" spans="2:10">
      <c r="B542" s="77" t="s">
        <v>256</v>
      </c>
      <c r="C542" s="302"/>
      <c r="D542" s="302"/>
      <c r="E542" s="302"/>
      <c r="F542" s="302"/>
      <c r="G542" s="302"/>
      <c r="H542" s="302"/>
      <c r="I542" s="302"/>
      <c r="J542" s="302"/>
    </row>
    <row r="543" spans="2:10">
      <c r="B543" s="62"/>
      <c r="C543" s="302"/>
      <c r="D543" s="302"/>
      <c r="E543" s="302"/>
      <c r="F543" s="302"/>
      <c r="G543" s="302"/>
      <c r="H543" s="302"/>
      <c r="I543" s="302"/>
      <c r="J543" s="302"/>
    </row>
    <row r="544" spans="2:10">
      <c r="B544" s="61"/>
      <c r="C544" s="303">
        <v>2014</v>
      </c>
      <c r="D544" s="303">
        <v>2015</v>
      </c>
      <c r="E544" s="303">
        <v>2016</v>
      </c>
      <c r="F544" s="303">
        <v>2017</v>
      </c>
      <c r="G544" s="303">
        <v>2018</v>
      </c>
      <c r="H544" s="303">
        <v>2019</v>
      </c>
      <c r="I544" s="303">
        <v>2020</v>
      </c>
      <c r="J544" s="303">
        <v>2021</v>
      </c>
    </row>
    <row r="545" spans="2:10">
      <c r="B545" s="59" t="s">
        <v>1308</v>
      </c>
      <c r="C545" s="302"/>
      <c r="D545" s="302"/>
      <c r="E545" s="302"/>
      <c r="F545" s="302"/>
      <c r="G545" s="302"/>
      <c r="H545" s="302"/>
      <c r="I545" s="302"/>
      <c r="J545" s="302"/>
    </row>
    <row r="546" spans="2:10">
      <c r="B546" s="71" t="s">
        <v>247</v>
      </c>
      <c r="C546" s="867">
        <v>0.16300000000000001</v>
      </c>
      <c r="D546" s="867">
        <v>6.2E-2</v>
      </c>
      <c r="E546" s="867">
        <v>5.7000000000000002E-2</v>
      </c>
      <c r="F546" s="867">
        <v>5.6000000000000001E-2</v>
      </c>
      <c r="G546" s="867">
        <v>5.5E-2</v>
      </c>
      <c r="H546" s="867">
        <v>5.6000000000000001E-2</v>
      </c>
      <c r="I546" s="867">
        <v>5.3999999999999999E-2</v>
      </c>
      <c r="J546" s="867">
        <v>4.8000000000000001E-2</v>
      </c>
    </row>
    <row r="547" spans="2:10">
      <c r="B547" s="52" t="s">
        <v>121</v>
      </c>
      <c r="C547" s="867">
        <v>0</v>
      </c>
      <c r="D547" s="867">
        <v>0</v>
      </c>
      <c r="E547" s="867">
        <v>0</v>
      </c>
      <c r="F547" s="867">
        <v>0</v>
      </c>
      <c r="G547" s="867">
        <v>0</v>
      </c>
      <c r="H547" s="867">
        <v>0</v>
      </c>
      <c r="I547" s="867">
        <v>0</v>
      </c>
      <c r="J547" s="867">
        <v>1.7000000000000001E-2</v>
      </c>
    </row>
    <row r="548" spans="2:10">
      <c r="B548" s="53" t="s">
        <v>120</v>
      </c>
      <c r="C548" s="867">
        <v>0</v>
      </c>
      <c r="D548" s="867">
        <v>0</v>
      </c>
      <c r="E548" s="867">
        <v>0</v>
      </c>
      <c r="F548" s="867">
        <v>0</v>
      </c>
      <c r="G548" s="867">
        <v>0</v>
      </c>
      <c r="H548" s="867">
        <v>0</v>
      </c>
      <c r="I548" s="867">
        <v>0</v>
      </c>
      <c r="J548" s="867">
        <v>0</v>
      </c>
    </row>
    <row r="549" spans="2:10">
      <c r="B549" s="53" t="s">
        <v>119</v>
      </c>
      <c r="C549" s="867">
        <v>0.03</v>
      </c>
      <c r="D549" s="867">
        <v>2.8000000000000001E-2</v>
      </c>
      <c r="E549" s="867">
        <v>2.3E-2</v>
      </c>
      <c r="F549" s="867">
        <v>2.1999999999999999E-2</v>
      </c>
      <c r="G549" s="867">
        <v>2.1999999999999999E-2</v>
      </c>
      <c r="H549" s="867">
        <v>2.1999999999999999E-2</v>
      </c>
      <c r="I549" s="867">
        <v>0.02</v>
      </c>
      <c r="J549" s="867">
        <v>1.7000000000000001E-2</v>
      </c>
    </row>
    <row r="550" spans="2:10">
      <c r="B550" s="52" t="s">
        <v>118</v>
      </c>
      <c r="C550" s="867">
        <v>3.1E-2</v>
      </c>
      <c r="D550" s="867">
        <v>0.03</v>
      </c>
      <c r="E550" s="867">
        <v>2.9000000000000001E-2</v>
      </c>
      <c r="F550" s="867">
        <v>2.9000000000000001E-2</v>
      </c>
      <c r="G550" s="867">
        <v>2.8000000000000001E-2</v>
      </c>
      <c r="H550" s="867">
        <v>2.9000000000000001E-2</v>
      </c>
      <c r="I550" s="867">
        <v>2.9000000000000001E-2</v>
      </c>
      <c r="J550" s="867">
        <v>2.7E-2</v>
      </c>
    </row>
    <row r="551" spans="2:10">
      <c r="B551" s="52" t="s">
        <v>117</v>
      </c>
      <c r="C551" s="867">
        <v>1E-3</v>
      </c>
      <c r="D551" s="867">
        <v>4.0000000000000001E-3</v>
      </c>
      <c r="E551" s="867">
        <v>5.0000000000000001E-3</v>
      </c>
      <c r="F551" s="867">
        <v>5.0000000000000001E-3</v>
      </c>
      <c r="G551" s="867">
        <v>5.0000000000000001E-3</v>
      </c>
      <c r="H551" s="867">
        <v>5.0000000000000001E-3</v>
      </c>
      <c r="I551" s="867">
        <v>5.0000000000000001E-3</v>
      </c>
      <c r="J551" s="867">
        <v>4.0000000000000001E-3</v>
      </c>
    </row>
    <row r="552" spans="2:10">
      <c r="B552" s="52"/>
      <c r="C552" s="867"/>
      <c r="D552" s="867"/>
      <c r="E552" s="867"/>
      <c r="F552" s="867"/>
      <c r="G552" s="867"/>
      <c r="H552" s="867"/>
      <c r="I552" s="867"/>
      <c r="J552" s="867"/>
    </row>
    <row r="553" spans="2:10">
      <c r="B553" s="59" t="s">
        <v>1309</v>
      </c>
      <c r="C553" s="302"/>
      <c r="D553" s="302"/>
      <c r="E553" s="302"/>
      <c r="F553" s="302"/>
      <c r="G553" s="302"/>
      <c r="H553" s="302"/>
      <c r="I553" s="302"/>
      <c r="J553" s="302"/>
    </row>
    <row r="554" spans="2:10">
      <c r="B554" s="71" t="s">
        <v>247</v>
      </c>
      <c r="C554" s="867">
        <v>0.161</v>
      </c>
      <c r="D554" s="867">
        <v>0.16800000000000001</v>
      </c>
      <c r="E554" s="867">
        <v>0.15</v>
      </c>
      <c r="F554" s="867">
        <v>0.192</v>
      </c>
      <c r="G554" s="867">
        <v>0.105</v>
      </c>
      <c r="H554" s="867">
        <v>8.2000000000000003E-2</v>
      </c>
      <c r="I554" s="867">
        <v>8.7999999999999995E-2</v>
      </c>
      <c r="J554" s="867">
        <v>0.108</v>
      </c>
    </row>
    <row r="555" spans="2:10">
      <c r="B555" s="52" t="s">
        <v>121</v>
      </c>
      <c r="C555" s="867">
        <v>0.161</v>
      </c>
      <c r="D555" s="867">
        <v>0.16800000000000001</v>
      </c>
      <c r="E555" s="867">
        <v>0.15</v>
      </c>
      <c r="F555" s="867">
        <v>0.192</v>
      </c>
      <c r="G555" s="867">
        <v>0.105</v>
      </c>
      <c r="H555" s="867">
        <v>8.2000000000000003E-2</v>
      </c>
      <c r="I555" s="867">
        <v>8.7999999999999995E-2</v>
      </c>
      <c r="J555" s="867">
        <v>0.108</v>
      </c>
    </row>
    <row r="556" spans="2:10">
      <c r="B556" s="53" t="s">
        <v>120</v>
      </c>
      <c r="C556" s="867">
        <v>9.7000000000000003E-2</v>
      </c>
      <c r="D556" s="867">
        <v>0.11</v>
      </c>
      <c r="E556" s="867">
        <v>9.8000000000000004E-2</v>
      </c>
      <c r="F556" s="867">
        <v>0.14299999999999999</v>
      </c>
      <c r="G556" s="867">
        <v>6.0999999999999999E-2</v>
      </c>
      <c r="H556" s="867">
        <v>4.1000000000000002E-2</v>
      </c>
      <c r="I556" s="867">
        <v>5.0999999999999997E-2</v>
      </c>
      <c r="J556" s="867">
        <v>7.2999999999999995E-2</v>
      </c>
    </row>
    <row r="557" spans="2:10">
      <c r="B557" s="53" t="s">
        <v>119</v>
      </c>
      <c r="C557" s="867">
        <v>6.4000000000000001E-2</v>
      </c>
      <c r="D557" s="867">
        <v>5.8000000000000003E-2</v>
      </c>
      <c r="E557" s="867">
        <v>5.1999999999999998E-2</v>
      </c>
      <c r="F557" s="867">
        <v>4.9000000000000002E-2</v>
      </c>
      <c r="G557" s="867">
        <v>4.3999999999999997E-2</v>
      </c>
      <c r="H557" s="867">
        <v>4.1000000000000002E-2</v>
      </c>
      <c r="I557" s="867">
        <v>3.6999999999999998E-2</v>
      </c>
      <c r="J557" s="867">
        <v>3.5000000000000003E-2</v>
      </c>
    </row>
    <row r="558" spans="2:10">
      <c r="B558" s="52" t="s">
        <v>118</v>
      </c>
      <c r="C558" s="321">
        <v>0</v>
      </c>
      <c r="D558" s="321">
        <v>0</v>
      </c>
      <c r="E558" s="321">
        <v>0</v>
      </c>
      <c r="F558" s="321">
        <v>0</v>
      </c>
      <c r="G558" s="321">
        <v>0</v>
      </c>
      <c r="H558" s="321">
        <v>0</v>
      </c>
      <c r="I558" s="321">
        <v>0</v>
      </c>
      <c r="J558" s="321">
        <v>0</v>
      </c>
    </row>
    <row r="559" spans="2:10" ht="15" thickBot="1">
      <c r="B559" s="50" t="s">
        <v>117</v>
      </c>
      <c r="C559" s="321">
        <v>0</v>
      </c>
      <c r="D559" s="321">
        <v>0</v>
      </c>
      <c r="E559" s="321">
        <v>0</v>
      </c>
      <c r="F559" s="321">
        <v>0</v>
      </c>
      <c r="G559" s="321">
        <v>0</v>
      </c>
      <c r="H559" s="321">
        <v>0</v>
      </c>
      <c r="I559" s="321">
        <v>0</v>
      </c>
      <c r="J559" s="321">
        <v>0</v>
      </c>
    </row>
    <row r="560" spans="2:10" ht="15" thickTop="1">
      <c r="B560" s="2025" t="s">
        <v>1842</v>
      </c>
      <c r="C560" s="2025"/>
      <c r="D560" s="2025"/>
      <c r="E560" s="2025"/>
      <c r="F560" s="2025"/>
      <c r="G560" s="2025"/>
      <c r="H560" s="2025"/>
      <c r="I560" s="2025"/>
      <c r="J560" s="2025"/>
    </row>
    <row r="561" spans="2:10">
      <c r="B561" s="64"/>
      <c r="C561" s="302"/>
      <c r="D561" s="302"/>
      <c r="E561" s="302"/>
      <c r="F561" s="302"/>
      <c r="G561" s="302"/>
      <c r="H561" s="302"/>
      <c r="I561" s="302"/>
      <c r="J561" s="302"/>
    </row>
    <row r="562" spans="2:10">
      <c r="B562" s="2100" t="s">
        <v>244</v>
      </c>
      <c r="C562" s="2100"/>
      <c r="D562" s="2100"/>
      <c r="E562" s="2100"/>
      <c r="F562" s="2100"/>
      <c r="G562" s="2100"/>
      <c r="H562" s="2100"/>
      <c r="I562" s="2100"/>
      <c r="J562" s="2100"/>
    </row>
    <row r="563" spans="2:10">
      <c r="B563" s="12" t="s">
        <v>243</v>
      </c>
      <c r="C563" s="302"/>
      <c r="D563" s="302"/>
      <c r="E563" s="302"/>
      <c r="F563" s="302"/>
      <c r="G563" s="302"/>
      <c r="H563" s="302"/>
      <c r="I563" s="302"/>
      <c r="J563" s="302"/>
    </row>
    <row r="564" spans="2:10">
      <c r="B564" s="62" t="s">
        <v>242</v>
      </c>
      <c r="C564" s="302"/>
      <c r="D564" s="302"/>
      <c r="E564" s="302"/>
      <c r="F564" s="302"/>
      <c r="G564" s="302"/>
      <c r="H564" s="302"/>
      <c r="I564" s="302"/>
      <c r="J564" s="302"/>
    </row>
    <row r="565" spans="2:10">
      <c r="B565" s="64"/>
      <c r="C565" s="302"/>
      <c r="D565" s="302"/>
      <c r="E565" s="302"/>
      <c r="F565" s="302"/>
      <c r="G565" s="302"/>
      <c r="H565" s="302"/>
      <c r="I565" s="302"/>
      <c r="J565" s="302"/>
    </row>
    <row r="566" spans="2:10">
      <c r="B566" s="61"/>
      <c r="C566" s="303">
        <v>2014</v>
      </c>
      <c r="D566" s="303">
        <v>2015</v>
      </c>
      <c r="E566" s="303">
        <v>2016</v>
      </c>
      <c r="F566" s="303">
        <v>2017</v>
      </c>
      <c r="G566" s="303">
        <v>2018</v>
      </c>
      <c r="H566" s="303">
        <v>2019</v>
      </c>
      <c r="I566" s="303">
        <v>2020</v>
      </c>
      <c r="J566" s="303">
        <v>2021</v>
      </c>
    </row>
    <row r="567" spans="2:10">
      <c r="B567" s="114" t="s">
        <v>1308</v>
      </c>
      <c r="C567" s="302"/>
      <c r="D567" s="302"/>
      <c r="E567" s="302"/>
      <c r="F567" s="302"/>
      <c r="G567" s="302"/>
      <c r="H567" s="302"/>
      <c r="I567" s="302"/>
      <c r="J567" s="302"/>
    </row>
    <row r="568" spans="2:10" ht="15" thickBot="1">
      <c r="B568" s="71" t="s">
        <v>239</v>
      </c>
      <c r="C568" s="304">
        <v>14911.879838483919</v>
      </c>
      <c r="D568" s="304">
        <v>15098.817768956971</v>
      </c>
      <c r="E568" s="304">
        <v>13622.273649873197</v>
      </c>
      <c r="F568" s="304">
        <v>12633.814780711184</v>
      </c>
      <c r="G568" s="304">
        <v>12464.041982630866</v>
      </c>
      <c r="H568" s="304">
        <v>13696.607672258397</v>
      </c>
      <c r="I568" s="304">
        <v>13016.669404804003</v>
      </c>
      <c r="J568" s="304">
        <v>15257.498219889094</v>
      </c>
    </row>
    <row r="569" spans="2:10" ht="15" thickTop="1">
      <c r="B569" s="2025" t="s">
        <v>1843</v>
      </c>
      <c r="C569" s="2025"/>
      <c r="D569" s="2025"/>
      <c r="E569" s="2025"/>
      <c r="F569" s="2025"/>
      <c r="G569" s="2025"/>
      <c r="H569" s="2025"/>
      <c r="I569" s="2025"/>
      <c r="J569" s="2025"/>
    </row>
    <row r="570" spans="2:10">
      <c r="B570" s="2017"/>
      <c r="C570" s="2017"/>
      <c r="D570" s="2017"/>
      <c r="E570" s="2017"/>
      <c r="F570" s="2017"/>
      <c r="G570" s="2017"/>
      <c r="H570" s="2017"/>
      <c r="I570" s="2017"/>
      <c r="J570" s="2017"/>
    </row>
    <row r="571" spans="2:10">
      <c r="B571" s="64"/>
      <c r="C571" s="302"/>
      <c r="D571" s="302"/>
      <c r="E571" s="302"/>
      <c r="F571" s="302"/>
      <c r="G571" s="302"/>
      <c r="H571" s="302"/>
      <c r="I571" s="302"/>
      <c r="J571" s="302"/>
    </row>
    <row r="572" spans="2:10">
      <c r="B572" s="2100" t="s">
        <v>238</v>
      </c>
      <c r="C572" s="2100"/>
      <c r="D572" s="2100"/>
      <c r="E572" s="2100"/>
      <c r="F572" s="2100"/>
      <c r="G572" s="2100"/>
      <c r="H572" s="2100"/>
      <c r="I572" s="2100"/>
      <c r="J572" s="2100"/>
    </row>
    <row r="573" spans="2:10">
      <c r="B573" s="12" t="s">
        <v>237</v>
      </c>
      <c r="C573" s="302"/>
      <c r="D573" s="302"/>
      <c r="E573" s="302"/>
      <c r="F573" s="302"/>
      <c r="G573" s="302"/>
      <c r="H573" s="302"/>
      <c r="I573" s="302"/>
      <c r="J573" s="302"/>
    </row>
    <row r="574" spans="2:10">
      <c r="B574" s="62" t="s">
        <v>236</v>
      </c>
      <c r="C574" s="302"/>
      <c r="D574" s="302"/>
      <c r="E574" s="302"/>
      <c r="F574" s="302"/>
      <c r="G574" s="302"/>
      <c r="H574" s="302"/>
      <c r="I574" s="302"/>
      <c r="J574" s="302"/>
    </row>
    <row r="575" spans="2:10">
      <c r="B575" s="64"/>
      <c r="C575" s="302"/>
      <c r="D575" s="302"/>
      <c r="E575" s="302"/>
      <c r="F575" s="302"/>
      <c r="G575" s="302"/>
      <c r="H575" s="302"/>
      <c r="I575" s="302"/>
      <c r="J575" s="302"/>
    </row>
    <row r="576" spans="2:10">
      <c r="B576" s="61"/>
      <c r="C576" s="303">
        <v>2014</v>
      </c>
      <c r="D576" s="303">
        <v>2015</v>
      </c>
      <c r="E576" s="303">
        <v>2016</v>
      </c>
      <c r="F576" s="303">
        <v>2017</v>
      </c>
      <c r="G576" s="303">
        <v>2018</v>
      </c>
      <c r="H576" s="303">
        <v>2019</v>
      </c>
      <c r="I576" s="303">
        <v>2020</v>
      </c>
      <c r="J576" s="303">
        <v>2021</v>
      </c>
    </row>
    <row r="577" spans="2:10">
      <c r="B577" s="59" t="s">
        <v>1308</v>
      </c>
      <c r="C577" s="302"/>
      <c r="D577" s="302"/>
      <c r="E577" s="302"/>
      <c r="F577" s="302"/>
      <c r="G577" s="302"/>
      <c r="H577" s="302"/>
      <c r="I577" s="302"/>
      <c r="J577" s="302"/>
    </row>
    <row r="578" spans="2:10">
      <c r="B578" s="71" t="s">
        <v>231</v>
      </c>
      <c r="C578" s="306">
        <v>13.89</v>
      </c>
      <c r="D578" s="306">
        <v>12.55</v>
      </c>
      <c r="E578" s="306">
        <v>11.92</v>
      </c>
      <c r="F578" s="306">
        <v>12.52</v>
      </c>
      <c r="G578" s="306">
        <v>13.92</v>
      </c>
      <c r="H578" s="306">
        <v>14.67</v>
      </c>
      <c r="I578" s="306">
        <v>14.15</v>
      </c>
      <c r="J578" s="306">
        <v>17.501999999999999</v>
      </c>
    </row>
    <row r="579" spans="2:10">
      <c r="B579" s="52" t="s">
        <v>121</v>
      </c>
      <c r="C579" s="306">
        <v>0.15</v>
      </c>
      <c r="D579" s="306">
        <v>0.06</v>
      </c>
      <c r="E579" s="306">
        <v>0.24</v>
      </c>
      <c r="F579" s="306">
        <v>0.22</v>
      </c>
      <c r="G579" s="306">
        <v>0.44</v>
      </c>
      <c r="H579" s="306">
        <v>0.77</v>
      </c>
      <c r="I579" s="306">
        <v>0.85</v>
      </c>
      <c r="J579" s="306">
        <v>0.95300000000000007</v>
      </c>
    </row>
    <row r="580" spans="2:10">
      <c r="B580" s="53" t="s">
        <v>120</v>
      </c>
      <c r="C580" s="306">
        <v>0</v>
      </c>
      <c r="D580" s="306">
        <v>2.8000000000000001E-2</v>
      </c>
      <c r="E580" s="306">
        <v>8.5999999999999993E-2</v>
      </c>
      <c r="F580" s="306">
        <v>0.10199999999999999</v>
      </c>
      <c r="G580" s="306">
        <v>0.35399999999999998</v>
      </c>
      <c r="H580" s="306">
        <v>0.59899999999999998</v>
      </c>
      <c r="I580" s="306">
        <v>0.7</v>
      </c>
      <c r="J580" s="306">
        <v>0.67500000000000004</v>
      </c>
    </row>
    <row r="581" spans="2:10">
      <c r="B581" s="53" t="s">
        <v>119</v>
      </c>
      <c r="C581" s="306">
        <v>0.14899999999999999</v>
      </c>
      <c r="D581" s="306">
        <v>3.1E-2</v>
      </c>
      <c r="E581" s="306">
        <v>0.155</v>
      </c>
      <c r="F581" s="306">
        <v>0.114</v>
      </c>
      <c r="G581" s="306">
        <v>8.2000000000000003E-2</v>
      </c>
      <c r="H581" s="306">
        <v>0.17299999999999999</v>
      </c>
      <c r="I581" s="306">
        <v>0.153</v>
      </c>
      <c r="J581" s="306">
        <v>0.27800000000000002</v>
      </c>
    </row>
    <row r="582" spans="2:10">
      <c r="B582" s="52" t="s">
        <v>118</v>
      </c>
      <c r="C582" s="306">
        <v>11.643000000000001</v>
      </c>
      <c r="D582" s="306">
        <v>11.01</v>
      </c>
      <c r="E582" s="306">
        <v>10.523</v>
      </c>
      <c r="F582" s="306">
        <v>11.221</v>
      </c>
      <c r="G582" s="306">
        <v>11.724</v>
      </c>
      <c r="H582" s="306">
        <v>12.109</v>
      </c>
      <c r="I582" s="306">
        <v>11.712999999999999</v>
      </c>
      <c r="J582" s="306">
        <v>15.015000000000001</v>
      </c>
    </row>
    <row r="583" spans="2:10">
      <c r="B583" s="52" t="s">
        <v>117</v>
      </c>
      <c r="C583" s="306">
        <v>2.101</v>
      </c>
      <c r="D583" s="306">
        <v>1.476</v>
      </c>
      <c r="E583" s="306">
        <v>1.1579999999999999</v>
      </c>
      <c r="F583" s="306">
        <v>1.087</v>
      </c>
      <c r="G583" s="306">
        <v>1.76</v>
      </c>
      <c r="H583" s="306">
        <v>1.7849999999999999</v>
      </c>
      <c r="I583" s="306">
        <v>1.585</v>
      </c>
      <c r="J583" s="306">
        <v>1.534</v>
      </c>
    </row>
    <row r="584" spans="2:10">
      <c r="B584" s="52"/>
      <c r="C584" s="307"/>
      <c r="D584" s="307"/>
      <c r="E584" s="307"/>
      <c r="F584" s="307"/>
      <c r="G584" s="307"/>
      <c r="H584" s="307"/>
      <c r="I584" s="307"/>
      <c r="J584" s="307"/>
    </row>
    <row r="585" spans="2:10">
      <c r="B585" s="71" t="s">
        <v>230</v>
      </c>
      <c r="C585" s="321">
        <v>0</v>
      </c>
      <c r="D585" s="321">
        <v>0</v>
      </c>
      <c r="E585" s="321">
        <v>0</v>
      </c>
      <c r="F585" s="321">
        <v>0</v>
      </c>
      <c r="G585" s="307">
        <v>0</v>
      </c>
      <c r="H585" s="307">
        <v>0</v>
      </c>
      <c r="I585" s="307">
        <v>0</v>
      </c>
      <c r="J585" s="307">
        <v>0</v>
      </c>
    </row>
    <row r="586" spans="2:10">
      <c r="B586" s="52" t="s">
        <v>169</v>
      </c>
      <c r="C586" s="321">
        <v>0</v>
      </c>
      <c r="D586" s="321">
        <v>0</v>
      </c>
      <c r="E586" s="321">
        <v>0</v>
      </c>
      <c r="F586" s="321">
        <v>0</v>
      </c>
      <c r="G586" s="307">
        <v>0</v>
      </c>
      <c r="H586" s="307">
        <v>0</v>
      </c>
      <c r="I586" s="307">
        <v>0</v>
      </c>
      <c r="J586" s="307">
        <v>0</v>
      </c>
    </row>
    <row r="587" spans="2:10">
      <c r="B587" s="52" t="s">
        <v>168</v>
      </c>
      <c r="C587" s="321">
        <v>0</v>
      </c>
      <c r="D587" s="321">
        <v>0</v>
      </c>
      <c r="E587" s="321">
        <v>0</v>
      </c>
      <c r="F587" s="321">
        <v>0</v>
      </c>
      <c r="G587" s="307">
        <v>0</v>
      </c>
      <c r="H587" s="307">
        <v>0</v>
      </c>
      <c r="I587" s="307">
        <v>0</v>
      </c>
      <c r="J587" s="307">
        <v>0</v>
      </c>
    </row>
    <row r="588" spans="2:10">
      <c r="B588" s="52" t="s">
        <v>167</v>
      </c>
      <c r="C588" s="321">
        <v>0</v>
      </c>
      <c r="D588" s="321">
        <v>0</v>
      </c>
      <c r="E588" s="321">
        <v>0</v>
      </c>
      <c r="F588" s="321">
        <v>0</v>
      </c>
      <c r="G588" s="307">
        <v>0</v>
      </c>
      <c r="H588" s="307">
        <v>0</v>
      </c>
      <c r="I588" s="307">
        <v>0</v>
      </c>
      <c r="J588" s="307">
        <v>0</v>
      </c>
    </row>
    <row r="589" spans="2:10">
      <c r="B589" s="52" t="s">
        <v>166</v>
      </c>
      <c r="C589" s="321">
        <v>0</v>
      </c>
      <c r="D589" s="321">
        <v>0</v>
      </c>
      <c r="E589" s="321">
        <v>0</v>
      </c>
      <c r="F589" s="321">
        <v>0</v>
      </c>
      <c r="G589" s="307">
        <v>0</v>
      </c>
      <c r="H589" s="307">
        <v>0</v>
      </c>
      <c r="I589" s="307">
        <v>0</v>
      </c>
      <c r="J589" s="307">
        <v>0</v>
      </c>
    </row>
    <row r="590" spans="2:10">
      <c r="B590" s="52" t="s">
        <v>165</v>
      </c>
      <c r="C590" s="321">
        <v>0</v>
      </c>
      <c r="D590" s="321">
        <v>0</v>
      </c>
      <c r="E590" s="321">
        <v>0</v>
      </c>
      <c r="F590" s="321">
        <v>0</v>
      </c>
      <c r="G590" s="307">
        <v>0</v>
      </c>
      <c r="H590" s="307">
        <v>0</v>
      </c>
      <c r="I590" s="307">
        <v>0</v>
      </c>
      <c r="J590" s="307">
        <v>0</v>
      </c>
    </row>
    <row r="591" spans="2:10">
      <c r="B591" s="52" t="s">
        <v>164</v>
      </c>
      <c r="C591" s="321">
        <v>0</v>
      </c>
      <c r="D591" s="321">
        <v>0</v>
      </c>
      <c r="E591" s="321">
        <v>0</v>
      </c>
      <c r="F591" s="321">
        <v>0</v>
      </c>
      <c r="G591" s="307">
        <v>0</v>
      </c>
      <c r="H591" s="307">
        <v>0</v>
      </c>
      <c r="I591" s="307">
        <v>0</v>
      </c>
      <c r="J591" s="307">
        <v>0</v>
      </c>
    </row>
    <row r="592" spans="2:10">
      <c r="B592" s="71"/>
      <c r="C592" s="307"/>
      <c r="D592" s="307"/>
      <c r="E592" s="307"/>
      <c r="F592" s="307"/>
      <c r="G592" s="307"/>
      <c r="H592" s="307"/>
      <c r="I592" s="307"/>
      <c r="J592" s="307"/>
    </row>
    <row r="593" spans="2:10">
      <c r="B593" s="59" t="s">
        <v>1309</v>
      </c>
      <c r="C593" s="307"/>
      <c r="D593" s="307"/>
      <c r="E593" s="307"/>
      <c r="F593" s="307"/>
      <c r="G593" s="307"/>
      <c r="H593" s="307"/>
      <c r="I593" s="307"/>
      <c r="J593" s="307"/>
    </row>
    <row r="594" spans="2:10">
      <c r="B594" s="71" t="s">
        <v>231</v>
      </c>
      <c r="C594" s="306">
        <v>0</v>
      </c>
      <c r="D594" s="306">
        <v>1.1399999999999999</v>
      </c>
      <c r="E594" s="306">
        <v>1.8160000000000001</v>
      </c>
      <c r="F594" s="306">
        <v>1.5</v>
      </c>
      <c r="G594" s="306">
        <v>1.774</v>
      </c>
      <c r="H594" s="1345">
        <v>1.548</v>
      </c>
      <c r="I594" s="306">
        <v>1.26</v>
      </c>
      <c r="J594" s="306">
        <v>0.71199999999999997</v>
      </c>
    </row>
    <row r="595" spans="2:10">
      <c r="B595" s="52" t="s">
        <v>121</v>
      </c>
      <c r="C595" s="306">
        <v>0</v>
      </c>
      <c r="D595" s="306">
        <v>1.1399999999999999</v>
      </c>
      <c r="E595" s="306">
        <v>1.8160000000000001</v>
      </c>
      <c r="F595" s="306">
        <v>1.5</v>
      </c>
      <c r="G595" s="306">
        <v>1.774</v>
      </c>
      <c r="H595" s="1345">
        <v>1.548</v>
      </c>
      <c r="I595" s="306">
        <v>1.26</v>
      </c>
      <c r="J595" s="306">
        <v>0.71199999999999997</v>
      </c>
    </row>
    <row r="596" spans="2:10">
      <c r="B596" s="53" t="s">
        <v>120</v>
      </c>
      <c r="C596" s="306">
        <v>0</v>
      </c>
      <c r="D596" s="306">
        <v>1.137</v>
      </c>
      <c r="E596" s="306">
        <v>1.2210000000000001</v>
      </c>
      <c r="F596" s="306">
        <v>1.1459999999999999</v>
      </c>
      <c r="G596" s="306">
        <v>1.514</v>
      </c>
      <c r="H596" s="1345">
        <v>1.3440000000000001</v>
      </c>
      <c r="I596" s="306">
        <v>0.81699999999999995</v>
      </c>
      <c r="J596" s="306">
        <v>0.68200000000000005</v>
      </c>
    </row>
    <row r="597" spans="2:10">
      <c r="B597" s="53" t="s">
        <v>119</v>
      </c>
      <c r="C597" s="306">
        <v>0</v>
      </c>
      <c r="D597" s="306">
        <v>3.0000000000000001E-3</v>
      </c>
      <c r="E597" s="306">
        <v>0.59499999999999997</v>
      </c>
      <c r="F597" s="306">
        <v>0.35399999999999998</v>
      </c>
      <c r="G597" s="306">
        <v>0.26</v>
      </c>
      <c r="H597" s="306">
        <v>0.20399999999999999</v>
      </c>
      <c r="I597" s="306">
        <v>0.443</v>
      </c>
      <c r="J597" s="306">
        <v>2.1999999999999999E-2</v>
      </c>
    </row>
    <row r="598" spans="2:10">
      <c r="B598" s="52" t="s">
        <v>118</v>
      </c>
      <c r="C598" s="307">
        <v>0</v>
      </c>
      <c r="D598" s="307">
        <v>0</v>
      </c>
      <c r="E598" s="307">
        <v>0</v>
      </c>
      <c r="F598" s="307">
        <v>0</v>
      </c>
      <c r="G598" s="307">
        <v>0</v>
      </c>
      <c r="H598" s="307">
        <v>0</v>
      </c>
      <c r="I598" s="307">
        <v>0</v>
      </c>
      <c r="J598" s="307">
        <v>0</v>
      </c>
    </row>
    <row r="599" spans="2:10">
      <c r="B599" s="52" t="s">
        <v>117</v>
      </c>
      <c r="C599" s="307">
        <v>0</v>
      </c>
      <c r="D599" s="307">
        <v>0</v>
      </c>
      <c r="E599" s="307">
        <v>0</v>
      </c>
      <c r="F599" s="307">
        <v>0</v>
      </c>
      <c r="G599" s="307">
        <v>0</v>
      </c>
      <c r="H599" s="307">
        <v>0</v>
      </c>
      <c r="I599" s="307">
        <v>0</v>
      </c>
      <c r="J599" s="307">
        <v>0</v>
      </c>
    </row>
    <row r="600" spans="2:10">
      <c r="B600" s="52"/>
      <c r="C600" s="307"/>
      <c r="D600" s="307"/>
      <c r="E600" s="307"/>
      <c r="F600" s="307"/>
      <c r="G600" s="307"/>
      <c r="H600" s="307"/>
      <c r="I600" s="307"/>
      <c r="J600" s="307"/>
    </row>
    <row r="601" spans="2:10">
      <c r="B601" s="71" t="s">
        <v>230</v>
      </c>
      <c r="C601" s="307"/>
      <c r="D601" s="307"/>
      <c r="E601" s="307"/>
      <c r="F601" s="307"/>
      <c r="G601" s="307"/>
      <c r="H601" s="307"/>
      <c r="I601" s="307"/>
      <c r="J601" s="307"/>
    </row>
    <row r="602" spans="2:10">
      <c r="B602" s="52" t="s">
        <v>169</v>
      </c>
      <c r="C602" s="307">
        <v>0</v>
      </c>
      <c r="D602" s="307">
        <v>0</v>
      </c>
      <c r="E602" s="307">
        <v>0</v>
      </c>
      <c r="F602" s="307">
        <v>0</v>
      </c>
      <c r="G602" s="307">
        <v>0</v>
      </c>
      <c r="H602" s="307">
        <v>0</v>
      </c>
      <c r="I602" s="307">
        <v>0</v>
      </c>
      <c r="J602" s="307">
        <v>0</v>
      </c>
    </row>
    <row r="603" spans="2:10">
      <c r="B603" s="52" t="s">
        <v>168</v>
      </c>
      <c r="C603" s="307">
        <v>0</v>
      </c>
      <c r="D603" s="307">
        <v>0</v>
      </c>
      <c r="E603" s="307">
        <v>0</v>
      </c>
      <c r="F603" s="307">
        <v>0</v>
      </c>
      <c r="G603" s="307">
        <v>0</v>
      </c>
      <c r="H603" s="307">
        <v>0</v>
      </c>
      <c r="I603" s="307">
        <v>0</v>
      </c>
      <c r="J603" s="307">
        <v>0</v>
      </c>
    </row>
    <row r="604" spans="2:10">
      <c r="B604" s="52" t="s">
        <v>167</v>
      </c>
      <c r="C604" s="307">
        <v>0</v>
      </c>
      <c r="D604" s="307">
        <v>0</v>
      </c>
      <c r="E604" s="307">
        <v>0</v>
      </c>
      <c r="F604" s="307">
        <v>0</v>
      </c>
      <c r="G604" s="307">
        <v>0</v>
      </c>
      <c r="H604" s="307">
        <v>0</v>
      </c>
      <c r="I604" s="307">
        <v>0</v>
      </c>
      <c r="J604" s="307">
        <v>0</v>
      </c>
    </row>
    <row r="605" spans="2:10">
      <c r="B605" s="52" t="s">
        <v>166</v>
      </c>
      <c r="C605" s="307">
        <v>0</v>
      </c>
      <c r="D605" s="307">
        <v>0</v>
      </c>
      <c r="E605" s="307">
        <v>0</v>
      </c>
      <c r="F605" s="307">
        <v>0</v>
      </c>
      <c r="G605" s="307">
        <v>0</v>
      </c>
      <c r="H605" s="307">
        <v>0</v>
      </c>
      <c r="I605" s="307">
        <v>0</v>
      </c>
      <c r="J605" s="307">
        <v>0</v>
      </c>
    </row>
    <row r="606" spans="2:10">
      <c r="B606" s="52" t="s">
        <v>165</v>
      </c>
      <c r="C606" s="307">
        <v>0</v>
      </c>
      <c r="D606" s="307">
        <v>0</v>
      </c>
      <c r="E606" s="307">
        <v>0</v>
      </c>
      <c r="F606" s="307">
        <v>0</v>
      </c>
      <c r="G606" s="307">
        <v>0</v>
      </c>
      <c r="H606" s="307">
        <v>0</v>
      </c>
      <c r="I606" s="307">
        <v>0</v>
      </c>
      <c r="J606" s="307">
        <v>0</v>
      </c>
    </row>
    <row r="607" spans="2:10" ht="15" thickBot="1">
      <c r="B607" s="50" t="s">
        <v>164</v>
      </c>
      <c r="C607" s="857">
        <v>0</v>
      </c>
      <c r="D607" s="857">
        <v>0</v>
      </c>
      <c r="E607" s="857">
        <v>0</v>
      </c>
      <c r="F607" s="857">
        <v>0</v>
      </c>
      <c r="G607" s="857">
        <v>0</v>
      </c>
      <c r="H607" s="857">
        <v>0</v>
      </c>
      <c r="I607" s="857">
        <v>0</v>
      </c>
      <c r="J607" s="857">
        <v>0</v>
      </c>
    </row>
    <row r="608" spans="2:10" ht="15" thickTop="1">
      <c r="B608" s="2025" t="s">
        <v>1844</v>
      </c>
      <c r="C608" s="2025"/>
      <c r="D608" s="2025"/>
      <c r="E608" s="2025"/>
      <c r="F608" s="2025"/>
      <c r="G608" s="2025"/>
      <c r="H608" s="2025"/>
      <c r="I608" s="2025"/>
      <c r="J608" s="2025"/>
    </row>
    <row r="609" spans="2:10">
      <c r="B609" s="64"/>
      <c r="C609" s="302"/>
      <c r="D609" s="302"/>
      <c r="E609" s="302"/>
      <c r="F609" s="302"/>
      <c r="G609" s="302"/>
      <c r="H609" s="302"/>
      <c r="I609" s="302"/>
      <c r="J609" s="302"/>
    </row>
    <row r="610" spans="2:10">
      <c r="B610" s="2100" t="s">
        <v>228</v>
      </c>
      <c r="C610" s="2100"/>
      <c r="D610" s="2100"/>
      <c r="E610" s="2100"/>
      <c r="F610" s="2100"/>
      <c r="G610" s="2100"/>
      <c r="H610" s="2100"/>
      <c r="I610" s="2100"/>
      <c r="J610" s="2100"/>
    </row>
    <row r="611" spans="2:10">
      <c r="B611" s="12" t="s">
        <v>227</v>
      </c>
      <c r="C611" s="302"/>
      <c r="D611" s="302"/>
      <c r="E611" s="302"/>
      <c r="F611" s="302"/>
      <c r="G611" s="302"/>
      <c r="H611" s="302"/>
      <c r="I611" s="302"/>
      <c r="J611" s="302"/>
    </row>
    <row r="612" spans="2:10">
      <c r="B612" s="62" t="s">
        <v>1845</v>
      </c>
      <c r="C612" s="302"/>
      <c r="D612" s="302"/>
      <c r="E612" s="302"/>
      <c r="F612" s="302"/>
      <c r="G612" s="302"/>
      <c r="H612" s="302"/>
      <c r="I612" s="302"/>
      <c r="J612" s="302"/>
    </row>
    <row r="613" spans="2:10">
      <c r="B613" s="62"/>
      <c r="C613" s="302"/>
      <c r="D613" s="302"/>
      <c r="E613" s="302"/>
      <c r="F613" s="302"/>
      <c r="G613" s="302"/>
      <c r="H613" s="302"/>
      <c r="I613" s="302"/>
      <c r="J613" s="302"/>
    </row>
    <row r="614" spans="2:10">
      <c r="B614" s="61"/>
      <c r="C614" s="303">
        <v>2014</v>
      </c>
      <c r="D614" s="303">
        <v>2015</v>
      </c>
      <c r="E614" s="303">
        <v>2016</v>
      </c>
      <c r="F614" s="303">
        <v>2017</v>
      </c>
      <c r="G614" s="303">
        <v>2018</v>
      </c>
      <c r="H614" s="303">
        <v>2019</v>
      </c>
      <c r="I614" s="303">
        <v>2020</v>
      </c>
      <c r="J614" s="303">
        <v>2021</v>
      </c>
    </row>
    <row r="615" spans="2:10">
      <c r="B615" s="59" t="s">
        <v>1308</v>
      </c>
      <c r="C615" s="302"/>
      <c r="D615" s="302"/>
      <c r="E615" s="302"/>
      <c r="F615" s="302"/>
      <c r="G615" s="302"/>
      <c r="H615" s="302"/>
      <c r="I615" s="302"/>
      <c r="J615" s="302"/>
    </row>
    <row r="616" spans="2:10">
      <c r="B616" s="71" t="s">
        <v>222</v>
      </c>
      <c r="C616" s="306">
        <v>371.37299999999999</v>
      </c>
      <c r="D616" s="306">
        <v>661.52599999999995</v>
      </c>
      <c r="E616" s="306">
        <v>699.68499999999995</v>
      </c>
      <c r="F616" s="306">
        <v>649.524</v>
      </c>
      <c r="G616" s="306">
        <v>597.822</v>
      </c>
      <c r="H616" s="306">
        <v>762.13099999999997</v>
      </c>
      <c r="I616" s="306">
        <v>539.70600000000002</v>
      </c>
      <c r="J616" s="306">
        <v>749.48907436334628</v>
      </c>
    </row>
    <row r="617" spans="2:10">
      <c r="B617" s="52" t="s">
        <v>121</v>
      </c>
      <c r="C617" s="306">
        <v>142.36099999999999</v>
      </c>
      <c r="D617" s="306">
        <v>425.44499999999999</v>
      </c>
      <c r="E617" s="306">
        <v>524.34900000000005</v>
      </c>
      <c r="F617" s="306">
        <v>476.78500000000003</v>
      </c>
      <c r="G617" s="306">
        <v>405.10899999999998</v>
      </c>
      <c r="H617" s="306">
        <v>567.76400000000001</v>
      </c>
      <c r="I617" s="306">
        <v>353.62900000000002</v>
      </c>
      <c r="J617" s="306">
        <v>538.47363836778254</v>
      </c>
    </row>
    <row r="618" spans="2:10">
      <c r="B618" s="53" t="s">
        <v>120</v>
      </c>
      <c r="C618" s="306">
        <v>0</v>
      </c>
      <c r="D618" s="306">
        <v>414.18099999999998</v>
      </c>
      <c r="E618" s="306">
        <v>265.09199999999998</v>
      </c>
      <c r="F618" s="306">
        <v>330.779</v>
      </c>
      <c r="G618" s="306">
        <v>351.11099999999999</v>
      </c>
      <c r="H618" s="306">
        <v>537.56500000000005</v>
      </c>
      <c r="I618" s="306">
        <v>284.96499999999997</v>
      </c>
      <c r="J618" s="306">
        <v>506.95659585391934</v>
      </c>
    </row>
    <row r="619" spans="2:10">
      <c r="B619" s="53" t="s">
        <v>119</v>
      </c>
      <c r="C619" s="306">
        <v>142.36099999999999</v>
      </c>
      <c r="D619" s="306">
        <v>11.263999999999999</v>
      </c>
      <c r="E619" s="306">
        <v>259.25700000000001</v>
      </c>
      <c r="F619" s="306">
        <v>146.005</v>
      </c>
      <c r="G619" s="306">
        <v>53.997999999999998</v>
      </c>
      <c r="H619" s="306">
        <v>30.199000000000002</v>
      </c>
      <c r="I619" s="306">
        <v>68.664000000000001</v>
      </c>
      <c r="J619" s="306">
        <v>31.517042513863213</v>
      </c>
    </row>
    <row r="620" spans="2:10">
      <c r="B620" s="52" t="s">
        <v>118</v>
      </c>
      <c r="C620" s="306">
        <v>174.74100000000001</v>
      </c>
      <c r="D620" s="306">
        <v>181.52699999999999</v>
      </c>
      <c r="E620" s="306">
        <v>143.279</v>
      </c>
      <c r="F620" s="306">
        <v>151.721</v>
      </c>
      <c r="G620" s="306">
        <v>169.96700000000001</v>
      </c>
      <c r="H620" s="306">
        <v>163.214</v>
      </c>
      <c r="I620" s="306">
        <v>154.536</v>
      </c>
      <c r="J620" s="306">
        <v>194.46225677042511</v>
      </c>
    </row>
    <row r="621" spans="2:10">
      <c r="B621" s="52" t="s">
        <v>117</v>
      </c>
      <c r="C621" s="306">
        <v>45.585999999999999</v>
      </c>
      <c r="D621" s="306">
        <v>54.555</v>
      </c>
      <c r="E621" s="306">
        <v>32.057000000000002</v>
      </c>
      <c r="F621" s="306">
        <v>21.018999999999998</v>
      </c>
      <c r="G621" s="306">
        <v>22.745000000000001</v>
      </c>
      <c r="H621" s="306">
        <v>31.152000000000001</v>
      </c>
      <c r="I621" s="306">
        <v>31.541</v>
      </c>
      <c r="J621" s="306">
        <v>16.553179225138631</v>
      </c>
    </row>
    <row r="622" spans="2:10">
      <c r="B622" s="52"/>
      <c r="C622" s="307"/>
      <c r="D622" s="307"/>
      <c r="E622" s="307"/>
      <c r="F622" s="307"/>
      <c r="G622" s="307"/>
      <c r="H622" s="307"/>
      <c r="I622" s="307"/>
      <c r="J622" s="307"/>
    </row>
    <row r="623" spans="2:10">
      <c r="B623" s="71" t="s">
        <v>221</v>
      </c>
      <c r="C623" s="307">
        <v>0</v>
      </c>
      <c r="D623" s="307">
        <v>0</v>
      </c>
      <c r="E623" s="307">
        <v>0</v>
      </c>
      <c r="F623" s="307">
        <v>0</v>
      </c>
      <c r="G623" s="307">
        <v>0</v>
      </c>
      <c r="H623" s="307">
        <v>0</v>
      </c>
      <c r="I623" s="307">
        <v>0</v>
      </c>
      <c r="J623" s="307">
        <v>0</v>
      </c>
    </row>
    <row r="624" spans="2:10">
      <c r="B624" s="52" t="s">
        <v>169</v>
      </c>
      <c r="C624" s="307">
        <v>0</v>
      </c>
      <c r="D624" s="307">
        <v>0</v>
      </c>
      <c r="E624" s="307">
        <v>0</v>
      </c>
      <c r="F624" s="307">
        <v>0</v>
      </c>
      <c r="G624" s="307">
        <v>0</v>
      </c>
      <c r="H624" s="307">
        <v>0</v>
      </c>
      <c r="I624" s="307">
        <v>0</v>
      </c>
      <c r="J624" s="307">
        <v>0</v>
      </c>
    </row>
    <row r="625" spans="2:10">
      <c r="B625" s="52" t="s">
        <v>168</v>
      </c>
      <c r="C625" s="307">
        <v>0</v>
      </c>
      <c r="D625" s="307">
        <v>0</v>
      </c>
      <c r="E625" s="307">
        <v>0</v>
      </c>
      <c r="F625" s="307">
        <v>0</v>
      </c>
      <c r="G625" s="307">
        <v>0</v>
      </c>
      <c r="H625" s="307">
        <v>0</v>
      </c>
      <c r="I625" s="307">
        <v>0</v>
      </c>
      <c r="J625" s="307">
        <v>0</v>
      </c>
    </row>
    <row r="626" spans="2:10">
      <c r="B626" s="52" t="s">
        <v>167</v>
      </c>
      <c r="C626" s="307">
        <v>0</v>
      </c>
      <c r="D626" s="307">
        <v>0</v>
      </c>
      <c r="E626" s="307">
        <v>0</v>
      </c>
      <c r="F626" s="307">
        <v>0</v>
      </c>
      <c r="G626" s="307">
        <v>0</v>
      </c>
      <c r="H626" s="307">
        <v>0</v>
      </c>
      <c r="I626" s="307">
        <v>0</v>
      </c>
      <c r="J626" s="307">
        <v>0</v>
      </c>
    </row>
    <row r="627" spans="2:10">
      <c r="B627" s="52" t="s">
        <v>166</v>
      </c>
      <c r="C627" s="307">
        <v>0</v>
      </c>
      <c r="D627" s="307">
        <v>0</v>
      </c>
      <c r="E627" s="307">
        <v>0</v>
      </c>
      <c r="F627" s="307">
        <v>0</v>
      </c>
      <c r="G627" s="307">
        <v>0</v>
      </c>
      <c r="H627" s="307">
        <v>0</v>
      </c>
      <c r="I627" s="307">
        <v>0</v>
      </c>
      <c r="J627" s="307">
        <v>0</v>
      </c>
    </row>
    <row r="628" spans="2:10">
      <c r="B628" s="52" t="s">
        <v>165</v>
      </c>
      <c r="C628" s="307">
        <v>0</v>
      </c>
      <c r="D628" s="307">
        <v>0</v>
      </c>
      <c r="E628" s="307">
        <v>0</v>
      </c>
      <c r="F628" s="307">
        <v>0</v>
      </c>
      <c r="G628" s="307">
        <v>0</v>
      </c>
      <c r="H628" s="307">
        <v>0</v>
      </c>
      <c r="I628" s="307">
        <v>0</v>
      </c>
      <c r="J628" s="307">
        <v>0</v>
      </c>
    </row>
    <row r="629" spans="2:10">
      <c r="B629" s="52" t="s">
        <v>164</v>
      </c>
      <c r="C629" s="307">
        <v>0</v>
      </c>
      <c r="D629" s="307">
        <v>0</v>
      </c>
      <c r="E629" s="307">
        <v>0</v>
      </c>
      <c r="F629" s="307">
        <v>0</v>
      </c>
      <c r="G629" s="307">
        <v>0</v>
      </c>
      <c r="H629" s="307">
        <v>0</v>
      </c>
      <c r="I629" s="307">
        <v>0</v>
      </c>
      <c r="J629" s="307">
        <v>0</v>
      </c>
    </row>
    <row r="630" spans="2:10">
      <c r="B630" s="71"/>
      <c r="C630" s="307"/>
      <c r="D630" s="307"/>
      <c r="E630" s="307"/>
      <c r="F630" s="307"/>
      <c r="G630" s="307"/>
      <c r="H630" s="307"/>
      <c r="I630" s="307"/>
      <c r="J630" s="307"/>
    </row>
    <row r="631" spans="2:10">
      <c r="B631" s="59" t="s">
        <v>1309</v>
      </c>
      <c r="C631" s="307"/>
      <c r="D631" s="307"/>
      <c r="E631" s="307"/>
      <c r="F631" s="307"/>
      <c r="G631" s="307"/>
      <c r="H631" s="307"/>
      <c r="I631" s="307"/>
      <c r="J631" s="307"/>
    </row>
    <row r="632" spans="2:10">
      <c r="B632" s="71" t="s">
        <v>222</v>
      </c>
      <c r="C632" s="306">
        <v>0</v>
      </c>
      <c r="D632" s="306">
        <v>4794.3237485766085</v>
      </c>
      <c r="E632" s="306">
        <v>4863.3577265534877</v>
      </c>
      <c r="F632" s="306">
        <v>3869.5972889241871</v>
      </c>
      <c r="G632" s="306">
        <v>6222.0575461479038</v>
      </c>
      <c r="H632" s="306">
        <v>3989.8190643072458</v>
      </c>
      <c r="I632" s="306">
        <v>3357.1203651732039</v>
      </c>
      <c r="J632" s="306">
        <v>2962.8376620051645</v>
      </c>
    </row>
    <row r="633" spans="2:10">
      <c r="B633" s="52" t="s">
        <v>121</v>
      </c>
      <c r="C633" s="306">
        <v>0</v>
      </c>
      <c r="D633" s="306">
        <v>4794.3237485766085</v>
      </c>
      <c r="E633" s="306">
        <v>4863.3577265534877</v>
      </c>
      <c r="F633" s="306">
        <v>3869.5972889241871</v>
      </c>
      <c r="G633" s="306">
        <v>6222.0575461479038</v>
      </c>
      <c r="H633" s="306">
        <v>3989.8190643072458</v>
      </c>
      <c r="I633" s="306">
        <v>3357.1203651732039</v>
      </c>
      <c r="J633" s="306">
        <v>2962.8376620051645</v>
      </c>
    </row>
    <row r="634" spans="2:10">
      <c r="B634" s="53" t="s">
        <v>120</v>
      </c>
      <c r="C634" s="306">
        <v>0</v>
      </c>
      <c r="D634" s="306">
        <v>4788.8151169443145</v>
      </c>
      <c r="E634" s="306">
        <v>4298.708217027006</v>
      </c>
      <c r="F634" s="306">
        <v>3710.1048220264252</v>
      </c>
      <c r="G634" s="306">
        <v>5878.4874093103745</v>
      </c>
      <c r="H634" s="306">
        <v>3674.6745838399129</v>
      </c>
      <c r="I634" s="306">
        <v>2239.1772598647385</v>
      </c>
      <c r="J634" s="306">
        <v>2891.9440126904783</v>
      </c>
    </row>
    <row r="635" spans="2:10">
      <c r="B635" s="53" t="s">
        <v>119</v>
      </c>
      <c r="C635" s="306">
        <v>0</v>
      </c>
      <c r="D635" s="306">
        <v>5.5086316322941169</v>
      </c>
      <c r="E635" s="306">
        <v>564.64950952648178</v>
      </c>
      <c r="F635" s="306">
        <v>159.49246689776197</v>
      </c>
      <c r="G635" s="306">
        <v>343.57013683752967</v>
      </c>
      <c r="H635" s="306">
        <v>315.14448046733276</v>
      </c>
      <c r="I635" s="306">
        <v>1117.9431053084656</v>
      </c>
      <c r="J635" s="306">
        <v>70.893649314685746</v>
      </c>
    </row>
    <row r="636" spans="2:10">
      <c r="B636" s="52" t="s">
        <v>118</v>
      </c>
      <c r="C636" s="307">
        <v>0</v>
      </c>
      <c r="D636" s="307">
        <v>0</v>
      </c>
      <c r="E636" s="307">
        <v>0</v>
      </c>
      <c r="F636" s="307">
        <v>0</v>
      </c>
      <c r="G636" s="307">
        <v>0</v>
      </c>
      <c r="H636" s="307">
        <v>0</v>
      </c>
      <c r="I636" s="307">
        <v>0</v>
      </c>
      <c r="J636" s="307">
        <v>0</v>
      </c>
    </row>
    <row r="637" spans="2:10">
      <c r="B637" s="52" t="s">
        <v>117</v>
      </c>
      <c r="C637" s="307">
        <v>0</v>
      </c>
      <c r="D637" s="307">
        <v>0</v>
      </c>
      <c r="E637" s="307">
        <v>0</v>
      </c>
      <c r="F637" s="307">
        <v>0</v>
      </c>
      <c r="G637" s="307">
        <v>0</v>
      </c>
      <c r="H637" s="307">
        <v>0</v>
      </c>
      <c r="I637" s="307">
        <v>0</v>
      </c>
      <c r="J637" s="307">
        <v>0</v>
      </c>
    </row>
    <row r="638" spans="2:10">
      <c r="B638" s="52"/>
      <c r="C638" s="307"/>
      <c r="D638" s="307"/>
      <c r="E638" s="307"/>
      <c r="F638" s="307"/>
      <c r="G638" s="307"/>
      <c r="H638" s="307"/>
      <c r="I638" s="307"/>
      <c r="J638" s="307"/>
    </row>
    <row r="639" spans="2:10">
      <c r="B639" s="71" t="s">
        <v>221</v>
      </c>
      <c r="C639" s="307">
        <v>0</v>
      </c>
      <c r="D639" s="307">
        <v>0</v>
      </c>
      <c r="E639" s="307">
        <v>0</v>
      </c>
      <c r="F639" s="307">
        <v>0</v>
      </c>
      <c r="G639" s="307">
        <v>0</v>
      </c>
      <c r="H639" s="307">
        <v>0</v>
      </c>
      <c r="I639" s="307">
        <v>0</v>
      </c>
      <c r="J639" s="307">
        <v>0</v>
      </c>
    </row>
    <row r="640" spans="2:10">
      <c r="B640" s="52" t="s">
        <v>169</v>
      </c>
      <c r="C640" s="307">
        <v>0</v>
      </c>
      <c r="D640" s="307">
        <v>0</v>
      </c>
      <c r="E640" s="307">
        <v>0</v>
      </c>
      <c r="F640" s="307">
        <v>0</v>
      </c>
      <c r="G640" s="307">
        <v>0</v>
      </c>
      <c r="H640" s="307">
        <v>0</v>
      </c>
      <c r="I640" s="307">
        <v>0</v>
      </c>
      <c r="J640" s="307">
        <v>0</v>
      </c>
    </row>
    <row r="641" spans="2:10">
      <c r="B641" s="52" t="s">
        <v>168</v>
      </c>
      <c r="C641" s="307">
        <v>0</v>
      </c>
      <c r="D641" s="307">
        <v>0</v>
      </c>
      <c r="E641" s="307">
        <v>0</v>
      </c>
      <c r="F641" s="307">
        <v>0</v>
      </c>
      <c r="G641" s="307">
        <v>0</v>
      </c>
      <c r="H641" s="307">
        <v>0</v>
      </c>
      <c r="I641" s="307">
        <v>0</v>
      </c>
      <c r="J641" s="307">
        <v>0</v>
      </c>
    </row>
    <row r="642" spans="2:10">
      <c r="B642" s="52" t="s">
        <v>167</v>
      </c>
      <c r="C642" s="307">
        <v>0</v>
      </c>
      <c r="D642" s="307">
        <v>0</v>
      </c>
      <c r="E642" s="307">
        <v>0</v>
      </c>
      <c r="F642" s="307">
        <v>0</v>
      </c>
      <c r="G642" s="307">
        <v>0</v>
      </c>
      <c r="H642" s="307">
        <v>0</v>
      </c>
      <c r="I642" s="307">
        <v>0</v>
      </c>
      <c r="J642" s="307">
        <v>0</v>
      </c>
    </row>
    <row r="643" spans="2:10">
      <c r="B643" s="52" t="s">
        <v>166</v>
      </c>
      <c r="C643" s="307">
        <v>0</v>
      </c>
      <c r="D643" s="307">
        <v>0</v>
      </c>
      <c r="E643" s="307">
        <v>0</v>
      </c>
      <c r="F643" s="307">
        <v>0</v>
      </c>
      <c r="G643" s="307">
        <v>0</v>
      </c>
      <c r="H643" s="307">
        <v>0</v>
      </c>
      <c r="I643" s="307">
        <v>0</v>
      </c>
      <c r="J643" s="307">
        <v>0</v>
      </c>
    </row>
    <row r="644" spans="2:10">
      <c r="B644" s="52" t="s">
        <v>165</v>
      </c>
      <c r="C644" s="307">
        <v>0</v>
      </c>
      <c r="D644" s="307">
        <v>0</v>
      </c>
      <c r="E644" s="307">
        <v>0</v>
      </c>
      <c r="F644" s="307">
        <v>0</v>
      </c>
      <c r="G644" s="307">
        <v>0</v>
      </c>
      <c r="H644" s="307">
        <v>0</v>
      </c>
      <c r="I644" s="307">
        <v>0</v>
      </c>
      <c r="J644" s="307">
        <v>0</v>
      </c>
    </row>
    <row r="645" spans="2:10" ht="15" thickBot="1">
      <c r="B645" s="50" t="s">
        <v>164</v>
      </c>
      <c r="C645" s="857">
        <v>0</v>
      </c>
      <c r="D645" s="857">
        <v>0</v>
      </c>
      <c r="E645" s="857">
        <v>0</v>
      </c>
      <c r="F645" s="857">
        <v>0</v>
      </c>
      <c r="G645" s="857">
        <v>0</v>
      </c>
      <c r="H645" s="857">
        <v>0</v>
      </c>
      <c r="I645" s="857">
        <v>0</v>
      </c>
      <c r="J645" s="857">
        <v>0</v>
      </c>
    </row>
    <row r="646" spans="2:10" ht="15" thickTop="1">
      <c r="B646" s="2025" t="s">
        <v>1846</v>
      </c>
      <c r="C646" s="2025"/>
      <c r="D646" s="2025"/>
      <c r="E646" s="2025"/>
      <c r="F646" s="2025"/>
      <c r="G646" s="2025"/>
      <c r="H646" s="2025"/>
      <c r="I646" s="2025"/>
      <c r="J646" s="2025"/>
    </row>
    <row r="647" spans="2:10">
      <c r="B647" s="2149" t="s">
        <v>1800</v>
      </c>
      <c r="C647" s="2149"/>
      <c r="D647" s="2149"/>
      <c r="E647" s="2149"/>
      <c r="F647" s="2149"/>
      <c r="G647" s="2149"/>
      <c r="H647" s="2149"/>
      <c r="I647" s="2149"/>
      <c r="J647" s="2149"/>
    </row>
    <row r="648" spans="2:10">
      <c r="B648" s="1334"/>
      <c r="C648" s="1334"/>
      <c r="D648" s="1334"/>
      <c r="E648" s="1334"/>
      <c r="F648" s="1334"/>
      <c r="G648" s="1334"/>
      <c r="H648" s="1334"/>
      <c r="I648" s="1334"/>
      <c r="J648" s="1334"/>
    </row>
    <row r="649" spans="2:10">
      <c r="B649" s="2100" t="s">
        <v>219</v>
      </c>
      <c r="C649" s="2100"/>
      <c r="D649" s="2100"/>
      <c r="E649" s="2100"/>
      <c r="F649" s="2100"/>
      <c r="G649" s="2100"/>
      <c r="H649" s="2100"/>
      <c r="I649" s="2100"/>
      <c r="J649" s="2100"/>
    </row>
    <row r="650" spans="2:10">
      <c r="B650" s="12" t="s">
        <v>218</v>
      </c>
      <c r="C650" s="302"/>
      <c r="D650" s="302"/>
      <c r="E650" s="302"/>
      <c r="F650" s="302"/>
      <c r="G650" s="302"/>
      <c r="H650" s="302"/>
      <c r="I650" s="302"/>
      <c r="J650" s="302"/>
    </row>
    <row r="651" spans="2:10">
      <c r="B651" s="77" t="s">
        <v>269</v>
      </c>
      <c r="C651" s="302"/>
      <c r="D651" s="302"/>
      <c r="E651" s="302"/>
      <c r="F651" s="302"/>
      <c r="G651" s="302"/>
      <c r="H651" s="302"/>
      <c r="I651" s="302"/>
      <c r="J651" s="302"/>
    </row>
    <row r="652" spans="2:10">
      <c r="B652" s="76"/>
      <c r="C652" s="302"/>
      <c r="D652" s="302"/>
      <c r="E652" s="302"/>
      <c r="F652" s="302"/>
      <c r="G652" s="302"/>
      <c r="H652" s="302"/>
      <c r="I652" s="302"/>
      <c r="J652" s="302"/>
    </row>
    <row r="653" spans="2:10">
      <c r="B653" s="61"/>
      <c r="C653" s="303">
        <v>2014</v>
      </c>
      <c r="D653" s="303">
        <v>2015</v>
      </c>
      <c r="E653" s="303">
        <v>2016</v>
      </c>
      <c r="F653" s="303">
        <v>2017</v>
      </c>
      <c r="G653" s="303">
        <v>2018</v>
      </c>
      <c r="H653" s="303">
        <v>2019</v>
      </c>
      <c r="I653" s="303">
        <v>2020</v>
      </c>
      <c r="J653" s="303">
        <v>2021</v>
      </c>
    </row>
    <row r="654" spans="2:10">
      <c r="B654" s="59" t="s">
        <v>1308</v>
      </c>
      <c r="C654" s="302"/>
      <c r="D654" s="302"/>
      <c r="E654" s="302"/>
      <c r="F654" s="302"/>
      <c r="G654" s="302"/>
      <c r="H654" s="302"/>
      <c r="I654" s="302"/>
      <c r="J654" s="302"/>
    </row>
    <row r="655" spans="2:10">
      <c r="B655" s="71" t="s">
        <v>217</v>
      </c>
      <c r="C655" s="321">
        <v>5</v>
      </c>
      <c r="D655" s="321">
        <v>5</v>
      </c>
      <c r="E655" s="321">
        <v>5</v>
      </c>
      <c r="F655" s="321">
        <v>5</v>
      </c>
      <c r="G655" s="321">
        <v>5</v>
      </c>
      <c r="H655" s="321">
        <v>5</v>
      </c>
      <c r="I655" s="321">
        <v>5</v>
      </c>
      <c r="J655" s="321">
        <v>5</v>
      </c>
    </row>
    <row r="656" spans="2:10">
      <c r="B656" s="52" t="s">
        <v>150</v>
      </c>
      <c r="C656" s="321">
        <v>1</v>
      </c>
      <c r="D656" s="321">
        <v>1</v>
      </c>
      <c r="E656" s="321">
        <v>1</v>
      </c>
      <c r="F656" s="321">
        <v>1</v>
      </c>
      <c r="G656" s="321">
        <v>1</v>
      </c>
      <c r="H656" s="321">
        <v>1</v>
      </c>
      <c r="I656" s="321">
        <v>1</v>
      </c>
      <c r="J656" s="321">
        <v>1</v>
      </c>
    </row>
    <row r="657" spans="2:10">
      <c r="B657" s="52" t="s">
        <v>214</v>
      </c>
      <c r="C657" s="307">
        <v>0</v>
      </c>
      <c r="D657" s="307">
        <v>0</v>
      </c>
      <c r="E657" s="307">
        <v>0</v>
      </c>
      <c r="F657" s="307">
        <v>0</v>
      </c>
      <c r="G657" s="321">
        <v>0</v>
      </c>
      <c r="H657" s="321">
        <v>0</v>
      </c>
      <c r="I657" s="321">
        <v>0</v>
      </c>
      <c r="J657" s="321">
        <v>0</v>
      </c>
    </row>
    <row r="658" spans="2:10">
      <c r="B658" s="52" t="s">
        <v>147</v>
      </c>
      <c r="C658" s="321">
        <v>4</v>
      </c>
      <c r="D658" s="321">
        <v>4</v>
      </c>
      <c r="E658" s="321">
        <v>4</v>
      </c>
      <c r="F658" s="321">
        <v>4</v>
      </c>
      <c r="G658" s="321">
        <v>4</v>
      </c>
      <c r="H658" s="321">
        <v>4</v>
      </c>
      <c r="I658" s="321">
        <v>4</v>
      </c>
      <c r="J658" s="321">
        <v>4</v>
      </c>
    </row>
    <row r="659" spans="2:10">
      <c r="B659" s="52" t="s">
        <v>146</v>
      </c>
      <c r="C659" s="307">
        <v>0</v>
      </c>
      <c r="D659" s="307">
        <v>0</v>
      </c>
      <c r="E659" s="307">
        <v>0</v>
      </c>
      <c r="F659" s="307">
        <v>0</v>
      </c>
      <c r="G659" s="321">
        <v>0</v>
      </c>
      <c r="H659" s="321">
        <v>0</v>
      </c>
      <c r="I659" s="321">
        <v>0</v>
      </c>
      <c r="J659" s="321">
        <v>0</v>
      </c>
    </row>
    <row r="660" spans="2:10">
      <c r="B660" s="52"/>
      <c r="C660" s="321"/>
      <c r="D660" s="321"/>
      <c r="E660" s="321"/>
      <c r="F660" s="321"/>
      <c r="G660" s="321"/>
      <c r="H660" s="321"/>
      <c r="I660" s="321"/>
      <c r="J660" s="321"/>
    </row>
    <row r="661" spans="2:10">
      <c r="B661" s="71" t="s">
        <v>216</v>
      </c>
      <c r="C661" s="321">
        <v>5</v>
      </c>
      <c r="D661" s="321">
        <v>5</v>
      </c>
      <c r="E661" s="321">
        <v>5</v>
      </c>
      <c r="F661" s="321">
        <v>5</v>
      </c>
      <c r="G661" s="321">
        <v>5</v>
      </c>
      <c r="H661" s="321">
        <v>6</v>
      </c>
      <c r="I661" s="321">
        <v>6</v>
      </c>
      <c r="J661" s="321">
        <v>5</v>
      </c>
    </row>
    <row r="662" spans="2:10">
      <c r="B662" s="52" t="s">
        <v>150</v>
      </c>
      <c r="C662" s="321">
        <v>1</v>
      </c>
      <c r="D662" s="321">
        <v>1</v>
      </c>
      <c r="E662" s="321">
        <v>1</v>
      </c>
      <c r="F662" s="321">
        <v>1</v>
      </c>
      <c r="G662" s="321">
        <v>1</v>
      </c>
      <c r="H662" s="321">
        <v>1</v>
      </c>
      <c r="I662" s="321">
        <v>1</v>
      </c>
      <c r="J662" s="321">
        <v>1</v>
      </c>
    </row>
    <row r="663" spans="2:10">
      <c r="B663" s="52" t="s">
        <v>214</v>
      </c>
      <c r="C663" s="307">
        <v>0</v>
      </c>
      <c r="D663" s="321">
        <v>0</v>
      </c>
      <c r="E663" s="321">
        <v>0</v>
      </c>
      <c r="F663" s="321">
        <v>0</v>
      </c>
      <c r="G663" s="321">
        <v>0</v>
      </c>
      <c r="H663" s="321">
        <v>0</v>
      </c>
      <c r="I663" s="321">
        <v>0</v>
      </c>
      <c r="J663" s="321">
        <v>0</v>
      </c>
    </row>
    <row r="664" spans="2:10">
      <c r="B664" s="52" t="s">
        <v>147</v>
      </c>
      <c r="C664" s="321">
        <v>4</v>
      </c>
      <c r="D664" s="321">
        <v>4</v>
      </c>
      <c r="E664" s="321">
        <v>4</v>
      </c>
      <c r="F664" s="321">
        <v>4</v>
      </c>
      <c r="G664" s="321">
        <v>4</v>
      </c>
      <c r="H664" s="321">
        <v>5</v>
      </c>
      <c r="I664" s="321">
        <v>5</v>
      </c>
      <c r="J664" s="321">
        <v>4</v>
      </c>
    </row>
    <row r="665" spans="2:10">
      <c r="B665" s="52" t="s">
        <v>146</v>
      </c>
      <c r="C665" s="307">
        <v>0</v>
      </c>
      <c r="D665" s="307">
        <v>0</v>
      </c>
      <c r="E665" s="307">
        <v>0</v>
      </c>
      <c r="F665" s="307">
        <v>0</v>
      </c>
      <c r="G665" s="321">
        <v>0</v>
      </c>
      <c r="H665" s="321">
        <v>0</v>
      </c>
      <c r="I665" s="321">
        <v>0</v>
      </c>
      <c r="J665" s="321">
        <v>0</v>
      </c>
    </row>
    <row r="666" spans="2:10">
      <c r="B666" s="52"/>
      <c r="C666" s="321"/>
      <c r="D666" s="321"/>
      <c r="E666" s="321"/>
      <c r="F666" s="321"/>
      <c r="G666" s="321"/>
      <c r="H666" s="321"/>
      <c r="I666" s="321"/>
      <c r="J666" s="321"/>
    </row>
    <row r="667" spans="2:10">
      <c r="B667" s="71" t="s">
        <v>215</v>
      </c>
      <c r="C667" s="321"/>
      <c r="D667" s="321"/>
      <c r="E667" s="321"/>
      <c r="F667" s="321"/>
      <c r="G667" s="321"/>
      <c r="H667" s="321"/>
      <c r="I667" s="321"/>
      <c r="J667" s="321"/>
    </row>
    <row r="668" spans="2:10">
      <c r="B668" s="52" t="s">
        <v>150</v>
      </c>
      <c r="C668" s="307">
        <v>0</v>
      </c>
      <c r="D668" s="307">
        <v>0</v>
      </c>
      <c r="E668" s="307">
        <v>0</v>
      </c>
      <c r="F668" s="307">
        <v>0</v>
      </c>
      <c r="G668" s="321">
        <v>0</v>
      </c>
      <c r="H668" s="321">
        <v>0</v>
      </c>
      <c r="I668" s="321">
        <v>0</v>
      </c>
      <c r="J668" s="321">
        <v>0</v>
      </c>
    </row>
    <row r="669" spans="2:10">
      <c r="B669" s="52" t="s">
        <v>214</v>
      </c>
      <c r="C669" s="307">
        <v>0</v>
      </c>
      <c r="D669" s="307">
        <v>0</v>
      </c>
      <c r="E669" s="307">
        <v>0</v>
      </c>
      <c r="F669" s="307">
        <v>0</v>
      </c>
      <c r="G669" s="321">
        <v>0</v>
      </c>
      <c r="H669" s="321">
        <v>0</v>
      </c>
      <c r="I669" s="321">
        <v>0</v>
      </c>
      <c r="J669" s="321">
        <v>0</v>
      </c>
    </row>
    <row r="670" spans="2:10">
      <c r="B670" s="52" t="s">
        <v>147</v>
      </c>
      <c r="C670" s="307">
        <v>0</v>
      </c>
      <c r="D670" s="307">
        <v>0</v>
      </c>
      <c r="E670" s="307">
        <v>0</v>
      </c>
      <c r="F670" s="307">
        <v>0</v>
      </c>
      <c r="G670" s="321">
        <v>0</v>
      </c>
      <c r="H670" s="321">
        <v>0</v>
      </c>
      <c r="I670" s="321">
        <v>0</v>
      </c>
      <c r="J670" s="321">
        <v>0</v>
      </c>
    </row>
    <row r="671" spans="2:10" ht="15" thickBot="1">
      <c r="B671" s="52" t="s">
        <v>146</v>
      </c>
      <c r="C671" s="321">
        <v>0</v>
      </c>
      <c r="D671" s="321">
        <v>0</v>
      </c>
      <c r="E671" s="321">
        <v>0</v>
      </c>
      <c r="F671" s="321">
        <v>0</v>
      </c>
      <c r="G671" s="321">
        <v>0</v>
      </c>
      <c r="H671" s="321">
        <v>0</v>
      </c>
      <c r="I671" s="321">
        <v>0</v>
      </c>
      <c r="J671" s="321">
        <v>0</v>
      </c>
    </row>
    <row r="672" spans="2:10" ht="15" thickTop="1">
      <c r="B672" s="2025" t="s">
        <v>1843</v>
      </c>
      <c r="C672" s="2025"/>
      <c r="D672" s="2025"/>
      <c r="E672" s="2025"/>
      <c r="F672" s="2025"/>
      <c r="G672" s="2025"/>
      <c r="H672" s="2025"/>
      <c r="I672" s="2025"/>
      <c r="J672" s="2025"/>
    </row>
    <row r="673" spans="2:10">
      <c r="B673" s="2017"/>
      <c r="C673" s="2017"/>
      <c r="D673" s="2017"/>
      <c r="E673" s="2017"/>
      <c r="F673" s="2017"/>
      <c r="G673" s="2017"/>
      <c r="H673" s="2017"/>
      <c r="I673" s="2017"/>
      <c r="J673" s="2017"/>
    </row>
    <row r="674" spans="2:10">
      <c r="B674" s="62"/>
      <c r="C674" s="302"/>
      <c r="D674" s="302"/>
      <c r="E674" s="302"/>
      <c r="F674" s="302"/>
      <c r="G674" s="302"/>
      <c r="H674" s="302"/>
      <c r="I674" s="302"/>
      <c r="J674" s="302"/>
    </row>
    <row r="675" spans="2:10">
      <c r="B675" s="2100" t="s">
        <v>212</v>
      </c>
      <c r="C675" s="2100"/>
      <c r="D675" s="2100"/>
      <c r="E675" s="2100"/>
      <c r="F675" s="2100"/>
      <c r="G675" s="2100"/>
      <c r="H675" s="2100"/>
      <c r="I675" s="2100"/>
      <c r="J675" s="2100"/>
    </row>
    <row r="676" spans="2:10">
      <c r="B676" s="12" t="s">
        <v>211</v>
      </c>
      <c r="C676" s="302"/>
      <c r="D676" s="302"/>
      <c r="E676" s="302"/>
      <c r="F676" s="302"/>
      <c r="G676" s="302"/>
      <c r="H676" s="302"/>
      <c r="I676" s="302"/>
      <c r="J676" s="302"/>
    </row>
    <row r="677" spans="2:10">
      <c r="B677" s="64" t="s">
        <v>210</v>
      </c>
      <c r="C677" s="302"/>
      <c r="D677" s="302"/>
      <c r="E677" s="302"/>
      <c r="F677" s="302"/>
      <c r="G677" s="302"/>
      <c r="H677" s="302"/>
      <c r="I677" s="302"/>
      <c r="J677" s="302"/>
    </row>
    <row r="678" spans="2:10">
      <c r="B678" s="64"/>
      <c r="C678" s="302"/>
      <c r="D678" s="302"/>
      <c r="E678" s="302"/>
      <c r="F678" s="302"/>
      <c r="G678" s="302"/>
      <c r="H678" s="302"/>
      <c r="I678" s="302"/>
      <c r="J678" s="302"/>
    </row>
    <row r="679" spans="2:10">
      <c r="B679" s="61"/>
      <c r="C679" s="303">
        <v>2014</v>
      </c>
      <c r="D679" s="303">
        <v>2015</v>
      </c>
      <c r="E679" s="303">
        <v>2016</v>
      </c>
      <c r="F679" s="303">
        <v>2017</v>
      </c>
      <c r="G679" s="303">
        <v>2018</v>
      </c>
      <c r="H679" s="303">
        <v>2019</v>
      </c>
      <c r="I679" s="303">
        <v>2020</v>
      </c>
      <c r="J679" s="303">
        <v>2021</v>
      </c>
    </row>
    <row r="680" spans="2:10">
      <c r="B680" s="59" t="s">
        <v>1308</v>
      </c>
      <c r="C680" s="302"/>
      <c r="D680" s="302"/>
      <c r="E680" s="302"/>
      <c r="F680" s="302"/>
      <c r="G680" s="302"/>
      <c r="H680" s="302"/>
      <c r="I680" s="302"/>
      <c r="J680" s="302"/>
    </row>
    <row r="681" spans="2:10">
      <c r="B681" s="71" t="s">
        <v>209</v>
      </c>
      <c r="C681" s="321">
        <v>11.792999999999999</v>
      </c>
      <c r="D681" s="321">
        <v>11.563000000000001</v>
      </c>
      <c r="E681" s="321">
        <v>12.558</v>
      </c>
      <c r="F681" s="321">
        <v>13.173</v>
      </c>
      <c r="G681" s="321">
        <v>13.992000000000001</v>
      </c>
      <c r="H681" s="321">
        <v>14.316000000000001</v>
      </c>
      <c r="I681" s="321">
        <v>13.692</v>
      </c>
      <c r="J681" s="321">
        <v>16.841000000000001</v>
      </c>
    </row>
    <row r="682" spans="2:10">
      <c r="B682" s="71"/>
      <c r="C682" s="321"/>
      <c r="D682" s="321"/>
      <c r="E682" s="321"/>
      <c r="F682" s="321"/>
      <c r="G682" s="321"/>
      <c r="H682" s="321"/>
      <c r="I682" s="321"/>
      <c r="J682" s="321"/>
    </row>
    <row r="683" spans="2:10">
      <c r="B683" s="71" t="s">
        <v>208</v>
      </c>
      <c r="C683" s="321">
        <v>11.792999999999999</v>
      </c>
      <c r="D683" s="321">
        <v>11.041</v>
      </c>
      <c r="E683" s="321">
        <v>11.837</v>
      </c>
      <c r="F683" s="321">
        <v>12.4</v>
      </c>
      <c r="G683" s="321">
        <v>13.523999999999999</v>
      </c>
      <c r="H683" s="321">
        <v>14.102</v>
      </c>
      <c r="I683" s="321">
        <v>13.492000000000001</v>
      </c>
      <c r="J683" s="321">
        <v>16.641999999999999</v>
      </c>
    </row>
    <row r="684" spans="2:10">
      <c r="B684" s="52" t="s">
        <v>121</v>
      </c>
      <c r="C684" s="321">
        <v>0</v>
      </c>
      <c r="D684" s="321">
        <v>3.1E-2</v>
      </c>
      <c r="E684" s="321">
        <v>0.159</v>
      </c>
      <c r="F684" s="321">
        <v>0.11600000000000001</v>
      </c>
      <c r="G684" s="321">
        <v>8.2000000000000003E-2</v>
      </c>
      <c r="H684" s="321">
        <v>0.17</v>
      </c>
      <c r="I684" s="321">
        <v>0.155</v>
      </c>
      <c r="J684" s="321">
        <v>0.27800000000000002</v>
      </c>
    </row>
    <row r="685" spans="2:10">
      <c r="B685" s="53" t="s">
        <v>120</v>
      </c>
      <c r="C685" s="321">
        <v>0</v>
      </c>
      <c r="D685" s="321">
        <v>0</v>
      </c>
      <c r="E685" s="321">
        <v>0</v>
      </c>
      <c r="F685" s="321">
        <v>0</v>
      </c>
      <c r="G685" s="321">
        <v>0</v>
      </c>
      <c r="H685" s="321">
        <v>0</v>
      </c>
      <c r="I685" s="321">
        <v>0</v>
      </c>
      <c r="J685" s="321">
        <v>0</v>
      </c>
    </row>
    <row r="686" spans="2:10">
      <c r="B686" s="53" t="s">
        <v>119</v>
      </c>
      <c r="C686" s="321">
        <v>0</v>
      </c>
      <c r="D686" s="321">
        <v>0</v>
      </c>
      <c r="E686" s="321">
        <v>0</v>
      </c>
      <c r="F686" s="321">
        <v>0</v>
      </c>
      <c r="G686" s="321">
        <v>2.5000000000000001E-2</v>
      </c>
      <c r="H686" s="321">
        <v>5.5E-2</v>
      </c>
      <c r="I686" s="321">
        <v>0.13400000000000001</v>
      </c>
      <c r="J686" s="321">
        <v>0.25800000000000001</v>
      </c>
    </row>
    <row r="687" spans="2:10">
      <c r="B687" s="53" t="s">
        <v>172</v>
      </c>
      <c r="C687" s="321">
        <v>0.15</v>
      </c>
      <c r="D687" s="321">
        <v>3.1E-2</v>
      </c>
      <c r="E687" s="321">
        <v>0.159</v>
      </c>
      <c r="F687" s="321">
        <v>0.11600000000000001</v>
      </c>
      <c r="G687" s="321">
        <v>5.7000000000000002E-2</v>
      </c>
      <c r="H687" s="321">
        <v>0.115</v>
      </c>
      <c r="I687" s="321">
        <v>2.1000000000000001E-2</v>
      </c>
      <c r="J687" s="321">
        <v>0.02</v>
      </c>
    </row>
    <row r="688" spans="2:10">
      <c r="B688" s="52" t="s">
        <v>118</v>
      </c>
      <c r="C688" s="321">
        <v>11.643000000000001</v>
      </c>
      <c r="D688" s="321">
        <v>11.01</v>
      </c>
      <c r="E688" s="321">
        <v>11.678000000000001</v>
      </c>
      <c r="F688" s="321">
        <v>12.284000000000001</v>
      </c>
      <c r="G688" s="321">
        <v>13.442</v>
      </c>
      <c r="H688" s="853">
        <v>13.932</v>
      </c>
      <c r="I688" s="853">
        <v>13.337</v>
      </c>
      <c r="J688" s="853">
        <v>16.364000000000001</v>
      </c>
    </row>
    <row r="689" spans="2:11">
      <c r="B689" s="52" t="s">
        <v>117</v>
      </c>
      <c r="C689" s="307">
        <v>0</v>
      </c>
      <c r="D689" s="307">
        <v>0</v>
      </c>
      <c r="E689" s="307">
        <v>0</v>
      </c>
      <c r="F689" s="307">
        <v>0</v>
      </c>
      <c r="G689" s="321">
        <v>0</v>
      </c>
      <c r="H689" s="321">
        <v>0</v>
      </c>
      <c r="I689" s="321">
        <v>0</v>
      </c>
      <c r="J689" s="321">
        <v>0</v>
      </c>
    </row>
    <row r="690" spans="2:11">
      <c r="B690" s="52"/>
      <c r="C690" s="321"/>
      <c r="D690" s="321"/>
      <c r="E690" s="321"/>
      <c r="F690" s="321"/>
      <c r="G690" s="321"/>
      <c r="H690" s="321"/>
      <c r="I690" s="321"/>
      <c r="J690" s="321"/>
    </row>
    <row r="691" spans="2:11">
      <c r="B691" s="83" t="s">
        <v>205</v>
      </c>
      <c r="C691" s="321">
        <v>0.13600000000000001</v>
      </c>
      <c r="D691" s="321">
        <v>0.52200000000000002</v>
      </c>
      <c r="E691" s="321">
        <v>0.72099999999999997</v>
      </c>
      <c r="F691" s="321">
        <v>0.77300000000000002</v>
      </c>
      <c r="G691" s="321">
        <v>0.46800000000000003</v>
      </c>
      <c r="H691" s="321">
        <v>0.214</v>
      </c>
      <c r="I691" s="321">
        <v>0.2</v>
      </c>
      <c r="J691" s="867">
        <v>0.19900000000000001</v>
      </c>
    </row>
    <row r="692" spans="2:11">
      <c r="B692" s="81" t="s">
        <v>121</v>
      </c>
      <c r="C692" s="321">
        <v>0</v>
      </c>
      <c r="D692" s="321">
        <v>0</v>
      </c>
      <c r="E692" s="321">
        <v>0</v>
      </c>
      <c r="F692" s="321">
        <v>0</v>
      </c>
      <c r="G692" s="321">
        <v>0</v>
      </c>
      <c r="H692" s="321">
        <v>0</v>
      </c>
      <c r="I692" s="321">
        <v>0</v>
      </c>
      <c r="J692" s="867">
        <v>0</v>
      </c>
      <c r="K692" s="1346"/>
    </row>
    <row r="693" spans="2:11">
      <c r="B693" s="82" t="s">
        <v>120</v>
      </c>
      <c r="C693" s="321">
        <v>0</v>
      </c>
      <c r="D693" s="321">
        <v>0</v>
      </c>
      <c r="E693" s="321">
        <v>0</v>
      </c>
      <c r="F693" s="321">
        <v>0</v>
      </c>
      <c r="G693" s="321">
        <v>0</v>
      </c>
      <c r="H693" s="321">
        <v>0</v>
      </c>
      <c r="I693" s="321">
        <v>0</v>
      </c>
      <c r="J693" s="867">
        <v>0</v>
      </c>
    </row>
    <row r="694" spans="2:11">
      <c r="B694" s="82" t="s">
        <v>119</v>
      </c>
      <c r="C694" s="321">
        <v>0</v>
      </c>
      <c r="D694" s="321">
        <v>0</v>
      </c>
      <c r="E694" s="321">
        <v>0</v>
      </c>
      <c r="F694" s="321">
        <v>0</v>
      </c>
      <c r="G694" s="321">
        <v>0</v>
      </c>
      <c r="H694" s="321">
        <v>0</v>
      </c>
      <c r="I694" s="321">
        <v>0</v>
      </c>
      <c r="J694" s="867">
        <v>0</v>
      </c>
    </row>
    <row r="695" spans="2:11">
      <c r="B695" s="82" t="s">
        <v>172</v>
      </c>
      <c r="C695" s="321">
        <v>0</v>
      </c>
      <c r="D695" s="321">
        <v>0</v>
      </c>
      <c r="E695" s="321">
        <v>0</v>
      </c>
      <c r="F695" s="321">
        <v>0</v>
      </c>
      <c r="G695" s="321">
        <v>0</v>
      </c>
      <c r="H695" s="321">
        <v>0</v>
      </c>
      <c r="I695" s="321">
        <v>0</v>
      </c>
      <c r="J695" s="867">
        <v>0</v>
      </c>
    </row>
    <row r="696" spans="2:11">
      <c r="B696" s="81" t="s">
        <v>118</v>
      </c>
      <c r="C696" s="321">
        <v>0</v>
      </c>
      <c r="D696" s="321">
        <v>0</v>
      </c>
      <c r="E696" s="321">
        <v>0</v>
      </c>
      <c r="F696" s="321">
        <v>0</v>
      </c>
      <c r="G696" s="321">
        <v>0</v>
      </c>
      <c r="H696" s="321">
        <v>0</v>
      </c>
      <c r="I696" s="321">
        <v>0</v>
      </c>
      <c r="J696" s="867">
        <v>0</v>
      </c>
    </row>
    <row r="697" spans="2:11">
      <c r="B697" s="81" t="s">
        <v>117</v>
      </c>
      <c r="C697" s="321">
        <v>0.13600000000000001</v>
      </c>
      <c r="D697" s="321">
        <v>0.52200000000000002</v>
      </c>
      <c r="E697" s="321">
        <v>0.72099999999999997</v>
      </c>
      <c r="F697" s="321">
        <v>0.77300000000000002</v>
      </c>
      <c r="G697" s="321">
        <v>0.46800000000000003</v>
      </c>
      <c r="H697" s="321">
        <v>0.214</v>
      </c>
      <c r="I697" s="321">
        <v>0.2</v>
      </c>
      <c r="J697" s="867">
        <v>0.19900000000000001</v>
      </c>
    </row>
    <row r="698" spans="2:11">
      <c r="B698" s="81"/>
      <c r="C698" s="321"/>
      <c r="D698" s="321"/>
      <c r="E698" s="321"/>
      <c r="F698" s="321"/>
      <c r="G698" s="321"/>
      <c r="H698" s="321"/>
      <c r="I698" s="321"/>
      <c r="J698" s="321"/>
    </row>
    <row r="699" spans="2:11">
      <c r="B699" s="83" t="s">
        <v>204</v>
      </c>
      <c r="C699" s="321">
        <v>0</v>
      </c>
      <c r="D699" s="321">
        <v>0</v>
      </c>
      <c r="E699" s="321">
        <v>0</v>
      </c>
      <c r="F699" s="321">
        <v>0</v>
      </c>
      <c r="G699" s="321">
        <v>0</v>
      </c>
      <c r="H699" s="321">
        <v>0</v>
      </c>
      <c r="I699" s="321">
        <v>0</v>
      </c>
      <c r="J699" s="321">
        <v>0</v>
      </c>
    </row>
    <row r="700" spans="2:11">
      <c r="B700" s="81" t="s">
        <v>121</v>
      </c>
      <c r="C700" s="321">
        <v>0</v>
      </c>
      <c r="D700" s="321">
        <v>0</v>
      </c>
      <c r="E700" s="321">
        <v>0</v>
      </c>
      <c r="F700" s="321">
        <v>0</v>
      </c>
      <c r="G700" s="321">
        <v>0</v>
      </c>
      <c r="H700" s="321">
        <v>0</v>
      </c>
      <c r="I700" s="321">
        <v>0</v>
      </c>
      <c r="J700" s="321">
        <v>0</v>
      </c>
    </row>
    <row r="701" spans="2:11">
      <c r="B701" s="82" t="s">
        <v>120</v>
      </c>
      <c r="C701" s="321">
        <v>0</v>
      </c>
      <c r="D701" s="321">
        <v>0</v>
      </c>
      <c r="E701" s="321">
        <v>0</v>
      </c>
      <c r="F701" s="321">
        <v>0</v>
      </c>
      <c r="G701" s="321">
        <v>0</v>
      </c>
      <c r="H701" s="321">
        <v>0</v>
      </c>
      <c r="I701" s="321">
        <v>0</v>
      </c>
      <c r="J701" s="321">
        <v>0</v>
      </c>
    </row>
    <row r="702" spans="2:11">
      <c r="B702" s="82" t="s">
        <v>119</v>
      </c>
      <c r="C702" s="321">
        <v>0</v>
      </c>
      <c r="D702" s="321">
        <v>0</v>
      </c>
      <c r="E702" s="321">
        <v>0</v>
      </c>
      <c r="F702" s="321">
        <v>0</v>
      </c>
      <c r="G702" s="321">
        <v>0</v>
      </c>
      <c r="H702" s="321">
        <v>0</v>
      </c>
      <c r="I702" s="321">
        <v>0</v>
      </c>
      <c r="J702" s="321">
        <v>0</v>
      </c>
    </row>
    <row r="703" spans="2:11">
      <c r="B703" s="82" t="s">
        <v>172</v>
      </c>
      <c r="C703" s="321">
        <v>0</v>
      </c>
      <c r="D703" s="321">
        <v>0</v>
      </c>
      <c r="E703" s="321">
        <v>0</v>
      </c>
      <c r="F703" s="321">
        <v>0</v>
      </c>
      <c r="G703" s="321">
        <v>0</v>
      </c>
      <c r="H703" s="321">
        <v>0</v>
      </c>
      <c r="I703" s="321">
        <v>0</v>
      </c>
      <c r="J703" s="321">
        <v>0</v>
      </c>
    </row>
    <row r="704" spans="2:11">
      <c r="B704" s="81" t="s">
        <v>118</v>
      </c>
      <c r="C704" s="321">
        <v>0</v>
      </c>
      <c r="D704" s="321">
        <v>0</v>
      </c>
      <c r="E704" s="321">
        <v>0</v>
      </c>
      <c r="F704" s="321">
        <v>0</v>
      </c>
      <c r="G704" s="321">
        <v>0</v>
      </c>
      <c r="H704" s="321">
        <v>0</v>
      </c>
      <c r="I704" s="321">
        <v>0</v>
      </c>
      <c r="J704" s="321">
        <v>0</v>
      </c>
    </row>
    <row r="705" spans="2:10">
      <c r="B705" s="81" t="s">
        <v>117</v>
      </c>
      <c r="C705" s="321">
        <v>0</v>
      </c>
      <c r="D705" s="321">
        <v>0</v>
      </c>
      <c r="E705" s="321">
        <v>0</v>
      </c>
      <c r="F705" s="321">
        <v>0</v>
      </c>
      <c r="G705" s="321">
        <v>0</v>
      </c>
      <c r="H705" s="321">
        <v>0</v>
      </c>
      <c r="I705" s="321">
        <v>0</v>
      </c>
      <c r="J705" s="321">
        <v>0</v>
      </c>
    </row>
    <row r="706" spans="2:10">
      <c r="B706" s="81"/>
      <c r="C706" s="321"/>
      <c r="D706" s="321"/>
      <c r="E706" s="321"/>
      <c r="F706" s="321"/>
      <c r="G706" s="321"/>
      <c r="H706" s="321"/>
      <c r="I706" s="321"/>
      <c r="J706" s="321"/>
    </row>
    <row r="707" spans="2:10">
      <c r="B707" s="71" t="s">
        <v>203</v>
      </c>
      <c r="C707" s="321">
        <v>0</v>
      </c>
      <c r="D707" s="321">
        <v>0</v>
      </c>
      <c r="E707" s="321">
        <v>0</v>
      </c>
      <c r="F707" s="321">
        <v>0</v>
      </c>
      <c r="G707" s="321">
        <v>0</v>
      </c>
      <c r="H707" s="321">
        <v>0</v>
      </c>
      <c r="I707" s="321">
        <v>0</v>
      </c>
      <c r="J707" s="321">
        <v>0</v>
      </c>
    </row>
    <row r="708" spans="2:10">
      <c r="B708" s="52" t="s">
        <v>169</v>
      </c>
      <c r="C708" s="321">
        <v>0</v>
      </c>
      <c r="D708" s="321">
        <v>0</v>
      </c>
      <c r="E708" s="321">
        <v>0</v>
      </c>
      <c r="F708" s="321">
        <v>0</v>
      </c>
      <c r="G708" s="321">
        <v>0</v>
      </c>
      <c r="H708" s="321">
        <v>0</v>
      </c>
      <c r="I708" s="321">
        <v>0</v>
      </c>
      <c r="J708" s="321">
        <v>0</v>
      </c>
    </row>
    <row r="709" spans="2:10">
      <c r="B709" s="52" t="s">
        <v>168</v>
      </c>
      <c r="C709" s="321">
        <v>0</v>
      </c>
      <c r="D709" s="321">
        <v>0</v>
      </c>
      <c r="E709" s="321">
        <v>0</v>
      </c>
      <c r="F709" s="321">
        <v>0</v>
      </c>
      <c r="G709" s="321">
        <v>0</v>
      </c>
      <c r="H709" s="321">
        <v>0</v>
      </c>
      <c r="I709" s="321">
        <v>0</v>
      </c>
      <c r="J709" s="321">
        <v>0</v>
      </c>
    </row>
    <row r="710" spans="2:10">
      <c r="B710" s="52" t="s">
        <v>167</v>
      </c>
      <c r="C710" s="321">
        <v>0</v>
      </c>
      <c r="D710" s="321">
        <v>0</v>
      </c>
      <c r="E710" s="321">
        <v>0</v>
      </c>
      <c r="F710" s="321">
        <v>0</v>
      </c>
      <c r="G710" s="321">
        <v>0</v>
      </c>
      <c r="H710" s="321">
        <v>0</v>
      </c>
      <c r="I710" s="321">
        <v>0</v>
      </c>
      <c r="J710" s="321">
        <v>0</v>
      </c>
    </row>
    <row r="711" spans="2:10">
      <c r="B711" s="52" t="s">
        <v>166</v>
      </c>
      <c r="C711" s="321">
        <v>0</v>
      </c>
      <c r="D711" s="321">
        <v>0</v>
      </c>
      <c r="E711" s="321">
        <v>0</v>
      </c>
      <c r="F711" s="321">
        <v>0</v>
      </c>
      <c r="G711" s="321">
        <v>0</v>
      </c>
      <c r="H711" s="321">
        <v>0</v>
      </c>
      <c r="I711" s="321">
        <v>0</v>
      </c>
      <c r="J711" s="321">
        <v>0</v>
      </c>
    </row>
    <row r="712" spans="2:10">
      <c r="B712" s="52" t="s">
        <v>165</v>
      </c>
      <c r="C712" s="321">
        <v>0</v>
      </c>
      <c r="D712" s="321">
        <v>0</v>
      </c>
      <c r="E712" s="321">
        <v>0</v>
      </c>
      <c r="F712" s="321">
        <v>0</v>
      </c>
      <c r="G712" s="321">
        <v>0</v>
      </c>
      <c r="H712" s="321">
        <v>0</v>
      </c>
      <c r="I712" s="321">
        <v>0</v>
      </c>
      <c r="J712" s="321">
        <v>0</v>
      </c>
    </row>
    <row r="713" spans="2:10">
      <c r="B713" s="52" t="s">
        <v>164</v>
      </c>
      <c r="C713" s="321">
        <v>0</v>
      </c>
      <c r="D713" s="321">
        <v>0</v>
      </c>
      <c r="E713" s="321">
        <v>0</v>
      </c>
      <c r="F713" s="321">
        <v>0</v>
      </c>
      <c r="G713" s="321">
        <v>0</v>
      </c>
      <c r="H713" s="321">
        <v>0</v>
      </c>
      <c r="I713" s="321">
        <v>0</v>
      </c>
      <c r="J713" s="321">
        <v>0</v>
      </c>
    </row>
    <row r="714" spans="2:10">
      <c r="B714" s="52"/>
      <c r="C714" s="321"/>
      <c r="D714" s="321"/>
      <c r="E714" s="321"/>
      <c r="F714" s="321"/>
      <c r="G714" s="321"/>
      <c r="H714" s="321"/>
      <c r="I714" s="321"/>
      <c r="J714" s="321"/>
    </row>
    <row r="715" spans="2:10">
      <c r="B715" s="80" t="s">
        <v>202</v>
      </c>
      <c r="C715" s="321">
        <v>0</v>
      </c>
      <c r="D715" s="321">
        <v>0</v>
      </c>
      <c r="E715" s="321">
        <v>0</v>
      </c>
      <c r="F715" s="321">
        <v>0</v>
      </c>
      <c r="G715" s="321">
        <v>0</v>
      </c>
      <c r="H715" s="321">
        <v>0</v>
      </c>
      <c r="I715" s="321">
        <v>0</v>
      </c>
      <c r="J715" s="321">
        <v>0</v>
      </c>
    </row>
    <row r="716" spans="2:10">
      <c r="B716" s="52" t="s">
        <v>169</v>
      </c>
      <c r="C716" s="321">
        <v>0</v>
      </c>
      <c r="D716" s="321">
        <v>0</v>
      </c>
      <c r="E716" s="321">
        <v>0</v>
      </c>
      <c r="F716" s="321">
        <v>0</v>
      </c>
      <c r="G716" s="321">
        <v>0</v>
      </c>
      <c r="H716" s="321">
        <v>0</v>
      </c>
      <c r="I716" s="321">
        <v>0</v>
      </c>
      <c r="J716" s="321">
        <v>0</v>
      </c>
    </row>
    <row r="717" spans="2:10">
      <c r="B717" s="52" t="s">
        <v>168</v>
      </c>
      <c r="C717" s="321">
        <v>0</v>
      </c>
      <c r="D717" s="321">
        <v>0</v>
      </c>
      <c r="E717" s="321">
        <v>0</v>
      </c>
      <c r="F717" s="321">
        <v>0</v>
      </c>
      <c r="G717" s="321">
        <v>0</v>
      </c>
      <c r="H717" s="321">
        <v>0</v>
      </c>
      <c r="I717" s="321">
        <v>0</v>
      </c>
      <c r="J717" s="321">
        <v>0</v>
      </c>
    </row>
    <row r="718" spans="2:10">
      <c r="B718" s="52" t="s">
        <v>167</v>
      </c>
      <c r="C718" s="321">
        <v>0</v>
      </c>
      <c r="D718" s="321">
        <v>0</v>
      </c>
      <c r="E718" s="321">
        <v>0</v>
      </c>
      <c r="F718" s="321">
        <v>0</v>
      </c>
      <c r="G718" s="321">
        <v>0</v>
      </c>
      <c r="H718" s="321">
        <v>0</v>
      </c>
      <c r="I718" s="321">
        <v>0</v>
      </c>
      <c r="J718" s="321">
        <v>0</v>
      </c>
    </row>
    <row r="719" spans="2:10">
      <c r="B719" s="52" t="s">
        <v>166</v>
      </c>
      <c r="C719" s="321">
        <v>0</v>
      </c>
      <c r="D719" s="321">
        <v>0</v>
      </c>
      <c r="E719" s="321">
        <v>0</v>
      </c>
      <c r="F719" s="321">
        <v>0</v>
      </c>
      <c r="G719" s="321">
        <v>0</v>
      </c>
      <c r="H719" s="321">
        <v>0</v>
      </c>
      <c r="I719" s="321">
        <v>0</v>
      </c>
      <c r="J719" s="321">
        <v>0</v>
      </c>
    </row>
    <row r="720" spans="2:10">
      <c r="B720" s="52" t="s">
        <v>165</v>
      </c>
      <c r="C720" s="321">
        <v>0</v>
      </c>
      <c r="D720" s="321">
        <v>0</v>
      </c>
      <c r="E720" s="321">
        <v>0</v>
      </c>
      <c r="F720" s="321">
        <v>0</v>
      </c>
      <c r="G720" s="321">
        <v>0</v>
      </c>
      <c r="H720" s="321">
        <v>0</v>
      </c>
      <c r="I720" s="321">
        <v>0</v>
      </c>
      <c r="J720" s="321">
        <v>0</v>
      </c>
    </row>
    <row r="721" spans="2:10" ht="15" thickBot="1">
      <c r="B721" s="52" t="s">
        <v>164</v>
      </c>
      <c r="C721" s="321">
        <v>0</v>
      </c>
      <c r="D721" s="321">
        <v>0</v>
      </c>
      <c r="E721" s="321">
        <v>0</v>
      </c>
      <c r="F721" s="321">
        <v>0</v>
      </c>
      <c r="G721" s="321">
        <v>0</v>
      </c>
      <c r="H721" s="321">
        <v>0</v>
      </c>
      <c r="I721" s="321">
        <v>0</v>
      </c>
      <c r="J721" s="321">
        <v>0</v>
      </c>
    </row>
    <row r="722" spans="2:10" ht="15" thickTop="1">
      <c r="B722" s="2025" t="s">
        <v>1847</v>
      </c>
      <c r="C722" s="2025"/>
      <c r="D722" s="2025"/>
      <c r="E722" s="2025"/>
      <c r="F722" s="2025"/>
      <c r="G722" s="2025"/>
      <c r="H722" s="2025"/>
      <c r="I722" s="2025"/>
      <c r="J722" s="2025"/>
    </row>
    <row r="723" spans="2:10">
      <c r="B723" s="2017"/>
      <c r="C723" s="2017"/>
      <c r="D723" s="2017"/>
      <c r="E723" s="2017"/>
      <c r="F723" s="2017"/>
      <c r="G723" s="2017"/>
      <c r="H723" s="2017"/>
      <c r="I723" s="2017"/>
      <c r="J723" s="2017"/>
    </row>
    <row r="724" spans="2:10">
      <c r="B724" s="64"/>
      <c r="C724" s="302"/>
      <c r="D724" s="302"/>
      <c r="E724" s="302"/>
      <c r="F724" s="302"/>
      <c r="G724" s="302"/>
      <c r="H724" s="302"/>
      <c r="I724" s="302"/>
      <c r="J724" s="302"/>
    </row>
    <row r="725" spans="2:10">
      <c r="B725" s="2100" t="s">
        <v>199</v>
      </c>
      <c r="C725" s="2100"/>
      <c r="D725" s="2100"/>
      <c r="E725" s="2100"/>
      <c r="F725" s="2100"/>
      <c r="G725" s="2100"/>
      <c r="H725" s="2100"/>
      <c r="I725" s="2100"/>
      <c r="J725" s="2100"/>
    </row>
    <row r="726" spans="2:10">
      <c r="B726" s="12" t="s">
        <v>198</v>
      </c>
      <c r="C726" s="302"/>
      <c r="D726" s="302"/>
      <c r="E726" s="302"/>
      <c r="F726" s="302"/>
      <c r="G726" s="302"/>
      <c r="H726" s="302"/>
      <c r="I726" s="302"/>
      <c r="J726" s="302"/>
    </row>
    <row r="727" spans="2:10">
      <c r="B727" s="62" t="s">
        <v>1845</v>
      </c>
      <c r="C727" s="302"/>
      <c r="D727" s="302"/>
      <c r="E727" s="302"/>
      <c r="F727" s="302"/>
      <c r="G727" s="302"/>
      <c r="H727" s="302"/>
      <c r="I727" s="302"/>
      <c r="J727" s="302"/>
    </row>
    <row r="728" spans="2:10">
      <c r="B728" s="62"/>
      <c r="C728" s="302"/>
      <c r="D728" s="302"/>
      <c r="E728" s="302"/>
      <c r="F728" s="302"/>
      <c r="G728" s="302"/>
      <c r="H728" s="302"/>
      <c r="I728" s="302"/>
      <c r="J728" s="302"/>
    </row>
    <row r="729" spans="2:10">
      <c r="B729" s="61"/>
      <c r="C729" s="303">
        <v>2014</v>
      </c>
      <c r="D729" s="303">
        <v>2015</v>
      </c>
      <c r="E729" s="303">
        <v>2016</v>
      </c>
      <c r="F729" s="303">
        <v>2017</v>
      </c>
      <c r="G729" s="303">
        <v>2018</v>
      </c>
      <c r="H729" s="303">
        <v>2019</v>
      </c>
      <c r="I729" s="303">
        <v>2020</v>
      </c>
      <c r="J729" s="303">
        <v>2021</v>
      </c>
    </row>
    <row r="730" spans="2:10">
      <c r="B730" s="59" t="s">
        <v>1308</v>
      </c>
      <c r="C730" s="302"/>
      <c r="D730" s="302"/>
      <c r="E730" s="302"/>
      <c r="F730" s="302"/>
      <c r="G730" s="302"/>
      <c r="H730" s="302"/>
      <c r="I730" s="302"/>
      <c r="J730" s="302"/>
    </row>
    <row r="731" spans="2:10">
      <c r="B731" s="71" t="s">
        <v>186</v>
      </c>
      <c r="C731" s="306">
        <v>434.79399999999998</v>
      </c>
      <c r="D731" s="306">
        <v>405.79199999999997</v>
      </c>
      <c r="E731" s="306">
        <v>620.80499999999995</v>
      </c>
      <c r="F731" s="306">
        <v>1000.121</v>
      </c>
      <c r="G731" s="306">
        <v>602.298</v>
      </c>
      <c r="H731" s="306">
        <v>625.78200000000004</v>
      </c>
      <c r="I731" s="306">
        <v>437.67700000000002</v>
      </c>
      <c r="J731" s="306">
        <v>547.95088642396615</v>
      </c>
    </row>
    <row r="732" spans="2:10">
      <c r="B732" s="71"/>
      <c r="C732" s="306"/>
      <c r="D732" s="306"/>
      <c r="E732" s="306"/>
      <c r="F732" s="306"/>
      <c r="G732" s="306"/>
      <c r="H732" s="306"/>
      <c r="I732" s="306"/>
      <c r="J732" s="306"/>
    </row>
    <row r="733" spans="2:10">
      <c r="B733" s="71" t="s">
        <v>190</v>
      </c>
      <c r="C733" s="306">
        <v>434.79399999999998</v>
      </c>
      <c r="D733" s="306">
        <v>194.38800000000001</v>
      </c>
      <c r="E733" s="306">
        <v>442.66</v>
      </c>
      <c r="F733" s="306">
        <v>786.90200000000004</v>
      </c>
      <c r="G733" s="306">
        <v>251.18700000000001</v>
      </c>
      <c r="H733" s="306">
        <v>227.673</v>
      </c>
      <c r="I733" s="306">
        <v>258.29300000000001</v>
      </c>
      <c r="J733" s="306">
        <v>242.15491113345669</v>
      </c>
    </row>
    <row r="734" spans="2:10">
      <c r="B734" s="52" t="s">
        <v>121</v>
      </c>
      <c r="C734" s="306">
        <v>151.82900000000001</v>
      </c>
      <c r="D734" s="306">
        <v>12.861000000000001</v>
      </c>
      <c r="E734" s="306">
        <v>265.298</v>
      </c>
      <c r="F734" s="306">
        <v>168.68</v>
      </c>
      <c r="G734" s="306">
        <v>56.741999999999997</v>
      </c>
      <c r="H734" s="306">
        <v>32.457999999999998</v>
      </c>
      <c r="I734" s="306">
        <v>72.796999999999997</v>
      </c>
      <c r="J734" s="306">
        <v>32.944207393715345</v>
      </c>
    </row>
    <row r="735" spans="2:10">
      <c r="B735" s="53" t="s">
        <v>120</v>
      </c>
      <c r="C735" s="306">
        <v>0</v>
      </c>
      <c r="D735" s="306">
        <v>0</v>
      </c>
      <c r="E735" s="306">
        <v>0</v>
      </c>
      <c r="F735" s="306">
        <v>0</v>
      </c>
      <c r="G735" s="306" t="s">
        <v>1187</v>
      </c>
      <c r="H735" s="306" t="s">
        <v>1187</v>
      </c>
      <c r="I735" s="306" t="s">
        <v>1187</v>
      </c>
      <c r="J735" s="306">
        <v>0</v>
      </c>
    </row>
    <row r="736" spans="2:10">
      <c r="B736" s="53" t="s">
        <v>119</v>
      </c>
      <c r="C736" s="306">
        <v>0</v>
      </c>
      <c r="D736" s="306">
        <v>0</v>
      </c>
      <c r="E736" s="306">
        <v>0</v>
      </c>
      <c r="F736" s="306">
        <v>0</v>
      </c>
      <c r="G736" s="306">
        <v>7.375</v>
      </c>
      <c r="H736" s="306">
        <v>3.4359999999999999</v>
      </c>
      <c r="I736" s="306">
        <v>2.2559999999999998</v>
      </c>
      <c r="J736" s="306">
        <v>20.800622240295752</v>
      </c>
    </row>
    <row r="737" spans="2:10">
      <c r="B737" s="53" t="s">
        <v>197</v>
      </c>
      <c r="C737" s="306">
        <v>151.82900000000001</v>
      </c>
      <c r="D737" s="306">
        <v>12.861000000000001</v>
      </c>
      <c r="E737" s="306">
        <v>265.298</v>
      </c>
      <c r="F737" s="306">
        <v>168.68</v>
      </c>
      <c r="G737" s="306">
        <v>49.366999999999997</v>
      </c>
      <c r="H737" s="306">
        <v>29.021999999999998</v>
      </c>
      <c r="I737" s="306">
        <v>70.540000000000006</v>
      </c>
      <c r="J737" s="306">
        <v>12.143585153419592</v>
      </c>
    </row>
    <row r="738" spans="2:10">
      <c r="B738" s="52" t="s">
        <v>118</v>
      </c>
      <c r="C738" s="306">
        <v>174.74100000000001</v>
      </c>
      <c r="D738" s="306">
        <v>181.52699999999999</v>
      </c>
      <c r="E738" s="306">
        <v>177.36199999999999</v>
      </c>
      <c r="F738" s="306">
        <v>618.221</v>
      </c>
      <c r="G738" s="306">
        <v>194.44499999999999</v>
      </c>
      <c r="H738" s="306">
        <v>195.21600000000001</v>
      </c>
      <c r="I738" s="306">
        <v>185.49700000000001</v>
      </c>
      <c r="J738" s="306">
        <v>209.21070373974135</v>
      </c>
    </row>
    <row r="739" spans="2:10">
      <c r="B739" s="52" t="s">
        <v>117</v>
      </c>
      <c r="C739" s="306">
        <v>0</v>
      </c>
      <c r="D739" s="306">
        <v>0</v>
      </c>
      <c r="E739" s="306">
        <v>0</v>
      </c>
      <c r="F739" s="306">
        <v>0</v>
      </c>
      <c r="G739" s="306" t="s">
        <v>1187</v>
      </c>
      <c r="H739" s="306" t="s">
        <v>1187</v>
      </c>
      <c r="I739" s="306" t="s">
        <v>1187</v>
      </c>
      <c r="J739" s="306" t="s">
        <v>1187</v>
      </c>
    </row>
    <row r="740" spans="2:10">
      <c r="B740" s="52"/>
      <c r="C740" s="306"/>
      <c r="D740" s="306"/>
      <c r="E740" s="306"/>
      <c r="F740" s="306"/>
      <c r="G740" s="306"/>
      <c r="H740" s="306"/>
      <c r="I740" s="306"/>
      <c r="J740" s="306"/>
    </row>
    <row r="741" spans="2:10">
      <c r="B741" s="83" t="s">
        <v>187</v>
      </c>
      <c r="C741" s="306">
        <v>108.224</v>
      </c>
      <c r="D741" s="306">
        <v>211.404</v>
      </c>
      <c r="E741" s="306">
        <v>178.14500000000001</v>
      </c>
      <c r="F741" s="306">
        <v>213.21899999999999</v>
      </c>
      <c r="G741" s="306">
        <v>351.11099999999999</v>
      </c>
      <c r="H741" s="306">
        <v>398.108</v>
      </c>
      <c r="I741" s="306">
        <v>179.38399999999999</v>
      </c>
      <c r="J741" s="306">
        <v>305.79597529050943</v>
      </c>
    </row>
    <row r="742" spans="2:10">
      <c r="B742" s="81" t="s">
        <v>121</v>
      </c>
      <c r="C742" s="306">
        <v>0</v>
      </c>
      <c r="D742" s="306">
        <v>0</v>
      </c>
      <c r="E742" s="306">
        <v>0</v>
      </c>
      <c r="F742" s="306">
        <v>0</v>
      </c>
      <c r="G742" s="306" t="s">
        <v>1187</v>
      </c>
      <c r="H742" s="306" t="s">
        <v>1187</v>
      </c>
      <c r="I742" s="306" t="s">
        <v>1187</v>
      </c>
      <c r="J742" s="306" t="s">
        <v>1187</v>
      </c>
    </row>
    <row r="743" spans="2:10">
      <c r="B743" s="82" t="s">
        <v>120</v>
      </c>
      <c r="C743" s="306">
        <v>0</v>
      </c>
      <c r="D743" s="306">
        <v>0</v>
      </c>
      <c r="E743" s="306">
        <v>0</v>
      </c>
      <c r="F743" s="306">
        <v>0</v>
      </c>
      <c r="G743" s="306" t="s">
        <v>1187</v>
      </c>
      <c r="H743" s="306" t="s">
        <v>1187</v>
      </c>
      <c r="I743" s="306" t="s">
        <v>1187</v>
      </c>
      <c r="J743" s="306" t="s">
        <v>1187</v>
      </c>
    </row>
    <row r="744" spans="2:10">
      <c r="B744" s="82" t="s">
        <v>119</v>
      </c>
      <c r="C744" s="306">
        <v>0</v>
      </c>
      <c r="D744" s="306">
        <v>0</v>
      </c>
      <c r="E744" s="306">
        <v>0</v>
      </c>
      <c r="F744" s="306">
        <v>0</v>
      </c>
      <c r="G744" s="306" t="s">
        <v>1187</v>
      </c>
      <c r="H744" s="306" t="s">
        <v>1187</v>
      </c>
      <c r="I744" s="306" t="s">
        <v>1187</v>
      </c>
      <c r="J744" s="306" t="s">
        <v>1187</v>
      </c>
    </row>
    <row r="745" spans="2:10">
      <c r="B745" s="82" t="s">
        <v>172</v>
      </c>
      <c r="C745" s="306">
        <v>0</v>
      </c>
      <c r="D745" s="306">
        <v>0</v>
      </c>
      <c r="E745" s="306">
        <v>0</v>
      </c>
      <c r="F745" s="306">
        <v>0</v>
      </c>
      <c r="G745" s="306" t="s">
        <v>1187</v>
      </c>
      <c r="H745" s="306" t="s">
        <v>1187</v>
      </c>
      <c r="I745" s="306" t="s">
        <v>1187</v>
      </c>
      <c r="J745" s="306" t="s">
        <v>1187</v>
      </c>
    </row>
    <row r="746" spans="2:10">
      <c r="B746" s="81" t="s">
        <v>118</v>
      </c>
      <c r="C746" s="306">
        <v>0</v>
      </c>
      <c r="D746" s="306">
        <v>0</v>
      </c>
      <c r="E746" s="306">
        <v>0</v>
      </c>
      <c r="F746" s="306">
        <v>0</v>
      </c>
      <c r="G746" s="306" t="s">
        <v>1187</v>
      </c>
      <c r="H746" s="306" t="s">
        <v>1187</v>
      </c>
      <c r="I746" s="306" t="s">
        <v>1187</v>
      </c>
      <c r="J746" s="306" t="s">
        <v>1187</v>
      </c>
    </row>
    <row r="747" spans="2:10">
      <c r="B747" s="81" t="s">
        <v>117</v>
      </c>
      <c r="C747" s="306">
        <v>108.224</v>
      </c>
      <c r="D747" s="306">
        <v>211.404</v>
      </c>
      <c r="E747" s="306">
        <v>178.14500000000001</v>
      </c>
      <c r="F747" s="306">
        <v>213.21899999999999</v>
      </c>
      <c r="G747" s="306">
        <v>351.11099999999999</v>
      </c>
      <c r="H747" s="306">
        <v>398.108</v>
      </c>
      <c r="I747" s="306">
        <v>179.38399999999999</v>
      </c>
      <c r="J747" s="306">
        <v>305.79597529050943</v>
      </c>
    </row>
    <row r="748" spans="2:10">
      <c r="B748" s="81"/>
      <c r="C748" s="307"/>
      <c r="D748" s="307"/>
      <c r="E748" s="307"/>
      <c r="F748" s="307"/>
      <c r="G748" s="307"/>
      <c r="H748" s="307"/>
      <c r="I748" s="307"/>
      <c r="J748" s="307"/>
    </row>
    <row r="749" spans="2:10">
      <c r="B749" s="83" t="s">
        <v>173</v>
      </c>
      <c r="C749" s="321">
        <v>0</v>
      </c>
      <c r="D749" s="321">
        <v>0</v>
      </c>
      <c r="E749" s="321">
        <v>0</v>
      </c>
      <c r="F749" s="321">
        <v>0</v>
      </c>
      <c r="G749" s="307">
        <v>0</v>
      </c>
      <c r="H749" s="307">
        <v>0</v>
      </c>
      <c r="I749" s="307">
        <v>0</v>
      </c>
      <c r="J749" s="307">
        <v>0</v>
      </c>
    </row>
    <row r="750" spans="2:10">
      <c r="B750" s="81" t="s">
        <v>121</v>
      </c>
      <c r="C750" s="321">
        <v>0</v>
      </c>
      <c r="D750" s="321">
        <v>0</v>
      </c>
      <c r="E750" s="321">
        <v>0</v>
      </c>
      <c r="F750" s="321">
        <v>0</v>
      </c>
      <c r="G750" s="307">
        <v>0</v>
      </c>
      <c r="H750" s="307">
        <v>0</v>
      </c>
      <c r="I750" s="307">
        <v>0</v>
      </c>
      <c r="J750" s="307">
        <v>0</v>
      </c>
    </row>
    <row r="751" spans="2:10">
      <c r="B751" s="82" t="s">
        <v>120</v>
      </c>
      <c r="C751" s="321">
        <v>0</v>
      </c>
      <c r="D751" s="321">
        <v>0</v>
      </c>
      <c r="E751" s="321">
        <v>0</v>
      </c>
      <c r="F751" s="321">
        <v>0</v>
      </c>
      <c r="G751" s="307">
        <v>0</v>
      </c>
      <c r="H751" s="307">
        <v>0</v>
      </c>
      <c r="I751" s="307">
        <v>0</v>
      </c>
      <c r="J751" s="307">
        <v>0</v>
      </c>
    </row>
    <row r="752" spans="2:10">
      <c r="B752" s="82" t="s">
        <v>119</v>
      </c>
      <c r="C752" s="321">
        <v>0</v>
      </c>
      <c r="D752" s="321">
        <v>0</v>
      </c>
      <c r="E752" s="321">
        <v>0</v>
      </c>
      <c r="F752" s="321">
        <v>0</v>
      </c>
      <c r="G752" s="307">
        <v>0</v>
      </c>
      <c r="H752" s="307">
        <v>0</v>
      </c>
      <c r="I752" s="307">
        <v>0</v>
      </c>
      <c r="J752" s="307">
        <v>0</v>
      </c>
    </row>
    <row r="753" spans="2:10">
      <c r="B753" s="82" t="s">
        <v>197</v>
      </c>
      <c r="C753" s="321">
        <v>0</v>
      </c>
      <c r="D753" s="321">
        <v>0</v>
      </c>
      <c r="E753" s="321">
        <v>0</v>
      </c>
      <c r="F753" s="321">
        <v>0</v>
      </c>
      <c r="G753" s="307">
        <v>0</v>
      </c>
      <c r="H753" s="307">
        <v>0</v>
      </c>
      <c r="I753" s="307">
        <v>0</v>
      </c>
      <c r="J753" s="307">
        <v>0</v>
      </c>
    </row>
    <row r="754" spans="2:10">
      <c r="B754" s="81" t="s">
        <v>118</v>
      </c>
      <c r="C754" s="321">
        <v>0</v>
      </c>
      <c r="D754" s="321">
        <v>0</v>
      </c>
      <c r="E754" s="321">
        <v>0</v>
      </c>
      <c r="F754" s="321">
        <v>0</v>
      </c>
      <c r="G754" s="307">
        <v>0</v>
      </c>
      <c r="H754" s="307">
        <v>0</v>
      </c>
      <c r="I754" s="307">
        <v>0</v>
      </c>
      <c r="J754" s="307">
        <v>0</v>
      </c>
    </row>
    <row r="755" spans="2:10">
      <c r="B755" s="81" t="s">
        <v>117</v>
      </c>
      <c r="C755" s="321">
        <v>0</v>
      </c>
      <c r="D755" s="321">
        <v>0</v>
      </c>
      <c r="E755" s="321">
        <v>0</v>
      </c>
      <c r="F755" s="321">
        <v>0</v>
      </c>
      <c r="G755" s="307">
        <v>0</v>
      </c>
      <c r="H755" s="307">
        <v>0</v>
      </c>
      <c r="I755" s="307">
        <v>0</v>
      </c>
      <c r="J755" s="307">
        <v>0</v>
      </c>
    </row>
    <row r="756" spans="2:10">
      <c r="B756" s="81"/>
      <c r="C756" s="307"/>
      <c r="D756" s="307"/>
      <c r="E756" s="307"/>
      <c r="F756" s="307"/>
      <c r="G756" s="307"/>
      <c r="H756" s="307"/>
      <c r="I756" s="307"/>
      <c r="J756" s="307"/>
    </row>
    <row r="757" spans="2:10">
      <c r="B757" s="71" t="s">
        <v>171</v>
      </c>
      <c r="C757" s="321">
        <v>0</v>
      </c>
      <c r="D757" s="321">
        <v>0</v>
      </c>
      <c r="E757" s="321">
        <v>0</v>
      </c>
      <c r="F757" s="321">
        <v>0</v>
      </c>
      <c r="G757" s="307">
        <v>0</v>
      </c>
      <c r="H757" s="307">
        <v>0</v>
      </c>
      <c r="I757" s="307">
        <v>0</v>
      </c>
      <c r="J757" s="307">
        <v>0</v>
      </c>
    </row>
    <row r="758" spans="2:10">
      <c r="B758" s="52" t="s">
        <v>169</v>
      </c>
      <c r="C758" s="321">
        <v>0</v>
      </c>
      <c r="D758" s="321">
        <v>0</v>
      </c>
      <c r="E758" s="321">
        <v>0</v>
      </c>
      <c r="F758" s="321">
        <v>0</v>
      </c>
      <c r="G758" s="307">
        <v>0</v>
      </c>
      <c r="H758" s="307">
        <v>0</v>
      </c>
      <c r="I758" s="307">
        <v>0</v>
      </c>
      <c r="J758" s="307">
        <v>0</v>
      </c>
    </row>
    <row r="759" spans="2:10">
      <c r="B759" s="52" t="s">
        <v>168</v>
      </c>
      <c r="C759" s="321">
        <v>0</v>
      </c>
      <c r="D759" s="321">
        <v>0</v>
      </c>
      <c r="E759" s="321">
        <v>0</v>
      </c>
      <c r="F759" s="321">
        <v>0</v>
      </c>
      <c r="G759" s="307">
        <v>0</v>
      </c>
      <c r="H759" s="307">
        <v>0</v>
      </c>
      <c r="I759" s="307">
        <v>0</v>
      </c>
      <c r="J759" s="307">
        <v>0</v>
      </c>
    </row>
    <row r="760" spans="2:10">
      <c r="B760" s="52" t="s">
        <v>167</v>
      </c>
      <c r="C760" s="321">
        <v>0</v>
      </c>
      <c r="D760" s="321">
        <v>0</v>
      </c>
      <c r="E760" s="321">
        <v>0</v>
      </c>
      <c r="F760" s="321">
        <v>0</v>
      </c>
      <c r="G760" s="307">
        <v>0</v>
      </c>
      <c r="H760" s="307">
        <v>0</v>
      </c>
      <c r="I760" s="307">
        <v>0</v>
      </c>
      <c r="J760" s="307">
        <v>0</v>
      </c>
    </row>
    <row r="761" spans="2:10">
      <c r="B761" s="52" t="s">
        <v>166</v>
      </c>
      <c r="C761" s="321">
        <v>0</v>
      </c>
      <c r="D761" s="321">
        <v>0</v>
      </c>
      <c r="E761" s="321">
        <v>0</v>
      </c>
      <c r="F761" s="321">
        <v>0</v>
      </c>
      <c r="G761" s="307">
        <v>0</v>
      </c>
      <c r="H761" s="307">
        <v>0</v>
      </c>
      <c r="I761" s="307">
        <v>0</v>
      </c>
      <c r="J761" s="307">
        <v>0</v>
      </c>
    </row>
    <row r="762" spans="2:10">
      <c r="B762" s="52" t="s">
        <v>165</v>
      </c>
      <c r="C762" s="321">
        <v>0</v>
      </c>
      <c r="D762" s="321">
        <v>0</v>
      </c>
      <c r="E762" s="321">
        <v>0</v>
      </c>
      <c r="F762" s="321">
        <v>0</v>
      </c>
      <c r="G762" s="307">
        <v>0</v>
      </c>
      <c r="H762" s="307">
        <v>0</v>
      </c>
      <c r="I762" s="307">
        <v>0</v>
      </c>
      <c r="J762" s="307">
        <v>0</v>
      </c>
    </row>
    <row r="763" spans="2:10">
      <c r="B763" s="52" t="s">
        <v>164</v>
      </c>
      <c r="C763" s="321">
        <v>0</v>
      </c>
      <c r="D763" s="321">
        <v>0</v>
      </c>
      <c r="E763" s="321">
        <v>0</v>
      </c>
      <c r="F763" s="321">
        <v>0</v>
      </c>
      <c r="G763" s="307">
        <v>0</v>
      </c>
      <c r="H763" s="307">
        <v>0</v>
      </c>
      <c r="I763" s="307">
        <v>0</v>
      </c>
      <c r="J763" s="307">
        <v>0</v>
      </c>
    </row>
    <row r="764" spans="2:10">
      <c r="B764" s="52"/>
      <c r="C764" s="307"/>
      <c r="D764" s="307"/>
      <c r="E764" s="307"/>
      <c r="F764" s="307"/>
      <c r="G764" s="307"/>
      <c r="H764" s="307"/>
      <c r="I764" s="307"/>
      <c r="J764" s="307"/>
    </row>
    <row r="765" spans="2:10">
      <c r="B765" s="80" t="s">
        <v>170</v>
      </c>
      <c r="C765" s="321">
        <v>0</v>
      </c>
      <c r="D765" s="321">
        <v>0</v>
      </c>
      <c r="E765" s="321">
        <v>0</v>
      </c>
      <c r="F765" s="321">
        <v>0</v>
      </c>
      <c r="G765" s="307">
        <v>0</v>
      </c>
      <c r="H765" s="307">
        <v>0</v>
      </c>
      <c r="I765" s="307">
        <v>0</v>
      </c>
      <c r="J765" s="307">
        <v>0</v>
      </c>
    </row>
    <row r="766" spans="2:10">
      <c r="B766" s="52" t="s">
        <v>169</v>
      </c>
      <c r="C766" s="321">
        <v>0</v>
      </c>
      <c r="D766" s="321">
        <v>0</v>
      </c>
      <c r="E766" s="321">
        <v>0</v>
      </c>
      <c r="F766" s="321">
        <v>0</v>
      </c>
      <c r="G766" s="307">
        <v>0</v>
      </c>
      <c r="H766" s="307">
        <v>0</v>
      </c>
      <c r="I766" s="307">
        <v>0</v>
      </c>
      <c r="J766" s="307">
        <v>0</v>
      </c>
    </row>
    <row r="767" spans="2:10">
      <c r="B767" s="52" t="s">
        <v>168</v>
      </c>
      <c r="C767" s="321">
        <v>0</v>
      </c>
      <c r="D767" s="321">
        <v>0</v>
      </c>
      <c r="E767" s="321">
        <v>0</v>
      </c>
      <c r="F767" s="321">
        <v>0</v>
      </c>
      <c r="G767" s="307">
        <v>0</v>
      </c>
      <c r="H767" s="307">
        <v>0</v>
      </c>
      <c r="I767" s="307">
        <v>0</v>
      </c>
      <c r="J767" s="307">
        <v>0</v>
      </c>
    </row>
    <row r="768" spans="2:10">
      <c r="B768" s="52" t="s">
        <v>167</v>
      </c>
      <c r="C768" s="321">
        <v>0</v>
      </c>
      <c r="D768" s="321">
        <v>0</v>
      </c>
      <c r="E768" s="321">
        <v>0</v>
      </c>
      <c r="F768" s="321">
        <v>0</v>
      </c>
      <c r="G768" s="307">
        <v>0</v>
      </c>
      <c r="H768" s="307">
        <v>0</v>
      </c>
      <c r="I768" s="307">
        <v>0</v>
      </c>
      <c r="J768" s="307">
        <v>0</v>
      </c>
    </row>
    <row r="769" spans="2:10">
      <c r="B769" s="52" t="s">
        <v>166</v>
      </c>
      <c r="C769" s="321">
        <v>0</v>
      </c>
      <c r="D769" s="321">
        <v>0</v>
      </c>
      <c r="E769" s="321">
        <v>0</v>
      </c>
      <c r="F769" s="321">
        <v>0</v>
      </c>
      <c r="G769" s="307">
        <v>0</v>
      </c>
      <c r="H769" s="307">
        <v>0</v>
      </c>
      <c r="I769" s="307">
        <v>0</v>
      </c>
      <c r="J769" s="307">
        <v>0</v>
      </c>
    </row>
    <row r="770" spans="2:10">
      <c r="B770" s="52" t="s">
        <v>165</v>
      </c>
      <c r="C770" s="321">
        <v>0</v>
      </c>
      <c r="D770" s="321">
        <v>0</v>
      </c>
      <c r="E770" s="321">
        <v>0</v>
      </c>
      <c r="F770" s="321">
        <v>0</v>
      </c>
      <c r="G770" s="307">
        <v>0</v>
      </c>
      <c r="H770" s="307">
        <v>0</v>
      </c>
      <c r="I770" s="307">
        <v>0</v>
      </c>
      <c r="J770" s="307">
        <v>0</v>
      </c>
    </row>
    <row r="771" spans="2:10" ht="15" thickBot="1">
      <c r="B771" s="52" t="s">
        <v>164</v>
      </c>
      <c r="C771" s="321">
        <v>0</v>
      </c>
      <c r="D771" s="321">
        <v>0</v>
      </c>
      <c r="E771" s="321">
        <v>0</v>
      </c>
      <c r="F771" s="321">
        <v>0</v>
      </c>
      <c r="G771" s="307">
        <v>0</v>
      </c>
      <c r="H771" s="307">
        <v>0</v>
      </c>
      <c r="I771" s="307">
        <v>0</v>
      </c>
      <c r="J771" s="307">
        <v>0</v>
      </c>
    </row>
    <row r="772" spans="2:10" ht="15" thickTop="1">
      <c r="B772" s="2025" t="s">
        <v>1847</v>
      </c>
      <c r="C772" s="2025"/>
      <c r="D772" s="2025"/>
      <c r="E772" s="2025"/>
      <c r="F772" s="2025"/>
      <c r="G772" s="2025"/>
      <c r="H772" s="2025"/>
      <c r="I772" s="2025"/>
      <c r="J772" s="2025"/>
    </row>
    <row r="773" spans="2:10">
      <c r="B773" s="2149" t="s">
        <v>1800</v>
      </c>
      <c r="C773" s="2149"/>
      <c r="D773" s="2149"/>
      <c r="E773" s="2149"/>
      <c r="F773" s="2149"/>
      <c r="G773" s="2149"/>
      <c r="H773" s="2149"/>
      <c r="I773" s="2149"/>
      <c r="J773" s="2149"/>
    </row>
    <row r="774" spans="2:10">
      <c r="B774" s="64"/>
      <c r="C774" s="302"/>
      <c r="D774" s="302"/>
      <c r="E774" s="302"/>
      <c r="F774" s="302"/>
      <c r="G774" s="302"/>
      <c r="H774" s="302"/>
      <c r="I774" s="302"/>
      <c r="J774" s="302"/>
    </row>
    <row r="775" spans="2:10">
      <c r="B775" s="2100" t="s">
        <v>161</v>
      </c>
      <c r="C775" s="2100"/>
      <c r="D775" s="2100"/>
      <c r="E775" s="2100"/>
      <c r="F775" s="2100"/>
      <c r="G775" s="2100"/>
      <c r="H775" s="2100"/>
      <c r="I775" s="2100"/>
      <c r="J775" s="2100"/>
    </row>
    <row r="776" spans="2:10">
      <c r="B776" s="12" t="s">
        <v>160</v>
      </c>
      <c r="C776" s="302"/>
      <c r="D776" s="302"/>
      <c r="E776" s="302"/>
      <c r="F776" s="302"/>
      <c r="G776" s="302"/>
      <c r="H776" s="302"/>
      <c r="I776" s="302"/>
      <c r="J776" s="302"/>
    </row>
    <row r="777" spans="2:10">
      <c r="B777" s="77" t="s">
        <v>269</v>
      </c>
      <c r="C777" s="302"/>
      <c r="D777" s="302"/>
      <c r="E777" s="302"/>
      <c r="F777" s="302"/>
      <c r="G777" s="302"/>
      <c r="H777" s="302"/>
      <c r="I777" s="302"/>
      <c r="J777" s="302"/>
    </row>
    <row r="778" spans="2:10">
      <c r="B778" s="76"/>
      <c r="C778" s="302"/>
      <c r="D778" s="302"/>
      <c r="E778" s="302"/>
      <c r="F778" s="302"/>
      <c r="G778" s="302"/>
      <c r="H778" s="302"/>
      <c r="I778" s="302"/>
      <c r="J778" s="302"/>
    </row>
    <row r="779" spans="2:10">
      <c r="B779" s="61"/>
      <c r="C779" s="303">
        <v>2014</v>
      </c>
      <c r="D779" s="303">
        <v>2015</v>
      </c>
      <c r="E779" s="303">
        <v>2016</v>
      </c>
      <c r="F779" s="303">
        <v>2017</v>
      </c>
      <c r="G779" s="303">
        <v>2018</v>
      </c>
      <c r="H779" s="303">
        <v>2019</v>
      </c>
      <c r="I779" s="303">
        <v>2020</v>
      </c>
      <c r="J779" s="303">
        <v>2021</v>
      </c>
    </row>
    <row r="780" spans="2:10">
      <c r="B780" s="59" t="s">
        <v>1308</v>
      </c>
      <c r="C780" s="302"/>
      <c r="D780" s="302"/>
      <c r="E780" s="302"/>
      <c r="F780" s="302"/>
      <c r="G780" s="302"/>
      <c r="H780" s="302"/>
      <c r="I780" s="302"/>
      <c r="J780" s="302"/>
    </row>
    <row r="781" spans="2:10">
      <c r="B781" s="71" t="s">
        <v>516</v>
      </c>
      <c r="C781" s="321">
        <v>13</v>
      </c>
      <c r="D781" s="321">
        <v>13</v>
      </c>
      <c r="E781" s="321">
        <v>13</v>
      </c>
      <c r="F781" s="321">
        <v>12</v>
      </c>
      <c r="G781" s="321">
        <v>12</v>
      </c>
      <c r="H781" s="321">
        <v>12</v>
      </c>
      <c r="I781" s="321">
        <v>12</v>
      </c>
      <c r="J781" s="321">
        <v>13</v>
      </c>
    </row>
    <row r="782" spans="2:10">
      <c r="B782" s="52" t="s">
        <v>150</v>
      </c>
      <c r="C782" s="321">
        <v>1</v>
      </c>
      <c r="D782" s="321">
        <v>1</v>
      </c>
      <c r="E782" s="321">
        <v>1</v>
      </c>
      <c r="F782" s="321">
        <v>1</v>
      </c>
      <c r="G782" s="321">
        <v>1</v>
      </c>
      <c r="H782" s="321">
        <v>1</v>
      </c>
      <c r="I782" s="321">
        <v>1</v>
      </c>
      <c r="J782" s="321">
        <v>1</v>
      </c>
    </row>
    <row r="783" spans="2:10">
      <c r="B783" s="52" t="s">
        <v>149</v>
      </c>
      <c r="C783" s="321">
        <v>0</v>
      </c>
      <c r="D783" s="321">
        <v>0</v>
      </c>
      <c r="E783" s="321">
        <v>0</v>
      </c>
      <c r="F783" s="321">
        <v>0</v>
      </c>
      <c r="G783" s="321">
        <v>0</v>
      </c>
      <c r="H783" s="321">
        <v>0</v>
      </c>
      <c r="I783" s="321">
        <v>0</v>
      </c>
      <c r="J783" s="321">
        <v>0</v>
      </c>
    </row>
    <row r="784" spans="2:10">
      <c r="B784" s="52" t="s">
        <v>148</v>
      </c>
      <c r="C784" s="321">
        <v>1</v>
      </c>
      <c r="D784" s="321">
        <v>1</v>
      </c>
      <c r="E784" s="321">
        <v>1</v>
      </c>
      <c r="F784" s="321">
        <v>1</v>
      </c>
      <c r="G784" s="321">
        <v>1</v>
      </c>
      <c r="H784" s="321">
        <v>1</v>
      </c>
      <c r="I784" s="321">
        <v>1</v>
      </c>
      <c r="J784" s="321">
        <v>1</v>
      </c>
    </row>
    <row r="785" spans="2:10">
      <c r="B785" s="52" t="s">
        <v>147</v>
      </c>
      <c r="C785" s="321">
        <v>4</v>
      </c>
      <c r="D785" s="321">
        <v>4</v>
      </c>
      <c r="E785" s="321">
        <v>4</v>
      </c>
      <c r="F785" s="321">
        <v>4</v>
      </c>
      <c r="G785" s="321">
        <v>4</v>
      </c>
      <c r="H785" s="321">
        <v>4</v>
      </c>
      <c r="I785" s="321">
        <v>4</v>
      </c>
      <c r="J785" s="321">
        <v>4</v>
      </c>
    </row>
    <row r="786" spans="2:10">
      <c r="B786" s="52" t="s">
        <v>146</v>
      </c>
      <c r="C786" s="321">
        <v>7</v>
      </c>
      <c r="D786" s="321">
        <v>7</v>
      </c>
      <c r="E786" s="321">
        <v>7</v>
      </c>
      <c r="F786" s="321">
        <v>6</v>
      </c>
      <c r="G786" s="321">
        <v>6</v>
      </c>
      <c r="H786" s="321">
        <v>6</v>
      </c>
      <c r="I786" s="321">
        <v>6</v>
      </c>
      <c r="J786" s="321">
        <v>7</v>
      </c>
    </row>
    <row r="787" spans="2:10">
      <c r="B787" s="52"/>
      <c r="C787" s="321"/>
      <c r="D787" s="321"/>
      <c r="E787" s="321"/>
      <c r="F787" s="321"/>
      <c r="G787" s="321"/>
      <c r="H787" s="321"/>
      <c r="I787" s="321"/>
      <c r="J787" s="321"/>
    </row>
    <row r="788" spans="2:10">
      <c r="B788" s="71" t="s">
        <v>152</v>
      </c>
      <c r="C788" s="321">
        <v>13</v>
      </c>
      <c r="D788" s="321">
        <v>13</v>
      </c>
      <c r="E788" s="321">
        <v>13</v>
      </c>
      <c r="F788" s="321">
        <v>12</v>
      </c>
      <c r="G788" s="321">
        <v>12</v>
      </c>
      <c r="H788" s="321">
        <v>12</v>
      </c>
      <c r="I788" s="321">
        <v>12</v>
      </c>
      <c r="J788" s="321">
        <v>13</v>
      </c>
    </row>
    <row r="789" spans="2:10">
      <c r="B789" s="52" t="s">
        <v>150</v>
      </c>
      <c r="C789" s="321">
        <v>1</v>
      </c>
      <c r="D789" s="321">
        <v>1</v>
      </c>
      <c r="E789" s="321">
        <v>1</v>
      </c>
      <c r="F789" s="321">
        <v>1</v>
      </c>
      <c r="G789" s="321">
        <v>1</v>
      </c>
      <c r="H789" s="321">
        <v>1</v>
      </c>
      <c r="I789" s="321">
        <v>1</v>
      </c>
      <c r="J789" s="321">
        <v>1</v>
      </c>
    </row>
    <row r="790" spans="2:10">
      <c r="B790" s="52" t="s">
        <v>149</v>
      </c>
      <c r="C790" s="321">
        <v>0</v>
      </c>
      <c r="D790" s="321">
        <v>0</v>
      </c>
      <c r="E790" s="321">
        <v>0</v>
      </c>
      <c r="F790" s="321">
        <v>0</v>
      </c>
      <c r="G790" s="321">
        <v>0</v>
      </c>
      <c r="H790" s="321">
        <v>0</v>
      </c>
      <c r="I790" s="321">
        <v>0</v>
      </c>
      <c r="J790" s="321">
        <v>0</v>
      </c>
    </row>
    <row r="791" spans="2:10">
      <c r="B791" s="52" t="s">
        <v>148</v>
      </c>
      <c r="C791" s="321">
        <v>1</v>
      </c>
      <c r="D791" s="321">
        <v>1</v>
      </c>
      <c r="E791" s="321">
        <v>1</v>
      </c>
      <c r="F791" s="321">
        <v>1</v>
      </c>
      <c r="G791" s="321">
        <v>1</v>
      </c>
      <c r="H791" s="321">
        <v>1</v>
      </c>
      <c r="I791" s="321">
        <v>1</v>
      </c>
      <c r="J791" s="321">
        <v>1</v>
      </c>
    </row>
    <row r="792" spans="2:10">
      <c r="B792" s="52" t="s">
        <v>147</v>
      </c>
      <c r="C792" s="321">
        <v>4</v>
      </c>
      <c r="D792" s="321">
        <v>4</v>
      </c>
      <c r="E792" s="321">
        <v>4</v>
      </c>
      <c r="F792" s="321">
        <v>4</v>
      </c>
      <c r="G792" s="321">
        <v>4</v>
      </c>
      <c r="H792" s="321">
        <v>4</v>
      </c>
      <c r="I792" s="321">
        <v>4</v>
      </c>
      <c r="J792" s="321">
        <v>4</v>
      </c>
    </row>
    <row r="793" spans="2:10">
      <c r="B793" s="52" t="s">
        <v>146</v>
      </c>
      <c r="C793" s="321">
        <v>7</v>
      </c>
      <c r="D793" s="321">
        <v>7</v>
      </c>
      <c r="E793" s="321">
        <v>7</v>
      </c>
      <c r="F793" s="321">
        <v>6</v>
      </c>
      <c r="G793" s="321">
        <v>6</v>
      </c>
      <c r="H793" s="321">
        <v>6</v>
      </c>
      <c r="I793" s="321">
        <v>6</v>
      </c>
      <c r="J793" s="321">
        <v>7</v>
      </c>
    </row>
    <row r="794" spans="2:10">
      <c r="B794" s="52"/>
      <c r="C794" s="321"/>
      <c r="D794" s="321"/>
      <c r="E794" s="321"/>
      <c r="F794" s="321"/>
      <c r="G794" s="321"/>
      <c r="H794" s="321"/>
      <c r="I794" s="321"/>
      <c r="J794" s="321"/>
    </row>
    <row r="795" spans="2:10">
      <c r="B795" s="71" t="s">
        <v>151</v>
      </c>
      <c r="C795" s="321"/>
      <c r="D795" s="321"/>
      <c r="E795" s="321"/>
      <c r="F795" s="321"/>
      <c r="G795" s="321"/>
      <c r="H795" s="321"/>
      <c r="I795" s="321"/>
      <c r="J795" s="321"/>
    </row>
    <row r="796" spans="2:10">
      <c r="B796" s="52" t="s">
        <v>150</v>
      </c>
      <c r="C796" s="321">
        <v>0</v>
      </c>
      <c r="D796" s="321">
        <v>0</v>
      </c>
      <c r="E796" s="321">
        <v>0</v>
      </c>
      <c r="F796" s="321">
        <v>0</v>
      </c>
      <c r="G796" s="321">
        <v>0</v>
      </c>
      <c r="H796" s="321">
        <v>0</v>
      </c>
      <c r="I796" s="321">
        <v>0</v>
      </c>
      <c r="J796" s="321">
        <v>0</v>
      </c>
    </row>
    <row r="797" spans="2:10">
      <c r="B797" s="52" t="s">
        <v>149</v>
      </c>
      <c r="C797" s="321">
        <v>0</v>
      </c>
      <c r="D797" s="321">
        <v>0</v>
      </c>
      <c r="E797" s="321">
        <v>0</v>
      </c>
      <c r="F797" s="321">
        <v>0</v>
      </c>
      <c r="G797" s="321">
        <v>0</v>
      </c>
      <c r="H797" s="321">
        <v>0</v>
      </c>
      <c r="I797" s="321">
        <v>0</v>
      </c>
      <c r="J797" s="321">
        <v>0</v>
      </c>
    </row>
    <row r="798" spans="2:10">
      <c r="B798" s="52" t="s">
        <v>148</v>
      </c>
      <c r="C798" s="321">
        <v>0</v>
      </c>
      <c r="D798" s="321">
        <v>0</v>
      </c>
      <c r="E798" s="321">
        <v>0</v>
      </c>
      <c r="F798" s="321">
        <v>0</v>
      </c>
      <c r="G798" s="321">
        <v>0</v>
      </c>
      <c r="H798" s="321">
        <v>0</v>
      </c>
      <c r="I798" s="321">
        <v>0</v>
      </c>
      <c r="J798" s="321">
        <v>0</v>
      </c>
    </row>
    <row r="799" spans="2:10">
      <c r="B799" s="52" t="s">
        <v>147</v>
      </c>
      <c r="C799" s="321">
        <v>0</v>
      </c>
      <c r="D799" s="321">
        <v>0</v>
      </c>
      <c r="E799" s="321">
        <v>0</v>
      </c>
      <c r="F799" s="321">
        <v>0</v>
      </c>
      <c r="G799" s="321">
        <v>0</v>
      </c>
      <c r="H799" s="321">
        <v>0</v>
      </c>
      <c r="I799" s="321">
        <v>0</v>
      </c>
      <c r="J799" s="321">
        <v>0</v>
      </c>
    </row>
    <row r="800" spans="2:10">
      <c r="B800" s="52" t="s">
        <v>146</v>
      </c>
      <c r="C800" s="321">
        <v>0</v>
      </c>
      <c r="D800" s="321">
        <v>0</v>
      </c>
      <c r="E800" s="321">
        <v>0</v>
      </c>
      <c r="F800" s="321">
        <v>0</v>
      </c>
      <c r="G800" s="321">
        <v>0</v>
      </c>
      <c r="H800" s="321">
        <v>0</v>
      </c>
      <c r="I800" s="321">
        <v>0</v>
      </c>
      <c r="J800" s="321">
        <v>0</v>
      </c>
    </row>
    <row r="801" spans="2:10">
      <c r="B801" s="1018"/>
      <c r="C801" s="321"/>
      <c r="D801" s="321"/>
      <c r="E801" s="321"/>
      <c r="F801" s="321"/>
      <c r="G801" s="321"/>
      <c r="H801" s="321"/>
      <c r="I801" s="321"/>
      <c r="J801" s="321"/>
    </row>
    <row r="802" spans="2:10">
      <c r="B802" s="59" t="s">
        <v>1848</v>
      </c>
      <c r="C802" s="321"/>
      <c r="D802" s="321"/>
      <c r="E802" s="321"/>
      <c r="F802" s="321"/>
      <c r="G802" s="321"/>
      <c r="H802" s="321"/>
      <c r="I802" s="321"/>
      <c r="J802" s="321"/>
    </row>
    <row r="803" spans="2:10">
      <c r="B803" s="71" t="s">
        <v>516</v>
      </c>
      <c r="C803" s="321">
        <v>22</v>
      </c>
      <c r="D803" s="321">
        <v>22</v>
      </c>
      <c r="E803" s="321">
        <v>22</v>
      </c>
      <c r="F803" s="321">
        <v>22</v>
      </c>
      <c r="G803" s="321">
        <v>20</v>
      </c>
      <c r="H803" s="321">
        <v>22</v>
      </c>
      <c r="I803" s="321">
        <v>22</v>
      </c>
      <c r="J803" s="321">
        <v>20</v>
      </c>
    </row>
    <row r="804" spans="2:10">
      <c r="B804" s="52" t="s">
        <v>150</v>
      </c>
      <c r="C804" s="321">
        <v>1</v>
      </c>
      <c r="D804" s="321">
        <v>1</v>
      </c>
      <c r="E804" s="321">
        <v>1</v>
      </c>
      <c r="F804" s="321">
        <v>1</v>
      </c>
      <c r="G804" s="321">
        <v>1</v>
      </c>
      <c r="H804" s="321">
        <v>1</v>
      </c>
      <c r="I804" s="321">
        <v>1</v>
      </c>
      <c r="J804" s="321">
        <v>1</v>
      </c>
    </row>
    <row r="805" spans="2:10">
      <c r="B805" s="52" t="s">
        <v>149</v>
      </c>
      <c r="C805" s="321">
        <v>0</v>
      </c>
      <c r="D805" s="321">
        <v>0</v>
      </c>
      <c r="E805" s="321">
        <v>0</v>
      </c>
      <c r="F805" s="321">
        <v>0</v>
      </c>
      <c r="G805" s="321">
        <v>0</v>
      </c>
      <c r="H805" s="321">
        <v>0</v>
      </c>
      <c r="I805" s="321">
        <v>0</v>
      </c>
      <c r="J805" s="321">
        <v>0</v>
      </c>
    </row>
    <row r="806" spans="2:10">
      <c r="B806" s="52" t="s">
        <v>148</v>
      </c>
      <c r="C806" s="321">
        <v>0</v>
      </c>
      <c r="D806" s="321">
        <v>0</v>
      </c>
      <c r="E806" s="321">
        <v>0</v>
      </c>
      <c r="F806" s="321">
        <v>0</v>
      </c>
      <c r="G806" s="321">
        <v>0</v>
      </c>
      <c r="H806" s="321">
        <v>0</v>
      </c>
      <c r="I806" s="321">
        <v>0</v>
      </c>
      <c r="J806" s="321">
        <v>0</v>
      </c>
    </row>
    <row r="807" spans="2:10">
      <c r="B807" s="52" t="s">
        <v>147</v>
      </c>
      <c r="C807" s="321">
        <v>8</v>
      </c>
      <c r="D807" s="321">
        <v>8</v>
      </c>
      <c r="E807" s="321">
        <v>8</v>
      </c>
      <c r="F807" s="321">
        <v>8</v>
      </c>
      <c r="G807" s="321">
        <v>8</v>
      </c>
      <c r="H807" s="321">
        <v>8</v>
      </c>
      <c r="I807" s="321">
        <v>8</v>
      </c>
      <c r="J807" s="321">
        <v>8</v>
      </c>
    </row>
    <row r="808" spans="2:10">
      <c r="B808" s="52" t="s">
        <v>146</v>
      </c>
      <c r="C808" s="321">
        <v>13</v>
      </c>
      <c r="D808" s="321">
        <v>13</v>
      </c>
      <c r="E808" s="321">
        <v>13</v>
      </c>
      <c r="F808" s="321">
        <v>13</v>
      </c>
      <c r="G808" s="321">
        <v>11</v>
      </c>
      <c r="H808" s="321">
        <v>13</v>
      </c>
      <c r="I808" s="321">
        <v>13</v>
      </c>
      <c r="J808" s="321">
        <v>11</v>
      </c>
    </row>
    <row r="809" spans="2:10">
      <c r="B809" s="52"/>
      <c r="C809" s="321"/>
      <c r="D809" s="321"/>
      <c r="E809" s="321"/>
      <c r="F809" s="321"/>
      <c r="G809" s="321"/>
      <c r="H809" s="321"/>
      <c r="I809" s="321"/>
      <c r="J809" s="321"/>
    </row>
    <row r="810" spans="2:10">
      <c r="B810" s="71" t="s">
        <v>152</v>
      </c>
      <c r="C810" s="321">
        <v>0</v>
      </c>
      <c r="D810" s="321">
        <v>0</v>
      </c>
      <c r="E810" s="321">
        <v>22</v>
      </c>
      <c r="F810" s="321">
        <v>22</v>
      </c>
      <c r="G810" s="321">
        <v>20</v>
      </c>
      <c r="H810" s="321">
        <v>22</v>
      </c>
      <c r="I810" s="321">
        <v>22</v>
      </c>
      <c r="J810" s="321">
        <v>20</v>
      </c>
    </row>
    <row r="811" spans="2:10">
      <c r="B811" s="52" t="s">
        <v>150</v>
      </c>
      <c r="C811" s="321">
        <v>0</v>
      </c>
      <c r="D811" s="321">
        <v>0</v>
      </c>
      <c r="E811" s="321">
        <v>1</v>
      </c>
      <c r="F811" s="321">
        <v>1</v>
      </c>
      <c r="G811" s="321">
        <v>1</v>
      </c>
      <c r="H811" s="321">
        <v>1</v>
      </c>
      <c r="I811" s="321">
        <v>1</v>
      </c>
      <c r="J811" s="321">
        <v>1</v>
      </c>
    </row>
    <row r="812" spans="2:10">
      <c r="B812" s="52" t="s">
        <v>149</v>
      </c>
      <c r="C812" s="321">
        <v>0</v>
      </c>
      <c r="D812" s="321">
        <v>0</v>
      </c>
      <c r="E812" s="321">
        <v>0</v>
      </c>
      <c r="F812" s="321">
        <v>0</v>
      </c>
      <c r="G812" s="321">
        <v>0</v>
      </c>
      <c r="H812" s="321">
        <v>0</v>
      </c>
      <c r="I812" s="321">
        <v>0</v>
      </c>
      <c r="J812" s="321">
        <v>0</v>
      </c>
    </row>
    <row r="813" spans="2:10">
      <c r="B813" s="52" t="s">
        <v>148</v>
      </c>
      <c r="C813" s="321">
        <v>0</v>
      </c>
      <c r="D813" s="321">
        <v>0</v>
      </c>
      <c r="E813" s="321">
        <v>0</v>
      </c>
      <c r="F813" s="321">
        <v>0</v>
      </c>
      <c r="G813" s="321">
        <v>0</v>
      </c>
      <c r="H813" s="321">
        <v>0</v>
      </c>
      <c r="I813" s="321">
        <v>0</v>
      </c>
      <c r="J813" s="321">
        <v>0</v>
      </c>
    </row>
    <row r="814" spans="2:10">
      <c r="B814" s="52" t="s">
        <v>147</v>
      </c>
      <c r="C814" s="321">
        <v>0</v>
      </c>
      <c r="D814" s="321">
        <v>0</v>
      </c>
      <c r="E814" s="321">
        <v>8</v>
      </c>
      <c r="F814" s="321">
        <v>8</v>
      </c>
      <c r="G814" s="321">
        <v>8</v>
      </c>
      <c r="H814" s="321">
        <v>8</v>
      </c>
      <c r="I814" s="321">
        <v>8</v>
      </c>
      <c r="J814" s="321">
        <v>8</v>
      </c>
    </row>
    <row r="815" spans="2:10">
      <c r="B815" s="52" t="s">
        <v>146</v>
      </c>
      <c r="C815" s="321">
        <v>0</v>
      </c>
      <c r="D815" s="321">
        <v>0</v>
      </c>
      <c r="E815" s="321">
        <v>13</v>
      </c>
      <c r="F815" s="321">
        <v>13</v>
      </c>
      <c r="G815" s="321">
        <v>11</v>
      </c>
      <c r="H815" s="321">
        <v>13</v>
      </c>
      <c r="I815" s="321">
        <v>13</v>
      </c>
      <c r="J815" s="321">
        <v>11</v>
      </c>
    </row>
    <row r="816" spans="2:10">
      <c r="B816" s="52"/>
      <c r="C816" s="321"/>
      <c r="D816" s="321"/>
      <c r="E816" s="321"/>
      <c r="F816" s="321"/>
      <c r="G816" s="321"/>
      <c r="H816" s="321"/>
      <c r="I816" s="321"/>
      <c r="J816" s="321"/>
    </row>
    <row r="817" spans="2:10">
      <c r="B817" s="71" t="s">
        <v>152</v>
      </c>
      <c r="C817" s="321">
        <v>0</v>
      </c>
      <c r="D817" s="321">
        <v>0</v>
      </c>
      <c r="E817" s="321">
        <v>0</v>
      </c>
      <c r="F817" s="321">
        <v>0</v>
      </c>
      <c r="G817" s="321">
        <v>0</v>
      </c>
      <c r="H817" s="321">
        <v>0</v>
      </c>
      <c r="I817" s="321">
        <v>0</v>
      </c>
      <c r="J817" s="321">
        <v>0</v>
      </c>
    </row>
    <row r="818" spans="2:10">
      <c r="B818" s="52" t="s">
        <v>150</v>
      </c>
      <c r="C818" s="321">
        <v>0</v>
      </c>
      <c r="D818" s="321">
        <v>0</v>
      </c>
      <c r="E818" s="321">
        <v>0</v>
      </c>
      <c r="F818" s="321">
        <v>0</v>
      </c>
      <c r="G818" s="321">
        <v>0</v>
      </c>
      <c r="H818" s="321">
        <v>0</v>
      </c>
      <c r="I818" s="321">
        <v>0</v>
      </c>
      <c r="J818" s="321">
        <v>0</v>
      </c>
    </row>
    <row r="819" spans="2:10">
      <c r="B819" s="52" t="s">
        <v>149</v>
      </c>
      <c r="C819" s="321">
        <v>0</v>
      </c>
      <c r="D819" s="321">
        <v>0</v>
      </c>
      <c r="E819" s="321">
        <v>0</v>
      </c>
      <c r="F819" s="321">
        <v>0</v>
      </c>
      <c r="G819" s="321">
        <v>0</v>
      </c>
      <c r="H819" s="321">
        <v>0</v>
      </c>
      <c r="I819" s="321">
        <v>0</v>
      </c>
      <c r="J819" s="321">
        <v>0</v>
      </c>
    </row>
    <row r="820" spans="2:10">
      <c r="B820" s="52" t="s">
        <v>148</v>
      </c>
      <c r="C820" s="321">
        <v>0</v>
      </c>
      <c r="D820" s="321">
        <v>0</v>
      </c>
      <c r="E820" s="321">
        <v>0</v>
      </c>
      <c r="F820" s="321">
        <v>0</v>
      </c>
      <c r="G820" s="321">
        <v>0</v>
      </c>
      <c r="H820" s="321">
        <v>0</v>
      </c>
      <c r="I820" s="321">
        <v>0</v>
      </c>
      <c r="J820" s="321">
        <v>0</v>
      </c>
    </row>
    <row r="821" spans="2:10">
      <c r="B821" s="52" t="s">
        <v>147</v>
      </c>
      <c r="C821" s="321">
        <v>0</v>
      </c>
      <c r="D821" s="321">
        <v>0</v>
      </c>
      <c r="E821" s="321">
        <v>0</v>
      </c>
      <c r="F821" s="321">
        <v>0</v>
      </c>
      <c r="G821" s="321">
        <v>0</v>
      </c>
      <c r="H821" s="321">
        <v>0</v>
      </c>
      <c r="I821" s="321">
        <v>0</v>
      </c>
      <c r="J821" s="321">
        <v>0</v>
      </c>
    </row>
    <row r="822" spans="2:10" ht="15" thickBot="1">
      <c r="B822" s="50" t="s">
        <v>146</v>
      </c>
      <c r="C822" s="498">
        <v>0</v>
      </c>
      <c r="D822" s="498">
        <v>0</v>
      </c>
      <c r="E822" s="498">
        <v>0</v>
      </c>
      <c r="F822" s="498">
        <v>0</v>
      </c>
      <c r="G822" s="498">
        <v>0</v>
      </c>
      <c r="H822" s="498">
        <v>0</v>
      </c>
      <c r="I822" s="498">
        <v>0</v>
      </c>
      <c r="J822" s="498">
        <v>0</v>
      </c>
    </row>
    <row r="823" spans="2:10" ht="15" thickTop="1">
      <c r="B823" s="2025" t="s">
        <v>1849</v>
      </c>
      <c r="C823" s="2025"/>
      <c r="D823" s="2025"/>
      <c r="E823" s="2025"/>
      <c r="F823" s="2025"/>
      <c r="G823" s="2025"/>
      <c r="H823" s="2025"/>
      <c r="I823" s="2025"/>
      <c r="J823" s="2025"/>
    </row>
    <row r="824" spans="2:10">
      <c r="B824" s="2017"/>
      <c r="C824" s="2017"/>
      <c r="D824" s="2017"/>
      <c r="E824" s="2017"/>
      <c r="F824" s="2017"/>
      <c r="G824" s="2017"/>
      <c r="H824" s="2017"/>
      <c r="I824" s="2017"/>
      <c r="J824" s="2017"/>
    </row>
    <row r="825" spans="2:10">
      <c r="B825" s="62"/>
      <c r="C825" s="302"/>
      <c r="D825" s="302"/>
      <c r="E825" s="302"/>
      <c r="F825" s="302"/>
      <c r="G825" s="302"/>
      <c r="H825" s="302"/>
      <c r="I825" s="302"/>
      <c r="J825" s="302"/>
    </row>
    <row r="826" spans="2:10">
      <c r="B826" s="2100" t="s">
        <v>144</v>
      </c>
      <c r="C826" s="2100"/>
      <c r="D826" s="2100"/>
      <c r="E826" s="2100"/>
      <c r="F826" s="2100"/>
      <c r="G826" s="2100"/>
      <c r="H826" s="2100"/>
      <c r="I826" s="2100"/>
      <c r="J826" s="2100"/>
    </row>
    <row r="827" spans="2:10">
      <c r="B827" s="12" t="s">
        <v>143</v>
      </c>
      <c r="C827" s="302"/>
      <c r="D827" s="302"/>
      <c r="E827" s="302"/>
      <c r="F827" s="302"/>
      <c r="G827" s="302"/>
      <c r="H827" s="302"/>
      <c r="I827" s="302"/>
      <c r="J827" s="302"/>
    </row>
    <row r="828" spans="2:10">
      <c r="B828" s="62" t="s">
        <v>142</v>
      </c>
      <c r="C828" s="302"/>
      <c r="D828" s="302"/>
      <c r="E828" s="302"/>
      <c r="F828" s="302"/>
      <c r="G828" s="302"/>
      <c r="H828" s="302"/>
      <c r="I828" s="302"/>
      <c r="J828" s="302"/>
    </row>
    <row r="829" spans="2:10">
      <c r="B829" s="62"/>
      <c r="C829" s="302"/>
      <c r="D829" s="302"/>
      <c r="E829" s="302"/>
      <c r="F829" s="302"/>
      <c r="G829" s="302"/>
      <c r="H829" s="302"/>
      <c r="I829" s="302"/>
      <c r="J829" s="302"/>
    </row>
    <row r="830" spans="2:10">
      <c r="B830" s="61"/>
      <c r="C830" s="303">
        <v>2014</v>
      </c>
      <c r="D830" s="303">
        <v>2015</v>
      </c>
      <c r="E830" s="303">
        <v>2016</v>
      </c>
      <c r="F830" s="303">
        <v>2017</v>
      </c>
      <c r="G830" s="303">
        <v>2018</v>
      </c>
      <c r="H830" s="303">
        <v>2019</v>
      </c>
      <c r="I830" s="303">
        <v>2020</v>
      </c>
      <c r="J830" s="303">
        <v>2021</v>
      </c>
    </row>
    <row r="831" spans="2:10">
      <c r="B831" s="59" t="s">
        <v>1308</v>
      </c>
      <c r="C831" s="302"/>
      <c r="D831" s="302"/>
      <c r="E831" s="302"/>
      <c r="F831" s="302"/>
      <c r="G831" s="302"/>
      <c r="H831" s="302"/>
      <c r="I831" s="302"/>
      <c r="J831" s="302"/>
    </row>
    <row r="832" spans="2:10">
      <c r="B832" s="71" t="s">
        <v>141</v>
      </c>
      <c r="C832" s="867">
        <v>3.2000000000000001E-2</v>
      </c>
      <c r="D832" s="867">
        <v>6.2E-2</v>
      </c>
      <c r="E832" s="867">
        <v>0.12</v>
      </c>
      <c r="F832" s="867">
        <v>0.13500000000000001</v>
      </c>
      <c r="G832" s="867">
        <v>0.13400000000000001</v>
      </c>
      <c r="H832" s="867">
        <v>0.122</v>
      </c>
      <c r="I832" s="867">
        <v>0.14299999999999999</v>
      </c>
      <c r="J832" s="867">
        <v>0.21</v>
      </c>
    </row>
    <row r="833" spans="2:10">
      <c r="B833" s="52" t="s">
        <v>121</v>
      </c>
      <c r="C833" s="867">
        <v>0</v>
      </c>
      <c r="D833" s="867">
        <v>2.8000000000000001E-2</v>
      </c>
      <c r="E833" s="867">
        <v>8.5999999999999993E-2</v>
      </c>
      <c r="F833" s="867">
        <v>0.10199999999999999</v>
      </c>
      <c r="G833" s="867">
        <v>0.10200000000000001</v>
      </c>
      <c r="H833" s="867">
        <v>8.8999999999999996E-2</v>
      </c>
      <c r="I833" s="867">
        <v>0.111</v>
      </c>
      <c r="J833" s="867">
        <v>0.18099999999999999</v>
      </c>
    </row>
    <row r="834" spans="2:10">
      <c r="B834" s="53" t="s">
        <v>120</v>
      </c>
      <c r="C834" s="867">
        <v>0</v>
      </c>
      <c r="D834" s="867">
        <v>2.8000000000000001E-2</v>
      </c>
      <c r="E834" s="867">
        <v>8.5999999999999993E-2</v>
      </c>
      <c r="F834" s="867">
        <v>0.10199999999999999</v>
      </c>
      <c r="G834" s="867">
        <v>9.9000000000000005E-2</v>
      </c>
      <c r="H834" s="867">
        <v>8.5999999999999993E-2</v>
      </c>
      <c r="I834" s="867">
        <v>0.108</v>
      </c>
      <c r="J834" s="867">
        <v>0.17799999999999999</v>
      </c>
    </row>
    <row r="835" spans="2:10">
      <c r="B835" s="53" t="s">
        <v>119</v>
      </c>
      <c r="C835" s="867">
        <v>0</v>
      </c>
      <c r="D835" s="867">
        <v>2E-3</v>
      </c>
      <c r="E835" s="867">
        <v>0</v>
      </c>
      <c r="F835" s="867">
        <v>0</v>
      </c>
      <c r="G835" s="867">
        <v>3.0000000000000001E-3</v>
      </c>
      <c r="H835" s="867">
        <v>3.0000000000000001E-3</v>
      </c>
      <c r="I835" s="867">
        <v>3.0000000000000001E-3</v>
      </c>
      <c r="J835" s="867">
        <v>3.0000000000000001E-3</v>
      </c>
    </row>
    <row r="836" spans="2:10">
      <c r="B836" s="52" t="s">
        <v>118</v>
      </c>
      <c r="C836" s="867">
        <v>3.1E-2</v>
      </c>
      <c r="D836" s="867">
        <v>0.03</v>
      </c>
      <c r="E836" s="867">
        <v>2.9000000000000001E-2</v>
      </c>
      <c r="F836" s="867">
        <v>2.9000000000000001E-2</v>
      </c>
      <c r="G836" s="867">
        <v>2.9000000000000001E-2</v>
      </c>
      <c r="H836" s="867">
        <v>0.03</v>
      </c>
      <c r="I836" s="867">
        <v>2.9000000000000001E-2</v>
      </c>
      <c r="J836" s="867">
        <v>2.7E-2</v>
      </c>
    </row>
    <row r="837" spans="2:10">
      <c r="B837" s="52" t="s">
        <v>117</v>
      </c>
      <c r="C837" s="867">
        <v>1E-3</v>
      </c>
      <c r="D837" s="867">
        <v>4.0000000000000001E-3</v>
      </c>
      <c r="E837" s="867">
        <v>5.0000000000000001E-3</v>
      </c>
      <c r="F837" s="867">
        <v>4.0000000000000001E-3</v>
      </c>
      <c r="G837" s="867">
        <v>3.0000000000000001E-3</v>
      </c>
      <c r="H837" s="867">
        <v>3.0000000000000001E-3</v>
      </c>
      <c r="I837" s="867">
        <v>3.0000000000000001E-3</v>
      </c>
      <c r="J837" s="867">
        <v>2E-3</v>
      </c>
    </row>
    <row r="838" spans="2:10">
      <c r="B838" s="71"/>
      <c r="C838" s="321"/>
      <c r="D838" s="321"/>
      <c r="E838" s="321"/>
      <c r="F838" s="321"/>
      <c r="G838" s="321"/>
      <c r="H838" s="952"/>
      <c r="I838" s="952"/>
      <c r="J838" s="952"/>
    </row>
    <row r="839" spans="2:10">
      <c r="B839" s="59" t="s">
        <v>1848</v>
      </c>
      <c r="C839" s="321"/>
      <c r="D839" s="321"/>
      <c r="E839" s="321"/>
      <c r="F839" s="321"/>
      <c r="G839" s="321"/>
      <c r="H839" s="952"/>
      <c r="I839" s="952"/>
      <c r="J839" s="952"/>
    </row>
    <row r="840" spans="2:10">
      <c r="B840" s="71" t="s">
        <v>141</v>
      </c>
      <c r="C840" s="321">
        <v>0</v>
      </c>
      <c r="D840" s="321">
        <v>0.23499999999999999</v>
      </c>
      <c r="E840" s="867">
        <v>0.15</v>
      </c>
      <c r="F840" s="867">
        <v>0.192</v>
      </c>
      <c r="G840" s="867">
        <v>0.16700000000000001</v>
      </c>
      <c r="H840" s="1006">
        <v>0.129</v>
      </c>
      <c r="I840" s="1006">
        <v>8.7999999999999995E-2</v>
      </c>
      <c r="J840" s="1006">
        <v>0.108</v>
      </c>
    </row>
    <row r="841" spans="2:10">
      <c r="B841" s="52" t="s">
        <v>121</v>
      </c>
      <c r="C841" s="321">
        <v>0</v>
      </c>
      <c r="D841" s="321">
        <v>0.23499999999999999</v>
      </c>
      <c r="E841" s="867">
        <v>0.15</v>
      </c>
      <c r="F841" s="867">
        <v>0.192</v>
      </c>
      <c r="G841" s="867">
        <v>0.16700000000000001</v>
      </c>
      <c r="H841" s="1006">
        <v>0.129</v>
      </c>
      <c r="I841" s="1006">
        <v>8.7999999999999995E-2</v>
      </c>
      <c r="J841" s="1006">
        <v>0.108</v>
      </c>
    </row>
    <row r="842" spans="2:10">
      <c r="B842" s="53" t="s">
        <v>120</v>
      </c>
      <c r="C842" s="321">
        <v>0</v>
      </c>
      <c r="D842" s="321">
        <v>0.19600000000000001</v>
      </c>
      <c r="E842" s="867">
        <v>9.8000000000000004E-2</v>
      </c>
      <c r="F842" s="867">
        <v>0.14299999999999999</v>
      </c>
      <c r="G842" s="867">
        <v>0.121</v>
      </c>
      <c r="H842" s="1006">
        <v>8.8999999999999996E-2</v>
      </c>
      <c r="I842" s="1006">
        <v>5.0999999999999997E-2</v>
      </c>
      <c r="J842" s="1006">
        <v>7.2999999999999995E-2</v>
      </c>
    </row>
    <row r="843" spans="2:10">
      <c r="B843" s="53" t="s">
        <v>119</v>
      </c>
      <c r="C843" s="321">
        <v>0</v>
      </c>
      <c r="D843" s="321">
        <v>3.9E-2</v>
      </c>
      <c r="E843" s="867">
        <v>5.1999999999999998E-2</v>
      </c>
      <c r="F843" s="867">
        <v>4.9000000000000002E-2</v>
      </c>
      <c r="G843" s="867">
        <v>4.5999999999999999E-2</v>
      </c>
      <c r="H843" s="1006">
        <v>0.04</v>
      </c>
      <c r="I843" s="1006">
        <v>3.6999999999999998E-2</v>
      </c>
      <c r="J843" s="1006">
        <v>3.5000000000000003E-2</v>
      </c>
    </row>
    <row r="844" spans="2:10">
      <c r="B844" s="52" t="s">
        <v>118</v>
      </c>
      <c r="C844" s="321">
        <v>0</v>
      </c>
      <c r="D844" s="321">
        <v>0</v>
      </c>
      <c r="E844" s="321">
        <v>0</v>
      </c>
      <c r="F844" s="321">
        <v>0</v>
      </c>
      <c r="G844" s="321">
        <v>0</v>
      </c>
      <c r="H844" s="952">
        <v>0</v>
      </c>
      <c r="I844" s="952">
        <v>0</v>
      </c>
      <c r="J844" s="952">
        <v>0</v>
      </c>
    </row>
    <row r="845" spans="2:10" ht="15" thickBot="1">
      <c r="B845" s="50" t="s">
        <v>117</v>
      </c>
      <c r="C845" s="498">
        <v>0</v>
      </c>
      <c r="D845" s="498">
        <v>0</v>
      </c>
      <c r="E845" s="498">
        <v>0</v>
      </c>
      <c r="F845" s="498">
        <v>0</v>
      </c>
      <c r="G845" s="498">
        <v>0</v>
      </c>
      <c r="H845" s="1347">
        <v>0</v>
      </c>
      <c r="I845" s="1347">
        <v>0</v>
      </c>
      <c r="J845" s="1347">
        <v>0</v>
      </c>
    </row>
    <row r="846" spans="2:10" ht="15" thickTop="1">
      <c r="B846" s="2025" t="s">
        <v>1850</v>
      </c>
      <c r="C846" s="2025"/>
      <c r="D846" s="2025"/>
      <c r="E846" s="2025"/>
      <c r="F846" s="2025"/>
      <c r="G846" s="2025"/>
      <c r="H846" s="2025"/>
      <c r="I846" s="2025"/>
      <c r="J846" s="2025"/>
    </row>
    <row r="847" spans="2:10">
      <c r="B847" s="2017"/>
      <c r="C847" s="2017"/>
      <c r="D847" s="2017"/>
      <c r="E847" s="2017"/>
      <c r="F847" s="2017"/>
      <c r="G847" s="2017"/>
      <c r="H847" s="2017"/>
      <c r="I847" s="2017"/>
      <c r="J847" s="2017"/>
    </row>
    <row r="848" spans="2:10">
      <c r="B848" s="64"/>
      <c r="C848" s="302"/>
      <c r="D848" s="302"/>
      <c r="E848" s="302"/>
      <c r="F848" s="302"/>
      <c r="G848" s="302"/>
      <c r="H848" s="302"/>
      <c r="I848" s="302"/>
      <c r="J848" s="302"/>
    </row>
    <row r="849" spans="2:10">
      <c r="B849" s="2100" t="s">
        <v>140</v>
      </c>
      <c r="C849" s="2100"/>
      <c r="D849" s="2100"/>
      <c r="E849" s="2100"/>
      <c r="F849" s="2100"/>
      <c r="G849" s="2100"/>
      <c r="H849" s="2100"/>
      <c r="I849" s="2100"/>
      <c r="J849" s="2100"/>
    </row>
    <row r="850" spans="2:10">
      <c r="B850" s="12" t="s">
        <v>139</v>
      </c>
      <c r="C850" s="302"/>
      <c r="D850" s="302"/>
      <c r="E850" s="302"/>
      <c r="F850" s="302"/>
      <c r="G850" s="302"/>
      <c r="H850" s="302"/>
      <c r="I850" s="302"/>
      <c r="J850" s="302"/>
    </row>
    <row r="851" spans="2:10">
      <c r="B851" s="62" t="s">
        <v>1851</v>
      </c>
      <c r="C851" s="302"/>
      <c r="D851" s="302"/>
      <c r="E851" s="302"/>
      <c r="F851" s="302"/>
      <c r="G851" s="302"/>
      <c r="H851" s="302"/>
      <c r="I851" s="302"/>
      <c r="J851" s="302"/>
    </row>
    <row r="852" spans="2:10">
      <c r="B852" s="64"/>
      <c r="C852" s="302"/>
      <c r="D852" s="302"/>
      <c r="E852" s="302"/>
      <c r="F852" s="302"/>
      <c r="G852" s="302"/>
      <c r="H852" s="302"/>
      <c r="I852" s="302"/>
      <c r="J852" s="302"/>
    </row>
    <row r="853" spans="2:10">
      <c r="B853" s="61"/>
      <c r="C853" s="303">
        <v>2014</v>
      </c>
      <c r="D853" s="303">
        <v>2015</v>
      </c>
      <c r="E853" s="303">
        <v>2016</v>
      </c>
      <c r="F853" s="303">
        <v>2017</v>
      </c>
      <c r="G853" s="303">
        <v>2018</v>
      </c>
      <c r="H853" s="303">
        <v>2019</v>
      </c>
      <c r="I853" s="303">
        <v>2020</v>
      </c>
      <c r="J853" s="303">
        <v>2021</v>
      </c>
    </row>
    <row r="854" spans="2:10">
      <c r="B854" s="59" t="s">
        <v>1852</v>
      </c>
      <c r="C854" s="302"/>
      <c r="D854" s="302"/>
      <c r="E854" s="302"/>
      <c r="F854" s="302"/>
      <c r="G854" s="302"/>
      <c r="H854" s="302"/>
      <c r="I854" s="302"/>
      <c r="J854" s="302"/>
    </row>
    <row r="855" spans="2:10">
      <c r="B855" s="71" t="s">
        <v>137</v>
      </c>
      <c r="C855" s="307">
        <v>0</v>
      </c>
      <c r="D855" s="307">
        <v>412.15300000000002</v>
      </c>
      <c r="E855" s="306">
        <v>10216.918</v>
      </c>
      <c r="F855" s="306">
        <v>9676.5409999999993</v>
      </c>
      <c r="G855" s="306">
        <v>10413.084999999999</v>
      </c>
      <c r="H855" s="306">
        <v>12827.126</v>
      </c>
      <c r="I855" s="306">
        <v>12349.394</v>
      </c>
      <c r="J855" s="306">
        <v>14898.980049589056</v>
      </c>
    </row>
    <row r="856" spans="2:10">
      <c r="B856" s="52" t="s">
        <v>121</v>
      </c>
      <c r="C856" s="307">
        <v>0</v>
      </c>
      <c r="D856" s="307">
        <v>412.15300000000002</v>
      </c>
      <c r="E856" s="306">
        <v>277.18</v>
      </c>
      <c r="F856" s="306">
        <v>336.28399999999999</v>
      </c>
      <c r="G856" s="306">
        <v>960.73500000000001</v>
      </c>
      <c r="H856" s="306">
        <v>922.48800000000006</v>
      </c>
      <c r="I856" s="306">
        <v>917.125</v>
      </c>
      <c r="J856" s="306">
        <v>1188.3148104541219</v>
      </c>
    </row>
    <row r="857" spans="2:10">
      <c r="B857" s="53" t="s">
        <v>120</v>
      </c>
      <c r="C857" s="307">
        <v>0</v>
      </c>
      <c r="D857" s="307">
        <v>412.15300000000002</v>
      </c>
      <c r="E857" s="306">
        <v>277.18</v>
      </c>
      <c r="F857" s="306">
        <v>336.28399999999999</v>
      </c>
      <c r="G857" s="306">
        <v>340.21300000000002</v>
      </c>
      <c r="H857" s="306">
        <v>314.61799999999999</v>
      </c>
      <c r="I857" s="306">
        <v>311.84899999999999</v>
      </c>
      <c r="J857" s="306">
        <v>577.84826701604436</v>
      </c>
    </row>
    <row r="858" spans="2:10">
      <c r="B858" s="53" t="s">
        <v>119</v>
      </c>
      <c r="C858" s="307">
        <v>0</v>
      </c>
      <c r="D858" s="307">
        <v>25.684999999999999</v>
      </c>
      <c r="E858" s="306">
        <v>0</v>
      </c>
      <c r="F858" s="306">
        <v>0</v>
      </c>
      <c r="G858" s="306">
        <v>620.52200000000005</v>
      </c>
      <c r="H858" s="306">
        <v>607.87099999999998</v>
      </c>
      <c r="I858" s="306">
        <v>605.27499999999998</v>
      </c>
      <c r="J858" s="306">
        <v>610.46654343807757</v>
      </c>
    </row>
    <row r="859" spans="2:10">
      <c r="B859" s="52" t="s">
        <v>118</v>
      </c>
      <c r="C859" s="307">
        <v>0</v>
      </c>
      <c r="D859" s="307">
        <v>0</v>
      </c>
      <c r="E859" s="306">
        <v>9288.4490000000005</v>
      </c>
      <c r="F859" s="306">
        <v>8752.4639999999999</v>
      </c>
      <c r="G859" s="306">
        <v>8914.8580000000002</v>
      </c>
      <c r="H859" s="306">
        <v>11157.558999999999</v>
      </c>
      <c r="I859" s="306">
        <v>10767.73</v>
      </c>
      <c r="J859" s="306">
        <v>12902.270187979295</v>
      </c>
    </row>
    <row r="860" spans="2:10" ht="15" thickBot="1">
      <c r="B860" s="52" t="s">
        <v>117</v>
      </c>
      <c r="C860" s="307">
        <v>0</v>
      </c>
      <c r="D860" s="307">
        <v>0</v>
      </c>
      <c r="E860" s="306">
        <v>651.29</v>
      </c>
      <c r="F860" s="306">
        <v>587.79300000000001</v>
      </c>
      <c r="G860" s="306">
        <v>537.49199999999996</v>
      </c>
      <c r="H860" s="306">
        <v>747.07899999999995</v>
      </c>
      <c r="I860" s="306">
        <v>664.54</v>
      </c>
      <c r="J860" s="306">
        <v>808.39505115563782</v>
      </c>
    </row>
    <row r="861" spans="2:10" ht="15" thickTop="1">
      <c r="B861" s="2025" t="s">
        <v>1853</v>
      </c>
      <c r="C861" s="2025"/>
      <c r="D861" s="2025"/>
      <c r="E861" s="2025"/>
      <c r="F861" s="2025"/>
      <c r="G861" s="2025"/>
      <c r="H861" s="2025"/>
      <c r="I861" s="2025"/>
      <c r="J861" s="2025"/>
    </row>
    <row r="862" spans="2:10">
      <c r="B862" s="2149" t="s">
        <v>1854</v>
      </c>
      <c r="C862" s="2149"/>
      <c r="D862" s="2149"/>
      <c r="E862" s="2149"/>
      <c r="F862" s="2149"/>
      <c r="G862" s="2149"/>
      <c r="H862" s="2149"/>
      <c r="I862" s="2149"/>
      <c r="J862" s="2149"/>
    </row>
    <row r="863" spans="2:10">
      <c r="B863" s="64"/>
      <c r="C863" s="302"/>
      <c r="D863" s="302"/>
      <c r="E863" s="302"/>
      <c r="F863" s="302"/>
      <c r="G863" s="302"/>
      <c r="H863" s="302"/>
      <c r="I863" s="302"/>
      <c r="J863" s="302"/>
    </row>
    <row r="864" spans="2:10">
      <c r="B864" s="2100" t="s">
        <v>133</v>
      </c>
      <c r="C864" s="2100"/>
      <c r="D864" s="2100"/>
      <c r="E864" s="2100"/>
      <c r="F864" s="2100"/>
      <c r="G864" s="2100"/>
      <c r="H864" s="2100"/>
      <c r="I864" s="2100"/>
      <c r="J864" s="2100"/>
    </row>
    <row r="865" spans="2:10">
      <c r="B865" s="12" t="s">
        <v>132</v>
      </c>
      <c r="C865" s="302"/>
      <c r="D865" s="302"/>
      <c r="E865" s="302"/>
      <c r="F865" s="302"/>
      <c r="G865" s="302"/>
      <c r="H865" s="302"/>
      <c r="I865" s="302"/>
      <c r="J865" s="302"/>
    </row>
    <row r="866" spans="2:10">
      <c r="B866" s="62" t="s">
        <v>131</v>
      </c>
      <c r="C866" s="302"/>
      <c r="D866" s="302"/>
      <c r="E866" s="302"/>
      <c r="F866" s="302"/>
      <c r="G866" s="302"/>
      <c r="H866" s="302"/>
      <c r="I866" s="302"/>
      <c r="J866" s="302"/>
    </row>
    <row r="867" spans="2:10">
      <c r="B867" s="62"/>
      <c r="C867" s="302"/>
      <c r="D867" s="302"/>
      <c r="E867" s="302"/>
      <c r="F867" s="302"/>
      <c r="G867" s="302"/>
      <c r="H867" s="302"/>
      <c r="I867" s="302"/>
      <c r="J867" s="302"/>
    </row>
    <row r="868" spans="2:10">
      <c r="B868" s="61"/>
      <c r="C868" s="303">
        <v>2014</v>
      </c>
      <c r="D868" s="303">
        <v>2015</v>
      </c>
      <c r="E868" s="303">
        <v>2016</v>
      </c>
      <c r="F868" s="303">
        <v>2017</v>
      </c>
      <c r="G868" s="303">
        <v>2018</v>
      </c>
      <c r="H868" s="303">
        <v>2019</v>
      </c>
      <c r="I868" s="303">
        <v>2020</v>
      </c>
      <c r="J868" s="303">
        <v>2021</v>
      </c>
    </row>
    <row r="869" spans="2:10">
      <c r="B869" s="71" t="s">
        <v>130</v>
      </c>
      <c r="C869" s="867">
        <v>0.27200000000000002</v>
      </c>
      <c r="D869" s="867">
        <v>0.71499999999999997</v>
      </c>
      <c r="E869" s="867">
        <v>1.621</v>
      </c>
      <c r="F869" s="867">
        <v>0.52</v>
      </c>
      <c r="G869" s="867">
        <v>0.157</v>
      </c>
      <c r="H869" s="867">
        <v>0.13500000000000001</v>
      </c>
      <c r="I869" s="867">
        <v>0.26500000000000001</v>
      </c>
      <c r="J869" s="867">
        <v>0.18</v>
      </c>
    </row>
    <row r="870" spans="2:10">
      <c r="B870" s="71"/>
      <c r="C870" s="867"/>
      <c r="D870" s="867"/>
      <c r="E870" s="867"/>
      <c r="F870" s="867"/>
      <c r="G870" s="867"/>
      <c r="H870" s="867"/>
      <c r="I870" s="867"/>
      <c r="J870" s="867"/>
    </row>
    <row r="871" spans="2:10">
      <c r="B871" s="59" t="s">
        <v>1852</v>
      </c>
      <c r="C871" s="867"/>
      <c r="D871" s="867"/>
      <c r="E871" s="867"/>
      <c r="F871" s="867"/>
      <c r="G871" s="867"/>
      <c r="H871" s="867"/>
      <c r="I871" s="867"/>
      <c r="J871" s="867"/>
    </row>
    <row r="872" spans="2:10">
      <c r="B872" s="54" t="s">
        <v>123</v>
      </c>
      <c r="C872" s="867">
        <v>0.27200000000000002</v>
      </c>
      <c r="D872" s="867">
        <v>0.71</v>
      </c>
      <c r="E872" s="867">
        <v>1.611</v>
      </c>
      <c r="F872" s="867">
        <v>0.503</v>
      </c>
      <c r="G872" s="867">
        <v>0.129</v>
      </c>
      <c r="H872" s="860">
        <v>0.12937000000000001</v>
      </c>
      <c r="I872" s="860">
        <v>0.14011999999999999</v>
      </c>
      <c r="J872">
        <v>0.15</v>
      </c>
    </row>
    <row r="873" spans="2:10">
      <c r="B873" s="52" t="s">
        <v>121</v>
      </c>
      <c r="C873" s="867">
        <v>0</v>
      </c>
      <c r="D873" s="867">
        <v>0</v>
      </c>
      <c r="E873" s="867">
        <v>0</v>
      </c>
      <c r="F873" s="867">
        <v>0</v>
      </c>
      <c r="G873" s="867">
        <v>0</v>
      </c>
      <c r="H873" s="867">
        <v>0</v>
      </c>
      <c r="I873" s="867">
        <v>0</v>
      </c>
      <c r="J873" s="860" t="s">
        <v>2086</v>
      </c>
    </row>
    <row r="874" spans="2:10">
      <c r="B874" s="53" t="s">
        <v>120</v>
      </c>
      <c r="C874" s="867">
        <v>0</v>
      </c>
      <c r="D874" s="867">
        <v>0</v>
      </c>
      <c r="E874" s="867">
        <v>0</v>
      </c>
      <c r="F874" s="867">
        <v>0</v>
      </c>
      <c r="G874" s="867">
        <v>0</v>
      </c>
      <c r="H874" s="867">
        <v>0</v>
      </c>
      <c r="I874" s="867">
        <v>0</v>
      </c>
      <c r="J874" s="867">
        <v>0</v>
      </c>
    </row>
    <row r="875" spans="2:10">
      <c r="B875" s="53" t="s">
        <v>119</v>
      </c>
      <c r="C875" s="867">
        <v>0</v>
      </c>
      <c r="D875" s="867">
        <v>0</v>
      </c>
      <c r="E875" s="867">
        <v>0</v>
      </c>
      <c r="F875" s="867">
        <v>0</v>
      </c>
      <c r="G875" s="867">
        <v>0</v>
      </c>
      <c r="H875" s="867">
        <v>1E-3</v>
      </c>
      <c r="I875" s="867">
        <v>0</v>
      </c>
      <c r="J875" s="867">
        <v>0</v>
      </c>
    </row>
    <row r="876" spans="2:10">
      <c r="B876" s="52" t="s">
        <v>118</v>
      </c>
      <c r="C876" s="867">
        <v>0</v>
      </c>
      <c r="D876" s="867">
        <v>0</v>
      </c>
      <c r="E876" s="867">
        <v>0</v>
      </c>
      <c r="F876" s="867">
        <v>0</v>
      </c>
      <c r="G876" s="867">
        <v>0</v>
      </c>
      <c r="H876" s="867">
        <v>0</v>
      </c>
      <c r="I876" s="867">
        <v>0</v>
      </c>
      <c r="J876" s="867">
        <v>0</v>
      </c>
    </row>
    <row r="877" spans="2:10">
      <c r="B877" s="52" t="s">
        <v>117</v>
      </c>
      <c r="C877" s="867">
        <v>0.27200000000000002</v>
      </c>
      <c r="D877" s="867">
        <v>0.71</v>
      </c>
      <c r="E877" s="867">
        <v>1.611</v>
      </c>
      <c r="F877" s="867">
        <v>0.503</v>
      </c>
      <c r="G877" s="867">
        <v>0.129</v>
      </c>
      <c r="H877" s="867">
        <v>0.12837000000000001</v>
      </c>
      <c r="I877" s="867">
        <v>0.14011999999999999</v>
      </c>
      <c r="J877" s="867">
        <v>0.15</v>
      </c>
    </row>
    <row r="878" spans="2:10">
      <c r="B878" s="52"/>
      <c r="C878" s="867"/>
      <c r="D878" s="867"/>
      <c r="E878" s="867"/>
      <c r="F878" s="867"/>
      <c r="G878" s="867"/>
      <c r="H878" s="867"/>
      <c r="I878" s="867"/>
      <c r="J878" s="867"/>
    </row>
    <row r="879" spans="2:10">
      <c r="B879" s="54" t="s">
        <v>122</v>
      </c>
      <c r="C879" s="867">
        <v>0</v>
      </c>
      <c r="D879" s="867">
        <v>5.0000000000000001E-3</v>
      </c>
      <c r="E879" s="867">
        <v>0.01</v>
      </c>
      <c r="F879" s="867">
        <v>1.7000000000000001E-2</v>
      </c>
      <c r="G879" s="867">
        <v>2.8000000000000001E-2</v>
      </c>
      <c r="H879" s="867">
        <v>6.0000000000000001E-3</v>
      </c>
      <c r="I879" s="867">
        <v>0.125</v>
      </c>
      <c r="J879" s="867">
        <v>0.03</v>
      </c>
    </row>
    <row r="880" spans="2:10">
      <c r="B880" s="52" t="s">
        <v>121</v>
      </c>
      <c r="C880" s="867">
        <v>0</v>
      </c>
      <c r="D880" s="867">
        <v>0</v>
      </c>
      <c r="E880" s="867">
        <v>0</v>
      </c>
      <c r="F880" s="867">
        <v>0</v>
      </c>
      <c r="G880" s="867">
        <v>0</v>
      </c>
      <c r="H880" s="867">
        <v>0</v>
      </c>
      <c r="I880" s="867">
        <v>0</v>
      </c>
      <c r="J880" s="867">
        <v>0</v>
      </c>
    </row>
    <row r="881" spans="2:10">
      <c r="B881" s="53" t="s">
        <v>120</v>
      </c>
      <c r="C881" s="867">
        <v>0</v>
      </c>
      <c r="D881" s="867">
        <v>0</v>
      </c>
      <c r="E881" s="867">
        <v>0</v>
      </c>
      <c r="F881" s="867">
        <v>0</v>
      </c>
      <c r="G881" s="867">
        <v>0</v>
      </c>
      <c r="H881" s="867">
        <v>0</v>
      </c>
      <c r="I881" s="867">
        <v>0</v>
      </c>
      <c r="J881" s="867">
        <v>0</v>
      </c>
    </row>
    <row r="882" spans="2:10">
      <c r="B882" s="53" t="s">
        <v>119</v>
      </c>
      <c r="C882" s="867">
        <v>0</v>
      </c>
      <c r="D882" s="867">
        <v>0</v>
      </c>
      <c r="E882" s="867">
        <v>0</v>
      </c>
      <c r="F882" s="867">
        <v>0</v>
      </c>
      <c r="G882" s="867">
        <v>0</v>
      </c>
      <c r="H882" s="867">
        <v>0</v>
      </c>
      <c r="I882" s="867">
        <v>0</v>
      </c>
      <c r="J882" s="867">
        <v>0</v>
      </c>
    </row>
    <row r="883" spans="2:10">
      <c r="B883" s="52" t="s">
        <v>118</v>
      </c>
      <c r="C883" s="867">
        <v>0</v>
      </c>
      <c r="D883" s="867">
        <v>0</v>
      </c>
      <c r="E883" s="867">
        <v>0</v>
      </c>
      <c r="F883" s="867">
        <v>0</v>
      </c>
      <c r="G883" s="867">
        <v>0</v>
      </c>
      <c r="H883" s="867">
        <v>0</v>
      </c>
      <c r="I883" s="867">
        <v>0</v>
      </c>
      <c r="J883" s="867">
        <v>0</v>
      </c>
    </row>
    <row r="884" spans="2:10">
      <c r="B884" s="52" t="s">
        <v>117</v>
      </c>
      <c r="C884" s="867">
        <v>0</v>
      </c>
      <c r="D884" s="867">
        <v>5.0000000000000001E-3</v>
      </c>
      <c r="E884" s="867">
        <v>0.01</v>
      </c>
      <c r="F884" s="867">
        <v>1.7000000000000001E-2</v>
      </c>
      <c r="G884" s="867">
        <v>2.8000000000000001E-2</v>
      </c>
      <c r="H884" s="867">
        <v>6.0000000000000001E-3</v>
      </c>
      <c r="I884" s="867">
        <v>0.125</v>
      </c>
      <c r="J884" s="867">
        <v>0.03</v>
      </c>
    </row>
    <row r="885" spans="2:10">
      <c r="B885" s="52"/>
      <c r="C885" s="867"/>
      <c r="D885" s="867"/>
      <c r="E885" s="867"/>
      <c r="F885" s="867"/>
      <c r="G885" s="867"/>
      <c r="H885" s="867"/>
      <c r="I885" s="867"/>
      <c r="J885" s="867"/>
    </row>
    <row r="886" spans="2:10">
      <c r="B886" s="59" t="s">
        <v>1848</v>
      </c>
      <c r="C886" s="867"/>
      <c r="D886" s="867"/>
      <c r="E886" s="867"/>
      <c r="F886" s="867"/>
      <c r="G886" s="867"/>
      <c r="H886" s="867"/>
      <c r="I886" s="867"/>
      <c r="J886" s="867"/>
    </row>
    <row r="887" spans="2:10">
      <c r="B887" s="54" t="s">
        <v>1855</v>
      </c>
      <c r="C887" s="1006">
        <v>0</v>
      </c>
      <c r="D887" s="1006">
        <v>0</v>
      </c>
      <c r="E887" s="1348">
        <v>0</v>
      </c>
      <c r="F887" s="1348">
        <v>0</v>
      </c>
      <c r="G887" s="1348">
        <v>0</v>
      </c>
      <c r="H887" s="1348">
        <v>0</v>
      </c>
      <c r="I887" s="1348">
        <v>0</v>
      </c>
      <c r="J887" s="1348">
        <v>0</v>
      </c>
    </row>
    <row r="888" spans="2:10">
      <c r="B888" s="52" t="s">
        <v>121</v>
      </c>
      <c r="C888" s="1006">
        <v>0</v>
      </c>
      <c r="D888" s="1006">
        <v>0</v>
      </c>
      <c r="E888" s="1348">
        <v>0</v>
      </c>
      <c r="F888" s="1348">
        <v>0</v>
      </c>
      <c r="G888" s="1348">
        <v>0</v>
      </c>
      <c r="H888" s="1348">
        <v>0</v>
      </c>
      <c r="I888" s="1348">
        <v>0</v>
      </c>
      <c r="J888" s="1348">
        <v>0</v>
      </c>
    </row>
    <row r="889" spans="2:10">
      <c r="B889" s="53" t="s">
        <v>120</v>
      </c>
      <c r="C889" s="1006">
        <v>0</v>
      </c>
      <c r="D889" s="1006">
        <v>0</v>
      </c>
      <c r="E889" s="1348">
        <v>0</v>
      </c>
      <c r="F889" s="1348">
        <v>0</v>
      </c>
      <c r="G889" s="1348">
        <v>0</v>
      </c>
      <c r="H889" s="1348">
        <v>0</v>
      </c>
      <c r="I889" s="1348">
        <v>0</v>
      </c>
      <c r="J889" s="1348">
        <v>0</v>
      </c>
    </row>
    <row r="890" spans="2:10">
      <c r="B890" s="53" t="s">
        <v>119</v>
      </c>
      <c r="C890" s="1006">
        <v>0</v>
      </c>
      <c r="D890" s="1006">
        <v>0</v>
      </c>
      <c r="E890" s="1348">
        <v>0</v>
      </c>
      <c r="F890" s="1348">
        <v>0</v>
      </c>
      <c r="G890" s="1348">
        <v>0</v>
      </c>
      <c r="H890" s="1348">
        <v>0</v>
      </c>
      <c r="I890" s="1348">
        <v>0</v>
      </c>
      <c r="J890" s="1348">
        <v>0</v>
      </c>
    </row>
    <row r="891" spans="2:10">
      <c r="B891" s="52" t="s">
        <v>118</v>
      </c>
      <c r="C891" s="1006">
        <v>0</v>
      </c>
      <c r="D891" s="1006">
        <v>0</v>
      </c>
      <c r="E891" s="1348">
        <v>0</v>
      </c>
      <c r="F891" s="1348">
        <v>0</v>
      </c>
      <c r="G891" s="1348">
        <v>0</v>
      </c>
      <c r="H891" s="1348">
        <v>0</v>
      </c>
      <c r="I891" s="1348">
        <v>0</v>
      </c>
      <c r="J891" s="1006">
        <v>0</v>
      </c>
    </row>
    <row r="892" spans="2:10">
      <c r="B892" s="52" t="s">
        <v>117</v>
      </c>
      <c r="C892" s="1006">
        <v>0</v>
      </c>
      <c r="D892" s="1006">
        <v>0</v>
      </c>
      <c r="E892" s="1348">
        <v>0</v>
      </c>
      <c r="F892" s="1348">
        <v>0</v>
      </c>
      <c r="G892" s="1348">
        <v>0</v>
      </c>
      <c r="H892" s="1348">
        <v>0</v>
      </c>
      <c r="I892" s="1348">
        <v>0</v>
      </c>
      <c r="J892" s="1006">
        <v>0</v>
      </c>
    </row>
    <row r="893" spans="2:10">
      <c r="B893" s="52"/>
      <c r="C893" s="1006"/>
      <c r="D893" s="1006"/>
      <c r="E893" s="1006"/>
      <c r="F893" s="1006"/>
      <c r="G893" s="1006"/>
      <c r="H893" s="1006"/>
      <c r="I893" s="1006"/>
      <c r="J893" s="1006"/>
    </row>
    <row r="894" spans="2:10">
      <c r="B894" s="54" t="s">
        <v>122</v>
      </c>
      <c r="C894" s="1006">
        <v>0</v>
      </c>
      <c r="D894" s="1006">
        <v>0</v>
      </c>
      <c r="E894" s="1006">
        <v>0</v>
      </c>
      <c r="F894" s="1006">
        <v>0</v>
      </c>
      <c r="G894" s="1006">
        <v>0</v>
      </c>
      <c r="H894" s="1006">
        <v>0</v>
      </c>
      <c r="I894" s="1006">
        <v>0</v>
      </c>
      <c r="J894" s="1006">
        <v>0</v>
      </c>
    </row>
    <row r="895" spans="2:10">
      <c r="B895" s="52" t="s">
        <v>121</v>
      </c>
      <c r="C895" s="1006">
        <v>0</v>
      </c>
      <c r="D895" s="1006">
        <v>0</v>
      </c>
      <c r="E895" s="1006">
        <v>0</v>
      </c>
      <c r="F895" s="1006">
        <v>0</v>
      </c>
      <c r="G895" s="1006">
        <v>0</v>
      </c>
      <c r="H895" s="1006">
        <v>0</v>
      </c>
      <c r="I895" s="1006">
        <v>0</v>
      </c>
      <c r="J895" s="1006">
        <v>0</v>
      </c>
    </row>
    <row r="896" spans="2:10">
      <c r="B896" s="53" t="s">
        <v>120</v>
      </c>
      <c r="C896" s="1006">
        <v>0</v>
      </c>
      <c r="D896" s="1006">
        <v>0</v>
      </c>
      <c r="E896" s="1006">
        <v>0</v>
      </c>
      <c r="F896" s="1006">
        <v>0</v>
      </c>
      <c r="G896" s="1006">
        <v>0</v>
      </c>
      <c r="H896" s="1006">
        <v>0</v>
      </c>
      <c r="I896" s="1006">
        <v>0</v>
      </c>
      <c r="J896" s="1006">
        <v>0</v>
      </c>
    </row>
    <row r="897" spans="2:10">
      <c r="B897" s="53" t="s">
        <v>119</v>
      </c>
      <c r="C897" s="1006">
        <v>0</v>
      </c>
      <c r="D897" s="1006">
        <v>0</v>
      </c>
      <c r="E897" s="1006">
        <v>0</v>
      </c>
      <c r="F897" s="1006">
        <v>0</v>
      </c>
      <c r="G897" s="1006">
        <v>0</v>
      </c>
      <c r="H897" s="1006">
        <v>0</v>
      </c>
      <c r="I897" s="1006">
        <v>0</v>
      </c>
      <c r="J897" s="1006">
        <v>0</v>
      </c>
    </row>
    <row r="898" spans="2:10">
      <c r="B898" s="52" t="s">
        <v>118</v>
      </c>
      <c r="C898" s="952">
        <v>0</v>
      </c>
      <c r="D898" s="952">
        <v>0</v>
      </c>
      <c r="E898" s="952">
        <v>0</v>
      </c>
      <c r="F898" s="952">
        <v>0</v>
      </c>
      <c r="G898" s="952">
        <v>0</v>
      </c>
      <c r="H898" s="952">
        <v>0</v>
      </c>
      <c r="I898" s="952">
        <v>0</v>
      </c>
      <c r="J898" s="952">
        <v>0</v>
      </c>
    </row>
    <row r="899" spans="2:10" ht="15" thickBot="1">
      <c r="B899" s="50" t="s">
        <v>117</v>
      </c>
      <c r="C899" s="952">
        <v>0</v>
      </c>
      <c r="D899" s="952">
        <v>0</v>
      </c>
      <c r="E899" s="952">
        <v>0</v>
      </c>
      <c r="F899" s="952">
        <v>0</v>
      </c>
      <c r="G899" s="952">
        <v>0</v>
      </c>
      <c r="H899" s="952">
        <v>0</v>
      </c>
      <c r="I899" s="952">
        <v>0</v>
      </c>
      <c r="J899" s="952">
        <v>0</v>
      </c>
    </row>
    <row r="900" spans="2:10" ht="15" thickTop="1">
      <c r="B900" s="2025" t="s">
        <v>1850</v>
      </c>
      <c r="C900" s="2025"/>
      <c r="D900" s="2025"/>
      <c r="E900" s="2025"/>
      <c r="F900" s="2025"/>
      <c r="G900" s="2025"/>
      <c r="H900" s="2025"/>
      <c r="I900" s="2025"/>
      <c r="J900" s="2025"/>
    </row>
    <row r="901" spans="2:10">
      <c r="B901" s="2151" t="s">
        <v>1856</v>
      </c>
      <c r="C901" s="2017"/>
      <c r="D901" s="2017"/>
      <c r="E901" s="2017"/>
      <c r="F901" s="2017"/>
      <c r="G901" s="2017"/>
      <c r="H901" s="2017"/>
      <c r="I901" s="2017"/>
      <c r="J901" s="2017"/>
    </row>
    <row r="902" spans="2:10">
      <c r="B902" s="64"/>
      <c r="C902" s="302"/>
      <c r="D902" s="302"/>
      <c r="E902" s="302"/>
      <c r="F902" s="302"/>
      <c r="G902" s="302"/>
      <c r="H902" s="302"/>
      <c r="I902" s="302"/>
      <c r="J902" s="302"/>
    </row>
    <row r="903" spans="2:10">
      <c r="B903" s="1328" t="s">
        <v>129</v>
      </c>
      <c r="C903" s="1327"/>
      <c r="D903" s="1327"/>
      <c r="E903" s="1327"/>
      <c r="F903" s="1327"/>
      <c r="G903" s="1327"/>
      <c r="H903" s="1327"/>
      <c r="I903" s="1327"/>
      <c r="J903" s="1327"/>
    </row>
    <row r="904" spans="2:10">
      <c r="B904" s="12" t="s">
        <v>128</v>
      </c>
      <c r="C904" s="302"/>
      <c r="D904" s="302"/>
      <c r="E904" s="302"/>
      <c r="F904" s="302"/>
      <c r="G904" s="302"/>
      <c r="H904" s="302"/>
      <c r="I904" s="302"/>
      <c r="J904" s="302"/>
    </row>
    <row r="905" spans="2:10">
      <c r="B905" s="62" t="s">
        <v>1845</v>
      </c>
      <c r="C905" s="302"/>
      <c r="D905" s="302"/>
      <c r="E905" s="302"/>
      <c r="F905" s="302"/>
      <c r="G905" s="302"/>
      <c r="H905" s="302"/>
      <c r="I905" s="302"/>
      <c r="J905" s="302"/>
    </row>
    <row r="906" spans="2:10">
      <c r="B906" s="62"/>
      <c r="C906" s="302"/>
      <c r="D906" s="302"/>
      <c r="E906" s="302"/>
      <c r="F906" s="302"/>
      <c r="G906" s="302"/>
      <c r="H906" s="302"/>
      <c r="I906" s="302"/>
      <c r="J906" s="302"/>
    </row>
    <row r="907" spans="2:10">
      <c r="B907" s="61"/>
      <c r="C907" s="303">
        <v>2014</v>
      </c>
      <c r="D907" s="303">
        <v>2015</v>
      </c>
      <c r="E907" s="303">
        <v>2016</v>
      </c>
      <c r="F907" s="303">
        <v>2017</v>
      </c>
      <c r="G907" s="303">
        <v>2018</v>
      </c>
      <c r="H907" s="303">
        <v>2019</v>
      </c>
      <c r="I907" s="303">
        <v>2020</v>
      </c>
      <c r="J907" s="303">
        <v>2021</v>
      </c>
    </row>
    <row r="908" spans="2:10">
      <c r="B908" s="71" t="s">
        <v>124</v>
      </c>
      <c r="C908" s="1350">
        <v>108.22365051685799</v>
      </c>
      <c r="D908" s="1350">
        <v>214.56938633056666</v>
      </c>
      <c r="E908" s="1350">
        <v>179.2118946752374</v>
      </c>
      <c r="F908" s="1350">
        <v>108.76434907852564</v>
      </c>
      <c r="G908" s="1350">
        <v>931.30980083617749</v>
      </c>
      <c r="H908" s="1350">
        <v>290.93598437842559</v>
      </c>
      <c r="I908" s="1350">
        <v>229.11572780653273</v>
      </c>
      <c r="J908" s="1350">
        <v>143.71251893826246</v>
      </c>
    </row>
    <row r="909" spans="2:10">
      <c r="B909" s="71"/>
      <c r="C909" s="1350"/>
      <c r="D909" s="1350"/>
      <c r="E909" s="1350"/>
      <c r="F909" s="1350"/>
      <c r="G909" s="1350"/>
      <c r="H909" s="1350"/>
      <c r="I909" s="1350"/>
      <c r="J909" s="1350"/>
    </row>
    <row r="910" spans="2:10">
      <c r="B910" s="59" t="s">
        <v>1852</v>
      </c>
      <c r="C910" s="1350"/>
      <c r="D910" s="1350"/>
      <c r="E910" s="1350"/>
      <c r="F910" s="1350"/>
      <c r="G910" s="1350"/>
      <c r="H910" s="1350"/>
      <c r="I910" s="1350"/>
      <c r="J910" s="1350"/>
    </row>
    <row r="911" spans="2:10">
      <c r="B911" s="54" t="s">
        <v>124</v>
      </c>
      <c r="C911" s="1350"/>
      <c r="D911" s="1350"/>
      <c r="E911" s="1350"/>
      <c r="F911" s="1350"/>
      <c r="G911" s="1350"/>
      <c r="H911" s="1350"/>
      <c r="I911" s="1350"/>
      <c r="J911" s="1350"/>
    </row>
    <row r="912" spans="2:10">
      <c r="B912" s="54" t="s">
        <v>123</v>
      </c>
      <c r="C912" s="1350" t="s">
        <v>2086</v>
      </c>
      <c r="D912" s="1350" t="s">
        <v>2086</v>
      </c>
      <c r="E912" s="1350" t="s">
        <v>2086</v>
      </c>
      <c r="F912" s="1350" t="s">
        <v>2086</v>
      </c>
      <c r="G912" s="1350" t="s">
        <v>2086</v>
      </c>
      <c r="H912" s="1350" t="s">
        <v>2086</v>
      </c>
      <c r="I912" s="1350" t="s">
        <v>2086</v>
      </c>
      <c r="J912" s="1350" t="s">
        <v>2086</v>
      </c>
    </row>
    <row r="913" spans="2:10">
      <c r="B913" s="52" t="s">
        <v>121</v>
      </c>
      <c r="C913" s="1350" t="s">
        <v>2086</v>
      </c>
      <c r="D913" s="1350" t="s">
        <v>2086</v>
      </c>
      <c r="E913" s="1350" t="s">
        <v>2086</v>
      </c>
      <c r="F913" s="1350" t="s">
        <v>2086</v>
      </c>
      <c r="G913" s="1350" t="s">
        <v>2086</v>
      </c>
      <c r="H913" s="1350" t="s">
        <v>2086</v>
      </c>
      <c r="I913" s="1350" t="s">
        <v>2086</v>
      </c>
      <c r="J913" s="1350" t="s">
        <v>2086</v>
      </c>
    </row>
    <row r="914" spans="2:10">
      <c r="B914" s="53" t="s">
        <v>120</v>
      </c>
      <c r="C914" s="1350" t="s">
        <v>2086</v>
      </c>
      <c r="D914" s="1350" t="s">
        <v>2086</v>
      </c>
      <c r="E914" s="1350" t="s">
        <v>2086</v>
      </c>
      <c r="F914" s="1350" t="s">
        <v>2086</v>
      </c>
      <c r="G914" s="1350" t="s">
        <v>2086</v>
      </c>
      <c r="H914" s="1350" t="s">
        <v>2086</v>
      </c>
      <c r="I914" s="1350" t="s">
        <v>2086</v>
      </c>
      <c r="J914" s="1350" t="s">
        <v>2086</v>
      </c>
    </row>
    <row r="915" spans="2:10">
      <c r="B915" s="53" t="s">
        <v>119</v>
      </c>
      <c r="C915" s="1350" t="s">
        <v>2086</v>
      </c>
      <c r="D915" s="1350" t="s">
        <v>2086</v>
      </c>
      <c r="E915" s="1350" t="s">
        <v>2086</v>
      </c>
      <c r="F915" s="1350" t="s">
        <v>2086</v>
      </c>
      <c r="G915" s="1350" t="s">
        <v>2086</v>
      </c>
      <c r="H915" s="1350" t="s">
        <v>2086</v>
      </c>
      <c r="I915" s="1350" t="s">
        <v>2086</v>
      </c>
      <c r="J915" s="1350" t="s">
        <v>2086</v>
      </c>
    </row>
    <row r="916" spans="2:10">
      <c r="B916" s="52" t="s">
        <v>118</v>
      </c>
      <c r="C916" s="1350" t="s">
        <v>2086</v>
      </c>
      <c r="D916" s="1350" t="s">
        <v>2086</v>
      </c>
      <c r="E916" s="1350" t="s">
        <v>2086</v>
      </c>
      <c r="F916" s="1350" t="s">
        <v>2086</v>
      </c>
      <c r="G916" s="1350" t="s">
        <v>2086</v>
      </c>
      <c r="H916" s="1350" t="s">
        <v>2086</v>
      </c>
      <c r="I916" s="1350" t="s">
        <v>2086</v>
      </c>
      <c r="J916" s="1350" t="s">
        <v>2086</v>
      </c>
    </row>
    <row r="917" spans="2:10">
      <c r="B917" s="52" t="s">
        <v>117</v>
      </c>
      <c r="C917" s="1350">
        <v>108.22365051685799</v>
      </c>
      <c r="D917" s="1350">
        <v>211.40333964727444</v>
      </c>
      <c r="E917" s="1350">
        <v>178.14496725761117</v>
      </c>
      <c r="F917" s="1350">
        <v>102.44683647400122</v>
      </c>
      <c r="G917" s="1350">
        <v>927.01628413519666</v>
      </c>
      <c r="H917" s="1350">
        <v>288.83023676467258</v>
      </c>
      <c r="I917" s="1350">
        <v>197.892</v>
      </c>
      <c r="J917" s="1350">
        <v>135.41100322661737</v>
      </c>
    </row>
    <row r="918" spans="2:10">
      <c r="B918" s="52"/>
      <c r="C918" s="1350"/>
      <c r="D918" s="1350"/>
      <c r="E918" s="1350"/>
      <c r="F918" s="1350"/>
      <c r="G918" s="1350"/>
      <c r="H918" s="1350"/>
      <c r="I918" s="1350"/>
      <c r="J918" s="1350"/>
    </row>
    <row r="919" spans="2:10">
      <c r="B919" s="54" t="s">
        <v>122</v>
      </c>
      <c r="C919" s="1350" t="s">
        <v>2086</v>
      </c>
      <c r="D919" s="1350">
        <v>3.1660466832922411</v>
      </c>
      <c r="E919" s="1350">
        <v>1.0669274176262189</v>
      </c>
      <c r="F919" s="1350">
        <v>6.3175126045244223</v>
      </c>
      <c r="G919" s="1350">
        <v>4.2942567073063342</v>
      </c>
      <c r="H919" s="1350">
        <v>2.1057624170037244</v>
      </c>
      <c r="I919" s="1350">
        <v>31.224</v>
      </c>
      <c r="J919" s="1350">
        <v>8.3015157116451022</v>
      </c>
    </row>
    <row r="920" spans="2:10">
      <c r="B920" s="52" t="s">
        <v>121</v>
      </c>
      <c r="C920" s="1350" t="s">
        <v>2086</v>
      </c>
      <c r="D920" s="1350" t="s">
        <v>2086</v>
      </c>
      <c r="E920" s="1350" t="s">
        <v>2086</v>
      </c>
      <c r="F920" s="1350" t="s">
        <v>2086</v>
      </c>
      <c r="G920" s="1350" t="s">
        <v>2086</v>
      </c>
      <c r="H920" s="1350" t="s">
        <v>2086</v>
      </c>
      <c r="I920" s="1350" t="s">
        <v>2086</v>
      </c>
      <c r="J920" s="1350" t="s">
        <v>2086</v>
      </c>
    </row>
    <row r="921" spans="2:10">
      <c r="B921" s="53" t="s">
        <v>120</v>
      </c>
      <c r="C921" s="1350" t="s">
        <v>2086</v>
      </c>
      <c r="D921" s="1350" t="s">
        <v>2086</v>
      </c>
      <c r="E921" s="1350" t="s">
        <v>2086</v>
      </c>
      <c r="F921" s="1350" t="s">
        <v>2086</v>
      </c>
      <c r="G921" s="1350" t="s">
        <v>2086</v>
      </c>
      <c r="H921" s="1350" t="s">
        <v>2086</v>
      </c>
      <c r="I921" s="1350" t="s">
        <v>2086</v>
      </c>
      <c r="J921" s="1350" t="s">
        <v>2086</v>
      </c>
    </row>
    <row r="922" spans="2:10">
      <c r="B922" s="53" t="s">
        <v>119</v>
      </c>
      <c r="C922" s="1350" t="s">
        <v>2086</v>
      </c>
      <c r="D922" s="1350" t="s">
        <v>2086</v>
      </c>
      <c r="E922" s="1350" t="s">
        <v>2086</v>
      </c>
      <c r="F922" s="1350" t="s">
        <v>2086</v>
      </c>
      <c r="G922" s="1350" t="s">
        <v>2086</v>
      </c>
      <c r="H922" s="1350" t="s">
        <v>2086</v>
      </c>
      <c r="I922" s="1350" t="s">
        <v>2086</v>
      </c>
      <c r="J922" s="1350" t="s">
        <v>2086</v>
      </c>
    </row>
    <row r="923" spans="2:10">
      <c r="B923" s="52" t="s">
        <v>118</v>
      </c>
      <c r="C923" s="1350" t="s">
        <v>2086</v>
      </c>
      <c r="D923" s="1350" t="s">
        <v>2086</v>
      </c>
      <c r="E923" s="1350" t="s">
        <v>2086</v>
      </c>
      <c r="F923" s="1350" t="s">
        <v>2086</v>
      </c>
      <c r="G923" s="1350" t="s">
        <v>2086</v>
      </c>
      <c r="H923" s="1350" t="s">
        <v>2086</v>
      </c>
      <c r="I923" s="1350" t="s">
        <v>2086</v>
      </c>
      <c r="J923" s="1350" t="s">
        <v>2086</v>
      </c>
    </row>
    <row r="924" spans="2:10">
      <c r="B924" s="52" t="s">
        <v>117</v>
      </c>
      <c r="C924" s="1350" t="s">
        <v>2086</v>
      </c>
      <c r="D924" s="1350">
        <v>3.1660466832922411</v>
      </c>
      <c r="E924" s="1350">
        <v>1.0669274176262189</v>
      </c>
      <c r="F924" s="1350">
        <v>6.3175126045244223</v>
      </c>
      <c r="G924" s="1350">
        <v>4.2942567073063342</v>
      </c>
      <c r="H924" s="1350">
        <v>2.1057624170037244</v>
      </c>
      <c r="I924" s="1350">
        <v>31.224</v>
      </c>
      <c r="J924" s="1350">
        <v>8.3015157116451022</v>
      </c>
    </row>
    <row r="925" spans="2:10">
      <c r="B925" s="52"/>
      <c r="C925" s="1350"/>
      <c r="D925" s="1350"/>
      <c r="E925" s="1350"/>
      <c r="F925" s="1350"/>
      <c r="G925" s="1350"/>
      <c r="H925" s="1350"/>
      <c r="I925" s="1350"/>
      <c r="J925" s="1350"/>
    </row>
    <row r="926" spans="2:10">
      <c r="B926" s="59" t="s">
        <v>1309</v>
      </c>
      <c r="C926" s="1350"/>
      <c r="D926" s="1350"/>
      <c r="E926" s="1350"/>
      <c r="F926" s="1350"/>
      <c r="G926" s="1350"/>
      <c r="H926" s="1350"/>
      <c r="I926" s="1350"/>
      <c r="J926" s="1350"/>
    </row>
    <row r="927" spans="2:10">
      <c r="B927" s="54" t="s">
        <v>124</v>
      </c>
      <c r="C927" s="1350"/>
      <c r="D927" s="1350"/>
      <c r="E927" s="1350"/>
      <c r="F927" s="1350"/>
      <c r="G927" s="1350"/>
      <c r="H927" s="306"/>
      <c r="I927" s="1350"/>
      <c r="J927" s="1350"/>
    </row>
    <row r="928" spans="2:10">
      <c r="B928" s="54" t="s">
        <v>1855</v>
      </c>
      <c r="C928" s="1006">
        <v>0</v>
      </c>
      <c r="D928" s="1006">
        <v>0</v>
      </c>
      <c r="E928" s="1006">
        <v>0</v>
      </c>
      <c r="F928" s="1006">
        <v>0</v>
      </c>
      <c r="G928" s="1006">
        <v>0</v>
      </c>
      <c r="H928" s="1006">
        <v>0</v>
      </c>
      <c r="I928" s="1006">
        <v>0</v>
      </c>
      <c r="J928" s="1006">
        <v>0</v>
      </c>
    </row>
    <row r="929" spans="2:10">
      <c r="B929" s="52" t="s">
        <v>121</v>
      </c>
      <c r="C929" s="1006">
        <v>0</v>
      </c>
      <c r="D929" s="1006">
        <v>0</v>
      </c>
      <c r="E929" s="1006">
        <v>0</v>
      </c>
      <c r="F929" s="1006">
        <v>0</v>
      </c>
      <c r="G929" s="1006">
        <v>0</v>
      </c>
      <c r="H929" s="1006">
        <v>0</v>
      </c>
      <c r="I929" s="1006">
        <v>0</v>
      </c>
      <c r="J929" s="1006">
        <v>0</v>
      </c>
    </row>
    <row r="930" spans="2:10">
      <c r="B930" s="53" t="s">
        <v>120</v>
      </c>
      <c r="C930" s="1006">
        <v>0</v>
      </c>
      <c r="D930" s="1006">
        <v>0</v>
      </c>
      <c r="E930" s="1006">
        <v>0</v>
      </c>
      <c r="F930" s="1006">
        <v>0</v>
      </c>
      <c r="G930" s="1006">
        <v>0</v>
      </c>
      <c r="H930" s="1006">
        <v>0</v>
      </c>
      <c r="I930" s="1006">
        <v>0</v>
      </c>
      <c r="J930" s="1006">
        <v>0</v>
      </c>
    </row>
    <row r="931" spans="2:10">
      <c r="B931" s="53" t="s">
        <v>119</v>
      </c>
      <c r="C931" s="1006">
        <v>0</v>
      </c>
      <c r="D931" s="1006">
        <v>0</v>
      </c>
      <c r="E931" s="1006">
        <v>0</v>
      </c>
      <c r="F931" s="1006">
        <v>0</v>
      </c>
      <c r="G931" s="1006">
        <v>0</v>
      </c>
      <c r="H931" s="1006">
        <v>0</v>
      </c>
      <c r="I931" s="1006">
        <v>0</v>
      </c>
      <c r="J931" s="1006">
        <v>0</v>
      </c>
    </row>
    <row r="932" spans="2:10">
      <c r="B932" s="52" t="s">
        <v>118</v>
      </c>
      <c r="C932" s="1350" t="s">
        <v>2086</v>
      </c>
      <c r="D932" s="1350" t="s">
        <v>2086</v>
      </c>
      <c r="E932" s="1350" t="s">
        <v>2086</v>
      </c>
      <c r="F932" s="1350" t="s">
        <v>2086</v>
      </c>
      <c r="G932" s="1350" t="s">
        <v>2086</v>
      </c>
      <c r="H932" s="306">
        <v>0</v>
      </c>
      <c r="I932" s="306">
        <v>0</v>
      </c>
      <c r="J932" s="306">
        <v>0</v>
      </c>
    </row>
    <row r="933" spans="2:10">
      <c r="B933" s="52" t="s">
        <v>117</v>
      </c>
      <c r="C933" s="1350" t="s">
        <v>2086</v>
      </c>
      <c r="D933" s="1350" t="s">
        <v>2086</v>
      </c>
      <c r="E933" s="1350" t="s">
        <v>2086</v>
      </c>
      <c r="F933" s="1350" t="s">
        <v>2086</v>
      </c>
      <c r="G933" s="1350" t="s">
        <v>2086</v>
      </c>
      <c r="H933" s="306">
        <v>0</v>
      </c>
      <c r="I933" s="306">
        <v>0</v>
      </c>
      <c r="J933" s="306">
        <v>0</v>
      </c>
    </row>
    <row r="934" spans="2:10">
      <c r="B934" s="52"/>
      <c r="C934" s="1350"/>
      <c r="D934" s="1350"/>
      <c r="E934" s="1350"/>
      <c r="F934" s="1350"/>
      <c r="G934" s="1350"/>
      <c r="H934" s="306"/>
      <c r="I934" s="306"/>
      <c r="J934" s="306"/>
    </row>
    <row r="935" spans="2:10">
      <c r="B935" s="54" t="s">
        <v>122</v>
      </c>
      <c r="C935" s="1350" t="s">
        <v>2086</v>
      </c>
      <c r="D935" s="1350" t="s">
        <v>2086</v>
      </c>
      <c r="E935" s="1350" t="s">
        <v>2086</v>
      </c>
      <c r="F935" s="1350" t="s">
        <v>2086</v>
      </c>
      <c r="G935" s="1350" t="s">
        <v>2086</v>
      </c>
      <c r="H935" s="306">
        <v>0</v>
      </c>
      <c r="I935" s="306">
        <v>0</v>
      </c>
      <c r="J935" s="306">
        <v>0</v>
      </c>
    </row>
    <row r="936" spans="2:10">
      <c r="B936" s="52" t="s">
        <v>121</v>
      </c>
      <c r="C936" s="1350" t="s">
        <v>2086</v>
      </c>
      <c r="D936" s="1350" t="s">
        <v>2086</v>
      </c>
      <c r="E936" s="1350" t="s">
        <v>2086</v>
      </c>
      <c r="F936" s="1350" t="s">
        <v>2086</v>
      </c>
      <c r="G936" s="1350" t="s">
        <v>2086</v>
      </c>
      <c r="H936" s="306">
        <v>0</v>
      </c>
      <c r="I936" s="306">
        <v>0</v>
      </c>
      <c r="J936" s="306">
        <v>0</v>
      </c>
    </row>
    <row r="937" spans="2:10">
      <c r="B937" s="53" t="s">
        <v>120</v>
      </c>
      <c r="C937" s="1350" t="s">
        <v>2086</v>
      </c>
      <c r="D937" s="1350" t="s">
        <v>2086</v>
      </c>
      <c r="E937" s="1350" t="s">
        <v>2086</v>
      </c>
      <c r="F937" s="1350" t="s">
        <v>2086</v>
      </c>
      <c r="G937" s="1350" t="s">
        <v>2086</v>
      </c>
      <c r="H937" s="306">
        <v>0</v>
      </c>
      <c r="I937" s="306">
        <v>0</v>
      </c>
      <c r="J937" s="306">
        <v>0</v>
      </c>
    </row>
    <row r="938" spans="2:10">
      <c r="B938" s="53" t="s">
        <v>119</v>
      </c>
      <c r="C938" s="1351" t="s">
        <v>2086</v>
      </c>
      <c r="D938" s="1351" t="s">
        <v>2086</v>
      </c>
      <c r="E938" s="1351" t="s">
        <v>2086</v>
      </c>
      <c r="F938" s="1351" t="s">
        <v>2086</v>
      </c>
      <c r="G938" s="1351" t="s">
        <v>2086</v>
      </c>
      <c r="H938" s="1351" t="s">
        <v>2086</v>
      </c>
      <c r="I938" s="306">
        <v>0</v>
      </c>
      <c r="J938" s="306">
        <v>0</v>
      </c>
    </row>
    <row r="939" spans="2:10">
      <c r="B939" s="52" t="s">
        <v>118</v>
      </c>
      <c r="C939" s="1351" t="s">
        <v>2086</v>
      </c>
      <c r="D939" s="1351" t="s">
        <v>2086</v>
      </c>
      <c r="E939" s="1351" t="s">
        <v>2086</v>
      </c>
      <c r="F939" s="1351" t="s">
        <v>2086</v>
      </c>
      <c r="G939" s="1351" t="s">
        <v>2086</v>
      </c>
      <c r="H939" s="1351" t="s">
        <v>2086</v>
      </c>
      <c r="I939" s="1351" t="s">
        <v>2086</v>
      </c>
      <c r="J939" s="1351" t="s">
        <v>2086</v>
      </c>
    </row>
    <row r="940" spans="2:10" ht="15" thickBot="1">
      <c r="B940" s="50" t="s">
        <v>117</v>
      </c>
      <c r="C940" s="1351" t="s">
        <v>2086</v>
      </c>
      <c r="D940" s="1351" t="s">
        <v>2086</v>
      </c>
      <c r="E940" s="1351" t="s">
        <v>2086</v>
      </c>
      <c r="F940" s="1351" t="s">
        <v>2086</v>
      </c>
      <c r="G940" s="1351" t="s">
        <v>2086</v>
      </c>
      <c r="H940" s="1351" t="s">
        <v>2086</v>
      </c>
      <c r="I940" s="1351" t="s">
        <v>2086</v>
      </c>
      <c r="J940" s="1351" t="s">
        <v>2086</v>
      </c>
    </row>
    <row r="941" spans="2:10" ht="15" thickTop="1">
      <c r="B941" s="2025" t="s">
        <v>1850</v>
      </c>
      <c r="C941" s="2025"/>
      <c r="D941" s="2025"/>
      <c r="E941" s="2025"/>
      <c r="F941" s="2025"/>
      <c r="G941" s="2025"/>
      <c r="H941" s="2025"/>
      <c r="I941" s="2025"/>
      <c r="J941" s="2025"/>
    </row>
    <row r="942" spans="2:10">
      <c r="B942" s="2149" t="s">
        <v>1800</v>
      </c>
      <c r="C942" s="2149"/>
      <c r="D942" s="2149"/>
      <c r="E942" s="2149"/>
      <c r="F942" s="2149"/>
      <c r="G942" s="2149"/>
      <c r="H942" s="2149"/>
      <c r="I942" s="2149"/>
      <c r="J942" s="2149"/>
    </row>
    <row r="943" spans="2:10">
      <c r="B943" s="2151" t="s">
        <v>1856</v>
      </c>
      <c r="C943" s="2017"/>
      <c r="D943" s="2017"/>
      <c r="E943" s="2017"/>
      <c r="F943" s="2017"/>
      <c r="G943" s="2017"/>
      <c r="H943" s="2017"/>
      <c r="I943" s="2017"/>
      <c r="J943" s="2017"/>
    </row>
    <row r="944" spans="2:10">
      <c r="B944" s="1349"/>
      <c r="C944" s="47"/>
      <c r="D944" s="47"/>
      <c r="E944" s="47"/>
      <c r="F944" s="47"/>
      <c r="G944" s="47"/>
      <c r="H944" s="47"/>
      <c r="I944" s="47"/>
      <c r="J944" s="47"/>
    </row>
    <row r="945" spans="2:11">
      <c r="B945" s="1328" t="s">
        <v>115</v>
      </c>
      <c r="C945" s="1327"/>
      <c r="D945" s="1327"/>
      <c r="E945" s="892"/>
      <c r="F945" s="892"/>
      <c r="G945" s="892"/>
      <c r="H945" s="892"/>
      <c r="I945" s="892"/>
      <c r="J945" s="892"/>
    </row>
    <row r="946" spans="2:11">
      <c r="B946" s="12" t="s">
        <v>114</v>
      </c>
      <c r="C946" s="302"/>
      <c r="D946" s="302"/>
      <c r="E946" s="302"/>
      <c r="F946" s="302"/>
      <c r="G946" s="302"/>
      <c r="H946" s="302"/>
      <c r="I946" s="302"/>
      <c r="J946" s="302"/>
    </row>
    <row r="947" spans="2:11">
      <c r="B947" s="302"/>
      <c r="C947" s="302"/>
      <c r="D947" s="302"/>
      <c r="E947" s="302"/>
      <c r="F947" s="302"/>
      <c r="G947" s="302"/>
      <c r="H947" s="302"/>
      <c r="I947" s="302"/>
      <c r="J947" s="302"/>
    </row>
    <row r="948" spans="2:11" ht="15" customHeight="1">
      <c r="B948" s="2109" t="s">
        <v>11</v>
      </c>
      <c r="C948" s="2109" t="s">
        <v>604</v>
      </c>
      <c r="D948" s="2109" t="s">
        <v>113</v>
      </c>
      <c r="E948" s="2111" t="s">
        <v>24</v>
      </c>
      <c r="F948" s="2109" t="s">
        <v>112</v>
      </c>
      <c r="G948" s="2109" t="s">
        <v>111</v>
      </c>
      <c r="H948" s="2111" t="s">
        <v>110</v>
      </c>
      <c r="I948" s="2111"/>
      <c r="J948" s="2111"/>
    </row>
    <row r="949" spans="2:11">
      <c r="B949" s="2110"/>
      <c r="C949" s="2110"/>
      <c r="D949" s="2110"/>
      <c r="E949" s="2110"/>
      <c r="F949" s="2110"/>
      <c r="G949" s="2110"/>
      <c r="H949" s="2110"/>
      <c r="I949" s="2110"/>
      <c r="J949" s="2110"/>
    </row>
    <row r="950" spans="2:11">
      <c r="B950" s="242" t="s">
        <v>1258</v>
      </c>
      <c r="C950" s="239" t="s">
        <v>606</v>
      </c>
      <c r="D950" s="239" t="s">
        <v>94</v>
      </c>
      <c r="E950" s="239" t="s">
        <v>1</v>
      </c>
      <c r="F950" s="239" t="s">
        <v>106</v>
      </c>
      <c r="G950" s="239" t="s">
        <v>522</v>
      </c>
      <c r="H950" s="239" t="s">
        <v>102</v>
      </c>
      <c r="I950" s="239"/>
      <c r="J950" s="239"/>
      <c r="K950" s="1352"/>
    </row>
    <row r="951" spans="2:11">
      <c r="B951" s="242" t="s">
        <v>1259</v>
      </c>
      <c r="C951" s="239" t="s">
        <v>103</v>
      </c>
      <c r="D951" s="239" t="s">
        <v>105</v>
      </c>
      <c r="E951" s="239" t="s">
        <v>5</v>
      </c>
      <c r="F951" s="239" t="s">
        <v>489</v>
      </c>
      <c r="G951" s="239" t="s">
        <v>522</v>
      </c>
      <c r="H951" s="239" t="s">
        <v>102</v>
      </c>
      <c r="I951" s="239"/>
      <c r="J951" s="239"/>
    </row>
    <row r="952" spans="2:11">
      <c r="B952" s="242" t="s">
        <v>489</v>
      </c>
      <c r="C952" s="239" t="s">
        <v>103</v>
      </c>
      <c r="D952" s="239" t="s">
        <v>105</v>
      </c>
      <c r="E952" s="239" t="s">
        <v>34</v>
      </c>
      <c r="F952" s="239" t="s">
        <v>489</v>
      </c>
      <c r="G952" s="239" t="s">
        <v>522</v>
      </c>
      <c r="H952" s="239" t="s">
        <v>102</v>
      </c>
      <c r="I952" s="239"/>
      <c r="J952" s="239"/>
    </row>
    <row r="953" spans="2:11" ht="15" thickBot="1">
      <c r="B953" s="242" t="s">
        <v>353</v>
      </c>
      <c r="C953" s="961" t="s">
        <v>1244</v>
      </c>
      <c r="D953" s="245" t="s">
        <v>105</v>
      </c>
      <c r="E953" s="245" t="s">
        <v>1</v>
      </c>
      <c r="F953" s="245" t="s">
        <v>875</v>
      </c>
      <c r="G953" s="245" t="s">
        <v>522</v>
      </c>
      <c r="H953" s="1353" t="s">
        <v>102</v>
      </c>
      <c r="I953" s="245"/>
      <c r="J953" s="245"/>
      <c r="K953" s="1352"/>
    </row>
    <row r="954" spans="2:11" ht="15" thickTop="1">
      <c r="B954" s="2127"/>
      <c r="C954" s="2112"/>
      <c r="D954" s="2112"/>
      <c r="E954" s="302"/>
      <c r="F954" s="302"/>
      <c r="G954" s="302"/>
      <c r="H954" s="302"/>
      <c r="I954" s="302"/>
      <c r="J954" s="302"/>
    </row>
    <row r="955" spans="2:11" ht="15" customHeight="1">
      <c r="B955" s="2109" t="s">
        <v>11</v>
      </c>
      <c r="C955" s="2109" t="s">
        <v>610</v>
      </c>
      <c r="D955" s="2111" t="s">
        <v>101</v>
      </c>
      <c r="E955" s="2111" t="s">
        <v>100</v>
      </c>
      <c r="F955" s="2111" t="s">
        <v>99</v>
      </c>
      <c r="G955" s="2109" t="s">
        <v>98</v>
      </c>
      <c r="H955" s="2109"/>
      <c r="I955" s="1354"/>
      <c r="J955" s="1354"/>
    </row>
    <row r="956" spans="2:11">
      <c r="B956" s="2110"/>
      <c r="C956" s="2110"/>
      <c r="D956" s="2110"/>
      <c r="E956" s="2155"/>
      <c r="F956" s="2155"/>
      <c r="G956" s="352" t="s">
        <v>97</v>
      </c>
      <c r="H956" s="352" t="s">
        <v>96</v>
      </c>
      <c r="I956" s="352"/>
      <c r="J956" s="352"/>
    </row>
    <row r="957" spans="2:11">
      <c r="B957" s="242" t="s">
        <v>1857</v>
      </c>
      <c r="C957" s="239" t="s">
        <v>611</v>
      </c>
      <c r="D957" s="239" t="s">
        <v>1858</v>
      </c>
      <c r="E957" s="240" t="s">
        <v>1225</v>
      </c>
      <c r="F957" s="1355">
        <v>0.61458333333333337</v>
      </c>
      <c r="G957" s="1355">
        <v>0.35416666666666669</v>
      </c>
      <c r="H957" s="1355">
        <v>0.64583333333333337</v>
      </c>
      <c r="I957" s="1355"/>
      <c r="J957" s="1355"/>
      <c r="K957" s="1352"/>
    </row>
    <row r="958" spans="2:11">
      <c r="B958" s="242" t="s">
        <v>1259</v>
      </c>
      <c r="C958" s="239" t="s">
        <v>611</v>
      </c>
      <c r="D958" s="239">
        <v>0</v>
      </c>
      <c r="E958" s="355" t="s">
        <v>1225</v>
      </c>
      <c r="F958" s="1860" t="s">
        <v>2086</v>
      </c>
      <c r="G958" s="1860" t="s">
        <v>2086</v>
      </c>
      <c r="H958" s="1860" t="s">
        <v>2086</v>
      </c>
      <c r="I958" s="1356"/>
      <c r="J958" s="1356"/>
    </row>
    <row r="959" spans="2:11">
      <c r="B959" s="242" t="s">
        <v>489</v>
      </c>
      <c r="C959" s="239" t="s">
        <v>611</v>
      </c>
      <c r="D959" s="239">
        <v>0</v>
      </c>
      <c r="E959" s="355" t="s">
        <v>1225</v>
      </c>
      <c r="F959" s="1860" t="s">
        <v>2086</v>
      </c>
      <c r="G959" s="1860" t="s">
        <v>2086</v>
      </c>
      <c r="H959" s="1860" t="s">
        <v>2086</v>
      </c>
      <c r="I959" s="1356"/>
      <c r="J959" s="1356"/>
    </row>
    <row r="960" spans="2:11" ht="15" thickBot="1">
      <c r="B960" s="242" t="s">
        <v>353</v>
      </c>
      <c r="C960" s="239" t="s">
        <v>522</v>
      </c>
      <c r="D960" s="245">
        <v>0</v>
      </c>
      <c r="E960" s="251" t="s">
        <v>1225</v>
      </c>
      <c r="F960" s="1861" t="s">
        <v>2086</v>
      </c>
      <c r="G960" s="1861" t="s">
        <v>2086</v>
      </c>
      <c r="H960" s="1861" t="s">
        <v>2086</v>
      </c>
      <c r="I960" s="1357"/>
      <c r="J960" s="1357"/>
      <c r="K960" s="1352"/>
    </row>
    <row r="961" spans="2:16" ht="15" thickTop="1">
      <c r="B961" s="2127" t="s">
        <v>1859</v>
      </c>
      <c r="C961" s="2127"/>
      <c r="D961" s="2127"/>
      <c r="E961" s="2152"/>
      <c r="F961" s="2152"/>
      <c r="G961" s="2152"/>
      <c r="H961" s="2152"/>
      <c r="I961" s="2152"/>
      <c r="J961" s="2152"/>
    </row>
    <row r="962" spans="2:16" ht="15" customHeight="1">
      <c r="B962" s="2136" t="s">
        <v>1860</v>
      </c>
      <c r="C962" s="2105"/>
      <c r="D962" s="2105"/>
      <c r="E962" s="2105"/>
      <c r="F962" s="2105"/>
      <c r="G962" s="2105"/>
      <c r="H962" s="2105"/>
      <c r="I962" s="2105"/>
      <c r="J962" s="2105"/>
    </row>
    <row r="963" spans="2:16">
      <c r="B963" s="2136"/>
      <c r="C963" s="2112"/>
      <c r="D963" s="2112"/>
      <c r="E963" s="302"/>
      <c r="F963" s="302"/>
      <c r="G963" s="302"/>
      <c r="H963" s="302"/>
      <c r="I963" s="302"/>
      <c r="J963" s="302"/>
    </row>
    <row r="964" spans="2:16">
      <c r="B964" s="302"/>
      <c r="C964" s="302"/>
      <c r="D964" s="302"/>
      <c r="E964" s="302"/>
      <c r="F964" s="302"/>
      <c r="G964" s="302"/>
      <c r="H964" s="302"/>
      <c r="I964" s="302"/>
      <c r="J964" s="302"/>
    </row>
    <row r="965" spans="2:16">
      <c r="B965" s="1328" t="s">
        <v>76</v>
      </c>
      <c r="C965" s="892"/>
      <c r="D965" s="892"/>
      <c r="E965" s="892"/>
      <c r="F965" s="892"/>
      <c r="G965" s="892"/>
      <c r="H965" s="892"/>
      <c r="I965" s="892"/>
      <c r="J965" s="892"/>
    </row>
    <row r="966" spans="2:16">
      <c r="B966" s="12" t="s">
        <v>75</v>
      </c>
      <c r="C966" s="302"/>
      <c r="D966" s="302"/>
      <c r="E966" s="302"/>
      <c r="F966" s="302"/>
      <c r="G966" s="302"/>
      <c r="H966" s="302"/>
      <c r="I966" s="302"/>
      <c r="J966" s="302"/>
    </row>
    <row r="967" spans="2:16">
      <c r="B967" s="302"/>
      <c r="C967" s="302"/>
      <c r="D967" s="302"/>
      <c r="E967" s="302"/>
      <c r="F967" s="302"/>
      <c r="G967" s="302"/>
      <c r="H967" s="302"/>
      <c r="I967" s="302"/>
      <c r="J967" s="302"/>
    </row>
    <row r="968" spans="2:16" ht="25">
      <c r="B968" s="358" t="s">
        <v>11</v>
      </c>
      <c r="C968" s="359" t="s">
        <v>24</v>
      </c>
      <c r="D968" s="359" t="s">
        <v>74</v>
      </c>
      <c r="E968" s="359" t="s">
        <v>73</v>
      </c>
      <c r="F968" s="2153" t="s">
        <v>72</v>
      </c>
      <c r="G968" s="2153"/>
      <c r="H968" s="359" t="s">
        <v>71</v>
      </c>
      <c r="I968" s="359"/>
      <c r="J968" s="359"/>
      <c r="K968" s="1358"/>
      <c r="L968" s="1358"/>
      <c r="M968" s="1358"/>
      <c r="N968" s="1359"/>
      <c r="O968" s="1358"/>
      <c r="P968" s="1358"/>
    </row>
    <row r="969" spans="2:16" ht="64.5" customHeight="1">
      <c r="B969" s="347" t="s">
        <v>1308</v>
      </c>
      <c r="C969" s="239" t="s">
        <v>19</v>
      </c>
      <c r="D969" s="239" t="s">
        <v>1861</v>
      </c>
      <c r="E969" s="239" t="s">
        <v>56</v>
      </c>
      <c r="F969" s="2154" t="s">
        <v>1862</v>
      </c>
      <c r="G969" s="2154"/>
      <c r="H969" s="1360">
        <v>0</v>
      </c>
      <c r="I969" s="1360"/>
      <c r="J969" s="1360"/>
      <c r="K969" s="1361"/>
      <c r="L969" s="1361"/>
      <c r="M969" s="1361"/>
      <c r="N969" s="1361"/>
      <c r="O969" s="1361"/>
      <c r="P969" s="1361"/>
    </row>
    <row r="970" spans="2:16" ht="15" thickBot="1">
      <c r="B970" s="1362" t="s">
        <v>1863</v>
      </c>
      <c r="C970" s="245" t="s">
        <v>1</v>
      </c>
      <c r="D970" s="245" t="s">
        <v>57</v>
      </c>
      <c r="E970" s="245" t="s">
        <v>1864</v>
      </c>
      <c r="F970" s="2156" t="s">
        <v>1310</v>
      </c>
      <c r="G970" s="2156"/>
      <c r="H970" s="245">
        <v>0</v>
      </c>
      <c r="I970" s="245"/>
      <c r="J970" s="245"/>
    </row>
    <row r="971" spans="2:16" ht="15" thickTop="1">
      <c r="B971" s="364" t="s">
        <v>1865</v>
      </c>
      <c r="C971" s="302"/>
      <c r="D971" s="302"/>
      <c r="E971" s="302"/>
      <c r="F971" s="302"/>
      <c r="G971" s="302"/>
      <c r="H971" s="302"/>
      <c r="I971" s="302"/>
      <c r="J971" s="302"/>
    </row>
    <row r="972" spans="2:16" ht="15" customHeight="1">
      <c r="B972" s="2136" t="s">
        <v>1866</v>
      </c>
      <c r="C972" s="2136"/>
      <c r="D972" s="2136"/>
      <c r="E972" s="2136"/>
      <c r="F972" s="2136"/>
      <c r="G972" s="2136"/>
      <c r="H972" s="2136"/>
      <c r="I972" s="2136"/>
      <c r="J972" s="2136"/>
    </row>
    <row r="973" spans="2:16">
      <c r="B973" s="1329"/>
      <c r="C973" s="1329"/>
      <c r="D973" s="1329"/>
      <c r="E973" s="1329"/>
      <c r="F973" s="1329"/>
      <c r="G973" s="1329"/>
      <c r="H973" s="1329"/>
      <c r="I973" s="1329"/>
      <c r="J973" s="1329"/>
    </row>
    <row r="974" spans="2:16">
      <c r="B974" s="302"/>
      <c r="C974" s="302"/>
      <c r="D974" s="302"/>
      <c r="E974" s="302"/>
      <c r="F974" s="302"/>
      <c r="G974" s="302"/>
      <c r="H974" s="302"/>
      <c r="I974" s="302"/>
      <c r="J974" s="302"/>
    </row>
    <row r="975" spans="2:16">
      <c r="B975" s="1328" t="s">
        <v>52</v>
      </c>
      <c r="C975" s="1328"/>
      <c r="D975" s="1328"/>
      <c r="E975" s="1328"/>
      <c r="F975" s="1328"/>
      <c r="G975" s="1328"/>
      <c r="H975" s="1328"/>
      <c r="I975" s="1328"/>
      <c r="J975" s="1328"/>
    </row>
    <row r="976" spans="2:16">
      <c r="B976" s="12" t="s">
        <v>51</v>
      </c>
      <c r="C976" s="302"/>
      <c r="D976" s="302"/>
      <c r="E976" s="302"/>
      <c r="F976" s="302"/>
      <c r="G976" s="302"/>
      <c r="H976" s="302"/>
      <c r="I976" s="302"/>
      <c r="J976" s="302"/>
    </row>
    <row r="977" spans="2:10">
      <c r="B977" s="302"/>
      <c r="C977" s="302"/>
      <c r="D977" s="302"/>
      <c r="E977" s="302"/>
      <c r="F977" s="302"/>
      <c r="G977" s="302"/>
      <c r="H977" s="302"/>
      <c r="I977" s="302"/>
      <c r="J977" s="302"/>
    </row>
    <row r="978" spans="2:10" ht="24.75" customHeight="1">
      <c r="B978" s="2109" t="s">
        <v>38</v>
      </c>
      <c r="C978" s="2111" t="s">
        <v>530</v>
      </c>
      <c r="D978" s="2111" t="s">
        <v>24</v>
      </c>
      <c r="E978" s="2111" t="s">
        <v>50</v>
      </c>
      <c r="F978" s="2111" t="s">
        <v>49</v>
      </c>
      <c r="G978" s="2111" t="s">
        <v>48</v>
      </c>
      <c r="H978" s="2111" t="s">
        <v>47</v>
      </c>
      <c r="I978" s="2113"/>
      <c r="J978" s="2113"/>
    </row>
    <row r="979" spans="2:10" ht="24.75" customHeight="1">
      <c r="B979" s="2110"/>
      <c r="C979" s="2110"/>
      <c r="D979" s="2110"/>
      <c r="E979" s="2110"/>
      <c r="F979" s="2110"/>
      <c r="G979" s="2110"/>
      <c r="H979" s="2110"/>
      <c r="I979" s="2114"/>
      <c r="J979" s="2114"/>
    </row>
    <row r="980" spans="2:10" ht="15" thickBot="1">
      <c r="B980" s="1363" t="s">
        <v>80</v>
      </c>
      <c r="C980" s="1364">
        <v>0</v>
      </c>
      <c r="D980" s="1365">
        <v>0</v>
      </c>
      <c r="E980" s="1365">
        <v>0</v>
      </c>
      <c r="F980" s="1365">
        <v>0</v>
      </c>
      <c r="G980" s="1365">
        <v>0</v>
      </c>
      <c r="H980" s="1365">
        <v>0</v>
      </c>
      <c r="I980" s="345"/>
      <c r="J980" s="345"/>
    </row>
    <row r="981" spans="2:10" ht="15" thickTop="1">
      <c r="B981" s="370"/>
      <c r="C981" s="302"/>
      <c r="D981" s="302"/>
      <c r="E981" s="302"/>
      <c r="F981" s="302"/>
      <c r="G981" s="302"/>
      <c r="H981" s="302"/>
      <c r="I981" s="302"/>
      <c r="J981" s="302"/>
    </row>
    <row r="982" spans="2:10" ht="15" customHeight="1">
      <c r="B982" s="2109" t="s">
        <v>38</v>
      </c>
      <c r="C982" s="2109" t="s">
        <v>538</v>
      </c>
      <c r="D982" s="2111" t="s">
        <v>37</v>
      </c>
      <c r="E982" s="2111" t="s">
        <v>8</v>
      </c>
      <c r="F982" s="2111" t="s">
        <v>36</v>
      </c>
      <c r="G982" s="2113"/>
      <c r="H982" s="2113"/>
      <c r="I982" s="2113"/>
      <c r="J982" s="2113"/>
    </row>
    <row r="983" spans="2:10">
      <c r="B983" s="2110"/>
      <c r="C983" s="2110"/>
      <c r="D983" s="2110"/>
      <c r="E983" s="2110"/>
      <c r="F983" s="2110"/>
      <c r="G983" s="2114"/>
      <c r="H983" s="2114"/>
      <c r="I983" s="2114"/>
      <c r="J983" s="2114"/>
    </row>
    <row r="984" spans="2:10" ht="15" thickBot="1">
      <c r="B984" s="1363" t="s">
        <v>80</v>
      </c>
      <c r="C984" s="1364">
        <v>0</v>
      </c>
      <c r="D984" s="1365">
        <v>0</v>
      </c>
      <c r="E984" s="1365">
        <v>0</v>
      </c>
      <c r="F984" s="1365">
        <v>0</v>
      </c>
      <c r="G984" s="1366"/>
      <c r="H984" s="1366"/>
      <c r="I984" s="1366"/>
      <c r="J984" s="1366"/>
    </row>
    <row r="985" spans="2:10" ht="15" thickTop="1">
      <c r="B985" s="370" t="s">
        <v>1799</v>
      </c>
      <c r="C985" s="302"/>
      <c r="D985" s="302"/>
      <c r="E985" s="302"/>
      <c r="F985" s="302"/>
      <c r="G985" s="302"/>
      <c r="H985" s="302"/>
      <c r="I985" s="302"/>
      <c r="J985" s="302"/>
    </row>
    <row r="986" spans="2:10">
      <c r="B986" s="364"/>
      <c r="C986" s="302"/>
      <c r="D986" s="302"/>
      <c r="E986" s="302"/>
      <c r="F986" s="302"/>
      <c r="G986" s="302"/>
      <c r="H986" s="302"/>
      <c r="I986" s="302"/>
      <c r="J986" s="302"/>
    </row>
    <row r="987" spans="2:10">
      <c r="B987" s="364"/>
      <c r="C987" s="302"/>
      <c r="D987" s="302"/>
      <c r="E987" s="302"/>
      <c r="F987" s="302"/>
      <c r="G987" s="302"/>
      <c r="H987" s="302"/>
      <c r="I987" s="302"/>
      <c r="J987" s="302"/>
    </row>
    <row r="988" spans="2:10">
      <c r="B988" s="2100" t="s">
        <v>26</v>
      </c>
      <c r="C988" s="2100"/>
      <c r="D988" s="2100"/>
      <c r="E988" s="2100"/>
      <c r="F988" s="2100"/>
      <c r="G988" s="2100"/>
      <c r="H988" s="2100"/>
      <c r="I988" s="2100"/>
      <c r="J988" s="2100"/>
    </row>
    <row r="989" spans="2:10">
      <c r="B989" s="12" t="s">
        <v>25</v>
      </c>
      <c r="C989" s="302"/>
      <c r="D989" s="302"/>
      <c r="E989" s="302"/>
      <c r="F989" s="302"/>
      <c r="G989" s="302"/>
      <c r="H989" s="302"/>
      <c r="I989" s="302"/>
      <c r="J989" s="302"/>
    </row>
    <row r="990" spans="2:10">
      <c r="B990" s="302"/>
      <c r="C990" s="302"/>
      <c r="D990" s="302"/>
      <c r="E990" s="302"/>
      <c r="F990" s="302"/>
      <c r="G990" s="302"/>
      <c r="H990" s="302"/>
      <c r="I990" s="302"/>
      <c r="J990" s="302"/>
    </row>
    <row r="991" spans="2:10" ht="38.25" customHeight="1">
      <c r="B991" s="2109" t="s">
        <v>11</v>
      </c>
      <c r="C991" s="1326" t="s">
        <v>541</v>
      </c>
      <c r="D991" s="1326" t="s">
        <v>24</v>
      </c>
      <c r="E991" s="2111" t="s">
        <v>23</v>
      </c>
      <c r="F991" s="2111" t="s">
        <v>22</v>
      </c>
      <c r="G991" s="2111" t="s">
        <v>21</v>
      </c>
      <c r="H991" s="2111" t="s">
        <v>20</v>
      </c>
      <c r="I991" s="2113"/>
      <c r="J991" s="2113"/>
    </row>
    <row r="992" spans="2:10">
      <c r="B992" s="2110"/>
      <c r="C992" s="341"/>
      <c r="D992" s="341"/>
      <c r="E992" s="2110"/>
      <c r="F992" s="2110"/>
      <c r="G992" s="2110"/>
      <c r="H992" s="2110"/>
      <c r="I992" s="2114"/>
      <c r="J992" s="2114"/>
    </row>
    <row r="993" spans="2:10">
      <c r="B993" s="343" t="s">
        <v>1308</v>
      </c>
      <c r="C993" s="346" t="s">
        <v>1867</v>
      </c>
      <c r="D993" s="346" t="s">
        <v>19</v>
      </c>
      <c r="E993" s="346" t="s">
        <v>1385</v>
      </c>
      <c r="F993" s="897">
        <v>0.58333333333333337</v>
      </c>
      <c r="G993" s="346" t="s">
        <v>1371</v>
      </c>
      <c r="H993" s="346" t="s">
        <v>724</v>
      </c>
      <c r="I993" s="346"/>
      <c r="J993" s="346"/>
    </row>
    <row r="994" spans="2:10" ht="25.5" thickBot="1">
      <c r="B994" s="344" t="s">
        <v>1309</v>
      </c>
      <c r="C994" s="1367" t="s">
        <v>57</v>
      </c>
      <c r="D994" s="350" t="s">
        <v>1</v>
      </c>
      <c r="E994" s="350" t="s">
        <v>1309</v>
      </c>
      <c r="F994" s="899">
        <v>0.63541666666666663</v>
      </c>
      <c r="G994" s="1368" t="s">
        <v>1390</v>
      </c>
      <c r="H994" s="350" t="s">
        <v>15</v>
      </c>
      <c r="I994" s="346"/>
      <c r="J994" s="346"/>
    </row>
    <row r="995" spans="2:10" ht="15" thickTop="1">
      <c r="B995" s="370"/>
      <c r="C995" s="302"/>
      <c r="D995" s="302"/>
      <c r="E995" s="302"/>
      <c r="F995" s="302"/>
      <c r="G995" s="302"/>
      <c r="H995" s="302"/>
      <c r="I995" s="302"/>
      <c r="J995" s="302"/>
    </row>
    <row r="996" spans="2:10" ht="15" customHeight="1">
      <c r="B996" s="2109" t="s">
        <v>11</v>
      </c>
      <c r="C996" s="2109" t="s">
        <v>546</v>
      </c>
      <c r="D996" s="2111" t="s">
        <v>10</v>
      </c>
      <c r="E996" s="2111" t="s">
        <v>9</v>
      </c>
      <c r="F996" s="2111" t="s">
        <v>8</v>
      </c>
      <c r="G996" s="2113"/>
      <c r="H996" s="2113"/>
      <c r="I996" s="2113"/>
      <c r="J996" s="2113"/>
    </row>
    <row r="997" spans="2:10" ht="22.5" customHeight="1">
      <c r="B997" s="2110"/>
      <c r="C997" s="2110"/>
      <c r="D997" s="2110"/>
      <c r="E997" s="2110"/>
      <c r="F997" s="2110"/>
      <c r="G997" s="2114"/>
      <c r="H997" s="2114"/>
      <c r="I997" s="2114"/>
      <c r="J997" s="2114"/>
    </row>
    <row r="998" spans="2:10">
      <c r="B998" s="1369" t="s">
        <v>1308</v>
      </c>
      <c r="C998" s="346">
        <v>0</v>
      </c>
      <c r="D998" s="346">
        <v>0</v>
      </c>
      <c r="E998" s="346" t="s">
        <v>1389</v>
      </c>
      <c r="F998" s="346" t="s">
        <v>1</v>
      </c>
      <c r="G998" s="346"/>
      <c r="H998" s="346"/>
      <c r="I998" s="346"/>
      <c r="J998" s="346"/>
    </row>
    <row r="999" spans="2:10" ht="15" thickBot="1">
      <c r="B999" s="1370" t="s">
        <v>1309</v>
      </c>
      <c r="C999" s="1367" t="s">
        <v>547</v>
      </c>
      <c r="D999" s="350" t="s">
        <v>1606</v>
      </c>
      <c r="E999" s="350" t="s">
        <v>1868</v>
      </c>
      <c r="F999" s="350" t="s">
        <v>1</v>
      </c>
      <c r="G999" s="346"/>
      <c r="H999" s="346"/>
      <c r="I999" s="346"/>
      <c r="J999" s="346"/>
    </row>
    <row r="1000" spans="2:10" ht="15" thickTop="1">
      <c r="B1000" s="370" t="s">
        <v>1869</v>
      </c>
      <c r="C1000" s="302"/>
      <c r="D1000" s="302"/>
      <c r="E1000" s="302"/>
      <c r="F1000" s="302"/>
      <c r="G1000" s="302"/>
      <c r="H1000" s="302"/>
      <c r="I1000" s="302"/>
      <c r="J1000" s="302"/>
    </row>
    <row r="1001" spans="2:10">
      <c r="B1001" s="2136"/>
      <c r="C1001" s="2112"/>
      <c r="D1001" s="2112"/>
      <c r="E1001" s="2112"/>
      <c r="F1001" s="2112"/>
      <c r="G1001" s="2112"/>
      <c r="H1001" s="2112"/>
      <c r="I1001" s="2112"/>
      <c r="J1001" s="2112"/>
    </row>
    <row r="1002" spans="2:10">
      <c r="B1002" s="302"/>
      <c r="C1002" s="302"/>
      <c r="D1002" s="302"/>
      <c r="E1002" s="302"/>
      <c r="F1002" s="302"/>
      <c r="G1002" s="302"/>
      <c r="H1002" s="302"/>
      <c r="I1002" s="302"/>
      <c r="J1002" s="302"/>
    </row>
  </sheetData>
  <mergeCells count="132">
    <mergeCell ref="H996:H997"/>
    <mergeCell ref="I996:I997"/>
    <mergeCell ref="J996:J997"/>
    <mergeCell ref="B1001:J1001"/>
    <mergeCell ref="B996:B997"/>
    <mergeCell ref="C996:C997"/>
    <mergeCell ref="D996:D997"/>
    <mergeCell ref="E996:E997"/>
    <mergeCell ref="F996:F997"/>
    <mergeCell ref="G996:G997"/>
    <mergeCell ref="B988:J988"/>
    <mergeCell ref="B991:B992"/>
    <mergeCell ref="E991:E992"/>
    <mergeCell ref="F991:F992"/>
    <mergeCell ref="G991:G992"/>
    <mergeCell ref="H991:H992"/>
    <mergeCell ref="I991:I992"/>
    <mergeCell ref="J991:J992"/>
    <mergeCell ref="J978:J979"/>
    <mergeCell ref="B982:B983"/>
    <mergeCell ref="C982:C983"/>
    <mergeCell ref="D982:D983"/>
    <mergeCell ref="E982:E983"/>
    <mergeCell ref="F982:F983"/>
    <mergeCell ref="G982:G983"/>
    <mergeCell ref="H982:H983"/>
    <mergeCell ref="I982:I983"/>
    <mergeCell ref="J982:J983"/>
    <mergeCell ref="F970:G970"/>
    <mergeCell ref="B972:J972"/>
    <mergeCell ref="B978:B979"/>
    <mergeCell ref="C978:C979"/>
    <mergeCell ref="D978:D979"/>
    <mergeCell ref="E978:E979"/>
    <mergeCell ref="F978:F979"/>
    <mergeCell ref="G978:G979"/>
    <mergeCell ref="H978:H979"/>
    <mergeCell ref="I978:I979"/>
    <mergeCell ref="G955:H955"/>
    <mergeCell ref="B961:J961"/>
    <mergeCell ref="B962:J962"/>
    <mergeCell ref="B963:D963"/>
    <mergeCell ref="F968:G968"/>
    <mergeCell ref="F969:G969"/>
    <mergeCell ref="B954:D954"/>
    <mergeCell ref="B955:B956"/>
    <mergeCell ref="C955:C956"/>
    <mergeCell ref="D955:D956"/>
    <mergeCell ref="E955:E956"/>
    <mergeCell ref="F955:F956"/>
    <mergeCell ref="B943:J943"/>
    <mergeCell ref="B948:B949"/>
    <mergeCell ref="C948:C949"/>
    <mergeCell ref="D948:D949"/>
    <mergeCell ref="E948:E949"/>
    <mergeCell ref="F948:F949"/>
    <mergeCell ref="G948:G949"/>
    <mergeCell ref="H948:H949"/>
    <mergeCell ref="I948:I949"/>
    <mergeCell ref="J948:J949"/>
    <mergeCell ref="B862:J862"/>
    <mergeCell ref="B864:J864"/>
    <mergeCell ref="B900:J900"/>
    <mergeCell ref="B901:J901"/>
    <mergeCell ref="B941:J941"/>
    <mergeCell ref="B942:J942"/>
    <mergeCell ref="B824:J824"/>
    <mergeCell ref="B826:J826"/>
    <mergeCell ref="B846:J846"/>
    <mergeCell ref="B847:J847"/>
    <mergeCell ref="B849:J849"/>
    <mergeCell ref="B861:J861"/>
    <mergeCell ref="B723:J723"/>
    <mergeCell ref="B725:J725"/>
    <mergeCell ref="B772:J772"/>
    <mergeCell ref="B773:J773"/>
    <mergeCell ref="B775:J775"/>
    <mergeCell ref="B823:J823"/>
    <mergeCell ref="B647:J647"/>
    <mergeCell ref="B649:J649"/>
    <mergeCell ref="B672:J672"/>
    <mergeCell ref="B673:J673"/>
    <mergeCell ref="B675:J675"/>
    <mergeCell ref="B722:J722"/>
    <mergeCell ref="B569:J569"/>
    <mergeCell ref="B570:J570"/>
    <mergeCell ref="B572:J572"/>
    <mergeCell ref="B608:J608"/>
    <mergeCell ref="B610:J610"/>
    <mergeCell ref="B646:J646"/>
    <mergeCell ref="B495:J495"/>
    <mergeCell ref="B537:J537"/>
    <mergeCell ref="B538:J538"/>
    <mergeCell ref="B540:J540"/>
    <mergeCell ref="B560:J560"/>
    <mergeCell ref="B562:J562"/>
    <mergeCell ref="B339:J339"/>
    <mergeCell ref="B414:J414"/>
    <mergeCell ref="B415:J415"/>
    <mergeCell ref="B417:J417"/>
    <mergeCell ref="B492:J492"/>
    <mergeCell ref="B493:J493"/>
    <mergeCell ref="B286:J286"/>
    <mergeCell ref="B287:J287"/>
    <mergeCell ref="B288:J288"/>
    <mergeCell ref="B289:J289"/>
    <mergeCell ref="B336:J336"/>
    <mergeCell ref="B337:J337"/>
    <mergeCell ref="B151:J151"/>
    <mergeCell ref="B153:J153"/>
    <mergeCell ref="B217:J217"/>
    <mergeCell ref="B218:J218"/>
    <mergeCell ref="B221:J221"/>
    <mergeCell ref="B285:J285"/>
    <mergeCell ref="B88:J88"/>
    <mergeCell ref="B115:J115"/>
    <mergeCell ref="B116:J116"/>
    <mergeCell ref="B118:J118"/>
    <mergeCell ref="B149:J149"/>
    <mergeCell ref="B150:J150"/>
    <mergeCell ref="B34:J34"/>
    <mergeCell ref="B49:J49"/>
    <mergeCell ref="B50:J50"/>
    <mergeCell ref="B52:J52"/>
    <mergeCell ref="B85:J85"/>
    <mergeCell ref="B86:J86"/>
    <mergeCell ref="B2:J2"/>
    <mergeCell ref="B13:J13"/>
    <mergeCell ref="B14:J14"/>
    <mergeCell ref="B16:J16"/>
    <mergeCell ref="B31:J31"/>
    <mergeCell ref="B32:J32"/>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560CD-BDD3-4468-824F-24BFC2639717}">
  <dimension ref="A1:FL3683"/>
  <sheetViews>
    <sheetView topLeftCell="A3437" zoomScale="78" zoomScaleNormal="78" zoomScaleSheetLayoutView="80" workbookViewId="0">
      <selection activeCell="C3494" sqref="C3494"/>
    </sheetView>
  </sheetViews>
  <sheetFormatPr baseColWidth="10" defaultColWidth="11.453125" defaultRowHeight="14.5"/>
  <cols>
    <col min="1" max="1" width="1.54296875" customWidth="1"/>
    <col min="2" max="2" width="31.453125" customWidth="1"/>
    <col min="3" max="3" width="11.453125" customWidth="1"/>
    <col min="4" max="4" width="17.1796875" customWidth="1"/>
    <col min="5" max="5" width="11.1796875" customWidth="1"/>
    <col min="6" max="6" width="16" customWidth="1"/>
    <col min="7" max="7" width="11.7265625" customWidth="1"/>
    <col min="8" max="9" width="11.81640625" customWidth="1"/>
    <col min="10" max="10" width="12" customWidth="1"/>
    <col min="11" max="11" width="13.81640625" customWidth="1"/>
    <col min="12" max="12" width="13.26953125" customWidth="1"/>
    <col min="13" max="13" width="13.54296875" customWidth="1"/>
    <col min="14" max="14" width="13.1796875" customWidth="1"/>
    <col min="15" max="15" width="10.7265625" customWidth="1"/>
    <col min="16" max="16" width="12" customWidth="1"/>
    <col min="17" max="17" width="11.26953125" bestFit="1" customWidth="1"/>
    <col min="18" max="18" width="13.1796875" customWidth="1"/>
    <col min="19" max="19" width="17.1796875" customWidth="1"/>
  </cols>
  <sheetData>
    <row r="1" spans="2:19" s="57" customFormat="1" ht="13">
      <c r="B1" s="2157" t="s">
        <v>1034</v>
      </c>
      <c r="C1" s="2157"/>
      <c r="D1" s="2157"/>
      <c r="E1" s="2157"/>
      <c r="F1" s="2157"/>
      <c r="G1" s="2157"/>
      <c r="H1" s="2157"/>
      <c r="I1" s="2157"/>
      <c r="J1" s="2157"/>
      <c r="K1" s="2157"/>
      <c r="L1" s="2157"/>
      <c r="M1" s="2157"/>
      <c r="N1" s="2157"/>
      <c r="O1" s="2157"/>
      <c r="P1" s="2157"/>
      <c r="Q1" s="2157"/>
      <c r="R1" s="2157"/>
    </row>
    <row r="2" spans="2:19" s="57" customFormat="1" ht="13">
      <c r="B2" s="580" t="s">
        <v>463</v>
      </c>
      <c r="C2" s="580"/>
      <c r="D2" s="580"/>
      <c r="E2" s="580"/>
      <c r="F2" s="580"/>
      <c r="G2" s="580"/>
      <c r="H2" s="580"/>
      <c r="I2" s="580"/>
      <c r="J2" s="580"/>
      <c r="K2" s="580"/>
      <c r="L2" s="580"/>
      <c r="M2" s="580"/>
      <c r="N2" s="580"/>
      <c r="O2" s="580"/>
      <c r="P2" s="580"/>
      <c r="Q2" s="580"/>
    </row>
    <row r="3" spans="2:19" s="57" customFormat="1" ht="13">
      <c r="B3" s="581" t="s">
        <v>1035</v>
      </c>
      <c r="C3" s="582"/>
      <c r="D3" s="582"/>
      <c r="E3" s="582"/>
      <c r="F3" s="582"/>
      <c r="G3" s="582"/>
      <c r="H3" s="582"/>
      <c r="I3" s="582"/>
      <c r="J3" s="582"/>
      <c r="K3" s="582"/>
      <c r="L3" s="582"/>
      <c r="M3" s="582"/>
      <c r="N3" s="582"/>
      <c r="O3" s="582"/>
      <c r="P3" s="582"/>
      <c r="Q3" s="582"/>
    </row>
    <row r="4" spans="2:19" s="57" customFormat="1" ht="13">
      <c r="B4" s="583"/>
      <c r="C4" s="2183" t="s">
        <v>1036</v>
      </c>
      <c r="D4" s="2184"/>
      <c r="E4" s="2184"/>
      <c r="F4" s="2184"/>
      <c r="G4" s="2184"/>
      <c r="H4" s="2184"/>
      <c r="I4" s="2184"/>
      <c r="J4" s="2185"/>
      <c r="K4" s="2183" t="s">
        <v>1037</v>
      </c>
      <c r="L4" s="2184"/>
      <c r="M4" s="2184"/>
      <c r="N4" s="2184"/>
      <c r="O4" s="2184"/>
      <c r="P4" s="2184"/>
      <c r="Q4" s="2184"/>
      <c r="R4" s="2185"/>
    </row>
    <row r="5" spans="2:19" s="57" customFormat="1" ht="12.5">
      <c r="B5" s="584"/>
      <c r="C5" s="585">
        <v>2014</v>
      </c>
      <c r="D5" s="586">
        <v>2015</v>
      </c>
      <c r="E5" s="586">
        <v>2016</v>
      </c>
      <c r="F5" s="586">
        <v>2017</v>
      </c>
      <c r="G5" s="586">
        <v>2018</v>
      </c>
      <c r="H5" s="586">
        <v>2019</v>
      </c>
      <c r="I5" s="586">
        <v>2020</v>
      </c>
      <c r="J5" s="586">
        <v>2021</v>
      </c>
      <c r="K5" s="587">
        <v>2014</v>
      </c>
      <c r="L5" s="588">
        <v>2015</v>
      </c>
      <c r="M5" s="588">
        <v>2016</v>
      </c>
      <c r="N5" s="588">
        <v>2017</v>
      </c>
      <c r="O5" s="588">
        <v>2018</v>
      </c>
      <c r="P5" s="588">
        <v>2019</v>
      </c>
      <c r="Q5" s="588">
        <v>2020</v>
      </c>
      <c r="R5" s="848">
        <v>2021</v>
      </c>
    </row>
    <row r="6" spans="2:19" s="57" customFormat="1" ht="12.5">
      <c r="B6" s="589" t="s">
        <v>1038</v>
      </c>
      <c r="C6" s="590">
        <f>ARG!C7</f>
        <v>585893.82600561273</v>
      </c>
      <c r="D6" s="591">
        <f>ARG!D7</f>
        <v>503816.99346405227</v>
      </c>
      <c r="E6" s="591">
        <f>ARG!E7</f>
        <v>565532.80084793887</v>
      </c>
      <c r="F6" s="591">
        <f>ARG!F7</f>
        <v>624548.90221687208</v>
      </c>
      <c r="G6" s="591">
        <f>ARG!G7</f>
        <v>443805.56650259334</v>
      </c>
      <c r="H6" s="591">
        <f>ARG!H7</f>
        <v>420401.46923783288</v>
      </c>
      <c r="I6" s="591">
        <f>ARG!I7</f>
        <v>387652.77051129611</v>
      </c>
      <c r="J6" s="592">
        <f>ARG!J7</f>
        <v>534351.3424124514</v>
      </c>
      <c r="K6" s="590">
        <f>ARG!C6</f>
        <v>42.669499999999999</v>
      </c>
      <c r="L6" s="593">
        <f>ARG!D6</f>
        <v>43.131965999999998</v>
      </c>
      <c r="M6" s="593">
        <f>ARG!E6</f>
        <v>43.590367999999998</v>
      </c>
      <c r="N6" s="593">
        <f>ARG!F6</f>
        <v>44.044811000000003</v>
      </c>
      <c r="O6" s="593">
        <f>ARG!G6</f>
        <v>44.494501999999997</v>
      </c>
      <c r="P6" s="593">
        <f>ARG!H6</f>
        <v>44.938712000000002</v>
      </c>
      <c r="Q6" s="593">
        <f>ARG!I6</f>
        <v>45.377000000000002</v>
      </c>
      <c r="R6" s="594">
        <f>ARG!J6</f>
        <v>45.81</v>
      </c>
      <c r="S6" s="56"/>
    </row>
    <row r="7" spans="2:19" s="57" customFormat="1" ht="12.5">
      <c r="B7" s="595" t="s">
        <v>1039</v>
      </c>
      <c r="C7" s="1865">
        <f>BA!C7</f>
        <v>11111.6</v>
      </c>
      <c r="D7" s="597">
        <f>BA!D7</f>
        <v>11861.9</v>
      </c>
      <c r="E7" s="597">
        <f>BA!E7</f>
        <v>11834.6</v>
      </c>
      <c r="F7" s="597">
        <f>BA!F7</f>
        <v>12357.6</v>
      </c>
      <c r="G7" s="597">
        <f>BA!G7</f>
        <v>12755.8</v>
      </c>
      <c r="H7" s="597">
        <f>BA!H7</f>
        <v>13192.8</v>
      </c>
      <c r="I7" s="597">
        <f>BA!I7</f>
        <v>9699.5</v>
      </c>
      <c r="J7" s="598">
        <f>BA!J7</f>
        <v>11208.6</v>
      </c>
      <c r="K7" s="1865">
        <f>BA!C6</f>
        <v>365.92</v>
      </c>
      <c r="L7" s="599">
        <f>BA!D6</f>
        <v>369.67</v>
      </c>
      <c r="M7" s="599">
        <f>BA!E6</f>
        <v>373.48</v>
      </c>
      <c r="N7" s="599">
        <f>BA!F6</f>
        <v>377.36</v>
      </c>
      <c r="O7" s="599">
        <f>BA!G6</f>
        <v>381.32</v>
      </c>
      <c r="P7" s="599">
        <f>BA!H6</f>
        <v>385.34</v>
      </c>
      <c r="Q7" s="599">
        <f>BA!I6</f>
        <v>389.41</v>
      </c>
      <c r="R7" s="600">
        <f>BA!J6</f>
        <v>393.5</v>
      </c>
    </row>
    <row r="8" spans="2:19" s="57" customFormat="1" ht="12.5">
      <c r="B8" s="595" t="s">
        <v>1040</v>
      </c>
      <c r="C8" s="1865">
        <f>BO!C7</f>
        <v>33236.685009735993</v>
      </c>
      <c r="D8" s="597">
        <f>BO!D7</f>
        <v>33240.724474427552</v>
      </c>
      <c r="E8" s="597">
        <f>BO!E7</f>
        <v>34188.510501810386</v>
      </c>
      <c r="F8" s="597">
        <f>BO!F7</f>
        <v>37782.028770040197</v>
      </c>
      <c r="G8" s="597">
        <f>BO!G7</f>
        <v>40581.289679240523</v>
      </c>
      <c r="H8" s="597">
        <f>BO!H7</f>
        <v>41193.44023323615</v>
      </c>
      <c r="I8" s="597">
        <f>BO!I7</f>
        <v>38350</v>
      </c>
      <c r="J8" s="598">
        <f>BO!J7</f>
        <v>40702.728998481711</v>
      </c>
      <c r="K8" s="1865">
        <f>BO!C6</f>
        <v>10383.760002361872</v>
      </c>
      <c r="L8" s="597">
        <f>BO!D6</f>
        <v>10566.738372670285</v>
      </c>
      <c r="M8" s="597">
        <f>BO!E6</f>
        <v>10752.94111295577</v>
      </c>
      <c r="N8" s="597">
        <f>BO!F6</f>
        <v>10942.425041746827</v>
      </c>
      <c r="O8" s="597">
        <f>BO!G6</f>
        <v>11135.247978804826</v>
      </c>
      <c r="P8" s="597">
        <f>BO!H6</f>
        <v>11331.468762767314</v>
      </c>
      <c r="Q8" s="597">
        <f>BO!I6</f>
        <v>11677.406000000001</v>
      </c>
      <c r="R8" s="598">
        <f>BO!J6</f>
        <v>11841.955</v>
      </c>
    </row>
    <row r="9" spans="2:19" s="57" customFormat="1" ht="12.5">
      <c r="B9" s="595" t="s">
        <v>1041</v>
      </c>
      <c r="C9" s="1865">
        <f>BR!C7</f>
        <v>2175646.7886454333</v>
      </c>
      <c r="D9" s="597">
        <f>BR!D7</f>
        <v>1535491.4464249129</v>
      </c>
      <c r="E9" s="597">
        <f>BR!E7</f>
        <v>1923637.8141204626</v>
      </c>
      <c r="F9" s="597">
        <f>BR!F7</f>
        <v>1990773.5792019321</v>
      </c>
      <c r="G9" s="597">
        <f>BR!G7</f>
        <v>1807613.5542479611</v>
      </c>
      <c r="H9" s="597">
        <f>BR!H7</f>
        <v>1833212.841574</v>
      </c>
      <c r="I9" s="597">
        <f>BR!I7</f>
        <v>1436992.0121180001</v>
      </c>
      <c r="J9" s="598">
        <f>BR!J7</f>
        <v>1555324.7142729999</v>
      </c>
      <c r="K9" s="1865">
        <f>BR!C6</f>
        <v>201717.541</v>
      </c>
      <c r="L9" s="597">
        <f>BR!D6</f>
        <v>203475.68299999999</v>
      </c>
      <c r="M9" s="597">
        <f>BR!E6</f>
        <v>205156.587</v>
      </c>
      <c r="N9" s="597">
        <f>BR!F6</f>
        <v>206804.74100000001</v>
      </c>
      <c r="O9" s="597">
        <f>BR!G6</f>
        <v>208494.9</v>
      </c>
      <c r="P9" s="597">
        <f>BR!H6</f>
        <v>210147.125</v>
      </c>
      <c r="Q9" s="597">
        <f>BR!I6</f>
        <v>211755.69200000001</v>
      </c>
      <c r="R9" s="598">
        <f>BR!J6</f>
        <v>213318</v>
      </c>
      <c r="S9" s="56"/>
    </row>
    <row r="10" spans="2:19" s="57" customFormat="1" ht="12.5">
      <c r="B10" s="595" t="s">
        <v>1042</v>
      </c>
      <c r="C10" s="1865">
        <f>CL!C7</f>
        <v>244656.48173301722</v>
      </c>
      <c r="D10" s="597">
        <f>CL!D7</f>
        <v>225568.11195464697</v>
      </c>
      <c r="E10" s="597">
        <f>CL!E7</f>
        <v>254068.52750977839</v>
      </c>
      <c r="F10" s="597">
        <f>CL!F7</f>
        <v>292181.86306849582</v>
      </c>
      <c r="G10" s="597">
        <f>CL!G7</f>
        <v>274929.85679253686</v>
      </c>
      <c r="H10" s="597">
        <f>CL!H7</f>
        <v>266499.2973959872</v>
      </c>
      <c r="I10" s="597">
        <f>CL!I7</f>
        <v>200512.43599999999</v>
      </c>
      <c r="J10" s="598">
        <f>CL!J7</f>
        <v>320844.34999999998</v>
      </c>
      <c r="K10" s="1865">
        <f>CL!C6</f>
        <v>17787.616999999998</v>
      </c>
      <c r="L10" s="597">
        <f>CL!D6</f>
        <v>17971.422999999999</v>
      </c>
      <c r="M10" s="597">
        <f>CL!E6</f>
        <v>18167.147000000001</v>
      </c>
      <c r="N10" s="597">
        <f>CL!F6</f>
        <v>18419.191999999999</v>
      </c>
      <c r="O10" s="597">
        <f>CL!G6</f>
        <v>18751.404999999999</v>
      </c>
      <c r="P10" s="597">
        <f>CL!H6</f>
        <v>19107.216</v>
      </c>
      <c r="Q10" s="597">
        <f>CL!I6</f>
        <v>19458.310000000001</v>
      </c>
      <c r="R10" s="598">
        <f>CL!J6</f>
        <v>19678.363000000001</v>
      </c>
      <c r="S10" s="56"/>
    </row>
    <row r="11" spans="2:19" s="57" customFormat="1" ht="12.5">
      <c r="B11" s="595" t="s">
        <v>1043</v>
      </c>
      <c r="C11" s="1865">
        <f>CO!C7</f>
        <v>318878.05856733193</v>
      </c>
      <c r="D11" s="597">
        <f>CO!D7</f>
        <v>255500.76679568249</v>
      </c>
      <c r="E11" s="597">
        <f>CO!E7</f>
        <v>287859.20665442478</v>
      </c>
      <c r="F11" s="597">
        <f>CO!F7</f>
        <v>308468.83378016087</v>
      </c>
      <c r="G11" s="597">
        <f>CO!G7</f>
        <v>303386.7220555424</v>
      </c>
      <c r="H11" s="597">
        <f>CO!H7</f>
        <v>323980.52312127588</v>
      </c>
      <c r="I11" s="597">
        <f>CO!I7</f>
        <v>292184.21429292124</v>
      </c>
      <c r="J11" s="598">
        <f>CO!J7</f>
        <v>295698.92761887738</v>
      </c>
      <c r="K11" s="1865">
        <f>CO!C6</f>
        <v>47661.786999999997</v>
      </c>
      <c r="L11" s="597">
        <f>CO!D6</f>
        <v>48203.404999999999</v>
      </c>
      <c r="M11" s="597">
        <f>CO!E6</f>
        <v>48747.707999999999</v>
      </c>
      <c r="N11" s="597">
        <f>CO!F6</f>
        <v>49291.608999999997</v>
      </c>
      <c r="O11" s="597">
        <f>CO!G6</f>
        <v>49834.239999999998</v>
      </c>
      <c r="P11" s="597">
        <f>CO!H6</f>
        <v>50374.478000000003</v>
      </c>
      <c r="Q11" s="597">
        <f>CO!I6</f>
        <v>50372.423999999999</v>
      </c>
      <c r="R11" s="598">
        <f>CO!J6</f>
        <v>51049.498</v>
      </c>
    </row>
    <row r="12" spans="2:19" s="57" customFormat="1" ht="12.5">
      <c r="B12" s="595" t="s">
        <v>1044</v>
      </c>
      <c r="C12" s="1865">
        <f>CR!C7</f>
        <v>52016.289742666653</v>
      </c>
      <c r="D12" s="597">
        <f>CR!D7</f>
        <v>56441.841240517009</v>
      </c>
      <c r="E12" s="597">
        <f>CR!E7</f>
        <v>58846.929910840154</v>
      </c>
      <c r="F12" s="597">
        <f>CR!F7</f>
        <v>60515.939512856181</v>
      </c>
      <c r="G12" s="597">
        <f>CR!G7</f>
        <v>62420.164964685144</v>
      </c>
      <c r="H12" s="597">
        <f>CR!H7</f>
        <v>64417.670555762459</v>
      </c>
      <c r="I12" s="597">
        <f>CR!I7</f>
        <v>62395.610764042052</v>
      </c>
      <c r="J12" s="598">
        <f>CR!J7</f>
        <v>64616.269773297739</v>
      </c>
      <c r="K12" s="1865">
        <f>CR!C6</f>
        <v>4773.1189999999997</v>
      </c>
      <c r="L12" s="597">
        <f>CR!D6</f>
        <v>4832.2269999999999</v>
      </c>
      <c r="M12" s="597">
        <f>CR!E6</f>
        <v>4890.3720000000003</v>
      </c>
      <c r="N12" s="597">
        <f>CR!F6</f>
        <v>4947.4809999999998</v>
      </c>
      <c r="O12" s="597">
        <f>CR!G6</f>
        <v>5003.4019576721303</v>
      </c>
      <c r="P12" s="597">
        <f>CR!H6</f>
        <v>5058.0071472190202</v>
      </c>
      <c r="Q12" s="597">
        <f>CR!I6</f>
        <v>5111.2382164700002</v>
      </c>
      <c r="R12" s="598">
        <f>CR!J6</f>
        <v>5163.0209999999997</v>
      </c>
    </row>
    <row r="13" spans="2:19" s="57" customFormat="1" ht="12.5">
      <c r="B13" s="595" t="s">
        <v>1045</v>
      </c>
      <c r="C13" s="1865">
        <v>3158.4</v>
      </c>
      <c r="D13" s="597">
        <v>11680.3</v>
      </c>
      <c r="E13" s="597">
        <f>CW!E7</f>
        <v>3014.8603351955308</v>
      </c>
      <c r="F13" s="597">
        <f>CW!F7</f>
        <v>3009.5530726256984</v>
      </c>
      <c r="G13" s="597">
        <f>CW!G7</f>
        <v>3021.564245810056</v>
      </c>
      <c r="H13" s="597">
        <f>CW!H7</f>
        <v>2997.4301675977649</v>
      </c>
      <c r="I13" s="597">
        <f>CW!I7</f>
        <v>2511.8435754189941</v>
      </c>
      <c r="J13" s="598">
        <f>CW!J7</f>
        <v>2712.7932960893854</v>
      </c>
      <c r="K13" s="1865">
        <v>157</v>
      </c>
      <c r="L13" s="597">
        <v>159</v>
      </c>
      <c r="M13" s="597">
        <f>CW!E6</f>
        <v>160.34</v>
      </c>
      <c r="N13" s="597">
        <f>CW!F6</f>
        <v>160.01</v>
      </c>
      <c r="O13" s="597">
        <f>CW!G6</f>
        <v>158.66</v>
      </c>
      <c r="P13" s="597">
        <f>CW!H6</f>
        <v>156.22</v>
      </c>
      <c r="Q13" s="597">
        <f>CW!I6</f>
        <v>153.66999999999999</v>
      </c>
      <c r="R13" s="598">
        <f>CW!J6</f>
        <v>151.07</v>
      </c>
    </row>
    <row r="14" spans="2:19" s="57" customFormat="1" ht="12.5">
      <c r="B14" s="595" t="s">
        <v>1046</v>
      </c>
      <c r="C14" s="1865">
        <v>1245.2</v>
      </c>
      <c r="D14" s="597">
        <v>1253.3</v>
      </c>
      <c r="E14" s="597">
        <f>CW!E19</f>
        <v>1401.8435754189945</v>
      </c>
      <c r="F14" s="597">
        <f>CW!F19</f>
        <v>1289.4413407821228</v>
      </c>
      <c r="G14" s="597">
        <f>CW!G19</f>
        <v>1259.2</v>
      </c>
      <c r="H14" s="597">
        <f>CW!H19</f>
        <v>1459.76</v>
      </c>
      <c r="I14" s="597">
        <f>CW!I19</f>
        <v>1240.29</v>
      </c>
      <c r="J14" s="598">
        <f>CW!J19</f>
        <v>1384.63</v>
      </c>
      <c r="K14" s="1865">
        <v>37.1</v>
      </c>
      <c r="L14" s="597">
        <v>39.4</v>
      </c>
      <c r="M14" s="597">
        <f>CW!E18</f>
        <v>40.54</v>
      </c>
      <c r="N14" s="597">
        <f>CW!F18</f>
        <v>40.61</v>
      </c>
      <c r="O14" s="597">
        <f>CW!G18</f>
        <v>41.18</v>
      </c>
      <c r="P14" s="597">
        <f>CW!H18</f>
        <v>42.04</v>
      </c>
      <c r="Q14" s="597">
        <f>CW!I18</f>
        <v>42.58</v>
      </c>
      <c r="R14" s="598">
        <f>CW!J18</f>
        <v>0</v>
      </c>
    </row>
    <row r="15" spans="2:19" s="57" customFormat="1" ht="12.5">
      <c r="B15" s="1864" t="s">
        <v>1061</v>
      </c>
      <c r="C15" s="1865">
        <f>C13+C14</f>
        <v>4403.6000000000004</v>
      </c>
      <c r="D15" s="597">
        <f t="shared" ref="D15:I15" si="0">D13+D14</f>
        <v>12933.599999999999</v>
      </c>
      <c r="E15" s="597">
        <f t="shared" si="0"/>
        <v>4416.7039106145257</v>
      </c>
      <c r="F15" s="597">
        <f t="shared" si="0"/>
        <v>4298.9944134078214</v>
      </c>
      <c r="G15" s="597">
        <f t="shared" si="0"/>
        <v>4280.7642458100563</v>
      </c>
      <c r="H15" s="597">
        <f t="shared" si="0"/>
        <v>4457.1901675977651</v>
      </c>
      <c r="I15" s="597">
        <f t="shared" si="0"/>
        <v>3752.133575418994</v>
      </c>
      <c r="J15" s="598">
        <f>J13+J14</f>
        <v>4097.423296089386</v>
      </c>
      <c r="K15" s="1865">
        <f>K13+K14</f>
        <v>194.1</v>
      </c>
      <c r="L15" s="597">
        <f t="shared" ref="L15:R15" si="1">L13+L14</f>
        <v>198.4</v>
      </c>
      <c r="M15" s="597">
        <f t="shared" si="1"/>
        <v>200.88</v>
      </c>
      <c r="N15" s="597">
        <f t="shared" si="1"/>
        <v>200.62</v>
      </c>
      <c r="O15" s="597">
        <f t="shared" si="1"/>
        <v>199.84</v>
      </c>
      <c r="P15" s="597">
        <f t="shared" si="1"/>
        <v>198.26</v>
      </c>
      <c r="Q15" s="597">
        <f t="shared" si="1"/>
        <v>196.25</v>
      </c>
      <c r="R15" s="598">
        <f t="shared" si="1"/>
        <v>151.07</v>
      </c>
    </row>
    <row r="16" spans="2:19" s="57" customFormat="1" ht="12.5">
      <c r="B16" s="595" t="s">
        <v>1047</v>
      </c>
      <c r="C16" s="1865">
        <f>EC!C7</f>
        <v>101726.33</v>
      </c>
      <c r="D16" s="597">
        <f>EC!D7</f>
        <v>99290.38</v>
      </c>
      <c r="E16" s="597">
        <f>EC!E7</f>
        <v>99937.7</v>
      </c>
      <c r="F16" s="597">
        <f>EC!F7</f>
        <v>104295.86</v>
      </c>
      <c r="G16" s="597">
        <f>EC!G7</f>
        <v>107562.01</v>
      </c>
      <c r="H16" s="597">
        <f>EC!H7</f>
        <v>108108.01</v>
      </c>
      <c r="I16" s="597">
        <f>EC!I7</f>
        <v>98808.01</v>
      </c>
      <c r="J16" s="598">
        <f>EC!J7</f>
        <v>106166</v>
      </c>
      <c r="K16" s="1865">
        <f>EC!C6</f>
        <v>16.027466</v>
      </c>
      <c r="L16" s="597">
        <f>EC!D6</f>
        <v>16.278843999999999</v>
      </c>
      <c r="M16" s="597">
        <f>EC!E6</f>
        <v>16.528729999999999</v>
      </c>
      <c r="N16" s="597">
        <f>EC!F6</f>
        <v>16.776976999999999</v>
      </c>
      <c r="O16" s="597">
        <f>EC!G6</f>
        <v>17.023408</v>
      </c>
      <c r="P16" s="597">
        <f>EC!H6</f>
        <v>17.267986000000001</v>
      </c>
      <c r="Q16" s="597">
        <f>EC!I6</f>
        <v>17.510643000000002</v>
      </c>
      <c r="R16" s="598">
        <f>EC!J6</f>
        <v>17.888473999999999</v>
      </c>
    </row>
    <row r="17" spans="2:19" s="57" customFormat="1" ht="12.5">
      <c r="B17" s="595" t="s">
        <v>1048</v>
      </c>
      <c r="C17" s="1865">
        <f>SV!C7</f>
        <v>22593.47</v>
      </c>
      <c r="D17" s="597">
        <f>SV!D7</f>
        <v>23438.240000000002</v>
      </c>
      <c r="E17" s="597">
        <f>SV!E7</f>
        <v>24191.43</v>
      </c>
      <c r="F17" s="597">
        <f>SV!F7</f>
        <v>24979.19</v>
      </c>
      <c r="G17" s="597">
        <f>SV!G7</f>
        <v>26020.85</v>
      </c>
      <c r="H17" s="597">
        <f>SV!H7</f>
        <v>26896.66</v>
      </c>
      <c r="I17" s="597">
        <f>SV!I7</f>
        <v>24638.720000000001</v>
      </c>
      <c r="J17" s="598">
        <f>SV!J7</f>
        <v>28736.94</v>
      </c>
      <c r="K17" s="1865">
        <f>SV!C6</f>
        <v>6.4012399999999996</v>
      </c>
      <c r="L17" s="597">
        <f>SV!D6</f>
        <v>6.2599010000000002</v>
      </c>
      <c r="M17" s="597">
        <f>SV!E6</f>
        <v>6.2789010000000003</v>
      </c>
      <c r="N17" s="597">
        <f>SV!F6</f>
        <v>6.2935939999999997</v>
      </c>
      <c r="O17" s="597">
        <f>SV!G6</f>
        <v>6.3054959999999998</v>
      </c>
      <c r="P17" s="597">
        <f>SV!H6</f>
        <v>6.3147549999999999</v>
      </c>
      <c r="Q17" s="597">
        <f>SV!I6</f>
        <v>6.3210420000000003</v>
      </c>
      <c r="R17" s="598">
        <f>SV!J6</f>
        <v>6.3258299999999998</v>
      </c>
    </row>
    <row r="18" spans="2:19" s="57" customFormat="1" ht="12.5">
      <c r="B18" s="595" t="s">
        <v>1049</v>
      </c>
      <c r="C18" s="1865">
        <f>GT!C7</f>
        <v>57831.831647472573</v>
      </c>
      <c r="D18" s="597">
        <f>GT!D7</f>
        <v>62179.362999999998</v>
      </c>
      <c r="E18" s="597">
        <f>GT!E7</f>
        <v>66034.956999999995</v>
      </c>
      <c r="F18" s="597">
        <f>GT!F7</f>
        <v>71625.281000000003</v>
      </c>
      <c r="G18" s="597">
        <f>GT!G7</f>
        <v>73329.195000000007</v>
      </c>
      <c r="H18" s="597">
        <f>GT!H7</f>
        <v>77153.880999999994</v>
      </c>
      <c r="I18" s="597">
        <f>GT!I7</f>
        <v>77620.259999999995</v>
      </c>
      <c r="J18" s="598">
        <f>GT!J7</f>
        <v>85970.524000000005</v>
      </c>
      <c r="K18" s="1865">
        <f>GT!C6</f>
        <v>15306.316000000001</v>
      </c>
      <c r="L18" s="597">
        <f>GT!D6</f>
        <v>15567.419</v>
      </c>
      <c r="M18" s="597">
        <f>GT!E6</f>
        <v>15827.69</v>
      </c>
      <c r="N18" s="597">
        <f>GT!F6</f>
        <v>16087.418</v>
      </c>
      <c r="O18" s="597">
        <f>GT!G6</f>
        <v>16346.95</v>
      </c>
      <c r="P18" s="597">
        <f>GT!H6</f>
        <v>16604.026000000002</v>
      </c>
      <c r="Q18" s="597">
        <f>GT!I6</f>
        <v>16858.332999999999</v>
      </c>
      <c r="R18" s="598">
        <f>GT!J6</f>
        <v>17109.745999999999</v>
      </c>
    </row>
    <row r="19" spans="2:19" s="57" customFormat="1" ht="12.5">
      <c r="B19" s="595" t="s">
        <v>1050</v>
      </c>
      <c r="C19" s="1865">
        <f>HN!C7</f>
        <v>19721.639452775857</v>
      </c>
      <c r="D19" s="597">
        <f>HN!D7</f>
        <v>20583.576244210377</v>
      </c>
      <c r="E19" s="597">
        <f>HN!E7</f>
        <v>21566.622849639658</v>
      </c>
      <c r="F19" s="597">
        <f>HN!F7</f>
        <v>22975.415842424507</v>
      </c>
      <c r="G19" s="597">
        <f>HN!G7</f>
        <v>23900.438563688447</v>
      </c>
      <c r="H19" s="597">
        <f>HN!H7</f>
        <v>24915.52225780494</v>
      </c>
      <c r="I19" s="597">
        <f>HN!I7</f>
        <v>23662.231633895848</v>
      </c>
      <c r="J19" s="598">
        <f>HN!J7</f>
        <v>28290.70116381675</v>
      </c>
      <c r="K19" s="1865">
        <f>HN!C6</f>
        <v>8432.15</v>
      </c>
      <c r="L19" s="597">
        <f>HN!D6</f>
        <v>8577</v>
      </c>
      <c r="M19" s="597">
        <f>HN!E6</f>
        <v>8721</v>
      </c>
      <c r="N19" s="597">
        <f>HN!F6</f>
        <v>8866.4</v>
      </c>
      <c r="O19" s="597">
        <f>HN!G6</f>
        <v>9012.2000000000007</v>
      </c>
      <c r="P19" s="597">
        <f>HN!H6</f>
        <v>9158.2999999999993</v>
      </c>
      <c r="Q19" s="597">
        <f>HN!I6</f>
        <v>9304.4</v>
      </c>
      <c r="R19" s="598">
        <f>HN!J6</f>
        <v>9450.7000000000007</v>
      </c>
    </row>
    <row r="20" spans="2:19" s="57" customFormat="1" ht="12.5">
      <c r="B20" s="595" t="s">
        <v>1051</v>
      </c>
      <c r="C20" s="1865">
        <f>JM!C7</f>
        <v>13447.534681829889</v>
      </c>
      <c r="D20" s="597">
        <f>JM!D7</f>
        <v>13782.977862996737</v>
      </c>
      <c r="E20" s="597">
        <f>JM!E7</f>
        <v>13710.449625413239</v>
      </c>
      <c r="F20" s="597">
        <f>JM!F7</f>
        <v>15160.151883749291</v>
      </c>
      <c r="G20" s="597">
        <f>JM!G7</f>
        <v>15873.091994430817</v>
      </c>
      <c r="H20" s="597">
        <f>JM!H7</f>
        <v>15919.502628844117</v>
      </c>
      <c r="I20" s="597">
        <f>JM!I7</f>
        <v>13788.560068906821</v>
      </c>
      <c r="J20" s="598">
        <f>JM!J7</f>
        <v>14251.402052360469</v>
      </c>
      <c r="K20" s="1865">
        <f>JM!C6</f>
        <v>2715.6570000000002</v>
      </c>
      <c r="L20" s="597">
        <f>JM!D6</f>
        <v>2719.47</v>
      </c>
      <c r="M20" s="597">
        <f>JM!E6</f>
        <v>2721.6640000000002</v>
      </c>
      <c r="N20" s="597">
        <f>JM!F6</f>
        <v>2725.8820000000001</v>
      </c>
      <c r="O20" s="597">
        <f>JM!G6</f>
        <v>2730.982</v>
      </c>
      <c r="P20" s="597">
        <f>JM!H6</f>
        <v>2734.0920000000001</v>
      </c>
      <c r="Q20" s="597">
        <f>JM!I6</f>
        <v>2736.4</v>
      </c>
      <c r="R20" s="598">
        <f>JM!J6</f>
        <v>2739.5</v>
      </c>
      <c r="S20" s="56"/>
    </row>
    <row r="21" spans="2:19" s="57" customFormat="1" ht="12.5">
      <c r="B21" s="595" t="s">
        <v>1052</v>
      </c>
      <c r="C21" s="1865">
        <f>RD!C7</f>
        <v>66186.576610121148</v>
      </c>
      <c r="D21" s="597">
        <f>RD!D7</f>
        <v>70501.838306617108</v>
      </c>
      <c r="E21" s="597">
        <f>RD!E7</f>
        <v>74807.152583553019</v>
      </c>
      <c r="F21" s="597">
        <f>RD!F7</f>
        <v>78904.732480703431</v>
      </c>
      <c r="G21" s="597">
        <f>RD!G7</f>
        <v>84374.711509089684</v>
      </c>
      <c r="H21" s="597">
        <f>RD!H7</f>
        <v>86239.042530106395</v>
      </c>
      <c r="I21" s="597">
        <f>RD!I7</f>
        <v>76689.376005621249</v>
      </c>
      <c r="J21" s="598">
        <f>RD!J7</f>
        <v>94375.068507083677</v>
      </c>
      <c r="K21" s="1865">
        <f>RD!C6</f>
        <v>9.8834859999999995</v>
      </c>
      <c r="L21" s="597">
        <f>RD!D6</f>
        <v>9.9802429999999998</v>
      </c>
      <c r="M21" s="597">
        <f>RD!E6</f>
        <v>10.075044999999999</v>
      </c>
      <c r="N21" s="597">
        <f>RD!F6</f>
        <v>10.169172</v>
      </c>
      <c r="O21" s="597">
        <f>RD!G6</f>
        <v>10.266149</v>
      </c>
      <c r="P21" s="597">
        <f>RD!H6</f>
        <v>10.358320000000001</v>
      </c>
      <c r="Q21" s="597">
        <f>RD!I6</f>
        <v>10.448499</v>
      </c>
      <c r="R21" s="598">
        <f>RD!J6</f>
        <v>10.535534999999999</v>
      </c>
    </row>
    <row r="22" spans="2:19" s="57" customFormat="1" ht="12.5">
      <c r="B22" s="595" t="s">
        <v>1053</v>
      </c>
      <c r="C22" s="1865">
        <f>PY!C7</f>
        <v>38825.14780917194</v>
      </c>
      <c r="D22" s="597">
        <f>PY!D7</f>
        <v>32496.707175037627</v>
      </c>
      <c r="E22" s="597">
        <f>PY!E7</f>
        <v>35533.790641292035</v>
      </c>
      <c r="F22" s="597">
        <f>PY!F7</f>
        <v>39269.436431169153</v>
      </c>
      <c r="G22" s="597">
        <f>PY!G7</f>
        <v>38686.419693230579</v>
      </c>
      <c r="H22" s="597">
        <f>PY!H7</f>
        <v>36720.674605283501</v>
      </c>
      <c r="I22" s="597">
        <f>PY!I7</f>
        <v>35044.76023039798</v>
      </c>
      <c r="J22" s="598">
        <f>PY!J7</f>
        <v>36957.202228146591</v>
      </c>
      <c r="K22" s="1865">
        <f>PY!C6</f>
        <v>6657.2320000000009</v>
      </c>
      <c r="L22" s="597">
        <f>PY!D6</f>
        <v>6755.7559949786619</v>
      </c>
      <c r="M22" s="597">
        <f>PY!E6</f>
        <v>6854.5360000000001</v>
      </c>
      <c r="N22" s="597">
        <f>PY!F6</f>
        <v>6953.6459999999997</v>
      </c>
      <c r="O22" s="597">
        <f>PY!G6</f>
        <v>7052.9830000000002</v>
      </c>
      <c r="P22" s="597">
        <f>PY!H6</f>
        <v>7152.702731600586</v>
      </c>
      <c r="Q22" s="597">
        <f>PY!I6</f>
        <v>7252.6719692993802</v>
      </c>
      <c r="R22" s="598">
        <f>PY!J6</f>
        <v>7353.0382113138967</v>
      </c>
    </row>
    <row r="23" spans="2:19" s="57" customFormat="1" ht="12.5">
      <c r="B23" s="595" t="s">
        <v>1054</v>
      </c>
      <c r="C23" s="1865">
        <f>PE!C7</f>
        <v>202916.90204485282</v>
      </c>
      <c r="D23" s="597">
        <f>PE!D7</f>
        <v>192035.99209216211</v>
      </c>
      <c r="E23" s="597">
        <f>PE!E7</f>
        <v>195740.35538054333</v>
      </c>
      <c r="F23" s="597">
        <f>PE!F7</f>
        <v>215885.15602410008</v>
      </c>
      <c r="G23" s="597">
        <f>PE!G7</f>
        <v>226856.48375052586</v>
      </c>
      <c r="H23" s="597">
        <f>PE!H7</f>
        <v>232446.72455709445</v>
      </c>
      <c r="I23" s="597">
        <f>PE!I7</f>
        <v>205552.59853814536</v>
      </c>
      <c r="J23" s="598">
        <f>PE!J7</f>
        <v>225860.72321882989</v>
      </c>
      <c r="K23" s="1865">
        <f>PE!C6</f>
        <v>30814.174999999999</v>
      </c>
      <c r="L23" s="597">
        <f>PE!D6</f>
        <v>31151.643</v>
      </c>
      <c r="M23" s="597">
        <f>PE!E6</f>
        <v>31488.625</v>
      </c>
      <c r="N23" s="597">
        <f>PE!F6</f>
        <v>31826.018</v>
      </c>
      <c r="O23" s="597">
        <f>PE!G6</f>
        <v>32162.184000000001</v>
      </c>
      <c r="P23" s="597">
        <f>PE!H6</f>
        <v>32495.51</v>
      </c>
      <c r="Q23" s="597">
        <f>PE!I6</f>
        <v>32824.358</v>
      </c>
      <c r="R23" s="598">
        <f>PE!J6</f>
        <v>33149.016000000003</v>
      </c>
    </row>
    <row r="24" spans="2:19" s="57" customFormat="1" ht="12.5">
      <c r="B24" s="604" t="s">
        <v>1055</v>
      </c>
      <c r="C24" s="605">
        <f>TT!C7</f>
        <v>29600.636264484321</v>
      </c>
      <c r="D24" s="606">
        <f>TT!D7</f>
        <v>26952.451376833877</v>
      </c>
      <c r="E24" s="606">
        <f>TT!E7</f>
        <v>23586.717560127312</v>
      </c>
      <c r="F24" s="606">
        <f>TT!F7</f>
        <v>23887.900056698567</v>
      </c>
      <c r="G24" s="606">
        <f>TT!G7</f>
        <v>24372.960249584063</v>
      </c>
      <c r="H24" s="606">
        <f>TT!H7</f>
        <v>23846.213300045787</v>
      </c>
      <c r="I24" s="606">
        <f>TT!I7</f>
        <v>21061.689704060442</v>
      </c>
      <c r="J24" s="607">
        <f>TT!J7</f>
        <v>24465.057945675449</v>
      </c>
      <c r="K24" s="605">
        <f>TT!C6</f>
        <v>1345.3430000000001</v>
      </c>
      <c r="L24" s="606">
        <f>TT!D6</f>
        <v>1349.6669999999999</v>
      </c>
      <c r="M24" s="606">
        <f>TT!E6</f>
        <v>1353.895</v>
      </c>
      <c r="N24" s="606">
        <f>TT!F6</f>
        <v>1356.633</v>
      </c>
      <c r="O24" s="606">
        <f>TT!G6</f>
        <v>1359.193</v>
      </c>
      <c r="P24" s="606">
        <f>TT!H6</f>
        <v>1363.9849999999999</v>
      </c>
      <c r="Q24" s="606">
        <f>TT!I6</f>
        <v>1366.7249999999999</v>
      </c>
      <c r="R24" s="607">
        <f>TT!J6</f>
        <v>1367.558</v>
      </c>
    </row>
    <row r="25" spans="2:19" s="57" customFormat="1" ht="12.5">
      <c r="C25" s="582"/>
      <c r="D25" s="582"/>
      <c r="E25" s="582"/>
      <c r="F25" s="582"/>
      <c r="G25" s="582"/>
      <c r="H25" s="582"/>
      <c r="I25" s="582"/>
      <c r="J25" s="582"/>
      <c r="K25" s="582"/>
      <c r="L25" s="582"/>
      <c r="M25" s="582"/>
      <c r="N25" s="582"/>
      <c r="O25" s="582"/>
      <c r="P25" s="582"/>
      <c r="Q25" s="582"/>
    </row>
    <row r="26" spans="2:19" s="57" customFormat="1" ht="13">
      <c r="B26" s="1654" t="s">
        <v>1056</v>
      </c>
      <c r="C26" s="1654"/>
      <c r="D26" s="1654"/>
      <c r="E26" s="1654"/>
      <c r="F26" s="1654"/>
      <c r="G26" s="1654"/>
      <c r="H26" s="1654"/>
      <c r="I26" s="1654"/>
      <c r="J26" s="1654"/>
      <c r="K26" s="1654"/>
      <c r="L26" s="1654"/>
      <c r="M26" s="1654"/>
      <c r="N26" s="1654"/>
      <c r="O26" s="1654"/>
      <c r="P26" s="1654"/>
      <c r="Q26" s="1654"/>
      <c r="R26" s="1654"/>
    </row>
    <row r="27" spans="2:19" s="57" customFormat="1" ht="12.5">
      <c r="C27" s="582"/>
      <c r="D27" s="582"/>
      <c r="E27" s="582"/>
      <c r="F27" s="582"/>
      <c r="G27" s="582"/>
      <c r="H27" s="582"/>
      <c r="I27" s="582"/>
      <c r="J27" s="582"/>
      <c r="K27" s="582"/>
      <c r="L27" s="582"/>
      <c r="M27" s="582"/>
      <c r="N27" s="582"/>
      <c r="O27" s="582"/>
      <c r="P27" s="582"/>
      <c r="Q27" s="582"/>
    </row>
    <row r="28" spans="2:19" s="57" customFormat="1" ht="13">
      <c r="C28" s="2183" t="s">
        <v>1057</v>
      </c>
      <c r="D28" s="2184"/>
      <c r="E28" s="2184"/>
      <c r="F28" s="2184"/>
      <c r="G28" s="2184"/>
      <c r="H28" s="2184"/>
      <c r="I28" s="2184"/>
      <c r="J28" s="840"/>
      <c r="K28" s="2183" t="s">
        <v>1058</v>
      </c>
      <c r="L28" s="2184"/>
      <c r="M28" s="2184"/>
      <c r="N28" s="2184"/>
      <c r="O28" s="2184"/>
      <c r="P28" s="2184"/>
      <c r="Q28" s="2184"/>
      <c r="R28" s="2185"/>
    </row>
    <row r="29" spans="2:19" s="57" customFormat="1" ht="12.5">
      <c r="C29" s="585">
        <v>2014</v>
      </c>
      <c r="D29" s="586">
        <v>2015</v>
      </c>
      <c r="E29" s="586">
        <v>2016</v>
      </c>
      <c r="F29" s="586">
        <v>2017</v>
      </c>
      <c r="G29" s="586">
        <v>2018</v>
      </c>
      <c r="H29" s="586">
        <v>2019</v>
      </c>
      <c r="I29" s="586">
        <v>2020</v>
      </c>
      <c r="J29" s="586">
        <v>2021</v>
      </c>
      <c r="K29" s="638">
        <v>2014</v>
      </c>
      <c r="L29" s="639">
        <v>2015</v>
      </c>
      <c r="M29" s="639">
        <v>2016</v>
      </c>
      <c r="N29" s="639">
        <v>2017</v>
      </c>
      <c r="O29" s="639">
        <v>2018</v>
      </c>
      <c r="P29" s="639">
        <v>2019</v>
      </c>
      <c r="Q29" s="639">
        <v>2020</v>
      </c>
      <c r="R29" s="640">
        <v>2021</v>
      </c>
    </row>
    <row r="30" spans="2:19" s="57" customFormat="1" ht="12.5">
      <c r="B30" s="589" t="s">
        <v>1038</v>
      </c>
      <c r="C30" s="590">
        <f t="shared" ref="C30:J37" si="2">C6/K6</f>
        <v>13730.974724466252</v>
      </c>
      <c r="D30" s="591">
        <f t="shared" si="2"/>
        <v>11680.826083004245</v>
      </c>
      <c r="E30" s="591">
        <f t="shared" si="2"/>
        <v>12973.801938261657</v>
      </c>
      <c r="F30" s="591">
        <f t="shared" si="2"/>
        <v>14179.852019727638</v>
      </c>
      <c r="G30" s="591">
        <f t="shared" si="2"/>
        <v>9974.3911394399547</v>
      </c>
      <c r="H30" s="591">
        <f t="shared" si="2"/>
        <v>9354.9959606726788</v>
      </c>
      <c r="I30" s="591">
        <f t="shared" si="2"/>
        <v>8542.9351986974925</v>
      </c>
      <c r="J30" s="592">
        <f t="shared" si="2"/>
        <v>11664.513041092587</v>
      </c>
      <c r="K30" s="1669">
        <f>ARG!C9</f>
        <v>38</v>
      </c>
      <c r="L30" s="847">
        <f>ARG!D9</f>
        <v>26.900000000000002</v>
      </c>
      <c r="M30" s="847">
        <f>ARG!E9</f>
        <v>41</v>
      </c>
      <c r="N30" s="847">
        <f>ARG!F9</f>
        <v>26.1</v>
      </c>
      <c r="O30" s="847">
        <f>ARG!G9</f>
        <v>45.5</v>
      </c>
      <c r="P30" s="847">
        <f>ARG!H9</f>
        <v>50.6</v>
      </c>
      <c r="Q30" s="847">
        <f>ARG!I9</f>
        <v>30.5</v>
      </c>
      <c r="R30" s="1630">
        <f>ARG!J9</f>
        <v>49.2</v>
      </c>
    </row>
    <row r="31" spans="2:19" s="57" customFormat="1" ht="12.5">
      <c r="B31" s="595" t="s">
        <v>1039</v>
      </c>
      <c r="C31" s="1865">
        <f t="shared" si="2"/>
        <v>30.366200262352425</v>
      </c>
      <c r="D31" s="597">
        <f t="shared" si="2"/>
        <v>32.087808045013119</v>
      </c>
      <c r="E31" s="597">
        <f t="shared" si="2"/>
        <v>31.687372817821569</v>
      </c>
      <c r="F31" s="597">
        <f t="shared" si="2"/>
        <v>32.747509009963963</v>
      </c>
      <c r="G31" s="597">
        <f t="shared" si="2"/>
        <v>33.451694115178853</v>
      </c>
      <c r="H31" s="597">
        <f t="shared" si="2"/>
        <v>34.236777910416777</v>
      </c>
      <c r="I31" s="597">
        <f t="shared" si="2"/>
        <v>24.908194448011091</v>
      </c>
      <c r="J31" s="598">
        <f t="shared" si="2"/>
        <v>28.484371029224906</v>
      </c>
      <c r="K31" s="1865">
        <f>BA!C9</f>
        <v>100.13</v>
      </c>
      <c r="L31" s="597">
        <f>BA!D9</f>
        <v>102.01</v>
      </c>
      <c r="M31" s="597">
        <f>BA!E9</f>
        <v>101.66</v>
      </c>
      <c r="N31" s="597">
        <f>BA!F9</f>
        <v>103.2</v>
      </c>
      <c r="O31" s="597">
        <f>BA!G9</f>
        <v>105.54</v>
      </c>
      <c r="P31" s="597">
        <f>BA!H9</f>
        <v>108.17</v>
      </c>
      <c r="Q31" s="597">
        <f>BA!I9</f>
        <v>108.21</v>
      </c>
      <c r="R31" s="598">
        <f>BA!J9</f>
        <v>111.35</v>
      </c>
    </row>
    <row r="32" spans="2:19" s="57" customFormat="1" ht="12.5">
      <c r="B32" s="595" t="s">
        <v>1040</v>
      </c>
      <c r="C32" s="1865">
        <f t="shared" si="2"/>
        <v>3.2008333207023307</v>
      </c>
      <c r="D32" s="597">
        <f t="shared" si="2"/>
        <v>3.1457885396690672</v>
      </c>
      <c r="E32" s="597">
        <f t="shared" si="2"/>
        <v>3.1794566847035064</v>
      </c>
      <c r="F32" s="597">
        <f t="shared" si="2"/>
        <v>3.4528021554542674</v>
      </c>
      <c r="G32" s="597">
        <f t="shared" si="2"/>
        <v>3.6443992766469324</v>
      </c>
      <c r="H32" s="597">
        <f t="shared" si="2"/>
        <v>3.6353133998470377</v>
      </c>
      <c r="I32" s="597">
        <f t="shared" si="2"/>
        <v>3.2841197779712377</v>
      </c>
      <c r="J32" s="598">
        <f t="shared" si="2"/>
        <v>3.4371629514283506</v>
      </c>
      <c r="K32" s="1865">
        <f>BO!C9</f>
        <v>5.764602</v>
      </c>
      <c r="L32" s="597">
        <f>BO!D9</f>
        <v>2.9531461424908922</v>
      </c>
      <c r="M32" s="597">
        <f>BO!E9</f>
        <v>4.0029393475671915</v>
      </c>
      <c r="N32" s="597">
        <f>BO!F9</f>
        <v>2.7146683422835105</v>
      </c>
      <c r="O32" s="597">
        <f>BO!G9</f>
        <v>1.5070667893564815</v>
      </c>
      <c r="P32" s="597">
        <f>BO!H9</f>
        <v>1.469044085953386</v>
      </c>
      <c r="Q32" s="597">
        <f>BO!I9</f>
        <v>0.67047200829863929</v>
      </c>
      <c r="R32" s="598">
        <f>BO!J9</f>
        <v>0.90095045869198476</v>
      </c>
    </row>
    <row r="33" spans="2:18" s="57" customFormat="1" ht="12.5">
      <c r="B33" s="595" t="s">
        <v>1041</v>
      </c>
      <c r="C33" s="1865">
        <f t="shared" si="2"/>
        <v>10.785610303694082</v>
      </c>
      <c r="D33" s="597">
        <f t="shared" si="2"/>
        <v>7.5463142513442891</v>
      </c>
      <c r="E33" s="597">
        <f t="shared" si="2"/>
        <v>9.3764370047765642</v>
      </c>
      <c r="F33" s="597">
        <f t="shared" si="2"/>
        <v>9.626344007277531</v>
      </c>
      <c r="G33" s="597">
        <f t="shared" si="2"/>
        <v>8.6698214404667038</v>
      </c>
      <c r="H33" s="597">
        <f t="shared" si="2"/>
        <v>8.7234733359973404</v>
      </c>
      <c r="I33" s="597">
        <f t="shared" si="2"/>
        <v>6.7860844662347963</v>
      </c>
      <c r="J33" s="598">
        <f t="shared" si="2"/>
        <v>7.2911086465886603</v>
      </c>
      <c r="K33" s="1865">
        <f>BR!C9</f>
        <v>6.41</v>
      </c>
      <c r="L33" s="597">
        <f>BR!D9</f>
        <v>10.67</v>
      </c>
      <c r="M33" s="597">
        <f>BR!E9</f>
        <v>6.29</v>
      </c>
      <c r="N33" s="597">
        <f>BR!F9</f>
        <v>2.95</v>
      </c>
      <c r="O33" s="597">
        <f>BR!G9</f>
        <v>3.75</v>
      </c>
      <c r="P33" s="597">
        <f>BR!H9</f>
        <v>4.3099999999999996</v>
      </c>
      <c r="Q33" s="597">
        <f>BR!I9</f>
        <v>4.5199999999999996</v>
      </c>
      <c r="R33" s="598">
        <f>BR!J9</f>
        <v>10.06</v>
      </c>
    </row>
    <row r="34" spans="2:18" s="57" customFormat="1" ht="12.5">
      <c r="B34" s="595" t="s">
        <v>1042</v>
      </c>
      <c r="C34" s="1865">
        <f t="shared" si="2"/>
        <v>13.754314686054757</v>
      </c>
      <c r="D34" s="597">
        <f t="shared" si="2"/>
        <v>12.55148865811277</v>
      </c>
      <c r="E34" s="597">
        <f t="shared" si="2"/>
        <v>13.985053762694736</v>
      </c>
      <c r="F34" s="597">
        <f t="shared" si="2"/>
        <v>15.862903381890792</v>
      </c>
      <c r="G34" s="597">
        <f t="shared" si="2"/>
        <v>14.661827036029401</v>
      </c>
      <c r="H34" s="597">
        <f t="shared" si="2"/>
        <v>13.947573387770735</v>
      </c>
      <c r="I34" s="597">
        <f t="shared" si="2"/>
        <v>10.304719988529321</v>
      </c>
      <c r="J34" s="598">
        <f t="shared" si="2"/>
        <v>16.304422781508805</v>
      </c>
      <c r="K34" s="1865">
        <f>CL!C9</f>
        <v>4.7080000000000002</v>
      </c>
      <c r="L34" s="597">
        <f>CL!D9</f>
        <v>4.3419999999999996</v>
      </c>
      <c r="M34" s="597">
        <f>CL!E9</f>
        <v>3.7919999999999998</v>
      </c>
      <c r="N34" s="597">
        <f>CL!F9</f>
        <v>2.2000000000000002</v>
      </c>
      <c r="O34" s="597">
        <f>CL!G9</f>
        <v>2.4249999999999998</v>
      </c>
      <c r="P34" s="597">
        <f>CL!H9</f>
        <v>2.5579999999999998</v>
      </c>
      <c r="Q34" s="597">
        <f>CL!I9</f>
        <v>3.05</v>
      </c>
      <c r="R34" s="598">
        <f>CL!J9</f>
        <v>4.5</v>
      </c>
    </row>
    <row r="35" spans="2:18" s="57" customFormat="1" ht="12.5">
      <c r="B35" s="595" t="s">
        <v>1043</v>
      </c>
      <c r="C35" s="1865">
        <f t="shared" si="2"/>
        <v>6.6904343844122325</v>
      </c>
      <c r="D35" s="597">
        <f t="shared" si="2"/>
        <v>5.3004713421320027</v>
      </c>
      <c r="E35" s="597">
        <f t="shared" si="2"/>
        <v>5.9050818687603686</v>
      </c>
      <c r="F35" s="597">
        <f t="shared" si="2"/>
        <v>6.2580394521136631</v>
      </c>
      <c r="G35" s="597">
        <f t="shared" si="2"/>
        <v>6.0879171038936768</v>
      </c>
      <c r="H35" s="597">
        <f t="shared" si="2"/>
        <v>6.4314417932286236</v>
      </c>
      <c r="I35" s="597">
        <f t="shared" si="2"/>
        <v>5.800479530088154</v>
      </c>
      <c r="J35" s="598">
        <f t="shared" si="2"/>
        <v>5.7923963839737933</v>
      </c>
      <c r="K35" s="1865">
        <f>CO!C9</f>
        <v>2.8975983342014602</v>
      </c>
      <c r="L35" s="597">
        <f>CO!D9</f>
        <v>4.9837978955130096</v>
      </c>
      <c r="M35" s="597">
        <f>CO!E9</f>
        <v>7.5234901441887896</v>
      </c>
      <c r="N35" s="597">
        <f>CO!F9</f>
        <v>4.3214172394885999</v>
      </c>
      <c r="O35" s="597">
        <f>CO!G9</f>
        <v>3.2414952260143401</v>
      </c>
      <c r="P35" s="597">
        <f>CO!H9</f>
        <v>3.5177879775053098</v>
      </c>
      <c r="Q35" s="597">
        <f>CO!I9</f>
        <v>2.5347370400039102</v>
      </c>
      <c r="R35" s="598">
        <f>CO!J9</f>
        <v>3.4942924853332058</v>
      </c>
    </row>
    <row r="36" spans="2:18" s="57" customFormat="1" ht="12.5">
      <c r="B36" s="595" t="s">
        <v>1044</v>
      </c>
      <c r="C36" s="1865">
        <f t="shared" si="2"/>
        <v>10.89775673782</v>
      </c>
      <c r="D36" s="597">
        <f t="shared" si="2"/>
        <v>11.680295905079999</v>
      </c>
      <c r="E36" s="597">
        <f t="shared" si="2"/>
        <v>12.03322158536</v>
      </c>
      <c r="F36" s="597">
        <f t="shared" si="2"/>
        <v>12.231666885200001</v>
      </c>
      <c r="G36" s="597">
        <f t="shared" si="2"/>
        <v>12.475544737910001</v>
      </c>
      <c r="H36" s="597">
        <f t="shared" si="2"/>
        <v>12.73578084823</v>
      </c>
      <c r="I36" s="597">
        <f t="shared" si="2"/>
        <v>12.207533306310001</v>
      </c>
      <c r="J36" s="598">
        <f t="shared" si="2"/>
        <v>12.515205685449999</v>
      </c>
      <c r="K36" s="1865">
        <f>CR!C9</f>
        <v>5.13</v>
      </c>
      <c r="L36" s="597">
        <f>CR!D9</f>
        <v>-0.81</v>
      </c>
      <c r="M36" s="597">
        <f>CR!E9</f>
        <v>0.77</v>
      </c>
      <c r="N36" s="597">
        <f>CR!F9</f>
        <v>2.57</v>
      </c>
      <c r="O36" s="597">
        <f>CR!G9</f>
        <v>2.0299999999999998</v>
      </c>
      <c r="P36" s="597">
        <f>CR!H9</f>
        <v>1.52</v>
      </c>
      <c r="Q36" s="597">
        <f>CR!I9</f>
        <v>0.89</v>
      </c>
      <c r="R36" s="598">
        <f>CR!J9</f>
        <v>3.3</v>
      </c>
    </row>
    <row r="37" spans="2:18" s="57" customFormat="1" ht="12.5">
      <c r="B37" s="595" t="s">
        <v>1045</v>
      </c>
      <c r="C37" s="1865">
        <f t="shared" si="2"/>
        <v>20.117197452229298</v>
      </c>
      <c r="D37" s="597">
        <f t="shared" si="2"/>
        <v>73.461006289308173</v>
      </c>
      <c r="E37" s="597">
        <f t="shared" si="2"/>
        <v>18.802920888084888</v>
      </c>
      <c r="F37" s="597">
        <f t="shared" si="2"/>
        <v>18.808531170712445</v>
      </c>
      <c r="G37" s="597">
        <f t="shared" si="2"/>
        <v>19.044272316967454</v>
      </c>
      <c r="H37" s="597">
        <f t="shared" si="2"/>
        <v>19.187237022133946</v>
      </c>
      <c r="I37" s="597">
        <f t="shared" si="2"/>
        <v>16.345699065653637</v>
      </c>
      <c r="J37" s="598">
        <f t="shared" si="2"/>
        <v>17.957193990132954</v>
      </c>
      <c r="K37" s="1865">
        <v>1.5</v>
      </c>
      <c r="L37" s="597">
        <v>-0.5</v>
      </c>
      <c r="M37" s="599">
        <f>CW!E9</f>
        <v>0</v>
      </c>
      <c r="N37" s="599">
        <f>CW!F9</f>
        <v>1.6E-2</v>
      </c>
      <c r="O37" s="599">
        <f>CW!G9</f>
        <v>2.5999999999999999E-2</v>
      </c>
      <c r="P37" s="599">
        <f>CW!H9</f>
        <v>2.5999999999999999E-2</v>
      </c>
      <c r="Q37" s="599">
        <f>CW!I9</f>
        <v>2.1999999999999999E-2</v>
      </c>
      <c r="R37" s="600">
        <f>CW!J9</f>
        <v>3.7999999999999999E-2</v>
      </c>
    </row>
    <row r="38" spans="2:18" s="57" customFormat="1" ht="12.5">
      <c r="B38" s="595" t="s">
        <v>1046</v>
      </c>
      <c r="C38" s="1865">
        <f t="shared" ref="C38:F38" si="3">C14/K14</f>
        <v>33.563342318059298</v>
      </c>
      <c r="D38" s="597">
        <f t="shared" si="3"/>
        <v>31.809644670050762</v>
      </c>
      <c r="E38" s="597">
        <f t="shared" si="3"/>
        <v>34.579269250591871</v>
      </c>
      <c r="F38" s="597">
        <f t="shared" si="3"/>
        <v>31.751818290621099</v>
      </c>
      <c r="G38" s="597">
        <f t="shared" ref="G38" si="4">G14/O14</f>
        <v>30.577950461389026</v>
      </c>
      <c r="H38" s="597">
        <f t="shared" ref="H38" si="5">H14/P14</f>
        <v>34.723120837297813</v>
      </c>
      <c r="I38" s="597">
        <f t="shared" ref="I38" si="6">I14/Q14</f>
        <v>29.128464067637388</v>
      </c>
      <c r="J38" s="598">
        <f>IFERROR(J14/R14,0)</f>
        <v>0</v>
      </c>
      <c r="K38" s="1865">
        <v>1.9</v>
      </c>
      <c r="L38" s="597">
        <v>0.3</v>
      </c>
      <c r="M38" s="599">
        <f>CW!E21</f>
        <v>0</v>
      </c>
      <c r="N38" s="599">
        <f>CW!F21</f>
        <v>0.02</v>
      </c>
      <c r="O38" s="599">
        <f>CW!G21</f>
        <v>0.03</v>
      </c>
      <c r="P38" s="599">
        <f>CW!H21</f>
        <v>0</v>
      </c>
      <c r="Q38" s="599">
        <f>CW!I21</f>
        <v>0.01</v>
      </c>
      <c r="R38" s="600">
        <f>CW!J21</f>
        <v>2.8000000000000001E-2</v>
      </c>
    </row>
    <row r="39" spans="2:18" s="57" customFormat="1" ht="12.5">
      <c r="B39" s="1864" t="s">
        <v>1061</v>
      </c>
      <c r="C39" s="1865">
        <f>C37+C38</f>
        <v>53.680539770288597</v>
      </c>
      <c r="D39" s="597">
        <f t="shared" ref="D39:J39" si="7">D37+D38</f>
        <v>105.27065095935893</v>
      </c>
      <c r="E39" s="597">
        <f t="shared" si="7"/>
        <v>53.382190138676762</v>
      </c>
      <c r="F39" s="597">
        <f t="shared" si="7"/>
        <v>50.560349461333544</v>
      </c>
      <c r="G39" s="597">
        <f t="shared" si="7"/>
        <v>49.62222277835648</v>
      </c>
      <c r="H39" s="597">
        <f t="shared" si="7"/>
        <v>53.910357859431755</v>
      </c>
      <c r="I39" s="597">
        <f t="shared" si="7"/>
        <v>45.474163133291029</v>
      </c>
      <c r="J39" s="598">
        <f t="shared" si="7"/>
        <v>17.957193990132954</v>
      </c>
      <c r="K39" s="1865">
        <f>K37+K38</f>
        <v>3.4</v>
      </c>
      <c r="L39" s="597">
        <f t="shared" ref="L39:R39" si="8">L37+L38</f>
        <v>-0.2</v>
      </c>
      <c r="M39" s="597">
        <f t="shared" si="8"/>
        <v>0</v>
      </c>
      <c r="N39" s="597">
        <f t="shared" si="8"/>
        <v>3.6000000000000004E-2</v>
      </c>
      <c r="O39" s="597">
        <f t="shared" si="8"/>
        <v>5.5999999999999994E-2</v>
      </c>
      <c r="P39" s="597">
        <f t="shared" si="8"/>
        <v>2.5999999999999999E-2</v>
      </c>
      <c r="Q39" s="597">
        <f t="shared" si="8"/>
        <v>3.2000000000000001E-2</v>
      </c>
      <c r="R39" s="598">
        <f t="shared" si="8"/>
        <v>6.6000000000000003E-2</v>
      </c>
    </row>
    <row r="40" spans="2:18" s="57" customFormat="1" ht="12.5">
      <c r="B40" s="595" t="s">
        <v>1047</v>
      </c>
      <c r="C40" s="1865">
        <f t="shared" ref="C40:J42" si="9">C16/K16</f>
        <v>6347.0002057717666</v>
      </c>
      <c r="D40" s="597">
        <f t="shared" si="9"/>
        <v>6099.3507892820899</v>
      </c>
      <c r="E40" s="597">
        <f t="shared" si="9"/>
        <v>6046.3024079889983</v>
      </c>
      <c r="F40" s="597">
        <f t="shared" si="9"/>
        <v>6216.6062455709398</v>
      </c>
      <c r="G40" s="597">
        <f t="shared" si="9"/>
        <v>6318.4768878241066</v>
      </c>
      <c r="H40" s="597">
        <f t="shared" si="9"/>
        <v>6260.6032921268288</v>
      </c>
      <c r="I40" s="597">
        <f t="shared" si="9"/>
        <v>5642.7402466031654</v>
      </c>
      <c r="J40" s="598">
        <f t="shared" si="9"/>
        <v>5934.8829866650449</v>
      </c>
      <c r="K40" s="1867">
        <f>EC!C9</f>
        <v>3.6673572119306801</v>
      </c>
      <c r="L40" s="602">
        <f>EC!D9</f>
        <v>3.38012513334938</v>
      </c>
      <c r="M40" s="602">
        <f>EC!E9</f>
        <v>1.11979144715992</v>
      </c>
      <c r="N40" s="602">
        <f>EC!F9</f>
        <v>-0.196700543099004</v>
      </c>
      <c r="O40" s="602">
        <f>EC!G9</f>
        <v>0.26617035809426398</v>
      </c>
      <c r="P40" s="602">
        <f>EC!H9</f>
        <v>-6.5333180752313896E-2</v>
      </c>
      <c r="Q40" s="602">
        <f>EC!I9</f>
        <v>-0.93298918884632298</v>
      </c>
      <c r="R40" s="846">
        <f>EC!J9</f>
        <v>1.94</v>
      </c>
    </row>
    <row r="41" spans="2:18" s="57" customFormat="1" ht="12.5">
      <c r="B41" s="595" t="s">
        <v>1048</v>
      </c>
      <c r="C41" s="1865">
        <f t="shared" si="9"/>
        <v>3529.5458379938891</v>
      </c>
      <c r="D41" s="597">
        <f t="shared" si="9"/>
        <v>3744.1870087082848</v>
      </c>
      <c r="E41" s="597">
        <f t="shared" si="9"/>
        <v>3852.812777267869</v>
      </c>
      <c r="F41" s="597">
        <f t="shared" si="9"/>
        <v>3968.9865599846448</v>
      </c>
      <c r="G41" s="597">
        <f t="shared" si="9"/>
        <v>4126.6936018990418</v>
      </c>
      <c r="H41" s="597">
        <f t="shared" si="9"/>
        <v>4259.3354769900025</v>
      </c>
      <c r="I41" s="597">
        <f t="shared" si="9"/>
        <v>3897.8889872903865</v>
      </c>
      <c r="J41" s="598">
        <f t="shared" si="9"/>
        <v>4542.7935938841229</v>
      </c>
      <c r="K41" s="1865">
        <f>SV!C9</f>
        <v>1.1408333333333334</v>
      </c>
      <c r="L41" s="597">
        <f>SV!D9</f>
        <v>-0.72833333333333339</v>
      </c>
      <c r="M41" s="597">
        <f>SV!E9</f>
        <v>0.60833333333333328</v>
      </c>
      <c r="N41" s="597">
        <f>SV!F9</f>
        <v>1.0141666666666669</v>
      </c>
      <c r="O41" s="597">
        <f>SV!G9</f>
        <v>1.0900000000000001</v>
      </c>
      <c r="P41" s="597">
        <f>SV!H9</f>
        <v>7.6999999999999999E-2</v>
      </c>
      <c r="Q41" s="597">
        <f>SV!I9</f>
        <v>-0.09</v>
      </c>
      <c r="R41" s="598">
        <f>SV!J9</f>
        <v>3.47</v>
      </c>
    </row>
    <row r="42" spans="2:18" s="57" customFormat="1" ht="12.5">
      <c r="B42" s="595" t="s">
        <v>1049</v>
      </c>
      <c r="C42" s="1865">
        <f t="shared" si="9"/>
        <v>3.7782985564568619</v>
      </c>
      <c r="D42" s="597">
        <f t="shared" si="9"/>
        <v>3.9941985887320177</v>
      </c>
      <c r="E42" s="597">
        <f t="shared" si="9"/>
        <v>4.1721158930962128</v>
      </c>
      <c r="F42" s="597">
        <f t="shared" si="9"/>
        <v>4.4522546128906457</v>
      </c>
      <c r="G42" s="597">
        <f t="shared" si="9"/>
        <v>4.4858028561902987</v>
      </c>
      <c r="H42" s="597">
        <f t="shared" si="9"/>
        <v>4.6466971925965419</v>
      </c>
      <c r="I42" s="597">
        <f t="shared" si="9"/>
        <v>4.6042666258876253</v>
      </c>
      <c r="J42" s="598">
        <f t="shared" si="9"/>
        <v>5.0246522654398262</v>
      </c>
      <c r="K42" s="1865">
        <f>GT!C9</f>
        <v>3.42</v>
      </c>
      <c r="L42" s="597">
        <f>GT!D9</f>
        <v>2.39</v>
      </c>
      <c r="M42" s="597">
        <f>GT!E9</f>
        <v>4.45</v>
      </c>
      <c r="N42" s="597">
        <f>GT!F9</f>
        <v>4.42</v>
      </c>
      <c r="O42" s="597">
        <f>GT!G9</f>
        <v>3.75</v>
      </c>
      <c r="P42" s="597">
        <f>GT!H9</f>
        <v>3.7</v>
      </c>
      <c r="Q42" s="597">
        <f>GT!I9</f>
        <v>3.21</v>
      </c>
      <c r="R42" s="598">
        <f>GT!J9</f>
        <v>4.26</v>
      </c>
    </row>
    <row r="43" spans="2:18" s="57" customFormat="1" ht="12.5">
      <c r="B43" s="595" t="s">
        <v>1050</v>
      </c>
      <c r="C43" s="1844">
        <f t="shared" ref="C43:J46" si="10">IF(ISNUMBER(C19/K19),C19/K19,"0")</f>
        <v>2.3388625027751946</v>
      </c>
      <c r="D43" s="609">
        <f t="shared" si="10"/>
        <v>2.3998573212324095</v>
      </c>
      <c r="E43" s="609">
        <f t="shared" si="10"/>
        <v>2.4729529698015891</v>
      </c>
      <c r="F43" s="609">
        <f t="shared" si="10"/>
        <v>2.5912902465966465</v>
      </c>
      <c r="G43" s="609">
        <f t="shared" si="10"/>
        <v>2.6520093388615926</v>
      </c>
      <c r="H43" s="609">
        <f t="shared" si="10"/>
        <v>2.7205400847105841</v>
      </c>
      <c r="I43" s="609">
        <f t="shared" si="10"/>
        <v>2.5431227842629132</v>
      </c>
      <c r="J43" s="603">
        <f t="shared" si="10"/>
        <v>2.9935032498986049</v>
      </c>
      <c r="K43" s="1865">
        <f>HN!C9</f>
        <v>5.82</v>
      </c>
      <c r="L43" s="597">
        <f>HN!D9</f>
        <v>2.3571428571428577</v>
      </c>
      <c r="M43" s="597">
        <f>HN!E9</f>
        <v>3.31</v>
      </c>
      <c r="N43" s="597">
        <f>HN!F9</f>
        <v>4.7300000000000004</v>
      </c>
      <c r="O43" s="597">
        <f>HN!G9</f>
        <v>4.22</v>
      </c>
      <c r="P43" s="597">
        <f>HN!H9</f>
        <v>4.08</v>
      </c>
      <c r="Q43" s="597">
        <f>HN!I9</f>
        <v>4.01</v>
      </c>
      <c r="R43" s="598">
        <f>HN!J9</f>
        <v>5.32</v>
      </c>
    </row>
    <row r="44" spans="2:18" s="57" customFormat="1" ht="12.5">
      <c r="B44" s="595" t="s">
        <v>1051</v>
      </c>
      <c r="C44" s="1844">
        <f t="shared" si="10"/>
        <v>4.9518531544410394</v>
      </c>
      <c r="D44" s="609">
        <f t="shared" si="10"/>
        <v>5.0682588383018521</v>
      </c>
      <c r="E44" s="609">
        <f t="shared" si="10"/>
        <v>5.0375247001147967</v>
      </c>
      <c r="F44" s="609">
        <f t="shared" si="10"/>
        <v>5.561558381378684</v>
      </c>
      <c r="G44" s="609">
        <f t="shared" si="10"/>
        <v>5.8122287127600316</v>
      </c>
      <c r="H44" s="609">
        <f t="shared" si="10"/>
        <v>5.822592154486431</v>
      </c>
      <c r="I44" s="609">
        <f t="shared" si="10"/>
        <v>5.0389417003752452</v>
      </c>
      <c r="J44" s="603">
        <f t="shared" si="10"/>
        <v>5.2021909298632849</v>
      </c>
      <c r="K44" s="1865">
        <f>JM!C9</f>
        <v>6.4</v>
      </c>
      <c r="L44" s="597">
        <f>JM!D9</f>
        <v>3.7</v>
      </c>
      <c r="M44" s="597">
        <f>JM!E9</f>
        <v>1.7</v>
      </c>
      <c r="N44" s="597">
        <f>JM!F9</f>
        <v>5.2</v>
      </c>
      <c r="O44" s="597">
        <f>JM!G9</f>
        <v>2.4</v>
      </c>
      <c r="P44" s="597">
        <f>JM!H9</f>
        <v>6.2188564718600077</v>
      </c>
      <c r="Q44" s="597">
        <f>JM!I9</f>
        <v>5.1912782412</v>
      </c>
      <c r="R44" s="598">
        <f>JM!J9</f>
        <v>7.3097506025950914</v>
      </c>
    </row>
    <row r="45" spans="2:18" s="57" customFormat="1" ht="12.5">
      <c r="B45" s="595" t="s">
        <v>1052</v>
      </c>
      <c r="C45" s="1844">
        <f t="shared" si="10"/>
        <v>6696.6833979550483</v>
      </c>
      <c r="D45" s="609">
        <f t="shared" si="10"/>
        <v>7064.1404529546135</v>
      </c>
      <c r="E45" s="609">
        <f t="shared" si="10"/>
        <v>7424.9943879707753</v>
      </c>
      <c r="F45" s="609">
        <f t="shared" si="10"/>
        <v>7759.2091549541528</v>
      </c>
      <c r="G45" s="609">
        <f t="shared" si="10"/>
        <v>8218.730461547917</v>
      </c>
      <c r="H45" s="609">
        <f t="shared" si="10"/>
        <v>8325.5819988286112</v>
      </c>
      <c r="I45" s="609">
        <f t="shared" si="10"/>
        <v>7339.7505235557037</v>
      </c>
      <c r="J45" s="603">
        <f t="shared" si="10"/>
        <v>8957.7860552011534</v>
      </c>
      <c r="K45" s="1865">
        <f>RD!C9</f>
        <v>1.58</v>
      </c>
      <c r="L45" s="597">
        <f>RD!D9</f>
        <v>2.34</v>
      </c>
      <c r="M45" s="597">
        <f>RD!E9</f>
        <v>1.695335759179617</v>
      </c>
      <c r="N45" s="597">
        <f>RD!F9</f>
        <v>4.2042774660486115</v>
      </c>
      <c r="O45" s="597">
        <f>RD!G9</f>
        <v>1.1705946620883312</v>
      </c>
      <c r="P45" s="597">
        <f>RD!H9</f>
        <v>3.6562789262573281</v>
      </c>
      <c r="Q45" s="597">
        <f>RD!I9</f>
        <v>5.5536478118097365</v>
      </c>
      <c r="R45" s="598">
        <f>RD!J9</f>
        <v>8.4956989865317958</v>
      </c>
    </row>
    <row r="46" spans="2:18" s="57" customFormat="1" ht="12.5">
      <c r="B46" s="595" t="s">
        <v>1053</v>
      </c>
      <c r="C46" s="1844">
        <f t="shared" si="10"/>
        <v>5.8320256540814466</v>
      </c>
      <c r="D46" s="609">
        <f t="shared" si="10"/>
        <v>4.8102251175429362</v>
      </c>
      <c r="E46" s="609">
        <f t="shared" si="10"/>
        <v>5.1839819123120856</v>
      </c>
      <c r="F46" s="609">
        <f t="shared" si="10"/>
        <v>5.6473160168304739</v>
      </c>
      <c r="G46" s="609">
        <f t="shared" si="10"/>
        <v>5.4851145526978549</v>
      </c>
      <c r="H46" s="609">
        <f t="shared" si="10"/>
        <v>5.1338180801296049</v>
      </c>
      <c r="I46" s="609">
        <f t="shared" si="10"/>
        <v>4.8319792179685965</v>
      </c>
      <c r="J46" s="603">
        <f t="shared" si="10"/>
        <v>5.0261131747257437</v>
      </c>
      <c r="K46" s="1865">
        <f>PY!C9</f>
        <v>4.213694507148233</v>
      </c>
      <c r="L46" s="597">
        <f>PY!D9</f>
        <v>3.1046931407942253</v>
      </c>
      <c r="M46" s="597">
        <f>PY!E9</f>
        <v>3.9215686274509665</v>
      </c>
      <c r="N46" s="597">
        <f>PY!F9</f>
        <v>4.5148247978436586</v>
      </c>
      <c r="O46" s="597">
        <f>PY!G9</f>
        <v>3.2000000000000028</v>
      </c>
      <c r="P46" s="597">
        <f>PY!H9</f>
        <v>2.8100775193798313</v>
      </c>
      <c r="Q46" s="597">
        <f>PY!I9</f>
        <v>2.1677662582469566</v>
      </c>
      <c r="R46" s="598">
        <f>PY!J9</f>
        <v>6.8265682656826385</v>
      </c>
    </row>
    <row r="47" spans="2:18" s="57" customFormat="1" ht="12.5">
      <c r="B47" s="595" t="s">
        <v>1054</v>
      </c>
      <c r="C47" s="1844">
        <f>IF(ISNUMBER(C23/K23),C23/K23,"0")</f>
        <v>6.5851804257246158</v>
      </c>
      <c r="D47" s="597">
        <f t="shared" ref="D47:J48" si="11">D23/L23</f>
        <v>6.1645542128279436</v>
      </c>
      <c r="E47" s="597">
        <f t="shared" si="11"/>
        <v>6.2162242835482129</v>
      </c>
      <c r="F47" s="597">
        <f t="shared" si="11"/>
        <v>6.7832914574515755</v>
      </c>
      <c r="G47" s="597">
        <f t="shared" si="11"/>
        <v>7.0535161340574959</v>
      </c>
      <c r="H47" s="597">
        <f t="shared" si="11"/>
        <v>7.1531951508714426</v>
      </c>
      <c r="I47" s="597">
        <f t="shared" si="11"/>
        <v>6.2621970713987878</v>
      </c>
      <c r="J47" s="598">
        <f t="shared" si="11"/>
        <v>6.8134970648549533</v>
      </c>
      <c r="K47" s="1865">
        <f>PE!C9</f>
        <v>3.2240611887172999</v>
      </c>
      <c r="L47" s="597">
        <f>PE!D9</f>
        <v>4.3979285416694003</v>
      </c>
      <c r="M47" s="597">
        <f>PE!E9</f>
        <v>3.2348819503701201</v>
      </c>
      <c r="N47" s="597">
        <f>PE!F9</f>
        <v>1.3648558837145399</v>
      </c>
      <c r="O47" s="597">
        <f>PE!G9</f>
        <v>2.1925231538681902</v>
      </c>
      <c r="P47" s="597">
        <f>PE!H9</f>
        <v>1.90009157916242</v>
      </c>
      <c r="Q47" s="597">
        <f>PE!I9</f>
        <v>1.97323222946076</v>
      </c>
      <c r="R47" s="598">
        <f>PE!J9</f>
        <v>6.4303871634072296</v>
      </c>
    </row>
    <row r="48" spans="2:18" s="57" customFormat="1" ht="12.5">
      <c r="B48" s="604" t="s">
        <v>1055</v>
      </c>
      <c r="C48" s="610">
        <f>IF(ISNUMBER(C24/K24),C24/K24,"0")</f>
        <v>22.002297008632237</v>
      </c>
      <c r="D48" s="606">
        <f t="shared" si="11"/>
        <v>19.969704658137065</v>
      </c>
      <c r="E48" s="606">
        <f t="shared" si="11"/>
        <v>17.421378733304511</v>
      </c>
      <c r="F48" s="606">
        <f t="shared" si="11"/>
        <v>17.608225700464729</v>
      </c>
      <c r="G48" s="606">
        <f t="shared" si="11"/>
        <v>17.931934794826095</v>
      </c>
      <c r="H48" s="606">
        <f t="shared" si="11"/>
        <v>17.482753329432352</v>
      </c>
      <c r="I48" s="606">
        <f t="shared" si="11"/>
        <v>15.410334708196926</v>
      </c>
      <c r="J48" s="607">
        <f t="shared" si="11"/>
        <v>17.88959440526504</v>
      </c>
      <c r="K48" s="605">
        <f>TT!C9</f>
        <v>5.6836609999999999</v>
      </c>
      <c r="L48" s="606">
        <f>TT!D9</f>
        <v>4.6694630000000004</v>
      </c>
      <c r="M48" s="606">
        <f>TT!E9</f>
        <v>3.07</v>
      </c>
      <c r="N48" s="606">
        <f>TT!F9</f>
        <v>1.8767339999999999</v>
      </c>
      <c r="O48" s="606">
        <f>TT!G9</f>
        <v>1.0187710000000001</v>
      </c>
      <c r="P48" s="606">
        <f>TT!H9</f>
        <v>1.0003310000000001</v>
      </c>
      <c r="Q48" s="606">
        <f>TT!I9</f>
        <v>0.59791680000000003</v>
      </c>
      <c r="R48" s="607">
        <f>TT!J9</f>
        <v>2.0610687022900764</v>
      </c>
    </row>
    <row r="49" spans="2:18" s="57" customFormat="1" ht="12.5">
      <c r="C49" s="582"/>
      <c r="D49" s="582"/>
      <c r="E49" s="582"/>
      <c r="F49" s="582"/>
      <c r="G49" s="582"/>
      <c r="H49" s="582"/>
      <c r="I49" s="582"/>
      <c r="J49" s="582"/>
      <c r="K49" s="582"/>
      <c r="L49" s="582"/>
      <c r="M49" s="582"/>
      <c r="N49" s="582"/>
      <c r="O49" s="582"/>
      <c r="P49" s="582"/>
      <c r="Q49" s="582"/>
    </row>
    <row r="50" spans="2:18" s="57" customFormat="1" ht="13">
      <c r="B50" s="2157" t="s">
        <v>1056</v>
      </c>
      <c r="C50" s="2157"/>
      <c r="D50" s="2157"/>
      <c r="E50" s="2157"/>
      <c r="F50" s="2157"/>
      <c r="G50" s="2157"/>
      <c r="H50" s="2157"/>
      <c r="I50" s="2157"/>
      <c r="J50" s="2157"/>
      <c r="K50" s="2157"/>
      <c r="L50" s="2157"/>
      <c r="M50" s="2157"/>
      <c r="N50" s="2157"/>
      <c r="O50" s="2157"/>
      <c r="P50" s="2157"/>
      <c r="Q50" s="2157"/>
      <c r="R50" s="2157"/>
    </row>
    <row r="51" spans="2:18" s="57" customFormat="1" ht="12.5">
      <c r="C51" s="582"/>
      <c r="D51" s="582"/>
      <c r="E51" s="582"/>
      <c r="F51" s="582"/>
      <c r="G51" s="582"/>
      <c r="H51" s="582"/>
      <c r="I51" s="582"/>
      <c r="J51" s="582"/>
      <c r="K51" s="582"/>
      <c r="L51" s="582"/>
      <c r="M51" s="582"/>
      <c r="N51" s="582"/>
      <c r="O51" s="582"/>
      <c r="P51" s="582"/>
      <c r="Q51" s="582"/>
    </row>
    <row r="52" spans="2:18" s="57" customFormat="1" ht="13">
      <c r="C52" s="2194" t="s">
        <v>1059</v>
      </c>
      <c r="D52" s="2195"/>
      <c r="E52" s="2195"/>
      <c r="F52" s="2195"/>
      <c r="G52" s="2195"/>
      <c r="H52" s="2195"/>
      <c r="I52" s="2195"/>
      <c r="J52" s="841"/>
      <c r="K52" s="2183" t="s">
        <v>1060</v>
      </c>
      <c r="L52" s="2184"/>
      <c r="M52" s="2184"/>
      <c r="N52" s="2184"/>
      <c r="O52" s="2184"/>
      <c r="P52" s="2184"/>
      <c r="Q52" s="2184"/>
      <c r="R52" s="2185"/>
    </row>
    <row r="53" spans="2:18" s="57" customFormat="1" ht="12.5">
      <c r="C53" s="587">
        <v>2014</v>
      </c>
      <c r="D53" s="588">
        <v>2015</v>
      </c>
      <c r="E53" s="588">
        <v>2016</v>
      </c>
      <c r="F53" s="588">
        <v>2017</v>
      </c>
      <c r="G53" s="588">
        <v>2018</v>
      </c>
      <c r="H53" s="588">
        <v>2019</v>
      </c>
      <c r="I53" s="588">
        <v>2020</v>
      </c>
      <c r="J53" s="588">
        <v>2021</v>
      </c>
      <c r="K53" s="587">
        <v>2014</v>
      </c>
      <c r="L53" s="588">
        <v>2015</v>
      </c>
      <c r="M53" s="588">
        <v>2016</v>
      </c>
      <c r="N53" s="588">
        <v>2017</v>
      </c>
      <c r="O53" s="588">
        <v>2018</v>
      </c>
      <c r="P53" s="588">
        <v>2019</v>
      </c>
      <c r="Q53" s="588">
        <v>2020</v>
      </c>
      <c r="R53" s="848">
        <v>2021</v>
      </c>
    </row>
    <row r="54" spans="2:18" s="57" customFormat="1" ht="12.5">
      <c r="B54" s="589" t="s">
        <v>1038</v>
      </c>
      <c r="C54" s="590">
        <f>ARG!C11</f>
        <v>8.5519999999999996</v>
      </c>
      <c r="D54" s="591">
        <f>ARG!D11</f>
        <v>13.005000000000001</v>
      </c>
      <c r="E54" s="591">
        <f>ARG!E11</f>
        <v>15.850199999999999</v>
      </c>
      <c r="F54" s="591">
        <f>ARG!F11</f>
        <v>18.7742</v>
      </c>
      <c r="G54" s="591">
        <f>ARG!G11</f>
        <v>37.808300000000003</v>
      </c>
      <c r="H54" s="591">
        <f>ARG!H11</f>
        <v>59.895000000000003</v>
      </c>
      <c r="I54" s="591">
        <f>ARG!I11</f>
        <v>84.14</v>
      </c>
      <c r="J54" s="591">
        <f>ARG!J11</f>
        <v>102.8</v>
      </c>
      <c r="K54" s="590">
        <f>ARG!C12</f>
        <v>8.1188161157024865</v>
      </c>
      <c r="L54" s="591">
        <f>ARG!D12</f>
        <v>9.2689340163934446</v>
      </c>
      <c r="M54" s="591">
        <f>ARG!E12</f>
        <v>14.779439271255063</v>
      </c>
      <c r="N54" s="591">
        <f>ARG!F12</f>
        <v>16.566548373983739</v>
      </c>
      <c r="O54" s="591">
        <f>ARG!G12</f>
        <v>28.09371859504132</v>
      </c>
      <c r="P54" s="591">
        <f>ARG!H12</f>
        <v>48.242306995884796</v>
      </c>
      <c r="Q54" s="591">
        <f>ARG!I12</f>
        <v>70.63</v>
      </c>
      <c r="R54" s="592">
        <f>ARG!J12</f>
        <v>95.1</v>
      </c>
    </row>
    <row r="55" spans="2:18" s="57" customFormat="1" ht="12.5">
      <c r="B55" s="595" t="s">
        <v>1039</v>
      </c>
      <c r="C55" s="596">
        <f>BA!C11</f>
        <v>1</v>
      </c>
      <c r="D55" s="597">
        <f>BA!D11</f>
        <v>1</v>
      </c>
      <c r="E55" s="597">
        <f>BA!E11</f>
        <v>1</v>
      </c>
      <c r="F55" s="597">
        <f>BA!F11</f>
        <v>1</v>
      </c>
      <c r="G55" s="597">
        <f>BA!G11</f>
        <v>1</v>
      </c>
      <c r="H55" s="597">
        <f>BA!H11</f>
        <v>1</v>
      </c>
      <c r="I55" s="597">
        <f>BA!I11</f>
        <v>1</v>
      </c>
      <c r="J55" s="597">
        <f>BA!J11</f>
        <v>1</v>
      </c>
      <c r="K55" s="596">
        <f>BA!C12</f>
        <v>1</v>
      </c>
      <c r="L55" s="597">
        <f>BA!D12</f>
        <v>1</v>
      </c>
      <c r="M55" s="597">
        <f>BA!E12</f>
        <v>1</v>
      </c>
      <c r="N55" s="597">
        <f>BA!F12</f>
        <v>1</v>
      </c>
      <c r="O55" s="597">
        <f>BA!G12</f>
        <v>1</v>
      </c>
      <c r="P55" s="597">
        <f>BA!H12</f>
        <v>1</v>
      </c>
      <c r="Q55" s="597">
        <f>BA!I12</f>
        <v>1</v>
      </c>
      <c r="R55" s="598">
        <f>BA!J12</f>
        <v>1</v>
      </c>
    </row>
    <row r="56" spans="2:18" s="57" customFormat="1" ht="12.5">
      <c r="B56" s="595" t="s">
        <v>1040</v>
      </c>
      <c r="C56" s="596">
        <f>BO!C11</f>
        <v>6.86</v>
      </c>
      <c r="D56" s="597">
        <f>BO!D11</f>
        <v>6.86</v>
      </c>
      <c r="E56" s="597">
        <f>BO!E11</f>
        <v>6.86</v>
      </c>
      <c r="F56" s="597">
        <f>BO!F11</f>
        <v>6.86</v>
      </c>
      <c r="G56" s="597">
        <f>BO!G11</f>
        <v>6.86</v>
      </c>
      <c r="H56" s="597">
        <f>BO!H11</f>
        <v>6.86</v>
      </c>
      <c r="I56" s="597">
        <f>BO!I11</f>
        <v>6.86</v>
      </c>
      <c r="J56" s="597">
        <f>BO!J11</f>
        <v>6.86</v>
      </c>
      <c r="K56" s="596">
        <f>BO!C12</f>
        <v>6.86</v>
      </c>
      <c r="L56" s="597">
        <f>BO!D12</f>
        <v>6.86</v>
      </c>
      <c r="M56" s="597">
        <f>BO!E12</f>
        <v>6.86</v>
      </c>
      <c r="N56" s="597">
        <f>BO!F12</f>
        <v>6.86</v>
      </c>
      <c r="O56" s="597">
        <f>BO!G12</f>
        <v>6.86</v>
      </c>
      <c r="P56" s="597">
        <f>BO!H12</f>
        <v>6.86</v>
      </c>
      <c r="Q56" s="597">
        <f>BO!I12</f>
        <v>6.86</v>
      </c>
      <c r="R56" s="598">
        <f>BO!J12</f>
        <v>6.86</v>
      </c>
    </row>
    <row r="57" spans="2:18" s="57" customFormat="1" ht="12.5">
      <c r="B57" s="595" t="s">
        <v>1041</v>
      </c>
      <c r="C57" s="596">
        <f>BR!C11</f>
        <v>2.6562000000000001</v>
      </c>
      <c r="D57" s="597">
        <f>BR!D11</f>
        <v>3.9047999999999998</v>
      </c>
      <c r="E57" s="597">
        <f>BR!E11</f>
        <v>3.2591000000000001</v>
      </c>
      <c r="F57" s="597">
        <f>BR!F11</f>
        <v>3.3079999999999998</v>
      </c>
      <c r="G57" s="597">
        <f>BR!G11</f>
        <v>3.8748</v>
      </c>
      <c r="H57" s="597">
        <f>BR!H11</f>
        <v>4.0307000000000004</v>
      </c>
      <c r="I57" s="597">
        <f>BR!I11</f>
        <v>5.1966999999999999</v>
      </c>
      <c r="J57" s="597">
        <f>BR!J11</f>
        <v>5.5804999999999998</v>
      </c>
      <c r="K57" s="596">
        <f>BR!C12</f>
        <v>2.3546999999999998</v>
      </c>
      <c r="L57" s="597">
        <f>BR!D12</f>
        <v>3.3386999999999998</v>
      </c>
      <c r="M57" s="597">
        <f>BR!E12</f>
        <v>3.4832999999999998</v>
      </c>
      <c r="N57" s="597">
        <f>BR!F12</f>
        <v>3.1924999999999999</v>
      </c>
      <c r="O57" s="597">
        <f>BR!G12</f>
        <v>3.6558000000000002</v>
      </c>
      <c r="P57" s="597">
        <f>BR!H12</f>
        <v>3.9460999999999999</v>
      </c>
      <c r="Q57" s="597">
        <f>BR!I12</f>
        <v>5.1577999999999999</v>
      </c>
      <c r="R57" s="598">
        <f>BR!J12</f>
        <v>5.3956</v>
      </c>
    </row>
    <row r="58" spans="2:18" s="57" customFormat="1" ht="12.5">
      <c r="B58" s="595" t="s">
        <v>1042</v>
      </c>
      <c r="C58" s="596">
        <f>CL!C11</f>
        <v>607.38</v>
      </c>
      <c r="D58" s="597">
        <f>CL!D11</f>
        <v>707.34</v>
      </c>
      <c r="E58" s="597">
        <f>CL!E11</f>
        <v>667.29</v>
      </c>
      <c r="F58" s="597">
        <f>CL!F11</f>
        <v>615.22</v>
      </c>
      <c r="G58" s="597">
        <f>CL!G11</f>
        <v>695.69</v>
      </c>
      <c r="H58" s="597">
        <f>CL!H11</f>
        <v>744.62</v>
      </c>
      <c r="I58" s="597">
        <f>CL!I11</f>
        <v>711.24</v>
      </c>
      <c r="J58" s="597">
        <f>CL!J11</f>
        <v>850.25</v>
      </c>
      <c r="K58" s="596">
        <f>CL!C12</f>
        <v>570.0059</v>
      </c>
      <c r="L58" s="597">
        <f>CL!D12</f>
        <v>654.24900000000002</v>
      </c>
      <c r="M58" s="597">
        <f>CL!E12</f>
        <v>676.83240000000001</v>
      </c>
      <c r="N58" s="597">
        <f>CL!F12</f>
        <v>649.3288</v>
      </c>
      <c r="O58" s="597">
        <f>CL!G12</f>
        <v>640.29079999999999</v>
      </c>
      <c r="P58" s="597">
        <f>CL!H12</f>
        <v>702.63099999999997</v>
      </c>
      <c r="Q58" s="597">
        <f>CL!I12</f>
        <v>792.22199999999998</v>
      </c>
      <c r="R58" s="598">
        <f>CL!J12</f>
        <v>759.27300000000002</v>
      </c>
    </row>
    <row r="59" spans="2:18" s="57" customFormat="1" ht="12.5">
      <c r="B59" s="595" t="s">
        <v>1043</v>
      </c>
      <c r="C59" s="596">
        <f>CO!C11</f>
        <v>2392.46</v>
      </c>
      <c r="D59" s="597">
        <f>CO!D11</f>
        <v>3149.47</v>
      </c>
      <c r="E59" s="597">
        <f>CO!E11</f>
        <v>3000.71</v>
      </c>
      <c r="F59" s="597">
        <f>CO!F11</f>
        <v>2984</v>
      </c>
      <c r="G59" s="597">
        <f>CO!G11</f>
        <v>3249.75</v>
      </c>
      <c r="H59" s="597">
        <f>CO!H11</f>
        <v>3277.14</v>
      </c>
      <c r="I59" s="597">
        <f>CO!I11</f>
        <v>3432.5</v>
      </c>
      <c r="J59" s="597">
        <f>CO!J11</f>
        <v>3981.16</v>
      </c>
      <c r="K59" s="596">
        <f>CO!C12</f>
        <v>2000.68</v>
      </c>
      <c r="L59" s="597">
        <f>CO!D12</f>
        <v>2746.47</v>
      </c>
      <c r="M59" s="597">
        <f>CO!E12</f>
        <v>3053.42</v>
      </c>
      <c r="N59" s="597">
        <f>CO!F12</f>
        <v>2951.15</v>
      </c>
      <c r="O59" s="597">
        <f>CO!G12</f>
        <v>2956.5463934426216</v>
      </c>
      <c r="P59" s="597">
        <f>CO!H12</f>
        <v>3282.39</v>
      </c>
      <c r="Q59" s="597">
        <f>CO!I12</f>
        <v>3691.2750409836085</v>
      </c>
      <c r="R59" s="598">
        <f>CO!J12</f>
        <v>3747.2442276422753</v>
      </c>
    </row>
    <row r="60" spans="2:18" s="57" customFormat="1" ht="12.5">
      <c r="B60" s="595" t="s">
        <v>1044</v>
      </c>
      <c r="C60" s="596">
        <f>CR!C11</f>
        <v>539.41999999999996</v>
      </c>
      <c r="D60" s="597">
        <f>CR!D11</f>
        <v>538.40499999999997</v>
      </c>
      <c r="E60" s="597">
        <f>CR!E11</f>
        <v>554.64</v>
      </c>
      <c r="F60" s="597">
        <f>CR!F11</f>
        <v>569.49</v>
      </c>
      <c r="G60" s="597">
        <f>CR!G11</f>
        <v>608.06999999999994</v>
      </c>
      <c r="H60" s="597">
        <f>CR!H11</f>
        <v>573.29</v>
      </c>
      <c r="I60" s="597">
        <f>CR!I11</f>
        <v>613.91499999999996</v>
      </c>
      <c r="J60" s="597">
        <f>CR!J11</f>
        <v>642.15499999999997</v>
      </c>
      <c r="K60" s="596">
        <f>CR!C12</f>
        <v>538.35847945205501</v>
      </c>
      <c r="L60" s="597">
        <f>CR!D12</f>
        <v>534.55161643835515</v>
      </c>
      <c r="M60" s="597">
        <f>CR!E12</f>
        <v>544.76401639344306</v>
      </c>
      <c r="N60" s="597">
        <f>CR!F12</f>
        <v>567.55509589041083</v>
      </c>
      <c r="O60" s="597">
        <f>CR!G12</f>
        <v>576.98294520547938</v>
      </c>
      <c r="P60" s="597">
        <f>CR!H12</f>
        <v>587.13109589041017</v>
      </c>
      <c r="Q60" s="597">
        <f>CR!I12</f>
        <v>584.9422131147536</v>
      </c>
      <c r="R60" s="598">
        <f>CR!J12</f>
        <v>620.83764383561595</v>
      </c>
    </row>
    <row r="61" spans="2:18" s="57" customFormat="1" ht="12.5">
      <c r="B61" s="595" t="s">
        <v>1061</v>
      </c>
      <c r="C61" s="596">
        <v>1.8</v>
      </c>
      <c r="D61" s="597">
        <v>1.8</v>
      </c>
      <c r="E61" s="597">
        <f>CW!E10</f>
        <v>1.79</v>
      </c>
      <c r="F61" s="597">
        <f>CW!F10</f>
        <v>1.79</v>
      </c>
      <c r="G61" s="597">
        <f>CW!G10</f>
        <v>1.79</v>
      </c>
      <c r="H61" s="597">
        <f>CW!H10</f>
        <v>1.79</v>
      </c>
      <c r="I61" s="597">
        <f>CW!I10</f>
        <v>1.79</v>
      </c>
      <c r="J61" s="597">
        <f>CW!J10</f>
        <v>1.79</v>
      </c>
      <c r="K61" s="596">
        <v>1.8</v>
      </c>
      <c r="L61" s="597">
        <v>1.8</v>
      </c>
      <c r="M61" s="597" t="str">
        <f>CW!E12</f>
        <v>.</v>
      </c>
      <c r="N61" s="597" t="str">
        <f>CW!F12</f>
        <v>.</v>
      </c>
      <c r="O61" s="597" t="str">
        <f>CW!G12</f>
        <v>.</v>
      </c>
      <c r="P61" s="597" t="str">
        <f>CW!H12</f>
        <v>.</v>
      </c>
      <c r="Q61" s="597" t="str">
        <f>CW!I12</f>
        <v>.</v>
      </c>
      <c r="R61" s="598" t="str">
        <f>CW!J12</f>
        <v>.</v>
      </c>
    </row>
    <row r="62" spans="2:18" s="57" customFormat="1" ht="12.5">
      <c r="B62" s="595" t="s">
        <v>1047</v>
      </c>
      <c r="C62" s="596">
        <v>1</v>
      </c>
      <c r="D62" s="597">
        <v>1</v>
      </c>
      <c r="E62" s="597">
        <v>1</v>
      </c>
      <c r="F62" s="597">
        <v>1</v>
      </c>
      <c r="G62" s="597">
        <v>1</v>
      </c>
      <c r="H62" s="597">
        <v>1</v>
      </c>
      <c r="I62" s="597">
        <v>1</v>
      </c>
      <c r="J62" s="597">
        <v>1</v>
      </c>
      <c r="K62" s="596">
        <v>1</v>
      </c>
      <c r="L62" s="597">
        <v>2</v>
      </c>
      <c r="M62" s="597">
        <v>3</v>
      </c>
      <c r="N62" s="597">
        <v>4</v>
      </c>
      <c r="O62" s="597">
        <v>5</v>
      </c>
      <c r="P62" s="597">
        <v>6</v>
      </c>
      <c r="Q62" s="597">
        <v>7</v>
      </c>
      <c r="R62" s="598">
        <v>8</v>
      </c>
    </row>
    <row r="63" spans="2:18" s="57" customFormat="1" ht="12.5">
      <c r="B63" s="595" t="s">
        <v>1048</v>
      </c>
      <c r="C63" s="596">
        <f>SV!C11</f>
        <v>8.75</v>
      </c>
      <c r="D63" s="597">
        <f>SV!D11</f>
        <v>8.75</v>
      </c>
      <c r="E63" s="597">
        <f>SV!E11</f>
        <v>8.75</v>
      </c>
      <c r="F63" s="597">
        <f>SV!F11</f>
        <v>8.75</v>
      </c>
      <c r="G63" s="597">
        <f>SV!G11</f>
        <v>8.75</v>
      </c>
      <c r="H63" s="597">
        <f>SV!H11</f>
        <v>8.75</v>
      </c>
      <c r="I63" s="597">
        <f>SV!I11</f>
        <v>8.75</v>
      </c>
      <c r="J63" s="597">
        <f>SV!J11</f>
        <v>8.75</v>
      </c>
      <c r="K63" s="596">
        <f>SV!C12</f>
        <v>8.75</v>
      </c>
      <c r="L63" s="597">
        <f>SV!D12</f>
        <v>8.75</v>
      </c>
      <c r="M63" s="597">
        <f>SV!E12</f>
        <v>8.75</v>
      </c>
      <c r="N63" s="597">
        <f>SV!F12</f>
        <v>8.75</v>
      </c>
      <c r="O63" s="597">
        <f>SV!G12</f>
        <v>8.75</v>
      </c>
      <c r="P63" s="597">
        <f>SV!H12</f>
        <v>8.75</v>
      </c>
      <c r="Q63" s="597">
        <f>SV!I12</f>
        <v>8.75</v>
      </c>
      <c r="R63" s="598">
        <f>SV!J12</f>
        <v>8.75</v>
      </c>
    </row>
    <row r="64" spans="2:18" s="57" customFormat="1" ht="12.5">
      <c r="B64" s="595" t="s">
        <v>1049</v>
      </c>
      <c r="C64" s="596">
        <f>GT!C11</f>
        <v>7.5967500000000001</v>
      </c>
      <c r="D64" s="597">
        <f>GT!D11</f>
        <v>7.6323699999999999</v>
      </c>
      <c r="E64" s="597">
        <f>GT!E11</f>
        <v>7.5221299999999998</v>
      </c>
      <c r="F64" s="597">
        <f>GT!F11</f>
        <v>7.3447699999999996</v>
      </c>
      <c r="G64" s="597">
        <f>GT!G11</f>
        <v>7.7369500000000002</v>
      </c>
      <c r="H64" s="597">
        <f>GT!H11</f>
        <v>7.6988399999999997</v>
      </c>
      <c r="I64" s="597">
        <f>GT!I11</f>
        <v>7.7938200000000002</v>
      </c>
      <c r="J64" s="597">
        <f>GT!J11</f>
        <v>7.7191200000000002</v>
      </c>
      <c r="K64" s="596">
        <f>GT!C12</f>
        <v>7.7349500000000004</v>
      </c>
      <c r="L64" s="597">
        <f>GT!D12</f>
        <v>7.65564</v>
      </c>
      <c r="M64" s="597">
        <f>GT!E12</f>
        <v>7.6020599999999998</v>
      </c>
      <c r="N64" s="597">
        <f>GT!F12</f>
        <v>7.3508599999999999</v>
      </c>
      <c r="O64" s="597">
        <f>GT!G12</f>
        <v>7.5190799999999998</v>
      </c>
      <c r="P64" s="597">
        <f>GT!H12</f>
        <v>7.6983499999999996</v>
      </c>
      <c r="Q64" s="597">
        <f>GT!I12</f>
        <v>7.7222200000000001</v>
      </c>
      <c r="R64" s="598">
        <f>GT!J12</f>
        <v>7.7357700273972601</v>
      </c>
    </row>
    <row r="65" spans="2:18" s="57" customFormat="1" ht="12.5">
      <c r="B65" s="595" t="s">
        <v>1050</v>
      </c>
      <c r="C65" s="596">
        <f>HN!C11</f>
        <v>21.5124</v>
      </c>
      <c r="D65" s="597">
        <f>HN!D11</f>
        <v>22.367599999999999</v>
      </c>
      <c r="E65" s="597">
        <f>HN!E11</f>
        <v>23.5029</v>
      </c>
      <c r="F65" s="597">
        <f>HN!F11</f>
        <v>23.587900000000001</v>
      </c>
      <c r="G65" s="597">
        <f>HN!G11</f>
        <v>24.338799999999999</v>
      </c>
      <c r="H65" s="597">
        <f>HN!H11</f>
        <v>24.635000000000002</v>
      </c>
      <c r="I65" s="597">
        <f>HN!I11</f>
        <v>24.114100000000001</v>
      </c>
      <c r="J65" s="597">
        <f>HN!J11</f>
        <v>24.345400000000001</v>
      </c>
      <c r="K65" s="596">
        <f>HN!C12</f>
        <v>21.024291666666667</v>
      </c>
      <c r="L65" s="597">
        <f>HN!D12</f>
        <v>22.098796629354624</v>
      </c>
      <c r="M65" s="597">
        <f>HN!E12</f>
        <v>22.994879794463788</v>
      </c>
      <c r="N65" s="597">
        <f>HN!F12</f>
        <v>23.651497919641432</v>
      </c>
      <c r="O65" s="597">
        <f>HN!G12</f>
        <v>24.07005622373897</v>
      </c>
      <c r="P65" s="597">
        <f>HN!H12</f>
        <v>24.680104781162001</v>
      </c>
      <c r="Q65" s="597">
        <f>HN!I12</f>
        <v>24.753945826518915</v>
      </c>
      <c r="R65" s="598">
        <f>HN!J12</f>
        <v>24.18476643749938</v>
      </c>
    </row>
    <row r="66" spans="2:18" s="57" customFormat="1" ht="12.5">
      <c r="B66" s="595" t="s">
        <v>1051</v>
      </c>
      <c r="C66" s="596">
        <f>JM!C11</f>
        <v>114.66070000000001</v>
      </c>
      <c r="D66" s="597">
        <f>JM!D11</f>
        <v>120.41500000000001</v>
      </c>
      <c r="E66" s="597">
        <f>JM!E11</f>
        <v>128.44040000000001</v>
      </c>
      <c r="F66" s="597">
        <f>JM!F11</f>
        <v>125.0004</v>
      </c>
      <c r="G66" s="597">
        <f>JM!G11</f>
        <v>127.7162</v>
      </c>
      <c r="H66" s="597">
        <f>JM!H11</f>
        <v>132.56899999999999</v>
      </c>
      <c r="I66" s="597">
        <f>JM!I11</f>
        <v>142.64930000000001</v>
      </c>
      <c r="J66" s="597">
        <f>JM!J11</f>
        <v>155.08779999999999</v>
      </c>
      <c r="K66" s="596">
        <f>JM!C12</f>
        <v>111.30062316878481</v>
      </c>
      <c r="L66" s="597">
        <f>JM!D12</f>
        <v>117.31079564579821</v>
      </c>
      <c r="M66" s="597">
        <f>JM!E12</f>
        <v>125.14</v>
      </c>
      <c r="N66" s="597">
        <f>JM!F12</f>
        <v>128.36053249522109</v>
      </c>
      <c r="O66" s="597">
        <f>JM!G12</f>
        <v>129.72300430561097</v>
      </c>
      <c r="P66" s="597">
        <f>JM!H12</f>
        <v>134.21867880126098</v>
      </c>
      <c r="Q66" s="597">
        <f>JM!I12</f>
        <v>143.26778327238</v>
      </c>
      <c r="R66" s="598">
        <f>JM!J12</f>
        <v>151.62462672013464</v>
      </c>
    </row>
    <row r="67" spans="2:18" s="57" customFormat="1" ht="12.5">
      <c r="B67" s="595" t="s">
        <v>1052</v>
      </c>
      <c r="C67" s="596">
        <f>RD!C11</f>
        <v>44.203299999999999</v>
      </c>
      <c r="D67" s="597">
        <f>RD!D11</f>
        <v>45.469099999999997</v>
      </c>
      <c r="E67" s="597">
        <f>RD!E11</f>
        <v>46.617100000000001</v>
      </c>
      <c r="F67" s="597">
        <f>RD!F11</f>
        <v>48.192999999999998</v>
      </c>
      <c r="G67" s="597">
        <f>RD!G11</f>
        <v>50.202800000000003</v>
      </c>
      <c r="H67" s="597">
        <f>RD!H11</f>
        <v>52.902200000000001</v>
      </c>
      <c r="I67" s="597">
        <f>RD!I11</f>
        <v>58.113100000000003</v>
      </c>
      <c r="J67" s="597">
        <f>RD!J11</f>
        <v>57.141300000000001</v>
      </c>
      <c r="K67" s="596">
        <f>RD!C12</f>
        <v>43.441276580445674</v>
      </c>
      <c r="L67" s="597">
        <f>RD!D12</f>
        <v>44.932725148433228</v>
      </c>
      <c r="M67" s="597">
        <f>RD!E12</f>
        <v>45.976334411340297</v>
      </c>
      <c r="N67" s="597">
        <f>RD!F12</f>
        <v>47.435066030809075</v>
      </c>
      <c r="O67" s="597">
        <f>RD!G12</f>
        <v>49.425633730158722</v>
      </c>
      <c r="P67" s="597">
        <f>RD!H12</f>
        <v>51.190858333333324</v>
      </c>
      <c r="Q67" s="597">
        <f>RD!I12</f>
        <v>56.412533333333329</v>
      </c>
      <c r="R67" s="598">
        <f>RD!J12</f>
        <v>56.961178571428569</v>
      </c>
    </row>
    <row r="68" spans="2:18" s="57" customFormat="1" ht="12.5">
      <c r="B68" s="595" t="s">
        <v>1053</v>
      </c>
      <c r="C68" s="596">
        <f>PY!C11</f>
        <v>4629</v>
      </c>
      <c r="D68" s="597">
        <f>PY!D11</f>
        <v>5799.89</v>
      </c>
      <c r="E68" s="597">
        <f>PY!E11</f>
        <v>5759.23</v>
      </c>
      <c r="F68" s="597">
        <f>PY!F11</f>
        <v>5579.97</v>
      </c>
      <c r="G68" s="597">
        <f>PY!G11</f>
        <v>5960.14</v>
      </c>
      <c r="H68" s="597">
        <f>PY!H11</f>
        <v>6442.33</v>
      </c>
      <c r="I68" s="597">
        <f>PY!I11</f>
        <v>6891.96</v>
      </c>
      <c r="J68" s="597">
        <f>PY!J11</f>
        <v>7322.9</v>
      </c>
      <c r="K68" s="596">
        <f>PY!C12</f>
        <v>4119.833333333333</v>
      </c>
      <c r="L68" s="597">
        <f>PY!D12</f>
        <v>5802.4785714285717</v>
      </c>
      <c r="M68" s="597">
        <f>PY!E12</f>
        <v>5785.8933333333343</v>
      </c>
      <c r="N68" s="597">
        <f>PY!F12</f>
        <v>5630.7594444444439</v>
      </c>
      <c r="O68" s="597">
        <f>PY!G12</f>
        <v>5927.6755263157902</v>
      </c>
      <c r="P68" s="597">
        <f>PY!H12</f>
        <v>6449.6112499999999</v>
      </c>
      <c r="Q68" s="597">
        <f>PY!I12</f>
        <v>7031.8280952380956</v>
      </c>
      <c r="R68" s="598">
        <f>PY!J12</f>
        <v>6815.5428571428565</v>
      </c>
    </row>
    <row r="69" spans="2:18" s="57" customFormat="1" ht="12.5">
      <c r="B69" s="595" t="s">
        <v>1054</v>
      </c>
      <c r="C69" s="596">
        <f>PE!C11</f>
        <v>2.9849999999999999</v>
      </c>
      <c r="D69" s="597">
        <f>PE!D11</f>
        <v>3.4104999999999999</v>
      </c>
      <c r="E69" s="597">
        <f>PE!E11</f>
        <v>3.3559999999999999</v>
      </c>
      <c r="F69" s="597">
        <f>PE!F11</f>
        <v>3.2414999999999998</v>
      </c>
      <c r="G69" s="597">
        <f>PE!G11</f>
        <v>3.3740000000000001</v>
      </c>
      <c r="H69" s="597">
        <f>PE!H11</f>
        <v>3.3140000000000001</v>
      </c>
      <c r="I69" s="597">
        <f>PE!I11</f>
        <v>3.621</v>
      </c>
      <c r="J69" s="597">
        <f>PE!J11</f>
        <v>3.9864999999999999</v>
      </c>
      <c r="K69" s="596">
        <f>PE!C12</f>
        <v>2.8383998737373743</v>
      </c>
      <c r="L69" s="597">
        <f>PE!D12</f>
        <v>3.1844524999999995</v>
      </c>
      <c r="M69" s="597">
        <f>PE!E12</f>
        <v>3.3751000000000002</v>
      </c>
      <c r="N69" s="597">
        <f>PE!F12</f>
        <v>3.2607499999999998</v>
      </c>
      <c r="O69" s="597">
        <f>PE!G12</f>
        <v>3.2866</v>
      </c>
      <c r="P69" s="597">
        <f>PE!H12</f>
        <v>3.33697</v>
      </c>
      <c r="Q69" s="597">
        <f>PE!I12</f>
        <v>3.4950233333333336</v>
      </c>
      <c r="R69" s="598">
        <f>PE!J12</f>
        <v>3.8805900000000002</v>
      </c>
    </row>
    <row r="70" spans="2:18" s="57" customFormat="1" ht="12.5">
      <c r="B70" s="604" t="s">
        <v>1055</v>
      </c>
      <c r="C70" s="605">
        <f>TT!C11</f>
        <v>6.3585000000000003</v>
      </c>
      <c r="D70" s="606">
        <f>TT!D11</f>
        <v>6.4196</v>
      </c>
      <c r="E70" s="606">
        <f>TT!E11</f>
        <v>6.7460000000000004</v>
      </c>
      <c r="F70" s="606">
        <f>TT!F11</f>
        <v>6.7627499999999996</v>
      </c>
      <c r="G70" s="606">
        <f>TT!G11</f>
        <v>6.7804500000000001</v>
      </c>
      <c r="H70" s="606">
        <f>TT!H11</f>
        <v>6.7623499999999996</v>
      </c>
      <c r="I70" s="606">
        <f>TT!I11</f>
        <v>6.7611499999999998</v>
      </c>
      <c r="J70" s="606">
        <f>TT!J11</f>
        <v>6.7625000000000002</v>
      </c>
      <c r="K70" s="605">
        <f>TT!C12</f>
        <v>6.3849260000000001</v>
      </c>
      <c r="L70" s="606">
        <f>TT!D12</f>
        <v>6.3536650000000003</v>
      </c>
      <c r="M70" s="606">
        <f>TT!E12</f>
        <v>6.6433759999999999</v>
      </c>
      <c r="N70" s="606">
        <f>TT!F12</f>
        <v>6.7539239999999996</v>
      </c>
      <c r="O70" s="606">
        <f>TT!G12</f>
        <v>6.7566990000000002</v>
      </c>
      <c r="P70" s="606">
        <f>TT!H12</f>
        <v>6.7552729999999999</v>
      </c>
      <c r="Q70" s="606">
        <f>TT!I12</f>
        <v>6.7503310000000001</v>
      </c>
      <c r="R70" s="607">
        <f>TT!J12</f>
        <v>6.7571919999999999</v>
      </c>
    </row>
    <row r="71" spans="2:18" s="57" customFormat="1" ht="12.5">
      <c r="C71" s="582"/>
      <c r="D71" s="582"/>
      <c r="E71" s="582"/>
      <c r="F71" s="582"/>
      <c r="G71" s="582"/>
      <c r="H71" s="582"/>
      <c r="I71" s="582"/>
      <c r="J71" s="582"/>
      <c r="K71" s="582"/>
      <c r="L71" s="582"/>
      <c r="M71" s="582"/>
      <c r="N71" s="582"/>
      <c r="O71" s="582"/>
      <c r="P71" s="582"/>
      <c r="Q71" s="582"/>
    </row>
    <row r="72" spans="2:18" s="57" customFormat="1" ht="13">
      <c r="B72" s="2157" t="s">
        <v>1062</v>
      </c>
      <c r="C72" s="2157"/>
      <c r="D72" s="2157"/>
      <c r="E72" s="2157"/>
      <c r="F72" s="2157"/>
      <c r="G72" s="2157"/>
      <c r="H72" s="2157"/>
      <c r="I72" s="2157"/>
      <c r="J72" s="2157"/>
      <c r="K72" s="2157"/>
      <c r="L72" s="2157"/>
      <c r="M72" s="2157"/>
      <c r="N72" s="2157"/>
      <c r="O72" s="2157"/>
      <c r="P72" s="2157"/>
      <c r="Q72" s="2157"/>
      <c r="R72" s="2157"/>
    </row>
    <row r="73" spans="2:18" s="57" customFormat="1" ht="13">
      <c r="B73" s="2179" t="s">
        <v>1063</v>
      </c>
      <c r="C73" s="2179"/>
      <c r="D73" s="2179"/>
      <c r="E73" s="2179"/>
      <c r="F73" s="2179"/>
      <c r="G73" s="2179"/>
      <c r="H73" s="2179"/>
      <c r="I73" s="2179"/>
      <c r="J73" s="2179"/>
      <c r="K73" s="2179"/>
      <c r="L73" s="2179"/>
      <c r="M73" s="2179"/>
      <c r="N73" s="2179"/>
      <c r="O73" s="2179"/>
      <c r="P73" s="2179"/>
      <c r="Q73" s="2179"/>
    </row>
    <row r="74" spans="2:18" s="57" customFormat="1" ht="13">
      <c r="B74" s="581" t="s">
        <v>1035</v>
      </c>
      <c r="C74" s="611"/>
      <c r="D74" s="611"/>
      <c r="E74" s="611"/>
      <c r="F74" s="611"/>
      <c r="G74" s="611"/>
      <c r="H74" s="611"/>
      <c r="I74" s="611"/>
      <c r="J74" s="611"/>
      <c r="K74" s="611"/>
      <c r="L74" s="611"/>
      <c r="M74" s="611"/>
      <c r="N74" s="611"/>
      <c r="O74" s="611"/>
      <c r="P74" s="611"/>
      <c r="Q74" s="611"/>
    </row>
    <row r="75" spans="2:18" s="57" customFormat="1" ht="13">
      <c r="B75" s="612"/>
      <c r="C75" s="613"/>
      <c r="D75" s="613"/>
      <c r="E75" s="613"/>
      <c r="F75" s="613"/>
      <c r="G75" s="613"/>
      <c r="H75" s="613"/>
      <c r="I75" s="613"/>
      <c r="J75" s="613"/>
      <c r="K75" s="613"/>
      <c r="L75" s="613"/>
      <c r="M75" s="613"/>
      <c r="N75" s="613"/>
      <c r="O75" s="613"/>
      <c r="P75" s="613"/>
      <c r="Q75" s="613"/>
    </row>
    <row r="76" spans="2:18" s="57" customFormat="1" ht="13">
      <c r="B76" s="583"/>
      <c r="C76" s="2183" t="s">
        <v>1064</v>
      </c>
      <c r="D76" s="2184"/>
      <c r="E76" s="2184"/>
      <c r="F76" s="2184"/>
      <c r="G76" s="2184"/>
      <c r="H76" s="2184"/>
      <c r="I76" s="2184"/>
      <c r="J76" s="840"/>
      <c r="K76" s="2183" t="s">
        <v>1065</v>
      </c>
      <c r="L76" s="2184"/>
      <c r="M76" s="2184"/>
      <c r="N76" s="2184"/>
      <c r="O76" s="2184"/>
      <c r="P76" s="2184"/>
      <c r="Q76" s="2184"/>
      <c r="R76" s="2185"/>
    </row>
    <row r="77" spans="2:18" s="57" customFormat="1" ht="12.5">
      <c r="C77" s="587">
        <v>2014</v>
      </c>
      <c r="D77" s="588">
        <v>2015</v>
      </c>
      <c r="E77" s="588">
        <v>2016</v>
      </c>
      <c r="F77" s="588">
        <v>2017</v>
      </c>
      <c r="G77" s="588">
        <v>2018</v>
      </c>
      <c r="H77" s="588">
        <v>2019</v>
      </c>
      <c r="I77" s="588">
        <v>2020</v>
      </c>
      <c r="J77" s="588"/>
      <c r="K77" s="587">
        <v>2014</v>
      </c>
      <c r="L77" s="588">
        <v>2015</v>
      </c>
      <c r="M77" s="588">
        <v>2016</v>
      </c>
      <c r="N77" s="588">
        <v>2017</v>
      </c>
      <c r="O77" s="588">
        <v>2018</v>
      </c>
      <c r="P77" s="588">
        <v>2019</v>
      </c>
      <c r="Q77" s="588">
        <v>2020</v>
      </c>
      <c r="R77" s="848">
        <v>2021</v>
      </c>
    </row>
    <row r="78" spans="2:18" s="57" customFormat="1" ht="12.5">
      <c r="B78" s="589" t="s">
        <v>1038</v>
      </c>
      <c r="C78" s="590">
        <f>ARG!C20</f>
        <v>36925.478718428443</v>
      </c>
      <c r="D78" s="591">
        <f>ARG!D20</f>
        <v>32721.316801230292</v>
      </c>
      <c r="E78" s="591">
        <f>ARG!E20</f>
        <v>33287.361862941791</v>
      </c>
      <c r="F78" s="591">
        <f>ARG!F20</f>
        <v>37394.128910952262</v>
      </c>
      <c r="G78" s="591">
        <f>ARG!G20</f>
        <v>19591.417149144498</v>
      </c>
      <c r="H78" s="591">
        <f>ARG!H20</f>
        <v>16864.680223724852</v>
      </c>
      <c r="I78" s="591">
        <f>ARG!I20</f>
        <v>19462.819075350606</v>
      </c>
      <c r="J78" s="591">
        <f>ARG!J20</f>
        <v>25399.063932702418</v>
      </c>
      <c r="K78" s="614">
        <f t="shared" ref="K78:R84" si="12">IF(ISNUMBER(C78/K6),C78/K6,"0")</f>
        <v>865.38344059406472</v>
      </c>
      <c r="L78" s="615">
        <f t="shared" si="12"/>
        <v>758.63262994388651</v>
      </c>
      <c r="M78" s="615">
        <f t="shared" si="12"/>
        <v>763.64030381532439</v>
      </c>
      <c r="N78" s="615">
        <f t="shared" si="12"/>
        <v>849.0019155934682</v>
      </c>
      <c r="O78" s="615">
        <f t="shared" si="12"/>
        <v>440.31096581650695</v>
      </c>
      <c r="P78" s="615">
        <f t="shared" si="12"/>
        <v>375.28178875542432</v>
      </c>
      <c r="Q78" s="615">
        <f t="shared" si="12"/>
        <v>428.91374650925809</v>
      </c>
      <c r="R78" s="616">
        <f t="shared" si="12"/>
        <v>554.44365712076876</v>
      </c>
    </row>
    <row r="79" spans="2:18" s="57" customFormat="1" ht="12.5">
      <c r="B79" s="595" t="s">
        <v>1039</v>
      </c>
      <c r="C79" s="596">
        <f>BA!C20</f>
        <v>0</v>
      </c>
      <c r="D79" s="597">
        <f>BA!D20</f>
        <v>0</v>
      </c>
      <c r="E79" s="597">
        <f>BA!E20</f>
        <v>0</v>
      </c>
      <c r="F79" s="597">
        <f>BA!F20</f>
        <v>0</v>
      </c>
      <c r="G79" s="597">
        <f>BA!G20</f>
        <v>0</v>
      </c>
      <c r="H79" s="597">
        <f>BA!H20</f>
        <v>0</v>
      </c>
      <c r="I79" s="597">
        <f>BA!I20</f>
        <v>0</v>
      </c>
      <c r="J79" s="597">
        <f>BA!J20</f>
        <v>0</v>
      </c>
      <c r="K79" s="1844">
        <f t="shared" si="12"/>
        <v>0</v>
      </c>
      <c r="L79" s="609">
        <f t="shared" si="12"/>
        <v>0</v>
      </c>
      <c r="M79" s="609">
        <f t="shared" si="12"/>
        <v>0</v>
      </c>
      <c r="N79" s="609">
        <f t="shared" si="12"/>
        <v>0</v>
      </c>
      <c r="O79" s="609">
        <f t="shared" si="12"/>
        <v>0</v>
      </c>
      <c r="P79" s="609">
        <f t="shared" si="12"/>
        <v>0</v>
      </c>
      <c r="Q79" s="609">
        <f t="shared" si="12"/>
        <v>0</v>
      </c>
      <c r="R79" s="603">
        <f t="shared" si="12"/>
        <v>0</v>
      </c>
    </row>
    <row r="80" spans="2:18" s="57" customFormat="1" ht="12.5">
      <c r="B80" s="595" t="s">
        <v>1040</v>
      </c>
      <c r="C80" s="596">
        <f>BO!C20</f>
        <v>5345.5679490364428</v>
      </c>
      <c r="D80" s="597">
        <f>BO!D20</f>
        <v>5419.9084727142854</v>
      </c>
      <c r="E80" s="597">
        <f>BO!E20</f>
        <v>5396.5147971064125</v>
      </c>
      <c r="F80" s="597">
        <f>BO!F20</f>
        <v>5884.9597287638499</v>
      </c>
      <c r="G80" s="597">
        <f>BO!G20</f>
        <v>6128.0530814927115</v>
      </c>
      <c r="H80" s="597">
        <f>BO!H20</f>
        <v>6071.3892365830889</v>
      </c>
      <c r="I80" s="597">
        <f>BO!I20</f>
        <v>6820.5517205043743</v>
      </c>
      <c r="J80" s="597">
        <f>BO!J20</f>
        <v>7170.7520290758021</v>
      </c>
      <c r="K80" s="1844">
        <f t="shared" si="12"/>
        <v>0.51480079930781808</v>
      </c>
      <c r="L80" s="609">
        <f t="shared" si="12"/>
        <v>0.51292161133962466</v>
      </c>
      <c r="M80" s="609">
        <f t="shared" si="12"/>
        <v>0.50186407052898085</v>
      </c>
      <c r="N80" s="609">
        <f t="shared" si="12"/>
        <v>0.537811290121882</v>
      </c>
      <c r="O80" s="609">
        <f t="shared" si="12"/>
        <v>0.55032928706725137</v>
      </c>
      <c r="P80" s="609">
        <f t="shared" si="12"/>
        <v>0.53579896513789316</v>
      </c>
      <c r="Q80" s="609">
        <f t="shared" si="12"/>
        <v>0.58408106393700565</v>
      </c>
      <c r="R80" s="603">
        <f t="shared" si="12"/>
        <v>0.60553785494673829</v>
      </c>
    </row>
    <row r="81" spans="2:18" s="57" customFormat="1" ht="12.5">
      <c r="B81" s="595" t="s">
        <v>1041</v>
      </c>
      <c r="C81" s="596">
        <f>BR!C20</f>
        <v>67107.750169414896</v>
      </c>
      <c r="D81" s="597">
        <f>BR!D20</f>
        <v>47449.39996926859</v>
      </c>
      <c r="E81" s="597">
        <f>BR!E20</f>
        <v>58903.828664355176</v>
      </c>
      <c r="F81" s="597">
        <f>BR!F20</f>
        <v>61641.365175332518</v>
      </c>
      <c r="G81" s="597">
        <f>BR!G20</f>
        <v>56301.4008464953</v>
      </c>
      <c r="H81" s="597">
        <f>BR!H20</f>
        <v>56642.554395018233</v>
      </c>
      <c r="I81" s="597">
        <f>BR!I20</f>
        <v>59439.532395558723</v>
      </c>
      <c r="J81" s="597">
        <f>BR!J20</f>
        <v>51240.02399999999</v>
      </c>
      <c r="K81" s="1844">
        <f t="shared" si="12"/>
        <v>0.33268177787976749</v>
      </c>
      <c r="L81" s="609">
        <f t="shared" si="12"/>
        <v>0.23319444991993757</v>
      </c>
      <c r="M81" s="609">
        <f t="shared" si="12"/>
        <v>0.28711643884168914</v>
      </c>
      <c r="N81" s="609">
        <f t="shared" si="12"/>
        <v>0.29806553214044795</v>
      </c>
      <c r="O81" s="609">
        <f t="shared" si="12"/>
        <v>0.27003730473261123</v>
      </c>
      <c r="P81" s="609">
        <f t="shared" si="12"/>
        <v>0.26953761273211913</v>
      </c>
      <c r="Q81" s="609">
        <f t="shared" si="12"/>
        <v>0.28069862884988572</v>
      </c>
      <c r="R81" s="603">
        <f t="shared" si="12"/>
        <v>0.24020487722555053</v>
      </c>
    </row>
    <row r="82" spans="2:18" s="57" customFormat="1" ht="12.5">
      <c r="B82" s="595" t="s">
        <v>1042</v>
      </c>
      <c r="C82" s="596">
        <f>CL!C20</f>
        <v>8842.695696269222</v>
      </c>
      <c r="D82" s="597">
        <f>CL!D20</f>
        <v>8281.0568283993543</v>
      </c>
      <c r="E82" s="597">
        <f>CL!E20</f>
        <v>9403.5309400710339</v>
      </c>
      <c r="F82" s="597">
        <f>CL!F20</f>
        <v>10611.556622021391</v>
      </c>
      <c r="G82" s="597">
        <f>CL!G20</f>
        <v>9687.9967514266409</v>
      </c>
      <c r="H82" s="597">
        <f>CL!H20</f>
        <v>10173.641804348526</v>
      </c>
      <c r="I82" s="597">
        <f>CL!I20</f>
        <v>12179.217000000001</v>
      </c>
      <c r="J82" s="597">
        <f>CL!J20</f>
        <v>15209.518</v>
      </c>
      <c r="K82" s="1844">
        <f t="shared" si="12"/>
        <v>0.4971264951493628</v>
      </c>
      <c r="L82" s="609">
        <f t="shared" si="12"/>
        <v>0.46079026843891857</v>
      </c>
      <c r="M82" s="609">
        <f t="shared" si="12"/>
        <v>0.51761187048638035</v>
      </c>
      <c r="N82" s="609">
        <f t="shared" si="12"/>
        <v>0.57611412172810794</v>
      </c>
      <c r="O82" s="609">
        <f t="shared" si="12"/>
        <v>0.51665444543630956</v>
      </c>
      <c r="P82" s="609">
        <f t="shared" si="12"/>
        <v>0.53245024310964639</v>
      </c>
      <c r="Q82" s="609">
        <f t="shared" si="12"/>
        <v>0.62591340152356501</v>
      </c>
      <c r="R82" s="603">
        <f t="shared" si="12"/>
        <v>0.77290565277203183</v>
      </c>
    </row>
    <row r="83" spans="2:18" s="57" customFormat="1" ht="12.5">
      <c r="B83" s="595" t="s">
        <v>1043</v>
      </c>
      <c r="C83" s="596">
        <f>CO!C20</f>
        <v>19021.239689235179</v>
      </c>
      <c r="D83" s="597">
        <f>CO!D20</f>
        <v>17102.809786371581</v>
      </c>
      <c r="E83" s="597">
        <f>CO!E20</f>
        <v>18480.460049020734</v>
      </c>
      <c r="F83" s="597">
        <f>CO!F20</f>
        <v>20031.161628721482</v>
      </c>
      <c r="G83" s="597">
        <f>CO!G20</f>
        <v>20080.634886953736</v>
      </c>
      <c r="H83" s="597">
        <f>CO!H20</f>
        <v>22932.510759863202</v>
      </c>
      <c r="I83" s="597">
        <f>CO!I20</f>
        <v>27488.913967790126</v>
      </c>
      <c r="J83" s="597">
        <f>CO!J20</f>
        <v>27202.877302092857</v>
      </c>
      <c r="K83" s="1844">
        <f t="shared" si="12"/>
        <v>0.39908784136094561</v>
      </c>
      <c r="L83" s="609">
        <f t="shared" si="12"/>
        <v>0.35480501401035014</v>
      </c>
      <c r="M83" s="609">
        <f t="shared" si="12"/>
        <v>0.37910418370891885</v>
      </c>
      <c r="N83" s="609">
        <f t="shared" si="12"/>
        <v>0.40638076206279822</v>
      </c>
      <c r="O83" s="609">
        <f t="shared" si="12"/>
        <v>0.40294855278125513</v>
      </c>
      <c r="P83" s="609">
        <f t="shared" si="12"/>
        <v>0.45524066293775195</v>
      </c>
      <c r="Q83" s="609">
        <f t="shared" si="12"/>
        <v>0.54571354294544427</v>
      </c>
      <c r="R83" s="603">
        <f t="shared" si="12"/>
        <v>0.53287257206903105</v>
      </c>
    </row>
    <row r="84" spans="2:18" s="57" customFormat="1" ht="12.5">
      <c r="B84" s="595" t="s">
        <v>1044</v>
      </c>
      <c r="C84" s="596">
        <f>CR!C20</f>
        <v>1277.9208185949726</v>
      </c>
      <c r="D84" s="597">
        <f>CR!D20</f>
        <v>1359.9129874182074</v>
      </c>
      <c r="E84" s="597">
        <f>CR!E20</f>
        <v>1411.3986007201067</v>
      </c>
      <c r="F84" s="597">
        <f>CR!F20</f>
        <v>1464.8820053612881</v>
      </c>
      <c r="G84" s="597">
        <f>CR!G20</f>
        <v>1425.5969984865233</v>
      </c>
      <c r="H84" s="597">
        <f>CR!H20</f>
        <v>1563.11468256031</v>
      </c>
      <c r="I84" s="597">
        <f>CR!I20</f>
        <v>1687.6364045229391</v>
      </c>
      <c r="J84" s="597">
        <f>CR!J20</f>
        <v>1508.7155580241531</v>
      </c>
      <c r="K84" s="1844">
        <f t="shared" si="12"/>
        <v>0.26773286368828697</v>
      </c>
      <c r="L84" s="609">
        <f t="shared" si="12"/>
        <v>0.28142572511974445</v>
      </c>
      <c r="M84" s="609">
        <f t="shared" si="12"/>
        <v>0.28860761527346113</v>
      </c>
      <c r="N84" s="609">
        <f t="shared" si="12"/>
        <v>0.29608643375513483</v>
      </c>
      <c r="O84" s="609">
        <f t="shared" si="12"/>
        <v>0.28492553877278187</v>
      </c>
      <c r="P84" s="609">
        <f t="shared" si="12"/>
        <v>0.30903765792813037</v>
      </c>
      <c r="Q84" s="609">
        <f t="shared" si="12"/>
        <v>0.33018152022045255</v>
      </c>
      <c r="R84" s="603">
        <f t="shared" si="12"/>
        <v>0.29221565397935689</v>
      </c>
    </row>
    <row r="85" spans="2:18" s="57" customFormat="1" ht="12.5">
      <c r="B85" s="595" t="s">
        <v>1061</v>
      </c>
      <c r="C85" s="596">
        <v>243.4</v>
      </c>
      <c r="D85" s="597">
        <v>254.8</v>
      </c>
      <c r="E85" s="597">
        <f>CW!E33</f>
        <v>208.88268156424579</v>
      </c>
      <c r="F85" s="597">
        <f>CW!F33</f>
        <v>216.98324022346367</v>
      </c>
      <c r="G85" s="597">
        <f>CW!G33</f>
        <v>215.08379888268155</v>
      </c>
      <c r="H85" s="597">
        <f>CW!H33</f>
        <v>218.77094972067039</v>
      </c>
      <c r="I85" s="597">
        <f>CW!I33</f>
        <v>236.98324022346367</v>
      </c>
      <c r="J85" s="597">
        <f>CW!J33</f>
        <v>250.83798882681563</v>
      </c>
      <c r="K85" s="1844">
        <f>IF(ISNUMBER(C85/K15),C85/K15,"0")</f>
        <v>1.2539927872230809</v>
      </c>
      <c r="L85" s="609">
        <f t="shared" ref="L85:Q85" si="13">IF(ISNUMBER(D85/L15),D85/L15,"0")</f>
        <v>1.284274193548387</v>
      </c>
      <c r="M85" s="609">
        <f t="shared" si="13"/>
        <v>1.0398381200928206</v>
      </c>
      <c r="N85" s="609">
        <f t="shared" si="13"/>
        <v>1.0815633547176935</v>
      </c>
      <c r="O85" s="609">
        <f t="shared" si="13"/>
        <v>1.0762800184281502</v>
      </c>
      <c r="P85" s="609">
        <f t="shared" si="13"/>
        <v>1.1034548054104227</v>
      </c>
      <c r="Q85" s="609">
        <f t="shared" si="13"/>
        <v>1.2075579119666939</v>
      </c>
      <c r="R85" s="603">
        <f>IF(ISNUMBER(J85/R15),J85/R15,"0")</f>
        <v>1.6604090079222589</v>
      </c>
    </row>
    <row r="86" spans="2:18" s="57" customFormat="1" ht="12.5">
      <c r="B86" s="595" t="s">
        <v>1047</v>
      </c>
      <c r="C86" s="596">
        <f>EC!C21</f>
        <v>9539.8967329999996</v>
      </c>
      <c r="D86" s="597">
        <f>EC!D21</f>
        <v>11753.669449999999</v>
      </c>
      <c r="E86" s="597">
        <f>EC!E21</f>
        <v>13261.11947</v>
      </c>
      <c r="F86" s="597">
        <f>EC!F21</f>
        <v>14858.68093</v>
      </c>
      <c r="G86" s="597">
        <f>EC!G21</f>
        <v>15915.86587</v>
      </c>
      <c r="H86" s="597">
        <f>EC!H21</f>
        <v>16966.201069999999</v>
      </c>
      <c r="I86" s="597">
        <f>EC!I21</f>
        <v>17959.91502</v>
      </c>
      <c r="J86" s="597">
        <f>EC!J21</f>
        <v>18683.965677999997</v>
      </c>
      <c r="K86" s="1844">
        <f t="shared" ref="K86:R86" si="14">IF(ISNUMBER(C86/K16),C86/K16,"0")</f>
        <v>595.22177323601863</v>
      </c>
      <c r="L86" s="609">
        <f t="shared" si="14"/>
        <v>722.02113675885096</v>
      </c>
      <c r="M86" s="609">
        <f t="shared" si="14"/>
        <v>802.30722324098701</v>
      </c>
      <c r="N86" s="609">
        <f t="shared" si="14"/>
        <v>885.65901532797011</v>
      </c>
      <c r="O86" s="609">
        <f t="shared" si="14"/>
        <v>934.94004666985597</v>
      </c>
      <c r="P86" s="609">
        <f t="shared" si="14"/>
        <v>982.52344367200658</v>
      </c>
      <c r="Q86" s="609">
        <f t="shared" si="14"/>
        <v>1025.6570829523507</v>
      </c>
      <c r="R86" s="603">
        <f t="shared" si="14"/>
        <v>1044.4695102555979</v>
      </c>
    </row>
    <row r="87" spans="2:18" s="57" customFormat="1" ht="12.5">
      <c r="B87" s="595" t="s">
        <v>1048</v>
      </c>
      <c r="C87" s="596">
        <f>SV!C20</f>
        <v>646.9</v>
      </c>
      <c r="D87" s="597">
        <f>SV!D20</f>
        <v>639.54</v>
      </c>
      <c r="E87" s="597">
        <f>SV!E20</f>
        <v>676.74</v>
      </c>
      <c r="F87" s="597">
        <f>SV!F20</f>
        <v>677.03</v>
      </c>
      <c r="G87" s="597">
        <f>SV!G20</f>
        <v>661.49</v>
      </c>
      <c r="H87" s="597">
        <f>SV!H20</f>
        <v>665.53</v>
      </c>
      <c r="I87" s="597">
        <f>SV!I20</f>
        <v>635.9</v>
      </c>
      <c r="J87" s="597">
        <f>SV!J20</f>
        <v>636.55112236999992</v>
      </c>
      <c r="K87" s="1844">
        <f t="shared" ref="K87:Q94" si="15">IF(ISNUMBER(C87/K17),C87/K17,"0")</f>
        <v>101.05854490692428</v>
      </c>
      <c r="L87" s="609">
        <f t="shared" si="15"/>
        <v>102.16455499855348</v>
      </c>
      <c r="M87" s="609">
        <f t="shared" si="15"/>
        <v>107.78000799821497</v>
      </c>
      <c r="N87" s="609">
        <f t="shared" si="15"/>
        <v>107.57446381193321</v>
      </c>
      <c r="O87" s="609">
        <f t="shared" si="15"/>
        <v>104.90689392238137</v>
      </c>
      <c r="P87" s="609">
        <f t="shared" si="15"/>
        <v>105.39284580320218</v>
      </c>
      <c r="Q87" s="609">
        <f t="shared" si="15"/>
        <v>100.60050225896299</v>
      </c>
      <c r="R87" s="603">
        <f t="shared" ref="R87:R94" si="16">IF(ISNUMBER(J87/R16),J87/R16,"0")</f>
        <v>35.584428407364427</v>
      </c>
    </row>
    <row r="88" spans="2:18" s="57" customFormat="1" ht="12.5">
      <c r="B88" s="595" t="s">
        <v>1049</v>
      </c>
      <c r="C88" s="596">
        <f>GT!C20</f>
        <v>3176.7660000000001</v>
      </c>
      <c r="D88" s="597">
        <f>GT!D20</f>
        <v>3556.8110000000001</v>
      </c>
      <c r="E88" s="597">
        <f>GT!E20</f>
        <v>3908.0819999999999</v>
      </c>
      <c r="F88" s="597">
        <f>GT!F20</f>
        <v>4573.9080000000004</v>
      </c>
      <c r="G88" s="597">
        <f>GT!G20</f>
        <v>4914.4430000000002</v>
      </c>
      <c r="H88" s="597">
        <f>GT!H20</f>
        <v>5717.0039999999999</v>
      </c>
      <c r="I88" s="597">
        <f>GT!I20</f>
        <v>7216.3590000000004</v>
      </c>
      <c r="J88" s="597">
        <f>GT!J20</f>
        <v>8215.5609999999997</v>
      </c>
      <c r="K88" s="1844">
        <f t="shared" si="15"/>
        <v>0.2075460875105414</v>
      </c>
      <c r="L88" s="609">
        <f t="shared" si="15"/>
        <v>0.22847788705372421</v>
      </c>
      <c r="M88" s="609">
        <f t="shared" si="15"/>
        <v>0.24691423701121262</v>
      </c>
      <c r="N88" s="609">
        <f t="shared" si="15"/>
        <v>0.28431585478788457</v>
      </c>
      <c r="O88" s="609">
        <f t="shared" si="15"/>
        <v>0.3006336350206002</v>
      </c>
      <c r="P88" s="609">
        <f t="shared" si="15"/>
        <v>0.34431432473064061</v>
      </c>
      <c r="Q88" s="609">
        <f t="shared" si="15"/>
        <v>0.42805887153848493</v>
      </c>
      <c r="R88" s="603">
        <f t="shared" si="16"/>
        <v>1298.7324983440908</v>
      </c>
    </row>
    <row r="89" spans="2:18" s="57" customFormat="1" ht="12.5">
      <c r="B89" s="595" t="s">
        <v>1050</v>
      </c>
      <c r="C89" s="596">
        <f>HN!C20</f>
        <v>910.82951700982085</v>
      </c>
      <c r="D89" s="597">
        <f>HN!D20</f>
        <v>979.01480960401204</v>
      </c>
      <c r="E89" s="597">
        <f>HN!E20</f>
        <v>1048.4857020781706</v>
      </c>
      <c r="F89" s="597">
        <f>HN!F20</f>
        <v>1206.9361158887889</v>
      </c>
      <c r="G89" s="597">
        <f>HN!G20</f>
        <v>1227.8101658305663</v>
      </c>
      <c r="H89" s="597">
        <f>HN!H20</f>
        <v>1353.9665775947603</v>
      </c>
      <c r="I89" s="597">
        <f>HN!I20</f>
        <v>1716.4310207662008</v>
      </c>
      <c r="J89" s="597">
        <f>HN!J20</f>
        <v>2086.1816155746737</v>
      </c>
      <c r="K89" s="1844">
        <f t="shared" si="15"/>
        <v>0.10801865680874047</v>
      </c>
      <c r="L89" s="609">
        <f t="shared" si="15"/>
        <v>0.11414420072333124</v>
      </c>
      <c r="M89" s="609">
        <f t="shared" si="15"/>
        <v>0.12022539870177394</v>
      </c>
      <c r="N89" s="609">
        <f t="shared" si="15"/>
        <v>0.13612470855012057</v>
      </c>
      <c r="O89" s="609">
        <f t="shared" si="15"/>
        <v>0.13623867266933337</v>
      </c>
      <c r="P89" s="609">
        <f t="shared" si="15"/>
        <v>0.14784038277789113</v>
      </c>
      <c r="Q89" s="609">
        <f t="shared" si="15"/>
        <v>0.18447519676348834</v>
      </c>
      <c r="R89" s="603">
        <f t="shared" si="16"/>
        <v>0.12192943224140639</v>
      </c>
    </row>
    <row r="90" spans="2:18" s="57" customFormat="1" ht="12.5">
      <c r="B90" s="595" t="s">
        <v>1051</v>
      </c>
      <c r="C90" s="596">
        <f>JM!C20</f>
        <v>554.53606161483401</v>
      </c>
      <c r="D90" s="597">
        <f>JM!D20</f>
        <v>608.94905119794043</v>
      </c>
      <c r="E90" s="597">
        <f>JM!E20</f>
        <v>672.771962715781</v>
      </c>
      <c r="F90" s="597">
        <f>JM!F20</f>
        <v>754.69038499076805</v>
      </c>
      <c r="G90" s="597">
        <f>JM!G20</f>
        <v>841.28090250101388</v>
      </c>
      <c r="H90" s="597">
        <f>JM!H20</f>
        <v>910.19318241821247</v>
      </c>
      <c r="I90" s="597">
        <f>JM!I20</f>
        <v>1032.4406618886319</v>
      </c>
      <c r="J90" s="597">
        <f>JM!J20</f>
        <v>1170.8485660943675</v>
      </c>
      <c r="K90" s="1844">
        <f t="shared" si="15"/>
        <v>0.20419959575706137</v>
      </c>
      <c r="L90" s="609">
        <f t="shared" si="15"/>
        <v>0.22392195949870397</v>
      </c>
      <c r="M90" s="609">
        <f t="shared" si="15"/>
        <v>0.24719141037092784</v>
      </c>
      <c r="N90" s="609">
        <f t="shared" si="15"/>
        <v>0.27686098847667218</v>
      </c>
      <c r="O90" s="609">
        <f t="shared" si="15"/>
        <v>0.30805069476877323</v>
      </c>
      <c r="P90" s="609">
        <f t="shared" si="15"/>
        <v>0.33290510429722642</v>
      </c>
      <c r="Q90" s="609">
        <f t="shared" si="15"/>
        <v>0.37729888243262383</v>
      </c>
      <c r="R90" s="603">
        <f t="shared" si="16"/>
        <v>0.12389014211586098</v>
      </c>
    </row>
    <row r="91" spans="2:18" s="57" customFormat="1" ht="12.5">
      <c r="B91" s="595" t="s">
        <v>1052</v>
      </c>
      <c r="C91" s="596">
        <f>RD!C20</f>
        <v>1867.4057645578498</v>
      </c>
      <c r="D91" s="597">
        <f>RD!D20</f>
        <v>1965.5655881246823</v>
      </c>
      <c r="E91" s="597">
        <f>RD!E20</f>
        <v>2026.0659461386488</v>
      </c>
      <c r="F91" s="597">
        <f>RD!F20</f>
        <v>2125.1073542396198</v>
      </c>
      <c r="G91" s="597">
        <f>RD!G20</f>
        <v>2331.4694584485324</v>
      </c>
      <c r="H91" s="597">
        <f>RD!H20</f>
        <v>2530.3655979002765</v>
      </c>
      <c r="I91" s="597">
        <f>RD!I20</f>
        <v>3215.5742093459135</v>
      </c>
      <c r="J91" s="597">
        <f>RD!J20</f>
        <v>3665.0902695860664</v>
      </c>
      <c r="K91" s="1844">
        <f t="shared" si="15"/>
        <v>188.94201545465333</v>
      </c>
      <c r="L91" s="609">
        <f t="shared" si="15"/>
        <v>196.94566436154736</v>
      </c>
      <c r="M91" s="609">
        <f t="shared" si="15"/>
        <v>201.09745873478965</v>
      </c>
      <c r="N91" s="609">
        <f t="shared" si="15"/>
        <v>208.97545584238517</v>
      </c>
      <c r="O91" s="609">
        <f t="shared" si="15"/>
        <v>227.10263200432141</v>
      </c>
      <c r="P91" s="609">
        <f t="shared" si="15"/>
        <v>244.2833971049626</v>
      </c>
      <c r="Q91" s="609">
        <f t="shared" si="15"/>
        <v>307.75465541470726</v>
      </c>
      <c r="R91" s="603">
        <f t="shared" si="16"/>
        <v>1.3378683225355235</v>
      </c>
    </row>
    <row r="92" spans="2:18" s="57" customFormat="1" ht="12.5">
      <c r="B92" s="595" t="s">
        <v>1053</v>
      </c>
      <c r="C92" s="596">
        <f>PY!C20</f>
        <v>0</v>
      </c>
      <c r="D92" s="597">
        <f>PY!D20</f>
        <v>1493.3118362613741</v>
      </c>
      <c r="E92" s="597">
        <f>PY!E20</f>
        <v>1608.5175118629852</v>
      </c>
      <c r="F92" s="597">
        <f>PY!F20</f>
        <v>1893.5761531622929</v>
      </c>
      <c r="G92" s="597">
        <f>PY!G20</f>
        <v>1864.424120757566</v>
      </c>
      <c r="H92" s="597">
        <f>PY!H20</f>
        <v>1780.0460826859226</v>
      </c>
      <c r="I92" s="597">
        <f>PY!I20</f>
        <v>2031.4783130491764</v>
      </c>
      <c r="J92" s="597">
        <f>PY!J20</f>
        <v>2007.1071896379851</v>
      </c>
      <c r="K92" s="1844">
        <f t="shared" si="15"/>
        <v>0</v>
      </c>
      <c r="L92" s="609">
        <f t="shared" si="15"/>
        <v>0.22104289103563024</v>
      </c>
      <c r="M92" s="609">
        <f t="shared" si="15"/>
        <v>0.23466468217002365</v>
      </c>
      <c r="N92" s="609">
        <f t="shared" si="15"/>
        <v>0.27231414327998477</v>
      </c>
      <c r="O92" s="609">
        <f t="shared" si="15"/>
        <v>0.26434547208713899</v>
      </c>
      <c r="P92" s="609">
        <f t="shared" si="15"/>
        <v>0.24886342260830896</v>
      </c>
      <c r="Q92" s="609">
        <f t="shared" si="15"/>
        <v>0.28010067484762041</v>
      </c>
      <c r="R92" s="603">
        <f t="shared" si="16"/>
        <v>190.50833105656099</v>
      </c>
    </row>
    <row r="93" spans="2:18" s="57" customFormat="1" ht="12.5">
      <c r="B93" s="595" t="s">
        <v>1054</v>
      </c>
      <c r="C93" s="596">
        <f>PE!C20</f>
        <v>13443.440871035176</v>
      </c>
      <c r="D93" s="597">
        <f>PE!D20</f>
        <v>12233.82948421346</v>
      </c>
      <c r="E93" s="597">
        <f>PE!E20</f>
        <v>13165.456946558557</v>
      </c>
      <c r="F93" s="597">
        <f>PE!F20</f>
        <v>14611.457588795311</v>
      </c>
      <c r="G93" s="597">
        <f>PE!G20</f>
        <v>15191.864980545346</v>
      </c>
      <c r="H93" s="597">
        <f>PE!H20</f>
        <v>16252.49929495172</v>
      </c>
      <c r="I93" s="597">
        <f>PE!I20</f>
        <v>20210.04224515603</v>
      </c>
      <c r="J93" s="597">
        <f>PE!J20</f>
        <v>21295.290901873828</v>
      </c>
      <c r="K93" s="1844">
        <f t="shared" si="15"/>
        <v>0.43627456750132615</v>
      </c>
      <c r="L93" s="609">
        <f t="shared" si="15"/>
        <v>0.39271859542732496</v>
      </c>
      <c r="M93" s="609">
        <f t="shared" si="15"/>
        <v>0.4181019954525978</v>
      </c>
      <c r="N93" s="609">
        <f t="shared" si="15"/>
        <v>0.45910417032992662</v>
      </c>
      <c r="O93" s="609">
        <f t="shared" si="15"/>
        <v>0.47235178371423236</v>
      </c>
      <c r="P93" s="609">
        <f t="shared" si="15"/>
        <v>0.5001459984764578</v>
      </c>
      <c r="Q93" s="609">
        <f t="shared" si="15"/>
        <v>0.61570259028846896</v>
      </c>
      <c r="R93" s="603">
        <f t="shared" si="16"/>
        <v>2.8961213432982587</v>
      </c>
    </row>
    <row r="94" spans="2:18" s="57" customFormat="1" ht="12.5">
      <c r="B94" s="604" t="s">
        <v>1055</v>
      </c>
      <c r="C94" s="605">
        <f>TT!C20</f>
        <v>1084.3955117012895</v>
      </c>
      <c r="D94" s="606">
        <f>TT!D20</f>
        <v>1191.6326116281057</v>
      </c>
      <c r="E94" s="606">
        <f>TT!E20</f>
        <v>1163.1461522136001</v>
      </c>
      <c r="F94" s="606">
        <f>TT!F20</f>
        <v>1198.3374318268147</v>
      </c>
      <c r="G94" s="606">
        <f>TT!G20</f>
        <v>1171.1974010894123</v>
      </c>
      <c r="H94" s="606">
        <f>TT!H20</f>
        <v>707.19259967601022</v>
      </c>
      <c r="I94" s="606">
        <f>TT!I20</f>
        <v>1082.374298081485</v>
      </c>
      <c r="J94" s="606">
        <f>TT!J20</f>
        <v>1109.5938393668634</v>
      </c>
      <c r="K94" s="610">
        <f t="shared" si="15"/>
        <v>0.80603646185492428</v>
      </c>
      <c r="L94" s="617">
        <f t="shared" si="15"/>
        <v>0.88290860755142253</v>
      </c>
      <c r="M94" s="617">
        <f t="shared" si="15"/>
        <v>0.8591110479125782</v>
      </c>
      <c r="N94" s="617">
        <f t="shared" si="15"/>
        <v>0.88331732445459799</v>
      </c>
      <c r="O94" s="617">
        <f t="shared" si="15"/>
        <v>0.86168586881290021</v>
      </c>
      <c r="P94" s="617">
        <f t="shared" si="15"/>
        <v>0.5184753495647022</v>
      </c>
      <c r="Q94" s="617">
        <f t="shared" si="15"/>
        <v>0.79194739108561352</v>
      </c>
      <c r="R94" s="693">
        <f t="shared" si="16"/>
        <v>3.3472904274650668E-2</v>
      </c>
    </row>
    <row r="95" spans="2:18" s="57" customFormat="1" ht="12.5">
      <c r="C95" s="582"/>
      <c r="D95" s="582"/>
      <c r="E95" s="582"/>
      <c r="F95" s="582"/>
      <c r="G95" s="582"/>
      <c r="H95" s="582"/>
      <c r="I95" s="582"/>
      <c r="J95" s="582"/>
      <c r="K95" s="582"/>
      <c r="L95" s="582"/>
      <c r="M95" s="582"/>
      <c r="N95" s="582"/>
      <c r="O95" s="582"/>
      <c r="P95" s="582"/>
      <c r="Q95" s="582"/>
    </row>
    <row r="96" spans="2:18" s="57" customFormat="1" ht="13">
      <c r="B96" s="2157" t="s">
        <v>1066</v>
      </c>
      <c r="C96" s="2157"/>
      <c r="D96" s="2157"/>
      <c r="E96" s="2157"/>
      <c r="F96" s="2157"/>
      <c r="G96" s="2157"/>
      <c r="H96" s="2157"/>
      <c r="I96" s="2157"/>
      <c r="J96" s="2157"/>
      <c r="K96" s="2157"/>
      <c r="L96" s="2157"/>
      <c r="M96" s="2157"/>
      <c r="N96" s="2157"/>
      <c r="O96" s="2157"/>
      <c r="P96" s="2157"/>
      <c r="Q96" s="2157"/>
      <c r="R96" s="2157"/>
    </row>
    <row r="97" spans="2:18" s="57" customFormat="1" ht="12.5">
      <c r="B97" s="619"/>
      <c r="C97" s="620"/>
      <c r="D97" s="621"/>
      <c r="E97" s="621"/>
      <c r="F97" s="621"/>
      <c r="G97" s="621"/>
      <c r="H97" s="621"/>
      <c r="I97" s="621"/>
      <c r="J97" s="621"/>
      <c r="K97" s="622"/>
      <c r="L97" s="622"/>
      <c r="M97" s="622"/>
      <c r="N97" s="622"/>
      <c r="O97" s="622"/>
      <c r="P97" s="622"/>
      <c r="Q97" s="622"/>
    </row>
    <row r="98" spans="2:18" s="57" customFormat="1" ht="13">
      <c r="B98" s="583"/>
      <c r="C98" s="2183" t="s">
        <v>1067</v>
      </c>
      <c r="D98" s="2184"/>
      <c r="E98" s="2184"/>
      <c r="F98" s="2184"/>
      <c r="G98" s="2184"/>
      <c r="H98" s="2184"/>
      <c r="I98" s="2184"/>
      <c r="J98" s="840"/>
      <c r="K98" s="2177" t="s">
        <v>1068</v>
      </c>
      <c r="L98" s="2177"/>
      <c r="M98" s="2177"/>
      <c r="N98" s="2177"/>
      <c r="O98" s="2177"/>
      <c r="P98" s="2177"/>
      <c r="Q98" s="2177"/>
      <c r="R98" s="2177"/>
    </row>
    <row r="99" spans="2:18" s="57" customFormat="1" ht="12.5">
      <c r="C99" s="587">
        <v>2014</v>
      </c>
      <c r="D99" s="588">
        <v>2015</v>
      </c>
      <c r="E99" s="588">
        <v>2016</v>
      </c>
      <c r="F99" s="588">
        <v>2017</v>
      </c>
      <c r="G99" s="588">
        <v>2018</v>
      </c>
      <c r="H99" s="588">
        <v>2019</v>
      </c>
      <c r="I99" s="588">
        <v>2020</v>
      </c>
      <c r="J99" s="588">
        <v>2021</v>
      </c>
      <c r="K99" s="587">
        <v>2014</v>
      </c>
      <c r="L99" s="588">
        <v>2015</v>
      </c>
      <c r="M99" s="588">
        <v>2016</v>
      </c>
      <c r="N99" s="588">
        <v>2017</v>
      </c>
      <c r="O99" s="588">
        <v>2018</v>
      </c>
      <c r="P99" s="588">
        <v>2019</v>
      </c>
      <c r="Q99" s="588">
        <v>2020</v>
      </c>
      <c r="R99" s="848">
        <v>2021</v>
      </c>
    </row>
    <row r="100" spans="2:18" s="57" customFormat="1" ht="12.5">
      <c r="B100" s="589" t="s">
        <v>1038</v>
      </c>
      <c r="C100" s="614">
        <f t="shared" ref="C100:J100" si="17">IF(ISNUMBER(C78/C6*100),C78/C6*100,"0")</f>
        <v>6.3024181309728808</v>
      </c>
      <c r="D100" s="615">
        <f t="shared" si="17"/>
        <v>6.4946830348557878</v>
      </c>
      <c r="E100" s="615">
        <f t="shared" si="17"/>
        <v>5.8860178955194034</v>
      </c>
      <c r="F100" s="615">
        <f t="shared" si="17"/>
        <v>5.9873820573888867</v>
      </c>
      <c r="G100" s="615">
        <f t="shared" si="17"/>
        <v>4.4144144706283255</v>
      </c>
      <c r="H100" s="615">
        <f t="shared" si="17"/>
        <v>4.0115654815145358</v>
      </c>
      <c r="I100" s="615">
        <f t="shared" si="17"/>
        <v>5.0206836003467865</v>
      </c>
      <c r="J100" s="616">
        <f t="shared" si="17"/>
        <v>4.7532516374025624</v>
      </c>
      <c r="K100" s="1644">
        <f>(C78/ARG!C25)*100</f>
        <v>49.274694078598543</v>
      </c>
      <c r="L100" s="1644">
        <f>(D78/ARG!D25)*100</f>
        <v>52.884128674215489</v>
      </c>
      <c r="M100" s="1644">
        <f>(E78/ARG!E25)*100</f>
        <v>51.030799702408999</v>
      </c>
      <c r="N100" s="1644">
        <f>(F78/ARG!F25)*100</f>
        <v>56.464718175082574</v>
      </c>
      <c r="O100" s="1644">
        <f>(G78/ARG!G25)*100</f>
        <v>48.900283639243582</v>
      </c>
      <c r="P100" s="1644">
        <f>(H78/ARG!H25)*100</f>
        <v>51.739967970865031</v>
      </c>
      <c r="Q100" s="1644">
        <f>(I78/ARG!I25)*100</f>
        <v>48.220747408865556</v>
      </c>
      <c r="R100" s="1631">
        <f>(J78/ARG!J25)*100</f>
        <v>44.788033931250176</v>
      </c>
    </row>
    <row r="101" spans="2:18" s="57" customFormat="1" ht="12.5">
      <c r="B101" s="595" t="s">
        <v>1039</v>
      </c>
      <c r="C101" s="1844">
        <f t="shared" ref="C101:I106" si="18">IF(ISNUMBER(C79/C7*100),C79/C7*100,"0")</f>
        <v>0</v>
      </c>
      <c r="D101" s="609">
        <f t="shared" si="18"/>
        <v>0</v>
      </c>
      <c r="E101" s="609">
        <f t="shared" si="18"/>
        <v>0</v>
      </c>
      <c r="F101" s="609">
        <f t="shared" si="18"/>
        <v>0</v>
      </c>
      <c r="G101" s="609">
        <f t="shared" si="18"/>
        <v>0</v>
      </c>
      <c r="H101" s="609">
        <f t="shared" si="18"/>
        <v>0</v>
      </c>
      <c r="I101" s="609">
        <f t="shared" si="18"/>
        <v>0</v>
      </c>
      <c r="J101" s="603"/>
      <c r="K101" s="1843" t="str">
        <f>IF(ISNUMBER((C78/BA!C25)*100),(C78/BA!C25)*100,"0")</f>
        <v>0</v>
      </c>
      <c r="L101" s="1843" t="str">
        <f>IF(ISNUMBER((D78/BA!D25)*100),(D78/BA!D25)*100,"0")</f>
        <v>0</v>
      </c>
      <c r="M101" s="1843" t="str">
        <f>IF(ISNUMBER((E78/BA!E25)*100),(E78/BA!E25)*100,"0")</f>
        <v>0</v>
      </c>
      <c r="N101" s="1843" t="str">
        <f>IF(ISNUMBER((F78/BA!F25)*100),(F78/BA!F25)*100,"0")</f>
        <v>0</v>
      </c>
      <c r="O101" s="1843" t="str">
        <f>IF(ISNUMBER((G78/BA!G25)*100),(G78/BA!G25)*100,"0")</f>
        <v>0</v>
      </c>
      <c r="P101" s="1843" t="str">
        <f>IF(ISNUMBER((H78/BA!H25)*100),(H78/BA!H25)*100,"0")</f>
        <v>0</v>
      </c>
      <c r="Q101" s="1843" t="str">
        <f>IF(ISNUMBER((I78/BA!I25)*100),(I78/BA!I25)*100,"0")</f>
        <v>0</v>
      </c>
      <c r="R101" s="1632" t="str">
        <f>IF(ISNUMBER((J78/BA!J25)*100),(J78/BA!J25)*100,"0")</f>
        <v>0</v>
      </c>
    </row>
    <row r="102" spans="2:18" s="57" customFormat="1" ht="12.5">
      <c r="B102" s="595" t="s">
        <v>1040</v>
      </c>
      <c r="C102" s="1844">
        <f t="shared" si="18"/>
        <v>16.083336672928031</v>
      </c>
      <c r="D102" s="609">
        <f t="shared" si="18"/>
        <v>16.305025111242326</v>
      </c>
      <c r="E102" s="609">
        <f t="shared" si="18"/>
        <v>15.784585867877018</v>
      </c>
      <c r="F102" s="609">
        <f t="shared" si="18"/>
        <v>15.576081857812815</v>
      </c>
      <c r="G102" s="609">
        <f t="shared" si="18"/>
        <v>15.100685882409337</v>
      </c>
      <c r="H102" s="609">
        <f t="shared" si="18"/>
        <v>14.738728307728236</v>
      </c>
      <c r="I102" s="609">
        <f t="shared" si="18"/>
        <v>17.785011005226529</v>
      </c>
      <c r="J102" s="603">
        <f>IF(ISNUMBER(J80/J8*100),J80/J8*100,"0")</f>
        <v>17.61737408158378</v>
      </c>
      <c r="K102" s="1842">
        <f>( C80/BO!C25)*100</f>
        <v>63.283618775846683</v>
      </c>
      <c r="L102" s="1842">
        <f>( D80/BO!D25)*100</f>
        <v>60.1481092672567</v>
      </c>
      <c r="M102" s="1842">
        <f>( E80/BO!E25)*100</f>
        <v>58.937786661510316</v>
      </c>
      <c r="N102" s="1842">
        <f>( F80/BO!F25)*100</f>
        <v>60.758638510034501</v>
      </c>
      <c r="O102" s="1842">
        <f>( G80/BO!G25)*100</f>
        <v>61.436637867005658</v>
      </c>
      <c r="P102" s="1842">
        <f>( H80/BO!H25)*100</f>
        <v>63.32599154631491</v>
      </c>
      <c r="Q102" s="1842">
        <f>( I80/BO!I25)*100</f>
        <v>63.134646848087883</v>
      </c>
      <c r="R102" s="1633">
        <f>( J80/BO!J25)*100</f>
        <v>63.188783144799487</v>
      </c>
    </row>
    <row r="103" spans="2:18" s="57" customFormat="1" ht="12.5">
      <c r="B103" s="595" t="s">
        <v>1041</v>
      </c>
      <c r="C103" s="1844">
        <f t="shared" si="18"/>
        <v>3.0844965515379665</v>
      </c>
      <c r="D103" s="609">
        <f t="shared" si="18"/>
        <v>3.0901767691213848</v>
      </c>
      <c r="E103" s="609">
        <f t="shared" si="18"/>
        <v>3.0621059864789331</v>
      </c>
      <c r="F103" s="609">
        <f t="shared" si="18"/>
        <v>3.0963523837825653</v>
      </c>
      <c r="G103" s="609">
        <f t="shared" si="18"/>
        <v>3.114681272121735</v>
      </c>
      <c r="H103" s="609">
        <f t="shared" si="18"/>
        <v>3.0897969461300976</v>
      </c>
      <c r="I103" s="609">
        <f t="shared" si="18"/>
        <v>4.1363857206102397</v>
      </c>
      <c r="J103" s="603">
        <f>IF(ISNUMBER(J81/J9*100),J81/J9*100,"0")</f>
        <v>3.2944904385416995</v>
      </c>
      <c r="K103" s="1842">
        <f>(C81/BR!C25)*100</f>
        <v>49.056267334405625</v>
      </c>
      <c r="L103" s="1842">
        <f>(D81/BR!D25)*100</f>
        <v>53.361011089120638</v>
      </c>
      <c r="M103" s="1842">
        <f>(E81/BR!E25)*100</f>
        <v>52.881094369917669</v>
      </c>
      <c r="N103" s="1842">
        <f>(F81/BR!F25)*100</f>
        <v>53.123663162162515</v>
      </c>
      <c r="O103" s="1842">
        <f>(G81/BR!G25)*100</f>
        <v>53.179598782319729</v>
      </c>
      <c r="P103" s="1842">
        <f>(H81/BR!H25)*100</f>
        <v>50.993530506868382</v>
      </c>
      <c r="Q103" s="1842">
        <f>(I81/BR!I25)*100</f>
        <v>48.180593013671071</v>
      </c>
      <c r="R103" s="1633">
        <f>(J81/BR!J25)*100</f>
        <v>43.761265702293166</v>
      </c>
    </row>
    <row r="104" spans="2:18" s="57" customFormat="1" ht="12.5">
      <c r="B104" s="595" t="s">
        <v>1042</v>
      </c>
      <c r="C104" s="1844">
        <f t="shared" si="18"/>
        <v>3.6143312589277174</v>
      </c>
      <c r="D104" s="609">
        <f t="shared" si="18"/>
        <v>3.6712001340261939</v>
      </c>
      <c r="E104" s="609">
        <f t="shared" si="18"/>
        <v>3.7011789820008771</v>
      </c>
      <c r="F104" s="609">
        <f t="shared" si="18"/>
        <v>3.6318327601100062</v>
      </c>
      <c r="G104" s="609">
        <f t="shared" si="18"/>
        <v>3.5238067136292304</v>
      </c>
      <c r="H104" s="609">
        <f t="shared" si="18"/>
        <v>3.8175116796768398</v>
      </c>
      <c r="I104" s="609">
        <f t="shared" si="18"/>
        <v>6.074045701584315</v>
      </c>
      <c r="J104" s="603">
        <f>IF(ISNUMBER(J82/J10*100),J82/J10*100,"0")</f>
        <v>4.7404662104849287</v>
      </c>
      <c r="K104" s="1842">
        <f>( C82/CL!C25)*100</f>
        <v>20.798335852864593</v>
      </c>
      <c r="L104" s="1842">
        <f>( D82/CL!D25)*100</f>
        <v>19.910405120966747</v>
      </c>
      <c r="M104" s="1842">
        <f>( E82/CL!E25)*100</f>
        <v>20.696510791099136</v>
      </c>
      <c r="N104" s="1842">
        <f>( F82/CL!F25)*100</f>
        <v>19.449500105344402</v>
      </c>
      <c r="O104" s="1842">
        <f>( G82/CL!G25)*100</f>
        <v>18.287168092410376</v>
      </c>
      <c r="P104" s="1842">
        <f>( H82/CL!H25)*100</f>
        <v>17.361701435588508</v>
      </c>
      <c r="Q104" s="1842">
        <f>( I82/CL!I25)*100</f>
        <v>17.760895157666223</v>
      </c>
      <c r="R104" s="1633">
        <f>( J82/CL!J25)*100</f>
        <v>19.179499232247174</v>
      </c>
    </row>
    <row r="105" spans="2:18" s="57" customFormat="1" ht="12.5">
      <c r="B105" s="595" t="s">
        <v>1043</v>
      </c>
      <c r="C105" s="1844">
        <f t="shared" si="18"/>
        <v>5.9650512721679769</v>
      </c>
      <c r="D105" s="609">
        <f t="shared" si="18"/>
        <v>6.6938389269290397</v>
      </c>
      <c r="E105" s="609">
        <f t="shared" si="18"/>
        <v>6.4199649070826981</v>
      </c>
      <c r="F105" s="609">
        <f t="shared" si="18"/>
        <v>6.4937392161301011</v>
      </c>
      <c r="G105" s="609">
        <f t="shared" si="18"/>
        <v>6.6188245651955331</v>
      </c>
      <c r="H105" s="609">
        <f t="shared" si="18"/>
        <v>7.0783609270483394</v>
      </c>
      <c r="I105" s="609">
        <f t="shared" si="18"/>
        <v>9.4080763515279671</v>
      </c>
      <c r="J105" s="603">
        <f>IF(ISNUMBER(J83/J11*100),J83/J11*100,"0")</f>
        <v>9.1995184159593233</v>
      </c>
      <c r="K105" s="1842">
        <f>( C83/CO!C25)*100</f>
        <v>48.439134941702669</v>
      </c>
      <c r="L105" s="1842">
        <f>( D83/CO!D25)*100</f>
        <v>52.187305920592273</v>
      </c>
      <c r="M105" s="1842">
        <f>( E83/CO!E25)*100</f>
        <v>54.450942023865309</v>
      </c>
      <c r="N105" s="1842">
        <f>( F83/CO!F25)*100</f>
        <v>55.158367313101486</v>
      </c>
      <c r="O105" s="1842">
        <f>( G83/CO!G25)*100</f>
        <v>55.800074301507983</v>
      </c>
      <c r="P105" s="1842">
        <f>( H83/CO!H25)*100</f>
        <v>58.217057595963148</v>
      </c>
      <c r="Q105" s="1842">
        <f>( I83/CO!I25)*100</f>
        <v>58.700292330095138</v>
      </c>
      <c r="R105" s="1633">
        <f>( J83/CO!J25)*100</f>
        <v>57.541361939059023</v>
      </c>
    </row>
    <row r="106" spans="2:18" s="57" customFormat="1" ht="12.5">
      <c r="B106" s="595" t="s">
        <v>1044</v>
      </c>
      <c r="C106" s="1844">
        <f t="shared" si="18"/>
        <v>2.4567704173386109</v>
      </c>
      <c r="D106" s="609">
        <f t="shared" si="18"/>
        <v>2.4094057839523284</v>
      </c>
      <c r="E106" s="609">
        <f t="shared" si="18"/>
        <v>2.3984235080037948</v>
      </c>
      <c r="F106" s="609">
        <f t="shared" si="18"/>
        <v>2.4206548178105773</v>
      </c>
      <c r="G106" s="609">
        <f t="shared" si="18"/>
        <v>2.2838725262790791</v>
      </c>
      <c r="H106" s="609">
        <f t="shared" si="18"/>
        <v>2.4265309022734947</v>
      </c>
      <c r="I106" s="609">
        <f t="shared" si="18"/>
        <v>2.7047357720480982</v>
      </c>
      <c r="J106" s="603">
        <f>IF(ISNUMBER(J84/J12*100),J84/J12*100,"0")</f>
        <v>2.3348849497462325</v>
      </c>
      <c r="K106" s="1842">
        <f>( C84/CR!C25)*100</f>
        <v>14.565354882346234</v>
      </c>
      <c r="L106" s="1842">
        <f>( D84/CR!D25)*100</f>
        <v>13.327541240138107</v>
      </c>
      <c r="M106" s="1842">
        <f>( E84/CR!E25)*100</f>
        <v>13.008452505127035</v>
      </c>
      <c r="N106" s="1842">
        <f>( F84/CR!F25)*100</f>
        <v>13.84716363711922</v>
      </c>
      <c r="O106" s="1842">
        <f>( G84/CR!G25)*100</f>
        <v>13.604717523694582</v>
      </c>
      <c r="P106" s="1842">
        <f>( H84/CR!H25)*100</f>
        <v>12.594486986360204</v>
      </c>
      <c r="Q106" s="1842">
        <f>( I84/CR!I25)*100</f>
        <v>11.325836883627028</v>
      </c>
      <c r="R106" s="1633">
        <f>( J84/CR!J25)*100</f>
        <v>9.230535796305368</v>
      </c>
    </row>
    <row r="107" spans="2:18" s="57" customFormat="1" ht="12.5">
      <c r="B107" s="595" t="s">
        <v>1061</v>
      </c>
      <c r="C107" s="1844">
        <f t="shared" ref="C107:C116" si="19">IF(ISNUMBER(C85/C15*100),C85/C15*100,"0")</f>
        <v>5.5272958488509394</v>
      </c>
      <c r="D107" s="609">
        <f t="shared" ref="D107:J107" si="20">IF(ISNUMBER(D85/D15*100),D85/D15*100,"0")</f>
        <v>1.9700624729387026</v>
      </c>
      <c r="E107" s="609">
        <f t="shared" si="20"/>
        <v>4.7293793243021023</v>
      </c>
      <c r="F107" s="609">
        <f t="shared" si="20"/>
        <v>5.0473022143673978</v>
      </c>
      <c r="G107" s="609">
        <f t="shared" si="20"/>
        <v>5.0244252318543854</v>
      </c>
      <c r="H107" s="609">
        <f t="shared" si="20"/>
        <v>4.9082704909263173</v>
      </c>
      <c r="I107" s="609">
        <f t="shared" si="20"/>
        <v>6.3159595856605435</v>
      </c>
      <c r="J107" s="603">
        <f t="shared" si="20"/>
        <v>6.1218470902485826</v>
      </c>
      <c r="K107" s="1843">
        <v>311.7</v>
      </c>
      <c r="L107" s="1843">
        <v>302.5</v>
      </c>
      <c r="M107" s="1843">
        <f>(E40/CW!E38)*100</f>
        <v>242.82883801436631</v>
      </c>
      <c r="N107" s="1843">
        <f>(F40/CW!F38)*100</f>
        <v>254.34800410450245</v>
      </c>
      <c r="O107" s="1843">
        <f>(G40/CW!G38)*100</f>
        <v>258.39784393888851</v>
      </c>
      <c r="P107" s="1843">
        <f>(H40/CW!H38)*100</f>
        <v>256.32387678195386</v>
      </c>
      <c r="Q107" s="1843">
        <f>(I40/CW!I38)*100</f>
        <v>232.6769187150349</v>
      </c>
      <c r="R107" s="1632">
        <f>(J40/CW!J38)*100</f>
        <v>241.33213416925102</v>
      </c>
    </row>
    <row r="108" spans="2:18" s="57" customFormat="1" ht="12.5">
      <c r="B108" s="595" t="s">
        <v>1047</v>
      </c>
      <c r="C108" s="1844">
        <f t="shared" si="19"/>
        <v>9.3780014800494609</v>
      </c>
      <c r="D108" s="609">
        <f t="shared" ref="D108:J116" si="21">IF(ISNUMBER(D86/D16*100),D86/D16*100,"0")</f>
        <v>11.837671937603622</v>
      </c>
      <c r="E108" s="609">
        <f t="shared" si="21"/>
        <v>13.269386297663443</v>
      </c>
      <c r="F108" s="609">
        <f t="shared" si="21"/>
        <v>14.246664182068205</v>
      </c>
      <c r="G108" s="609">
        <f t="shared" si="21"/>
        <v>14.796921208519626</v>
      </c>
      <c r="H108" s="609">
        <f t="shared" si="21"/>
        <v>15.693750231828336</v>
      </c>
      <c r="I108" s="609">
        <f t="shared" si="21"/>
        <v>18.1765780122482</v>
      </c>
      <c r="J108" s="603">
        <f t="shared" si="21"/>
        <v>17.598822295273436</v>
      </c>
      <c r="K108" s="1842">
        <f>( C86/EC!C26)*100</f>
        <v>51.028261260037269</v>
      </c>
      <c r="L108" s="1842">
        <f>( D86/EC!D26)*100</f>
        <v>61.726108031604397</v>
      </c>
      <c r="M108" s="1842">
        <f>( E86/EC!E26)*100</f>
        <v>58.587305697421662</v>
      </c>
      <c r="N108" s="1842">
        <f>( F86/EC!F26)*100</f>
        <v>60.572246276167931</v>
      </c>
      <c r="O108" s="1842">
        <f>( G86/EC!G26)*100</f>
        <v>63.008328087873537</v>
      </c>
      <c r="P108" s="1842">
        <f>( H86/EC!H26)*100</f>
        <v>64.764625290733065</v>
      </c>
      <c r="Q108" s="1842">
        <f>( I86/EC!I26)*100</f>
        <v>63.217990531336355</v>
      </c>
      <c r="R108" s="1633">
        <f>( J86/EC!J26)*100</f>
        <v>61.755050008329206</v>
      </c>
    </row>
    <row r="109" spans="2:18" s="57" customFormat="1" ht="12.5">
      <c r="B109" s="595" t="s">
        <v>1048</v>
      </c>
      <c r="C109" s="1844">
        <f t="shared" si="19"/>
        <v>2.8632166727820025</v>
      </c>
      <c r="D109" s="609">
        <f t="shared" si="21"/>
        <v>2.7286178484391317</v>
      </c>
      <c r="E109" s="609">
        <f t="shared" si="21"/>
        <v>2.7974369435787798</v>
      </c>
      <c r="F109" s="609">
        <f t="shared" si="21"/>
        <v>2.7103761170798575</v>
      </c>
      <c r="G109" s="609">
        <f t="shared" si="21"/>
        <v>2.5421536959784174</v>
      </c>
      <c r="H109" s="609">
        <f t="shared" si="21"/>
        <v>2.4743964492245505</v>
      </c>
      <c r="I109" s="609">
        <f t="shared" si="21"/>
        <v>2.5808970595875107</v>
      </c>
      <c r="J109" s="603">
        <f t="shared" si="21"/>
        <v>2.2150970923487328</v>
      </c>
      <c r="K109" s="1842">
        <f>( C87/SV!C25)*100</f>
        <v>22.15259228819944</v>
      </c>
      <c r="L109" s="1842">
        <f>( D87/SV!D25)*100</f>
        <v>19.657588983832298</v>
      </c>
      <c r="M109" s="1842">
        <f>( E87/SV!E25)*100</f>
        <v>21.62730497587166</v>
      </c>
      <c r="N109" s="1842">
        <f>( F87/SV!F25)*100</f>
        <v>18.533534081576786</v>
      </c>
      <c r="O109" s="1842">
        <f>( G87/SV!G25)*100</f>
        <v>17.399389762743965</v>
      </c>
      <c r="P109" s="1842">
        <f>( H87/SV!H25)*100</f>
        <v>15.700419174476027</v>
      </c>
      <c r="Q109" s="1842">
        <f>( I87/SV!I25)*100</f>
        <v>12.725659522749661</v>
      </c>
      <c r="R109" s="1633">
        <f>( J87/SV!J25)*100</f>
        <v>12.387669357035943</v>
      </c>
    </row>
    <row r="110" spans="2:18" s="57" customFormat="1" ht="12.5">
      <c r="B110" s="595" t="s">
        <v>1049</v>
      </c>
      <c r="C110" s="1844">
        <f t="shared" si="19"/>
        <v>5.4931097796879724</v>
      </c>
      <c r="D110" s="609">
        <f t="shared" si="21"/>
        <v>5.7202435476863922</v>
      </c>
      <c r="E110" s="609">
        <f t="shared" si="21"/>
        <v>5.9182017790970924</v>
      </c>
      <c r="F110" s="609">
        <f t="shared" si="21"/>
        <v>6.3858848944690347</v>
      </c>
      <c r="G110" s="609">
        <f t="shared" si="21"/>
        <v>6.7018913817341099</v>
      </c>
      <c r="H110" s="609">
        <f t="shared" si="21"/>
        <v>7.4098722266479387</v>
      </c>
      <c r="I110" s="609">
        <f t="shared" si="21"/>
        <v>9.2970044161150724</v>
      </c>
      <c r="J110" s="603">
        <f t="shared" si="21"/>
        <v>9.5562532572210444</v>
      </c>
      <c r="K110" s="1842">
        <f>( C88/GT!C25)*100</f>
        <v>35.736590788594903</v>
      </c>
      <c r="L110" s="1842">
        <f>( D88/GT!D25)*100</f>
        <v>36.17086123156276</v>
      </c>
      <c r="M110" s="1842">
        <f>( E88/GT!E25)*100</f>
        <v>36.968663471801158</v>
      </c>
      <c r="N110" s="1842">
        <f>( F88/GT!F25)*100</f>
        <v>38.86983222239634</v>
      </c>
      <c r="O110" s="1842">
        <f>( G88/GT!G25)*100</f>
        <v>40.642189604443416</v>
      </c>
      <c r="P110" s="1842">
        <f>( H88/GT!H25)*100</f>
        <v>41.458740387608856</v>
      </c>
      <c r="Q110" s="1842">
        <f>( I88/GT!I25)*100</f>
        <v>42.297799205408317</v>
      </c>
      <c r="R110" s="1633">
        <f>( J88/GT!J25)*100</f>
        <v>42.750411700999443</v>
      </c>
    </row>
    <row r="111" spans="2:18" s="57" customFormat="1" ht="12.5">
      <c r="B111" s="595" t="s">
        <v>1050</v>
      </c>
      <c r="C111" s="1844">
        <f t="shared" si="19"/>
        <v>4.6184269780959815</v>
      </c>
      <c r="D111" s="609">
        <f t="shared" si="21"/>
        <v>4.7562911225369948</v>
      </c>
      <c r="E111" s="609">
        <f t="shared" si="21"/>
        <v>4.8616128236122469</v>
      </c>
      <c r="F111" s="609">
        <f t="shared" si="21"/>
        <v>5.2531633123269108</v>
      </c>
      <c r="G111" s="609">
        <f t="shared" si="21"/>
        <v>5.1371867614846138</v>
      </c>
      <c r="H111" s="609">
        <f t="shared" si="21"/>
        <v>5.4342291668023215</v>
      </c>
      <c r="I111" s="609">
        <f t="shared" si="21"/>
        <v>7.2538847870436491</v>
      </c>
      <c r="J111" s="603">
        <f t="shared" si="21"/>
        <v>7.3740894702279736</v>
      </c>
      <c r="K111" s="1842">
        <f>( C89/HN!C25)*100</f>
        <v>42.066816839973406</v>
      </c>
      <c r="L111" s="1842">
        <f>( D89/HN!D25)*100</f>
        <v>41.383429382667181</v>
      </c>
      <c r="M111" s="1842">
        <f>( E89/HN!E25)*100</f>
        <v>41.226911008014611</v>
      </c>
      <c r="N111" s="1842">
        <f>( F89/HN!F25)*100</f>
        <v>42.770545455735302</v>
      </c>
      <c r="O111" s="1842">
        <f>( G89/HN!G25)*100</f>
        <v>41.704157824486558</v>
      </c>
      <c r="P111" s="1842">
        <f>( H89/HN!H25)*100</f>
        <v>40.774429653500825</v>
      </c>
      <c r="Q111" s="1842">
        <f>( I89/HN!I25)*100</f>
        <v>40.076335433228849</v>
      </c>
      <c r="R111" s="1633">
        <f>( J89/HN!J25)*100</f>
        <v>43.77152790960811</v>
      </c>
    </row>
    <row r="112" spans="2:18" s="57" customFormat="1" ht="12.5">
      <c r="B112" s="595" t="s">
        <v>1051</v>
      </c>
      <c r="C112" s="1844">
        <f t="shared" si="19"/>
        <v>4.1237005498421571</v>
      </c>
      <c r="D112" s="609">
        <f t="shared" si="21"/>
        <v>4.4181239877979523</v>
      </c>
      <c r="E112" s="609">
        <f t="shared" si="21"/>
        <v>4.9070014558002022</v>
      </c>
      <c r="F112" s="609">
        <f t="shared" si="21"/>
        <v>4.9781188920656376</v>
      </c>
      <c r="G112" s="609">
        <f t="shared" si="21"/>
        <v>5.3000442686036413</v>
      </c>
      <c r="H112" s="609">
        <f t="shared" si="21"/>
        <v>5.7174724841532303</v>
      </c>
      <c r="I112" s="609">
        <f t="shared" si="21"/>
        <v>7.4876611968843916</v>
      </c>
      <c r="J112" s="603">
        <f t="shared" si="21"/>
        <v>8.2156728284880511</v>
      </c>
      <c r="K112" s="1842">
        <f>( C90/JM!C25)*100</f>
        <v>38.533019453336429</v>
      </c>
      <c r="L112" s="1842">
        <f>( D90/JM!D25)*100</f>
        <v>37.398301533289015</v>
      </c>
      <c r="M112" s="1842">
        <f>( E90/JM!E25)*100</f>
        <v>41.400712406616833</v>
      </c>
      <c r="N112" s="1842">
        <f>( F90/JM!F25)*100</f>
        <v>40.403325841418869</v>
      </c>
      <c r="O112" s="1842">
        <f>( G90/JM!G25)*100</f>
        <v>37.893838831796437</v>
      </c>
      <c r="P112" s="1842">
        <f>( H90/JM!H25)*100</f>
        <v>37.139019906351066</v>
      </c>
      <c r="Q112" s="1842">
        <f>( I90/JM!I25)*100</f>
        <v>38.548712617083893</v>
      </c>
      <c r="R112" s="1633">
        <f>( J90/JM!J25)*100</f>
        <v>39.591989255867801</v>
      </c>
    </row>
    <row r="113" spans="2:18" s="57" customFormat="1" ht="12.5">
      <c r="B113" s="595" t="s">
        <v>1052</v>
      </c>
      <c r="C113" s="1844">
        <f t="shared" si="19"/>
        <v>2.8214267306163845</v>
      </c>
      <c r="D113" s="609">
        <f t="shared" si="21"/>
        <v>2.7879635983054922</v>
      </c>
      <c r="E113" s="609">
        <f t="shared" si="21"/>
        <v>2.7083853296992038</v>
      </c>
      <c r="F113" s="609">
        <f t="shared" si="21"/>
        <v>2.6932571563553882</v>
      </c>
      <c r="G113" s="609">
        <f t="shared" si="21"/>
        <v>2.7632325097755901</v>
      </c>
      <c r="H113" s="609">
        <f t="shared" si="21"/>
        <v>2.9341299760104778</v>
      </c>
      <c r="I113" s="609">
        <f t="shared" si="21"/>
        <v>4.1929852305881523</v>
      </c>
      <c r="J113" s="603">
        <f t="shared" si="21"/>
        <v>3.8835365394314589</v>
      </c>
      <c r="K113" s="1842">
        <f>( C91/RD!C25)*100</f>
        <v>33.884272576675741</v>
      </c>
      <c r="L113" s="1842">
        <f>( D91/RD!D25)*100</f>
        <v>32.699072156222464</v>
      </c>
      <c r="M113" s="1842">
        <f>( E91/RD!E25)*100</f>
        <v>31.139599216861175</v>
      </c>
      <c r="N113" s="1842">
        <f>( F91/RD!F25)*100</f>
        <v>30.099970731673757</v>
      </c>
      <c r="O113" s="1842">
        <f>( G91/RD!G25)*100</f>
        <v>32.26931930746391</v>
      </c>
      <c r="P113" s="1842">
        <f>( H91/RD!H25)*100</f>
        <v>30.566602874178351</v>
      </c>
      <c r="Q113" s="1842">
        <f>( I91/RD!I25)*100</f>
        <v>33.115007513055048</v>
      </c>
      <c r="R113" s="1633">
        <f>( J91/RD!J25)*100</f>
        <v>30.729934854783554</v>
      </c>
    </row>
    <row r="114" spans="2:18" s="57" customFormat="1" ht="12.5">
      <c r="B114" s="595" t="s">
        <v>1053</v>
      </c>
      <c r="C114" s="1844">
        <f t="shared" si="19"/>
        <v>0</v>
      </c>
      <c r="D114" s="609">
        <f t="shared" si="21"/>
        <v>4.5952712323064624</v>
      </c>
      <c r="E114" s="609">
        <f t="shared" si="21"/>
        <v>4.5267264843785275</v>
      </c>
      <c r="F114" s="609">
        <f t="shared" si="21"/>
        <v>4.8220100038393046</v>
      </c>
      <c r="G114" s="609">
        <f t="shared" si="21"/>
        <v>4.8193245473263744</v>
      </c>
      <c r="H114" s="609">
        <f t="shared" si="21"/>
        <v>4.8475309939698201</v>
      </c>
      <c r="I114" s="609">
        <f t="shared" si="21"/>
        <v>5.7968104209971543</v>
      </c>
      <c r="J114" s="603">
        <f t="shared" si="21"/>
        <v>5.4308959245550605</v>
      </c>
      <c r="K114" s="1842">
        <f>IFERROR((C92/PY!C25)*100,0)</f>
        <v>0</v>
      </c>
      <c r="L114" s="1842">
        <f>( D92/PY!D25)*100</f>
        <v>37.555953707659846</v>
      </c>
      <c r="M114" s="1842">
        <f>( E92/PY!E25)*100</f>
        <v>37.298195000681787</v>
      </c>
      <c r="N114" s="1842">
        <f>( F92/PY!F25)*100</f>
        <v>36.412740381208195</v>
      </c>
      <c r="O114" s="1842">
        <f>( G92/PY!G25)*100</f>
        <v>36.849394997427886</v>
      </c>
      <c r="P114" s="1842">
        <f>( H92/PY!H25)*100</f>
        <v>35.285919252524479</v>
      </c>
      <c r="Q114" s="1842">
        <f>( I92/PY!I25)*100</f>
        <v>35.27349433865588</v>
      </c>
      <c r="R114" s="1633">
        <f>( J92/PY!J25)*100</f>
        <v>34.458715690767939</v>
      </c>
    </row>
    <row r="115" spans="2:18" s="57" customFormat="1" ht="12.5">
      <c r="B115" s="595" t="s">
        <v>1054</v>
      </c>
      <c r="C115" s="1844">
        <f t="shared" si="19"/>
        <v>6.6250966457508973</v>
      </c>
      <c r="D115" s="609">
        <f t="shared" si="21"/>
        <v>6.3705919660842474</v>
      </c>
      <c r="E115" s="609">
        <f t="shared" si="21"/>
        <v>6.7259798936010364</v>
      </c>
      <c r="F115" s="609">
        <f t="shared" si="21"/>
        <v>6.7681622293494685</v>
      </c>
      <c r="G115" s="609">
        <f t="shared" si="21"/>
        <v>6.6966853798421049</v>
      </c>
      <c r="H115" s="609">
        <f t="shared" si="21"/>
        <v>6.9919244187756746</v>
      </c>
      <c r="I115" s="609">
        <f t="shared" si="21"/>
        <v>9.832053882503244</v>
      </c>
      <c r="J115" s="603">
        <f t="shared" si="21"/>
        <v>9.4285055844975041</v>
      </c>
      <c r="K115" s="1842">
        <f>( C93/PE!C25)*100</f>
        <v>58.683040188859103</v>
      </c>
      <c r="L115" s="1842">
        <f>( D93/PE!D25)*100</f>
        <v>58.498352987482271</v>
      </c>
      <c r="M115" s="1842">
        <f>( E93/PE!E25)*100</f>
        <v>59.865132120864473</v>
      </c>
      <c r="N115" s="1842">
        <f>( F93/PE!F25)*100</f>
        <v>57.962630011863091</v>
      </c>
      <c r="O115" s="1842">
        <f>( G93/PE!G25)*100</f>
        <v>55.594956765328185</v>
      </c>
      <c r="P115" s="1842">
        <f>( H93/PE!H25)*100</f>
        <v>54.171262993500171</v>
      </c>
      <c r="Q115" s="1842">
        <f>( I93/PE!I25)*100</f>
        <v>51.13938853300678</v>
      </c>
      <c r="R115" s="1633">
        <f>( J93/PE!J25)*100</f>
        <v>58.700747537354367</v>
      </c>
    </row>
    <row r="116" spans="2:18" s="57" customFormat="1" ht="12.5">
      <c r="B116" s="604" t="s">
        <v>1055</v>
      </c>
      <c r="C116" s="610">
        <f t="shared" si="19"/>
        <v>3.6634196035927031</v>
      </c>
      <c r="D116" s="617">
        <f t="shared" si="21"/>
        <v>4.4212401869031313</v>
      </c>
      <c r="E116" s="617">
        <f t="shared" si="21"/>
        <v>4.9313608358115335</v>
      </c>
      <c r="F116" s="617">
        <f t="shared" si="21"/>
        <v>5.0165038742732886</v>
      </c>
      <c r="G116" s="617">
        <f t="shared" si="21"/>
        <v>4.8053145333850011</v>
      </c>
      <c r="H116" s="617">
        <f t="shared" si="21"/>
        <v>2.9656389917247465</v>
      </c>
      <c r="I116" s="617">
        <f t="shared" si="21"/>
        <v>5.1390667761704618</v>
      </c>
      <c r="J116" s="618">
        <f t="shared" si="21"/>
        <v>4.5354228950968007</v>
      </c>
      <c r="K116" s="1655">
        <f>( C94/TT!C25)*100</f>
        <v>8.8833377420494273</v>
      </c>
      <c r="L116" s="1655">
        <f>( D94/TT!D25)*100</f>
        <v>10.046906780359418</v>
      </c>
      <c r="M116" s="1655">
        <f>( E94/TT!E25)*100</f>
        <v>10.057922900699777</v>
      </c>
      <c r="N116" s="1655">
        <f>( F94/TT!F25)*100</f>
        <v>10.580947441604497</v>
      </c>
      <c r="O116" s="1655">
        <f>( G94/TT!G25)*100</f>
        <v>10.027489020253407</v>
      </c>
      <c r="P116" s="1655">
        <f>( H94/TT!H25)*100</f>
        <v>6.1307958784384571</v>
      </c>
      <c r="Q116" s="1655">
        <f>( I94/TT!I25)*100</f>
        <v>8.2329174150661775</v>
      </c>
      <c r="R116" s="1634">
        <f>( J94/TT!J25)*100</f>
        <v>8.3207534222562067</v>
      </c>
    </row>
    <row r="117" spans="2:18" s="57" customFormat="1" ht="12.5">
      <c r="C117" s="582"/>
      <c r="D117" s="582"/>
      <c r="E117" s="582"/>
      <c r="F117" s="582"/>
      <c r="G117" s="582"/>
      <c r="H117" s="582"/>
      <c r="I117" s="582"/>
      <c r="J117" s="582"/>
      <c r="K117" s="582"/>
      <c r="L117" s="582"/>
      <c r="M117" s="582"/>
      <c r="N117" s="582"/>
      <c r="O117" s="582"/>
      <c r="P117" s="582"/>
      <c r="Q117" s="582"/>
    </row>
    <row r="118" spans="2:18" s="57" customFormat="1" ht="13">
      <c r="B118" s="2157" t="s">
        <v>1069</v>
      </c>
      <c r="C118" s="2157"/>
      <c r="D118" s="2157"/>
      <c r="E118" s="2157"/>
      <c r="F118" s="2157"/>
      <c r="G118" s="2157"/>
      <c r="H118" s="2157"/>
      <c r="I118" s="2157"/>
      <c r="J118" s="2157"/>
      <c r="K118" s="2157"/>
      <c r="L118" s="2157"/>
      <c r="M118" s="2157"/>
      <c r="N118" s="2157"/>
      <c r="O118" s="2157"/>
      <c r="P118" s="2157"/>
      <c r="Q118" s="2157"/>
      <c r="R118" s="2157"/>
    </row>
    <row r="119" spans="2:18" s="57" customFormat="1" ht="13">
      <c r="B119" s="2179" t="s">
        <v>1070</v>
      </c>
      <c r="C119" s="2179"/>
      <c r="D119" s="2179"/>
      <c r="E119" s="2179"/>
      <c r="F119" s="2179"/>
      <c r="G119" s="2179"/>
      <c r="H119" s="2179"/>
      <c r="I119" s="2179"/>
      <c r="J119" s="2179"/>
      <c r="K119" s="2179"/>
      <c r="L119" s="2179"/>
      <c r="M119" s="2179"/>
      <c r="N119" s="2179"/>
      <c r="O119" s="2179"/>
      <c r="P119" s="2179"/>
      <c r="Q119" s="2179"/>
    </row>
    <row r="120" spans="2:18" s="57" customFormat="1" ht="13">
      <c r="B120" s="581" t="s">
        <v>1035</v>
      </c>
      <c r="C120" s="611"/>
      <c r="D120" s="611"/>
      <c r="E120" s="611"/>
      <c r="F120" s="611"/>
      <c r="G120" s="611"/>
      <c r="H120" s="611"/>
      <c r="I120" s="611"/>
      <c r="J120" s="611"/>
      <c r="K120" s="611"/>
      <c r="L120" s="611"/>
      <c r="M120" s="611"/>
      <c r="N120" s="611"/>
      <c r="O120" s="611"/>
      <c r="P120" s="611"/>
      <c r="Q120" s="611"/>
    </row>
    <row r="121" spans="2:18" s="57" customFormat="1" ht="13">
      <c r="B121" s="612"/>
      <c r="C121" s="613"/>
      <c r="D121" s="613"/>
      <c r="E121" s="613"/>
      <c r="F121" s="613"/>
      <c r="G121" s="613"/>
      <c r="H121" s="613"/>
      <c r="I121" s="613"/>
      <c r="J121" s="613"/>
      <c r="K121" s="613"/>
      <c r="L121" s="613"/>
      <c r="M121" s="613"/>
      <c r="N121" s="613"/>
      <c r="O121" s="613"/>
      <c r="P121" s="613"/>
      <c r="Q121" s="613"/>
    </row>
    <row r="122" spans="2:18" s="57" customFormat="1" ht="13">
      <c r="B122" s="612"/>
      <c r="C122" s="2176" t="s">
        <v>440</v>
      </c>
      <c r="D122" s="2176"/>
      <c r="E122" s="2176"/>
      <c r="F122" s="2176"/>
      <c r="G122" s="2176"/>
      <c r="H122" s="2176"/>
      <c r="I122" s="2176"/>
      <c r="J122" s="2176"/>
      <c r="K122" s="2176"/>
      <c r="L122" s="2176"/>
      <c r="M122" s="2176"/>
      <c r="N122" s="2176"/>
      <c r="O122" s="2176"/>
      <c r="P122" s="2176"/>
      <c r="Q122" s="2176"/>
      <c r="R122" s="2176"/>
    </row>
    <row r="123" spans="2:18" s="57" customFormat="1" ht="13">
      <c r="B123" s="583"/>
      <c r="C123" s="2183" t="s">
        <v>1064</v>
      </c>
      <c r="D123" s="2184"/>
      <c r="E123" s="2184"/>
      <c r="F123" s="2184"/>
      <c r="G123" s="2184"/>
      <c r="H123" s="2184"/>
      <c r="I123" s="2184"/>
      <c r="J123" s="2185"/>
      <c r="K123" s="2183" t="s">
        <v>1067</v>
      </c>
      <c r="L123" s="2184"/>
      <c r="M123" s="2184"/>
      <c r="N123" s="2184"/>
      <c r="O123" s="2184"/>
      <c r="P123" s="2184"/>
      <c r="Q123" s="2184"/>
      <c r="R123" s="2185"/>
    </row>
    <row r="124" spans="2:18" s="57" customFormat="1" ht="12.5">
      <c r="C124" s="585">
        <v>2014</v>
      </c>
      <c r="D124" s="586">
        <v>2015</v>
      </c>
      <c r="E124" s="586">
        <v>2016</v>
      </c>
      <c r="F124" s="586">
        <v>2017</v>
      </c>
      <c r="G124" s="586">
        <v>2018</v>
      </c>
      <c r="H124" s="586">
        <v>2019</v>
      </c>
      <c r="I124" s="586">
        <v>2020</v>
      </c>
      <c r="J124" s="586"/>
      <c r="K124" s="587">
        <v>2014</v>
      </c>
      <c r="L124" s="588">
        <v>2015</v>
      </c>
      <c r="M124" s="588">
        <v>2016</v>
      </c>
      <c r="N124" s="588">
        <v>2017</v>
      </c>
      <c r="O124" s="588">
        <v>2018</v>
      </c>
      <c r="P124" s="588">
        <v>2019</v>
      </c>
      <c r="Q124" s="588">
        <v>2020</v>
      </c>
      <c r="R124" s="848">
        <v>2021</v>
      </c>
    </row>
    <row r="125" spans="2:18" s="57" customFormat="1" ht="12.5">
      <c r="B125" s="589" t="s">
        <v>1038</v>
      </c>
      <c r="C125" s="590">
        <f>ARG!C39</f>
        <v>20212.114125350796</v>
      </c>
      <c r="D125" s="591">
        <f>ARG!D39</f>
        <v>34124.898109901347</v>
      </c>
      <c r="E125" s="591">
        <f>ARG!E39</f>
        <v>29868.960644029728</v>
      </c>
      <c r="F125" s="591">
        <f>ARG!F39</f>
        <v>24237.730502498107</v>
      </c>
      <c r="G125" s="591">
        <f>ARG!G39</f>
        <v>28683.304988587159</v>
      </c>
      <c r="H125" s="591">
        <f>ARG!H39</f>
        <v>26440.588757681271</v>
      </c>
      <c r="I125" s="591">
        <f>ARG!I39</f>
        <v>21079.43342776204</v>
      </c>
      <c r="J125" s="592">
        <f>ARG!J39</f>
        <v>23176.761303890642</v>
      </c>
      <c r="K125" s="614">
        <f t="shared" ref="K125:R128" si="22">C125/C6*100</f>
        <v>3.4497912809815423</v>
      </c>
      <c r="L125" s="615">
        <f t="shared" si="22"/>
        <v>6.7732725478891931</v>
      </c>
      <c r="M125" s="615">
        <f t="shared" si="22"/>
        <v>5.2815611400868914</v>
      </c>
      <c r="N125" s="615">
        <f t="shared" si="22"/>
        <v>3.8808379001972293</v>
      </c>
      <c r="O125" s="615">
        <f t="shared" si="22"/>
        <v>6.4630340747246011</v>
      </c>
      <c r="P125" s="615">
        <f t="shared" si="22"/>
        <v>6.2893664015058635</v>
      </c>
      <c r="Q125" s="615">
        <f t="shared" si="22"/>
        <v>5.4377099897826708</v>
      </c>
      <c r="R125" s="616">
        <f t="shared" si="22"/>
        <v>4.33736372762794</v>
      </c>
    </row>
    <row r="126" spans="2:18" s="57" customFormat="1" ht="12.5">
      <c r="B126" s="595" t="s">
        <v>1039</v>
      </c>
      <c r="C126" s="608">
        <f>BA!C39</f>
        <v>799.23900000000003</v>
      </c>
      <c r="D126" s="609">
        <f>BA!D39</f>
        <v>721.76900000000001</v>
      </c>
      <c r="E126" s="609">
        <f>BA!E39</f>
        <v>1075.5630000000001</v>
      </c>
      <c r="F126" s="609">
        <f>BA!F39</f>
        <v>1156.0819999999999</v>
      </c>
      <c r="G126" s="609">
        <f>BA!G39</f>
        <v>933.54499999999996</v>
      </c>
      <c r="H126" s="609">
        <f>BA!H39</f>
        <v>1311.0719999999999</v>
      </c>
      <c r="I126" s="609">
        <f>BA!I39</f>
        <v>1725.4579999999999</v>
      </c>
      <c r="J126" s="603">
        <f>BA!J39</f>
        <v>1760.6709999999998</v>
      </c>
      <c r="K126" s="1844">
        <f t="shared" si="22"/>
        <v>7.1928345152813282</v>
      </c>
      <c r="L126" s="609">
        <f t="shared" si="22"/>
        <v>6.0847671958118008</v>
      </c>
      <c r="M126" s="609">
        <f t="shared" si="22"/>
        <v>9.0882919574806085</v>
      </c>
      <c r="N126" s="609">
        <f t="shared" si="22"/>
        <v>9.3552307891499957</v>
      </c>
      <c r="O126" s="609">
        <f t="shared" si="22"/>
        <v>7.3185923266278872</v>
      </c>
      <c r="P126" s="609">
        <f t="shared" si="22"/>
        <v>9.9377842459523364</v>
      </c>
      <c r="Q126" s="609">
        <f t="shared" si="22"/>
        <v>17.789143770297436</v>
      </c>
      <c r="R126" s="603">
        <f t="shared" si="22"/>
        <v>15.708215120532445</v>
      </c>
    </row>
    <row r="127" spans="2:18" s="57" customFormat="1" ht="12.5">
      <c r="B127" s="595" t="s">
        <v>1040</v>
      </c>
      <c r="C127" s="596">
        <f>BO!C39</f>
        <v>2237.3372832262276</v>
      </c>
      <c r="D127" s="597">
        <f>BO!D39</f>
        <v>4117.7442426672878</v>
      </c>
      <c r="E127" s="597">
        <f>BO!E39</f>
        <v>2933.0539358600581</v>
      </c>
      <c r="F127" s="597">
        <f>BO!F39</f>
        <v>3143.4589084340992</v>
      </c>
      <c r="G127" s="597">
        <f>BO!G39</f>
        <v>2925.7452739742503</v>
      </c>
      <c r="H127" s="597">
        <f>BO!H39</f>
        <v>2513.6774975903554</v>
      </c>
      <c r="I127" s="597">
        <f>BO!I39</f>
        <v>3446.1035245935745</v>
      </c>
      <c r="J127" s="598">
        <f>BO!J39</f>
        <v>3516.0452590610025</v>
      </c>
      <c r="K127" s="1844">
        <f t="shared" si="22"/>
        <v>6.7315295811566225</v>
      </c>
      <c r="L127" s="609">
        <f t="shared" si="22"/>
        <v>12.387648908901227</v>
      </c>
      <c r="M127" s="609">
        <f t="shared" si="22"/>
        <v>8.5790632373549709</v>
      </c>
      <c r="N127" s="609">
        <f t="shared" si="22"/>
        <v>8.3199844231942102</v>
      </c>
      <c r="O127" s="609">
        <f t="shared" si="22"/>
        <v>7.2095916544291692</v>
      </c>
      <c r="P127" s="609">
        <f t="shared" si="22"/>
        <v>6.1021305415570559</v>
      </c>
      <c r="Q127" s="609">
        <f t="shared" si="22"/>
        <v>8.9859283561762044</v>
      </c>
      <c r="R127" s="603">
        <f t="shared" si="22"/>
        <v>8.638352625427542</v>
      </c>
    </row>
    <row r="128" spans="2:18" s="57" customFormat="1" ht="12.5">
      <c r="B128" s="595" t="s">
        <v>1041</v>
      </c>
      <c r="C128" s="596">
        <f>BR!C39</f>
        <v>17535.443490701</v>
      </c>
      <c r="D128" s="597">
        <f>BR!D39</f>
        <v>9705.7393464453999</v>
      </c>
      <c r="E128" s="597">
        <f>BR!E39</f>
        <v>12798.670185020404</v>
      </c>
      <c r="F128" s="597">
        <f>BR!F39</f>
        <v>13321.906590084644</v>
      </c>
      <c r="G128" s="597">
        <f>BR!G39</f>
        <v>10704.616238257458</v>
      </c>
      <c r="H128" s="597">
        <f>BR!H39</f>
        <v>11263.960354280893</v>
      </c>
      <c r="I128" s="597">
        <f>BR!I39</f>
        <v>12408.263705813304</v>
      </c>
      <c r="J128" s="598">
        <f>BR!J39</f>
        <v>12673.782277573695</v>
      </c>
      <c r="K128" s="1844">
        <f t="shared" si="22"/>
        <v>0.80598760709768702</v>
      </c>
      <c r="L128" s="609">
        <f t="shared" si="22"/>
        <v>0.63209335154834556</v>
      </c>
      <c r="M128" s="609">
        <f t="shared" si="22"/>
        <v>0.66533679526737166</v>
      </c>
      <c r="N128" s="609">
        <f t="shared" si="22"/>
        <v>0.66918240875113344</v>
      </c>
      <c r="O128" s="609">
        <f t="shared" si="22"/>
        <v>0.59219605944540521</v>
      </c>
      <c r="P128" s="609">
        <f t="shared" si="22"/>
        <v>0.61443822009285265</v>
      </c>
      <c r="Q128" s="609">
        <f t="shared" si="22"/>
        <v>0.86348870426388902</v>
      </c>
      <c r="R128" s="603">
        <f t="shared" si="22"/>
        <v>0.81486407058719934</v>
      </c>
    </row>
    <row r="129" spans="2:18" s="57" customFormat="1" ht="12.5">
      <c r="B129" s="595" t="s">
        <v>1042</v>
      </c>
      <c r="C129" s="596">
        <f>CL!C39</f>
        <v>10758.668706575783</v>
      </c>
      <c r="D129" s="597">
        <f>CL!D39</f>
        <v>9948.1406494754974</v>
      </c>
      <c r="E129" s="597">
        <f>CL!E39</f>
        <v>10075.201883738704</v>
      </c>
      <c r="F129" s="597">
        <f>CL!F39</f>
        <v>8489.2318568967203</v>
      </c>
      <c r="G129" s="597">
        <f>CL!G39</f>
        <v>10263.124626356566</v>
      </c>
      <c r="H129" s="597">
        <f>CL!H39</f>
        <v>10408.006040826192</v>
      </c>
      <c r="I129" s="597">
        <f>CL!I39</f>
        <v>31037.454381682863</v>
      </c>
      <c r="J129" s="598">
        <f>CL!J39</f>
        <v>14313.762747152543</v>
      </c>
      <c r="K129" s="1844">
        <f t="shared" ref="K129:P131" si="23">C129/C10*100</f>
        <v>4.3974590946322207</v>
      </c>
      <c r="L129" s="609">
        <f t="shared" si="23"/>
        <v>4.4102601929281935</v>
      </c>
      <c r="M129" s="609">
        <f t="shared" si="23"/>
        <v>3.9655450371951075</v>
      </c>
      <c r="N129" s="609">
        <f t="shared" si="23"/>
        <v>2.9054616079666107</v>
      </c>
      <c r="O129" s="609">
        <f t="shared" si="23"/>
        <v>3.7329974801904329</v>
      </c>
      <c r="P129" s="609">
        <f t="shared" si="23"/>
        <v>3.9054534636769027</v>
      </c>
      <c r="Q129" s="609">
        <v>0</v>
      </c>
      <c r="R129" s="603">
        <v>0</v>
      </c>
    </row>
    <row r="130" spans="2:18" s="57" customFormat="1" ht="12.5">
      <c r="B130" s="595" t="s">
        <v>1043</v>
      </c>
      <c r="C130" s="596">
        <f>CO!C39</f>
        <v>10422.710471656444</v>
      </c>
      <c r="D130" s="597">
        <f>CO!D39</f>
        <v>9218.3476136857589</v>
      </c>
      <c r="E130" s="597">
        <f>CO!E39</f>
        <v>9449.9846223459972</v>
      </c>
      <c r="F130" s="597">
        <f>CO!F39</f>
        <v>9739.0836677115876</v>
      </c>
      <c r="G130" s="597">
        <f>CO!G39</f>
        <v>9579.6484647751349</v>
      </c>
      <c r="H130" s="597">
        <f>CO!H39</f>
        <v>10612.937302107053</v>
      </c>
      <c r="I130" s="597">
        <f>CO!I39</f>
        <v>9826.5287843466867</v>
      </c>
      <c r="J130" s="598">
        <f>CO!J39</f>
        <v>9017.054410021201</v>
      </c>
      <c r="K130" s="1844">
        <f t="shared" si="23"/>
        <v>3.2685568014569628</v>
      </c>
      <c r="L130" s="609">
        <f t="shared" si="23"/>
        <v>3.6079530129384847</v>
      </c>
      <c r="M130" s="609">
        <f t="shared" si="23"/>
        <v>3.2828495333452063</v>
      </c>
      <c r="N130" s="609">
        <f t="shared" si="23"/>
        <v>3.157234249036784</v>
      </c>
      <c r="O130" s="609">
        <f t="shared" si="23"/>
        <v>3.1575701137709467</v>
      </c>
      <c r="P130" s="609">
        <f t="shared" si="23"/>
        <v>3.2757948533018153</v>
      </c>
      <c r="Q130" s="609">
        <f>I130/I11*100</f>
        <v>3.3631278842789811</v>
      </c>
      <c r="R130" s="603">
        <f>J130/J11*100</f>
        <v>3.0494038252459168</v>
      </c>
    </row>
    <row r="131" spans="2:18" s="57" customFormat="1" ht="12.5">
      <c r="B131" s="595" t="s">
        <v>1044</v>
      </c>
      <c r="C131" s="596">
        <f>CR!C39</f>
        <v>4007.804312835874</v>
      </c>
      <c r="D131" s="597">
        <f>CR!D39</f>
        <v>4558.6904559994045</v>
      </c>
      <c r="E131" s="597">
        <f>CR!E39</f>
        <v>5158.0622965654393</v>
      </c>
      <c r="F131" s="597">
        <f>CR!F39</f>
        <v>5499.5599514488795</v>
      </c>
      <c r="G131" s="597">
        <f>CR!G39</f>
        <v>5951.9630006264824</v>
      </c>
      <c r="H131" s="597">
        <f>CR!H39</f>
        <v>6221.0873897513129</v>
      </c>
      <c r="I131" s="597">
        <f>CR!I39</f>
        <v>6148.8520757462302</v>
      </c>
      <c r="J131" s="598">
        <f>CR!J39</f>
        <v>6548.5481684094848</v>
      </c>
      <c r="K131" s="1844">
        <f t="shared" si="23"/>
        <v>7.7049023155306875</v>
      </c>
      <c r="L131" s="609">
        <f t="shared" si="23"/>
        <v>8.076792598904321</v>
      </c>
      <c r="M131" s="609">
        <f t="shared" si="23"/>
        <v>8.7652190256662426</v>
      </c>
      <c r="N131" s="609">
        <f t="shared" si="23"/>
        <v>9.0877874419854905</v>
      </c>
      <c r="O131" s="609">
        <f t="shared" si="23"/>
        <v>9.5353208438232535</v>
      </c>
      <c r="P131" s="609">
        <f t="shared" si="23"/>
        <v>9.657423710107766</v>
      </c>
      <c r="Q131" s="609">
        <f>I131/I12*100</f>
        <v>9.8546227858863276</v>
      </c>
      <c r="R131" s="603">
        <f>J131/J12*100</f>
        <v>10.13451904819741</v>
      </c>
    </row>
    <row r="132" spans="2:18" s="57" customFormat="1" ht="12.5">
      <c r="B132" s="595" t="s">
        <v>1061</v>
      </c>
      <c r="C132" s="596">
        <v>836.8</v>
      </c>
      <c r="D132" s="597">
        <v>1004.7</v>
      </c>
      <c r="E132" s="597">
        <f>CW!E51</f>
        <v>927.82737430167595</v>
      </c>
      <c r="F132" s="597">
        <f>CW!F51</f>
        <v>1176.322346368715</v>
      </c>
      <c r="G132" s="597">
        <f>CW!G51</f>
        <v>1130.294972067039</v>
      </c>
      <c r="H132" s="597">
        <f>CW!H51</f>
        <v>1000.8804469273742</v>
      </c>
      <c r="I132" s="597">
        <f>CW!I51</f>
        <v>1206.6396648044692</v>
      </c>
      <c r="J132" s="598">
        <f>CW!J51</f>
        <v>1361.1106145251397</v>
      </c>
      <c r="K132" s="1844">
        <f>C132/C15*100</f>
        <v>19.002634208374964</v>
      </c>
      <c r="L132" s="609">
        <f t="shared" ref="L132:R132" si="24">D132/D15*100</f>
        <v>7.7681388012618315</v>
      </c>
      <c r="M132" s="609">
        <f t="shared" si="24"/>
        <v>21.00723510289783</v>
      </c>
      <c r="N132" s="609">
        <f t="shared" si="24"/>
        <v>27.362732612537684</v>
      </c>
      <c r="O132" s="609">
        <f t="shared" si="24"/>
        <v>26.404046267517622</v>
      </c>
      <c r="P132" s="609">
        <f t="shared" si="24"/>
        <v>22.45541269931514</v>
      </c>
      <c r="Q132" s="609">
        <f t="shared" si="24"/>
        <v>32.158760890321609</v>
      </c>
      <c r="R132" s="603">
        <f t="shared" si="24"/>
        <v>33.218696633667186</v>
      </c>
    </row>
    <row r="133" spans="2:18" s="57" customFormat="1" ht="12.5">
      <c r="B133" s="595" t="s">
        <v>1047</v>
      </c>
      <c r="C133" s="596">
        <f>EC!C39</f>
        <v>1955.1054899999999</v>
      </c>
      <c r="D133" s="597">
        <f>EC!D39</f>
        <v>1687.1189300000001</v>
      </c>
      <c r="E133" s="597">
        <f>EC!E39</f>
        <v>3992.6395599999996</v>
      </c>
      <c r="F133" s="597">
        <f>EC!F39</f>
        <v>2693.1135358000001</v>
      </c>
      <c r="G133" s="597">
        <f>EC!G39</f>
        <v>2569.1691565700003</v>
      </c>
      <c r="H133" s="597">
        <f>EC!H39</f>
        <v>2336.2527361385701</v>
      </c>
      <c r="I133" s="597">
        <f>EC!I39</f>
        <v>5494.05818</v>
      </c>
      <c r="J133" s="598">
        <f>EC!J39</f>
        <v>4689.6292880000001</v>
      </c>
      <c r="K133" s="1844">
        <f>C133/C16*100</f>
        <v>1.9219266929220782</v>
      </c>
      <c r="L133" s="609">
        <f t="shared" ref="L133:R135" si="25">D133/D16*100</f>
        <v>1.6991766271818076</v>
      </c>
      <c r="M133" s="609">
        <f t="shared" si="25"/>
        <v>3.9951285250711193</v>
      </c>
      <c r="N133" s="609">
        <f t="shared" si="25"/>
        <v>2.5821864221647917</v>
      </c>
      <c r="O133" s="609">
        <f t="shared" si="25"/>
        <v>2.3885469940269806</v>
      </c>
      <c r="P133" s="609">
        <f t="shared" si="25"/>
        <v>2.1610357420681132</v>
      </c>
      <c r="Q133" s="609">
        <f t="shared" si="25"/>
        <v>5.5603368390882491</v>
      </c>
      <c r="R133" s="603">
        <f t="shared" si="25"/>
        <v>4.4172609762070723</v>
      </c>
    </row>
    <row r="134" spans="2:18" s="57" customFormat="1" ht="12.5">
      <c r="B134" s="595" t="s">
        <v>1048</v>
      </c>
      <c r="C134" s="596">
        <f>SV!C39</f>
        <v>2342.0166100000001</v>
      </c>
      <c r="D134" s="597">
        <f>SV!D39</f>
        <v>2501.1719419999999</v>
      </c>
      <c r="E134" s="597">
        <f>SV!E39</f>
        <v>2589.19924012</v>
      </c>
      <c r="F134" s="597">
        <f>SV!F39</f>
        <v>2792.9804116300002</v>
      </c>
      <c r="G134" s="597">
        <f>SV!G39</f>
        <v>2924.4088372800002</v>
      </c>
      <c r="H134" s="597">
        <f>SV!H39</f>
        <v>3450.7600060700001</v>
      </c>
      <c r="I134" s="597">
        <f>SV!I39</f>
        <v>2565.87558424807</v>
      </c>
      <c r="J134" s="598">
        <f>SV!J39</f>
        <v>2671.2432405557142</v>
      </c>
      <c r="K134" s="1844">
        <f>C134/C17*100</f>
        <v>10.36590045707897</v>
      </c>
      <c r="L134" s="609">
        <f t="shared" si="25"/>
        <v>10.671330023073404</v>
      </c>
      <c r="M134" s="609">
        <f t="shared" si="25"/>
        <v>10.702960677066217</v>
      </c>
      <c r="N134" s="609">
        <f t="shared" si="25"/>
        <v>11.181228901457574</v>
      </c>
      <c r="O134" s="609">
        <f t="shared" si="25"/>
        <v>11.238713713349103</v>
      </c>
      <c r="P134" s="609">
        <f t="shared" si="25"/>
        <v>12.829697092761705</v>
      </c>
      <c r="Q134" s="609">
        <f t="shared" si="25"/>
        <v>10.413997091764791</v>
      </c>
      <c r="R134" s="603">
        <f t="shared" si="25"/>
        <v>9.2955034201822269</v>
      </c>
    </row>
    <row r="135" spans="2:18" s="57" customFormat="1" ht="12.5">
      <c r="B135" s="595" t="s">
        <v>1049</v>
      </c>
      <c r="C135" s="596">
        <f>GT!C39</f>
        <v>3644.6287671817822</v>
      </c>
      <c r="D135" s="597">
        <f>GT!D39</f>
        <v>3706.9707178485328</v>
      </c>
      <c r="E135" s="597">
        <f>GT!E39</f>
        <v>5224.0370000000003</v>
      </c>
      <c r="F135" s="597">
        <f>GT!F39</f>
        <v>6284.0621285622292</v>
      </c>
      <c r="G135" s="597">
        <f>GT!G39</f>
        <v>6315.2739774717429</v>
      </c>
      <c r="H135" s="597">
        <f>GT!H39</f>
        <v>6105.8472375981319</v>
      </c>
      <c r="I135" s="597">
        <f>GT!I39</f>
        <v>8187.9331382954697</v>
      </c>
      <c r="J135" s="598">
        <f>GT!J39</f>
        <v>10493.75236888272</v>
      </c>
      <c r="K135" s="1844">
        <f>C135/C18*100</f>
        <v>6.3021153979671052</v>
      </c>
      <c r="L135" s="609">
        <f t="shared" si="25"/>
        <v>5.9617380091985392</v>
      </c>
      <c r="M135" s="609">
        <f t="shared" si="25"/>
        <v>7.9110174933558302</v>
      </c>
      <c r="N135" s="609">
        <f t="shared" si="25"/>
        <v>8.7735252704449831</v>
      </c>
      <c r="O135" s="609">
        <f t="shared" si="25"/>
        <v>8.6122232454232481</v>
      </c>
      <c r="P135" s="609">
        <f t="shared" si="25"/>
        <v>7.9138562551352818</v>
      </c>
      <c r="Q135" s="609">
        <f t="shared" si="25"/>
        <v>10.548706147461333</v>
      </c>
      <c r="R135" s="603">
        <f t="shared" si="25"/>
        <v>12.206221249602619</v>
      </c>
    </row>
    <row r="136" spans="2:18" s="57" customFormat="1" ht="12.5">
      <c r="B136" s="595" t="s">
        <v>1050</v>
      </c>
      <c r="C136" s="596">
        <f>HN!C39</f>
        <v>970.0154635128016</v>
      </c>
      <c r="D136" s="597">
        <f>HN!D39</f>
        <v>1007.9799212329566</v>
      </c>
      <c r="E136" s="597">
        <f>HN!E39</f>
        <v>1578.1920840680893</v>
      </c>
      <c r="F136" s="597">
        <f>HN!F39</f>
        <v>1728.0991432553183</v>
      </c>
      <c r="G136" s="597">
        <f>HN!G39</f>
        <v>1760.445227164814</v>
      </c>
      <c r="H136" s="597">
        <f>HN!H39</f>
        <v>1865.7865869475193</v>
      </c>
      <c r="I136" s="597">
        <f>HN!I39</f>
        <v>3445.4987029637236</v>
      </c>
      <c r="J136" s="598">
        <f>HN!J39</f>
        <v>3119.1213676069692</v>
      </c>
      <c r="K136" s="1844">
        <f t="shared" ref="K136:R137" si="26">IF(ISNUMBER(C136/C19*100),C136/C19*100,"0")</f>
        <v>4.9185336028251454</v>
      </c>
      <c r="L136" s="609">
        <f t="shared" si="26"/>
        <v>4.8970106519583796</v>
      </c>
      <c r="M136" s="609">
        <f t="shared" si="26"/>
        <v>7.3177525061345357</v>
      </c>
      <c r="N136" s="609">
        <f t="shared" si="26"/>
        <v>7.5215141049345142</v>
      </c>
      <c r="O136" s="609">
        <f t="shared" si="26"/>
        <v>7.3657444505617997</v>
      </c>
      <c r="P136" s="609">
        <f t="shared" si="26"/>
        <v>7.4884506439075347</v>
      </c>
      <c r="Q136" s="609">
        <f t="shared" si="26"/>
        <v>14.561173925911916</v>
      </c>
      <c r="R136" s="603">
        <f t="shared" si="26"/>
        <v>11.02525296048959</v>
      </c>
    </row>
    <row r="137" spans="2:18" s="57" customFormat="1" ht="12.5">
      <c r="B137" s="595" t="s">
        <v>1051</v>
      </c>
      <c r="C137" s="596">
        <f>JM!C39</f>
        <v>1021.4025991468741</v>
      </c>
      <c r="D137" s="597">
        <f>JM!D39</f>
        <v>810.6307685919528</v>
      </c>
      <c r="E137" s="597">
        <f>JM!E39</f>
        <v>906.41514663610496</v>
      </c>
      <c r="F137" s="597">
        <f>JM!F39</f>
        <v>1002.0410480539264</v>
      </c>
      <c r="G137" s="597">
        <f>JM!G39</f>
        <v>1031.685286334545</v>
      </c>
      <c r="H137" s="597">
        <f>JM!H39</f>
        <v>863.1533634534469</v>
      </c>
      <c r="I137" s="597">
        <f>JM!I39</f>
        <v>766.2287772526048</v>
      </c>
      <c r="J137" s="598">
        <f>JM!J39</f>
        <v>817.63295924747149</v>
      </c>
      <c r="K137" s="1844">
        <f t="shared" si="26"/>
        <v>7.5954635798558545</v>
      </c>
      <c r="L137" s="609">
        <f t="shared" si="26"/>
        <v>5.8813906301646126</v>
      </c>
      <c r="M137" s="609">
        <f t="shared" si="26"/>
        <v>6.6111263408605039</v>
      </c>
      <c r="N137" s="609">
        <f t="shared" si="26"/>
        <v>6.6097032255201222</v>
      </c>
      <c r="O137" s="609">
        <f t="shared" si="26"/>
        <v>6.4995861341729686</v>
      </c>
      <c r="P137" s="609">
        <f t="shared" si="26"/>
        <v>5.4219870028446904</v>
      </c>
      <c r="Q137" s="609">
        <f t="shared" si="26"/>
        <v>5.5569890795228813</v>
      </c>
      <c r="R137" s="603">
        <f t="shared" si="26"/>
        <v>5.7372106705251955</v>
      </c>
    </row>
    <row r="138" spans="2:18" s="57" customFormat="1" ht="12.5">
      <c r="B138" s="595" t="s">
        <v>1052</v>
      </c>
      <c r="C138" s="596">
        <f>RD!C39</f>
        <v>2884.584113277494</v>
      </c>
      <c r="D138" s="597">
        <f>RD!D39</f>
        <v>3384.4577942204728</v>
      </c>
      <c r="E138" s="597">
        <f>RD!E39</f>
        <v>3875.9520668539026</v>
      </c>
      <c r="F138" s="597">
        <f>RD!F39</f>
        <v>3531.2628010087396</v>
      </c>
      <c r="G138" s="597">
        <f>RD!G39</f>
        <v>3921.0647228299863</v>
      </c>
      <c r="H138" s="597">
        <f>RD!H39</f>
        <v>3767.9134657356176</v>
      </c>
      <c r="I138" s="597">
        <f>RD!I39</f>
        <v>4819.4082320462194</v>
      </c>
      <c r="J138" s="598">
        <f>RD!J39</f>
        <v>5109.6780937802814</v>
      </c>
      <c r="K138" s="1844">
        <f t="shared" ref="K138:R141" si="27">C138/C21*100</f>
        <v>4.358261540356489</v>
      </c>
      <c r="L138" s="609">
        <f t="shared" si="27"/>
        <v>4.8005241785345296</v>
      </c>
      <c r="M138" s="609">
        <f t="shared" si="27"/>
        <v>5.1812586537427752</v>
      </c>
      <c r="N138" s="609">
        <f t="shared" si="27"/>
        <v>4.4753498174172615</v>
      </c>
      <c r="O138" s="609">
        <f t="shared" si="27"/>
        <v>4.6472037091440255</v>
      </c>
      <c r="P138" s="609">
        <f t="shared" si="27"/>
        <v>4.3691503931299138</v>
      </c>
      <c r="Q138" s="609">
        <f t="shared" si="27"/>
        <v>6.2843231788624303</v>
      </c>
      <c r="R138" s="603">
        <f t="shared" si="27"/>
        <v>5.4142245135395637</v>
      </c>
    </row>
    <row r="139" spans="2:18" s="57" customFormat="1" ht="12.5">
      <c r="B139" s="595" t="s">
        <v>1053</v>
      </c>
      <c r="C139" s="596">
        <f>PY!C39</f>
        <v>4087.600777705768</v>
      </c>
      <c r="D139" s="597">
        <f>PY!D39</f>
        <v>3469.2890727237927</v>
      </c>
      <c r="E139" s="597">
        <f>PY!E39</f>
        <v>4327.3939398148714</v>
      </c>
      <c r="F139" s="597">
        <f>PY!F39</f>
        <v>5126.1322193488495</v>
      </c>
      <c r="G139" s="597">
        <f>PY!G39</f>
        <v>4697.0493981684995</v>
      </c>
      <c r="H139" s="597">
        <f>PY!H39</f>
        <v>4596.6418981952183</v>
      </c>
      <c r="I139" s="597">
        <f>PY!I39</f>
        <v>5299.7279438650257</v>
      </c>
      <c r="J139" s="598">
        <f>PY!J39</f>
        <v>5354.8043807781069</v>
      </c>
      <c r="K139" s="1844">
        <f t="shared" si="27"/>
        <v>10.528229790126195</v>
      </c>
      <c r="L139" s="609">
        <f t="shared" si="27"/>
        <v>10.675817257536572</v>
      </c>
      <c r="M139" s="609">
        <f t="shared" si="27"/>
        <v>12.178250228069459</v>
      </c>
      <c r="N139" s="609">
        <f t="shared" si="27"/>
        <v>13.053745317516469</v>
      </c>
      <c r="O139" s="609">
        <f t="shared" si="27"/>
        <v>12.141339093703721</v>
      </c>
      <c r="P139" s="609">
        <f t="shared" si="27"/>
        <v>12.517857984923394</v>
      </c>
      <c r="Q139" s="609">
        <f t="shared" si="27"/>
        <v>15.122739916103118</v>
      </c>
      <c r="R139" s="603">
        <f t="shared" si="27"/>
        <v>14.489203884324041</v>
      </c>
    </row>
    <row r="140" spans="2:18" s="57" customFormat="1" ht="12.5">
      <c r="B140" s="595" t="s">
        <v>1054</v>
      </c>
      <c r="C140" s="596">
        <f>[2]PE!C39</f>
        <v>14133.005402904993</v>
      </c>
      <c r="D140" s="597">
        <f>[2]PE!D39</f>
        <v>12161.741213168478</v>
      </c>
      <c r="E140" s="597">
        <f>[2]PE!E39</f>
        <v>10766.268212969333</v>
      </c>
      <c r="F140" s="597">
        <f>[2]PE!F39</f>
        <v>10867.289506885121</v>
      </c>
      <c r="G140" s="597">
        <f>[2]PE!G39</f>
        <v>10380.383022302312</v>
      </c>
      <c r="H140" s="597">
        <f>[2]PE!H39</f>
        <v>12161.957223097119</v>
      </c>
      <c r="I140" s="597">
        <f>[2]PE!I39</f>
        <v>12097.000142582538</v>
      </c>
      <c r="J140" s="598">
        <f>PE!J39</f>
        <v>0</v>
      </c>
      <c r="K140" s="1844">
        <f t="shared" si="27"/>
        <v>6.964922714905744</v>
      </c>
      <c r="L140" s="609">
        <f t="shared" si="27"/>
        <v>6.3330530285863302</v>
      </c>
      <c r="M140" s="609">
        <f t="shared" si="27"/>
        <v>5.5002803034859031</v>
      </c>
      <c r="N140" s="609">
        <f t="shared" si="27"/>
        <v>5.0338289612056348</v>
      </c>
      <c r="O140" s="609">
        <f t="shared" si="27"/>
        <v>4.5757488834736693</v>
      </c>
      <c r="P140" s="609">
        <f t="shared" si="27"/>
        <v>5.2321482465586868</v>
      </c>
      <c r="Q140" s="609">
        <f t="shared" si="27"/>
        <v>5.8851117566084383</v>
      </c>
      <c r="R140" s="603">
        <f t="shared" si="27"/>
        <v>0</v>
      </c>
    </row>
    <row r="141" spans="2:18" s="57" customFormat="1" ht="12.5">
      <c r="B141" s="604" t="s">
        <v>1055</v>
      </c>
      <c r="C141" s="605">
        <f>TT!C39</f>
        <v>3029.4361877801366</v>
      </c>
      <c r="D141" s="606">
        <f>TT!D39</f>
        <v>2796.8751947161818</v>
      </c>
      <c r="E141" s="606">
        <f>TT!E39</f>
        <v>2337.2368811147344</v>
      </c>
      <c r="F141" s="606">
        <f>TT!F39</f>
        <v>2307.7742042808031</v>
      </c>
      <c r="G141" s="606">
        <f>TT!G39</f>
        <v>2370.8750894114696</v>
      </c>
      <c r="H141" s="606">
        <f>TT!H39</f>
        <v>3085.0370063661298</v>
      </c>
      <c r="I141" s="606">
        <f>TT!I39</f>
        <v>3474.0983412585142</v>
      </c>
      <c r="J141" s="607">
        <f>TT!J39</f>
        <v>2635.0757855822553</v>
      </c>
      <c r="K141" s="610">
        <f t="shared" si="27"/>
        <v>10.234361723551665</v>
      </c>
      <c r="L141" s="617">
        <f t="shared" si="27"/>
        <v>10.377071664509696</v>
      </c>
      <c r="M141" s="617">
        <f t="shared" si="27"/>
        <v>9.909123112008464</v>
      </c>
      <c r="N141" s="617">
        <f t="shared" si="27"/>
        <v>9.660850048783022</v>
      </c>
      <c r="O141" s="617">
        <f t="shared" si="27"/>
        <v>9.7274810492169497</v>
      </c>
      <c r="P141" s="617">
        <f t="shared" si="27"/>
        <v>12.937219706745667</v>
      </c>
      <c r="Q141" s="617">
        <f t="shared" si="27"/>
        <v>16.494870022649462</v>
      </c>
      <c r="R141" s="618">
        <f t="shared" si="27"/>
        <v>10.770772713612326</v>
      </c>
    </row>
    <row r="142" spans="2:18" s="57" customFormat="1" ht="12.5">
      <c r="C142" s="582"/>
      <c r="D142" s="582"/>
      <c r="E142" s="582"/>
      <c r="F142" s="582"/>
      <c r="G142" s="582"/>
      <c r="H142" s="582"/>
      <c r="I142" s="582"/>
      <c r="J142" s="582"/>
      <c r="K142" s="582"/>
      <c r="L142" s="582"/>
      <c r="M142" s="582"/>
      <c r="N142" s="582"/>
      <c r="O142" s="582"/>
      <c r="P142" s="582"/>
      <c r="Q142" s="582"/>
    </row>
    <row r="143" spans="2:18" s="57" customFormat="1" ht="13">
      <c r="B143" s="2157" t="s">
        <v>1071</v>
      </c>
      <c r="C143" s="2157"/>
      <c r="D143" s="2157"/>
      <c r="E143" s="2157"/>
      <c r="F143" s="2157"/>
      <c r="G143" s="2157"/>
      <c r="H143" s="2157"/>
      <c r="I143" s="2157"/>
      <c r="J143" s="2157"/>
      <c r="K143" s="2157"/>
      <c r="L143" s="2157"/>
      <c r="M143" s="2157"/>
      <c r="N143" s="2157"/>
      <c r="O143" s="2157"/>
      <c r="P143" s="2157"/>
      <c r="Q143" s="2157"/>
      <c r="R143" s="2157"/>
    </row>
    <row r="144" spans="2:18" s="57" customFormat="1" ht="12.5">
      <c r="B144" s="619"/>
      <c r="C144" s="621"/>
      <c r="D144" s="621"/>
      <c r="E144" s="621"/>
      <c r="F144" s="621"/>
      <c r="G144" s="621"/>
      <c r="H144" s="621"/>
      <c r="I144" s="621"/>
      <c r="J144" s="621"/>
      <c r="K144" s="622"/>
      <c r="L144" s="622"/>
      <c r="M144" s="622"/>
      <c r="N144" s="622"/>
      <c r="O144" s="622"/>
      <c r="P144" s="622"/>
      <c r="Q144" s="622"/>
    </row>
    <row r="145" spans="2:18" s="57" customFormat="1" ht="12.5">
      <c r="B145" s="619"/>
      <c r="C145" s="2191" t="s">
        <v>1072</v>
      </c>
      <c r="D145" s="2192"/>
      <c r="E145" s="2192"/>
      <c r="F145" s="2192"/>
      <c r="G145" s="2192"/>
      <c r="H145" s="2192"/>
      <c r="I145" s="2192"/>
      <c r="J145" s="2192"/>
      <c r="K145" s="2192"/>
      <c r="L145" s="2192"/>
      <c r="M145" s="2192"/>
      <c r="N145" s="2192"/>
      <c r="O145" s="2192"/>
      <c r="P145" s="2192"/>
      <c r="Q145" s="2192"/>
      <c r="R145" s="2193"/>
    </row>
    <row r="146" spans="2:18" s="57" customFormat="1" ht="13">
      <c r="B146" s="583"/>
      <c r="C146" s="2177" t="s">
        <v>1073</v>
      </c>
      <c r="D146" s="2177"/>
      <c r="E146" s="2177"/>
      <c r="F146" s="2177"/>
      <c r="G146" s="2177"/>
      <c r="H146" s="2177"/>
      <c r="I146" s="2177"/>
      <c r="J146" s="2177"/>
      <c r="K146" s="2177" t="s">
        <v>1067</v>
      </c>
      <c r="L146" s="2177"/>
      <c r="M146" s="2177"/>
      <c r="N146" s="2177"/>
      <c r="O146" s="2177"/>
      <c r="P146" s="2177"/>
      <c r="Q146" s="2177"/>
      <c r="R146" s="2177"/>
    </row>
    <row r="147" spans="2:18" s="57" customFormat="1" ht="12.5">
      <c r="C147" s="585">
        <v>2014</v>
      </c>
      <c r="D147" s="586">
        <v>2015</v>
      </c>
      <c r="E147" s="586">
        <v>2016</v>
      </c>
      <c r="F147" s="586">
        <v>2017</v>
      </c>
      <c r="G147" s="586">
        <v>2018</v>
      </c>
      <c r="H147" s="586">
        <v>2019</v>
      </c>
      <c r="I147" s="586">
        <v>2020</v>
      </c>
      <c r="J147" s="848">
        <v>2021</v>
      </c>
      <c r="K147" s="585">
        <v>2014</v>
      </c>
      <c r="L147" s="586">
        <v>2015</v>
      </c>
      <c r="M147" s="586">
        <v>2016</v>
      </c>
      <c r="N147" s="586">
        <v>2017</v>
      </c>
      <c r="O147" s="586">
        <v>2018</v>
      </c>
      <c r="P147" s="586">
        <v>2019</v>
      </c>
      <c r="Q147" s="586">
        <v>2020</v>
      </c>
      <c r="R147" s="640">
        <v>2021</v>
      </c>
    </row>
    <row r="148" spans="2:18" s="57" customFormat="1" ht="12.5">
      <c r="B148" s="589" t="s">
        <v>1038</v>
      </c>
      <c r="C148" s="1645">
        <f>IF(ISNUMBER(ARG!C47), ARG!C47,"0")</f>
        <v>68.956618334892426</v>
      </c>
      <c r="D148" s="1644">
        <f>IF(ISNUMBER(ARG!D47), ARG!D47,"0")</f>
        <v>38.346635909265665</v>
      </c>
      <c r="E148" s="1644">
        <f>IF(ISNUMBER(ARG!E47), ARG!E47,"0")</f>
        <v>52.501671903193653</v>
      </c>
      <c r="F148" s="1644">
        <f>IF(ISNUMBER(ARG!F47), ARG!F47,"0")</f>
        <v>47.834954352249369</v>
      </c>
      <c r="G148" s="1644">
        <f>IF(ISNUMBER(ARG!G47), ARG!G47,"0")</f>
        <v>33.849154815212529</v>
      </c>
      <c r="H148" s="1644">
        <f>IF(ISNUMBER(ARG!H47), ARG!H47,"0")</f>
        <v>33.888843668679847</v>
      </c>
      <c r="I148" s="1644">
        <f>IF(ISNUMBER(ARG!I47), ARG!I47,"0")</f>
        <v>50.239546742209633</v>
      </c>
      <c r="J148" s="1631">
        <f>IF(ISNUMBER(ARG!J47), ARG!J47,"0")</f>
        <v>57.253501577287068</v>
      </c>
      <c r="K148" s="614">
        <f t="shared" ref="K148:R148" si="28">C148/C6*100</f>
        <v>1.1769473456481147E-2</v>
      </c>
      <c r="L148" s="615">
        <f t="shared" si="28"/>
        <v>7.6112232034114043E-3</v>
      </c>
      <c r="M148" s="615">
        <f t="shared" si="28"/>
        <v>9.2835768012880238E-3</v>
      </c>
      <c r="N148" s="615">
        <f t="shared" si="28"/>
        <v>7.6591207161611297E-3</v>
      </c>
      <c r="O148" s="615">
        <f t="shared" si="28"/>
        <v>7.627023491832371E-3</v>
      </c>
      <c r="P148" s="615">
        <f t="shared" si="28"/>
        <v>8.0610668963927868E-3</v>
      </c>
      <c r="Q148" s="615">
        <f t="shared" si="28"/>
        <v>1.2959934911840301E-2</v>
      </c>
      <c r="R148" s="616">
        <f t="shared" si="28"/>
        <v>1.0714579908942127E-2</v>
      </c>
    </row>
    <row r="149" spans="2:18" s="57" customFormat="1" ht="12.5">
      <c r="B149" s="595" t="s">
        <v>1039</v>
      </c>
      <c r="C149" s="1646" t="str">
        <f>IF(ISNUMBER(BA!B47), BA!C47,"0")</f>
        <v>0</v>
      </c>
      <c r="D149" s="1843" t="str">
        <f>IF(ISNUMBER(BA!C47), BA!D47,"0")</f>
        <v>0</v>
      </c>
      <c r="E149" s="1843" t="str">
        <f>IF(ISNUMBER(BA!D47), BA!E47,"0")</f>
        <v>0</v>
      </c>
      <c r="F149" s="1843" t="str">
        <f>IF(ISNUMBER(BA!E47), BA!F47,"0")</f>
        <v>0</v>
      </c>
      <c r="G149" s="1843" t="str">
        <f>IF(ISNUMBER(BA!F47), BA!G47,"0")</f>
        <v>0</v>
      </c>
      <c r="H149" s="1843" t="str">
        <f>IF(ISNUMBER(BA!G47), BA!H47,"0")</f>
        <v>0</v>
      </c>
      <c r="I149" s="1843" t="str">
        <f>IF(ISNUMBER(BA!H47), BA!I47,"0")</f>
        <v>0</v>
      </c>
      <c r="J149" s="1632" t="str">
        <f>IF(ISNUMBER(BA!I47), BA!J47,"0")</f>
        <v>0</v>
      </c>
      <c r="K149" s="1844">
        <f t="shared" ref="K149:R154" si="29">IF(ISNUMBER(C149/C7*100),C149/C7*100,"0")</f>
        <v>0</v>
      </c>
      <c r="L149" s="609">
        <f t="shared" si="29"/>
        <v>0</v>
      </c>
      <c r="M149" s="609">
        <f t="shared" si="29"/>
        <v>0</v>
      </c>
      <c r="N149" s="609">
        <f t="shared" si="29"/>
        <v>0</v>
      </c>
      <c r="O149" s="609">
        <f t="shared" si="29"/>
        <v>0</v>
      </c>
      <c r="P149" s="609">
        <f t="shared" si="29"/>
        <v>0</v>
      </c>
      <c r="Q149" s="609">
        <f t="shared" si="29"/>
        <v>0</v>
      </c>
      <c r="R149" s="603">
        <f t="shared" si="29"/>
        <v>0</v>
      </c>
    </row>
    <row r="150" spans="2:18" s="57" customFormat="1" ht="12.5">
      <c r="B150" s="595" t="s">
        <v>1040</v>
      </c>
      <c r="C150" s="1646" t="str">
        <f>IF(ISNUMBER(BO!B47), BO!C47,"0")</f>
        <v>0</v>
      </c>
      <c r="D150" s="1843" t="str">
        <f>IF(ISNUMBER(BO!C47), BO!D47,"0")</f>
        <v>0</v>
      </c>
      <c r="E150" s="1843" t="str">
        <f>IF(ISNUMBER(BO!D47), BO!E47,"0")</f>
        <v>0</v>
      </c>
      <c r="F150" s="1843" t="str">
        <f>IF(ISNUMBER(BO!E47), BO!F47,"0")</f>
        <v>0</v>
      </c>
      <c r="G150" s="1843" t="str">
        <f>IF(ISNUMBER(BO!F47), BO!G47,"0")</f>
        <v>0</v>
      </c>
      <c r="H150" s="1843" t="str">
        <f>IF(ISNUMBER(BO!G47), BO!H47,"0")</f>
        <v>0</v>
      </c>
      <c r="I150" s="1843" t="str">
        <f>IF(ISNUMBER(BO!H47), BO!I47,"0")</f>
        <v>0</v>
      </c>
      <c r="J150" s="1632" t="str">
        <f>IF(ISNUMBER(BO!I47), BO!J47,"0")</f>
        <v>0</v>
      </c>
      <c r="K150" s="1844">
        <f t="shared" si="29"/>
        <v>0</v>
      </c>
      <c r="L150" s="609">
        <f t="shared" si="29"/>
        <v>0</v>
      </c>
      <c r="M150" s="609">
        <f t="shared" si="29"/>
        <v>0</v>
      </c>
      <c r="N150" s="609">
        <f t="shared" si="29"/>
        <v>0</v>
      </c>
      <c r="O150" s="609">
        <f t="shared" si="29"/>
        <v>0</v>
      </c>
      <c r="P150" s="609">
        <f t="shared" si="29"/>
        <v>0</v>
      </c>
      <c r="Q150" s="609">
        <f t="shared" si="29"/>
        <v>0</v>
      </c>
      <c r="R150" s="603">
        <f t="shared" si="29"/>
        <v>0</v>
      </c>
    </row>
    <row r="151" spans="2:18" s="57" customFormat="1" ht="12.5">
      <c r="B151" s="595" t="s">
        <v>1041</v>
      </c>
      <c r="C151" s="1646" t="str">
        <f>IF(ISNUMBER(BR!B47), BR!C47,"0")</f>
        <v>0</v>
      </c>
      <c r="D151" s="1843" t="str">
        <f>IF(ISNUMBER(BR!C47), BR!D47,"0")</f>
        <v>0</v>
      </c>
      <c r="E151" s="1843" t="str">
        <f>IF(ISNUMBER(BR!D47), BR!E47,"0")</f>
        <v>0</v>
      </c>
      <c r="F151" s="1843" t="str">
        <f>IF(ISNUMBER(BR!E47), BR!F47,"0")</f>
        <v>0</v>
      </c>
      <c r="G151" s="1843" t="str">
        <f>IF(ISNUMBER(BR!F47), BR!G47,"0")</f>
        <v>0</v>
      </c>
      <c r="H151" s="1843" t="str">
        <f>IF(ISNUMBER(BR!G47), BR!H47,"0")</f>
        <v>0</v>
      </c>
      <c r="I151" s="1843" t="str">
        <f>IF(ISNUMBER(BR!H47), BR!I47,"0")</f>
        <v>0</v>
      </c>
      <c r="J151" s="1632" t="str">
        <f>IF(ISNUMBER(BR!I47), BR!J47,"0")</f>
        <v>0</v>
      </c>
      <c r="K151" s="1844">
        <f t="shared" si="29"/>
        <v>0</v>
      </c>
      <c r="L151" s="609">
        <f t="shared" si="29"/>
        <v>0</v>
      </c>
      <c r="M151" s="609">
        <f t="shared" si="29"/>
        <v>0</v>
      </c>
      <c r="N151" s="609">
        <f t="shared" si="29"/>
        <v>0</v>
      </c>
      <c r="O151" s="609">
        <f t="shared" si="29"/>
        <v>0</v>
      </c>
      <c r="P151" s="609">
        <f t="shared" si="29"/>
        <v>0</v>
      </c>
      <c r="Q151" s="609">
        <f t="shared" si="29"/>
        <v>0</v>
      </c>
      <c r="R151" s="603">
        <f t="shared" si="29"/>
        <v>0</v>
      </c>
    </row>
    <row r="152" spans="2:18" s="57" customFormat="1" ht="12.5">
      <c r="B152" s="595" t="s">
        <v>1042</v>
      </c>
      <c r="C152" s="1646">
        <f>IF(ISNUMBER(CL!C47), CL!C47,"0")</f>
        <v>73.032915143732097</v>
      </c>
      <c r="D152" s="1843">
        <f>IF(ISNUMBER(CL!D47), CL!D47,"0")</f>
        <v>96.25934769700568</v>
      </c>
      <c r="E152" s="1843">
        <f>IF(ISNUMBER(CL!E47), CL!E47,"0")</f>
        <v>26.994717439194357</v>
      </c>
      <c r="F152" s="1843">
        <f>IF(ISNUMBER(CL!F47), CL!F47,"0")</f>
        <v>46.060661226878189</v>
      </c>
      <c r="G152" s="1843">
        <f>IF(ISNUMBER(CL!G47), CL!G47,"0")</f>
        <v>43.895728517011889</v>
      </c>
      <c r="H152" s="1843">
        <f>IF(ISNUMBER(CL!H47), CL!H47,"0")</f>
        <v>48.41427976686095</v>
      </c>
      <c r="I152" s="1843">
        <f>IF(ISNUMBER(CL!I47), CL!I47,"0")</f>
        <v>89.168018634271107</v>
      </c>
      <c r="J152" s="1632">
        <f>IF(ISNUMBER(CL!J47), CL!J47,"0")</f>
        <v>230.59827384485007</v>
      </c>
      <c r="K152" s="1844">
        <f t="shared" si="29"/>
        <v>2.9851207957543376E-2</v>
      </c>
      <c r="L152" s="609">
        <f t="shared" si="29"/>
        <v>4.2674182473256557E-2</v>
      </c>
      <c r="M152" s="609">
        <f t="shared" si="29"/>
        <v>1.0624974963951568E-2</v>
      </c>
      <c r="N152" s="609">
        <f t="shared" si="29"/>
        <v>1.576438069877056E-2</v>
      </c>
      <c r="O152" s="609">
        <f t="shared" si="29"/>
        <v>1.5966155523856319E-2</v>
      </c>
      <c r="P152" s="609">
        <f t="shared" si="29"/>
        <v>1.8166757000834758E-2</v>
      </c>
      <c r="Q152" s="609">
        <f t="shared" si="29"/>
        <v>4.4470068995756014E-2</v>
      </c>
      <c r="R152" s="603">
        <f t="shared" si="29"/>
        <v>7.1872318725528461E-2</v>
      </c>
    </row>
    <row r="153" spans="2:18" s="57" customFormat="1" ht="12.5">
      <c r="B153" s="595" t="s">
        <v>1043</v>
      </c>
      <c r="C153" s="1646">
        <f>IF(ISNUMBER(CO!C47), CO!C47,"0")</f>
        <v>30.752866359312176</v>
      </c>
      <c r="D153" s="1843">
        <f>IF(ISNUMBER(CO!D47), CO!D47,"0")</f>
        <v>20.288381181595632</v>
      </c>
      <c r="E153" s="1843">
        <f>IF(ISNUMBER(CO!E47), CO!E47,"0")</f>
        <v>29.493507569875128</v>
      </c>
      <c r="F153" s="1843">
        <f>IF(ISNUMBER(CO!F47), CO!F47,"0")</f>
        <v>23.937279999999998</v>
      </c>
      <c r="G153" s="1843">
        <f>IF(ISNUMBER(CO!G47), CO!G47,"0")</f>
        <v>18.001189396107392</v>
      </c>
      <c r="H153" s="1843">
        <f>IF(ISNUMBER(CO!H47), CO!H47,"0")</f>
        <v>18.239885040004395</v>
      </c>
      <c r="I153" s="1843">
        <f>IF(ISNUMBER(CO!I47), CO!I47,"0")</f>
        <v>19.298167804806994</v>
      </c>
      <c r="J153" s="1632">
        <f>IF(ISNUMBER(CO!J47), CO!J47,"0")</f>
        <v>15.191871547488674</v>
      </c>
      <c r="K153" s="1844">
        <f t="shared" si="29"/>
        <v>9.6440835401093074E-3</v>
      </c>
      <c r="L153" s="609">
        <f t="shared" si="29"/>
        <v>7.9406341656186648E-3</v>
      </c>
      <c r="M153" s="609">
        <f t="shared" si="29"/>
        <v>1.0245810065502649E-2</v>
      </c>
      <c r="N153" s="609">
        <f t="shared" si="29"/>
        <v>7.7600319314785563E-3</v>
      </c>
      <c r="O153" s="609">
        <f t="shared" si="29"/>
        <v>5.9334137216498981E-3</v>
      </c>
      <c r="P153" s="609">
        <f t="shared" si="29"/>
        <v>5.6299325849216699E-3</v>
      </c>
      <c r="Q153" s="609">
        <f t="shared" si="29"/>
        <v>6.6047948043695985E-3</v>
      </c>
      <c r="R153" s="603">
        <f t="shared" si="29"/>
        <v>5.1376146913421628E-3</v>
      </c>
    </row>
    <row r="154" spans="2:18" s="57" customFormat="1" ht="12.5">
      <c r="B154" s="595" t="s">
        <v>1044</v>
      </c>
      <c r="C154" s="1646">
        <f>IF(ISNUMBER(CR!C47), CR!C47,"0")</f>
        <v>0</v>
      </c>
      <c r="D154" s="1843">
        <f>IF(ISNUMBER(CR!D47), CR!D47,"0")</f>
        <v>0</v>
      </c>
      <c r="E154" s="1843">
        <f>IF(ISNUMBER(CR!E47), CR!E47,"0")</f>
        <v>0</v>
      </c>
      <c r="F154" s="1843">
        <f>IF(ISNUMBER(CR!F47), CR!F47,"0")</f>
        <v>0</v>
      </c>
      <c r="G154" s="1843">
        <f>IF(ISNUMBER(CR!G47), CR!G47,"0")</f>
        <v>0</v>
      </c>
      <c r="H154" s="1843">
        <f>IF(ISNUMBER(CR!H47), CR!H47,"0")</f>
        <v>0</v>
      </c>
      <c r="I154" s="1843">
        <f>IF(ISNUMBER(CR!I47), CR!I47,"0")</f>
        <v>0</v>
      </c>
      <c r="J154" s="1632">
        <f>IF(ISNUMBER(CR!J47), CR!J47,"0")</f>
        <v>0</v>
      </c>
      <c r="K154" s="1844">
        <f t="shared" si="29"/>
        <v>0</v>
      </c>
      <c r="L154" s="609">
        <f t="shared" si="29"/>
        <v>0</v>
      </c>
      <c r="M154" s="609">
        <f t="shared" si="29"/>
        <v>0</v>
      </c>
      <c r="N154" s="609">
        <f t="shared" si="29"/>
        <v>0</v>
      </c>
      <c r="O154" s="609">
        <f t="shared" si="29"/>
        <v>0</v>
      </c>
      <c r="P154" s="609">
        <f t="shared" si="29"/>
        <v>0</v>
      </c>
      <c r="Q154" s="609">
        <f t="shared" si="29"/>
        <v>0</v>
      </c>
      <c r="R154" s="603">
        <f t="shared" si="29"/>
        <v>0</v>
      </c>
    </row>
    <row r="155" spans="2:18" s="57" customFormat="1" ht="12.5">
      <c r="B155" s="595" t="s">
        <v>1061</v>
      </c>
      <c r="C155" s="1646">
        <v>7.7</v>
      </c>
      <c r="D155" s="1843">
        <v>10.4</v>
      </c>
      <c r="E155" s="1843">
        <f>IFERROR(CW!E58,0)</f>
        <v>56.425698324022342</v>
      </c>
      <c r="F155" s="1843">
        <f>IFERROR(CW!F58,0)</f>
        <v>36.92178770949721</v>
      </c>
      <c r="G155" s="1843">
        <f>IFERROR(CW!G58,0)</f>
        <v>23.981564245810056</v>
      </c>
      <c r="H155" s="1843">
        <f>IFERROR(CW!H58,0)</f>
        <v>50.377094972067034</v>
      </c>
      <c r="I155" s="1843">
        <f>IFERROR(CW!I58,0)</f>
        <v>8.8027932960893853</v>
      </c>
      <c r="J155" s="1632">
        <f>IFERROR(CW!J58,0)</f>
        <v>-2.7731843575418997</v>
      </c>
      <c r="K155" s="1844">
        <f t="shared" ref="K155:K164" si="30">IF(ISNUMBER(C155/C15*100),C155/C15*100,"0")</f>
        <v>0.17485693523480789</v>
      </c>
      <c r="L155" s="609">
        <f t="shared" ref="L155:R155" si="31">IF(ISNUMBER(D155/D15*100),D155/D15*100,"0")</f>
        <v>8.0410713181171545E-2</v>
      </c>
      <c r="M155" s="609">
        <f t="shared" si="31"/>
        <v>1.2775522078447739</v>
      </c>
      <c r="N155" s="609">
        <f t="shared" si="31"/>
        <v>0.85884707350036382</v>
      </c>
      <c r="O155" s="609">
        <f t="shared" si="31"/>
        <v>0.56021688812419013</v>
      </c>
      <c r="P155" s="609">
        <f t="shared" si="31"/>
        <v>1.1302433389154256</v>
      </c>
      <c r="Q155" s="609">
        <f t="shared" si="31"/>
        <v>0.23460767371818295</v>
      </c>
      <c r="R155" s="603">
        <f t="shared" si="31"/>
        <v>-6.7681178075710391E-2</v>
      </c>
    </row>
    <row r="156" spans="2:18" s="57" customFormat="1" ht="12.5">
      <c r="B156" s="595" t="s">
        <v>1047</v>
      </c>
      <c r="C156" s="1646">
        <f>IF(ISNUMBER(EC!C46), EC!C46,"0")</f>
        <v>775.69775403999995</v>
      </c>
      <c r="D156" s="1843">
        <f>IF(ISNUMBER(EC!D46), EC!D46,"0")</f>
        <v>828.46987810999997</v>
      </c>
      <c r="E156" s="1843">
        <f>IF(ISNUMBER(EC!E46), EC!E46,"0")</f>
        <v>781.27948203999995</v>
      </c>
      <c r="F156" s="1843">
        <f>IF(ISNUMBER(EC!F46), EC!F46,"0")</f>
        <v>810.54596834999995</v>
      </c>
      <c r="G156" s="1843">
        <f>IF(ISNUMBER(EC!G46), EC!G46,"0")</f>
        <v>874.32119233999993</v>
      </c>
      <c r="H156" s="1843">
        <f>IF(ISNUMBER(EC!H46), EC!H46,"0")</f>
        <v>1038.29042011</v>
      </c>
      <c r="I156" s="1843">
        <f>IF(ISNUMBER(EC!I46), EC!I46,"0")</f>
        <v>1301.0137953200001</v>
      </c>
      <c r="J156" s="1632">
        <f>IF(ISNUMBER(EC!J46), EC!J46,"0")</f>
        <v>1202.3790416700001</v>
      </c>
      <c r="K156" s="1844">
        <f t="shared" si="30"/>
        <v>0.7625339025206157</v>
      </c>
      <c r="L156" s="609">
        <f t="shared" ref="L156:L164" si="32">IF(ISNUMBER(D156/D16*100),D156/D16*100,"0")</f>
        <v>0.8343908826917571</v>
      </c>
      <c r="M156" s="609">
        <f t="shared" ref="M156:M164" si="33">IF(ISNUMBER(E156/E16*100),E156/E16*100,"0")</f>
        <v>0.78176652258356949</v>
      </c>
      <c r="N156" s="609">
        <f t="shared" ref="N156:N164" si="34">IF(ISNUMBER(F156/F16*100),F156/F16*100,"0")</f>
        <v>0.77716025195055682</v>
      </c>
      <c r="O156" s="609">
        <f t="shared" ref="O156:O164" si="35">IF(ISNUMBER(G156/G16*100),G156/G16*100,"0")</f>
        <v>0.81285315544028969</v>
      </c>
      <c r="P156" s="609">
        <f t="shared" ref="P156:P164" si="36">IF(ISNUMBER(H156/H16*100),H156/H16*100,"0")</f>
        <v>0.96041951018245553</v>
      </c>
      <c r="Q156" s="609">
        <f t="shared" ref="Q156:Q164" si="37">IF(ISNUMBER(I156/I16*100),I156/I16*100,"0")</f>
        <v>1.3167088329377348</v>
      </c>
      <c r="R156" s="603">
        <f t="shared" ref="R156:R164" si="38">IF(ISNUMBER(J156/J16*100),J156/J16*100,"0")</f>
        <v>1.1325462404818869</v>
      </c>
    </row>
    <row r="157" spans="2:18" s="57" customFormat="1" ht="12.5">
      <c r="B157" s="595" t="s">
        <v>1048</v>
      </c>
      <c r="C157" s="1646" t="str">
        <f>IF(ISNUMBER(GT!B47), GT!C47,"0")</f>
        <v>0</v>
      </c>
      <c r="D157" s="1843">
        <f>IF(ISNUMBER(GT!C47), GT!D47,"0")</f>
        <v>0</v>
      </c>
      <c r="E157" s="1843">
        <f>IF(ISNUMBER(GT!D47), GT!E47,"0")</f>
        <v>0</v>
      </c>
      <c r="F157" s="1843">
        <f>IF(ISNUMBER(GT!E47), GT!F47,"0")</f>
        <v>0</v>
      </c>
      <c r="G157" s="1843">
        <f>IF(ISNUMBER(GT!F47), GT!G47,"0")</f>
        <v>0</v>
      </c>
      <c r="H157" s="1843">
        <f>IF(ISNUMBER(GT!G47), GT!H47,"0")</f>
        <v>0</v>
      </c>
      <c r="I157" s="1843">
        <f>IF(ISNUMBER(GT!H47), GT!I47,"0")</f>
        <v>0</v>
      </c>
      <c r="J157" s="1632">
        <f>IF(ISNUMBER(GT!I47), GT!J47,"0")</f>
        <v>0</v>
      </c>
      <c r="K157" s="1844">
        <f t="shared" si="30"/>
        <v>0</v>
      </c>
      <c r="L157" s="609">
        <f t="shared" si="32"/>
        <v>0</v>
      </c>
      <c r="M157" s="609">
        <f t="shared" si="33"/>
        <v>0</v>
      </c>
      <c r="N157" s="609">
        <f t="shared" si="34"/>
        <v>0</v>
      </c>
      <c r="O157" s="609">
        <f t="shared" si="35"/>
        <v>0</v>
      </c>
      <c r="P157" s="609">
        <f t="shared" si="36"/>
        <v>0</v>
      </c>
      <c r="Q157" s="609">
        <f t="shared" si="37"/>
        <v>0</v>
      </c>
      <c r="R157" s="603">
        <f t="shared" si="38"/>
        <v>0</v>
      </c>
    </row>
    <row r="158" spans="2:18" s="57" customFormat="1" ht="12.5">
      <c r="B158" s="595" t="s">
        <v>1049</v>
      </c>
      <c r="C158" s="1646" t="str">
        <f>IF(ISNUMBER(GT!B47), GT!C47,"0")</f>
        <v>0</v>
      </c>
      <c r="D158" s="1843">
        <f>IF(ISNUMBER(GT!C47), GT!D47,"0")</f>
        <v>0</v>
      </c>
      <c r="E158" s="1843">
        <f>IF(ISNUMBER(GT!D47), GT!E47,"0")</f>
        <v>0</v>
      </c>
      <c r="F158" s="1843">
        <f>IF(ISNUMBER(GT!E47), GT!F47,"0")</f>
        <v>0</v>
      </c>
      <c r="G158" s="1843">
        <f>IF(ISNUMBER(GT!F47), GT!G47,"0")</f>
        <v>0</v>
      </c>
      <c r="H158" s="1843">
        <f>IF(ISNUMBER(GT!G47), GT!H47,"0")</f>
        <v>0</v>
      </c>
      <c r="I158" s="1843">
        <f>IF(ISNUMBER(GT!H47), GT!I47,"0")</f>
        <v>0</v>
      </c>
      <c r="J158" s="1632">
        <f>IF(ISNUMBER(GT!I47), GT!J47,"0")</f>
        <v>0</v>
      </c>
      <c r="K158" s="1844">
        <f t="shared" si="30"/>
        <v>0</v>
      </c>
      <c r="L158" s="609">
        <f t="shared" si="32"/>
        <v>0</v>
      </c>
      <c r="M158" s="609">
        <f t="shared" si="33"/>
        <v>0</v>
      </c>
      <c r="N158" s="609">
        <f t="shared" si="34"/>
        <v>0</v>
      </c>
      <c r="O158" s="609">
        <f t="shared" si="35"/>
        <v>0</v>
      </c>
      <c r="P158" s="609">
        <f t="shared" si="36"/>
        <v>0</v>
      </c>
      <c r="Q158" s="609">
        <f t="shared" si="37"/>
        <v>0</v>
      </c>
      <c r="R158" s="603">
        <f t="shared" si="38"/>
        <v>0</v>
      </c>
    </row>
    <row r="159" spans="2:18" s="57" customFormat="1" ht="12.5">
      <c r="B159" s="595" t="s">
        <v>1050</v>
      </c>
      <c r="C159" s="1646">
        <f>IF(ISNUMBER(HN!C47), HN!C47,"0")</f>
        <v>14.397335444119205</v>
      </c>
      <c r="D159" s="1843">
        <f>IF(ISNUMBER(HN!D47), HN!D47,"0")</f>
        <v>11.596547428722328</v>
      </c>
      <c r="E159" s="1843">
        <f>IF(ISNUMBER(HN!E47), HN!E47,"0")</f>
        <v>17.001084760796253</v>
      </c>
      <c r="F159" s="1843">
        <f>IF(ISNUMBER(HN!F47), HN!F47,"0")</f>
        <v>35.021016506195032</v>
      </c>
      <c r="G159" s="1843">
        <f>IF(ISNUMBER(HN!G47), HN!G47,"0")</f>
        <v>42.298269905821101</v>
      </c>
      <c r="H159" s="1843">
        <f>IF(ISNUMBER(HN!H47), HN!H47,"0")</f>
        <v>58.415473223615756</v>
      </c>
      <c r="I159" s="1843">
        <f>IF(ISNUMBER(HN!I47), HN!I47,"0")</f>
        <v>129.82873097334982</v>
      </c>
      <c r="J159" s="1632">
        <f>IF(ISNUMBER(HN!J47), HN!J47,"0")</f>
        <v>150.83730511259742</v>
      </c>
      <c r="K159" s="1844">
        <f t="shared" si="30"/>
        <v>7.3002731231316342E-2</v>
      </c>
      <c r="L159" s="609">
        <f t="shared" si="32"/>
        <v>5.6338836804338772E-2</v>
      </c>
      <c r="M159" s="609">
        <f t="shared" si="33"/>
        <v>7.8830537721766264E-2</v>
      </c>
      <c r="N159" s="609">
        <f t="shared" si="34"/>
        <v>0.15242821608272314</v>
      </c>
      <c r="O159" s="609">
        <f t="shared" si="35"/>
        <v>0.17697696129343912</v>
      </c>
      <c r="P159" s="609">
        <f t="shared" si="36"/>
        <v>0.23445413914740137</v>
      </c>
      <c r="Q159" s="609">
        <f t="shared" si="37"/>
        <v>0.54867492205330204</v>
      </c>
      <c r="R159" s="603">
        <f t="shared" si="38"/>
        <v>0.53316920015229374</v>
      </c>
    </row>
    <row r="160" spans="2:18" s="57" customFormat="1" ht="12.5">
      <c r="B160" s="595" t="s">
        <v>1051</v>
      </c>
      <c r="C160" s="1646">
        <f>IF(ISNUMBER(JM!C47), JM!C47,"0")</f>
        <v>0</v>
      </c>
      <c r="D160" s="1843">
        <f>IF(ISNUMBER(JM!D47), JM!D47,"0")</f>
        <v>0</v>
      </c>
      <c r="E160" s="1843">
        <f>IF(ISNUMBER(JM!E47), JM!E47,"0")</f>
        <v>0</v>
      </c>
      <c r="F160" s="1843">
        <f>IF(ISNUMBER(JM!F47), JM!F47,"0")</f>
        <v>0</v>
      </c>
      <c r="G160" s="1843">
        <f>IF(ISNUMBER(JM!G47), JM!G47,"0")</f>
        <v>0</v>
      </c>
      <c r="H160" s="1843">
        <f>IF(ISNUMBER(JM!H47), JM!H47,"0")</f>
        <v>0</v>
      </c>
      <c r="I160" s="1843">
        <f>IF(ISNUMBER(JM!I47), JM!I47,"0")</f>
        <v>0</v>
      </c>
      <c r="J160" s="1632">
        <f>IF(ISNUMBER(JM!J47), JM!J47,"0")</f>
        <v>0</v>
      </c>
      <c r="K160" s="1844">
        <f t="shared" si="30"/>
        <v>0</v>
      </c>
      <c r="L160" s="609">
        <f t="shared" si="32"/>
        <v>0</v>
      </c>
      <c r="M160" s="609">
        <f t="shared" si="33"/>
        <v>0</v>
      </c>
      <c r="N160" s="609">
        <f t="shared" si="34"/>
        <v>0</v>
      </c>
      <c r="O160" s="609">
        <f t="shared" si="35"/>
        <v>0</v>
      </c>
      <c r="P160" s="609">
        <f t="shared" si="36"/>
        <v>0</v>
      </c>
      <c r="Q160" s="609">
        <f t="shared" si="37"/>
        <v>0</v>
      </c>
      <c r="R160" s="603">
        <f t="shared" si="38"/>
        <v>0</v>
      </c>
    </row>
    <row r="161" spans="2:18" s="57" customFormat="1" ht="12.5">
      <c r="B161" s="595" t="s">
        <v>1052</v>
      </c>
      <c r="C161" s="1646">
        <f>IF(ISNUMBER(RD!C47), RD!C47,"0")</f>
        <v>847.41443317580354</v>
      </c>
      <c r="D161" s="1843">
        <f>IF(ISNUMBER(RD!D47), RD!D47,"0")</f>
        <v>943.88406711371022</v>
      </c>
      <c r="E161" s="1843">
        <f>IF(ISNUMBER(RD!E47), RD!E47,"0")</f>
        <v>1001.5180839863483</v>
      </c>
      <c r="F161" s="1843">
        <f>IF(ISNUMBER(RD!F47), RD!F47,"0")</f>
        <v>1223.934600211649</v>
      </c>
      <c r="G161" s="1843">
        <f>IF(ISNUMBER(RD!G47), RD!G47,"0")</f>
        <v>1255.1381200470889</v>
      </c>
      <c r="H161" s="1843">
        <f>IF(ISNUMBER(RD!H47), RD!H47,"0")</f>
        <v>1007.7820138750373</v>
      </c>
      <c r="I161" s="1843">
        <f>IF(ISNUMBER(RD!I47), RD!I47,"0")</f>
        <v>1307.9319532429004</v>
      </c>
      <c r="J161" s="1632">
        <f>IF(ISNUMBER(RD!J47), RD!J47,"0")</f>
        <v>1729.6365663364327</v>
      </c>
      <c r="K161" s="1844">
        <f t="shared" si="30"/>
        <v>1.280341840563209</v>
      </c>
      <c r="L161" s="609">
        <f t="shared" si="32"/>
        <v>1.3388077386134198</v>
      </c>
      <c r="M161" s="609">
        <f t="shared" si="33"/>
        <v>1.3387999000065409</v>
      </c>
      <c r="N161" s="609">
        <f t="shared" si="34"/>
        <v>1.5511548695903237</v>
      </c>
      <c r="O161" s="609">
        <f t="shared" si="35"/>
        <v>1.4875761914894048</v>
      </c>
      <c r="P161" s="609">
        <f t="shared" si="36"/>
        <v>1.1685913761429072</v>
      </c>
      <c r="Q161" s="609">
        <f t="shared" si="37"/>
        <v>1.7054930178947219</v>
      </c>
      <c r="R161" s="603">
        <f t="shared" si="38"/>
        <v>1.8327261571276194</v>
      </c>
    </row>
    <row r="162" spans="2:18" s="57" customFormat="1" ht="12.5">
      <c r="B162" s="595" t="s">
        <v>1053</v>
      </c>
      <c r="C162" s="1646">
        <f>IF(ISNUMBER(PY!C47), PY!C47,"0")</f>
        <v>11352.354936271333</v>
      </c>
      <c r="D162" s="1843">
        <f>IF(ISNUMBER(PY!D47), PY!D47,"0")</f>
        <v>10541.304231631979</v>
      </c>
      <c r="E162" s="1843">
        <f>IF(ISNUMBER(PY!E47), PY!E47,"0")</f>
        <v>11115.749092818865</v>
      </c>
      <c r="F162" s="1843">
        <f>IF(ISNUMBER(PY!F47), PY!F47,"0")</f>
        <v>12437.995186354048</v>
      </c>
      <c r="G162" s="1843">
        <f>IF(ISNUMBER(PY!G47), PY!G47,"0")</f>
        <v>12351.945759663364</v>
      </c>
      <c r="H162" s="1843">
        <f>IF(ISNUMBER(PY!H47), PY!H47,"0")</f>
        <v>12672.309397376415</v>
      </c>
      <c r="I162" s="1843">
        <f>IF(ISNUMBER(PY!I47), PY!I47,"0")</f>
        <v>14179.996836894004</v>
      </c>
      <c r="J162" s="1632">
        <f>IF(ISNUMBER(PY!J47), PY!J47,"0")</f>
        <v>14474.23862131123</v>
      </c>
      <c r="K162" s="1844">
        <f t="shared" si="30"/>
        <v>29.239695344030309</v>
      </c>
      <c r="L162" s="609">
        <f t="shared" si="32"/>
        <v>32.438068801411639</v>
      </c>
      <c r="M162" s="609">
        <f t="shared" si="33"/>
        <v>31.282193349509441</v>
      </c>
      <c r="N162" s="609">
        <f t="shared" si="34"/>
        <v>31.673475141806961</v>
      </c>
      <c r="O162" s="609">
        <f t="shared" si="35"/>
        <v>31.928376566272764</v>
      </c>
      <c r="P162" s="609">
        <f t="shared" si="36"/>
        <v>34.510012502747102</v>
      </c>
      <c r="Q162" s="609">
        <f t="shared" si="37"/>
        <v>40.462530614189255</v>
      </c>
      <c r="R162" s="603">
        <f t="shared" si="38"/>
        <v>39.164865705899281</v>
      </c>
    </row>
    <row r="163" spans="2:18" s="57" customFormat="1" ht="12.5">
      <c r="B163" s="595" t="s">
        <v>1054</v>
      </c>
      <c r="C163" s="1646">
        <f>IF(ISNUMBER(PE!C47), PE!C47,"0")</f>
        <v>0</v>
      </c>
      <c r="D163" s="1843">
        <f>IF(ISNUMBER(PE!D47), PE!D47,"0")</f>
        <v>0</v>
      </c>
      <c r="E163" s="1843">
        <f>IF(ISNUMBER(PE!E47), PE!E47,"0")</f>
        <v>0</v>
      </c>
      <c r="F163" s="1843">
        <f>IF(ISNUMBER(PE!F47), PE!F47,"0")</f>
        <v>0</v>
      </c>
      <c r="G163" s="1843">
        <f>IF(ISNUMBER(PE!G47), PE!G47,"0")</f>
        <v>0</v>
      </c>
      <c r="H163" s="1843">
        <f>IF(ISNUMBER(PE!H47), PE!H47,"0")</f>
        <v>0</v>
      </c>
      <c r="I163" s="1843">
        <f>IF(ISNUMBER(PE!I47), PE!I47,"0")</f>
        <v>0</v>
      </c>
      <c r="J163" s="1632">
        <f>IF(ISNUMBER(PE!J47), PE!J47,"0")</f>
        <v>0</v>
      </c>
      <c r="K163" s="1844">
        <f t="shared" si="30"/>
        <v>0</v>
      </c>
      <c r="L163" s="609">
        <f t="shared" si="32"/>
        <v>0</v>
      </c>
      <c r="M163" s="609">
        <f t="shared" si="33"/>
        <v>0</v>
      </c>
      <c r="N163" s="609">
        <f t="shared" si="34"/>
        <v>0</v>
      </c>
      <c r="O163" s="609">
        <f t="shared" si="35"/>
        <v>0</v>
      </c>
      <c r="P163" s="609">
        <f t="shared" si="36"/>
        <v>0</v>
      </c>
      <c r="Q163" s="609">
        <f t="shared" si="37"/>
        <v>0</v>
      </c>
      <c r="R163" s="603">
        <f t="shared" si="38"/>
        <v>0</v>
      </c>
    </row>
    <row r="164" spans="2:18" s="57" customFormat="1" ht="12.5">
      <c r="B164" s="604" t="s">
        <v>1055</v>
      </c>
      <c r="C164" s="1647">
        <f>IF(ISNUMBER(TT!C47), TT!C47,"0")</f>
        <v>3.2768734764488476</v>
      </c>
      <c r="D164" s="1643">
        <f>IF(ISNUMBER(TT!D47), TT!D47,"0")</f>
        <v>1.611626892641286</v>
      </c>
      <c r="E164" s="1643">
        <f>IF(ISNUMBER(TT!E47), TT!E47,"0")</f>
        <v>4.4246961162170173</v>
      </c>
      <c r="F164" s="1643">
        <f>IF(ISNUMBER(TT!F47), TT!F47,"0")</f>
        <v>4.655946175742117</v>
      </c>
      <c r="G164" s="1643">
        <f>IF(ISNUMBER(TT!G47), TT!G47,"0")</f>
        <v>13.424330243567905</v>
      </c>
      <c r="H164" s="1643">
        <f>IF(ISNUMBER(TT!H47), TT!H47,"0")</f>
        <v>1.1407277056053</v>
      </c>
      <c r="I164" s="1643">
        <f>IF(ISNUMBER(TT!I47), TT!I47,"0")</f>
        <v>1.3281764196919164</v>
      </c>
      <c r="J164" s="1635">
        <f>IF(ISNUMBER(TT!J47), TT!J47,"0")</f>
        <v>5.463364140480591</v>
      </c>
      <c r="K164" s="610">
        <f t="shared" si="30"/>
        <v>1.1070280541167059E-2</v>
      </c>
      <c r="L164" s="617">
        <f t="shared" si="32"/>
        <v>5.979518783313746E-3</v>
      </c>
      <c r="M164" s="617">
        <f t="shared" si="33"/>
        <v>1.8759270360267689E-2</v>
      </c>
      <c r="N164" s="617">
        <f t="shared" si="34"/>
        <v>1.9490814030078428E-2</v>
      </c>
      <c r="O164" s="617">
        <f t="shared" si="35"/>
        <v>5.5078784464833309E-2</v>
      </c>
      <c r="P164" s="617">
        <f t="shared" si="36"/>
        <v>4.7836849031418736E-3</v>
      </c>
      <c r="Q164" s="617">
        <f t="shared" si="37"/>
        <v>6.3061247143711349E-3</v>
      </c>
      <c r="R164" s="618">
        <f t="shared" si="38"/>
        <v>2.2331294504235252E-2</v>
      </c>
    </row>
    <row r="165" spans="2:18" s="57" customFormat="1" ht="12.5">
      <c r="C165" s="582"/>
      <c r="D165" s="582"/>
      <c r="E165" s="582"/>
      <c r="F165" s="582"/>
      <c r="G165" s="582"/>
      <c r="H165" s="582"/>
      <c r="I165" s="582"/>
      <c r="J165" s="582"/>
      <c r="K165" s="582"/>
      <c r="L165" s="582"/>
      <c r="M165" s="582"/>
      <c r="N165" s="582"/>
      <c r="O165" s="582"/>
      <c r="P165" s="582"/>
      <c r="Q165" s="582"/>
    </row>
    <row r="166" spans="2:18" s="57" customFormat="1" ht="13">
      <c r="B166" s="2157" t="s">
        <v>1074</v>
      </c>
      <c r="C166" s="2157"/>
      <c r="D166" s="2157"/>
      <c r="E166" s="2157"/>
      <c r="F166" s="2157"/>
      <c r="G166" s="2157"/>
      <c r="H166" s="2157"/>
      <c r="I166" s="2157"/>
      <c r="J166" s="2157"/>
      <c r="K166" s="2157"/>
      <c r="L166" s="2157"/>
      <c r="M166" s="2157"/>
      <c r="N166" s="2157"/>
      <c r="O166" s="2157"/>
      <c r="P166" s="2157"/>
      <c r="Q166" s="2157"/>
      <c r="R166" s="2157"/>
    </row>
    <row r="167" spans="2:18" s="57" customFormat="1" ht="13">
      <c r="B167" s="2179" t="s">
        <v>1075</v>
      </c>
      <c r="C167" s="2179"/>
      <c r="D167" s="2179"/>
      <c r="E167" s="2179"/>
      <c r="F167" s="2179"/>
      <c r="G167" s="2179"/>
      <c r="H167" s="2179"/>
      <c r="I167" s="2179"/>
      <c r="J167" s="2179"/>
      <c r="K167" s="2179"/>
      <c r="L167" s="2179"/>
      <c r="M167" s="2179"/>
      <c r="N167" s="2179"/>
      <c r="O167" s="2179"/>
      <c r="P167" s="2179"/>
      <c r="Q167" s="2179"/>
    </row>
    <row r="168" spans="2:18" s="57" customFormat="1" ht="13">
      <c r="B168" s="581" t="s">
        <v>1035</v>
      </c>
      <c r="C168" s="611"/>
      <c r="D168" s="611"/>
      <c r="E168" s="611"/>
      <c r="F168" s="611"/>
      <c r="G168" s="611"/>
      <c r="H168" s="611"/>
      <c r="I168" s="611"/>
      <c r="J168" s="611"/>
      <c r="K168" s="611"/>
      <c r="L168" s="611"/>
      <c r="M168" s="611"/>
      <c r="N168" s="611"/>
      <c r="O168" s="611"/>
      <c r="P168" s="611"/>
      <c r="Q168" s="611"/>
    </row>
    <row r="169" spans="2:18" s="57" customFormat="1" ht="13">
      <c r="B169" s="612"/>
      <c r="C169" s="613"/>
      <c r="D169" s="613"/>
      <c r="E169" s="613"/>
      <c r="F169" s="613"/>
      <c r="G169" s="613"/>
      <c r="H169" s="613"/>
      <c r="I169" s="613"/>
      <c r="J169" s="613"/>
      <c r="K169" s="613"/>
      <c r="L169" s="613"/>
      <c r="M169" s="613"/>
      <c r="N169" s="613"/>
      <c r="O169" s="613"/>
      <c r="P169" s="613"/>
      <c r="Q169" s="613"/>
    </row>
    <row r="170" spans="2:18" s="57" customFormat="1" ht="13">
      <c r="B170" s="612"/>
      <c r="C170" s="2176" t="s">
        <v>399</v>
      </c>
      <c r="D170" s="2176"/>
      <c r="E170" s="2176"/>
      <c r="F170" s="2176"/>
      <c r="G170" s="2176"/>
      <c r="H170" s="2176"/>
      <c r="I170" s="2176"/>
      <c r="J170" s="2176"/>
      <c r="K170" s="2176"/>
      <c r="L170" s="2176"/>
      <c r="M170" s="2176"/>
      <c r="N170" s="2176"/>
      <c r="O170" s="2176"/>
      <c r="P170" s="2176"/>
      <c r="Q170" s="2176"/>
      <c r="R170" s="2176"/>
    </row>
    <row r="171" spans="2:18" s="57" customFormat="1" ht="13">
      <c r="B171" s="583"/>
      <c r="C171" s="2183" t="s">
        <v>1076</v>
      </c>
      <c r="D171" s="2184"/>
      <c r="E171" s="2184"/>
      <c r="F171" s="2184"/>
      <c r="G171" s="2184"/>
      <c r="H171" s="2184"/>
      <c r="I171" s="2184"/>
      <c r="J171" s="2185"/>
      <c r="K171" s="2177" t="s">
        <v>1077</v>
      </c>
      <c r="L171" s="2177"/>
      <c r="M171" s="2177"/>
      <c r="N171" s="2177"/>
      <c r="O171" s="2177"/>
      <c r="P171" s="2177"/>
      <c r="Q171" s="2177"/>
      <c r="R171" s="2177"/>
    </row>
    <row r="172" spans="2:18" s="57" customFormat="1" ht="12.5">
      <c r="C172" s="585">
        <v>2014</v>
      </c>
      <c r="D172" s="586">
        <v>2015</v>
      </c>
      <c r="E172" s="586">
        <v>2016</v>
      </c>
      <c r="F172" s="586">
        <v>2017</v>
      </c>
      <c r="G172" s="586">
        <v>2018</v>
      </c>
      <c r="H172" s="586">
        <v>2019</v>
      </c>
      <c r="I172" s="586">
        <v>2020</v>
      </c>
      <c r="J172" s="586">
        <v>2021</v>
      </c>
      <c r="K172" s="585">
        <v>2014</v>
      </c>
      <c r="L172" s="586">
        <v>2015</v>
      </c>
      <c r="M172" s="586">
        <v>2016</v>
      </c>
      <c r="N172" s="586">
        <v>2017</v>
      </c>
      <c r="O172" s="586">
        <v>2018</v>
      </c>
      <c r="P172" s="586">
        <v>2019</v>
      </c>
      <c r="Q172" s="586">
        <v>2020</v>
      </c>
      <c r="R172" s="640">
        <v>2021</v>
      </c>
    </row>
    <row r="173" spans="2:18" s="57" customFormat="1" ht="12.5">
      <c r="B173" s="589" t="s">
        <v>1038</v>
      </c>
      <c r="C173" s="1641">
        <f>SUM(ARG!C103,ARG!C109,ARG!C115)</f>
        <v>81</v>
      </c>
      <c r="D173" s="1636">
        <f>SUM(ARG!D103,ARG!D109,ARG!D115)</f>
        <v>78</v>
      </c>
      <c r="E173" s="1636">
        <f>SUM(ARG!E103,ARG!E109,ARG!E115)</f>
        <v>81</v>
      </c>
      <c r="F173" s="1636">
        <f>SUM(ARG!F103,ARG!F109,ARG!F115)</f>
        <v>80</v>
      </c>
      <c r="G173" s="1636">
        <f>SUM(ARG!G103,ARG!G109,ARG!G115)</f>
        <v>81</v>
      </c>
      <c r="H173" s="1636">
        <f>SUM(ARG!H103,ARG!H109,ARG!H115)</f>
        <v>81</v>
      </c>
      <c r="I173" s="1636">
        <f>SUM(ARG!I103,ARG!I109,ARG!I115)</f>
        <v>122</v>
      </c>
      <c r="J173" s="1638">
        <f>SUM(ARG!J103,ARG!J109,ARG!J115)</f>
        <v>167</v>
      </c>
      <c r="K173" s="623">
        <f t="shared" ref="K173:R179" si="39">IF(ISNUMBER(C173/K6),C173/K6,"0")</f>
        <v>1.8983114402559205</v>
      </c>
      <c r="L173" s="624">
        <f t="shared" si="39"/>
        <v>1.8084035399638403</v>
      </c>
      <c r="M173" s="624">
        <f t="shared" si="39"/>
        <v>1.8582086758248979</v>
      </c>
      <c r="N173" s="624">
        <f t="shared" si="39"/>
        <v>1.8163320078726186</v>
      </c>
      <c r="O173" s="624">
        <f t="shared" si="39"/>
        <v>1.8204496366764595</v>
      </c>
      <c r="P173" s="624">
        <f t="shared" si="39"/>
        <v>1.8024548634148658</v>
      </c>
      <c r="Q173" s="624">
        <f t="shared" si="39"/>
        <v>2.688586728959605</v>
      </c>
      <c r="R173" s="625">
        <f t="shared" si="39"/>
        <v>3.6454922506003054</v>
      </c>
    </row>
    <row r="174" spans="2:18" s="57" customFormat="1" ht="12.5">
      <c r="B174" s="595" t="s">
        <v>1039</v>
      </c>
      <c r="C174" s="720">
        <f>SUM(BA!C93,BA!C99,BA!C105)</f>
        <v>7</v>
      </c>
      <c r="D174" s="721">
        <f>SUM(BA!D93,BA!D99,BA!D105)</f>
        <v>7</v>
      </c>
      <c r="E174" s="721">
        <f>SUM(BA!E93,BA!E99,BA!E105)</f>
        <v>7</v>
      </c>
      <c r="F174" s="721">
        <f>SUM(BA!F93,BA!F99,BA!F105)</f>
        <v>7</v>
      </c>
      <c r="G174" s="721">
        <f>SUM(BA!G93,BA!G99,BA!G105)</f>
        <v>7</v>
      </c>
      <c r="H174" s="721">
        <f>SUM(BA!H93,BA!H99,BA!H105)</f>
        <v>7</v>
      </c>
      <c r="I174" s="721">
        <f>SUM(BA!I93,BA!I99,BA!I105)</f>
        <v>14</v>
      </c>
      <c r="J174" s="1639">
        <f>SUM(BA!J93,BA!J99,BA!J105)</f>
        <v>14</v>
      </c>
      <c r="K174" s="1866">
        <f t="shared" si="39"/>
        <v>1.9129864451246172E-2</v>
      </c>
      <c r="L174" s="627">
        <f t="shared" si="39"/>
        <v>1.8935807612194658E-2</v>
      </c>
      <c r="M174" s="627">
        <f t="shared" si="39"/>
        <v>1.8742636821248795E-2</v>
      </c>
      <c r="N174" s="627">
        <f t="shared" si="39"/>
        <v>1.8549925800296799E-2</v>
      </c>
      <c r="O174" s="627">
        <f t="shared" si="39"/>
        <v>1.8357285219762928E-2</v>
      </c>
      <c r="P174" s="627">
        <f t="shared" si="39"/>
        <v>1.8165775678621477E-2</v>
      </c>
      <c r="Q174" s="627">
        <f t="shared" si="39"/>
        <v>3.5951824555096171E-2</v>
      </c>
      <c r="R174" s="628">
        <f t="shared" si="39"/>
        <v>3.5578144853875476E-2</v>
      </c>
    </row>
    <row r="175" spans="2:18" s="57" customFormat="1" ht="12.5">
      <c r="B175" s="595" t="s">
        <v>1040</v>
      </c>
      <c r="C175" s="720">
        <f>SUM(BO!C91,BO!C97,BO!C103)</f>
        <v>52</v>
      </c>
      <c r="D175" s="721">
        <f>SUM(BO!D91,BO!D97,BO!D103)</f>
        <v>54</v>
      </c>
      <c r="E175" s="721">
        <f>SUM(BO!E91,BO!E97,BO!E103)</f>
        <v>63</v>
      </c>
      <c r="F175" s="721">
        <f>SUM(BO!F91,BO!F97,BO!F103)</f>
        <v>65</v>
      </c>
      <c r="G175" s="721">
        <f>SUM(BO!G91,BO!G97,BO!G103)</f>
        <v>62</v>
      </c>
      <c r="H175" s="721">
        <f>SUM(BO!H91,BO!H97,BO!H103)</f>
        <v>62</v>
      </c>
      <c r="I175" s="721">
        <f>SUM(BO!I91,BO!I97,BO!I103)</f>
        <v>65</v>
      </c>
      <c r="J175" s="1639">
        <f>SUM(BO!J91,BO!J97,BO!J103)</f>
        <v>70</v>
      </c>
      <c r="K175" s="1866">
        <f t="shared" si="39"/>
        <v>5.0078199022485269E-3</v>
      </c>
      <c r="L175" s="627">
        <f t="shared" si="39"/>
        <v>5.1103754153377264E-3</v>
      </c>
      <c r="M175" s="627">
        <f t="shared" si="39"/>
        <v>5.8588621790269012E-3</v>
      </c>
      <c r="N175" s="627">
        <f t="shared" si="39"/>
        <v>5.9401823409359657E-3</v>
      </c>
      <c r="O175" s="627">
        <f t="shared" si="39"/>
        <v>5.5679047397967883E-3</v>
      </c>
      <c r="P175" s="627">
        <f t="shared" si="39"/>
        <v>5.4714884096683219E-3</v>
      </c>
      <c r="Q175" s="627">
        <f t="shared" si="39"/>
        <v>5.566304708425826E-3</v>
      </c>
      <c r="R175" s="628">
        <f t="shared" si="39"/>
        <v>5.9111861174949579E-3</v>
      </c>
    </row>
    <row r="176" spans="2:18" s="57" customFormat="1" ht="12.5">
      <c r="B176" s="595" t="s">
        <v>1041</v>
      </c>
      <c r="C176" s="720">
        <f>SUM(BR!C96,BR!C102,BR!C108)</f>
        <v>1315</v>
      </c>
      <c r="D176" s="721">
        <f>SUM(BR!D96,BR!D102,BR!D108)</f>
        <v>1266</v>
      </c>
      <c r="E176" s="721">
        <f>SUM(BR!E96,BR!E102,BR!E108)</f>
        <v>1232</v>
      </c>
      <c r="F176" s="721">
        <f>SUM(BR!F96,BR!F102,BR!F108)</f>
        <v>1156</v>
      </c>
      <c r="G176" s="721">
        <f>SUM(BR!G96,BR!G102,BR!G108)</f>
        <v>1113</v>
      </c>
      <c r="H176" s="721">
        <f>SUM(BR!H96,BR!H102,BR!H108)</f>
        <v>1072</v>
      </c>
      <c r="I176" s="721">
        <f>SUM(BR!I96,BR!I102,BR!I108)</f>
        <v>1043</v>
      </c>
      <c r="J176" s="1639">
        <f>SUM(BR!J96,BR!J102,BR!J108)</f>
        <v>1017</v>
      </c>
      <c r="K176" s="1866">
        <f t="shared" si="39"/>
        <v>6.5190166084763048E-3</v>
      </c>
      <c r="L176" s="627">
        <f t="shared" si="39"/>
        <v>6.2218736968190939E-3</v>
      </c>
      <c r="M176" s="627">
        <f t="shared" si="39"/>
        <v>6.0051691150428427E-3</v>
      </c>
      <c r="N176" s="627">
        <f t="shared" si="39"/>
        <v>5.5898138234654875E-3</v>
      </c>
      <c r="O176" s="627">
        <f t="shared" si="39"/>
        <v>5.3382600725485375E-3</v>
      </c>
      <c r="P176" s="627">
        <f t="shared" si="39"/>
        <v>5.1011880367147541E-3</v>
      </c>
      <c r="Q176" s="627">
        <f t="shared" si="39"/>
        <v>4.9254874338867825E-3</v>
      </c>
      <c r="R176" s="628">
        <f t="shared" si="39"/>
        <v>4.7675301662306975E-3</v>
      </c>
    </row>
    <row r="177" spans="2:18" s="57" customFormat="1" ht="12.5">
      <c r="B177" s="595" t="s">
        <v>1042</v>
      </c>
      <c r="C177" s="720">
        <f>SUM(CL!C96,CL!C108,CL!C102)</f>
        <v>22</v>
      </c>
      <c r="D177" s="721">
        <f>SUM(CL!D96,CL!D108,CL!D102)</f>
        <v>23</v>
      </c>
      <c r="E177" s="721">
        <f>SUM(CL!E96,CL!E108,CL!E102)</f>
        <v>23</v>
      </c>
      <c r="F177" s="721">
        <f>SUM(CL!F96,CL!F108,CL!F102)</f>
        <v>20</v>
      </c>
      <c r="G177" s="721">
        <f>SUM(CL!G96,CL!G108,CL!G102)</f>
        <v>18</v>
      </c>
      <c r="H177" s="721">
        <f>SUM(CL!H96,CL!H108,CL!H102)</f>
        <v>18</v>
      </c>
      <c r="I177" s="721">
        <f>SUM(CL!I96,CL!I108,CL!I102)</f>
        <v>18</v>
      </c>
      <c r="J177" s="1639">
        <f>SUM(CL!J96,CL!J108,CL!J102)</f>
        <v>17</v>
      </c>
      <c r="K177" s="1866">
        <f t="shared" si="39"/>
        <v>1.2368154767442993E-3</v>
      </c>
      <c r="L177" s="627">
        <f t="shared" si="39"/>
        <v>1.2798096177470198E-3</v>
      </c>
      <c r="M177" s="627">
        <f t="shared" si="39"/>
        <v>1.2660215717966061E-3</v>
      </c>
      <c r="N177" s="627">
        <f t="shared" si="39"/>
        <v>1.0858239601389682E-3</v>
      </c>
      <c r="O177" s="627">
        <f t="shared" si="39"/>
        <v>9.5992806939000045E-4</v>
      </c>
      <c r="P177" s="627">
        <f t="shared" si="39"/>
        <v>9.4205246855428855E-4</v>
      </c>
      <c r="Q177" s="627">
        <f t="shared" si="39"/>
        <v>9.2505464246381102E-4</v>
      </c>
      <c r="R177" s="628">
        <f t="shared" si="39"/>
        <v>8.6389299760351E-4</v>
      </c>
    </row>
    <row r="178" spans="2:18" s="57" customFormat="1" ht="12.5">
      <c r="B178" s="595" t="s">
        <v>1043</v>
      </c>
      <c r="C178" s="720">
        <f>SUM(CO!C93,CO!C99,CO!C105)</f>
        <v>53</v>
      </c>
      <c r="D178" s="721">
        <f>SUM(CO!D93,CO!D99,CO!D105)</f>
        <v>52</v>
      </c>
      <c r="E178" s="721">
        <f>SUM(CO!E93,CO!E99,CO!E105)</f>
        <v>51</v>
      </c>
      <c r="F178" s="721">
        <f>SUM(CO!F93,CO!F99,CO!F105)</f>
        <v>50</v>
      </c>
      <c r="G178" s="721">
        <f>SUM(CO!G93,CO!G99,CO!G105)</f>
        <v>50</v>
      </c>
      <c r="H178" s="721">
        <f>SUM(CO!H93,CO!H99,CO!H105)</f>
        <v>49</v>
      </c>
      <c r="I178" s="721">
        <f>SUM(CO!I93,CO!I99,CO!I105)</f>
        <v>46</v>
      </c>
      <c r="J178" s="1639">
        <f>SUM(CO!J93,CO!J99,CO!J105)</f>
        <v>49</v>
      </c>
      <c r="K178" s="1866">
        <f t="shared" si="39"/>
        <v>1.1120019482274133E-3</v>
      </c>
      <c r="L178" s="627">
        <f t="shared" si="39"/>
        <v>1.0787619671265962E-3</v>
      </c>
      <c r="M178" s="627">
        <f t="shared" si="39"/>
        <v>1.0462030337918657E-3</v>
      </c>
      <c r="N178" s="627">
        <f t="shared" si="39"/>
        <v>1.0143714318597309E-3</v>
      </c>
      <c r="O178" s="627">
        <f t="shared" si="39"/>
        <v>1.0033262271081089E-3</v>
      </c>
      <c r="P178" s="627">
        <f t="shared" si="39"/>
        <v>9.7271479418605585E-4</v>
      </c>
      <c r="Q178" s="627">
        <f t="shared" si="39"/>
        <v>9.1319806249546382E-4</v>
      </c>
      <c r="R178" s="628">
        <f t="shared" si="39"/>
        <v>9.5985272959980925E-4</v>
      </c>
    </row>
    <row r="179" spans="2:18" s="57" customFormat="1" ht="12.5">
      <c r="B179" s="595" t="s">
        <v>1044</v>
      </c>
      <c r="C179" s="720">
        <f>SUM(CR!C95,CR!C101,CR!C107)</f>
        <v>51</v>
      </c>
      <c r="D179" s="721">
        <f>SUM(CR!D95,CR!D101,CR!D107)</f>
        <v>52</v>
      </c>
      <c r="E179" s="721">
        <f>SUM(CR!E95,CR!E101,CR!E107)</f>
        <v>53</v>
      </c>
      <c r="F179" s="721">
        <f>SUM(CR!F95,CR!F101,CR!F107)</f>
        <v>49</v>
      </c>
      <c r="G179" s="721">
        <f>SUM(CR!G95,CR!G101,CR!G107)</f>
        <v>47</v>
      </c>
      <c r="H179" s="721">
        <f>SUM(CR!H95,CR!H101,CR!H107)</f>
        <v>46</v>
      </c>
      <c r="I179" s="721">
        <f>SUM(CR!I95,CR!I101,CR!I107)</f>
        <v>44</v>
      </c>
      <c r="J179" s="1639">
        <f>SUM(CR!J95,CR!J101,CR!J107)</f>
        <v>46</v>
      </c>
      <c r="K179" s="1866">
        <f t="shared" si="39"/>
        <v>1.0684837314971616E-2</v>
      </c>
      <c r="L179" s="627">
        <f t="shared" si="39"/>
        <v>1.0761083864644604E-2</v>
      </c>
      <c r="M179" s="627">
        <f t="shared" si="39"/>
        <v>1.0837621350686614E-2</v>
      </c>
      <c r="N179" s="627">
        <f t="shared" si="39"/>
        <v>9.9040299497865688E-3</v>
      </c>
      <c r="O179" s="627">
        <f t="shared" si="39"/>
        <v>9.3936086681844569E-3</v>
      </c>
      <c r="P179" s="627">
        <f t="shared" si="39"/>
        <v>9.094490905433298E-3</v>
      </c>
      <c r="Q179" s="627">
        <f t="shared" si="39"/>
        <v>8.6084815726683028E-3</v>
      </c>
      <c r="R179" s="628">
        <f t="shared" si="39"/>
        <v>8.9095124734143057E-3</v>
      </c>
    </row>
    <row r="180" spans="2:18" s="57" customFormat="1" ht="12.5">
      <c r="B180" s="595" t="s">
        <v>1061</v>
      </c>
      <c r="C180" s="720">
        <v>42</v>
      </c>
      <c r="D180" s="721">
        <v>42</v>
      </c>
      <c r="E180" s="721">
        <f>SUM(CW!E107,CW!E113,CW!E119)</f>
        <v>41</v>
      </c>
      <c r="F180" s="721">
        <f>SUM(CW!F107,CW!F113,CW!F119)</f>
        <v>42</v>
      </c>
      <c r="G180" s="721">
        <f>SUM(CW!G107,CW!G113,CW!G119)</f>
        <v>41</v>
      </c>
      <c r="H180" s="721">
        <f>SUM(CW!H107,CW!H113,CW!H119)</f>
        <v>41</v>
      </c>
      <c r="I180" s="721">
        <f>SUM(CW!I107,CW!I113,CW!I119)</f>
        <v>40</v>
      </c>
      <c r="J180" s="1639">
        <f>SUM(CW!J107,CW!J113,CW!J119)</f>
        <v>41</v>
      </c>
      <c r="K180" s="1866">
        <f>IF(ISNUMBER(C180/K15),C180/K15,"0")</f>
        <v>0.21638330757341578</v>
      </c>
      <c r="L180" s="627">
        <f t="shared" ref="L180:R180" si="40">IF(ISNUMBER(D180/L15),D180/L15,"0")</f>
        <v>0.21169354838709678</v>
      </c>
      <c r="M180" s="627">
        <f t="shared" si="40"/>
        <v>0.20410195141377938</v>
      </c>
      <c r="N180" s="627">
        <f t="shared" si="40"/>
        <v>0.209351011863224</v>
      </c>
      <c r="O180" s="627">
        <f t="shared" si="40"/>
        <v>0.20516413130504405</v>
      </c>
      <c r="P180" s="627">
        <f t="shared" si="40"/>
        <v>0.20679915262786241</v>
      </c>
      <c r="Q180" s="627">
        <f t="shared" si="40"/>
        <v>0.20382165605095542</v>
      </c>
      <c r="R180" s="628">
        <f t="shared" si="40"/>
        <v>0.27139736545972065</v>
      </c>
    </row>
    <row r="181" spans="2:18" s="57" customFormat="1" ht="12.5">
      <c r="B181" s="595" t="s">
        <v>1047</v>
      </c>
      <c r="C181" s="720">
        <f>SUM(EC!C98,EC!C92,EC!C104)</f>
        <v>24</v>
      </c>
      <c r="D181" s="721">
        <f>SUM(EC!D98,EC!D92,EC!D104)</f>
        <v>24</v>
      </c>
      <c r="E181" s="721">
        <f>SUM(EC!E98,EC!E92,EC!E104)</f>
        <v>25</v>
      </c>
      <c r="F181" s="721">
        <f>SUM(EC!F98,EC!F92,EC!F104)</f>
        <v>25</v>
      </c>
      <c r="G181" s="721">
        <f>SUM(EC!G98,EC!G92,EC!G104)</f>
        <v>24</v>
      </c>
      <c r="H181" s="721">
        <f>SUM(EC!H98,EC!H92,EC!H104)</f>
        <v>24</v>
      </c>
      <c r="I181" s="721">
        <f>SUM(EC!I98,EC!I92,EC!I104)</f>
        <v>581</v>
      </c>
      <c r="J181" s="1639">
        <f>SUM(EC!J98,EC!J92,EC!J104)</f>
        <v>564</v>
      </c>
      <c r="K181" s="1866">
        <f t="shared" ref="K181:R181" si="41">IF(ISNUMBER(C181/K16),C181/K16,"0")</f>
        <v>1.4974294751272597</v>
      </c>
      <c r="L181" s="627">
        <f t="shared" si="41"/>
        <v>1.4743061608060131</v>
      </c>
      <c r="M181" s="627">
        <f t="shared" si="41"/>
        <v>1.5125179006493543</v>
      </c>
      <c r="N181" s="627">
        <f t="shared" si="41"/>
        <v>1.490137347151397</v>
      </c>
      <c r="O181" s="627">
        <f t="shared" si="41"/>
        <v>1.4098234619061001</v>
      </c>
      <c r="P181" s="627">
        <f t="shared" si="41"/>
        <v>1.3898551921457429</v>
      </c>
      <c r="Q181" s="627">
        <f t="shared" si="41"/>
        <v>33.179820980874311</v>
      </c>
      <c r="R181" s="628">
        <f t="shared" si="41"/>
        <v>31.528681540974375</v>
      </c>
    </row>
    <row r="182" spans="2:18" s="57" customFormat="1" ht="12.5">
      <c r="B182" s="595" t="s">
        <v>1048</v>
      </c>
      <c r="C182" s="720">
        <f>SUM(SV!C93,SV!C99,SV!C105)</f>
        <v>9</v>
      </c>
      <c r="D182" s="721">
        <f>SUM(SV!D93,SV!D99,SV!D105)</f>
        <v>23</v>
      </c>
      <c r="E182" s="721">
        <f>SUM(SV!E93,SV!E99,SV!E105)</f>
        <v>23</v>
      </c>
      <c r="F182" s="721">
        <f>SUM(SV!F93,SV!F99,SV!F105)</f>
        <v>23</v>
      </c>
      <c r="G182" s="721">
        <f>SUM(SV!G93,SV!G99,SV!G105)</f>
        <v>24</v>
      </c>
      <c r="H182" s="721">
        <f>SUM(SV!H93,SV!H99,SV!H105)</f>
        <v>26</v>
      </c>
      <c r="I182" s="721">
        <f>SUM(SV!I93,SV!I99,SV!I105)</f>
        <v>25</v>
      </c>
      <c r="J182" s="1639">
        <f>SUM(SV!J93,SV!J99,SV!J105)</f>
        <v>24</v>
      </c>
      <c r="K182" s="1866">
        <f t="shared" ref="K182:Q189" si="42">IF(ISNUMBER(C182/K17),C182/K17,"0")</f>
        <v>1.4059775918415809</v>
      </c>
      <c r="L182" s="627">
        <f t="shared" si="42"/>
        <v>3.6741795117846112</v>
      </c>
      <c r="M182" s="627">
        <f t="shared" si="42"/>
        <v>3.66306141791374</v>
      </c>
      <c r="N182" s="627">
        <f t="shared" si="42"/>
        <v>3.6545096490177156</v>
      </c>
      <c r="O182" s="627">
        <f t="shared" si="42"/>
        <v>3.8062033502201889</v>
      </c>
      <c r="P182" s="627">
        <f t="shared" si="42"/>
        <v>4.1173410528199428</v>
      </c>
      <c r="Q182" s="627">
        <f t="shared" si="42"/>
        <v>3.9550441208901947</v>
      </c>
      <c r="R182" s="628">
        <f t="shared" ref="R182:R189" si="43">IF(ISNUMBER(J182/R16),J182/R16,"0")</f>
        <v>1.3416460230201861</v>
      </c>
    </row>
    <row r="183" spans="2:18" s="57" customFormat="1" ht="12.5">
      <c r="B183" s="595" t="s">
        <v>1049</v>
      </c>
      <c r="C183" s="720">
        <f>SUM(GT!C100,GT!C106,GT!C112)</f>
        <v>18</v>
      </c>
      <c r="D183" s="721">
        <f>SUM(GT!D100,GT!D106,GT!D112)</f>
        <v>17</v>
      </c>
      <c r="E183" s="721">
        <f>SUM(GT!E100,GT!E106,GT!E112)</f>
        <v>18</v>
      </c>
      <c r="F183" s="721">
        <f>SUM(GT!F100,GT!F106,GT!F112)</f>
        <v>18</v>
      </c>
      <c r="G183" s="721">
        <f>SUM(GT!G100,GT!G106,GT!G112)</f>
        <v>17</v>
      </c>
      <c r="H183" s="721">
        <f>SUM(GT!H100,GT!H106,GT!H112)</f>
        <v>16</v>
      </c>
      <c r="I183" s="721">
        <f>SUM(GT!I100,GT!I106,GT!I112)</f>
        <v>17</v>
      </c>
      <c r="J183" s="1639">
        <f>SUM(GT!J100,GT!J106,GT!J112)</f>
        <v>17</v>
      </c>
      <c r="K183" s="1866">
        <f t="shared" si="42"/>
        <v>1.1759851292760452E-3</v>
      </c>
      <c r="L183" s="627">
        <f t="shared" si="42"/>
        <v>1.0920243105167274E-3</v>
      </c>
      <c r="M183" s="627">
        <f t="shared" si="42"/>
        <v>1.1372474441943201E-3</v>
      </c>
      <c r="N183" s="627">
        <f t="shared" si="42"/>
        <v>1.1188868219872202E-3</v>
      </c>
      <c r="O183" s="627">
        <f t="shared" si="42"/>
        <v>1.0399493483493863E-3</v>
      </c>
      <c r="P183" s="627">
        <f t="shared" si="42"/>
        <v>9.6362171439625538E-4</v>
      </c>
      <c r="Q183" s="627">
        <f t="shared" si="42"/>
        <v>1.0084033812833096E-3</v>
      </c>
      <c r="R183" s="628">
        <f t="shared" si="43"/>
        <v>2.6873943814487586</v>
      </c>
    </row>
    <row r="184" spans="2:18" s="57" customFormat="1" ht="12.5">
      <c r="B184" s="595" t="s">
        <v>1050</v>
      </c>
      <c r="C184" s="720">
        <f>SUM(HN!C97,HN!C103,HN!C109)</f>
        <v>28</v>
      </c>
      <c r="D184" s="721">
        <f>SUM(HN!D97,HN!D103,HN!D109)</f>
        <v>26</v>
      </c>
      <c r="E184" s="721">
        <f>SUM(HN!E97,HN!E103,HN!E109)</f>
        <v>26</v>
      </c>
      <c r="F184" s="721">
        <f>SUM(HN!F97,HN!F103,HN!F109)</f>
        <v>26</v>
      </c>
      <c r="G184" s="721">
        <f>SUM(HN!G97,HN!G103,HN!G109)</f>
        <v>26</v>
      </c>
      <c r="H184" s="721">
        <f>SUM(HN!H97,HN!H103,HN!H109)</f>
        <v>26</v>
      </c>
      <c r="I184" s="721">
        <f>SUM(HN!I97,HN!I103,HN!I109)</f>
        <v>26</v>
      </c>
      <c r="J184" s="1639">
        <f>SUM(HN!J97,HN!J103,HN!J109)</f>
        <v>25</v>
      </c>
      <c r="K184" s="1866">
        <f t="shared" si="42"/>
        <v>3.3206240401321137E-3</v>
      </c>
      <c r="L184" s="627">
        <f t="shared" si="42"/>
        <v>3.0313629474175117E-3</v>
      </c>
      <c r="M184" s="627">
        <f t="shared" si="42"/>
        <v>2.9813094828574703E-3</v>
      </c>
      <c r="N184" s="627">
        <f t="shared" si="42"/>
        <v>2.9324190201209062E-3</v>
      </c>
      <c r="O184" s="627">
        <f t="shared" si="42"/>
        <v>2.8849781407425485E-3</v>
      </c>
      <c r="P184" s="627">
        <f t="shared" si="42"/>
        <v>2.838954827861066E-3</v>
      </c>
      <c r="Q184" s="627">
        <f t="shared" si="42"/>
        <v>2.7943768539615667E-3</v>
      </c>
      <c r="R184" s="628">
        <f t="shared" si="43"/>
        <v>1.4611555308886527E-3</v>
      </c>
    </row>
    <row r="185" spans="2:18" s="57" customFormat="1" ht="12.5">
      <c r="B185" s="595" t="s">
        <v>1051</v>
      </c>
      <c r="C185" s="720">
        <f>SUM(JM!C94,JM!C100,JM!C106)</f>
        <v>48</v>
      </c>
      <c r="D185" s="721">
        <f>SUM(JM!D94,JM!D100,JM!D106)</f>
        <v>45</v>
      </c>
      <c r="E185" s="721">
        <f>SUM(JM!E94,JM!E100,JM!E106)</f>
        <v>43</v>
      </c>
      <c r="F185" s="721">
        <f>SUM(JM!F94,JM!F100,JM!F106)</f>
        <v>39</v>
      </c>
      <c r="G185" s="721">
        <f>SUM(JM!G94,JM!G100,JM!G106)</f>
        <v>37</v>
      </c>
      <c r="H185" s="721">
        <f>SUM(JM!H94,JM!H100,JM!H106)</f>
        <v>36</v>
      </c>
      <c r="I185" s="721">
        <f>SUM(JM!I94,JM!I100,JM!I106)</f>
        <v>36</v>
      </c>
      <c r="J185" s="1639">
        <f>SUM(JM!J94,JM!J100,JM!J106)</f>
        <v>36</v>
      </c>
      <c r="K185" s="1866">
        <f t="shared" si="42"/>
        <v>1.7675280788405898E-2</v>
      </c>
      <c r="L185" s="627">
        <f t="shared" si="42"/>
        <v>1.6547341945305521E-2</v>
      </c>
      <c r="M185" s="627">
        <f t="shared" si="42"/>
        <v>1.579915816206556E-2</v>
      </c>
      <c r="N185" s="627">
        <f t="shared" si="42"/>
        <v>1.4307295767021463E-2</v>
      </c>
      <c r="O185" s="627">
        <f t="shared" si="42"/>
        <v>1.3548240156837357E-2</v>
      </c>
      <c r="P185" s="627">
        <f t="shared" si="42"/>
        <v>1.3167077040567764E-2</v>
      </c>
      <c r="Q185" s="627">
        <f t="shared" si="42"/>
        <v>1.315597134921795E-2</v>
      </c>
      <c r="R185" s="628">
        <f t="shared" si="43"/>
        <v>3.8092416434761444E-3</v>
      </c>
    </row>
    <row r="186" spans="2:18" s="57" customFormat="1" ht="12.5">
      <c r="B186" s="595" t="s">
        <v>1052</v>
      </c>
      <c r="C186" s="720">
        <f>SUM(RD!C108,RD!C114,RD!C120)</f>
        <v>64</v>
      </c>
      <c r="D186" s="721">
        <f>SUM(RD!D108,RD!D114,RD!D120)</f>
        <v>64</v>
      </c>
      <c r="E186" s="721">
        <f>SUM(RD!E108,RD!E114,RD!E120)</f>
        <v>59</v>
      </c>
      <c r="F186" s="721">
        <f>SUM(RD!F108,RD!F114,RD!F120)</f>
        <v>58</v>
      </c>
      <c r="G186" s="721">
        <f>SUM(RD!G108,RD!G114,RD!G120)</f>
        <v>51</v>
      </c>
      <c r="H186" s="721">
        <f>SUM(RD!H108,RD!H114,RD!H120)</f>
        <v>49</v>
      </c>
      <c r="I186" s="721">
        <f>SUM(RD!I108,RD!I114,RD!I120)</f>
        <v>48</v>
      </c>
      <c r="J186" s="1639">
        <f>SUM(RD!J108,RD!J114,RD!J120)</f>
        <v>47</v>
      </c>
      <c r="K186" s="1866">
        <f t="shared" si="42"/>
        <v>6.4754480352377692</v>
      </c>
      <c r="L186" s="627">
        <f t="shared" si="42"/>
        <v>6.4126695111531857</v>
      </c>
      <c r="M186" s="627">
        <f t="shared" si="42"/>
        <v>5.8560532483974024</v>
      </c>
      <c r="N186" s="627">
        <f t="shared" si="42"/>
        <v>5.703512537697268</v>
      </c>
      <c r="O186" s="627">
        <f t="shared" si="42"/>
        <v>4.9677829534716471</v>
      </c>
      <c r="P186" s="627">
        <f t="shared" si="42"/>
        <v>4.7304968373249716</v>
      </c>
      <c r="Q186" s="627">
        <f t="shared" si="42"/>
        <v>4.5939612953018418</v>
      </c>
      <c r="R186" s="628">
        <f t="shared" si="43"/>
        <v>1.7156415404270851E-2</v>
      </c>
    </row>
    <row r="187" spans="2:18" s="57" customFormat="1" ht="12.5">
      <c r="B187" s="595" t="s">
        <v>1053</v>
      </c>
      <c r="C187" s="720">
        <f>SUM(PY!C93,PY!C99,PY!C105)</f>
        <v>28</v>
      </c>
      <c r="D187" s="721">
        <f>SUM(PY!D93,PY!D99,PY!D105)</f>
        <v>28</v>
      </c>
      <c r="E187" s="721">
        <f>SUM(PY!E93,PY!E99,PY!E105)</f>
        <v>28</v>
      </c>
      <c r="F187" s="721">
        <f>SUM(PY!F93,PY!F99,PY!F105)</f>
        <v>28</v>
      </c>
      <c r="G187" s="721">
        <f>SUM(PY!G93,PY!G99,PY!G105)</f>
        <v>30</v>
      </c>
      <c r="H187" s="721">
        <f>SUM(PY!H93,PY!H99,PY!H105)</f>
        <v>29</v>
      </c>
      <c r="I187" s="721">
        <f>SUM(PY!I93,PY!I99,PY!I105)</f>
        <v>30</v>
      </c>
      <c r="J187" s="1639">
        <f>SUM(PY!J93,PY!J99,PY!J105)</f>
        <v>30</v>
      </c>
      <c r="K187" s="1866">
        <f t="shared" si="42"/>
        <v>4.2059522636435078E-3</v>
      </c>
      <c r="L187" s="627">
        <f t="shared" si="42"/>
        <v>4.144613870129636E-3</v>
      </c>
      <c r="M187" s="627">
        <f t="shared" si="42"/>
        <v>4.0848862709306653E-3</v>
      </c>
      <c r="N187" s="627">
        <f t="shared" si="42"/>
        <v>4.0266645728010888E-3</v>
      </c>
      <c r="O187" s="627">
        <f t="shared" si="42"/>
        <v>4.2535193973953994E-3</v>
      </c>
      <c r="P187" s="627">
        <f t="shared" si="42"/>
        <v>4.0544114704890808E-3</v>
      </c>
      <c r="Q187" s="627">
        <f t="shared" si="42"/>
        <v>4.1364065722247255E-3</v>
      </c>
      <c r="R187" s="628">
        <f t="shared" si="43"/>
        <v>2.8475060829848697</v>
      </c>
    </row>
    <row r="188" spans="2:18" s="57" customFormat="1" ht="12.5">
      <c r="B188" s="595" t="s">
        <v>1054</v>
      </c>
      <c r="C188" s="720">
        <f>SUM(PE!C99,PE!C105,PE!C111)</f>
        <v>52</v>
      </c>
      <c r="D188" s="721">
        <f>SUM(PE!D99,PE!D105,PE!D111)</f>
        <v>48</v>
      </c>
      <c r="E188" s="721">
        <f>SUM(PE!E99,PE!E105,PE!E111)</f>
        <v>47</v>
      </c>
      <c r="F188" s="721">
        <f>SUM(PE!F99,PE!F105,PE!F111)</f>
        <v>47</v>
      </c>
      <c r="G188" s="721">
        <f>SUM(PE!G99,PE!G105,PE!G111)</f>
        <v>47</v>
      </c>
      <c r="H188" s="721">
        <f>SUM(PE!H99,PE!H105,PE!H111)</f>
        <v>47</v>
      </c>
      <c r="I188" s="721">
        <f>SUM(PE!I99,PE!I105,PE!I111)</f>
        <v>47</v>
      </c>
      <c r="J188" s="1639">
        <f>SUM(PE!J99,PE!J105,PE!J111)</f>
        <v>46</v>
      </c>
      <c r="K188" s="1866">
        <f t="shared" si="42"/>
        <v>1.6875350386632126E-3</v>
      </c>
      <c r="L188" s="627">
        <f t="shared" si="42"/>
        <v>1.5408497073493041E-3</v>
      </c>
      <c r="M188" s="627">
        <f t="shared" si="42"/>
        <v>1.4926024874061664E-3</v>
      </c>
      <c r="N188" s="627">
        <f t="shared" si="42"/>
        <v>1.4767791559723244E-3</v>
      </c>
      <c r="O188" s="627">
        <f t="shared" si="42"/>
        <v>1.4613435455751388E-3</v>
      </c>
      <c r="P188" s="627">
        <f t="shared" si="42"/>
        <v>1.4463536654756304E-3</v>
      </c>
      <c r="Q188" s="627">
        <f t="shared" si="42"/>
        <v>1.4318634960050094E-3</v>
      </c>
      <c r="R188" s="628">
        <f t="shared" si="43"/>
        <v>6.2559174422922486E-3</v>
      </c>
    </row>
    <row r="189" spans="2:18" s="57" customFormat="1" ht="12.5">
      <c r="B189" s="604" t="s">
        <v>1055</v>
      </c>
      <c r="C189" s="1642">
        <f>SUM(TT!C100,TT!C106,TT!C112)</f>
        <v>10</v>
      </c>
      <c r="D189" s="1637">
        <f>SUM(TT!D100,TT!D106,TT!D112)</f>
        <v>10</v>
      </c>
      <c r="E189" s="1637">
        <f>SUM(TT!E100,TT!E106,TT!E112)</f>
        <v>10</v>
      </c>
      <c r="F189" s="1637">
        <f>SUM(TT!F100,TT!F106,TT!F112)</f>
        <v>10</v>
      </c>
      <c r="G189" s="1637">
        <f>SUM(TT!G100,TT!G106,TT!G112)</f>
        <v>10</v>
      </c>
      <c r="H189" s="1637">
        <f>SUM(TT!H100,TT!H106,TT!H112)</f>
        <v>10</v>
      </c>
      <c r="I189" s="1637">
        <f>SUM(TT!I100,TT!I106,TT!I112)</f>
        <v>10</v>
      </c>
      <c r="J189" s="1640">
        <f>SUM(TT!J100,TT!J106,TT!J112)</f>
        <v>10</v>
      </c>
      <c r="K189" s="629">
        <f t="shared" si="42"/>
        <v>7.4330486723460107E-3</v>
      </c>
      <c r="L189" s="630">
        <f t="shared" si="42"/>
        <v>7.4092350187120234E-3</v>
      </c>
      <c r="M189" s="630">
        <f t="shared" si="42"/>
        <v>7.3860971493358053E-3</v>
      </c>
      <c r="N189" s="630">
        <f t="shared" si="42"/>
        <v>7.3711902924372321E-3</v>
      </c>
      <c r="O189" s="630">
        <f t="shared" si="42"/>
        <v>7.3573068725339228E-3</v>
      </c>
      <c r="P189" s="630">
        <f t="shared" si="42"/>
        <v>7.3314589236685157E-3</v>
      </c>
      <c r="Q189" s="630">
        <f t="shared" si="42"/>
        <v>7.3167608699628676E-3</v>
      </c>
      <c r="R189" s="631">
        <f t="shared" si="43"/>
        <v>3.0166807967995187E-4</v>
      </c>
    </row>
    <row r="190" spans="2:18" s="57" customFormat="1" ht="12.5">
      <c r="C190" s="582"/>
      <c r="D190" s="582"/>
      <c r="E190" s="582"/>
      <c r="F190" s="582"/>
      <c r="G190" s="582"/>
      <c r="H190" s="582"/>
      <c r="I190" s="582"/>
      <c r="J190" s="582"/>
      <c r="K190" s="582"/>
      <c r="L190" s="582"/>
      <c r="M190" s="609"/>
      <c r="N190" s="582"/>
      <c r="O190" s="582"/>
      <c r="P190" s="582"/>
      <c r="Q190" s="582"/>
    </row>
    <row r="191" spans="2:18" s="57" customFormat="1" ht="13">
      <c r="B191" s="2157" t="s">
        <v>1078</v>
      </c>
      <c r="C191" s="2157"/>
      <c r="D191" s="2157"/>
      <c r="E191" s="2157"/>
      <c r="F191" s="2157"/>
      <c r="G191" s="2157"/>
      <c r="H191" s="2157"/>
      <c r="I191" s="2157"/>
      <c r="J191" s="2157"/>
      <c r="K191" s="2157"/>
      <c r="L191" s="2157"/>
      <c r="M191" s="2157"/>
      <c r="N191" s="2157"/>
      <c r="O191" s="2157"/>
      <c r="P191" s="2157"/>
      <c r="Q191" s="2157"/>
      <c r="R191" s="2157"/>
    </row>
    <row r="192" spans="2:18" s="57" customFormat="1" ht="12.5">
      <c r="B192" s="619"/>
      <c r="C192" s="621"/>
      <c r="D192" s="621"/>
      <c r="E192" s="621"/>
      <c r="F192" s="621"/>
      <c r="G192" s="621"/>
      <c r="H192" s="621"/>
      <c r="I192" s="621"/>
      <c r="J192" s="621"/>
      <c r="K192" s="622"/>
      <c r="L192" s="622"/>
      <c r="M192" s="622"/>
      <c r="N192" s="622"/>
      <c r="O192" s="622"/>
      <c r="P192" s="622"/>
      <c r="Q192" s="622"/>
    </row>
    <row r="193" spans="2:18" s="57" customFormat="1" ht="12.5">
      <c r="B193" s="619"/>
      <c r="C193" s="2176" t="s">
        <v>408</v>
      </c>
      <c r="D193" s="2176"/>
      <c r="E193" s="2176"/>
      <c r="F193" s="2176"/>
      <c r="G193" s="2176"/>
      <c r="H193" s="2176"/>
      <c r="I193" s="2176"/>
      <c r="J193" s="2176"/>
      <c r="K193" s="2176"/>
      <c r="L193" s="2176"/>
      <c r="M193" s="2176"/>
      <c r="N193" s="2176"/>
      <c r="O193" s="2176"/>
      <c r="P193" s="2176"/>
      <c r="Q193" s="2176"/>
      <c r="R193" s="2176"/>
    </row>
    <row r="194" spans="2:18" s="57" customFormat="1" ht="13">
      <c r="B194" s="583"/>
      <c r="C194" s="2188" t="s">
        <v>1076</v>
      </c>
      <c r="D194" s="2189"/>
      <c r="E194" s="2189"/>
      <c r="F194" s="2189"/>
      <c r="G194" s="2189"/>
      <c r="H194" s="2189"/>
      <c r="I194" s="2189"/>
      <c r="J194" s="2190"/>
      <c r="K194" s="2188" t="s">
        <v>1077</v>
      </c>
      <c r="L194" s="2189"/>
      <c r="M194" s="2189"/>
      <c r="N194" s="2189"/>
      <c r="O194" s="2189"/>
      <c r="P194" s="2189"/>
      <c r="Q194" s="2189"/>
      <c r="R194" s="2190"/>
    </row>
    <row r="195" spans="2:18" s="57" customFormat="1" ht="12.5">
      <c r="C195" s="585">
        <v>2014</v>
      </c>
      <c r="D195" s="586">
        <v>2015</v>
      </c>
      <c r="E195" s="586">
        <v>2016</v>
      </c>
      <c r="F195" s="586">
        <v>2017</v>
      </c>
      <c r="G195" s="586">
        <v>2018</v>
      </c>
      <c r="H195" s="586">
        <v>2019</v>
      </c>
      <c r="I195" s="586">
        <v>2020</v>
      </c>
      <c r="J195" s="586">
        <v>2021</v>
      </c>
      <c r="K195" s="587">
        <v>2014</v>
      </c>
      <c r="L195" s="588">
        <v>2015</v>
      </c>
      <c r="M195" s="588">
        <v>2016</v>
      </c>
      <c r="N195" s="588">
        <v>2017</v>
      </c>
      <c r="O195" s="588">
        <v>2018</v>
      </c>
      <c r="P195" s="588">
        <v>2019</v>
      </c>
      <c r="Q195" s="588">
        <v>2020</v>
      </c>
      <c r="R195" s="640">
        <v>2021</v>
      </c>
    </row>
    <row r="196" spans="2:18" s="57" customFormat="1" ht="12.5">
      <c r="B196" s="589" t="s">
        <v>1038</v>
      </c>
      <c r="C196" s="1641">
        <f>SUM(ARG!C104,ARG!C110)</f>
        <v>4401</v>
      </c>
      <c r="D196" s="1636">
        <f>SUM(ARG!D104,ARG!D110)</f>
        <v>4462</v>
      </c>
      <c r="E196" s="1636">
        <f>SUM(ARG!E104,ARG!E110)</f>
        <v>4550</v>
      </c>
      <c r="F196" s="1636">
        <f>SUM(ARG!F104,ARG!F110)</f>
        <v>5389</v>
      </c>
      <c r="G196" s="1636">
        <f>SUM(ARG!G104,ARG!G110)</f>
        <v>5278</v>
      </c>
      <c r="H196" s="1636">
        <f>SUM(ARG!H104,ARG!H110)</f>
        <v>5254</v>
      </c>
      <c r="I196" s="1636">
        <f>SUM(ARG!I104,ARG!I110)</f>
        <v>10920</v>
      </c>
      <c r="J196" s="1638">
        <f>SUM(ARG!J104,ARG!J110)</f>
        <v>5302</v>
      </c>
      <c r="K196" s="614">
        <f t="shared" ref="K196:R202" si="44">IF(ISNUMBER(C196/K6),C196/K6,"0")</f>
        <v>103.14158825390501</v>
      </c>
      <c r="L196" s="615">
        <f t="shared" si="44"/>
        <v>103.44995635023918</v>
      </c>
      <c r="M196" s="615">
        <f t="shared" si="44"/>
        <v>104.38085771608995</v>
      </c>
      <c r="N196" s="615">
        <f t="shared" si="44"/>
        <v>122.35266488031927</v>
      </c>
      <c r="O196" s="615">
        <f t="shared" si="44"/>
        <v>118.62139731331301</v>
      </c>
      <c r="P196" s="615">
        <f t="shared" si="44"/>
        <v>116.91478830100871</v>
      </c>
      <c r="Q196" s="615">
        <f t="shared" si="44"/>
        <v>240.65054983802366</v>
      </c>
      <c r="R196" s="616">
        <f t="shared" si="44"/>
        <v>115.73892163283125</v>
      </c>
    </row>
    <row r="197" spans="2:18" s="57" customFormat="1" ht="12.5">
      <c r="B197" s="595" t="s">
        <v>1039</v>
      </c>
      <c r="C197" s="720">
        <f>SUM(BA!C94,BA!C100)</f>
        <v>86</v>
      </c>
      <c r="D197" s="721">
        <f>SUM(BA!D94,BA!D100)</f>
        <v>76</v>
      </c>
      <c r="E197" s="721">
        <f>SUM(BA!E94,BA!E100)</f>
        <v>78</v>
      </c>
      <c r="F197" s="721">
        <f>SUM(BA!F94,BA!F100)</f>
        <v>74</v>
      </c>
      <c r="G197" s="721">
        <f>SUM(BA!G94,BA!G100)</f>
        <v>71</v>
      </c>
      <c r="H197" s="721">
        <f>SUM(BA!H94,BA!H100)</f>
        <v>66</v>
      </c>
      <c r="I197" s="721">
        <f>SUM(BA!I94,BA!I100)</f>
        <v>68</v>
      </c>
      <c r="J197" s="1639">
        <f>SUM(BA!J94,BA!J100)</f>
        <v>68</v>
      </c>
      <c r="K197" s="1844">
        <f t="shared" si="44"/>
        <v>0.23502404897245299</v>
      </c>
      <c r="L197" s="609">
        <f t="shared" si="44"/>
        <v>0.20558876836097059</v>
      </c>
      <c r="M197" s="609">
        <f t="shared" si="44"/>
        <v>0.20884652457962943</v>
      </c>
      <c r="N197" s="609">
        <f t="shared" si="44"/>
        <v>0.19609921560313759</v>
      </c>
      <c r="O197" s="609">
        <f t="shared" si="44"/>
        <v>0.18619532151473828</v>
      </c>
      <c r="P197" s="609">
        <f t="shared" si="44"/>
        <v>0.17127731354128822</v>
      </c>
      <c r="Q197" s="609">
        <f t="shared" si="44"/>
        <v>0.17462314783903854</v>
      </c>
      <c r="R197" s="603">
        <f t="shared" si="44"/>
        <v>0.17280813214739518</v>
      </c>
    </row>
    <row r="198" spans="2:18" s="57" customFormat="1" ht="12.5">
      <c r="B198" s="595" t="s">
        <v>1040</v>
      </c>
      <c r="C198" s="720">
        <f>SUM(BO!C92,BO!C98)</f>
        <v>2102</v>
      </c>
      <c r="D198" s="721">
        <f>SUM(BO!D92,BO!D98)</f>
        <v>2171</v>
      </c>
      <c r="E198" s="721">
        <f>SUM(BO!E92,BO!E98)</f>
        <v>2703</v>
      </c>
      <c r="F198" s="721">
        <f>SUM(BO!F92,BO!F98)</f>
        <v>2985</v>
      </c>
      <c r="G198" s="721">
        <f>SUM(BO!G92,BO!G98)</f>
        <v>3399</v>
      </c>
      <c r="H198" s="721">
        <f>SUM(BO!H92,BO!H98)</f>
        <v>3946</v>
      </c>
      <c r="I198" s="721">
        <f>SUM(BO!I92,BO!I98)</f>
        <v>4120</v>
      </c>
      <c r="J198" s="1639">
        <f>SUM(BO!J92,BO!J98)</f>
        <v>4578</v>
      </c>
      <c r="K198" s="1844">
        <f t="shared" si="44"/>
        <v>0.20243148912550779</v>
      </c>
      <c r="L198" s="609">
        <f t="shared" si="44"/>
        <v>0.2054560190129297</v>
      </c>
      <c r="M198" s="609">
        <f t="shared" si="44"/>
        <v>0.25137308682396375</v>
      </c>
      <c r="N198" s="609">
        <f t="shared" si="44"/>
        <v>0.2727914505799055</v>
      </c>
      <c r="O198" s="609">
        <f t="shared" si="44"/>
        <v>0.30524690662208526</v>
      </c>
      <c r="P198" s="609">
        <f t="shared" si="44"/>
        <v>0.34823376233147096</v>
      </c>
      <c r="Q198" s="609">
        <f t="shared" si="44"/>
        <v>0.35281808305714468</v>
      </c>
      <c r="R198" s="603">
        <f t="shared" si="44"/>
        <v>0.38659157208417022</v>
      </c>
    </row>
    <row r="199" spans="2:18" s="57" customFormat="1" ht="12.5">
      <c r="B199" s="595" t="s">
        <v>1041</v>
      </c>
      <c r="C199" s="720">
        <f>SUM(BR!C97,BR!C103)</f>
        <v>38413</v>
      </c>
      <c r="D199" s="721">
        <f>SUM(BR!D97,BR!D103)</f>
        <v>38508</v>
      </c>
      <c r="E199" s="721">
        <f>SUM(BR!E97,BR!E103)</f>
        <v>39147</v>
      </c>
      <c r="F199" s="721">
        <f>SUM(BR!F97,BR!F103)</f>
        <v>37567</v>
      </c>
      <c r="G199" s="721">
        <f>SUM(BR!G97,BR!G103)</f>
        <v>38050</v>
      </c>
      <c r="H199" s="721">
        <f>SUM(BR!H97,BR!H103)</f>
        <v>38506</v>
      </c>
      <c r="I199" s="721">
        <f>SUM(BR!I97,BR!I103)</f>
        <v>38050</v>
      </c>
      <c r="J199" s="1639">
        <f>SUM(BR!J97,BR!J103)</f>
        <v>37705</v>
      </c>
      <c r="K199" s="1844">
        <f t="shared" si="44"/>
        <v>0.19042964637368845</v>
      </c>
      <c r="L199" s="609">
        <f t="shared" si="44"/>
        <v>0.18925111557433624</v>
      </c>
      <c r="M199" s="609">
        <f t="shared" si="44"/>
        <v>0.1908152234956024</v>
      </c>
      <c r="N199" s="609">
        <f t="shared" si="44"/>
        <v>0.18165444282537022</v>
      </c>
      <c r="O199" s="609">
        <f t="shared" si="44"/>
        <v>0.18249846878748593</v>
      </c>
      <c r="P199" s="609">
        <f t="shared" si="44"/>
        <v>0.18323353222177083</v>
      </c>
      <c r="Q199" s="609">
        <f t="shared" si="44"/>
        <v>0.17968820408378916</v>
      </c>
      <c r="R199" s="603">
        <f t="shared" si="44"/>
        <v>0.17675489175784509</v>
      </c>
    </row>
    <row r="200" spans="2:18" s="57" customFormat="1" ht="12.5">
      <c r="B200" s="595" t="s">
        <v>1042</v>
      </c>
      <c r="C200" s="720">
        <f>SUM(CL!C97,CL!C109)</f>
        <v>2362</v>
      </c>
      <c r="D200" s="721">
        <f>SUM(CL!D97,CL!D109)</f>
        <v>2295</v>
      </c>
      <c r="E200" s="721">
        <f>SUM(CL!E97,CL!E109)</f>
        <v>2280</v>
      </c>
      <c r="F200" s="721">
        <f>SUM(CL!F97,CL!F109)</f>
        <v>2186</v>
      </c>
      <c r="G200" s="721">
        <f>SUM(CL!G97,CL!G109)</f>
        <v>2099</v>
      </c>
      <c r="H200" s="721">
        <f>SUM(CL!H97,CL!H109)</f>
        <v>1991</v>
      </c>
      <c r="I200" s="721">
        <f>SUM(CL!I97,CL!I109)</f>
        <v>1900</v>
      </c>
      <c r="J200" s="1639">
        <f>SUM(CL!J97,CL!J109)</f>
        <v>1734</v>
      </c>
      <c r="K200" s="1844">
        <f t="shared" si="44"/>
        <v>0.1327890070940925</v>
      </c>
      <c r="L200" s="609">
        <f t="shared" si="44"/>
        <v>0.12770274229258308</v>
      </c>
      <c r="M200" s="609">
        <f t="shared" si="44"/>
        <v>0.12550126885635923</v>
      </c>
      <c r="N200" s="609">
        <f t="shared" si="44"/>
        <v>0.11868055884318922</v>
      </c>
      <c r="O200" s="609">
        <f t="shared" si="44"/>
        <v>0.11193827875831172</v>
      </c>
      <c r="P200" s="609">
        <f t="shared" si="44"/>
        <v>0.10420147027175491</v>
      </c>
      <c r="Q200" s="609">
        <f t="shared" si="44"/>
        <v>9.7644656704513388E-2</v>
      </c>
      <c r="R200" s="603">
        <f t="shared" si="44"/>
        <v>8.8117085755558017E-2</v>
      </c>
    </row>
    <row r="201" spans="2:18" s="57" customFormat="1" ht="12.5">
      <c r="B201" s="595" t="s">
        <v>1043</v>
      </c>
      <c r="C201" s="720">
        <f>SUM(CO!C94,CO!C100)</f>
        <v>6258</v>
      </c>
      <c r="D201" s="721">
        <f>SUM(CO!D94,CO!D100)</f>
        <v>6460</v>
      </c>
      <c r="E201" s="721">
        <f>SUM(CO!E94,CO!E100)</f>
        <v>6472</v>
      </c>
      <c r="F201" s="721">
        <f>SUM(CO!F94,CO!F100)</f>
        <v>6391</v>
      </c>
      <c r="G201" s="721">
        <f>SUM(CO!G94,CO!G100)</f>
        <v>6347</v>
      </c>
      <c r="H201" s="721">
        <f>SUM(CO!H94,CO!H100)</f>
        <v>6348</v>
      </c>
      <c r="I201" s="721">
        <f>SUM(CO!I94,CO!I100)</f>
        <v>6007</v>
      </c>
      <c r="J201" s="1639">
        <f>SUM(CO!J94,CO!J100)</f>
        <v>5691</v>
      </c>
      <c r="K201" s="1844">
        <f t="shared" si="44"/>
        <v>0.13130015456617269</v>
      </c>
      <c r="L201" s="609">
        <f t="shared" si="44"/>
        <v>0.13401542899303484</v>
      </c>
      <c r="M201" s="609">
        <f t="shared" si="44"/>
        <v>0.1327652163666854</v>
      </c>
      <c r="N201" s="609">
        <f t="shared" si="44"/>
        <v>0.1296569564203108</v>
      </c>
      <c r="O201" s="609">
        <f t="shared" si="44"/>
        <v>0.12736223126910334</v>
      </c>
      <c r="P201" s="609">
        <f t="shared" si="44"/>
        <v>0.12601619415292004</v>
      </c>
      <c r="Q201" s="609">
        <f t="shared" si="44"/>
        <v>0.11925175568283154</v>
      </c>
      <c r="R201" s="603">
        <f t="shared" si="44"/>
        <v>0.11148003845209213</v>
      </c>
    </row>
    <row r="202" spans="2:18" s="57" customFormat="1" ht="12.5">
      <c r="B202" s="595" t="s">
        <v>1044</v>
      </c>
      <c r="C202" s="720">
        <f>SUM(CR!C96,CR!C102)</f>
        <v>1161</v>
      </c>
      <c r="D202" s="721">
        <f>SUM(CR!D96,CR!D102)</f>
        <v>1185.3677811550151</v>
      </c>
      <c r="E202" s="721">
        <f>SUM(CR!E96,CR!E102)</f>
        <v>1173</v>
      </c>
      <c r="F202" s="721">
        <f>SUM(CR!F96,CR!F102)</f>
        <v>1150</v>
      </c>
      <c r="G202" s="721">
        <f>SUM(CR!G96,CR!G102)</f>
        <v>1116</v>
      </c>
      <c r="H202" s="721">
        <f>SUM(CR!H96,CR!H102)</f>
        <v>1095</v>
      </c>
      <c r="I202" s="721">
        <f>SUM(CR!I96,CR!I102)</f>
        <v>1023</v>
      </c>
      <c r="J202" s="1639">
        <f>SUM(CR!J96,CR!J102)</f>
        <v>1000</v>
      </c>
      <c r="K202" s="1844">
        <f t="shared" si="44"/>
        <v>0.24323717887611854</v>
      </c>
      <c r="L202" s="609">
        <f t="shared" si="44"/>
        <v>0.24530465583570787</v>
      </c>
      <c r="M202" s="609">
        <f t="shared" si="44"/>
        <v>0.23985905366708299</v>
      </c>
      <c r="N202" s="609">
        <f t="shared" si="44"/>
        <v>0.23244151922968478</v>
      </c>
      <c r="O202" s="609">
        <f t="shared" si="44"/>
        <v>0.22304823986582667</v>
      </c>
      <c r="P202" s="609">
        <f t="shared" si="44"/>
        <v>0.21648842481411873</v>
      </c>
      <c r="Q202" s="609">
        <f t="shared" si="44"/>
        <v>0.20014719656453805</v>
      </c>
      <c r="R202" s="603">
        <f t="shared" si="44"/>
        <v>0.19368505376987621</v>
      </c>
    </row>
    <row r="203" spans="2:18" s="57" customFormat="1" ht="12.5">
      <c r="B203" s="595" t="s">
        <v>1061</v>
      </c>
      <c r="C203" s="720">
        <v>24</v>
      </c>
      <c r="D203" s="721">
        <v>19</v>
      </c>
      <c r="E203" s="721">
        <f>SUM(CW!E101, CW!E108, CW!E114)</f>
        <v>20</v>
      </c>
      <c r="F203" s="721">
        <f>SUM(CW!F101, CW!F108, CW!F114)</f>
        <v>19</v>
      </c>
      <c r="G203" s="721">
        <f>SUM(CW!G101, CW!G108, CW!G114)</f>
        <v>18</v>
      </c>
      <c r="H203" s="721">
        <f>SUM(CW!H101, CW!H108, CW!H114)</f>
        <v>16</v>
      </c>
      <c r="I203" s="721">
        <f>SUM(CW!I101, CW!I108, CW!I114)</f>
        <v>18</v>
      </c>
      <c r="J203" s="1639">
        <f>SUM(CW!J101, CW!J108, CW!J114)</f>
        <v>17</v>
      </c>
      <c r="K203" s="1844">
        <f t="shared" ref="K203:K212" si="45">IF(ISNUMBER(C203/K15),C203/K15,"0")</f>
        <v>0.12364760432766615</v>
      </c>
      <c r="L203" s="609">
        <f t="shared" ref="L203:R203" si="46">IF(ISNUMBER(D203/L15),D203/L15,"0")</f>
        <v>9.5766129032258063E-2</v>
      </c>
      <c r="M203" s="609">
        <f t="shared" si="46"/>
        <v>9.9561927518916765E-2</v>
      </c>
      <c r="N203" s="609">
        <f t="shared" si="46"/>
        <v>9.4706410128601329E-2</v>
      </c>
      <c r="O203" s="609">
        <f t="shared" si="46"/>
        <v>9.0072057646116893E-2</v>
      </c>
      <c r="P203" s="609">
        <f t="shared" si="46"/>
        <v>8.0702108342580459E-2</v>
      </c>
      <c r="Q203" s="609">
        <f t="shared" si="46"/>
        <v>9.171974522292993E-2</v>
      </c>
      <c r="R203" s="603">
        <f t="shared" si="46"/>
        <v>0.11253061494671344</v>
      </c>
    </row>
    <row r="204" spans="2:18" s="57" customFormat="1" ht="12.5">
      <c r="B204" s="595" t="s">
        <v>1047</v>
      </c>
      <c r="C204" s="720">
        <f>SUM(EC!C99,EC!C93)</f>
        <v>0</v>
      </c>
      <c r="D204" s="721">
        <f>SUM(EC!D99,EC!D93)</f>
        <v>1325</v>
      </c>
      <c r="E204" s="721">
        <f>SUM(EC!E99,EC!E93)</f>
        <v>1314</v>
      </c>
      <c r="F204" s="721">
        <f>SUM(EC!F99,EC!F93)</f>
        <v>1286</v>
      </c>
      <c r="G204" s="721">
        <f>SUM(EC!G99,EC!G93)</f>
        <v>1291</v>
      </c>
      <c r="H204" s="721">
        <f>SUM(EC!H99,EC!H93)</f>
        <v>1280</v>
      </c>
      <c r="I204" s="721">
        <f>SUM(EC!I99,EC!I93)</f>
        <v>1285</v>
      </c>
      <c r="J204" s="1639">
        <f>SUM(EC!J99,EC!J93)</f>
        <v>1224</v>
      </c>
      <c r="K204" s="1844">
        <f t="shared" si="45"/>
        <v>0</v>
      </c>
      <c r="L204" s="609">
        <f t="shared" ref="L204:L212" si="47">IF(ISNUMBER(D204/L16),D204/L16,"0")</f>
        <v>81.393985961165299</v>
      </c>
      <c r="M204" s="609">
        <f t="shared" ref="M204:M212" si="48">IF(ISNUMBER(E204/M16),E204/M16,"0")</f>
        <v>79.497940858130065</v>
      </c>
      <c r="N204" s="609">
        <f t="shared" ref="N204:N212" si="49">IF(ISNUMBER(F204/N16),F204/N16,"0")</f>
        <v>76.652665137467864</v>
      </c>
      <c r="O204" s="609">
        <f t="shared" ref="O204:O212" si="50">IF(ISNUMBER(G204/O16),G204/O16,"0")</f>
        <v>75.836753721698969</v>
      </c>
      <c r="P204" s="609">
        <f t="shared" ref="P204:P212" si="51">IF(ISNUMBER(H204/P16),H204/P16,"0")</f>
        <v>74.125610247772954</v>
      </c>
      <c r="Q204" s="609">
        <f t="shared" ref="Q204:Q212" si="52">IF(ISNUMBER(I204/Q16),I204/Q16,"0")</f>
        <v>73.383941412088632</v>
      </c>
      <c r="R204" s="603">
        <f t="shared" ref="R204:R212" si="53">IF(ISNUMBER(J204/R16),J204/R16,"0")</f>
        <v>68.423947174029493</v>
      </c>
    </row>
    <row r="205" spans="2:18" s="57" customFormat="1" ht="12.5">
      <c r="B205" s="595" t="s">
        <v>1048</v>
      </c>
      <c r="C205" s="720">
        <f>SUM(SV!C94,SV!C100,)</f>
        <v>0</v>
      </c>
      <c r="D205" s="721">
        <f>SUM(SV!D94,SV!D100,)</f>
        <v>407</v>
      </c>
      <c r="E205" s="721">
        <f>SUM(SV!E94,SV!E100,)</f>
        <v>400</v>
      </c>
      <c r="F205" s="721">
        <f>SUM(SV!F94,SV!F100,)</f>
        <v>383</v>
      </c>
      <c r="G205" s="721">
        <f>SUM(SV!G94,SV!G100,)</f>
        <v>482</v>
      </c>
      <c r="H205" s="721">
        <f>SUM(SV!H94,SV!H100,)</f>
        <v>475</v>
      </c>
      <c r="I205" s="721">
        <f>SUM(SV!I94,SV!I100,)</f>
        <v>426</v>
      </c>
      <c r="J205" s="1639">
        <f>SUM(SV!J94,SV!J100,)</f>
        <v>422</v>
      </c>
      <c r="K205" s="1844">
        <f t="shared" si="45"/>
        <v>0</v>
      </c>
      <c r="L205" s="609">
        <f t="shared" si="47"/>
        <v>65.017002665058115</v>
      </c>
      <c r="M205" s="609">
        <f t="shared" si="48"/>
        <v>63.705415963717215</v>
      </c>
      <c r="N205" s="609">
        <f t="shared" si="49"/>
        <v>60.855530242338482</v>
      </c>
      <c r="O205" s="609">
        <f t="shared" si="50"/>
        <v>76.441250616922133</v>
      </c>
      <c r="P205" s="609">
        <f t="shared" si="51"/>
        <v>75.220653849595109</v>
      </c>
      <c r="Q205" s="609">
        <f t="shared" si="52"/>
        <v>67.393951819968919</v>
      </c>
      <c r="R205" s="603">
        <f t="shared" si="53"/>
        <v>66.710613468904484</v>
      </c>
    </row>
    <row r="206" spans="2:18" s="57" customFormat="1" ht="12.5">
      <c r="B206" s="595" t="s">
        <v>1049</v>
      </c>
      <c r="C206" s="720">
        <f>SUM(GT!C101,GT!C107)</f>
        <v>3474</v>
      </c>
      <c r="D206" s="721">
        <f>SUM(GT!D101,GT!D107)</f>
        <v>3564</v>
      </c>
      <c r="E206" s="721">
        <f>SUM(GT!E101,GT!E107)</f>
        <v>3558</v>
      </c>
      <c r="F206" s="721">
        <f>SUM(GT!F101,GT!F107)</f>
        <v>3572</v>
      </c>
      <c r="G206" s="721">
        <f>SUM(GT!G101,GT!G107)</f>
        <v>2968</v>
      </c>
      <c r="H206" s="721">
        <f>SUM(GT!H101,GT!H107)</f>
        <v>2807</v>
      </c>
      <c r="I206" s="721">
        <f>SUM(GT!I101,GT!I107)</f>
        <v>2731</v>
      </c>
      <c r="J206" s="1639">
        <f>SUM(GT!J101,GT!J107)</f>
        <v>2759</v>
      </c>
      <c r="K206" s="1844">
        <f t="shared" si="45"/>
        <v>0.22696512995027673</v>
      </c>
      <c r="L206" s="609">
        <f t="shared" si="47"/>
        <v>0.22893968486362448</v>
      </c>
      <c r="M206" s="609">
        <f t="shared" si="48"/>
        <v>0.22479591146907729</v>
      </c>
      <c r="N206" s="609">
        <f t="shared" si="49"/>
        <v>0.22203687378546391</v>
      </c>
      <c r="O206" s="609">
        <f t="shared" si="50"/>
        <v>0.18156292152358697</v>
      </c>
      <c r="P206" s="609">
        <f t="shared" si="51"/>
        <v>0.16905538451939306</v>
      </c>
      <c r="Q206" s="609">
        <f t="shared" si="52"/>
        <v>0.16199703731086582</v>
      </c>
      <c r="R206" s="603">
        <f t="shared" si="53"/>
        <v>0.16125312438887171</v>
      </c>
    </row>
    <row r="207" spans="2:18" s="57" customFormat="1" ht="12.5">
      <c r="B207" s="595" t="s">
        <v>1050</v>
      </c>
      <c r="C207" s="720">
        <f>SUM(HN!C98,HN!C104)</f>
        <v>2920</v>
      </c>
      <c r="D207" s="721">
        <f>SUM(HN!D98,HN!D104)</f>
        <v>3094</v>
      </c>
      <c r="E207" s="721">
        <f>SUM(HN!E98,HN!E104)</f>
        <v>4001</v>
      </c>
      <c r="F207" s="721">
        <f>SUM(HN!F98,HN!F104)</f>
        <v>5177</v>
      </c>
      <c r="G207" s="721">
        <f>SUM(HN!G98,HN!G104)</f>
        <v>6212</v>
      </c>
      <c r="H207" s="721">
        <f>SUM(HN!H98,HN!H104)</f>
        <v>7577</v>
      </c>
      <c r="I207" s="721">
        <f>SUM(HN!I98,HN!I104)</f>
        <v>8091</v>
      </c>
      <c r="J207" s="1639">
        <f>SUM(HN!J98,HN!J104)</f>
        <v>10181</v>
      </c>
      <c r="K207" s="1844">
        <f t="shared" si="45"/>
        <v>0.34629364989949185</v>
      </c>
      <c r="L207" s="609">
        <f t="shared" si="47"/>
        <v>0.36073219074268392</v>
      </c>
      <c r="M207" s="609">
        <f t="shared" si="48"/>
        <v>0.45877766311202844</v>
      </c>
      <c r="N207" s="609">
        <f t="shared" si="49"/>
        <v>0.58388974104484348</v>
      </c>
      <c r="O207" s="609">
        <f t="shared" si="50"/>
        <v>0.68928785424202743</v>
      </c>
      <c r="P207" s="609">
        <f t="shared" si="51"/>
        <v>0.82733695118089612</v>
      </c>
      <c r="Q207" s="609">
        <f t="shared" si="52"/>
        <v>0.86958858174627063</v>
      </c>
      <c r="R207" s="603">
        <f t="shared" si="53"/>
        <v>1.0772746992286284</v>
      </c>
    </row>
    <row r="208" spans="2:18" s="57" customFormat="1" ht="12.5">
      <c r="B208" s="595" t="s">
        <v>1051</v>
      </c>
      <c r="C208" s="720">
        <f>SUM(JM!C95,JM!C101)</f>
        <v>236</v>
      </c>
      <c r="D208" s="721">
        <f>SUM(JM!D95,JM!D101)</f>
        <v>240</v>
      </c>
      <c r="E208" s="721">
        <f>SUM(JM!E95,JM!E101)</f>
        <v>241</v>
      </c>
      <c r="F208" s="721">
        <f>SUM(JM!F95,JM!F101)</f>
        <v>267</v>
      </c>
      <c r="G208" s="721">
        <f>SUM(JM!G95,JM!G101)</f>
        <v>261</v>
      </c>
      <c r="H208" s="721">
        <f>SUM(JM!H95,JM!H101)</f>
        <v>265</v>
      </c>
      <c r="I208" s="721">
        <f>SUM(JM!I95,JM!I101)</f>
        <v>264</v>
      </c>
      <c r="J208" s="1639">
        <f>SUM(JM!J95,JM!J101)</f>
        <v>264</v>
      </c>
      <c r="K208" s="1844">
        <f t="shared" si="45"/>
        <v>8.6903463876328996E-2</v>
      </c>
      <c r="L208" s="609">
        <f t="shared" si="47"/>
        <v>8.8252490374962772E-2</v>
      </c>
      <c r="M208" s="609">
        <f t="shared" si="48"/>
        <v>8.8548770164134871E-2</v>
      </c>
      <c r="N208" s="609">
        <f t="shared" si="49"/>
        <v>9.7949947943454629E-2</v>
      </c>
      <c r="O208" s="609">
        <f t="shared" si="50"/>
        <v>9.5570018403636492E-2</v>
      </c>
      <c r="P208" s="609">
        <f t="shared" si="51"/>
        <v>9.6924317104179369E-2</v>
      </c>
      <c r="Q208" s="609">
        <f t="shared" si="52"/>
        <v>9.6477123227598299E-2</v>
      </c>
      <c r="R208" s="603">
        <f t="shared" si="53"/>
        <v>9.6367950355904355E-2</v>
      </c>
    </row>
    <row r="209" spans="2:18" s="57" customFormat="1" ht="12.5">
      <c r="B209" s="595" t="s">
        <v>1052</v>
      </c>
      <c r="C209" s="720">
        <f>SUM(RD!C109,RD!C115)</f>
        <v>923</v>
      </c>
      <c r="D209" s="721">
        <f>SUM(RD!D109,RD!D115)</f>
        <v>1055</v>
      </c>
      <c r="E209" s="721">
        <f>SUM(RD!E109,RD!E115)</f>
        <v>1067</v>
      </c>
      <c r="F209" s="721">
        <f>SUM(RD!F109,RD!F115)</f>
        <v>1071</v>
      </c>
      <c r="G209" s="721">
        <f>SUM(RD!G109,RD!G115)</f>
        <v>1076</v>
      </c>
      <c r="H209" s="721">
        <f>SUM(RD!H109,RD!H115)</f>
        <v>1138</v>
      </c>
      <c r="I209" s="721">
        <f>SUM(RD!I109,RD!I115)</f>
        <v>1035</v>
      </c>
      <c r="J209" s="1639">
        <f>SUM(RD!J109,RD!J115)</f>
        <v>1022</v>
      </c>
      <c r="K209" s="1844">
        <f t="shared" si="45"/>
        <v>93.388102133194707</v>
      </c>
      <c r="L209" s="609">
        <f t="shared" si="47"/>
        <v>105.70884897291579</v>
      </c>
      <c r="M209" s="609">
        <f t="shared" si="48"/>
        <v>105.90523417016996</v>
      </c>
      <c r="N209" s="609">
        <f t="shared" si="49"/>
        <v>105.31830910127196</v>
      </c>
      <c r="O209" s="609">
        <f t="shared" si="50"/>
        <v>104.81047956736259</v>
      </c>
      <c r="P209" s="609">
        <f t="shared" si="51"/>
        <v>109.86337552807791</v>
      </c>
      <c r="Q209" s="609">
        <f t="shared" si="52"/>
        <v>99.057290429945965</v>
      </c>
      <c r="R209" s="603">
        <f t="shared" si="53"/>
        <v>97.005040560351233</v>
      </c>
    </row>
    <row r="210" spans="2:18" s="57" customFormat="1" ht="12.5">
      <c r="B210" s="595" t="s">
        <v>1053</v>
      </c>
      <c r="C210" s="720">
        <f>SUM(PY!C94,PY!C100)</f>
        <v>638</v>
      </c>
      <c r="D210" s="721">
        <f>SUM(PY!D94,PY!D100)</f>
        <v>660</v>
      </c>
      <c r="E210" s="721">
        <f>SUM(PY!E94,PY!E100)</f>
        <v>659</v>
      </c>
      <c r="F210" s="721">
        <f>SUM(PY!F94,PY!F100)</f>
        <v>645</v>
      </c>
      <c r="G210" s="721">
        <f>SUM(PY!G94,PY!G100)</f>
        <v>637</v>
      </c>
      <c r="H210" s="721">
        <f>SUM(PY!H94,PY!H100)</f>
        <v>601</v>
      </c>
      <c r="I210" s="721">
        <f>SUM(PY!I94,PY!I100)</f>
        <v>539</v>
      </c>
      <c r="J210" s="1639">
        <f>SUM(PY!J94,PY!J100)</f>
        <v>527</v>
      </c>
      <c r="K210" s="1844">
        <f t="shared" si="45"/>
        <v>9.5835626578734207E-2</v>
      </c>
      <c r="L210" s="609">
        <f t="shared" si="47"/>
        <v>9.7694469795912842E-2</v>
      </c>
      <c r="M210" s="609">
        <f t="shared" si="48"/>
        <v>9.6140716162261025E-2</v>
      </c>
      <c r="N210" s="609">
        <f t="shared" si="49"/>
        <v>9.2757094623453662E-2</v>
      </c>
      <c r="O210" s="609">
        <f t="shared" si="50"/>
        <v>9.0316395204695657E-2</v>
      </c>
      <c r="P210" s="609">
        <f t="shared" si="51"/>
        <v>8.4024182543584056E-2</v>
      </c>
      <c r="Q210" s="609">
        <f t="shared" si="52"/>
        <v>7.431743808097091E-2</v>
      </c>
      <c r="R210" s="603">
        <f t="shared" si="53"/>
        <v>7.1671054175826407E-2</v>
      </c>
    </row>
    <row r="211" spans="2:18" s="57" customFormat="1" ht="12.5">
      <c r="B211" s="595" t="s">
        <v>1054</v>
      </c>
      <c r="C211" s="720">
        <f>SUM(PE!C100,PE!C106)</f>
        <v>4011</v>
      </c>
      <c r="D211" s="721">
        <f>SUM(PE!D100,PE!D106)</f>
        <v>4097</v>
      </c>
      <c r="E211" s="721">
        <f>SUM(PE!E100,PE!E106)</f>
        <v>4367</v>
      </c>
      <c r="F211" s="721">
        <f>SUM(PE!F100,PE!F106)</f>
        <v>4420</v>
      </c>
      <c r="G211" s="721">
        <f>SUM(PE!G100,PE!G106)</f>
        <v>4473</v>
      </c>
      <c r="H211" s="721">
        <f>SUM(PE!H100,PE!H106)</f>
        <v>4483</v>
      </c>
      <c r="I211" s="721">
        <f>SUM(PE!I100,PE!I106)</f>
        <v>4341</v>
      </c>
      <c r="J211" s="1639">
        <f>SUM(PE!J100,PE!J106)</f>
        <v>4168</v>
      </c>
      <c r="K211" s="1844">
        <f t="shared" si="45"/>
        <v>0.13016736615534896</v>
      </c>
      <c r="L211" s="609">
        <f t="shared" si="47"/>
        <v>0.13151794272937706</v>
      </c>
      <c r="M211" s="609">
        <f t="shared" si="48"/>
        <v>0.13868500132984529</v>
      </c>
      <c r="N211" s="609">
        <f t="shared" si="49"/>
        <v>0.13888008232761007</v>
      </c>
      <c r="O211" s="609">
        <f t="shared" si="50"/>
        <v>0.13907637615654458</v>
      </c>
      <c r="P211" s="609">
        <f t="shared" si="51"/>
        <v>0.13795752090057981</v>
      </c>
      <c r="Q211" s="609">
        <f t="shared" si="52"/>
        <v>0.13224934970548397</v>
      </c>
      <c r="R211" s="603">
        <f t="shared" si="53"/>
        <v>0.12573525561060395</v>
      </c>
    </row>
    <row r="212" spans="2:18" s="57" customFormat="1" ht="12.5">
      <c r="B212" s="604" t="s">
        <v>1055</v>
      </c>
      <c r="C212" s="1642">
        <f>SUM(TT!C101,TT!C107)</f>
        <v>135</v>
      </c>
      <c r="D212" s="1637">
        <f>SUM(TT!D101,TT!D107)</f>
        <v>131</v>
      </c>
      <c r="E212" s="1637">
        <f>SUM(TT!E101,TT!E107)</f>
        <v>133</v>
      </c>
      <c r="F212" s="1637">
        <f>SUM(TT!F101,TT!F107)</f>
        <v>127</v>
      </c>
      <c r="G212" s="1637">
        <f>SUM(TT!G101,TT!G107)</f>
        <v>124</v>
      </c>
      <c r="H212" s="1637">
        <f>SUM(TT!H101,TT!H107)</f>
        <v>122</v>
      </c>
      <c r="I212" s="1637">
        <f>SUM(TT!I101,TT!I107)</f>
        <v>119</v>
      </c>
      <c r="J212" s="1640">
        <f>SUM(TT!J101,TT!J107)</f>
        <v>118</v>
      </c>
      <c r="K212" s="610">
        <f t="shared" si="45"/>
        <v>0.10034615707667115</v>
      </c>
      <c r="L212" s="617">
        <f t="shared" si="47"/>
        <v>9.7060978745127507E-2</v>
      </c>
      <c r="M212" s="617">
        <f t="shared" si="48"/>
        <v>9.8235092086166209E-2</v>
      </c>
      <c r="N212" s="617">
        <f t="shared" si="49"/>
        <v>9.3614116713952852E-2</v>
      </c>
      <c r="O212" s="617">
        <f t="shared" si="50"/>
        <v>9.1230605219420641E-2</v>
      </c>
      <c r="P212" s="617">
        <f t="shared" si="51"/>
        <v>8.9443798868755892E-2</v>
      </c>
      <c r="Q212" s="617">
        <f t="shared" si="52"/>
        <v>8.7069454352558126E-2</v>
      </c>
      <c r="R212" s="618">
        <f t="shared" si="53"/>
        <v>8.6285188635509422E-2</v>
      </c>
    </row>
    <row r="213" spans="2:18" s="57" customFormat="1" ht="12.5">
      <c r="B213" s="619"/>
      <c r="C213" s="632"/>
      <c r="D213" s="632"/>
      <c r="E213" s="632"/>
      <c r="F213" s="632"/>
      <c r="G213" s="632"/>
      <c r="H213" s="632"/>
      <c r="I213" s="632"/>
      <c r="J213" s="632"/>
      <c r="K213" s="609"/>
      <c r="L213" s="609"/>
      <c r="M213" s="609"/>
      <c r="N213" s="609"/>
      <c r="O213" s="609"/>
      <c r="P213" s="609"/>
      <c r="Q213" s="609"/>
    </row>
    <row r="214" spans="2:18" s="57" customFormat="1" ht="13">
      <c r="B214" s="2157" t="s">
        <v>1079</v>
      </c>
      <c r="C214" s="2157"/>
      <c r="D214" s="2157"/>
      <c r="E214" s="2157"/>
      <c r="F214" s="2157"/>
      <c r="G214" s="2157"/>
      <c r="H214" s="2157"/>
      <c r="I214" s="2157"/>
      <c r="J214" s="2157"/>
      <c r="K214" s="2157"/>
      <c r="L214" s="2157"/>
      <c r="M214" s="2157"/>
      <c r="N214" s="2157"/>
      <c r="O214" s="2157"/>
      <c r="P214" s="2157"/>
      <c r="Q214" s="2157"/>
      <c r="R214" s="2157"/>
    </row>
    <row r="215" spans="2:18" s="57" customFormat="1" ht="13">
      <c r="B215" s="2179" t="s">
        <v>1080</v>
      </c>
      <c r="C215" s="2179"/>
      <c r="D215" s="2179"/>
      <c r="E215" s="2179"/>
      <c r="F215" s="2179"/>
      <c r="G215" s="2179"/>
      <c r="H215" s="2179"/>
      <c r="I215" s="2179"/>
      <c r="J215" s="2179"/>
      <c r="K215" s="2179"/>
      <c r="L215" s="2179"/>
      <c r="M215" s="2179"/>
      <c r="N215" s="2179"/>
      <c r="O215" s="2179"/>
      <c r="P215" s="2179"/>
      <c r="Q215" s="2179"/>
    </row>
    <row r="216" spans="2:18" s="57" customFormat="1" ht="13">
      <c r="B216" s="581" t="s">
        <v>1035</v>
      </c>
      <c r="C216" s="633"/>
      <c r="D216" s="633"/>
      <c r="E216" s="633"/>
      <c r="F216" s="633"/>
      <c r="G216" s="633"/>
      <c r="H216" s="633"/>
      <c r="I216" s="633"/>
      <c r="J216" s="633"/>
      <c r="K216" s="633"/>
      <c r="L216" s="633"/>
      <c r="M216" s="633"/>
      <c r="N216" s="633"/>
      <c r="O216" s="633"/>
      <c r="P216" s="633"/>
      <c r="Q216" s="633"/>
    </row>
    <row r="217" spans="2:18" s="57" customFormat="1" ht="13">
      <c r="B217" s="612"/>
      <c r="C217" s="613"/>
      <c r="D217" s="613"/>
      <c r="E217" s="613"/>
      <c r="F217" s="613"/>
      <c r="G217" s="613"/>
      <c r="H217" s="613"/>
      <c r="I217" s="613"/>
      <c r="J217" s="613"/>
      <c r="K217" s="613"/>
      <c r="L217" s="613"/>
      <c r="M217" s="613"/>
      <c r="N217" s="613"/>
      <c r="O217" s="613"/>
      <c r="P217" s="613"/>
      <c r="Q217" s="613"/>
    </row>
    <row r="218" spans="2:18" s="57" customFormat="1" ht="13">
      <c r="B218" s="612"/>
      <c r="C218" s="2176" t="s">
        <v>1081</v>
      </c>
      <c r="D218" s="2176"/>
      <c r="E218" s="2176"/>
      <c r="F218" s="2176"/>
      <c r="G218" s="2176"/>
      <c r="H218" s="2176"/>
      <c r="I218" s="2176"/>
      <c r="J218" s="2176"/>
      <c r="K218" s="2176"/>
      <c r="L218" s="2176"/>
      <c r="M218" s="2176"/>
      <c r="N218" s="2176"/>
      <c r="O218" s="2176"/>
      <c r="P218" s="2176"/>
      <c r="Q218" s="2176"/>
      <c r="R218" s="2176"/>
    </row>
    <row r="219" spans="2:18" s="57" customFormat="1" ht="13">
      <c r="B219" s="583"/>
      <c r="C219" s="2187" t="s">
        <v>1082</v>
      </c>
      <c r="D219" s="2187"/>
      <c r="E219" s="2187"/>
      <c r="F219" s="2187"/>
      <c r="G219" s="2187"/>
      <c r="H219" s="2187"/>
      <c r="I219" s="2187"/>
      <c r="J219" s="2187"/>
      <c r="K219" s="2177" t="s">
        <v>1083</v>
      </c>
      <c r="L219" s="2177"/>
      <c r="M219" s="2177"/>
      <c r="N219" s="2177"/>
      <c r="O219" s="2177"/>
      <c r="P219" s="2177"/>
      <c r="Q219" s="2177"/>
      <c r="R219" s="2177"/>
    </row>
    <row r="220" spans="2:18" s="57" customFormat="1" ht="12.5">
      <c r="C220" s="585">
        <v>2014</v>
      </c>
      <c r="D220" s="586">
        <v>2015</v>
      </c>
      <c r="E220" s="586">
        <v>2016</v>
      </c>
      <c r="F220" s="586">
        <v>2017</v>
      </c>
      <c r="G220" s="586">
        <v>2018</v>
      </c>
      <c r="H220" s="586">
        <v>2019</v>
      </c>
      <c r="I220" s="586">
        <v>2020</v>
      </c>
      <c r="J220" s="586">
        <v>2021</v>
      </c>
      <c r="K220" s="587">
        <v>2014</v>
      </c>
      <c r="L220" s="588">
        <v>2015</v>
      </c>
      <c r="M220" s="588">
        <v>2016</v>
      </c>
      <c r="N220" s="588">
        <v>2017</v>
      </c>
      <c r="O220" s="588">
        <v>2018</v>
      </c>
      <c r="P220" s="588">
        <v>2019</v>
      </c>
      <c r="Q220" s="588">
        <v>2020</v>
      </c>
      <c r="R220" s="848">
        <v>2021</v>
      </c>
    </row>
    <row r="221" spans="2:18" s="57" customFormat="1" ht="12.5">
      <c r="B221" s="589" t="s">
        <v>1038</v>
      </c>
      <c r="C221" s="623">
        <f>SUM(ARG!C105,ARG!C111)/1000000</f>
        <v>38.620381999999999</v>
      </c>
      <c r="D221" s="624">
        <f>SUM(ARG!D105,ARG!D111)/1000000</f>
        <v>58.462021</v>
      </c>
      <c r="E221" s="624">
        <f>SUM(ARG!E105,ARG!E111)/1000000</f>
        <v>67.583153999999993</v>
      </c>
      <c r="F221" s="624">
        <f>SUM(ARG!F105,ARG!F111)/1000000</f>
        <v>76.507073000000005</v>
      </c>
      <c r="G221" s="624">
        <f>SUM(ARG!G105,ARG!G111)/1000000</f>
        <v>82.496122</v>
      </c>
      <c r="H221" s="624">
        <f>SUM(ARG!H105,ARG!H111)/1000000</f>
        <v>84.822916000000006</v>
      </c>
      <c r="I221" s="624">
        <f>SUM(ARG!I105,ARG!I111)/1000000</f>
        <v>102.251408</v>
      </c>
      <c r="J221" s="625">
        <f>SUM(ARG!J105,ARG!J111)/1000000</f>
        <v>109.328591</v>
      </c>
      <c r="K221" s="614">
        <f t="shared" ref="K221:R227" si="54">IF(ISNUMBER(C221/K6),C221/K6,"0")</f>
        <v>0.90510509848955345</v>
      </c>
      <c r="L221" s="615">
        <f t="shared" si="54"/>
        <v>1.3554221247415432</v>
      </c>
      <c r="M221" s="615">
        <f t="shared" si="54"/>
        <v>1.5504148531161746</v>
      </c>
      <c r="N221" s="615">
        <f t="shared" si="54"/>
        <v>1.7370280689818376</v>
      </c>
      <c r="O221" s="615">
        <f t="shared" si="54"/>
        <v>1.8540745101495912</v>
      </c>
      <c r="P221" s="615">
        <f t="shared" si="54"/>
        <v>1.8875244132497613</v>
      </c>
      <c r="Q221" s="615">
        <f t="shared" si="54"/>
        <v>2.2533752341494586</v>
      </c>
      <c r="R221" s="616">
        <f t="shared" si="54"/>
        <v>2.386566055446409</v>
      </c>
    </row>
    <row r="222" spans="2:18" s="57" customFormat="1" ht="12.5">
      <c r="B222" s="595" t="s">
        <v>1039</v>
      </c>
      <c r="C222" s="626">
        <f>SUM(BA!C95,BA!C101)/1000000</f>
        <v>0.38811000000000001</v>
      </c>
      <c r="D222" s="627">
        <f>SUM(BA!D95,BA!D101)/1000000</f>
        <v>0.38542100000000001</v>
      </c>
      <c r="E222" s="627">
        <f>SUM(BA!E95,BA!E101)/1000000</f>
        <v>0.39310099999999998</v>
      </c>
      <c r="F222" s="627">
        <f>SUM(BA!F95,BA!F101)/1000000</f>
        <v>0.39422499999999999</v>
      </c>
      <c r="G222" s="627">
        <f>SUM(BA!G95,BA!G101)/1000000</f>
        <v>0.408055</v>
      </c>
      <c r="H222" s="627">
        <f>SUM(BA!H95,BA!H101)/1000000</f>
        <v>0.42537900000000001</v>
      </c>
      <c r="I222" s="627">
        <f>SUM(BA!I95,BA!I101)/1000000</f>
        <v>0.42666900000000002</v>
      </c>
      <c r="J222" s="628">
        <f>SUM(BA!J95,BA!J101)/1000000</f>
        <v>0.44143900000000003</v>
      </c>
      <c r="K222" s="1844">
        <f t="shared" si="54"/>
        <v>1.0606416703104503E-3</v>
      </c>
      <c r="L222" s="609">
        <f t="shared" si="54"/>
        <v>1.0426082722428112E-3</v>
      </c>
      <c r="M222" s="609">
        <f t="shared" si="54"/>
        <v>1.0525356110099604E-3</v>
      </c>
      <c r="N222" s="609">
        <f t="shared" si="54"/>
        <v>1.044692071231715E-3</v>
      </c>
      <c r="O222" s="609">
        <f t="shared" si="54"/>
        <v>1.0701117171929089E-3</v>
      </c>
      <c r="P222" s="609">
        <f t="shared" si="54"/>
        <v>1.1039056417709036E-3</v>
      </c>
      <c r="Q222" s="609">
        <f t="shared" si="54"/>
        <v>1.0956806450784519E-3</v>
      </c>
      <c r="R222" s="603">
        <f t="shared" si="54"/>
        <v>1.1218271918678527E-3</v>
      </c>
    </row>
    <row r="223" spans="2:18" s="57" customFormat="1" ht="12.5">
      <c r="B223" s="595" t="s">
        <v>1040</v>
      </c>
      <c r="C223" s="626">
        <f>SUM(BO!C93,BO!C99)/1000000</f>
        <v>7.8480049999999997</v>
      </c>
      <c r="D223" s="627">
        <f>SUM(BO!D93,BO!D99)/1000000</f>
        <v>8.6689830000000008</v>
      </c>
      <c r="E223" s="627">
        <f>SUM(BO!E93,BO!E99)/1000000</f>
        <v>9.4520959999999992</v>
      </c>
      <c r="F223" s="627">
        <f>SUM(BO!F93,BO!F99)/1000000</f>
        <v>10.295336000000001</v>
      </c>
      <c r="G223" s="627">
        <f>SUM(BO!G93,BO!G99)/1000000</f>
        <v>11.053993999999999</v>
      </c>
      <c r="H223" s="627">
        <f>SUM(BO!H93,BO!H99)/1000000</f>
        <v>12.063699</v>
      </c>
      <c r="I223" s="627">
        <f>SUM(BO!I93,BO!I99)/1000000</f>
        <v>12.673102</v>
      </c>
      <c r="J223" s="628">
        <f>SUM(BO!J93,BO!J99)/1000000</f>
        <v>13.720126</v>
      </c>
      <c r="K223" s="1844">
        <f t="shared" si="54"/>
        <v>7.5579606984511449E-4</v>
      </c>
      <c r="L223" s="609">
        <f t="shared" si="54"/>
        <v>8.2040291850334621E-4</v>
      </c>
      <c r="M223" s="609">
        <f t="shared" si="54"/>
        <v>8.7902425026875326E-4</v>
      </c>
      <c r="N223" s="609">
        <f t="shared" si="54"/>
        <v>9.4086420155695886E-4</v>
      </c>
      <c r="O223" s="609">
        <f t="shared" si="54"/>
        <v>9.9270299332718161E-4</v>
      </c>
      <c r="P223" s="609">
        <f t="shared" si="54"/>
        <v>1.0646191815520537E-3</v>
      </c>
      <c r="Q223" s="609">
        <f t="shared" si="54"/>
        <v>1.0852668820455502E-3</v>
      </c>
      <c r="R223" s="603">
        <f t="shared" si="54"/>
        <v>1.1586031191640233E-3</v>
      </c>
    </row>
    <row r="224" spans="2:18" s="57" customFormat="1" ht="12.5">
      <c r="B224" s="595" t="s">
        <v>1041</v>
      </c>
      <c r="C224" s="626">
        <f>SUM(BR!C98,BR!C104)/1000000</f>
        <v>0</v>
      </c>
      <c r="D224" s="627">
        <f>SUM(BR!D98,BR!D104)/1000000</f>
        <v>0</v>
      </c>
      <c r="E224" s="627">
        <f>SUM(BR!E98,BR!E104)/1000000</f>
        <v>0</v>
      </c>
      <c r="F224" s="627">
        <f>SUM(BR!F98,BR!F104)/1000000</f>
        <v>0</v>
      </c>
      <c r="G224" s="627">
        <f>SUM(BR!G98,BR!G104)/1000000</f>
        <v>0</v>
      </c>
      <c r="H224" s="627">
        <f>SUM(BR!H98,BR!H104)/1000000</f>
        <v>0</v>
      </c>
      <c r="I224" s="627">
        <f>SUM(BR!I98,BR!I104)/1000000</f>
        <v>0</v>
      </c>
      <c r="J224" s="628">
        <f>SUM(BR!J98,BR!J104)/1000000</f>
        <v>0</v>
      </c>
      <c r="K224" s="1844">
        <f t="shared" si="54"/>
        <v>0</v>
      </c>
      <c r="L224" s="609">
        <f t="shared" si="54"/>
        <v>0</v>
      </c>
      <c r="M224" s="609">
        <f t="shared" si="54"/>
        <v>0</v>
      </c>
      <c r="N224" s="609">
        <f t="shared" si="54"/>
        <v>0</v>
      </c>
      <c r="O224" s="609">
        <f t="shared" si="54"/>
        <v>0</v>
      </c>
      <c r="P224" s="609">
        <f t="shared" si="54"/>
        <v>0</v>
      </c>
      <c r="Q224" s="609">
        <f t="shared" si="54"/>
        <v>0</v>
      </c>
      <c r="R224" s="603">
        <f t="shared" si="54"/>
        <v>0</v>
      </c>
    </row>
    <row r="225" spans="2:18" s="57" customFormat="1" ht="12.5">
      <c r="B225" s="595" t="s">
        <v>1042</v>
      </c>
      <c r="C225" s="626">
        <f>SUM(CL!C98,CL!C110)/1000000</f>
        <v>3.6104500000000002</v>
      </c>
      <c r="D225" s="627">
        <f>SUM(CL!D98,CL!D110)/1000000</f>
        <v>3.8948610000000001</v>
      </c>
      <c r="E225" s="627">
        <f>SUM(CL!E98,CL!E110)/1000000</f>
        <v>4.1772559999999999</v>
      </c>
      <c r="F225" s="627">
        <f>SUM(CL!F98,CL!F110)/1000000</f>
        <v>4.4644750000000002</v>
      </c>
      <c r="G225" s="627">
        <f>SUM(CL!G98,CL!G110)/1000000</f>
        <v>4.7871600000000001</v>
      </c>
      <c r="H225" s="627">
        <f>SUM(CL!H98,CL!H110)/1000000</f>
        <v>5.1340120000000002</v>
      </c>
      <c r="I225" s="627">
        <f>SUM(CL!I98,CL!I110)/1000000</f>
        <v>5.562748</v>
      </c>
      <c r="J225" s="628">
        <f>SUM(CL!J98,CL!J110)/1000000</f>
        <v>6.9040280000000003</v>
      </c>
      <c r="K225" s="1844">
        <f t="shared" si="54"/>
        <v>2.0297547445506615E-4</v>
      </c>
      <c r="L225" s="609">
        <f t="shared" si="54"/>
        <v>2.1672524206903373E-4</v>
      </c>
      <c r="M225" s="609">
        <f t="shared" si="54"/>
        <v>2.2993461769203494E-4</v>
      </c>
      <c r="N225" s="609">
        <f t="shared" si="54"/>
        <v>2.42381696222071E-4</v>
      </c>
      <c r="O225" s="609">
        <f t="shared" si="54"/>
        <v>2.5529606981450191E-4</v>
      </c>
      <c r="P225" s="609">
        <f t="shared" si="54"/>
        <v>2.6869492656596337E-4</v>
      </c>
      <c r="Q225" s="609">
        <f t="shared" si="54"/>
        <v>2.8588032568090441E-4</v>
      </c>
      <c r="R225" s="603">
        <f t="shared" si="54"/>
        <v>3.5084361437991564E-4</v>
      </c>
    </row>
    <row r="226" spans="2:18" s="57" customFormat="1" ht="12.5">
      <c r="B226" s="595" t="s">
        <v>1043</v>
      </c>
      <c r="C226" s="626">
        <f>SUM(CO!C95,CO!C101)/1000000</f>
        <v>53.440168</v>
      </c>
      <c r="D226" s="627">
        <f>SUM(CO!D95,CO!D101)/1000000</f>
        <v>57.538896999999999</v>
      </c>
      <c r="E226" s="627">
        <f>SUM(CO!E95,CO!E101)/1000000</f>
        <v>58.117185999999997</v>
      </c>
      <c r="F226" s="627">
        <f>SUM(CO!F95,CO!F101)/1000000</f>
        <v>64.312746000000004</v>
      </c>
      <c r="G226" s="627">
        <f>SUM(CO!G95,CO!G101)/1000000</f>
        <v>69.326400000000007</v>
      </c>
      <c r="H226" s="627">
        <f>SUM(CO!H95,CO!H101)/1000000</f>
        <v>75.827025000000006</v>
      </c>
      <c r="I226" s="627">
        <f>SUM(CO!I95,CO!I101)/1000000</f>
        <v>84.845952999999994</v>
      </c>
      <c r="J226" s="628">
        <f>SUM(CO!J95,CO!J101)/1000000</f>
        <v>75.299710000000005</v>
      </c>
      <c r="K226" s="1844">
        <f t="shared" si="54"/>
        <v>1.1212371873509485E-3</v>
      </c>
      <c r="L226" s="609">
        <f t="shared" si="54"/>
        <v>1.1936687252695115E-3</v>
      </c>
      <c r="M226" s="609">
        <f t="shared" si="54"/>
        <v>1.1922034570322772E-3</v>
      </c>
      <c r="N226" s="609">
        <f t="shared" si="54"/>
        <v>1.3047402449370238E-3</v>
      </c>
      <c r="O226" s="609">
        <f t="shared" si="54"/>
        <v>1.3911399070197521E-3</v>
      </c>
      <c r="P226" s="609">
        <f t="shared" si="54"/>
        <v>1.5052667146248145E-3</v>
      </c>
      <c r="Q226" s="609">
        <f t="shared" si="54"/>
        <v>1.6843730410908953E-3</v>
      </c>
      <c r="R226" s="603">
        <f t="shared" si="54"/>
        <v>1.4750333098280419E-3</v>
      </c>
    </row>
    <row r="227" spans="2:18" s="57" customFormat="1" ht="12.5">
      <c r="B227" s="595" t="s">
        <v>1044</v>
      </c>
      <c r="C227" s="626">
        <f>SUM(CR!C97,CR!C103)/1000000</f>
        <v>0</v>
      </c>
      <c r="D227" s="627">
        <f>SUM(CR!D97,CR!D103)/1000000</f>
        <v>0</v>
      </c>
      <c r="E227" s="627">
        <f>SUM(CR!E97,CR!E103)/1000000</f>
        <v>0</v>
      </c>
      <c r="F227" s="627">
        <f>SUM(CR!F97,CR!F103)/1000000</f>
        <v>0</v>
      </c>
      <c r="G227" s="627">
        <f>SUM(CR!G97,CR!G103)/1000000</f>
        <v>0</v>
      </c>
      <c r="H227" s="627">
        <f>SUM(CR!H97,CR!H103)/1000000</f>
        <v>0</v>
      </c>
      <c r="I227" s="627">
        <f>SUM(CR!I97,CR!I103)/1000000</f>
        <v>0</v>
      </c>
      <c r="J227" s="628">
        <f>SUM(CR!J97,CR!J103)/1000000</f>
        <v>0</v>
      </c>
      <c r="K227" s="1844">
        <f t="shared" si="54"/>
        <v>0</v>
      </c>
      <c r="L227" s="609">
        <f t="shared" si="54"/>
        <v>0</v>
      </c>
      <c r="M227" s="609">
        <f t="shared" si="54"/>
        <v>0</v>
      </c>
      <c r="N227" s="609">
        <f t="shared" si="54"/>
        <v>0</v>
      </c>
      <c r="O227" s="609">
        <f t="shared" si="54"/>
        <v>0</v>
      </c>
      <c r="P227" s="609">
        <f t="shared" si="54"/>
        <v>0</v>
      </c>
      <c r="Q227" s="609">
        <f t="shared" si="54"/>
        <v>0</v>
      </c>
      <c r="R227" s="603">
        <f t="shared" si="54"/>
        <v>0</v>
      </c>
    </row>
    <row r="228" spans="2:18" s="57" customFormat="1" ht="12.5">
      <c r="B228" s="595" t="s">
        <v>1061</v>
      </c>
      <c r="C228" s="626">
        <f>SUM(CW!C109, CW!C115)/1000000</f>
        <v>0</v>
      </c>
      <c r="D228" s="627">
        <f>SUM(CW!D109, CW!D115)/1000000</f>
        <v>0</v>
      </c>
      <c r="E228" s="627">
        <f>SUM(CW!E109, CW!E115)/1000000</f>
        <v>0</v>
      </c>
      <c r="F228" s="627">
        <f>SUM(CW!F109, CW!F115)/1000000</f>
        <v>0</v>
      </c>
      <c r="G228" s="627">
        <f>SUM(CW!G109, CW!G115)/1000000</f>
        <v>0</v>
      </c>
      <c r="H228" s="627">
        <f>SUM(CW!H109, CW!H115)/1000000</f>
        <v>0</v>
      </c>
      <c r="I228" s="627">
        <f>SUM(CW!I109, CW!I115)/1000000</f>
        <v>0</v>
      </c>
      <c r="J228" s="628">
        <f>SUM(CW!J109, CW!J115)/1000000</f>
        <v>0</v>
      </c>
      <c r="K228" s="1844">
        <f t="shared" ref="K228:K237" si="55">IF(ISNUMBER(C228/K15),C228/K15,"0")</f>
        <v>0</v>
      </c>
      <c r="L228" s="609">
        <f t="shared" ref="L228:R228" si="56">IF(ISNUMBER(D228/L15),D228/L15,"0")</f>
        <v>0</v>
      </c>
      <c r="M228" s="609">
        <f t="shared" si="56"/>
        <v>0</v>
      </c>
      <c r="N228" s="609">
        <f t="shared" si="56"/>
        <v>0</v>
      </c>
      <c r="O228" s="609">
        <f t="shared" si="56"/>
        <v>0</v>
      </c>
      <c r="P228" s="609">
        <f t="shared" si="56"/>
        <v>0</v>
      </c>
      <c r="Q228" s="609">
        <f t="shared" si="56"/>
        <v>0</v>
      </c>
      <c r="R228" s="603">
        <f t="shared" si="56"/>
        <v>0</v>
      </c>
    </row>
    <row r="229" spans="2:18" s="57" customFormat="1" ht="12.5">
      <c r="B229" s="595" t="s">
        <v>1047</v>
      </c>
      <c r="C229" s="626">
        <f>SUM(EC!C100,EC!C94)/1000000</f>
        <v>8.6618739999999992</v>
      </c>
      <c r="D229" s="627">
        <f>SUM(EC!D100,EC!D94)/1000000</f>
        <v>9.1760756666666659</v>
      </c>
      <c r="E229" s="627">
        <f>SUM(EC!E100,EC!E94)/1000000</f>
        <v>10.289972333333301</v>
      </c>
      <c r="F229" s="627">
        <f>SUM(EC!F100,EC!F94)/1000000</f>
        <v>10.792726249999999</v>
      </c>
      <c r="G229" s="627">
        <f>SUM(EC!G100,EC!G94)/1000000</f>
        <v>11.645271166666666</v>
      </c>
      <c r="H229" s="627">
        <f>SUM(EC!H100,EC!H94)/1000000</f>
        <v>12.15330675</v>
      </c>
      <c r="I229" s="627">
        <f>SUM(EC!I100,EC!I94)/1000000</f>
        <v>12.478843333333334</v>
      </c>
      <c r="J229" s="628">
        <f>SUM(EC!J100,EC!J94)/1000000</f>
        <v>0</v>
      </c>
      <c r="K229" s="1844">
        <f t="shared" si="55"/>
        <v>0.54043939322660228</v>
      </c>
      <c r="L229" s="609">
        <f t="shared" ref="L229:L237" si="57">IF(ISNUMBER(D229/L16),D229/L16,"0")</f>
        <v>0.56368103697453376</v>
      </c>
      <c r="M229" s="609">
        <f t="shared" ref="M229:M237" si="58">IF(ISNUMBER(E229/M16),E229/M16,"0")</f>
        <v>0.62255069405412888</v>
      </c>
      <c r="N229" s="609">
        <f t="shared" ref="N229:N237" si="59">IF(ISNUMBER(F229/N16),F229/N16,"0")</f>
        <v>0.64330577850824977</v>
      </c>
      <c r="O229" s="609">
        <f t="shared" ref="O229:O237" si="60">IF(ISNUMBER(G229/O16),G229/O16,"0")</f>
        <v>0.68407402129272032</v>
      </c>
      <c r="P229" s="609">
        <f t="shared" ref="P229:P237" si="61">IF(ISNUMBER(H229/P16),H229/P16,"0")</f>
        <v>0.70380568700947521</v>
      </c>
      <c r="Q229" s="609">
        <f t="shared" ref="Q229:Q237" si="62">IF(ISNUMBER(I229/Q16),I229/Q16,"0")</f>
        <v>0.71264335257896194</v>
      </c>
      <c r="R229" s="603">
        <f t="shared" ref="R229:R237" si="63">IF(ISNUMBER(J229/R16),J229/R16,"0")</f>
        <v>0</v>
      </c>
    </row>
    <row r="230" spans="2:18" s="57" customFormat="1" ht="12.5">
      <c r="B230" s="595" t="s">
        <v>1048</v>
      </c>
      <c r="C230" s="626">
        <f>SUM(SV!C95,SV!C101,)/1000000</f>
        <v>0</v>
      </c>
      <c r="D230" s="627">
        <f>SUM(SV!D95,SV!D101,)/1000000</f>
        <v>3.8897699999999999</v>
      </c>
      <c r="E230" s="627">
        <f>SUM(SV!E95,SV!E101,)/1000000</f>
        <v>4.1530370000000003</v>
      </c>
      <c r="F230" s="627">
        <f>SUM(SV!F95,SV!F101,)/1000000</f>
        <v>4.2734290000000001</v>
      </c>
      <c r="G230" s="627">
        <f>SUM(SV!G95,SV!G101,)/1000000</f>
        <v>4.4128040000000004</v>
      </c>
      <c r="H230" s="627">
        <f>SUM(SV!H95,SV!H101,)/1000000</f>
        <v>4.6517049999999998</v>
      </c>
      <c r="I230" s="627">
        <f>SUM(SV!I95,SV!I101,)/1000000</f>
        <v>4.6261619999999999</v>
      </c>
      <c r="J230" s="628">
        <f>SUM(SV!J95,SV!J101,)/1000000</f>
        <v>4.9253499999999999</v>
      </c>
      <c r="K230" s="1844">
        <f t="shared" si="55"/>
        <v>0</v>
      </c>
      <c r="L230" s="609">
        <f t="shared" si="57"/>
        <v>0.62137883650236636</v>
      </c>
      <c r="M230" s="609">
        <f t="shared" si="58"/>
        <v>0.66142737399427065</v>
      </c>
      <c r="N230" s="609">
        <f t="shared" si="59"/>
        <v>0.67901250064748386</v>
      </c>
      <c r="O230" s="609">
        <f t="shared" si="60"/>
        <v>0.69983455702771047</v>
      </c>
      <c r="P230" s="609">
        <f t="shared" si="61"/>
        <v>0.7366406139272228</v>
      </c>
      <c r="Q230" s="609">
        <f t="shared" si="62"/>
        <v>0.731866992815425</v>
      </c>
      <c r="R230" s="603">
        <f t="shared" si="63"/>
        <v>0.77860928921580252</v>
      </c>
    </row>
    <row r="231" spans="2:18" s="57" customFormat="1" ht="12.5">
      <c r="B231" s="595" t="s">
        <v>1049</v>
      </c>
      <c r="C231" s="626">
        <f>SUM(GT!C102,GT!C108)/1000000</f>
        <v>15.434813999999999</v>
      </c>
      <c r="D231" s="627">
        <f>SUM(GT!D102,GT!D108)/1000000</f>
        <v>16.100719000000002</v>
      </c>
      <c r="E231" s="627">
        <f>SUM(GT!E102,GT!E108)/1000000</f>
        <v>15.823052000000001</v>
      </c>
      <c r="F231" s="627">
        <f>SUM(GT!F102,GT!F108)/1000000</f>
        <v>14.898875</v>
      </c>
      <c r="G231" s="627">
        <f>SUM(GT!G102,GT!G108)/1000000</f>
        <v>13.319217</v>
      </c>
      <c r="H231" s="627">
        <f>SUM(GT!H102,GT!H108)/1000000</f>
        <v>13.102783000000001</v>
      </c>
      <c r="I231" s="627">
        <f>SUM(GT!I102,GT!I108)/1000000</f>
        <v>14.969473000000001</v>
      </c>
      <c r="J231" s="628">
        <f>SUM(GT!J102,GT!J108)/1000000</f>
        <v>13.354302000000001</v>
      </c>
      <c r="K231" s="1844">
        <f t="shared" si="55"/>
        <v>1.0083950965078729E-3</v>
      </c>
      <c r="L231" s="609">
        <f t="shared" si="57"/>
        <v>1.0342574449881514E-3</v>
      </c>
      <c r="M231" s="609">
        <f t="shared" si="58"/>
        <v>9.9970696924187919E-4</v>
      </c>
      <c r="N231" s="609">
        <f t="shared" si="59"/>
        <v>9.2611971666304693E-4</v>
      </c>
      <c r="O231" s="609">
        <f t="shared" si="60"/>
        <v>8.1478300233376862E-4</v>
      </c>
      <c r="P231" s="609">
        <f t="shared" si="61"/>
        <v>7.8913288861388192E-4</v>
      </c>
      <c r="Q231" s="609">
        <f t="shared" si="62"/>
        <v>8.879568934840712E-4</v>
      </c>
      <c r="R231" s="603">
        <f t="shared" si="63"/>
        <v>7.8050848913829591E-4</v>
      </c>
    </row>
    <row r="232" spans="2:18" s="57" customFormat="1" ht="12.5">
      <c r="B232" s="595" t="s">
        <v>1050</v>
      </c>
      <c r="C232" s="626">
        <f>SUM(HN!C99,HN!C105)/1000000</f>
        <v>5.1111149999999999</v>
      </c>
      <c r="D232" s="627">
        <f>SUM(HN!D99,HN!D105)/1000000</f>
        <v>5.2087240000000001</v>
      </c>
      <c r="E232" s="627">
        <f>SUM(HN!E99,HN!E105)/1000000</f>
        <v>6.1334020000000002</v>
      </c>
      <c r="F232" s="627">
        <f>SUM(HN!F99,HN!F105)/1000000</f>
        <v>6.2712209999999997</v>
      </c>
      <c r="G232" s="627">
        <f>SUM(HN!G99,HN!G105)/1000000</f>
        <v>6.6596739999999999</v>
      </c>
      <c r="H232" s="627">
        <f>SUM(HN!H99,HN!H105)/1000000</f>
        <v>7.0184740000000003</v>
      </c>
      <c r="I232" s="627">
        <f>SUM(HN!I99,HN!I105)/1000000</f>
        <v>7.5212659999999998</v>
      </c>
      <c r="J232" s="628">
        <f>SUM(HN!J99,HN!J105)/1000000</f>
        <v>7.9509449999999999</v>
      </c>
      <c r="K232" s="1844">
        <f t="shared" si="55"/>
        <v>6.0614611931713734E-4</v>
      </c>
      <c r="L232" s="609">
        <f t="shared" si="57"/>
        <v>6.0728972834324358E-4</v>
      </c>
      <c r="M232" s="609">
        <f t="shared" si="58"/>
        <v>7.0329113633757598E-4</v>
      </c>
      <c r="N232" s="609">
        <f t="shared" si="59"/>
        <v>7.0730183614544793E-4</v>
      </c>
      <c r="O232" s="609">
        <f t="shared" si="60"/>
        <v>7.389620736335189E-4</v>
      </c>
      <c r="P232" s="609">
        <f t="shared" si="61"/>
        <v>7.6635117871220646E-4</v>
      </c>
      <c r="Q232" s="609">
        <f t="shared" si="62"/>
        <v>8.0835583164954217E-4</v>
      </c>
      <c r="R232" s="603">
        <f t="shared" si="63"/>
        <v>8.4130752219412313E-4</v>
      </c>
    </row>
    <row r="233" spans="2:18" s="57" customFormat="1" ht="12.5">
      <c r="B233" s="595" t="s">
        <v>1051</v>
      </c>
      <c r="C233" s="626">
        <f>SUM(JM!C96,JM!C102)/1000000</f>
        <v>0.99320200000000003</v>
      </c>
      <c r="D233" s="627">
        <f>SUM(JM!D96,JM!D102)/1000000</f>
        <v>1.1286480000000001</v>
      </c>
      <c r="E233" s="627">
        <f>SUM(JM!E96,JM!E102)/1000000</f>
        <v>1.150134</v>
      </c>
      <c r="F233" s="627">
        <f>SUM(JM!F96,JM!F102)/1000000</f>
        <v>0.56424399999999997</v>
      </c>
      <c r="G233" s="627">
        <f>SUM(JM!G96,JM!G102)/1000000</f>
        <v>0.67590099999999997</v>
      </c>
      <c r="H233" s="627">
        <f>SUM(JM!H96,JM!H102)/1000000</f>
        <v>0.72506800000000005</v>
      </c>
      <c r="I233" s="627">
        <f>SUM(JM!I96,JM!I102)/1000000</f>
        <v>0.75827599999999995</v>
      </c>
      <c r="J233" s="628">
        <f>SUM(JM!J96,JM!J102)/1000000</f>
        <v>0.81538500000000003</v>
      </c>
      <c r="K233" s="1844">
        <f t="shared" si="55"/>
        <v>3.6573175478346489E-4</v>
      </c>
      <c r="L233" s="609">
        <f t="shared" si="57"/>
        <v>4.150249864863375E-4</v>
      </c>
      <c r="M233" s="609">
        <f t="shared" si="58"/>
        <v>4.2258485985044442E-4</v>
      </c>
      <c r="N233" s="609">
        <f t="shared" si="59"/>
        <v>2.069950203273656E-4</v>
      </c>
      <c r="O233" s="609">
        <f t="shared" si="60"/>
        <v>2.4749375865531153E-4</v>
      </c>
      <c r="P233" s="609">
        <f t="shared" si="61"/>
        <v>2.6519517265695522E-4</v>
      </c>
      <c r="Q233" s="609">
        <f t="shared" si="62"/>
        <v>2.7710714807776637E-4</v>
      </c>
      <c r="R233" s="603">
        <f t="shared" si="63"/>
        <v>2.9764008030662529E-4</v>
      </c>
    </row>
    <row r="234" spans="2:18" s="57" customFormat="1" ht="12.5">
      <c r="B234" s="595" t="s">
        <v>1052</v>
      </c>
      <c r="C234" s="626">
        <f>SUM(RD!C110,RD!C116)/1000000</f>
        <v>3.3209770000000001</v>
      </c>
      <c r="D234" s="627">
        <f>SUM(RD!D110,RD!D116)/1000000</f>
        <v>3.4879410000000002</v>
      </c>
      <c r="E234" s="627">
        <f>SUM(RD!E110,RD!E116)/1000000</f>
        <v>3.4559190000000002</v>
      </c>
      <c r="F234" s="627">
        <f>SUM(RD!F110,RD!F116)/1000000</f>
        <v>3.3214250000000001</v>
      </c>
      <c r="G234" s="627">
        <f>SUM(RD!G110,RD!G116)/1000000</f>
        <v>3.6211030000000002</v>
      </c>
      <c r="H234" s="627">
        <f>SUM(RD!H110,RD!H116)/1000000</f>
        <v>3.629569</v>
      </c>
      <c r="I234" s="627">
        <f>SUM(RD!I110,RD!I116)/1000000</f>
        <v>3.917125</v>
      </c>
      <c r="J234" s="628">
        <f>SUM(RD!J110,RD!J116)/1000000</f>
        <v>3.9535019999999998</v>
      </c>
      <c r="K234" s="1844">
        <f t="shared" si="55"/>
        <v>0.33601271858937226</v>
      </c>
      <c r="L234" s="609">
        <f t="shared" si="57"/>
        <v>0.34948457667814303</v>
      </c>
      <c r="M234" s="609">
        <f t="shared" si="58"/>
        <v>0.34301772349403903</v>
      </c>
      <c r="N234" s="609">
        <f t="shared" si="59"/>
        <v>0.32661705397450258</v>
      </c>
      <c r="O234" s="609">
        <f t="shared" si="60"/>
        <v>0.35272262266990279</v>
      </c>
      <c r="P234" s="609">
        <f t="shared" si="61"/>
        <v>0.35040131990515833</v>
      </c>
      <c r="Q234" s="609">
        <f t="shared" si="62"/>
        <v>0.37489834664290056</v>
      </c>
      <c r="R234" s="603">
        <f t="shared" si="63"/>
        <v>0.3752540331364283</v>
      </c>
    </row>
    <row r="235" spans="2:18" s="57" customFormat="1" ht="12.5">
      <c r="B235" s="595" t="s">
        <v>1053</v>
      </c>
      <c r="C235" s="626">
        <f>SUM(PY!C95,PY!C101)/1000000</f>
        <v>1.1321540000000001</v>
      </c>
      <c r="D235" s="627">
        <f>SUM(PY!D95,PY!D101)/1000000</f>
        <v>2.2462270000000002</v>
      </c>
      <c r="E235" s="627">
        <f>SUM(PY!E95,PY!E101)/1000000</f>
        <v>2.4607929999999998</v>
      </c>
      <c r="F235" s="627">
        <f>SUM(PY!F95,PY!F101)/1000000</f>
        <v>3.0874779999999999</v>
      </c>
      <c r="G235" s="627">
        <f>SUM(PY!G95,PY!G101)/1000000</f>
        <v>4.1027490000000002</v>
      </c>
      <c r="H235" s="627">
        <f>SUM(PY!H95,PY!H101)/1000000</f>
        <v>4.043844</v>
      </c>
      <c r="I235" s="627">
        <f>SUM(PY!I95,PY!I101)/1000000</f>
        <v>4.3599899999999998</v>
      </c>
      <c r="J235" s="628">
        <f>SUM(PY!J95,PY!J101)/1000000</f>
        <v>4.894285</v>
      </c>
      <c r="K235" s="1844">
        <f t="shared" si="55"/>
        <v>1.7006377425332329E-4</v>
      </c>
      <c r="L235" s="609">
        <f t="shared" si="57"/>
        <v>3.3249084213070291E-4</v>
      </c>
      <c r="M235" s="609">
        <f t="shared" si="58"/>
        <v>3.5900212647508158E-4</v>
      </c>
      <c r="N235" s="609">
        <f t="shared" si="59"/>
        <v>4.4400851006795572E-4</v>
      </c>
      <c r="O235" s="609">
        <f t="shared" si="60"/>
        <v>5.8170408180481937E-4</v>
      </c>
      <c r="P235" s="609">
        <f t="shared" si="61"/>
        <v>5.6535887925753274E-4</v>
      </c>
      <c r="Q235" s="609">
        <f t="shared" si="62"/>
        <v>6.0115637636113598E-4</v>
      </c>
      <c r="R235" s="603">
        <f t="shared" si="63"/>
        <v>6.6561397606628944E-4</v>
      </c>
    </row>
    <row r="236" spans="2:18" s="57" customFormat="1" ht="12.5">
      <c r="B236" s="595" t="s">
        <v>1054</v>
      </c>
      <c r="C236" s="626">
        <f>SUM(PE!C101,PE!C107)/1000000</f>
        <v>0</v>
      </c>
      <c r="D236" s="627">
        <f>SUM(PE!D101,PE!D107)/1000000</f>
        <v>0</v>
      </c>
      <c r="E236" s="627">
        <f>SUM(PE!E101,PE!E107)/1000000</f>
        <v>0</v>
      </c>
      <c r="F236" s="627">
        <f>SUM(PE!F101,PE!F107)/1000000</f>
        <v>0</v>
      </c>
      <c r="G236" s="627">
        <f>SUM(PE!G101,PE!G107)/1000000</f>
        <v>0</v>
      </c>
      <c r="H236" s="627">
        <f>SUM(PE!H101,PE!H107)/1000000</f>
        <v>0</v>
      </c>
      <c r="I236" s="627">
        <f>SUM(PE!I101,PE!I107)/1000000</f>
        <v>0</v>
      </c>
      <c r="J236" s="628">
        <f>SUM(PE!J101,PE!J107)/1000000</f>
        <v>0</v>
      </c>
      <c r="K236" s="1844">
        <f t="shared" si="55"/>
        <v>0</v>
      </c>
      <c r="L236" s="609">
        <f t="shared" si="57"/>
        <v>0</v>
      </c>
      <c r="M236" s="609">
        <f t="shared" si="58"/>
        <v>0</v>
      </c>
      <c r="N236" s="609">
        <f t="shared" si="59"/>
        <v>0</v>
      </c>
      <c r="O236" s="609">
        <f t="shared" si="60"/>
        <v>0</v>
      </c>
      <c r="P236" s="609">
        <f t="shared" si="61"/>
        <v>0</v>
      </c>
      <c r="Q236" s="609">
        <f t="shared" si="62"/>
        <v>0</v>
      </c>
      <c r="R236" s="603">
        <f t="shared" si="63"/>
        <v>0</v>
      </c>
    </row>
    <row r="237" spans="2:18" s="57" customFormat="1" ht="12.5">
      <c r="B237" s="604" t="s">
        <v>1055</v>
      </c>
      <c r="C237" s="629">
        <f>SUM(TT!C102,TT!C108)/1000000</f>
        <v>0.19977249999999999</v>
      </c>
      <c r="D237" s="630">
        <f>SUM(TT!D102,TT!D108)/1000000</f>
        <v>0.21429699999999999</v>
      </c>
      <c r="E237" s="630">
        <f>SUM(TT!E102,TT!E108)/1000000</f>
        <v>0.22349920000000001</v>
      </c>
      <c r="F237" s="630">
        <f>SUM(TT!F102,TT!F108)/1000000</f>
        <v>0.218807</v>
      </c>
      <c r="G237" s="630">
        <f>SUM(TT!G102,TT!G108)/1000000</f>
        <v>0.218061</v>
      </c>
      <c r="H237" s="630">
        <f>SUM(TT!H102,TT!H108)/1000000</f>
        <v>0.22862079999999999</v>
      </c>
      <c r="I237" s="630">
        <f>SUM(TT!I102,TT!I108)/1000000</f>
        <v>0.23315350000000001</v>
      </c>
      <c r="J237" s="631">
        <f>SUM(TT!J102,TT!J108)/1000000</f>
        <v>0.24174620000000002</v>
      </c>
      <c r="K237" s="610">
        <f t="shared" si="55"/>
        <v>1.4849187158962434E-4</v>
      </c>
      <c r="L237" s="617">
        <f t="shared" si="57"/>
        <v>1.5877768368049305E-4</v>
      </c>
      <c r="M237" s="617">
        <f t="shared" si="58"/>
        <v>1.6507868039988331E-4</v>
      </c>
      <c r="N237" s="617">
        <f t="shared" si="59"/>
        <v>1.6128680343173134E-4</v>
      </c>
      <c r="O237" s="617">
        <f t="shared" si="60"/>
        <v>1.6043416939316198E-4</v>
      </c>
      <c r="P237" s="617">
        <f t="shared" si="61"/>
        <v>1.6761240042962349E-4</v>
      </c>
      <c r="Q237" s="617">
        <f t="shared" si="62"/>
        <v>1.7059284054948877E-4</v>
      </c>
      <c r="R237" s="618">
        <f t="shared" si="63"/>
        <v>1.7677217346540332E-4</v>
      </c>
    </row>
    <row r="238" spans="2:18" s="57" customFormat="1" ht="12.5">
      <c r="C238" s="582"/>
      <c r="D238" s="582"/>
      <c r="E238" s="582"/>
      <c r="F238" s="582"/>
      <c r="G238" s="582"/>
      <c r="H238" s="582"/>
      <c r="I238" s="582"/>
      <c r="J238" s="582"/>
      <c r="K238" s="582"/>
      <c r="L238" s="582"/>
      <c r="M238" s="582"/>
      <c r="N238" s="582"/>
      <c r="O238" s="582"/>
      <c r="P238" s="582"/>
      <c r="Q238" s="582"/>
    </row>
    <row r="239" spans="2:18" s="57" customFormat="1" ht="13">
      <c r="B239" s="2157" t="s">
        <v>1084</v>
      </c>
      <c r="C239" s="2157"/>
      <c r="D239" s="2157"/>
      <c r="E239" s="2157"/>
      <c r="F239" s="2157"/>
      <c r="G239" s="2157"/>
      <c r="H239" s="2157"/>
      <c r="I239" s="2157"/>
      <c r="J239" s="2157"/>
      <c r="K239" s="2157"/>
      <c r="L239" s="2157"/>
      <c r="M239" s="2157"/>
      <c r="N239" s="2157"/>
      <c r="O239" s="2157"/>
      <c r="P239" s="2157"/>
      <c r="Q239" s="2157"/>
      <c r="R239" s="2157"/>
    </row>
    <row r="240" spans="2:18" s="57" customFormat="1" ht="12.5">
      <c r="B240" s="619"/>
      <c r="C240" s="621"/>
      <c r="D240" s="621"/>
      <c r="E240" s="621"/>
      <c r="F240" s="621"/>
      <c r="G240" s="621"/>
      <c r="H240" s="621"/>
      <c r="I240" s="621"/>
      <c r="J240" s="621"/>
      <c r="K240" s="622"/>
      <c r="L240" s="622"/>
      <c r="M240" s="622"/>
      <c r="N240" s="622"/>
      <c r="O240" s="622"/>
      <c r="P240" s="622"/>
      <c r="Q240" s="622"/>
    </row>
    <row r="241" spans="2:18" s="57" customFormat="1" ht="12.5">
      <c r="B241" s="619"/>
      <c r="C241" s="2176" t="s">
        <v>1085</v>
      </c>
      <c r="D241" s="2176"/>
      <c r="E241" s="2176"/>
      <c r="F241" s="2176"/>
      <c r="G241" s="2176"/>
      <c r="H241" s="2176"/>
      <c r="I241" s="2176"/>
      <c r="J241" s="2176"/>
      <c r="K241" s="2176"/>
      <c r="L241" s="2176"/>
      <c r="M241" s="2176"/>
      <c r="N241" s="2176"/>
      <c r="O241" s="2176"/>
      <c r="P241" s="2176"/>
      <c r="Q241" s="2176"/>
      <c r="R241" s="2176"/>
    </row>
    <row r="242" spans="2:18" s="57" customFormat="1" ht="13">
      <c r="B242" s="583"/>
      <c r="C242" s="2177" t="s">
        <v>1086</v>
      </c>
      <c r="D242" s="2177"/>
      <c r="E242" s="2177"/>
      <c r="F242" s="2177"/>
      <c r="G242" s="2177"/>
      <c r="H242" s="2177"/>
      <c r="I242" s="2177"/>
      <c r="J242" s="2177"/>
      <c r="K242" s="2177" t="s">
        <v>1065</v>
      </c>
      <c r="L242" s="2177"/>
      <c r="M242" s="2177"/>
      <c r="N242" s="2177"/>
      <c r="O242" s="2177"/>
      <c r="P242" s="2177"/>
      <c r="Q242" s="2177"/>
      <c r="R242" s="2177"/>
    </row>
    <row r="243" spans="2:18" s="57" customFormat="1" ht="12.5">
      <c r="C243" s="585">
        <v>2014</v>
      </c>
      <c r="D243" s="586">
        <v>2015</v>
      </c>
      <c r="E243" s="586">
        <v>2016</v>
      </c>
      <c r="F243" s="586">
        <v>2017</v>
      </c>
      <c r="G243" s="586">
        <v>2018</v>
      </c>
      <c r="H243" s="586">
        <v>2019</v>
      </c>
      <c r="I243" s="586">
        <v>2020</v>
      </c>
      <c r="J243" s="586">
        <v>2021</v>
      </c>
      <c r="K243" s="585">
        <v>2014</v>
      </c>
      <c r="L243" s="586">
        <v>2015</v>
      </c>
      <c r="M243" s="586">
        <v>2016</v>
      </c>
      <c r="N243" s="586">
        <v>2017</v>
      </c>
      <c r="O243" s="586">
        <v>2018</v>
      </c>
      <c r="P243" s="586">
        <v>2019</v>
      </c>
      <c r="Q243" s="586">
        <v>2020</v>
      </c>
      <c r="R243" s="848">
        <v>2021</v>
      </c>
    </row>
    <row r="244" spans="2:18" s="57" customFormat="1" ht="12.5">
      <c r="B244" s="589" t="s">
        <v>1038</v>
      </c>
      <c r="C244" s="623">
        <f>SUM(ARG!C106,ARG!C112,ARG!C118)</f>
        <v>44.371109366230122</v>
      </c>
      <c r="D244" s="624">
        <f>SUM(ARG!D106,ARG!D112,ARG!D118)</f>
        <v>40.094009996155329</v>
      </c>
      <c r="E244" s="624">
        <f>SUM(ARG!E106,ARG!E112,ARG!E118)</f>
        <v>50.538359137424138</v>
      </c>
      <c r="F244" s="624">
        <f>SUM(ARG!F106,ARG!F112,ARG!F118)</f>
        <v>63.325340094384849</v>
      </c>
      <c r="G244" s="624">
        <f>SUM(ARG!G106,ARG!G112,ARG!G118)</f>
        <v>47.381654292840459</v>
      </c>
      <c r="H244" s="624">
        <f>SUM(ARG!H106,ARG!H112,ARG!H118)</f>
        <v>48.329591704619055</v>
      </c>
      <c r="I244" s="624">
        <f>SUM(ARG!I106,ARG!I112,ARG!I118)</f>
        <v>53.186813031161478</v>
      </c>
      <c r="J244" s="625">
        <f>SUM(ARG!J106,ARG!J112,ARG!J118)</f>
        <v>59.782523659306001</v>
      </c>
      <c r="K244" s="615">
        <f t="shared" ref="K244:R250" si="64">IF(ISNUMBER(C244/K6*1000),C244/K6*1000,"0")</f>
        <v>1039.8788213180403</v>
      </c>
      <c r="L244" s="615">
        <f t="shared" si="64"/>
        <v>929.56602062042168</v>
      </c>
      <c r="M244" s="615">
        <f t="shared" si="64"/>
        <v>1159.3928075446424</v>
      </c>
      <c r="N244" s="615">
        <f t="shared" si="64"/>
        <v>1437.7480265356307</v>
      </c>
      <c r="O244" s="615">
        <f t="shared" si="64"/>
        <v>1064.8878437349508</v>
      </c>
      <c r="P244" s="615">
        <f t="shared" si="64"/>
        <v>1075.4556495659924</v>
      </c>
      <c r="Q244" s="615">
        <f t="shared" si="64"/>
        <v>1172.1095055019389</v>
      </c>
      <c r="R244" s="616">
        <f t="shared" si="64"/>
        <v>1305.0103396486793</v>
      </c>
    </row>
    <row r="245" spans="2:18" s="57" customFormat="1" ht="12.5">
      <c r="B245" s="595" t="s">
        <v>1039</v>
      </c>
      <c r="C245" s="626">
        <f>SUM(BA!C96,BA!C102,BA!C106)</f>
        <v>6.112393</v>
      </c>
      <c r="D245" s="627">
        <f>SUM(BA!D96,BA!D102,BA!D106)</f>
        <v>6.1862599999999999</v>
      </c>
      <c r="E245" s="627">
        <f>SUM(BA!E96,BA!E102,BA!E106)</f>
        <v>6.50807</v>
      </c>
      <c r="F245" s="627">
        <f>SUM(BA!F96,BA!F102,BA!F106)</f>
        <v>6.6448660000000004</v>
      </c>
      <c r="G245" s="627">
        <f>SUM(BA!G96,BA!G102,BA!G106)</f>
        <v>6.5077949999999998</v>
      </c>
      <c r="H245" s="627">
        <f>SUM(BA!H96,BA!H102,BA!H106)</f>
        <v>7.1379999999999999</v>
      </c>
      <c r="I245" s="627">
        <f>SUM(BA!I96,BA!I102,BA!I106)</f>
        <v>7.3708470000000004</v>
      </c>
      <c r="J245" s="628">
        <f>SUM(BA!J96,BA!J102,BA!J106)</f>
        <v>7.5193589999999997</v>
      </c>
      <c r="K245" s="609">
        <f t="shared" si="64"/>
        <v>16.704178508963707</v>
      </c>
      <c r="L245" s="609">
        <f t="shared" si="64"/>
        <v>16.734547028430761</v>
      </c>
      <c r="M245" s="609">
        <f t="shared" si="64"/>
        <v>17.425484631037808</v>
      </c>
      <c r="N245" s="609">
        <f t="shared" si="64"/>
        <v>17.608824464702138</v>
      </c>
      <c r="O245" s="609">
        <f t="shared" si="64"/>
        <v>17.066492709535297</v>
      </c>
      <c r="P245" s="609">
        <f t="shared" si="64"/>
        <v>18.523900970571447</v>
      </c>
      <c r="Q245" s="609">
        <f t="shared" si="64"/>
        <v>18.928242726175498</v>
      </c>
      <c r="R245" s="603">
        <f t="shared" si="64"/>
        <v>19.108917407878014</v>
      </c>
    </row>
    <row r="246" spans="2:18" s="57" customFormat="1" ht="12.5">
      <c r="B246" s="595" t="s">
        <v>1040</v>
      </c>
      <c r="C246" s="626">
        <f>SUM(BO!C94,BO!C100,BO!C104)</f>
        <v>14.064623294829445</v>
      </c>
      <c r="D246" s="627">
        <f>SUM(BO!D94,BO!D100,BO!D104)</f>
        <v>21.650320952329459</v>
      </c>
      <c r="E246" s="627">
        <f>SUM(BO!E94,BO!E100,BO!E104)</f>
        <v>22.738143583307522</v>
      </c>
      <c r="F246" s="627">
        <f>SUM(BO!F94,BO!F100,BO!F104)</f>
        <v>25.426195316537331</v>
      </c>
      <c r="G246" s="627">
        <f>SUM(BO!G94,BO!G100,BO!G104)</f>
        <v>27.436027299036503</v>
      </c>
      <c r="H246" s="627">
        <f>SUM(BO!H94,BO!H100,BO!H104)</f>
        <v>27.531016138579663</v>
      </c>
      <c r="I246" s="627">
        <f>SUM(BO!I94,BO!I100,BO!I104)</f>
        <v>30.468024025041544</v>
      </c>
      <c r="J246" s="628">
        <f>SUM(BO!J94,BO!J100,BO!J104)</f>
        <v>31.129229636360243</v>
      </c>
      <c r="K246" s="609">
        <f t="shared" si="64"/>
        <v>1.3544827010283684</v>
      </c>
      <c r="L246" s="609">
        <f t="shared" si="64"/>
        <v>2.0489123690547357</v>
      </c>
      <c r="M246" s="609">
        <f t="shared" si="64"/>
        <v>2.1145976105003759</v>
      </c>
      <c r="N246" s="609">
        <f t="shared" si="64"/>
        <v>2.3236344064074435</v>
      </c>
      <c r="O246" s="609">
        <f t="shared" si="64"/>
        <v>2.4638901038628944</v>
      </c>
      <c r="P246" s="609">
        <f t="shared" si="64"/>
        <v>2.4296070275585508</v>
      </c>
      <c r="Q246" s="609">
        <f t="shared" si="64"/>
        <v>2.6091431628772299</v>
      </c>
      <c r="R246" s="603">
        <f t="shared" si="64"/>
        <v>2.6287238582109325</v>
      </c>
    </row>
    <row r="247" spans="2:18" s="57" customFormat="1" ht="12.5">
      <c r="B247" s="595" t="s">
        <v>1041</v>
      </c>
      <c r="C247" s="626">
        <f>SUM(BR!C99,BR!C105,BR!C109)</f>
        <v>69.703704540320757</v>
      </c>
      <c r="D247" s="627">
        <f>SUM(BR!D99,BR!D105,BR!D109)</f>
        <v>41.471891005941409</v>
      </c>
      <c r="E247" s="627">
        <f>SUM(BR!E99,BR!E105,BR!E109)</f>
        <v>52.485965450584509</v>
      </c>
      <c r="F247" s="627">
        <f>SUM(BR!F99,BR!F105,BR!F109)</f>
        <v>54.392357920193476</v>
      </c>
      <c r="G247" s="627">
        <f>SUM(BR!G99,BR!G105,BR!G109)</f>
        <v>49.568900588417463</v>
      </c>
      <c r="H247" s="627">
        <f>SUM(BR!H99,BR!H105,BR!H109)</f>
        <v>54.435368050214592</v>
      </c>
      <c r="I247" s="627">
        <f>SUM(BR!I99,BR!I105,BR!I109)</f>
        <v>63.928613158350501</v>
      </c>
      <c r="J247" s="628">
        <f>SUM(BR!J99,BR!J105,BR!J109)</f>
        <v>65.849880156871194</v>
      </c>
      <c r="K247" s="609">
        <f t="shared" si="64"/>
        <v>0.34555103237313783</v>
      </c>
      <c r="L247" s="609">
        <f t="shared" si="64"/>
        <v>0.20381743112734219</v>
      </c>
      <c r="M247" s="609">
        <f t="shared" si="64"/>
        <v>0.25583368400735051</v>
      </c>
      <c r="N247" s="609">
        <f t="shared" si="64"/>
        <v>0.26301310916365056</v>
      </c>
      <c r="O247" s="609">
        <f t="shared" si="64"/>
        <v>0.23774634577832585</v>
      </c>
      <c r="P247" s="609">
        <f t="shared" si="64"/>
        <v>0.25903455995514857</v>
      </c>
      <c r="Q247" s="609">
        <f t="shared" si="64"/>
        <v>0.30189796814694592</v>
      </c>
      <c r="R247" s="603">
        <f t="shared" si="64"/>
        <v>0.30869350058068795</v>
      </c>
    </row>
    <row r="248" spans="2:18" s="57" customFormat="1" ht="12.5">
      <c r="B248" s="595" t="s">
        <v>1042</v>
      </c>
      <c r="C248" s="626">
        <f>SUM(CL!C99,CL!C109,CL!C105)</f>
        <v>38.972420775361392</v>
      </c>
      <c r="D248" s="627">
        <f>SUM(CL!D99,CL!D109,CL!D105)</f>
        <v>37.088329745476003</v>
      </c>
      <c r="E248" s="627">
        <f>SUM(CL!E99,CL!E109,CL!E105)</f>
        <v>41.506407438863164</v>
      </c>
      <c r="F248" s="627">
        <f>SUM(CL!F99,CL!F109,CL!F105)</f>
        <v>47.217745352586064</v>
      </c>
      <c r="G248" s="627">
        <f>SUM(CL!G99,CL!G109,CL!G105)</f>
        <v>45.478244470928139</v>
      </c>
      <c r="H248" s="627">
        <f>SUM(CL!H99,CL!H109,CL!H105)</f>
        <v>49.978212408856869</v>
      </c>
      <c r="I248" s="627">
        <f>SUM(CL!I99,CL!I109,CL!I105)</f>
        <v>68.489999999999995</v>
      </c>
      <c r="J248" s="628">
        <f>SUM(CL!J99,CL!J109,CL!J105)</f>
        <v>82.92</v>
      </c>
      <c r="K248" s="609">
        <f t="shared" si="64"/>
        <v>2.1909860536890013</v>
      </c>
      <c r="L248" s="609">
        <f t="shared" si="64"/>
        <v>2.0637391788883943</v>
      </c>
      <c r="M248" s="609">
        <f t="shared" si="64"/>
        <v>2.2846959645817346</v>
      </c>
      <c r="N248" s="609">
        <f t="shared" si="64"/>
        <v>2.5635079623789179</v>
      </c>
      <c r="O248" s="609">
        <f t="shared" si="64"/>
        <v>2.4253246341235841</v>
      </c>
      <c r="P248" s="609">
        <f t="shared" si="64"/>
        <v>2.6156721318718996</v>
      </c>
      <c r="Q248" s="609">
        <f t="shared" si="64"/>
        <v>3.5198329145748004</v>
      </c>
      <c r="R248" s="603">
        <f t="shared" si="64"/>
        <v>4.2137651388990029</v>
      </c>
    </row>
    <row r="249" spans="2:18" s="57" customFormat="1" ht="12.5">
      <c r="B249" s="595" t="s">
        <v>1043</v>
      </c>
      <c r="C249" s="626">
        <f>SUM(CO!C96,CO!C102,CO!C106)</f>
        <v>77.628462457470548</v>
      </c>
      <c r="D249" s="627">
        <f>SUM(CO!D96,CO!D102,CO!D106)</f>
        <v>65.091109606587608</v>
      </c>
      <c r="E249" s="627">
        <f>SUM(CO!E96,CO!E102,CO!E106)</f>
        <v>67.068081261843403</v>
      </c>
      <c r="F249" s="627">
        <f>SUM(CO!F96,CO!F102,CO!F106)</f>
        <v>72.524564973827808</v>
      </c>
      <c r="G249" s="627">
        <f>SUM(CO!G96,CO!G102,CO!G106)</f>
        <v>70.96558728511711</v>
      </c>
      <c r="H249" s="627">
        <f>SUM(CO!H96,CO!H102,CO!H106)</f>
        <v>77.132382135202633</v>
      </c>
      <c r="I249" s="627">
        <f>SUM(CO!I96,CO!I102,CO!I106)</f>
        <v>91.634378287816034</v>
      </c>
      <c r="J249" s="628">
        <f>SUM(CO!J96,CO!J102,CO!J106)</f>
        <v>93.283194579293294</v>
      </c>
      <c r="K249" s="609">
        <f t="shared" si="64"/>
        <v>1.6287358771812428</v>
      </c>
      <c r="L249" s="609">
        <f t="shared" si="64"/>
        <v>1.3503425661856794</v>
      </c>
      <c r="M249" s="609">
        <f t="shared" si="64"/>
        <v>1.3758201977792146</v>
      </c>
      <c r="N249" s="609">
        <f t="shared" si="64"/>
        <v>1.4713369363501161</v>
      </c>
      <c r="O249" s="609">
        <f t="shared" si="64"/>
        <v>1.4240326989057546</v>
      </c>
      <c r="P249" s="609">
        <f t="shared" si="64"/>
        <v>1.5311797798719151</v>
      </c>
      <c r="Q249" s="609">
        <f t="shared" si="64"/>
        <v>1.8191377545741303</v>
      </c>
      <c r="R249" s="603">
        <f t="shared" si="64"/>
        <v>1.8273087539331592</v>
      </c>
    </row>
    <row r="250" spans="2:18" s="57" customFormat="1" ht="12.5">
      <c r="B250" s="595" t="s">
        <v>1044</v>
      </c>
      <c r="C250" s="626">
        <f>SUM(CR!C98,CR!C104,CR!C108)</f>
        <v>0</v>
      </c>
      <c r="D250" s="627">
        <f>SUM(CR!D98,CR!D104,CR!D108)</f>
        <v>0</v>
      </c>
      <c r="E250" s="627">
        <f>SUM(CR!E98,CR!E104,CR!E108)</f>
        <v>0</v>
      </c>
      <c r="F250" s="627">
        <f>SUM(CR!F98,CR!F104,CR!F108)</f>
        <v>0</v>
      </c>
      <c r="G250" s="627">
        <f>SUM(CR!G98,CR!G104,CR!G108)</f>
        <v>0</v>
      </c>
      <c r="H250" s="627">
        <f>SUM(CR!H98,CR!H104,CR!H108)</f>
        <v>0</v>
      </c>
      <c r="I250" s="627">
        <f>SUM(CR!I98,CR!I104,CR!I108)</f>
        <v>0</v>
      </c>
      <c r="J250" s="628">
        <f>SUM(CR!J98,CR!J104,CR!J108)</f>
        <v>0</v>
      </c>
      <c r="K250" s="609">
        <f t="shared" si="64"/>
        <v>0</v>
      </c>
      <c r="L250" s="609">
        <f t="shared" si="64"/>
        <v>0</v>
      </c>
      <c r="M250" s="609">
        <f t="shared" si="64"/>
        <v>0</v>
      </c>
      <c r="N250" s="609">
        <f t="shared" si="64"/>
        <v>0</v>
      </c>
      <c r="O250" s="609">
        <f t="shared" si="64"/>
        <v>0</v>
      </c>
      <c r="P250" s="609">
        <f t="shared" si="64"/>
        <v>0</v>
      </c>
      <c r="Q250" s="609">
        <f t="shared" si="64"/>
        <v>0</v>
      </c>
      <c r="R250" s="603">
        <f t="shared" si="64"/>
        <v>0</v>
      </c>
    </row>
    <row r="251" spans="2:18" s="57" customFormat="1" ht="12.5">
      <c r="B251" s="595" t="s">
        <v>1061</v>
      </c>
      <c r="C251" s="596">
        <f>SUM(CW!C110, CW!C116, CW!C120)</f>
        <v>0</v>
      </c>
      <c r="D251" s="597">
        <f>SUM(CW!D110, CW!D116, CW!D120)</f>
        <v>0</v>
      </c>
      <c r="E251" s="597">
        <f>SUM(CW!E110, CW!E116, CW!E120)</f>
        <v>0</v>
      </c>
      <c r="F251" s="597">
        <f>SUM(CW!F110, CW!F116, CW!F120)</f>
        <v>0</v>
      </c>
      <c r="G251" s="597">
        <f>SUM(CW!G110, CW!G116, CW!G120)</f>
        <v>0</v>
      </c>
      <c r="H251" s="597">
        <f>SUM(CW!H110, CW!H116, CW!H120)</f>
        <v>0</v>
      </c>
      <c r="I251" s="597">
        <f>SUM(CW!I110, CW!I116, CW!I120)</f>
        <v>0</v>
      </c>
      <c r="J251" s="598">
        <f>SUM(CW!J110, CW!J116, CW!J120)</f>
        <v>0</v>
      </c>
      <c r="K251" s="609">
        <f t="shared" ref="K251:K260" si="65">IF(ISNUMBER(C251/K15*1000),C251/K15*1000,"0")</f>
        <v>0</v>
      </c>
      <c r="L251" s="609">
        <f t="shared" ref="L251:R251" si="66">IF(ISNUMBER(D251/L15*1000),D251/L15*1000,"0")</f>
        <v>0</v>
      </c>
      <c r="M251" s="609">
        <f t="shared" si="66"/>
        <v>0</v>
      </c>
      <c r="N251" s="609">
        <f t="shared" si="66"/>
        <v>0</v>
      </c>
      <c r="O251" s="609">
        <f t="shared" si="66"/>
        <v>0</v>
      </c>
      <c r="P251" s="609">
        <f t="shared" si="66"/>
        <v>0</v>
      </c>
      <c r="Q251" s="609">
        <f t="shared" si="66"/>
        <v>0</v>
      </c>
      <c r="R251" s="609">
        <f t="shared" si="66"/>
        <v>0</v>
      </c>
    </row>
    <row r="252" spans="2:18" s="57" customFormat="1" ht="12.5">
      <c r="B252" s="595" t="s">
        <v>1047</v>
      </c>
      <c r="C252" s="626">
        <f>SUM(EC!C101,EC!C95,EC!C105)</f>
        <v>18.531562354717003</v>
      </c>
      <c r="D252" s="627">
        <f>SUM(EC!D101,EC!D95,EC!D105)</f>
        <v>15.531138719000001</v>
      </c>
      <c r="E252" s="627">
        <f>SUM(EC!E101,EC!E95,EC!E105)</f>
        <v>18.715584897999999</v>
      </c>
      <c r="F252" s="627">
        <f>SUM(EC!F101,EC!F95,EC!F105)</f>
        <v>19.405396457000002</v>
      </c>
      <c r="G252" s="627">
        <f>SUM(EC!G101,EC!G95,EC!G105)</f>
        <v>18.841615913000002</v>
      </c>
      <c r="H252" s="627">
        <f>SUM(EC!H101,EC!H95,EC!H105)</f>
        <v>33.170507710999999</v>
      </c>
      <c r="I252" s="627">
        <f>SUM(EC!I101,EC!I95,EC!I105)</f>
        <v>22.057468395000001</v>
      </c>
      <c r="J252" s="628">
        <f>SUM(EC!J101,EC!J95,EC!J105)</f>
        <v>0</v>
      </c>
      <c r="K252" s="609">
        <f t="shared" si="65"/>
        <v>1156.2378204213319</v>
      </c>
      <c r="L252" s="609">
        <f t="shared" ref="L252:L260" si="67">IF(ISNUMBER(D252/L16*1000),D252/L16*1000,"0")</f>
        <v>954.06889573977128</v>
      </c>
      <c r="M252" s="609">
        <f t="shared" ref="M252:M260" si="68">IF(ISNUMBER(E252/M16*1000),E252/M16*1000,"0")</f>
        <v>1132.3062871739087</v>
      </c>
      <c r="N252" s="609">
        <f t="shared" ref="N252:N260" si="69">IF(ISNUMBER(F252/N16*1000),F252/N16*1000,"0")</f>
        <v>1156.6682398742041</v>
      </c>
      <c r="O252" s="609">
        <f t="shared" ref="O252:O260" si="70">IF(ISNUMBER(G252/O16*1000),G252/O16*1000,"0")</f>
        <v>1106.8063405987803</v>
      </c>
      <c r="P252" s="609">
        <f t="shared" ref="P252:P260" si="71">IF(ISNUMBER(H252/P16*1000),H252/P16*1000,"0")</f>
        <v>1920.9250986768229</v>
      </c>
      <c r="Q252" s="609">
        <f t="shared" ref="Q252:Q260" si="72">IF(ISNUMBER(I252/Q16*1000),I252/Q16*1000,"0")</f>
        <v>1259.6606757958573</v>
      </c>
      <c r="R252" s="603">
        <f t="shared" ref="R252:R260" si="73">IF(ISNUMBER(J252/R16*1000),J252/R16*1000,"0")</f>
        <v>0</v>
      </c>
    </row>
    <row r="253" spans="2:18" s="57" customFormat="1" ht="12.5">
      <c r="B253" s="595" t="s">
        <v>1048</v>
      </c>
      <c r="C253" s="626">
        <f>SUM(SV!C96,SV!C102,SV!C106)</f>
        <v>0</v>
      </c>
      <c r="D253" s="627">
        <f>SUM(SV!D96,SV!D102,SV!D106)</f>
        <v>9.2131576033599991</v>
      </c>
      <c r="E253" s="627">
        <f>SUM(SV!E96,SV!E102,SV!E106)</f>
        <v>8.9901542085300008</v>
      </c>
      <c r="F253" s="627">
        <f>SUM(SV!F96,SV!F102,SV!F106)</f>
        <v>10.072536349579901</v>
      </c>
      <c r="G253" s="627">
        <f>SUM(SV!G96,SV!G102,SV!G106)</f>
        <v>20.720265706885701</v>
      </c>
      <c r="H253" s="627">
        <f>SUM(SV!H96,SV!H102,SV!H106)</f>
        <v>19.61305200644</v>
      </c>
      <c r="I253" s="627">
        <f>SUM(SV!I96,SV!I102,SV!I106)</f>
        <v>21.425007021403999</v>
      </c>
      <c r="J253" s="628">
        <f>SUM(SV!J96,SV!J102,SV!J106)</f>
        <v>21.911000000000001</v>
      </c>
      <c r="K253" s="609">
        <f t="shared" si="65"/>
        <v>0</v>
      </c>
      <c r="L253" s="609">
        <f t="shared" si="67"/>
        <v>1471.7736915264313</v>
      </c>
      <c r="M253" s="609">
        <f t="shared" si="68"/>
        <v>1431.8037835809166</v>
      </c>
      <c r="N253" s="609">
        <f t="shared" si="69"/>
        <v>1600.4426643313664</v>
      </c>
      <c r="O253" s="609">
        <f t="shared" si="70"/>
        <v>3286.0643646250355</v>
      </c>
      <c r="P253" s="609">
        <f t="shared" si="71"/>
        <v>3105.9086229695372</v>
      </c>
      <c r="Q253" s="609">
        <f t="shared" si="72"/>
        <v>3389.4739224014011</v>
      </c>
      <c r="R253" s="603">
        <f t="shared" si="73"/>
        <v>3463.7351936425739</v>
      </c>
    </row>
    <row r="254" spans="2:18" s="57" customFormat="1" ht="12.5">
      <c r="B254" s="595" t="s">
        <v>1049</v>
      </c>
      <c r="C254" s="626">
        <f>SUM(GT!C103,GT!C109,GT!C113)</f>
        <v>13.662000000000001</v>
      </c>
      <c r="D254" s="627">
        <f>SUM(GT!D103,GT!D109,GT!D113)</f>
        <v>14.355</v>
      </c>
      <c r="E254" s="627">
        <f>SUM(GT!E103,GT!E109,GT!E113)</f>
        <v>15.747999999999999</v>
      </c>
      <c r="F254" s="627">
        <f>SUM(GT!F103,GT!F109,GT!F113)</f>
        <v>17.474</v>
      </c>
      <c r="G254" s="627">
        <f>SUM(GT!G103,GT!G109,GT!G113)</f>
        <v>18.088999999999999</v>
      </c>
      <c r="H254" s="627">
        <f>SUM(GT!H103,GT!H109,GT!H113)</f>
        <v>19.673999999999999</v>
      </c>
      <c r="I254" s="627">
        <f>SUM(GT!I103,GT!I109,GT!I113)</f>
        <v>23.91</v>
      </c>
      <c r="J254" s="628">
        <f>SUM(GT!J103,GT!J109,GT!J113)</f>
        <v>27.004999999999999</v>
      </c>
      <c r="K254" s="609">
        <f t="shared" si="65"/>
        <v>0.89257271312051834</v>
      </c>
      <c r="L254" s="609">
        <f t="shared" si="67"/>
        <v>0.92211817514515415</v>
      </c>
      <c r="M254" s="609">
        <f t="shared" si="68"/>
        <v>0.99496515284289744</v>
      </c>
      <c r="N254" s="609">
        <f t="shared" si="69"/>
        <v>1.0861904626335936</v>
      </c>
      <c r="O254" s="609">
        <f t="shared" si="70"/>
        <v>1.1065672801348263</v>
      </c>
      <c r="P254" s="609">
        <f t="shared" si="71"/>
        <v>1.1848933505644954</v>
      </c>
      <c r="Q254" s="609">
        <f t="shared" si="72"/>
        <v>1.418289696851996</v>
      </c>
      <c r="R254" s="603">
        <f t="shared" si="73"/>
        <v>1.5783402044659227</v>
      </c>
    </row>
    <row r="255" spans="2:18" s="57" customFormat="1" ht="12.5">
      <c r="B255" s="595" t="s">
        <v>1050</v>
      </c>
      <c r="C255" s="626">
        <f>SUM(HN!C100,HN!C106,HN!C110)</f>
        <v>0</v>
      </c>
      <c r="D255" s="627">
        <f>SUM(HN!D100,HN!D106,HN!D110)</f>
        <v>0</v>
      </c>
      <c r="E255" s="627">
        <f>SUM(HN!E100,HN!E106,HN!E110)</f>
        <v>0</v>
      </c>
      <c r="F255" s="627">
        <f>SUM(HN!F100,HN!F106,HN!F110)</f>
        <v>0</v>
      </c>
      <c r="G255" s="627">
        <f>SUM(HN!G100,HN!G106,HN!G110)</f>
        <v>0</v>
      </c>
      <c r="H255" s="627">
        <f>SUM(HN!H100,HN!H106,HN!H110)</f>
        <v>0</v>
      </c>
      <c r="I255" s="627">
        <f>SUM(HN!I100,HN!I106,HN!I110)</f>
        <v>0</v>
      </c>
      <c r="J255" s="628">
        <f>SUM(HN!J100,HN!J106,HN!J110)</f>
        <v>0</v>
      </c>
      <c r="K255" s="609">
        <f t="shared" si="65"/>
        <v>0</v>
      </c>
      <c r="L255" s="609">
        <f t="shared" si="67"/>
        <v>0</v>
      </c>
      <c r="M255" s="609">
        <f t="shared" si="68"/>
        <v>0</v>
      </c>
      <c r="N255" s="609">
        <f t="shared" si="69"/>
        <v>0</v>
      </c>
      <c r="O255" s="609">
        <f t="shared" si="70"/>
        <v>0</v>
      </c>
      <c r="P255" s="609">
        <f t="shared" si="71"/>
        <v>0</v>
      </c>
      <c r="Q255" s="609">
        <f t="shared" si="72"/>
        <v>0</v>
      </c>
      <c r="R255" s="603">
        <f t="shared" si="73"/>
        <v>0</v>
      </c>
    </row>
    <row r="256" spans="2:18" s="57" customFormat="1" ht="12.5">
      <c r="B256" s="595" t="s">
        <v>1051</v>
      </c>
      <c r="C256" s="626">
        <f>SUM(JM!C97,JM!C103,JM!C107)/1000</f>
        <v>3.1956750918143708</v>
      </c>
      <c r="D256" s="627">
        <f>SUM(JM!D97,JM!D103,JM!D107)/1000</f>
        <v>3.4042119835568654</v>
      </c>
      <c r="E256" s="627">
        <f>SUM(JM!E97,JM!E103,JM!E107)/1000</f>
        <v>3.552941410957922</v>
      </c>
      <c r="F256" s="627">
        <f>SUM(JM!F97,JM!F103,JM!F107)/1000</f>
        <v>4.1989949552161434</v>
      </c>
      <c r="G256" s="627">
        <f>SUM(JM!G97,JM!G103,JM!G107)/1000</f>
        <v>4.3482916341074977</v>
      </c>
      <c r="H256" s="627">
        <f>SUM(JM!H97,JM!H103,JM!H107)/1000</f>
        <v>4.4752112409386813</v>
      </c>
      <c r="I256" s="627">
        <f>SUM(JM!I97,JM!I103,JM!I107)/1000</f>
        <v>4.8100335087518822</v>
      </c>
      <c r="J256" s="628">
        <f>SUM(JM!J97,JM!J103,JM!J107)/1000</f>
        <v>4.7824773515389349</v>
      </c>
      <c r="K256" s="609">
        <f t="shared" si="65"/>
        <v>1.176759469923621</v>
      </c>
      <c r="L256" s="609">
        <f t="shared" si="67"/>
        <v>1.2517924388049384</v>
      </c>
      <c r="M256" s="609">
        <f t="shared" si="68"/>
        <v>1.305429844006432</v>
      </c>
      <c r="N256" s="609">
        <f t="shared" si="69"/>
        <v>1.5404169935514975</v>
      </c>
      <c r="O256" s="609">
        <f t="shared" si="70"/>
        <v>1.5922080900231117</v>
      </c>
      <c r="P256" s="609">
        <f t="shared" si="71"/>
        <v>1.6368180883959578</v>
      </c>
      <c r="Q256" s="609">
        <f t="shared" si="72"/>
        <v>1.7577961952755012</v>
      </c>
      <c r="R256" s="603">
        <f t="shared" si="73"/>
        <v>1.7457482575429586</v>
      </c>
    </row>
    <row r="257" spans="2:18" s="57" customFormat="1" ht="12.5">
      <c r="B257" s="595" t="s">
        <v>1052</v>
      </c>
      <c r="C257" s="626">
        <f>SUM(RD!C111,RD!C117,RD!C121)</f>
        <v>7.9167801034085699</v>
      </c>
      <c r="D257" s="627">
        <f>SUM(RD!D111,RD!D117,RD!D121)</f>
        <v>8.5874256896661709</v>
      </c>
      <c r="E257" s="627">
        <f>SUM(RD!E111,RD!E117,RD!E121)</f>
        <v>9.0921307564606106</v>
      </c>
      <c r="F257" s="627">
        <f>SUM(RD!F111,RD!F117,RD!F121)</f>
        <v>9.1942267183200883</v>
      </c>
      <c r="G257" s="627">
        <f>SUM(RD!G111,RD!G117,RD!G121)</f>
        <v>9.4088268147991734</v>
      </c>
      <c r="H257" s="627">
        <f>SUM(RD!H111,RD!H117,RD!H121)</f>
        <v>10.99432024014124</v>
      </c>
      <c r="I257" s="627">
        <f>SUM(RD!I111,RD!I117,RD!I121)</f>
        <v>12.142566836662473</v>
      </c>
      <c r="J257" s="628">
        <f>SUM(RD!J111,RD!J117,RD!J121)</f>
        <v>14.659295772699606</v>
      </c>
      <c r="K257" s="609">
        <f t="shared" si="65"/>
        <v>801.01090884416396</v>
      </c>
      <c r="L257" s="609">
        <f t="shared" si="67"/>
        <v>860.44254530337298</v>
      </c>
      <c r="M257" s="609">
        <f t="shared" si="68"/>
        <v>902.44070934279807</v>
      </c>
      <c r="N257" s="609">
        <f t="shared" si="69"/>
        <v>904.12736831672123</v>
      </c>
      <c r="O257" s="609">
        <f t="shared" si="70"/>
        <v>916.49038162208376</v>
      </c>
      <c r="P257" s="609">
        <f t="shared" si="71"/>
        <v>1061.3999413168583</v>
      </c>
      <c r="Q257" s="609">
        <f t="shared" si="72"/>
        <v>1162.135043192565</v>
      </c>
      <c r="R257" s="603">
        <f t="shared" si="73"/>
        <v>1391.4144628345507</v>
      </c>
    </row>
    <row r="258" spans="2:18" s="57" customFormat="1" ht="12.5">
      <c r="B258" s="595" t="s">
        <v>1053</v>
      </c>
      <c r="C258" s="626">
        <f>SUM(PY!C96,PY!C102,PY!C106)</f>
        <v>14.005418664938432</v>
      </c>
      <c r="D258" s="627">
        <f>SUM(PY!D96,PY!D102,PY!D106)</f>
        <v>17.512895546174104</v>
      </c>
      <c r="E258" s="627">
        <f>SUM(PY!E96,PY!E102,PY!E106)</f>
        <v>18.760922257511389</v>
      </c>
      <c r="F258" s="627">
        <f>SUM(PY!F96,PY!F102,PY!F106)</f>
        <v>36.378595198300459</v>
      </c>
      <c r="G258" s="627">
        <f>SUM(PY!G96,PY!G102,PY!G106)</f>
        <v>37.940071131951051</v>
      </c>
      <c r="H258" s="627">
        <f>SUM(PY!H96,PY!H102,PY!H106)</f>
        <v>38.058869297954068</v>
      </c>
      <c r="I258" s="627">
        <f>SUM(PY!I96,PY!I102,PY!I106)</f>
        <v>73.886581118233977</v>
      </c>
      <c r="J258" s="628">
        <f>SUM(PY!J96,PY!J102,PY!J106)</f>
        <v>48.561192266965165</v>
      </c>
      <c r="K258" s="609">
        <f t="shared" si="65"/>
        <v>2.1037900834668868</v>
      </c>
      <c r="L258" s="609">
        <f t="shared" si="67"/>
        <v>2.5922924923858823</v>
      </c>
      <c r="M258" s="609">
        <f t="shared" si="68"/>
        <v>2.7370083485609222</v>
      </c>
      <c r="N258" s="609">
        <f t="shared" si="69"/>
        <v>5.2315857319024381</v>
      </c>
      <c r="O258" s="609">
        <f t="shared" si="70"/>
        <v>5.3792942832771677</v>
      </c>
      <c r="P258" s="609">
        <f t="shared" si="71"/>
        <v>5.3209074563955072</v>
      </c>
      <c r="Q258" s="609">
        <f t="shared" si="72"/>
        <v>10.187497991222612</v>
      </c>
      <c r="R258" s="603">
        <f t="shared" si="73"/>
        <v>6.6042349939438001</v>
      </c>
    </row>
    <row r="259" spans="2:18" s="57" customFormat="1" ht="12.5">
      <c r="B259" s="595" t="s">
        <v>1054</v>
      </c>
      <c r="C259" s="626">
        <f>SUM(PE!C102,PE!C108,PE!C112)</f>
        <v>0</v>
      </c>
      <c r="D259" s="627">
        <f>SUM(PE!D102,PE!D108,PE!D112)</f>
        <v>0</v>
      </c>
      <c r="E259" s="627">
        <f>SUM(PE!E102,PE!E108,PE!E112)</f>
        <v>0</v>
      </c>
      <c r="F259" s="627">
        <f>SUM(PE!F102,PE!F108,PE!F112)</f>
        <v>0</v>
      </c>
      <c r="G259" s="627">
        <f>SUM(PE!G102,PE!G108,PE!G112)</f>
        <v>0</v>
      </c>
      <c r="H259" s="627">
        <f>SUM(PE!H102,PE!H108,PE!H112)</f>
        <v>0</v>
      </c>
      <c r="I259" s="627">
        <f>SUM(PE!I102,PE!I108,PE!I112)</f>
        <v>0</v>
      </c>
      <c r="J259" s="628">
        <f>SUM(PE!J102,PE!J108,PE!J112)</f>
        <v>0</v>
      </c>
      <c r="K259" s="609">
        <f t="shared" si="65"/>
        <v>0</v>
      </c>
      <c r="L259" s="609">
        <f t="shared" si="67"/>
        <v>0</v>
      </c>
      <c r="M259" s="609">
        <f t="shared" si="68"/>
        <v>0</v>
      </c>
      <c r="N259" s="609">
        <f t="shared" si="69"/>
        <v>0</v>
      </c>
      <c r="O259" s="609">
        <f t="shared" si="70"/>
        <v>0</v>
      </c>
      <c r="P259" s="609">
        <f t="shared" si="71"/>
        <v>0</v>
      </c>
      <c r="Q259" s="609">
        <f t="shared" si="72"/>
        <v>0</v>
      </c>
      <c r="R259" s="603">
        <f t="shared" si="73"/>
        <v>0</v>
      </c>
    </row>
    <row r="260" spans="2:18" s="57" customFormat="1" ht="12.5">
      <c r="B260" s="604" t="s">
        <v>1055</v>
      </c>
      <c r="C260" s="629">
        <f>SUM(TT!C103,TT!C109,TT!C113)</f>
        <v>7.475297004010379</v>
      </c>
      <c r="D260" s="630">
        <f>SUM(TT!D103,TT!D109,TT!D113)</f>
        <v>6.780296280142065</v>
      </c>
      <c r="E260" s="630">
        <f>SUM(TT!E103,TT!E109,TT!E113)</f>
        <v>6.4836829232137561</v>
      </c>
      <c r="F260" s="630">
        <f>SUM(TT!F103,TT!F109,TT!F113)</f>
        <v>6.4249049573028731</v>
      </c>
      <c r="G260" s="630">
        <f>SUM(TT!G103,TT!G109,TT!G113)</f>
        <v>6.5765658621477927</v>
      </c>
      <c r="H260" s="630">
        <f>SUM(TT!H103,TT!H109,TT!H113)</f>
        <v>7.3009767314616969</v>
      </c>
      <c r="I260" s="630">
        <f>SUM(TT!I103,TT!I109,TT!I113)</f>
        <v>8.3231465061417076</v>
      </c>
      <c r="J260" s="631">
        <f>SUM(TT!J103,TT!J109,TT!J113)</f>
        <v>8.254297523105361</v>
      </c>
      <c r="K260" s="617">
        <f t="shared" si="65"/>
        <v>5.5564246471051462</v>
      </c>
      <c r="L260" s="617">
        <f t="shared" si="67"/>
        <v>5.0236808636071455</v>
      </c>
      <c r="M260" s="617">
        <f t="shared" si="68"/>
        <v>4.7889111956346371</v>
      </c>
      <c r="N260" s="617">
        <f t="shared" si="69"/>
        <v>4.7359197051102795</v>
      </c>
      <c r="O260" s="617">
        <f t="shared" si="70"/>
        <v>4.8385813215251936</v>
      </c>
      <c r="P260" s="617">
        <f t="shared" si="71"/>
        <v>5.3526811009371045</v>
      </c>
      <c r="Q260" s="617">
        <f t="shared" si="72"/>
        <v>6.0898472671105806</v>
      </c>
      <c r="R260" s="618">
        <f t="shared" si="73"/>
        <v>6.0357933799556296</v>
      </c>
    </row>
    <row r="261" spans="2:18" s="57" customFormat="1" ht="12.5">
      <c r="C261" s="582"/>
      <c r="D261" s="582"/>
      <c r="E261" s="582"/>
      <c r="F261" s="582"/>
      <c r="G261" s="582"/>
      <c r="H261" s="582"/>
      <c r="I261" s="582"/>
      <c r="J261" s="582"/>
      <c r="K261" s="582"/>
      <c r="L261" s="582"/>
      <c r="M261" s="582"/>
      <c r="N261" s="582"/>
      <c r="O261" s="582"/>
      <c r="P261" s="582"/>
      <c r="Q261" s="582"/>
    </row>
    <row r="262" spans="2:18" s="57" customFormat="1" ht="13">
      <c r="B262" s="1654" t="s">
        <v>1084</v>
      </c>
      <c r="C262" s="1654"/>
      <c r="D262" s="1654"/>
      <c r="E262" s="1654"/>
      <c r="F262" s="1654"/>
      <c r="G262" s="1654"/>
      <c r="H262" s="1654"/>
      <c r="I262" s="1654"/>
      <c r="J262" s="1654"/>
      <c r="K262" s="1654"/>
      <c r="L262" s="1654"/>
      <c r="M262" s="1654"/>
      <c r="N262" s="1654"/>
      <c r="O262" s="1654"/>
      <c r="P262" s="1654"/>
      <c r="Q262" s="1654"/>
      <c r="R262" s="1678"/>
    </row>
    <row r="263" spans="2:18" s="57" customFormat="1" ht="12.5">
      <c r="B263" s="634"/>
      <c r="C263" s="622"/>
      <c r="D263" s="622"/>
      <c r="E263" s="622"/>
      <c r="F263" s="622"/>
      <c r="G263" s="622"/>
      <c r="H263" s="622"/>
      <c r="I263" s="622"/>
      <c r="J263" s="622"/>
      <c r="K263" s="622"/>
      <c r="L263" s="622"/>
      <c r="M263" s="622"/>
      <c r="N263" s="622"/>
      <c r="O263" s="622"/>
      <c r="P263" s="622"/>
      <c r="Q263" s="622"/>
    </row>
    <row r="264" spans="2:18" s="57" customFormat="1" ht="13">
      <c r="B264" s="583"/>
      <c r="C264" s="2183" t="s">
        <v>1087</v>
      </c>
      <c r="D264" s="2184"/>
      <c r="E264" s="2184"/>
      <c r="F264" s="2184"/>
      <c r="G264" s="2184"/>
      <c r="H264" s="2184"/>
      <c r="I264" s="2184"/>
      <c r="J264" s="2185"/>
      <c r="K264" s="2182"/>
      <c r="L264" s="2182"/>
      <c r="M264" s="2182"/>
      <c r="N264" s="2182"/>
      <c r="O264" s="2182"/>
      <c r="P264" s="2182"/>
      <c r="Q264" s="2182"/>
    </row>
    <row r="265" spans="2:18" s="57" customFormat="1" ht="12.5">
      <c r="C265" s="587">
        <v>2014</v>
      </c>
      <c r="D265" s="588">
        <v>2015</v>
      </c>
      <c r="E265" s="588">
        <v>2016</v>
      </c>
      <c r="F265" s="588">
        <v>2017</v>
      </c>
      <c r="G265" s="588">
        <v>2018</v>
      </c>
      <c r="H265" s="588">
        <v>2019</v>
      </c>
      <c r="I265" s="588">
        <v>2020</v>
      </c>
      <c r="J265" s="848">
        <v>2021</v>
      </c>
      <c r="K265" s="582"/>
      <c r="L265" s="582"/>
      <c r="M265" s="582"/>
      <c r="N265" s="582"/>
      <c r="O265" s="582"/>
      <c r="P265" s="582"/>
      <c r="Q265" s="582"/>
    </row>
    <row r="266" spans="2:18" s="57" customFormat="1" ht="12.5">
      <c r="B266" s="589" t="s">
        <v>1038</v>
      </c>
      <c r="C266" s="614">
        <f t="shared" ref="C266:J272" si="74">IF(ISNUMBER(C244/C6*100000),C244/C6*100000,"0")</f>
        <v>7.5732338175901956</v>
      </c>
      <c r="D266" s="615">
        <f t="shared" si="74"/>
        <v>7.9580503469095607</v>
      </c>
      <c r="E266" s="615">
        <f t="shared" si="74"/>
        <v>8.9364151931857538</v>
      </c>
      <c r="F266" s="615">
        <f t="shared" si="74"/>
        <v>10.13937257268533</v>
      </c>
      <c r="G266" s="615">
        <f t="shared" si="74"/>
        <v>10.676219017762948</v>
      </c>
      <c r="H266" s="615">
        <f t="shared" si="74"/>
        <v>11.496056803093058</v>
      </c>
      <c r="I266" s="615">
        <f t="shared" si="74"/>
        <v>13.720220020873455</v>
      </c>
      <c r="J266" s="616">
        <f t="shared" si="74"/>
        <v>11.187868152329163</v>
      </c>
      <c r="K266" s="582"/>
      <c r="L266" s="582"/>
      <c r="M266" s="582"/>
      <c r="N266" s="582"/>
      <c r="O266" s="582"/>
      <c r="P266" s="582"/>
      <c r="Q266" s="582"/>
    </row>
    <row r="267" spans="2:18" s="57" customFormat="1" ht="12.5">
      <c r="B267" s="595" t="s">
        <v>1039</v>
      </c>
      <c r="C267" s="1844">
        <f t="shared" si="74"/>
        <v>55.009116598869646</v>
      </c>
      <c r="D267" s="609">
        <f t="shared" si="74"/>
        <v>52.152353332939917</v>
      </c>
      <c r="E267" s="609">
        <f t="shared" si="74"/>
        <v>54.991888192249839</v>
      </c>
      <c r="F267" s="609">
        <f t="shared" si="74"/>
        <v>53.771492846507414</v>
      </c>
      <c r="G267" s="609">
        <f t="shared" si="74"/>
        <v>51.018321077470638</v>
      </c>
      <c r="H267" s="609">
        <f t="shared" si="74"/>
        <v>54.105269540961736</v>
      </c>
      <c r="I267" s="609">
        <f t="shared" si="74"/>
        <v>75.992030517036966</v>
      </c>
      <c r="J267" s="603">
        <f t="shared" si="74"/>
        <v>67.085621754724045</v>
      </c>
      <c r="K267" s="582"/>
      <c r="L267" s="582"/>
      <c r="M267" s="582"/>
      <c r="N267" s="582"/>
      <c r="O267" s="582"/>
      <c r="P267" s="582"/>
      <c r="Q267" s="582"/>
    </row>
    <row r="268" spans="2:18" s="57" customFormat="1" ht="12.5">
      <c r="B268" s="595" t="s">
        <v>1040</v>
      </c>
      <c r="C268" s="1844">
        <f t="shared" si="74"/>
        <v>42.316564635460807</v>
      </c>
      <c r="D268" s="609">
        <f t="shared" si="74"/>
        <v>65.131916631315562</v>
      </c>
      <c r="E268" s="609">
        <f t="shared" si="74"/>
        <v>66.508143377885574</v>
      </c>
      <c r="F268" s="609">
        <f t="shared" si="74"/>
        <v>67.297061974341077</v>
      </c>
      <c r="G268" s="609">
        <f t="shared" si="74"/>
        <v>67.607578556261316</v>
      </c>
      <c r="H268" s="609">
        <f t="shared" si="74"/>
        <v>66.833495776754233</v>
      </c>
      <c r="I268" s="609">
        <f t="shared" si="74"/>
        <v>79.447259517709369</v>
      </c>
      <c r="J268" s="603">
        <f t="shared" si="74"/>
        <v>76.479465633671452</v>
      </c>
      <c r="K268" s="582"/>
      <c r="L268" s="582"/>
      <c r="M268" s="582"/>
      <c r="N268" s="582"/>
      <c r="O268" s="582"/>
      <c r="P268" s="582"/>
      <c r="Q268" s="582"/>
    </row>
    <row r="269" spans="2:18" s="57" customFormat="1" ht="12.5">
      <c r="B269" s="595" t="s">
        <v>1041</v>
      </c>
      <c r="C269" s="1844">
        <f t="shared" si="74"/>
        <v>3.2038152931854613</v>
      </c>
      <c r="D269" s="609">
        <f t="shared" si="74"/>
        <v>2.7008871395865133</v>
      </c>
      <c r="E269" s="609">
        <f t="shared" si="74"/>
        <v>2.7284744074644038</v>
      </c>
      <c r="F269" s="609">
        <f t="shared" si="74"/>
        <v>2.732222211930222</v>
      </c>
      <c r="G269" s="609">
        <f t="shared" si="74"/>
        <v>2.7422288614692363</v>
      </c>
      <c r="H269" s="609">
        <f t="shared" si="74"/>
        <v>2.9693970506706839</v>
      </c>
      <c r="I269" s="609">
        <f t="shared" si="74"/>
        <v>4.4487799945474524</v>
      </c>
      <c r="J269" s="603">
        <f t="shared" si="74"/>
        <v>4.233834874002576</v>
      </c>
      <c r="K269" s="582"/>
      <c r="L269" s="582"/>
      <c r="M269" s="582"/>
      <c r="N269" s="582"/>
      <c r="O269" s="582"/>
      <c r="P269" s="582"/>
      <c r="Q269" s="582"/>
    </row>
    <row r="270" spans="2:18" s="57" customFormat="1" ht="12.5">
      <c r="B270" s="595" t="s">
        <v>1042</v>
      </c>
      <c r="C270" s="1844">
        <f t="shared" si="74"/>
        <v>15.92944544093063</v>
      </c>
      <c r="D270" s="609">
        <f t="shared" si="74"/>
        <v>16.442186541390672</v>
      </c>
      <c r="E270" s="609">
        <f t="shared" si="74"/>
        <v>16.336697758546933</v>
      </c>
      <c r="F270" s="609">
        <f t="shared" si="74"/>
        <v>16.160395740072637</v>
      </c>
      <c r="G270" s="609">
        <f t="shared" si="74"/>
        <v>16.541762688672335</v>
      </c>
      <c r="H270" s="609">
        <f t="shared" si="74"/>
        <v>18.753600064691735</v>
      </c>
      <c r="I270" s="609">
        <f t="shared" si="74"/>
        <v>34.157482381791027</v>
      </c>
      <c r="J270" s="603">
        <f t="shared" si="74"/>
        <v>25.844307372094914</v>
      </c>
      <c r="K270" s="582"/>
      <c r="L270" s="582"/>
      <c r="M270" s="582"/>
      <c r="N270" s="582"/>
      <c r="O270" s="582"/>
      <c r="P270" s="582"/>
      <c r="Q270" s="582"/>
    </row>
    <row r="271" spans="2:18" s="57" customFormat="1" ht="12.5">
      <c r="B271" s="595" t="s">
        <v>1043</v>
      </c>
      <c r="C271" s="1844">
        <f t="shared" si="74"/>
        <v>24.344247078724326</v>
      </c>
      <c r="D271" s="609">
        <f t="shared" si="74"/>
        <v>25.475895991591809</v>
      </c>
      <c r="E271" s="609">
        <f t="shared" si="74"/>
        <v>23.298918259841759</v>
      </c>
      <c r="F271" s="609">
        <f t="shared" si="74"/>
        <v>23.511148301456771</v>
      </c>
      <c r="G271" s="609">
        <f t="shared" si="74"/>
        <v>23.391131557868611</v>
      </c>
      <c r="H271" s="609">
        <f t="shared" si="74"/>
        <v>23.807721955658923</v>
      </c>
      <c r="I271" s="609">
        <f t="shared" si="74"/>
        <v>31.361851121755162</v>
      </c>
      <c r="J271" s="603">
        <f t="shared" si="74"/>
        <v>31.546680040559643</v>
      </c>
      <c r="K271" s="582"/>
      <c r="L271" s="582"/>
      <c r="M271" s="582"/>
      <c r="N271" s="582"/>
      <c r="O271" s="582"/>
      <c r="P271" s="582"/>
      <c r="Q271" s="582"/>
    </row>
    <row r="272" spans="2:18" s="57" customFormat="1" ht="12.5">
      <c r="B272" s="595" t="s">
        <v>1044</v>
      </c>
      <c r="C272" s="1844">
        <f t="shared" si="74"/>
        <v>0</v>
      </c>
      <c r="D272" s="609">
        <f t="shared" si="74"/>
        <v>0</v>
      </c>
      <c r="E272" s="609">
        <f t="shared" si="74"/>
        <v>0</v>
      </c>
      <c r="F272" s="609">
        <f t="shared" si="74"/>
        <v>0</v>
      </c>
      <c r="G272" s="609">
        <f t="shared" si="74"/>
        <v>0</v>
      </c>
      <c r="H272" s="609">
        <f t="shared" si="74"/>
        <v>0</v>
      </c>
      <c r="I272" s="609">
        <f t="shared" si="74"/>
        <v>0</v>
      </c>
      <c r="J272" s="603">
        <f t="shared" si="74"/>
        <v>0</v>
      </c>
      <c r="K272" s="582"/>
      <c r="L272" s="582"/>
      <c r="M272" s="582"/>
      <c r="N272" s="582"/>
      <c r="O272" s="582"/>
      <c r="P272" s="582"/>
      <c r="Q272" s="582"/>
    </row>
    <row r="273" spans="2:18" s="57" customFormat="1" ht="12.5">
      <c r="B273" s="595" t="s">
        <v>1061</v>
      </c>
      <c r="C273" s="1844">
        <f t="shared" ref="C273:C282" si="75">IF(ISNUMBER(C251/C15*100000),C251/C15*100000,"0")</f>
        <v>0</v>
      </c>
      <c r="D273" s="609">
        <f t="shared" ref="D273:J273" si="76">IF(ISNUMBER(D251/D15*100000),D251/D15*100000,"0")</f>
        <v>0</v>
      </c>
      <c r="E273" s="609">
        <f t="shared" si="76"/>
        <v>0</v>
      </c>
      <c r="F273" s="609">
        <f t="shared" si="76"/>
        <v>0</v>
      </c>
      <c r="G273" s="609">
        <f t="shared" si="76"/>
        <v>0</v>
      </c>
      <c r="H273" s="609">
        <f t="shared" si="76"/>
        <v>0</v>
      </c>
      <c r="I273" s="609">
        <f t="shared" si="76"/>
        <v>0</v>
      </c>
      <c r="J273" s="603">
        <f t="shared" si="76"/>
        <v>0</v>
      </c>
      <c r="K273" s="582"/>
      <c r="L273" s="582"/>
      <c r="M273" s="582"/>
      <c r="N273" s="582"/>
      <c r="O273" s="582"/>
      <c r="P273" s="582"/>
      <c r="Q273" s="582"/>
    </row>
    <row r="274" spans="2:18" s="57" customFormat="1" ht="12.5">
      <c r="B274" s="595" t="s">
        <v>1047</v>
      </c>
      <c r="C274" s="1844">
        <f t="shared" si="75"/>
        <v>18.21707551497926</v>
      </c>
      <c r="D274" s="609">
        <f t="shared" ref="D274:J282" si="77">IF(ISNUMBER(D252/D16*100000),D252/D16*100000,"0")</f>
        <v>15.642138461953715</v>
      </c>
      <c r="E274" s="609">
        <f t="shared" si="77"/>
        <v>18.727251975981034</v>
      </c>
      <c r="F274" s="609">
        <f t="shared" si="77"/>
        <v>18.606104266267138</v>
      </c>
      <c r="G274" s="609">
        <f t="shared" si="77"/>
        <v>17.516980124302254</v>
      </c>
      <c r="H274" s="609">
        <f t="shared" si="77"/>
        <v>30.682747477268336</v>
      </c>
      <c r="I274" s="609">
        <f t="shared" si="77"/>
        <v>22.323563034009087</v>
      </c>
      <c r="J274" s="603">
        <f t="shared" si="77"/>
        <v>0</v>
      </c>
      <c r="K274" s="582"/>
      <c r="L274" s="582"/>
      <c r="M274" s="582"/>
      <c r="N274" s="582"/>
      <c r="O274" s="582"/>
      <c r="P274" s="582"/>
      <c r="Q274" s="582"/>
    </row>
    <row r="275" spans="2:18" s="57" customFormat="1" ht="12.5">
      <c r="B275" s="595" t="s">
        <v>1048</v>
      </c>
      <c r="C275" s="1844">
        <f t="shared" si="75"/>
        <v>0</v>
      </c>
      <c r="D275" s="609">
        <f t="shared" si="77"/>
        <v>39.30823134911153</v>
      </c>
      <c r="E275" s="609">
        <f t="shared" si="77"/>
        <v>37.162558015503841</v>
      </c>
      <c r="F275" s="609">
        <f t="shared" si="77"/>
        <v>40.323710855235504</v>
      </c>
      <c r="G275" s="609">
        <f t="shared" si="77"/>
        <v>79.629472929922358</v>
      </c>
      <c r="H275" s="609">
        <f t="shared" si="77"/>
        <v>72.920028012548769</v>
      </c>
      <c r="I275" s="609">
        <f t="shared" si="77"/>
        <v>86.956656114457232</v>
      </c>
      <c r="J275" s="603">
        <f t="shared" si="77"/>
        <v>76.246809855189881</v>
      </c>
      <c r="K275" s="582"/>
      <c r="L275" s="582"/>
      <c r="M275" s="582"/>
      <c r="N275" s="582"/>
      <c r="O275" s="582"/>
      <c r="P275" s="582"/>
      <c r="Q275" s="582"/>
    </row>
    <row r="276" spans="2:18" s="57" customFormat="1" ht="12.5">
      <c r="B276" s="595" t="s">
        <v>1049</v>
      </c>
      <c r="C276" s="1844">
        <f t="shared" si="75"/>
        <v>23.623668161298973</v>
      </c>
      <c r="D276" s="609">
        <f t="shared" si="77"/>
        <v>23.086437858811774</v>
      </c>
      <c r="E276" s="609">
        <f t="shared" si="77"/>
        <v>23.847974944543388</v>
      </c>
      <c r="F276" s="609">
        <f t="shared" si="77"/>
        <v>24.396413886320389</v>
      </c>
      <c r="G276" s="609">
        <f t="shared" si="77"/>
        <v>24.668210253774092</v>
      </c>
      <c r="H276" s="609">
        <f t="shared" si="77"/>
        <v>25.499689380499216</v>
      </c>
      <c r="I276" s="609">
        <f t="shared" si="77"/>
        <v>30.803813334302152</v>
      </c>
      <c r="J276" s="603">
        <f t="shared" si="77"/>
        <v>31.411929046750949</v>
      </c>
      <c r="K276" s="582"/>
      <c r="L276" s="582"/>
      <c r="M276" s="582"/>
      <c r="N276" s="582"/>
      <c r="O276" s="582"/>
      <c r="P276" s="582"/>
      <c r="Q276" s="582"/>
    </row>
    <row r="277" spans="2:18" s="57" customFormat="1" ht="12.5">
      <c r="B277" s="595" t="s">
        <v>1050</v>
      </c>
      <c r="C277" s="1844">
        <f t="shared" si="75"/>
        <v>0</v>
      </c>
      <c r="D277" s="609">
        <f t="shared" si="77"/>
        <v>0</v>
      </c>
      <c r="E277" s="609">
        <f t="shared" si="77"/>
        <v>0</v>
      </c>
      <c r="F277" s="609">
        <f t="shared" si="77"/>
        <v>0</v>
      </c>
      <c r="G277" s="609">
        <f t="shared" si="77"/>
        <v>0</v>
      </c>
      <c r="H277" s="609">
        <f t="shared" si="77"/>
        <v>0</v>
      </c>
      <c r="I277" s="609">
        <f t="shared" si="77"/>
        <v>0</v>
      </c>
      <c r="J277" s="603">
        <f t="shared" si="77"/>
        <v>0</v>
      </c>
      <c r="K277" s="582"/>
      <c r="L277" s="582"/>
      <c r="M277" s="582"/>
      <c r="N277" s="582"/>
      <c r="O277" s="582"/>
      <c r="P277" s="582"/>
      <c r="Q277" s="582"/>
    </row>
    <row r="278" spans="2:18" s="57" customFormat="1" ht="12.5">
      <c r="B278" s="595" t="s">
        <v>1051</v>
      </c>
      <c r="C278" s="1844">
        <f t="shared" si="75"/>
        <v>23.764021937287286</v>
      </c>
      <c r="D278" s="609">
        <f t="shared" si="77"/>
        <v>24.698668295014667</v>
      </c>
      <c r="E278" s="609">
        <f t="shared" si="77"/>
        <v>25.914113016193916</v>
      </c>
      <c r="F278" s="609">
        <f t="shared" si="77"/>
        <v>27.69757841092078</v>
      </c>
      <c r="G278" s="609">
        <f t="shared" si="77"/>
        <v>27.39410592235669</v>
      </c>
      <c r="H278" s="609">
        <f t="shared" si="77"/>
        <v>28.111501629643673</v>
      </c>
      <c r="I278" s="609">
        <f t="shared" si="77"/>
        <v>34.884233630736389</v>
      </c>
      <c r="J278" s="603">
        <f t="shared" si="77"/>
        <v>33.557942818312462</v>
      </c>
      <c r="K278" s="582"/>
      <c r="L278" s="582"/>
      <c r="M278" s="582"/>
      <c r="N278" s="582"/>
      <c r="O278" s="582"/>
      <c r="P278" s="582"/>
      <c r="Q278" s="582"/>
    </row>
    <row r="279" spans="2:18" s="57" customFormat="1" ht="12.5">
      <c r="B279" s="595" t="s">
        <v>1052</v>
      </c>
      <c r="C279" s="1844">
        <f t="shared" si="75"/>
        <v>11.961307728670088</v>
      </c>
      <c r="D279" s="609">
        <f t="shared" si="77"/>
        <v>12.180428051136618</v>
      </c>
      <c r="E279" s="609">
        <f t="shared" si="77"/>
        <v>12.154092813926448</v>
      </c>
      <c r="F279" s="609">
        <f t="shared" si="77"/>
        <v>11.652313402834976</v>
      </c>
      <c r="G279" s="609">
        <f t="shared" si="77"/>
        <v>11.151240278653351</v>
      </c>
      <c r="H279" s="609">
        <f t="shared" si="77"/>
        <v>12.74865758893726</v>
      </c>
      <c r="I279" s="609">
        <f t="shared" si="77"/>
        <v>15.833440652551973</v>
      </c>
      <c r="J279" s="603">
        <f t="shared" si="77"/>
        <v>15.533017357862152</v>
      </c>
      <c r="K279" s="582"/>
      <c r="L279" s="582"/>
      <c r="M279" s="582"/>
      <c r="N279" s="582"/>
      <c r="O279" s="582"/>
      <c r="P279" s="582"/>
      <c r="Q279" s="582"/>
    </row>
    <row r="280" spans="2:18" s="57" customFormat="1" ht="12.5">
      <c r="B280" s="595" t="s">
        <v>1053</v>
      </c>
      <c r="C280" s="1844">
        <f t="shared" si="75"/>
        <v>36.073059486536799</v>
      </c>
      <c r="D280" s="609">
        <f t="shared" si="77"/>
        <v>53.891292591104893</v>
      </c>
      <c r="E280" s="609">
        <f t="shared" si="77"/>
        <v>52.797413163430598</v>
      </c>
      <c r="F280" s="609">
        <f t="shared" si="77"/>
        <v>92.63844481716535</v>
      </c>
      <c r="G280" s="609">
        <f t="shared" si="77"/>
        <v>98.070773756791638</v>
      </c>
      <c r="H280" s="609">
        <f t="shared" si="77"/>
        <v>103.64425410767923</v>
      </c>
      <c r="I280" s="609">
        <f t="shared" si="77"/>
        <v>210.83488838980392</v>
      </c>
      <c r="J280" s="603">
        <f t="shared" si="77"/>
        <v>131.39845372272521</v>
      </c>
      <c r="K280" s="582"/>
      <c r="L280" s="582"/>
      <c r="M280" s="582"/>
      <c r="N280" s="582"/>
      <c r="O280" s="582"/>
      <c r="P280" s="582"/>
      <c r="Q280" s="582"/>
    </row>
    <row r="281" spans="2:18" s="57" customFormat="1" ht="12.5">
      <c r="B281" s="595" t="s">
        <v>1054</v>
      </c>
      <c r="C281" s="1844">
        <f t="shared" si="75"/>
        <v>0</v>
      </c>
      <c r="D281" s="609">
        <f t="shared" si="77"/>
        <v>0</v>
      </c>
      <c r="E281" s="609">
        <f t="shared" si="77"/>
        <v>0</v>
      </c>
      <c r="F281" s="609">
        <f t="shared" si="77"/>
        <v>0</v>
      </c>
      <c r="G281" s="609">
        <f t="shared" si="77"/>
        <v>0</v>
      </c>
      <c r="H281" s="609">
        <f t="shared" si="77"/>
        <v>0</v>
      </c>
      <c r="I281" s="609">
        <f t="shared" si="77"/>
        <v>0</v>
      </c>
      <c r="J281" s="603">
        <f t="shared" si="77"/>
        <v>0</v>
      </c>
      <c r="K281" s="582"/>
      <c r="L281" s="582"/>
      <c r="M281" s="582"/>
      <c r="N281" s="582"/>
      <c r="O281" s="582"/>
      <c r="P281" s="582"/>
      <c r="Q281" s="582"/>
    </row>
    <row r="282" spans="2:18" s="57" customFormat="1" ht="12.5">
      <c r="B282" s="604" t="s">
        <v>1055</v>
      </c>
      <c r="C282" s="610">
        <f t="shared" si="75"/>
        <v>25.253838928386319</v>
      </c>
      <c r="D282" s="617">
        <f t="shared" si="77"/>
        <v>25.156510572429241</v>
      </c>
      <c r="E282" s="617">
        <f t="shared" si="77"/>
        <v>27.488703787144342</v>
      </c>
      <c r="F282" s="617">
        <f t="shared" si="77"/>
        <v>26.896064292186381</v>
      </c>
      <c r="G282" s="617">
        <f t="shared" si="77"/>
        <v>26.983041020878968</v>
      </c>
      <c r="H282" s="617">
        <f t="shared" si="77"/>
        <v>30.6169228614913</v>
      </c>
      <c r="I282" s="617">
        <f t="shared" si="77"/>
        <v>39.517942876810615</v>
      </c>
      <c r="J282" s="618">
        <f t="shared" si="77"/>
        <v>33.739129257057108</v>
      </c>
      <c r="K282" s="582"/>
      <c r="L282" s="582"/>
      <c r="M282" s="582"/>
      <c r="N282" s="582"/>
      <c r="O282" s="582"/>
      <c r="P282" s="582"/>
      <c r="Q282" s="582"/>
    </row>
    <row r="283" spans="2:18" s="57" customFormat="1" ht="12.5">
      <c r="B283" s="619"/>
      <c r="C283" s="609"/>
      <c r="D283" s="609"/>
      <c r="E283" s="609"/>
      <c r="F283" s="609"/>
      <c r="G283" s="609"/>
      <c r="H283" s="609"/>
      <c r="I283" s="609"/>
      <c r="J283" s="609"/>
      <c r="K283" s="582"/>
      <c r="L283" s="582"/>
      <c r="M283" s="582"/>
      <c r="N283" s="582"/>
      <c r="O283" s="582"/>
      <c r="P283" s="582"/>
      <c r="Q283" s="582"/>
    </row>
    <row r="284" spans="2:18" s="57" customFormat="1" ht="13">
      <c r="B284" s="2157" t="s">
        <v>1088</v>
      </c>
      <c r="C284" s="2157"/>
      <c r="D284" s="2157"/>
      <c r="E284" s="2157"/>
      <c r="F284" s="2157"/>
      <c r="G284" s="2157"/>
      <c r="H284" s="2157"/>
      <c r="I284" s="2157"/>
      <c r="J284" s="2157"/>
      <c r="K284" s="2157"/>
      <c r="L284" s="2157"/>
      <c r="M284" s="2157"/>
      <c r="N284" s="2157"/>
      <c r="O284" s="2157"/>
      <c r="P284" s="2157"/>
      <c r="Q284" s="2157"/>
      <c r="R284" s="2157"/>
    </row>
    <row r="285" spans="2:18" s="57" customFormat="1" ht="13">
      <c r="B285" s="2159" t="s">
        <v>1089</v>
      </c>
      <c r="C285" s="2159"/>
      <c r="D285" s="2159"/>
      <c r="E285" s="2159"/>
      <c r="F285" s="2159"/>
      <c r="G285" s="2159"/>
      <c r="H285" s="2159"/>
      <c r="I285" s="2159"/>
      <c r="J285" s="2159"/>
      <c r="K285" s="2159"/>
      <c r="L285" s="2159"/>
      <c r="M285" s="2159"/>
      <c r="N285" s="2159"/>
      <c r="O285" s="2159"/>
      <c r="P285" s="2159"/>
      <c r="Q285" s="2159"/>
      <c r="R285" s="2159"/>
    </row>
    <row r="286" spans="2:18" s="57" customFormat="1" ht="13">
      <c r="B286" s="581" t="s">
        <v>1090</v>
      </c>
      <c r="C286" s="613"/>
      <c r="D286" s="613"/>
      <c r="E286" s="613"/>
      <c r="F286" s="613"/>
      <c r="G286" s="613"/>
      <c r="H286" s="613"/>
      <c r="I286" s="613"/>
      <c r="J286" s="613"/>
      <c r="K286" s="613"/>
      <c r="L286" s="613"/>
      <c r="M286" s="613"/>
      <c r="N286" s="613"/>
      <c r="O286" s="613"/>
      <c r="P286" s="613"/>
      <c r="Q286" s="613"/>
    </row>
    <row r="287" spans="2:18" s="57" customFormat="1" ht="13">
      <c r="B287" s="581"/>
      <c r="C287" s="613"/>
      <c r="D287" s="613"/>
      <c r="E287" s="613"/>
      <c r="F287" s="613"/>
      <c r="G287" s="613"/>
      <c r="H287" s="613"/>
      <c r="I287" s="613"/>
      <c r="J287" s="613"/>
      <c r="K287" s="613"/>
      <c r="L287" s="613"/>
      <c r="M287" s="613"/>
      <c r="N287" s="613"/>
      <c r="O287" s="613"/>
      <c r="P287" s="613"/>
      <c r="Q287" s="613"/>
    </row>
    <row r="288" spans="2:18" s="57" customFormat="1" ht="13">
      <c r="B288" s="583"/>
      <c r="C288" s="2161" t="s">
        <v>1091</v>
      </c>
      <c r="D288" s="2162"/>
      <c r="E288" s="2162"/>
      <c r="F288" s="2162"/>
      <c r="G288" s="2162"/>
      <c r="H288" s="2162"/>
      <c r="I288" s="2162"/>
      <c r="J288" s="2163"/>
      <c r="K288" s="2183" t="s">
        <v>1092</v>
      </c>
      <c r="L288" s="2184"/>
      <c r="M288" s="2184"/>
      <c r="N288" s="2184"/>
      <c r="O288" s="2184"/>
      <c r="P288" s="2184"/>
      <c r="Q288" s="2184"/>
      <c r="R288" s="2186"/>
    </row>
    <row r="289" spans="2:18" s="57" customFormat="1" ht="12.5">
      <c r="C289" s="585">
        <v>2014</v>
      </c>
      <c r="D289" s="586">
        <v>2015</v>
      </c>
      <c r="E289" s="586">
        <v>2016</v>
      </c>
      <c r="F289" s="586">
        <v>2017</v>
      </c>
      <c r="G289" s="586">
        <v>2018</v>
      </c>
      <c r="H289" s="586">
        <v>2019</v>
      </c>
      <c r="I289" s="586">
        <v>2020</v>
      </c>
      <c r="J289" s="586">
        <v>2021</v>
      </c>
      <c r="K289" s="638">
        <v>2014</v>
      </c>
      <c r="L289" s="639">
        <v>2015</v>
      </c>
      <c r="M289" s="639">
        <v>2016</v>
      </c>
      <c r="N289" s="639">
        <v>2017</v>
      </c>
      <c r="O289" s="639">
        <v>2018</v>
      </c>
      <c r="P289" s="639">
        <v>2019</v>
      </c>
      <c r="Q289" s="639">
        <v>2020</v>
      </c>
      <c r="R289" s="640">
        <v>2021</v>
      </c>
    </row>
    <row r="290" spans="2:18" s="57" customFormat="1" ht="12.5">
      <c r="B290" s="589" t="s">
        <v>1038</v>
      </c>
      <c r="C290" s="614">
        <f>ARG!C174/1000</f>
        <v>1384.9555189999999</v>
      </c>
      <c r="D290" s="615">
        <f>ARG!D174/1000</f>
        <v>1547.811833</v>
      </c>
      <c r="E290" s="615">
        <f>ARG!E174/1000</f>
        <v>1815.1471759999999</v>
      </c>
      <c r="F290" s="615">
        <f>ARG!F174/1000</f>
        <v>2004.508047</v>
      </c>
      <c r="G290" s="615">
        <f>ARG!G174/1000</f>
        <v>2292.770786</v>
      </c>
      <c r="H290" s="615">
        <f>ARG!H174/1000</f>
        <v>2739.0291419999994</v>
      </c>
      <c r="I290" s="615">
        <f>ARG!I174/1000</f>
        <v>3484.1863410000001</v>
      </c>
      <c r="J290" s="616">
        <f>ARG!J174/1000</f>
        <v>4790.3596900000002</v>
      </c>
      <c r="K290" s="615">
        <v>-14.212622474416511</v>
      </c>
      <c r="L290" s="615">
        <f t="shared" ref="L290:R296" si="78">(D290/C290-1)*100</f>
        <v>11.758956281685462</v>
      </c>
      <c r="M290" s="615">
        <f t="shared" si="78"/>
        <v>17.271824475062015</v>
      </c>
      <c r="N290" s="615">
        <f t="shared" si="78"/>
        <v>10.432259901772301</v>
      </c>
      <c r="O290" s="615">
        <f t="shared" si="78"/>
        <v>14.380722463620032</v>
      </c>
      <c r="P290" s="615">
        <f t="shared" si="78"/>
        <v>19.463714328746651</v>
      </c>
      <c r="Q290" s="615">
        <f t="shared" si="78"/>
        <v>27.205157753666608</v>
      </c>
      <c r="R290" s="616">
        <f t="shared" si="78"/>
        <v>37.488619182896919</v>
      </c>
    </row>
    <row r="291" spans="2:18" s="57" customFormat="1" ht="12.5">
      <c r="B291" s="595" t="s">
        <v>1039</v>
      </c>
      <c r="C291" s="608">
        <f>BA!C163/1000</f>
        <v>12.693802</v>
      </c>
      <c r="D291" s="609">
        <f>BA!D163/1000</f>
        <v>16.257652</v>
      </c>
      <c r="E291" s="609">
        <f>BA!E163/1000</f>
        <v>22.141266999999999</v>
      </c>
      <c r="F291" s="609">
        <f>BA!F163/1000</f>
        <v>22.722570000000001</v>
      </c>
      <c r="G291" s="609">
        <f>BA!G163/1000</f>
        <v>24.992064000000003</v>
      </c>
      <c r="H291" s="609">
        <f>BA!H163/1000</f>
        <v>26.501989000000002</v>
      </c>
      <c r="I291" s="609">
        <f>BA!I163/1000</f>
        <v>20.652710000000003</v>
      </c>
      <c r="J291" s="603">
        <f>BA!J163/1000</f>
        <v>27.349798</v>
      </c>
      <c r="K291" s="609">
        <v>0</v>
      </c>
      <c r="L291" s="609">
        <f t="shared" si="78"/>
        <v>28.075512758116126</v>
      </c>
      <c r="M291" s="609">
        <f t="shared" si="78"/>
        <v>36.189820030592344</v>
      </c>
      <c r="N291" s="609">
        <f t="shared" si="78"/>
        <v>2.625427894438026</v>
      </c>
      <c r="O291" s="609">
        <f t="shared" si="78"/>
        <v>9.9878402839115523</v>
      </c>
      <c r="P291" s="609">
        <f t="shared" si="78"/>
        <v>6.0416178511706775</v>
      </c>
      <c r="Q291" s="609">
        <f t="shared" si="78"/>
        <v>-22.071094362011845</v>
      </c>
      <c r="R291" s="603">
        <f t="shared" si="78"/>
        <v>32.42716331173969</v>
      </c>
    </row>
    <row r="292" spans="2:18" s="57" customFormat="1" ht="12.5">
      <c r="B292" s="595" t="s">
        <v>1040</v>
      </c>
      <c r="C292" s="608">
        <f>BO!C161/1000</f>
        <v>12.645382</v>
      </c>
      <c r="D292" s="609">
        <f>BO!D161/1000</f>
        <v>35.60443861820076</v>
      </c>
      <c r="E292" s="609">
        <f>BO!E161/1000</f>
        <v>75.871959999999987</v>
      </c>
      <c r="F292" s="609">
        <f>BO!F161/1000</f>
        <v>87.284315000000007</v>
      </c>
      <c r="G292" s="609">
        <f>BO!G161/1000</f>
        <v>99.804348210000015</v>
      </c>
      <c r="H292" s="609">
        <f>BO!H161/1000</f>
        <v>97.804214000000002</v>
      </c>
      <c r="I292" s="609">
        <f>BO!I161/1000</f>
        <v>81.822654</v>
      </c>
      <c r="J292" s="603">
        <f>BO!J161/1000</f>
        <v>106.73724800000001</v>
      </c>
      <c r="K292" s="609">
        <v>16.498917592380547</v>
      </c>
      <c r="L292" s="609">
        <f t="shared" si="78"/>
        <v>181.56079917712856</v>
      </c>
      <c r="M292" s="609">
        <f t="shared" si="78"/>
        <v>113.09691416174927</v>
      </c>
      <c r="N292" s="609">
        <f t="shared" si="78"/>
        <v>15.041597712778243</v>
      </c>
      <c r="O292" s="609">
        <f t="shared" si="78"/>
        <v>14.343966851318024</v>
      </c>
      <c r="P292" s="609">
        <f t="shared" si="78"/>
        <v>-2.0040551798319428</v>
      </c>
      <c r="Q292" s="609">
        <f t="shared" si="78"/>
        <v>-16.340359322349851</v>
      </c>
      <c r="R292" s="603">
        <f t="shared" si="78"/>
        <v>30.449506074442432</v>
      </c>
    </row>
    <row r="293" spans="2:18" s="57" customFormat="1" ht="12.5">
      <c r="B293" s="595" t="s">
        <v>1041</v>
      </c>
      <c r="C293" s="608">
        <f>BR!C168/1000</f>
        <v>27704.869014999997</v>
      </c>
      <c r="D293" s="609">
        <f>BR!D168/1000</f>
        <v>28368.188591999999</v>
      </c>
      <c r="E293" s="609">
        <f>BR!E168/1000</f>
        <v>28981.693198000001</v>
      </c>
      <c r="F293" s="609">
        <f>BR!F168/1000</f>
        <v>31066.124281999997</v>
      </c>
      <c r="G293" s="609">
        <f>BR!G168/1000</f>
        <v>34615.283137999999</v>
      </c>
      <c r="H293" s="609">
        <f>BR!H168/1000</f>
        <v>39435.636762000002</v>
      </c>
      <c r="I293" s="609">
        <f>BR!I168/1000</f>
        <v>43405.463916999994</v>
      </c>
      <c r="J293" s="603">
        <f>BR!J168/1000</f>
        <v>60500.871088999993</v>
      </c>
      <c r="K293" s="609">
        <v>8.2476636509607744</v>
      </c>
      <c r="L293" s="609">
        <f t="shared" si="78"/>
        <v>2.3942346619320487</v>
      </c>
      <c r="M293" s="609">
        <f t="shared" si="78"/>
        <v>2.1626499133364341</v>
      </c>
      <c r="N293" s="609">
        <f t="shared" si="78"/>
        <v>7.192233627481226</v>
      </c>
      <c r="O293" s="609">
        <f t="shared" si="78"/>
        <v>11.424530539383749</v>
      </c>
      <c r="P293" s="609">
        <f t="shared" si="78"/>
        <v>13.925506848471535</v>
      </c>
      <c r="Q293" s="609">
        <f t="shared" si="78"/>
        <v>10.066598338346843</v>
      </c>
      <c r="R293" s="603">
        <f t="shared" si="78"/>
        <v>39.385380616343291</v>
      </c>
    </row>
    <row r="294" spans="2:18" s="57" customFormat="1" ht="12.5">
      <c r="B294" s="595" t="s">
        <v>1042</v>
      </c>
      <c r="C294" s="608">
        <f>CL!C166/1000</f>
        <v>940.70000399999992</v>
      </c>
      <c r="D294" s="609">
        <f>CL!D166/1000</f>
        <v>1123.4716899999999</v>
      </c>
      <c r="E294" s="609">
        <f>CL!E166/1000</f>
        <v>1302.8757800000001</v>
      </c>
      <c r="F294" s="609">
        <f>CL!F166/1000</f>
        <v>1507.241816</v>
      </c>
      <c r="G294" s="609">
        <f>CL!G166/1000</f>
        <v>1808.3360890000001</v>
      </c>
      <c r="H294" s="609">
        <f>CL!H166/1000</f>
        <v>2154.2766940000001</v>
      </c>
      <c r="I294" s="609">
        <f>CL!I166/1000</f>
        <v>2265.9255190000003</v>
      </c>
      <c r="J294" s="603">
        <f>CL!J166/1000</f>
        <v>0</v>
      </c>
      <c r="K294" s="609">
        <v>17.716802696125473</v>
      </c>
      <c r="L294" s="609">
        <f t="shared" si="78"/>
        <v>19.42932765204921</v>
      </c>
      <c r="M294" s="609">
        <f t="shared" si="78"/>
        <v>15.96872369787976</v>
      </c>
      <c r="N294" s="609">
        <f t="shared" si="78"/>
        <v>15.685765223143511</v>
      </c>
      <c r="O294" s="609">
        <f t="shared" si="78"/>
        <v>19.97650740602861</v>
      </c>
      <c r="P294" s="609">
        <f t="shared" si="78"/>
        <v>19.130326884716609</v>
      </c>
      <c r="Q294" s="609">
        <f t="shared" si="78"/>
        <v>5.1826594657482739</v>
      </c>
      <c r="R294" s="603">
        <f t="shared" si="78"/>
        <v>-100</v>
      </c>
    </row>
    <row r="295" spans="2:18" s="57" customFormat="1" ht="12.5">
      <c r="B295" s="595" t="s">
        <v>1043</v>
      </c>
      <c r="C295" s="608">
        <f>CO!C163/1000</f>
        <v>567.84440400000005</v>
      </c>
      <c r="D295" s="609">
        <f>CO!D163/1000</f>
        <v>617.71058600000003</v>
      </c>
      <c r="E295" s="609">
        <f>CO!E163/1000</f>
        <v>695.82650799999999</v>
      </c>
      <c r="F295" s="609">
        <f>CO!F163/1000</f>
        <v>767.95051100000001</v>
      </c>
      <c r="G295" s="609">
        <f>CO!G163/1000</f>
        <v>870.34597600000006</v>
      </c>
      <c r="H295" s="609">
        <f>CO!H163/1000</f>
        <v>1017.14813</v>
      </c>
      <c r="I295" s="609">
        <f>CO!I163/1000</f>
        <v>984.51331099999993</v>
      </c>
      <c r="J295" s="603">
        <f>CO!J163/1000</f>
        <v>1287.3942890000001</v>
      </c>
      <c r="K295" s="609">
        <v>9.6995968956023209</v>
      </c>
      <c r="L295" s="609">
        <f t="shared" si="78"/>
        <v>8.7816630134476057</v>
      </c>
      <c r="M295" s="609">
        <f t="shared" si="78"/>
        <v>12.646039062701121</v>
      </c>
      <c r="N295" s="609">
        <f t="shared" si="78"/>
        <v>10.365227850733172</v>
      </c>
      <c r="O295" s="609">
        <f t="shared" si="78"/>
        <v>13.333602039884585</v>
      </c>
      <c r="P295" s="609">
        <f t="shared" si="78"/>
        <v>16.86710320356557</v>
      </c>
      <c r="Q295" s="609">
        <f t="shared" si="78"/>
        <v>-3.2084627634325069</v>
      </c>
      <c r="R295" s="603">
        <f t="shared" si="78"/>
        <v>30.764538642179939</v>
      </c>
    </row>
    <row r="296" spans="2:18" s="57" customFormat="1" ht="12.5">
      <c r="B296" s="595" t="s">
        <v>1044</v>
      </c>
      <c r="C296" s="608">
        <f>CR!C171/1000</f>
        <v>266.82368557943192</v>
      </c>
      <c r="D296" s="609">
        <f>CR!D171/1000</f>
        <v>310.14668327288365</v>
      </c>
      <c r="E296" s="609">
        <f>CR!E171/1000</f>
        <v>362.35236900000007</v>
      </c>
      <c r="F296" s="609">
        <f>CR!F171/1000</f>
        <v>502.30144506063471</v>
      </c>
      <c r="G296" s="609">
        <f>CR!G171/1000</f>
        <v>567.31312167327098</v>
      </c>
      <c r="H296" s="609">
        <f>CR!H171/1000</f>
        <v>701.69373939204547</v>
      </c>
      <c r="I296" s="609">
        <f>CR!I171/1000</f>
        <v>711.73161500000015</v>
      </c>
      <c r="J296" s="603">
        <f>CR!J171/1000</f>
        <v>1000.1504660000002</v>
      </c>
      <c r="K296" s="609">
        <v>17.998856897734719</v>
      </c>
      <c r="L296" s="609">
        <f t="shared" si="78"/>
        <v>16.236563706618433</v>
      </c>
      <c r="M296" s="609">
        <f t="shared" si="78"/>
        <v>16.832579080390509</v>
      </c>
      <c r="N296" s="609">
        <f t="shared" si="78"/>
        <v>38.622370938779383</v>
      </c>
      <c r="O296" s="609">
        <f t="shared" si="78"/>
        <v>12.942761214789744</v>
      </c>
      <c r="P296" s="609">
        <f t="shared" si="78"/>
        <v>23.687204223731584</v>
      </c>
      <c r="Q296" s="609">
        <f t="shared" si="78"/>
        <v>1.4305209017044351</v>
      </c>
      <c r="R296" s="603">
        <f t="shared" si="78"/>
        <v>40.523540745060195</v>
      </c>
    </row>
    <row r="297" spans="2:18" s="57" customFormat="1" ht="12.5">
      <c r="B297" s="595" t="s">
        <v>1061</v>
      </c>
      <c r="C297" s="608">
        <f>CW!C182/1000</f>
        <v>0</v>
      </c>
      <c r="D297" s="609">
        <v>25.7</v>
      </c>
      <c r="E297" s="609">
        <f>CW!E182/1000</f>
        <v>29.763284999999996</v>
      </c>
      <c r="F297" s="609">
        <f>CW!F182/1000</f>
        <v>34.252843999999996</v>
      </c>
      <c r="G297" s="609">
        <f>CW!G182/1000</f>
        <v>36.930008999999991</v>
      </c>
      <c r="H297" s="609">
        <f>CW!H182/1000</f>
        <v>39.851667000000006</v>
      </c>
      <c r="I297" s="609">
        <f>CW!I182/1000</f>
        <v>36.952694999999991</v>
      </c>
      <c r="J297" s="603">
        <f>CW!J182/1000</f>
        <v>38.177987000000002</v>
      </c>
      <c r="K297" s="609">
        <v>0</v>
      </c>
      <c r="L297" s="609" t="str">
        <f t="shared" ref="L297:R297" si="79">IF(ISNUMBER((D297/C297-1)*100),(D297/C297-1)*100,"0")</f>
        <v>0</v>
      </c>
      <c r="M297" s="609">
        <f t="shared" si="79"/>
        <v>15.810447470817103</v>
      </c>
      <c r="N297" s="609">
        <f t="shared" si="79"/>
        <v>15.084218694273833</v>
      </c>
      <c r="O297" s="609">
        <f>IF(ISNUMBER((G297/F297-1)*100),(G297/F297-1)*100,"0")</f>
        <v>7.8158911417691268</v>
      </c>
      <c r="P297" s="609">
        <f t="shared" si="79"/>
        <v>7.9113384456527269</v>
      </c>
      <c r="Q297" s="609">
        <f t="shared" si="79"/>
        <v>-7.2744058611149516</v>
      </c>
      <c r="R297" s="603">
        <f t="shared" si="79"/>
        <v>3.3158393454117752</v>
      </c>
    </row>
    <row r="298" spans="2:18" s="57" customFormat="1" ht="12.5">
      <c r="B298" s="595" t="s">
        <v>1047</v>
      </c>
      <c r="C298" s="608">
        <f>EC!C164/1000</f>
        <v>92.601950000000016</v>
      </c>
      <c r="D298" s="609">
        <f>EC!D164/1000</f>
        <v>249.60586699999996</v>
      </c>
      <c r="E298" s="609">
        <f>EC!E164/1000</f>
        <v>262.43455800000015</v>
      </c>
      <c r="F298" s="609">
        <f>EC!F164/1000</f>
        <v>296.54035099999999</v>
      </c>
      <c r="G298" s="609">
        <f>EC!G164/1000</f>
        <v>343.28538500000002</v>
      </c>
      <c r="H298" s="609">
        <f>EC!H164/1000</f>
        <v>379.65286800000001</v>
      </c>
      <c r="I298" s="609">
        <f>EC!I164/1000</f>
        <v>337.22228100000001</v>
      </c>
      <c r="J298" s="603">
        <f>EC!J164/1000</f>
        <v>404.61455000000001</v>
      </c>
      <c r="K298" s="609" t="str">
        <f>IF(ISNUMBER((C298/B298-1)*100),(C298/B298-1)*100,"0")</f>
        <v>0</v>
      </c>
      <c r="L298" s="609">
        <f t="shared" ref="L298:R301" si="80">IF(ISNUMBER((D298/C298-1)*100),(D298/C298-1)*100,"0")</f>
        <v>169.54709593048517</v>
      </c>
      <c r="M298" s="609">
        <f t="shared" si="80"/>
        <v>5.1395791109349886</v>
      </c>
      <c r="N298" s="609">
        <f t="shared" si="80"/>
        <v>12.995922968346196</v>
      </c>
      <c r="O298" s="609">
        <f t="shared" si="80"/>
        <v>15.763464851365217</v>
      </c>
      <c r="P298" s="609">
        <f t="shared" si="80"/>
        <v>10.593950278425046</v>
      </c>
      <c r="Q298" s="609">
        <f t="shared" si="80"/>
        <v>-11.176153422341596</v>
      </c>
      <c r="R298" s="603">
        <f t="shared" si="80"/>
        <v>19.984524391494762</v>
      </c>
    </row>
    <row r="299" spans="2:18" s="57" customFormat="1" ht="12.5">
      <c r="B299" s="595" t="s">
        <v>1048</v>
      </c>
      <c r="C299" s="608">
        <f>SV!C165/1000</f>
        <v>0</v>
      </c>
      <c r="D299" s="609">
        <f>SV!D165/1000</f>
        <v>71.328806670000006</v>
      </c>
      <c r="E299" s="609">
        <f>SV!E165/1000</f>
        <v>91.669170666666673</v>
      </c>
      <c r="F299" s="609">
        <f>SV!F165/1000</f>
        <v>93.805174580416192</v>
      </c>
      <c r="G299" s="609">
        <f>SV!G165/1000</f>
        <v>99.522305812600777</v>
      </c>
      <c r="H299" s="609">
        <f>SV!H165/1000</f>
        <v>119.7000795</v>
      </c>
      <c r="I299" s="609">
        <f>SV!I165/1000</f>
        <v>110.45482999999999</v>
      </c>
      <c r="J299" s="603">
        <f>SV!J165/1000</f>
        <v>122.96656200000001</v>
      </c>
      <c r="K299" s="609">
        <v>0</v>
      </c>
      <c r="L299" s="609" t="str">
        <f t="shared" si="80"/>
        <v>0</v>
      </c>
      <c r="M299" s="609">
        <f t="shared" si="80"/>
        <v>28.516338554170105</v>
      </c>
      <c r="N299" s="609">
        <f t="shared" si="80"/>
        <v>2.3301224372549445</v>
      </c>
      <c r="O299" s="609">
        <f t="shared" si="80"/>
        <v>6.0946864154956204</v>
      </c>
      <c r="P299" s="609">
        <f t="shared" si="80"/>
        <v>20.274624389625483</v>
      </c>
      <c r="Q299" s="609">
        <f t="shared" si="80"/>
        <v>-7.7236786630538674</v>
      </c>
      <c r="R299" s="603">
        <f t="shared" si="80"/>
        <v>11.327464810728527</v>
      </c>
    </row>
    <row r="300" spans="2:18" s="57" customFormat="1" ht="12.5">
      <c r="B300" s="595" t="s">
        <v>1049</v>
      </c>
      <c r="C300" s="608">
        <f>GT!C172/1000</f>
        <v>21.204768999999999</v>
      </c>
      <c r="D300" s="609">
        <f>GT!D172/1000</f>
        <v>20.302662000000002</v>
      </c>
      <c r="E300" s="609">
        <f>GT!E172/1000</f>
        <v>19.198749000000003</v>
      </c>
      <c r="F300" s="609">
        <f>GT!F172/1000</f>
        <v>17.76698</v>
      </c>
      <c r="G300" s="609">
        <f>GT!G172/1000</f>
        <v>16.969461000000003</v>
      </c>
      <c r="H300" s="609">
        <f>GT!H172/1000</f>
        <v>16.120266999999998</v>
      </c>
      <c r="I300" s="609">
        <f>GT!I172/1000</f>
        <v>12.048897</v>
      </c>
      <c r="J300" s="603">
        <f>GT!J172/1000</f>
        <v>11.314126</v>
      </c>
      <c r="K300" s="609">
        <v>-4.7352727021529466</v>
      </c>
      <c r="L300" s="609">
        <f t="shared" si="80"/>
        <v>-4.2542646892309799</v>
      </c>
      <c r="M300" s="609">
        <f t="shared" si="80"/>
        <v>-5.4372820667555777</v>
      </c>
      <c r="N300" s="609">
        <f t="shared" si="80"/>
        <v>-7.457616118633581</v>
      </c>
      <c r="O300" s="609">
        <f t="shared" si="80"/>
        <v>-4.4887707421294891</v>
      </c>
      <c r="P300" s="609">
        <f t="shared" si="80"/>
        <v>-5.0042485144342734</v>
      </c>
      <c r="Q300" s="609">
        <f t="shared" si="80"/>
        <v>-25.256219391403366</v>
      </c>
      <c r="R300" s="603">
        <f t="shared" si="80"/>
        <v>-6.0982428516070826</v>
      </c>
    </row>
    <row r="301" spans="2:18" s="57" customFormat="1" ht="12.5">
      <c r="B301" s="595" t="s">
        <v>1050</v>
      </c>
      <c r="C301" s="608">
        <f>HN!C171/1000</f>
        <v>0</v>
      </c>
      <c r="D301" s="609">
        <f>HN!D171/1000</f>
        <v>0</v>
      </c>
      <c r="E301" s="609">
        <f>HN!E171/1000</f>
        <v>0</v>
      </c>
      <c r="F301" s="609">
        <f>HN!F171/1000</f>
        <v>0</v>
      </c>
      <c r="G301" s="609">
        <f>HN!G171/1000</f>
        <v>0</v>
      </c>
      <c r="H301" s="609">
        <f>HN!H171/1000</f>
        <v>0</v>
      </c>
      <c r="I301" s="609">
        <f>HN!I171/1000</f>
        <v>0</v>
      </c>
      <c r="J301" s="603">
        <f>HN!J171/1000</f>
        <v>0</v>
      </c>
      <c r="K301" s="609">
        <v>0</v>
      </c>
      <c r="L301" s="609" t="str">
        <f>IF(ISNUMBER((D301/C301-1)*100),(D301/C301-1)*100,"0")</f>
        <v>0</v>
      </c>
      <c r="M301" s="609" t="str">
        <f t="shared" si="80"/>
        <v>0</v>
      </c>
      <c r="N301" s="609" t="str">
        <f t="shared" si="80"/>
        <v>0</v>
      </c>
      <c r="O301" s="609" t="str">
        <f t="shared" si="80"/>
        <v>0</v>
      </c>
      <c r="P301" s="609" t="str">
        <f t="shared" si="80"/>
        <v>0</v>
      </c>
      <c r="Q301" s="609" t="str">
        <f t="shared" si="80"/>
        <v>0</v>
      </c>
      <c r="R301" s="603" t="str">
        <f t="shared" si="80"/>
        <v>0</v>
      </c>
    </row>
    <row r="302" spans="2:18" s="57" customFormat="1" ht="12.5">
      <c r="B302" s="595" t="s">
        <v>1051</v>
      </c>
      <c r="C302" s="608">
        <f>JM!C167/1000</f>
        <v>0</v>
      </c>
      <c r="D302" s="609">
        <f>JM!D167/1000</f>
        <v>0</v>
      </c>
      <c r="E302" s="609">
        <f>JM!E167/1000</f>
        <v>0</v>
      </c>
      <c r="F302" s="609">
        <f>JM!F167/1000</f>
        <v>0</v>
      </c>
      <c r="G302" s="609">
        <f>JM!G167/1000</f>
        <v>0</v>
      </c>
      <c r="H302" s="609">
        <f>JM!H167/1000</f>
        <v>0</v>
      </c>
      <c r="I302" s="609">
        <f>JM!I167/1000</f>
        <v>0</v>
      </c>
      <c r="J302" s="603">
        <f>JM!J167/1000</f>
        <v>0</v>
      </c>
      <c r="K302" s="609">
        <v>4.2116169419631468</v>
      </c>
      <c r="L302" s="609" t="str">
        <f>IF(ISNUMBER((D302/C302-1)*100),(D302/C302-1)*100,"0")</f>
        <v>0</v>
      </c>
      <c r="M302" s="609" t="str">
        <f t="shared" ref="M302" si="81">IF(ISNUMBER((E302/D302-1)*100),(E302/D302-1)*100,"0")</f>
        <v>0</v>
      </c>
      <c r="N302" s="609" t="str">
        <f t="shared" ref="N302" si="82">IF(ISNUMBER((F302/E302-1)*100),(F302/E302-1)*100,"0")</f>
        <v>0</v>
      </c>
      <c r="O302" s="609" t="str">
        <f t="shared" ref="O302" si="83">IF(ISNUMBER((G302/F302-1)*100),(G302/F302-1)*100,"0")</f>
        <v>0</v>
      </c>
      <c r="P302" s="609" t="str">
        <f t="shared" ref="P302" si="84">IF(ISNUMBER((H302/G302-1)*100),(H302/G302-1)*100,"0")</f>
        <v>0</v>
      </c>
      <c r="Q302" s="609" t="str">
        <f t="shared" ref="Q302" si="85">IF(ISNUMBER((I302/H302-1)*100),(I302/H302-1)*100,"0")</f>
        <v>0</v>
      </c>
      <c r="R302" s="603" t="str">
        <f t="shared" ref="R302" si="86">IF(ISNUMBER((J302/I302-1)*100),(J302/I302-1)*100,"0")</f>
        <v>0</v>
      </c>
    </row>
    <row r="303" spans="2:18" s="57" customFormat="1" ht="12.5">
      <c r="B303" s="595" t="s">
        <v>1052</v>
      </c>
      <c r="C303" s="608">
        <f>RD!C182/1000</f>
        <v>191.524034</v>
      </c>
      <c r="D303" s="609">
        <f>RD!D182/1000</f>
        <v>221.86049129</v>
      </c>
      <c r="E303" s="609">
        <f>RD!E182/1000</f>
        <v>247.59976280151804</v>
      </c>
      <c r="F303" s="609">
        <f>RD!F182/1000</f>
        <v>279.60539635268339</v>
      </c>
      <c r="G303" s="609">
        <f>RD!G182/1000</f>
        <v>307.49279936250002</v>
      </c>
      <c r="H303" s="609">
        <f>RD!H182/1000</f>
        <v>350.03353632999989</v>
      </c>
      <c r="I303" s="609">
        <f>RD!I182/1000</f>
        <v>329.15935286000007</v>
      </c>
      <c r="J303" s="603">
        <f>RD!J182/1000</f>
        <v>427.88608299999999</v>
      </c>
      <c r="K303" s="609">
        <v>17.138943109546268</v>
      </c>
      <c r="L303" s="609">
        <f t="shared" ref="L303:R306" si="87">(D303/C303-1)*100</f>
        <v>15.839504137637373</v>
      </c>
      <c r="M303" s="609">
        <f t="shared" si="87"/>
        <v>11.601557069425915</v>
      </c>
      <c r="N303" s="609">
        <f t="shared" si="87"/>
        <v>12.92635872871244</v>
      </c>
      <c r="O303" s="609">
        <f t="shared" si="87"/>
        <v>9.9738429134752948</v>
      </c>
      <c r="P303" s="609">
        <f t="shared" si="87"/>
        <v>13.834709969045168</v>
      </c>
      <c r="Q303" s="609">
        <f t="shared" si="87"/>
        <v>-5.9634810106653173</v>
      </c>
      <c r="R303" s="603">
        <f t="shared" si="87"/>
        <v>29.993597107960944</v>
      </c>
    </row>
    <row r="304" spans="2:18" s="57" customFormat="1" ht="12.5">
      <c r="B304" s="595" t="s">
        <v>1053</v>
      </c>
      <c r="C304" s="608">
        <f>PY!C165/1000</f>
        <v>57.853501999999999</v>
      </c>
      <c r="D304" s="609">
        <f>PY!D165/1000</f>
        <v>81.727940999999987</v>
      </c>
      <c r="E304" s="609">
        <f>PY!E165/1000</f>
        <v>90.525671000000003</v>
      </c>
      <c r="F304" s="609">
        <f>PY!F165/1000</f>
        <v>109.43265600000001</v>
      </c>
      <c r="G304" s="609">
        <f>PY!G165/1000</f>
        <v>131.88617400000001</v>
      </c>
      <c r="H304" s="609">
        <f>PY!H165/1000</f>
        <v>159.307481</v>
      </c>
      <c r="I304" s="609">
        <f>PY!I165/1000</f>
        <v>208.0610209168378</v>
      </c>
      <c r="J304" s="603">
        <f>PY!J165/1000</f>
        <v>258.48809500000004</v>
      </c>
      <c r="K304" s="609">
        <v>0</v>
      </c>
      <c r="L304" s="609">
        <f t="shared" si="87"/>
        <v>41.267059338948897</v>
      </c>
      <c r="M304" s="609">
        <f t="shared" si="87"/>
        <v>10.76465391438164</v>
      </c>
      <c r="N304" s="609">
        <f t="shared" si="87"/>
        <v>20.885771727668278</v>
      </c>
      <c r="O304" s="609">
        <f t="shared" si="87"/>
        <v>20.51811481209047</v>
      </c>
      <c r="P304" s="609">
        <f t="shared" si="87"/>
        <v>20.791646438996693</v>
      </c>
      <c r="Q304" s="609">
        <f t="shared" si="87"/>
        <v>30.603421515928563</v>
      </c>
      <c r="R304" s="603">
        <f t="shared" si="87"/>
        <v>24.236675308499045</v>
      </c>
    </row>
    <row r="305" spans="2:18" s="57" customFormat="1" ht="12.5">
      <c r="B305" s="595" t="s">
        <v>1054</v>
      </c>
      <c r="C305" s="608">
        <f>PE!C169/1000</f>
        <v>500.57969345599997</v>
      </c>
      <c r="D305" s="609">
        <f>PE!D169/1000</f>
        <v>557.50491738300002</v>
      </c>
      <c r="E305" s="609">
        <f>PE!E169/1000</f>
        <v>571.24999981799988</v>
      </c>
      <c r="F305" s="609">
        <f>PE!F169/1000</f>
        <v>635.23587100100008</v>
      </c>
      <c r="G305" s="609">
        <f>PE!G169/1000</f>
        <v>771.0374471629998</v>
      </c>
      <c r="H305" s="609">
        <f>PE!H169/1000</f>
        <v>997.360715003</v>
      </c>
      <c r="I305" s="609">
        <f>PE!I169/1000</f>
        <v>1173.1423501630002</v>
      </c>
      <c r="J305" s="603">
        <f>PE!J169/1000</f>
        <v>2069.7091675340002</v>
      </c>
      <c r="K305" s="609">
        <v>10.822645150328958</v>
      </c>
      <c r="L305" s="609">
        <f t="shared" si="87"/>
        <v>11.371860399287993</v>
      </c>
      <c r="M305" s="609">
        <f t="shared" si="87"/>
        <v>2.4654638921430605</v>
      </c>
      <c r="N305" s="609">
        <f t="shared" si="87"/>
        <v>11.201027781774364</v>
      </c>
      <c r="O305" s="609">
        <f t="shared" si="87"/>
        <v>21.378134069791209</v>
      </c>
      <c r="P305" s="609">
        <f t="shared" si="87"/>
        <v>29.353083779879597</v>
      </c>
      <c r="Q305" s="609">
        <f t="shared" si="87"/>
        <v>17.624680069684871</v>
      </c>
      <c r="R305" s="603">
        <f t="shared" si="87"/>
        <v>76.424384240022377</v>
      </c>
    </row>
    <row r="306" spans="2:18" s="57" customFormat="1" ht="12.5">
      <c r="B306" s="604" t="s">
        <v>1055</v>
      </c>
      <c r="C306" s="610">
        <f>TT!C173/1000</f>
        <v>70.995473000000004</v>
      </c>
      <c r="D306" s="617">
        <f>TT!D173/1000</f>
        <v>75.497036999999992</v>
      </c>
      <c r="E306" s="617">
        <f>TT!E173/1000</f>
        <v>80.36034100000002</v>
      </c>
      <c r="F306" s="617">
        <f>TT!F173/1000</f>
        <v>81.443649000000008</v>
      </c>
      <c r="G306" s="617">
        <f>TT!G173/1000</f>
        <v>84.930406000000005</v>
      </c>
      <c r="H306" s="617">
        <f>TT!H173/1000</f>
        <v>90.424575999999988</v>
      </c>
      <c r="I306" s="617">
        <f>TT!I173/1000</f>
        <v>83.580088999999987</v>
      </c>
      <c r="J306" s="618">
        <f>TT!J173/1000</f>
        <v>89.516261000000014</v>
      </c>
      <c r="K306" s="617">
        <v>0.75048742781618216</v>
      </c>
      <c r="L306" s="617">
        <f t="shared" si="87"/>
        <v>6.3406352683923695</v>
      </c>
      <c r="M306" s="617">
        <f t="shared" si="87"/>
        <v>6.4417150569763715</v>
      </c>
      <c r="N306" s="617">
        <f t="shared" si="87"/>
        <v>1.3480629705142633</v>
      </c>
      <c r="O306" s="617">
        <f t="shared" si="87"/>
        <v>4.281189562122889</v>
      </c>
      <c r="P306" s="617">
        <f t="shared" si="87"/>
        <v>6.4690259457843347</v>
      </c>
      <c r="Q306" s="617">
        <f t="shared" si="87"/>
        <v>-7.5692774052930067</v>
      </c>
      <c r="R306" s="618">
        <f t="shared" si="87"/>
        <v>7.1023757823469591</v>
      </c>
    </row>
    <row r="307" spans="2:18" s="57" customFormat="1" ht="12.5">
      <c r="C307" s="582"/>
      <c r="D307" s="582"/>
      <c r="E307" s="582"/>
      <c r="F307" s="582"/>
      <c r="G307" s="582"/>
      <c r="H307" s="582"/>
      <c r="I307" s="582"/>
      <c r="J307" s="582"/>
      <c r="K307" s="582"/>
      <c r="L307" s="582"/>
      <c r="M307" s="582"/>
      <c r="N307" s="582"/>
      <c r="O307" s="582"/>
      <c r="P307" s="582"/>
      <c r="Q307" s="582"/>
    </row>
    <row r="308" spans="2:18" s="57" customFormat="1" ht="13">
      <c r="B308" s="2157" t="s">
        <v>1093</v>
      </c>
      <c r="C308" s="2157"/>
      <c r="D308" s="2157"/>
      <c r="E308" s="2157"/>
      <c r="F308" s="2157"/>
      <c r="G308" s="2157"/>
      <c r="H308" s="2157"/>
      <c r="I308" s="2157"/>
      <c r="J308" s="2157"/>
      <c r="K308" s="2157"/>
      <c r="L308" s="2157"/>
      <c r="M308" s="2157"/>
      <c r="N308" s="2157"/>
      <c r="O308" s="2157"/>
      <c r="P308" s="2157"/>
      <c r="Q308" s="2157"/>
      <c r="R308" s="2157"/>
    </row>
    <row r="309" spans="2:18" s="57" customFormat="1" ht="12.5">
      <c r="B309" s="619"/>
      <c r="C309" s="621"/>
      <c r="D309" s="621"/>
      <c r="E309" s="621"/>
      <c r="F309" s="621"/>
      <c r="G309" s="621"/>
      <c r="H309" s="621"/>
      <c r="I309" s="621"/>
      <c r="J309" s="621"/>
      <c r="K309" s="622"/>
      <c r="L309" s="622"/>
      <c r="M309" s="622"/>
      <c r="N309" s="622"/>
      <c r="O309" s="622"/>
      <c r="P309" s="622"/>
      <c r="Q309" s="622"/>
    </row>
    <row r="310" spans="2:18" s="57" customFormat="1" ht="13">
      <c r="B310" s="583"/>
      <c r="C310" s="2161" t="s">
        <v>1094</v>
      </c>
      <c r="D310" s="2162"/>
      <c r="E310" s="2162"/>
      <c r="F310" s="2162"/>
      <c r="G310" s="2162"/>
      <c r="H310" s="2162"/>
      <c r="I310" s="2162"/>
      <c r="J310" s="2163"/>
      <c r="K310" s="2161" t="s">
        <v>1095</v>
      </c>
      <c r="L310" s="2162"/>
      <c r="M310" s="2162"/>
      <c r="N310" s="2162"/>
      <c r="O310" s="2162"/>
      <c r="P310" s="2162"/>
      <c r="Q310" s="2162"/>
      <c r="R310" s="2163"/>
    </row>
    <row r="311" spans="2:18" s="57" customFormat="1" ht="12.5">
      <c r="C311" s="1765">
        <v>2014</v>
      </c>
      <c r="D311" s="586">
        <v>2015</v>
      </c>
      <c r="E311" s="586">
        <v>2016</v>
      </c>
      <c r="F311" s="586">
        <v>2017</v>
      </c>
      <c r="G311" s="586">
        <v>2018</v>
      </c>
      <c r="H311" s="586">
        <v>2019</v>
      </c>
      <c r="I311" s="586">
        <v>2020</v>
      </c>
      <c r="J311" s="586">
        <v>2021</v>
      </c>
      <c r="K311" s="587">
        <v>2014</v>
      </c>
      <c r="L311" s="588">
        <v>2015</v>
      </c>
      <c r="M311" s="588">
        <v>2016</v>
      </c>
      <c r="N311" s="588">
        <v>2017</v>
      </c>
      <c r="O311" s="588">
        <v>2018</v>
      </c>
      <c r="P311" s="588">
        <v>2019</v>
      </c>
      <c r="Q311" s="588">
        <v>2020</v>
      </c>
      <c r="R311" s="640">
        <v>2021</v>
      </c>
    </row>
    <row r="312" spans="2:18" s="57" customFormat="1" ht="12.5">
      <c r="B312" s="589" t="s">
        <v>1038</v>
      </c>
      <c r="C312" s="614">
        <f t="shared" ref="C312:J315" si="88">C290/K6</f>
        <v>32.457739579793525</v>
      </c>
      <c r="D312" s="615">
        <f t="shared" si="88"/>
        <v>35.885492281988725</v>
      </c>
      <c r="E312" s="615">
        <f t="shared" si="88"/>
        <v>41.641015189410652</v>
      </c>
      <c r="F312" s="615">
        <f t="shared" si="88"/>
        <v>45.510651572554139</v>
      </c>
      <c r="G312" s="615">
        <f t="shared" si="88"/>
        <v>51.529305485877785</v>
      </c>
      <c r="H312" s="615">
        <f t="shared" si="88"/>
        <v>60.950325901641314</v>
      </c>
      <c r="I312" s="615">
        <f t="shared" si="88"/>
        <v>76.783091456023968</v>
      </c>
      <c r="J312" s="616">
        <f t="shared" si="88"/>
        <v>104.57017441606637</v>
      </c>
      <c r="K312" s="615">
        <f t="shared" ref="K312:K328" si="89">IF(ISNUMBER(C290/C221),C290/C221,"0")</f>
        <v>35.860741071903426</v>
      </c>
      <c r="L312" s="615">
        <f t="shared" ref="L312:L327" si="90">IF(ISNUMBER(D290/D221),D290/D221,"0")</f>
        <v>26.475510194900721</v>
      </c>
      <c r="M312" s="615">
        <f t="shared" ref="M312:M328" si="91">IF(ISNUMBER(E290/E221),E290/E221,"0")</f>
        <v>26.857982626854024</v>
      </c>
      <c r="N312" s="615">
        <f t="shared" ref="N312:N328" si="92">IF(ISNUMBER(F290/F221),F290/F221,"0")</f>
        <v>26.200297154225204</v>
      </c>
      <c r="O312" s="615">
        <f t="shared" ref="O312:O328" si="93">IF(ISNUMBER(G290/G221),G290/G221,"0")</f>
        <v>27.792467456833911</v>
      </c>
      <c r="P312" s="615">
        <f t="shared" ref="P312:P328" si="94">IF(ISNUMBER(H290/H221),H290/H221,"0")</f>
        <v>32.291145732363162</v>
      </c>
      <c r="Q312" s="615">
        <f t="shared" ref="Q312:Q328" si="95">IF(ISNUMBER(I290/I221),I290/I221,"0")</f>
        <v>34.074702824630052</v>
      </c>
      <c r="R312" s="616">
        <f t="shared" ref="R312:R328" si="96">IF(ISNUMBER(J290/J221),J290/J221,"0")</f>
        <v>43.816165983516612</v>
      </c>
    </row>
    <row r="313" spans="2:18" s="57" customFormat="1" ht="12.5">
      <c r="B313" s="595" t="s">
        <v>1039</v>
      </c>
      <c r="C313" s="1844">
        <f t="shared" si="88"/>
        <v>3.4690101661565366E-2</v>
      </c>
      <c r="D313" s="609">
        <f t="shared" si="88"/>
        <v>4.397882435685882E-2</v>
      </c>
      <c r="E313" s="609">
        <f t="shared" si="88"/>
        <v>5.9283675163328685E-2</v>
      </c>
      <c r="F313" s="609">
        <f t="shared" si="88"/>
        <v>6.0214569641721435E-2</v>
      </c>
      <c r="G313" s="609">
        <f t="shared" si="88"/>
        <v>6.5540921011224176E-2</v>
      </c>
      <c r="H313" s="609">
        <f t="shared" si="88"/>
        <v>6.8775598173042005E-2</v>
      </c>
      <c r="I313" s="609">
        <f t="shared" si="88"/>
        <v>5.3035900464805733E-2</v>
      </c>
      <c r="J313" s="603">
        <f t="shared" si="88"/>
        <v>6.9503933926302414E-2</v>
      </c>
      <c r="K313" s="609">
        <f t="shared" si="89"/>
        <v>32.706712014635023</v>
      </c>
      <c r="L313" s="609">
        <f t="shared" si="90"/>
        <v>42.181541742665814</v>
      </c>
      <c r="M313" s="609">
        <f t="shared" si="91"/>
        <v>56.324626495480807</v>
      </c>
      <c r="N313" s="609">
        <f t="shared" si="92"/>
        <v>57.638582028029681</v>
      </c>
      <c r="O313" s="609">
        <f t="shared" si="93"/>
        <v>61.246802514366941</v>
      </c>
      <c r="P313" s="609">
        <f t="shared" si="94"/>
        <v>62.302062396122047</v>
      </c>
      <c r="Q313" s="609">
        <f t="shared" si="95"/>
        <v>48.404524350257461</v>
      </c>
      <c r="R313" s="603">
        <f t="shared" si="96"/>
        <v>61.956007511796642</v>
      </c>
    </row>
    <row r="314" spans="2:18" s="57" customFormat="1" ht="12.5">
      <c r="B314" s="595" t="s">
        <v>1040</v>
      </c>
      <c r="C314" s="1844">
        <f t="shared" si="88"/>
        <v>1.2178037625218325E-3</v>
      </c>
      <c r="D314" s="609">
        <f t="shared" si="88"/>
        <v>3.3694823665065612E-3</v>
      </c>
      <c r="E314" s="609">
        <f t="shared" si="88"/>
        <v>7.0559262998832039E-3</v>
      </c>
      <c r="F314" s="609">
        <f t="shared" si="88"/>
        <v>7.9766884092875735E-3</v>
      </c>
      <c r="G314" s="609">
        <f t="shared" si="88"/>
        <v>8.9629210233998103E-3</v>
      </c>
      <c r="H314" s="609">
        <f t="shared" si="88"/>
        <v>8.6312036018987136E-3</v>
      </c>
      <c r="I314" s="609">
        <f t="shared" si="88"/>
        <v>7.0069203725553423E-3</v>
      </c>
      <c r="J314" s="603">
        <f t="shared" si="88"/>
        <v>9.0134819799602348E-3</v>
      </c>
      <c r="K314" s="609">
        <f t="shared" si="89"/>
        <v>1.6112861803732286</v>
      </c>
      <c r="L314" s="609">
        <f t="shared" si="90"/>
        <v>4.1071067526837641</v>
      </c>
      <c r="M314" s="609">
        <f t="shared" si="91"/>
        <v>8.0269984562154253</v>
      </c>
      <c r="N314" s="609">
        <f t="shared" si="92"/>
        <v>8.478044329976214</v>
      </c>
      <c r="O314" s="609">
        <f t="shared" si="93"/>
        <v>9.0288042683938503</v>
      </c>
      <c r="P314" s="609">
        <f t="shared" si="94"/>
        <v>8.1073155091154057</v>
      </c>
      <c r="Q314" s="609">
        <f t="shared" si="95"/>
        <v>6.4564030179824954</v>
      </c>
      <c r="R314" s="603">
        <f t="shared" si="96"/>
        <v>7.779611353423431</v>
      </c>
    </row>
    <row r="315" spans="2:18" s="57" customFormat="1" ht="12.5">
      <c r="B315" s="595" t="s">
        <v>1041</v>
      </c>
      <c r="C315" s="1844">
        <f t="shared" si="88"/>
        <v>0.13734486786649852</v>
      </c>
      <c r="D315" s="609">
        <f t="shared" si="88"/>
        <v>0.13941807774642045</v>
      </c>
      <c r="E315" s="609">
        <f t="shared" si="88"/>
        <v>0.14126620851808186</v>
      </c>
      <c r="F315" s="609">
        <f t="shared" si="88"/>
        <v>0.15021959425001769</v>
      </c>
      <c r="G315" s="609">
        <f t="shared" si="88"/>
        <v>0.16602460366176822</v>
      </c>
      <c r="H315" s="609">
        <f t="shared" si="88"/>
        <v>0.18765727469267068</v>
      </c>
      <c r="I315" s="609">
        <f t="shared" si="88"/>
        <v>0.20497897131851356</v>
      </c>
      <c r="J315" s="603">
        <f t="shared" si="88"/>
        <v>0.28361821828912698</v>
      </c>
      <c r="K315" s="609" t="str">
        <f t="shared" si="89"/>
        <v>0</v>
      </c>
      <c r="L315" s="609" t="str">
        <f t="shared" si="90"/>
        <v>0</v>
      </c>
      <c r="M315" s="609" t="str">
        <f t="shared" si="91"/>
        <v>0</v>
      </c>
      <c r="N315" s="609" t="str">
        <f t="shared" si="92"/>
        <v>0</v>
      </c>
      <c r="O315" s="609" t="str">
        <f t="shared" si="93"/>
        <v>0</v>
      </c>
      <c r="P315" s="609" t="str">
        <f t="shared" si="94"/>
        <v>0</v>
      </c>
      <c r="Q315" s="609" t="str">
        <f t="shared" si="95"/>
        <v>0</v>
      </c>
      <c r="R315" s="603" t="str">
        <f t="shared" si="96"/>
        <v>0</v>
      </c>
    </row>
    <row r="316" spans="2:18" s="57" customFormat="1" ht="12.5">
      <c r="B316" s="595" t="s">
        <v>1042</v>
      </c>
      <c r="C316" s="1844">
        <f>IF(ISNUMBER(C294/K10),C294/K10,"0")</f>
        <v>5.2885105632755641E-2</v>
      </c>
      <c r="D316" s="609">
        <f>D294/L10</f>
        <v>6.2514342353412966E-2</v>
      </c>
      <c r="E316" s="609">
        <f>E294/M10</f>
        <v>7.1716036645709969E-2</v>
      </c>
      <c r="F316" s="609">
        <f>F294/N10</f>
        <v>8.1829963876808492E-2</v>
      </c>
      <c r="G316" s="609">
        <f>G294/O10</f>
        <v>9.6437365040113007E-2</v>
      </c>
      <c r="H316" s="609">
        <f>H294/P10</f>
        <v>0.11274675986287067</v>
      </c>
      <c r="I316" s="609">
        <v>0</v>
      </c>
      <c r="J316" s="603">
        <v>0</v>
      </c>
      <c r="K316" s="609">
        <f t="shared" si="89"/>
        <v>260.54924012242236</v>
      </c>
      <c r="L316" s="609">
        <f t="shared" si="90"/>
        <v>288.44975212209107</v>
      </c>
      <c r="M316" s="609">
        <f t="shared" si="91"/>
        <v>311.89751837091148</v>
      </c>
      <c r="N316" s="609">
        <f t="shared" si="92"/>
        <v>337.60785221106624</v>
      </c>
      <c r="O316" s="609">
        <f t="shared" si="93"/>
        <v>377.74715885827925</v>
      </c>
      <c r="P316" s="609">
        <f t="shared" si="94"/>
        <v>419.60881548387499</v>
      </c>
      <c r="Q316" s="609">
        <f t="shared" si="95"/>
        <v>407.33923575182632</v>
      </c>
      <c r="R316" s="603">
        <f t="shared" si="96"/>
        <v>0</v>
      </c>
    </row>
    <row r="317" spans="2:18" s="57" customFormat="1" ht="12.5">
      <c r="B317" s="595" t="s">
        <v>1043</v>
      </c>
      <c r="C317" s="1844">
        <f>IF(ISNUMBER(C295/K11),C295/K11,"0")</f>
        <v>1.1914039312038386E-2</v>
      </c>
      <c r="D317" s="609">
        <f t="shared" ref="D317:H318" si="97">IF(ISNUMBER(D295/L11),D295/L11,"0")</f>
        <v>1.2814667055159278E-2</v>
      </c>
      <c r="E317" s="609">
        <f t="shared" si="97"/>
        <v>1.4274035365929409E-2</v>
      </c>
      <c r="F317" s="609">
        <f t="shared" si="97"/>
        <v>1.5579741188809643E-2</v>
      </c>
      <c r="G317" s="609">
        <f t="shared" si="97"/>
        <v>1.7464818887576096E-2</v>
      </c>
      <c r="H317" s="609">
        <f t="shared" si="97"/>
        <v>2.0191735386320034E-2</v>
      </c>
      <c r="I317" s="609">
        <f>I295/Q11</f>
        <v>1.9544688002308564E-2</v>
      </c>
      <c r="J317" s="603">
        <f>J295/R11</f>
        <v>2.5218549436078687E-2</v>
      </c>
      <c r="K317" s="609">
        <f t="shared" si="89"/>
        <v>10.625797508720408</v>
      </c>
      <c r="L317" s="609">
        <f t="shared" si="90"/>
        <v>10.73553054032301</v>
      </c>
      <c r="M317" s="609">
        <f t="shared" si="91"/>
        <v>11.972818298532211</v>
      </c>
      <c r="N317" s="609">
        <f t="shared" si="92"/>
        <v>11.940875779118496</v>
      </c>
      <c r="O317" s="609">
        <f t="shared" si="93"/>
        <v>12.55432239377784</v>
      </c>
      <c r="P317" s="609">
        <f t="shared" si="94"/>
        <v>13.414058246383792</v>
      </c>
      <c r="Q317" s="609">
        <f t="shared" si="95"/>
        <v>11.603538839383418</v>
      </c>
      <c r="R317" s="603">
        <f t="shared" si="96"/>
        <v>17.096935552607043</v>
      </c>
    </row>
    <row r="318" spans="2:18" s="57" customFormat="1" ht="12.5">
      <c r="B318" s="595" t="s">
        <v>1044</v>
      </c>
      <c r="C318" s="1844">
        <f>IF(ISNUMBER(C296/K12),C296/K12,"0")</f>
        <v>5.5901326905830745E-2</v>
      </c>
      <c r="D318" s="609">
        <f t="shared" si="97"/>
        <v>6.4182970558478242E-2</v>
      </c>
      <c r="E318" s="609">
        <f t="shared" si="97"/>
        <v>7.4095052278231599E-2</v>
      </c>
      <c r="F318" s="609">
        <f t="shared" si="97"/>
        <v>0.10152670521839997</v>
      </c>
      <c r="G318" s="609">
        <f t="shared" si="97"/>
        <v>0.11338547781542173</v>
      </c>
      <c r="H318" s="609">
        <f t="shared" si="97"/>
        <v>0.13872928981087915</v>
      </c>
      <c r="I318" s="609">
        <f>I296/Q12</f>
        <v>0.13924837482756711</v>
      </c>
      <c r="J318" s="603">
        <f>J296/R12</f>
        <v>0.19371419678517679</v>
      </c>
      <c r="K318" s="609" t="str">
        <f t="shared" si="89"/>
        <v>0</v>
      </c>
      <c r="L318" s="609" t="str">
        <f t="shared" si="90"/>
        <v>0</v>
      </c>
      <c r="M318" s="609" t="str">
        <f t="shared" si="91"/>
        <v>0</v>
      </c>
      <c r="N318" s="609" t="str">
        <f t="shared" si="92"/>
        <v>0</v>
      </c>
      <c r="O318" s="609" t="str">
        <f t="shared" si="93"/>
        <v>0</v>
      </c>
      <c r="P318" s="609" t="str">
        <f t="shared" si="94"/>
        <v>0</v>
      </c>
      <c r="Q318" s="609" t="str">
        <f t="shared" si="95"/>
        <v>0</v>
      </c>
      <c r="R318" s="603" t="str">
        <f t="shared" si="96"/>
        <v>0</v>
      </c>
    </row>
    <row r="319" spans="2:18" s="57" customFormat="1" ht="12.5">
      <c r="B319" s="595" t="s">
        <v>1061</v>
      </c>
      <c r="C319" s="1844">
        <f t="shared" ref="C319:C327" si="98">IF(ISNUMBER(C297/K15),C297/K15,"0")</f>
        <v>0</v>
      </c>
      <c r="D319" s="609">
        <f t="shared" ref="D319:J319" si="99">IF(ISNUMBER(D297/L15),D297/L15,"0")</f>
        <v>0.12953629032258063</v>
      </c>
      <c r="E319" s="609">
        <f t="shared" si="99"/>
        <v>0.14816450119474311</v>
      </c>
      <c r="F319" s="609">
        <f t="shared" si="99"/>
        <v>0.17073494168078954</v>
      </c>
      <c r="G319" s="609">
        <f t="shared" si="99"/>
        <v>0.18479788330664526</v>
      </c>
      <c r="H319" s="609">
        <f t="shared" si="99"/>
        <v>0.2010070967416524</v>
      </c>
      <c r="I319" s="609">
        <f t="shared" si="99"/>
        <v>0.18829398726114646</v>
      </c>
      <c r="J319" s="603">
        <f t="shared" si="99"/>
        <v>0.25271719732574305</v>
      </c>
      <c r="K319" s="609" t="str">
        <f>IF(ISNUMBER(C297/C228),C297/C228,"0")</f>
        <v>0</v>
      </c>
      <c r="L319" s="609" t="str">
        <f>IF(ISNUMBER(D297/D228),D297/D228,"0")</f>
        <v>0</v>
      </c>
      <c r="M319" s="609" t="str">
        <f t="shared" si="91"/>
        <v>0</v>
      </c>
      <c r="N319" s="609" t="str">
        <f t="shared" si="92"/>
        <v>0</v>
      </c>
      <c r="O319" s="609" t="str">
        <f t="shared" si="93"/>
        <v>0</v>
      </c>
      <c r="P319" s="609" t="str">
        <f t="shared" si="94"/>
        <v>0</v>
      </c>
      <c r="Q319" s="609" t="str">
        <f t="shared" si="95"/>
        <v>0</v>
      </c>
      <c r="R319" s="603" t="str">
        <f t="shared" si="96"/>
        <v>0</v>
      </c>
    </row>
    <row r="320" spans="2:18" s="57" customFormat="1" ht="12.5">
      <c r="B320" s="595" t="s">
        <v>1047</v>
      </c>
      <c r="C320" s="1844">
        <f t="shared" si="98"/>
        <v>5.7777037243441987</v>
      </c>
      <c r="D320" s="609">
        <f t="shared" ref="D320:J324" si="100">IF(ISNUMBER(D298/L16),D298/L16,"0")</f>
        <v>15.333144478809427</v>
      </c>
      <c r="E320" s="609">
        <f t="shared" si="100"/>
        <v>15.877478668960057</v>
      </c>
      <c r="F320" s="609">
        <f t="shared" si="100"/>
        <v>17.675434078499364</v>
      </c>
      <c r="G320" s="609">
        <f t="shared" si="100"/>
        <v>20.165491245936185</v>
      </c>
      <c r="H320" s="609">
        <f t="shared" si="100"/>
        <v>21.985937908450932</v>
      </c>
      <c r="I320" s="609">
        <f t="shared" si="100"/>
        <v>19.258132382688629</v>
      </c>
      <c r="J320" s="603">
        <f t="shared" si="100"/>
        <v>22.618729244316761</v>
      </c>
      <c r="K320" s="609">
        <f t="shared" si="89"/>
        <v>10.690752370676371</v>
      </c>
      <c r="L320" s="609">
        <f t="shared" si="90"/>
        <v>27.201810018494832</v>
      </c>
      <c r="M320" s="609">
        <f t="shared" si="91"/>
        <v>25.503912887099855</v>
      </c>
      <c r="N320" s="609">
        <f t="shared" si="92"/>
        <v>27.475944829046323</v>
      </c>
      <c r="O320" s="609">
        <f t="shared" si="93"/>
        <v>29.478522233352322</v>
      </c>
      <c r="P320" s="609">
        <f t="shared" si="94"/>
        <v>31.238647703844059</v>
      </c>
      <c r="Q320" s="609">
        <f t="shared" si="95"/>
        <v>27.023520689551088</v>
      </c>
      <c r="R320" s="603" t="str">
        <f t="shared" si="96"/>
        <v>0</v>
      </c>
    </row>
    <row r="321" spans="2:18" s="57" customFormat="1" ht="12.5">
      <c r="B321" s="595" t="s">
        <v>1048</v>
      </c>
      <c r="C321" s="1844">
        <f t="shared" si="98"/>
        <v>0</v>
      </c>
      <c r="D321" s="609">
        <f t="shared" si="100"/>
        <v>11.39455826378085</v>
      </c>
      <c r="E321" s="609">
        <f t="shared" si="100"/>
        <v>14.599556620922462</v>
      </c>
      <c r="F321" s="609">
        <f t="shared" si="100"/>
        <v>14.904865897040102</v>
      </c>
      <c r="G321" s="609">
        <f t="shared" si="100"/>
        <v>15.783422241898302</v>
      </c>
      <c r="H321" s="609">
        <f t="shared" si="100"/>
        <v>18.955617359660035</v>
      </c>
      <c r="I321" s="609">
        <f t="shared" si="100"/>
        <v>17.474149040617036</v>
      </c>
      <c r="J321" s="603">
        <f t="shared" si="100"/>
        <v>19.438802813227674</v>
      </c>
      <c r="K321" s="609" t="str">
        <f t="shared" si="89"/>
        <v>0</v>
      </c>
      <c r="L321" s="609">
        <f t="shared" si="90"/>
        <v>18.33753838144672</v>
      </c>
      <c r="M321" s="609">
        <f t="shared" si="91"/>
        <v>22.072803749802052</v>
      </c>
      <c r="N321" s="609">
        <f t="shared" si="92"/>
        <v>21.950797493164433</v>
      </c>
      <c r="O321" s="609">
        <f t="shared" si="93"/>
        <v>22.553076414135042</v>
      </c>
      <c r="P321" s="609">
        <f t="shared" si="94"/>
        <v>25.732517324292921</v>
      </c>
      <c r="Q321" s="609">
        <f t="shared" si="95"/>
        <v>23.876126689899746</v>
      </c>
      <c r="R321" s="603">
        <f t="shared" si="96"/>
        <v>24.966055610261204</v>
      </c>
    </row>
    <row r="322" spans="2:18" s="57" customFormat="1" ht="12.5">
      <c r="B322" s="595" t="s">
        <v>1049</v>
      </c>
      <c r="C322" s="1844">
        <f t="shared" si="98"/>
        <v>1.3853607229852042E-3</v>
      </c>
      <c r="D322" s="609">
        <f t="shared" si="100"/>
        <v>1.3041764983649506E-3</v>
      </c>
      <c r="E322" s="609">
        <f t="shared" si="100"/>
        <v>1.2129849017765702E-3</v>
      </c>
      <c r="F322" s="609">
        <f t="shared" si="100"/>
        <v>1.1044022104728056E-3</v>
      </c>
      <c r="G322" s="609">
        <f t="shared" si="100"/>
        <v>1.0380811711053132E-3</v>
      </c>
      <c r="H322" s="609">
        <f t="shared" si="100"/>
        <v>9.7086495769158618E-4</v>
      </c>
      <c r="I322" s="609">
        <f t="shared" si="100"/>
        <v>7.1471461620790152E-4</v>
      </c>
      <c r="J322" s="603">
        <f t="shared" si="100"/>
        <v>6.6126791128284432E-4</v>
      </c>
      <c r="K322" s="609">
        <f t="shared" si="89"/>
        <v>1.3738273101314988</v>
      </c>
      <c r="L322" s="609">
        <f t="shared" si="90"/>
        <v>1.2609785935646725</v>
      </c>
      <c r="M322" s="609">
        <f t="shared" si="91"/>
        <v>1.2133404478478615</v>
      </c>
      <c r="N322" s="609">
        <f t="shared" si="92"/>
        <v>1.1925048032150078</v>
      </c>
      <c r="O322" s="609">
        <f t="shared" si="93"/>
        <v>1.2740584525351604</v>
      </c>
      <c r="P322" s="609">
        <f t="shared" si="94"/>
        <v>1.2302933659208122</v>
      </c>
      <c r="Q322" s="609">
        <f t="shared" si="95"/>
        <v>0.80489787449431249</v>
      </c>
      <c r="R322" s="603">
        <f t="shared" si="96"/>
        <v>0.84722705836665968</v>
      </c>
    </row>
    <row r="323" spans="2:18" s="57" customFormat="1" ht="12.5">
      <c r="B323" s="595" t="s">
        <v>1050</v>
      </c>
      <c r="C323" s="1844">
        <f t="shared" si="98"/>
        <v>0</v>
      </c>
      <c r="D323" s="609">
        <f t="shared" si="100"/>
        <v>0</v>
      </c>
      <c r="E323" s="609">
        <f t="shared" si="100"/>
        <v>0</v>
      </c>
      <c r="F323" s="609">
        <f t="shared" si="100"/>
        <v>0</v>
      </c>
      <c r="G323" s="609">
        <f t="shared" si="100"/>
        <v>0</v>
      </c>
      <c r="H323" s="609">
        <f t="shared" si="100"/>
        <v>0</v>
      </c>
      <c r="I323" s="609">
        <f t="shared" si="100"/>
        <v>0</v>
      </c>
      <c r="J323" s="603">
        <f t="shared" si="100"/>
        <v>0</v>
      </c>
      <c r="K323" s="609">
        <f t="shared" si="89"/>
        <v>0</v>
      </c>
      <c r="L323" s="609">
        <f t="shared" si="90"/>
        <v>0</v>
      </c>
      <c r="M323" s="609">
        <f t="shared" si="91"/>
        <v>0</v>
      </c>
      <c r="N323" s="609">
        <f t="shared" si="92"/>
        <v>0</v>
      </c>
      <c r="O323" s="609">
        <f t="shared" si="93"/>
        <v>0</v>
      </c>
      <c r="P323" s="609">
        <f t="shared" si="94"/>
        <v>0</v>
      </c>
      <c r="Q323" s="609">
        <f t="shared" si="95"/>
        <v>0</v>
      </c>
      <c r="R323" s="603">
        <f t="shared" si="96"/>
        <v>0</v>
      </c>
    </row>
    <row r="324" spans="2:18" s="57" customFormat="1" ht="12.5">
      <c r="B324" s="595" t="s">
        <v>1051</v>
      </c>
      <c r="C324" s="1844">
        <f t="shared" si="98"/>
        <v>0</v>
      </c>
      <c r="D324" s="609">
        <f t="shared" si="100"/>
        <v>0</v>
      </c>
      <c r="E324" s="609">
        <f t="shared" si="100"/>
        <v>0</v>
      </c>
      <c r="F324" s="609">
        <f t="shared" si="100"/>
        <v>0</v>
      </c>
      <c r="G324" s="609">
        <f t="shared" si="100"/>
        <v>0</v>
      </c>
      <c r="H324" s="609">
        <f t="shared" si="100"/>
        <v>0</v>
      </c>
      <c r="I324" s="609">
        <f t="shared" si="100"/>
        <v>0</v>
      </c>
      <c r="J324" s="603">
        <f t="shared" si="100"/>
        <v>0</v>
      </c>
      <c r="K324" s="609">
        <f t="shared" si="89"/>
        <v>0</v>
      </c>
      <c r="L324" s="609">
        <f t="shared" si="90"/>
        <v>0</v>
      </c>
      <c r="M324" s="609">
        <f t="shared" si="91"/>
        <v>0</v>
      </c>
      <c r="N324" s="609">
        <f t="shared" si="92"/>
        <v>0</v>
      </c>
      <c r="O324" s="609">
        <f t="shared" si="93"/>
        <v>0</v>
      </c>
      <c r="P324" s="609">
        <f t="shared" si="94"/>
        <v>0</v>
      </c>
      <c r="Q324" s="609">
        <f t="shared" si="95"/>
        <v>0</v>
      </c>
      <c r="R324" s="603">
        <f t="shared" si="96"/>
        <v>0</v>
      </c>
    </row>
    <row r="325" spans="2:18" s="57" customFormat="1" ht="12.5">
      <c r="B325" s="595" t="s">
        <v>1052</v>
      </c>
      <c r="C325" s="1844">
        <f t="shared" si="98"/>
        <v>19.378186401032998</v>
      </c>
      <c r="D325" s="609">
        <f t="shared" ref="D325:J328" si="101">D303/L21</f>
        <v>22.229968878513279</v>
      </c>
      <c r="E325" s="609">
        <f t="shared" si="101"/>
        <v>24.575549072139932</v>
      </c>
      <c r="F325" s="609">
        <f t="shared" si="101"/>
        <v>27.495394546643855</v>
      </c>
      <c r="G325" s="609">
        <f t="shared" si="101"/>
        <v>29.95210758800598</v>
      </c>
      <c r="H325" s="609">
        <f t="shared" si="101"/>
        <v>33.792500746259996</v>
      </c>
      <c r="I325" s="609">
        <f t="shared" si="101"/>
        <v>31.503027646363375</v>
      </c>
      <c r="J325" s="603">
        <f t="shared" si="101"/>
        <v>40.613607472235628</v>
      </c>
      <c r="K325" s="609">
        <f t="shared" si="89"/>
        <v>57.670990795780881</v>
      </c>
      <c r="L325" s="609">
        <f t="shared" si="90"/>
        <v>63.607868163480973</v>
      </c>
      <c r="M325" s="609">
        <f t="shared" si="91"/>
        <v>71.64512906741102</v>
      </c>
      <c r="N325" s="609">
        <f t="shared" si="92"/>
        <v>84.182360388292182</v>
      </c>
      <c r="O325" s="609">
        <f t="shared" si="93"/>
        <v>84.916888407344388</v>
      </c>
      <c r="P325" s="609">
        <f t="shared" si="94"/>
        <v>96.439421961670902</v>
      </c>
      <c r="Q325" s="609">
        <f t="shared" si="95"/>
        <v>84.03085243896993</v>
      </c>
      <c r="R325" s="603">
        <f t="shared" si="96"/>
        <v>108.22963615548949</v>
      </c>
    </row>
    <row r="326" spans="2:18" s="57" customFormat="1" ht="12.5">
      <c r="B326" s="595" t="s">
        <v>1053</v>
      </c>
      <c r="C326" s="1844">
        <f t="shared" si="98"/>
        <v>8.6903238463072931E-3</v>
      </c>
      <c r="D326" s="609">
        <f t="shared" si="101"/>
        <v>1.2097527065919159E-2</v>
      </c>
      <c r="E326" s="609">
        <f t="shared" si="101"/>
        <v>1.3206681094095939E-2</v>
      </c>
      <c r="F326" s="609">
        <f t="shared" si="101"/>
        <v>1.5737449965097447E-2</v>
      </c>
      <c r="G326" s="609">
        <f t="shared" si="101"/>
        <v>1.8699346645242164E-2</v>
      </c>
      <c r="H326" s="609">
        <f t="shared" si="101"/>
        <v>2.2272347527624876E-2</v>
      </c>
      <c r="I326" s="609">
        <f t="shared" si="101"/>
        <v>2.8687499144806467E-2</v>
      </c>
      <c r="J326" s="603">
        <f t="shared" si="101"/>
        <v>3.5153917002943388E-2</v>
      </c>
      <c r="K326" s="609">
        <f t="shared" si="89"/>
        <v>51.100382103494752</v>
      </c>
      <c r="L326" s="609">
        <f t="shared" si="90"/>
        <v>36.384542167821856</v>
      </c>
      <c r="M326" s="609">
        <f t="shared" si="91"/>
        <v>36.787194615719407</v>
      </c>
      <c r="N326" s="609">
        <f t="shared" si="92"/>
        <v>35.444027779307255</v>
      </c>
      <c r="O326" s="609">
        <f t="shared" si="93"/>
        <v>32.145806141199472</v>
      </c>
      <c r="P326" s="609">
        <f t="shared" si="94"/>
        <v>39.39506098652668</v>
      </c>
      <c r="Q326" s="609">
        <f t="shared" si="95"/>
        <v>47.720527092226774</v>
      </c>
      <c r="R326" s="603">
        <f t="shared" si="96"/>
        <v>52.814271134598833</v>
      </c>
    </row>
    <row r="327" spans="2:18" s="57" customFormat="1" ht="12.5">
      <c r="B327" s="595" t="s">
        <v>1054</v>
      </c>
      <c r="C327" s="1844">
        <f t="shared" si="98"/>
        <v>1.6245111006736347E-2</v>
      </c>
      <c r="D327" s="609">
        <f t="shared" si="101"/>
        <v>1.7896485183237366E-2</v>
      </c>
      <c r="E327" s="609">
        <f t="shared" si="101"/>
        <v>1.8141471716151464E-2</v>
      </c>
      <c r="F327" s="609">
        <f t="shared" si="101"/>
        <v>1.9959640285536196E-2</v>
      </c>
      <c r="G327" s="609">
        <f t="shared" si="101"/>
        <v>2.3973416953369825E-2</v>
      </c>
      <c r="H327" s="609">
        <f t="shared" si="101"/>
        <v>3.0692262254169884E-2</v>
      </c>
      <c r="I327" s="609">
        <f t="shared" si="101"/>
        <v>3.5739993762040984E-2</v>
      </c>
      <c r="J327" s="603">
        <f t="shared" si="101"/>
        <v>6.2436519006597364E-2</v>
      </c>
      <c r="K327" s="609" t="str">
        <f t="shared" si="89"/>
        <v>0</v>
      </c>
      <c r="L327" s="609" t="str">
        <f t="shared" si="90"/>
        <v>0</v>
      </c>
      <c r="M327" s="609" t="str">
        <f t="shared" si="91"/>
        <v>0</v>
      </c>
      <c r="N327" s="609" t="str">
        <f t="shared" si="92"/>
        <v>0</v>
      </c>
      <c r="O327" s="609" t="str">
        <f t="shared" si="93"/>
        <v>0</v>
      </c>
      <c r="P327" s="609" t="str">
        <f t="shared" si="94"/>
        <v>0</v>
      </c>
      <c r="Q327" s="609" t="str">
        <f t="shared" si="95"/>
        <v>0</v>
      </c>
      <c r="R327" s="603" t="str">
        <f t="shared" si="96"/>
        <v>0</v>
      </c>
    </row>
    <row r="328" spans="2:18" s="57" customFormat="1" ht="12.5">
      <c r="B328" s="604" t="s">
        <v>1055</v>
      </c>
      <c r="C328" s="610">
        <f>C306/K24</f>
        <v>5.2771280632522712E-2</v>
      </c>
      <c r="D328" s="617">
        <f t="shared" si="101"/>
        <v>5.5937529034939724E-2</v>
      </c>
      <c r="E328" s="617">
        <f t="shared" si="101"/>
        <v>5.9354928557975341E-2</v>
      </c>
      <c r="F328" s="617">
        <f t="shared" si="101"/>
        <v>6.0033663488946537E-2</v>
      </c>
      <c r="G328" s="617">
        <f t="shared" si="101"/>
        <v>6.2485905975089635E-2</v>
      </c>
      <c r="H328" s="617">
        <f t="shared" si="101"/>
        <v>6.6294406463414182E-2</v>
      </c>
      <c r="I328" s="617">
        <f t="shared" si="101"/>
        <v>6.1153552470321386E-2</v>
      </c>
      <c r="J328" s="618">
        <f t="shared" si="101"/>
        <v>6.545701242652964E-2</v>
      </c>
      <c r="K328" s="617">
        <f t="shared" si="89"/>
        <v>355.38161158317592</v>
      </c>
      <c r="L328" s="617">
        <f>IF(ISNUMBER(D306/D237),D306/D237,"0")</f>
        <v>352.30095148322187</v>
      </c>
      <c r="M328" s="617">
        <f t="shared" si="91"/>
        <v>359.55538543314702</v>
      </c>
      <c r="N328" s="617">
        <f t="shared" si="92"/>
        <v>372.21683492758461</v>
      </c>
      <c r="O328" s="617">
        <f t="shared" si="93"/>
        <v>389.48003540293774</v>
      </c>
      <c r="P328" s="617">
        <f t="shared" si="94"/>
        <v>395.5220872291585</v>
      </c>
      <c r="Q328" s="617">
        <f t="shared" si="95"/>
        <v>358.47666451500828</v>
      </c>
      <c r="R328" s="618">
        <f t="shared" si="96"/>
        <v>370.29025068439546</v>
      </c>
    </row>
    <row r="330" spans="2:18">
      <c r="B330" s="2157" t="s">
        <v>1096</v>
      </c>
      <c r="C330" s="2157"/>
      <c r="D330" s="2157"/>
      <c r="E330" s="2157"/>
      <c r="F330" s="2157"/>
      <c r="G330" s="2157"/>
      <c r="H330" s="2157"/>
      <c r="I330" s="2157"/>
      <c r="J330" s="2157"/>
      <c r="K330" s="2157"/>
      <c r="L330" s="2157"/>
      <c r="M330" s="2157"/>
      <c r="N330" s="2157"/>
      <c r="O330" s="2157"/>
      <c r="P330" s="2157"/>
      <c r="Q330" s="2157"/>
      <c r="R330" s="2157"/>
    </row>
    <row r="331" spans="2:18">
      <c r="B331" s="2159" t="s">
        <v>1097</v>
      </c>
      <c r="C331" s="2159"/>
      <c r="D331" s="2159"/>
      <c r="E331" s="2159"/>
      <c r="F331" s="2159"/>
      <c r="G331" s="2159"/>
      <c r="H331" s="2159"/>
      <c r="I331" s="2159"/>
      <c r="J331" s="2159"/>
      <c r="K331" s="2159"/>
      <c r="L331" s="2159"/>
      <c r="M331" s="2159"/>
      <c r="N331" s="2159"/>
      <c r="O331" s="2159"/>
      <c r="P331" s="2159"/>
      <c r="Q331" s="2159"/>
      <c r="R331" s="2159"/>
    </row>
    <row r="332" spans="2:18">
      <c r="B332" s="581" t="s">
        <v>1098</v>
      </c>
      <c r="C332" s="613"/>
      <c r="D332" s="613"/>
      <c r="E332" s="613"/>
      <c r="F332" s="613"/>
      <c r="G332" s="613"/>
      <c r="H332" s="613"/>
      <c r="I332" s="613"/>
      <c r="J332" s="613"/>
      <c r="K332" s="613"/>
      <c r="L332" s="613"/>
      <c r="M332" s="613"/>
      <c r="N332" s="613"/>
      <c r="O332" s="613"/>
      <c r="P332" s="613"/>
      <c r="Q332" s="613"/>
    </row>
    <row r="333" spans="2:18">
      <c r="B333" s="581"/>
      <c r="C333" s="637"/>
      <c r="D333" s="613"/>
      <c r="E333" s="613"/>
      <c r="F333" s="613"/>
      <c r="G333" s="613"/>
      <c r="H333" s="613"/>
      <c r="I333" s="613"/>
      <c r="J333" s="613"/>
      <c r="K333" s="613"/>
      <c r="L333" s="613"/>
      <c r="M333" s="613"/>
      <c r="N333" s="613"/>
      <c r="O333" s="613"/>
      <c r="P333" s="613"/>
      <c r="Q333" s="613"/>
    </row>
    <row r="334" spans="2:18">
      <c r="B334" s="583"/>
      <c r="C334" s="2161" t="s">
        <v>1099</v>
      </c>
      <c r="D334" s="2162"/>
      <c r="E334" s="2162"/>
      <c r="F334" s="2162"/>
      <c r="G334" s="2162"/>
      <c r="H334" s="2162"/>
      <c r="I334" s="2162"/>
      <c r="J334" s="2163"/>
      <c r="K334" s="2161" t="s">
        <v>1100</v>
      </c>
      <c r="L334" s="2162"/>
      <c r="M334" s="2162"/>
      <c r="N334" s="2162"/>
      <c r="O334" s="2162"/>
      <c r="P334" s="2162"/>
      <c r="Q334" s="2162"/>
      <c r="R334" s="2166"/>
    </row>
    <row r="335" spans="2:18">
      <c r="B335" s="57"/>
      <c r="C335" s="585">
        <v>2014</v>
      </c>
      <c r="D335" s="586">
        <v>2015</v>
      </c>
      <c r="E335" s="586">
        <v>2016</v>
      </c>
      <c r="F335" s="586">
        <v>2017</v>
      </c>
      <c r="G335" s="586">
        <v>2018</v>
      </c>
      <c r="H335" s="586">
        <v>2019</v>
      </c>
      <c r="I335" s="586">
        <v>2020</v>
      </c>
      <c r="J335" s="586">
        <v>2021</v>
      </c>
      <c r="K335" s="587">
        <v>2014</v>
      </c>
      <c r="L335" s="588">
        <v>2015</v>
      </c>
      <c r="M335" s="588">
        <v>2016</v>
      </c>
      <c r="N335" s="588">
        <v>2017</v>
      </c>
      <c r="O335" s="588">
        <v>2018</v>
      </c>
      <c r="P335" s="588">
        <v>2019</v>
      </c>
      <c r="Q335" s="588">
        <v>2020</v>
      </c>
      <c r="R335" s="848">
        <v>2021</v>
      </c>
    </row>
    <row r="336" spans="2:18">
      <c r="B336" s="589" t="s">
        <v>1038</v>
      </c>
      <c r="C336" s="623">
        <f>ARG!C160</f>
        <v>122898.27899999999</v>
      </c>
      <c r="D336" s="624">
        <f>ARG!D160</f>
        <v>142622.856</v>
      </c>
      <c r="E336" s="624">
        <f>ARG!E160</f>
        <v>171285.93299999999</v>
      </c>
      <c r="F336" s="624">
        <f>ARG!F160</f>
        <v>211185.68599999999</v>
      </c>
      <c r="G336" s="624">
        <f>ARG!G160</f>
        <v>274339.18699999998</v>
      </c>
      <c r="H336" s="624">
        <f>ARG!H160</f>
        <v>374467</v>
      </c>
      <c r="I336" s="624">
        <f>ARG!I160</f>
        <v>955575.01</v>
      </c>
      <c r="J336" s="624">
        <f>ARG!J160</f>
        <v>1869174.3259999999</v>
      </c>
      <c r="K336" s="623">
        <f>ARG!C163</f>
        <v>42767.790999999997</v>
      </c>
      <c r="L336" s="624">
        <f>ARG!D163</f>
        <v>46792.08</v>
      </c>
      <c r="M336" s="624">
        <f>ARG!E163</f>
        <v>52718.481</v>
      </c>
      <c r="N336" s="624">
        <f>ARG!F163</f>
        <v>64589.764999999999</v>
      </c>
      <c r="O336" s="624">
        <f>ARG!G163</f>
        <v>79888.755999999994</v>
      </c>
      <c r="P336" s="624">
        <f>ARG!H163</f>
        <v>93838.116999999998</v>
      </c>
      <c r="Q336" s="624">
        <f>ARG!I163</f>
        <v>107514.099</v>
      </c>
      <c r="R336" s="625">
        <f>ARG!J163</f>
        <v>120505.493</v>
      </c>
    </row>
    <row r="337" spans="1:18">
      <c r="B337" s="595" t="s">
        <v>1039</v>
      </c>
      <c r="C337" s="626">
        <f>BA!C149</f>
        <v>1455.5440000000001</v>
      </c>
      <c r="D337" s="627">
        <f>BA!D149</f>
        <v>1627.614</v>
      </c>
      <c r="E337" s="627">
        <f>BA!E149</f>
        <v>2002.357</v>
      </c>
      <c r="F337" s="627">
        <f>BA!F149</f>
        <v>2218.4229999999998</v>
      </c>
      <c r="G337" s="627">
        <f>BA!G149</f>
        <v>2394.92</v>
      </c>
      <c r="H337" s="627">
        <f>BA!H149</f>
        <v>2594.4540000000002</v>
      </c>
      <c r="I337" s="627">
        <f>BA!I149</f>
        <v>2259.0279999999998</v>
      </c>
      <c r="J337" s="627">
        <f>BA!J149</f>
        <v>3152.846</v>
      </c>
      <c r="K337" s="626">
        <f>BA!C152</f>
        <v>38.564</v>
      </c>
      <c r="L337" s="627">
        <f>BA!D152</f>
        <v>66.034999999999997</v>
      </c>
      <c r="M337" s="627">
        <f>BA!E152</f>
        <v>102.717</v>
      </c>
      <c r="N337" s="627">
        <f>BA!F152</f>
        <v>97.475999999999999</v>
      </c>
      <c r="O337" s="627">
        <f>BA!G152</f>
        <v>67.64</v>
      </c>
      <c r="P337" s="627">
        <f>BA!H152</f>
        <v>51.424999999999997</v>
      </c>
      <c r="Q337" s="627">
        <f>BA!I152</f>
        <v>51.031999999999996</v>
      </c>
      <c r="R337" s="628">
        <f>BA!J152</f>
        <v>66.671999999999997</v>
      </c>
    </row>
    <row r="338" spans="1:18">
      <c r="B338" s="595" t="s">
        <v>1040</v>
      </c>
      <c r="C338" s="626">
        <f>BO!C147</f>
        <v>0</v>
      </c>
      <c r="D338" s="627">
        <f>BO!D147</f>
        <v>7699.5510000000004</v>
      </c>
      <c r="E338" s="627">
        <f>BO!E147</f>
        <v>10508.282999999999</v>
      </c>
      <c r="F338" s="627">
        <f>BO!F147</f>
        <v>15554.210999999999</v>
      </c>
      <c r="G338" s="627">
        <f>BO!G147</f>
        <v>21794.576000000001</v>
      </c>
      <c r="H338" s="627">
        <f>BO!H147</f>
        <v>31824.708999999999</v>
      </c>
      <c r="I338" s="627">
        <f>BO!I147</f>
        <v>55211.512000000002</v>
      </c>
      <c r="J338" s="627">
        <f>BO!J147</f>
        <v>93761.784</v>
      </c>
      <c r="K338" s="626">
        <f>BO!C150</f>
        <v>0</v>
      </c>
      <c r="L338" s="627">
        <f>BO!D150</f>
        <v>0</v>
      </c>
      <c r="M338" s="627">
        <f>BO!E150</f>
        <v>0</v>
      </c>
      <c r="N338" s="627">
        <f>BO!F150</f>
        <v>0</v>
      </c>
      <c r="O338" s="627">
        <f>BO!G150</f>
        <v>0</v>
      </c>
      <c r="P338" s="627">
        <f>BO!H150</f>
        <v>0</v>
      </c>
      <c r="Q338" s="627">
        <f>BO!I150</f>
        <v>0</v>
      </c>
      <c r="R338" s="628">
        <f>BO!J150</f>
        <v>0</v>
      </c>
    </row>
    <row r="339" spans="1:18">
      <c r="B339" s="595" t="s">
        <v>1041</v>
      </c>
      <c r="C339" s="626">
        <f>BR!C154</f>
        <v>9971358.4580000006</v>
      </c>
      <c r="D339" s="627">
        <f>BR!D154</f>
        <v>10054059.325999999</v>
      </c>
      <c r="E339" s="627">
        <f>BR!E154</f>
        <v>9948185.6870000008</v>
      </c>
      <c r="F339" s="627">
        <f>BR!F154</f>
        <v>10503228.437999999</v>
      </c>
      <c r="G339" s="627">
        <f>BR!G154</f>
        <v>10881561.745999999</v>
      </c>
      <c r="H339" s="627">
        <f>BR!H154</f>
        <v>11872374</v>
      </c>
      <c r="I339" s="627">
        <f>BR!I154</f>
        <v>14662565.412</v>
      </c>
      <c r="J339" s="627">
        <f>BR!J154</f>
        <v>23286979.134</v>
      </c>
      <c r="K339" s="626">
        <f>BR!C157</f>
        <v>5557064.6809999999</v>
      </c>
      <c r="L339" s="627">
        <f>BR!D157</f>
        <v>5427004.4029999999</v>
      </c>
      <c r="M339" s="627">
        <f>BR!E157</f>
        <v>5335713.8650000002</v>
      </c>
      <c r="N339" s="627">
        <f>BR!F157</f>
        <v>5359119.8169999998</v>
      </c>
      <c r="O339" s="627">
        <f>BR!G157</f>
        <v>6428607.9670000002</v>
      </c>
      <c r="P339" s="627">
        <f>BR!H157</f>
        <v>6013433.449</v>
      </c>
      <c r="Q339" s="627">
        <f>BR!I157</f>
        <v>6102619.4869999997</v>
      </c>
      <c r="R339" s="628">
        <f>BR!J157</f>
        <v>6711418.54</v>
      </c>
    </row>
    <row r="340" spans="1:18">
      <c r="B340" s="595" t="s">
        <v>1042</v>
      </c>
      <c r="C340" s="626">
        <f>CL!C152</f>
        <v>93402.748000000007</v>
      </c>
      <c r="D340" s="627">
        <f>CL!D152</f>
        <v>110164</v>
      </c>
      <c r="E340" s="627">
        <f>CL!E152</f>
        <v>121600</v>
      </c>
      <c r="F340" s="627">
        <f>CL!F152</f>
        <v>131999</v>
      </c>
      <c r="G340" s="627">
        <f>CL!G152</f>
        <v>156444</v>
      </c>
      <c r="H340" s="627">
        <f>CL!H152</f>
        <v>188071</v>
      </c>
      <c r="I340" s="627">
        <f>CL!I152</f>
        <v>207133</v>
      </c>
      <c r="J340" s="627">
        <f>CL!J152</f>
        <v>235311</v>
      </c>
      <c r="K340" s="626">
        <f>CL!C163</f>
        <v>0</v>
      </c>
      <c r="L340" s="627">
        <f>CL!D163</f>
        <v>0</v>
      </c>
      <c r="M340" s="627">
        <f>CL!E163</f>
        <v>0</v>
      </c>
      <c r="N340" s="627">
        <f>CL!F163</f>
        <v>0</v>
      </c>
      <c r="O340" s="627">
        <f>CL!G163</f>
        <v>0</v>
      </c>
      <c r="P340" s="627">
        <f>CL!H163</f>
        <v>0</v>
      </c>
      <c r="Q340" s="627">
        <f>CL!I163</f>
        <v>0</v>
      </c>
      <c r="R340" s="628">
        <f>CL!J163</f>
        <v>0</v>
      </c>
    </row>
    <row r="341" spans="1:18">
      <c r="B341" s="595" t="s">
        <v>1043</v>
      </c>
      <c r="C341" s="626">
        <f>CO!C149</f>
        <v>141213.48300000001</v>
      </c>
      <c r="D341" s="627">
        <f>CO!D149</f>
        <v>152112.43700000001</v>
      </c>
      <c r="E341" s="627">
        <f>CO!E149</f>
        <v>162010.943</v>
      </c>
      <c r="F341" s="627">
        <f>CO!F149</f>
        <v>175906.85800000001</v>
      </c>
      <c r="G341" s="627">
        <f>CO!G149</f>
        <v>193077.58600000001</v>
      </c>
      <c r="H341" s="627">
        <f>CO!H149</f>
        <v>212683.49100000001</v>
      </c>
      <c r="I341" s="627">
        <f>CO!I149</f>
        <v>250936.80299999999</v>
      </c>
      <c r="J341" s="627">
        <f>CO!J149</f>
        <v>298458.38900000002</v>
      </c>
      <c r="K341" s="626">
        <f>CO!C152</f>
        <v>6171.0129999999999</v>
      </c>
      <c r="L341" s="627">
        <f>CO!D152</f>
        <v>6632.4630000000006</v>
      </c>
      <c r="M341" s="627">
        <f>CO!E152</f>
        <v>8154.9980000000041</v>
      </c>
      <c r="N341" s="627">
        <f>CO!F152</f>
        <v>10345.938</v>
      </c>
      <c r="O341" s="627">
        <f>CO!G152</f>
        <v>15367.339999999995</v>
      </c>
      <c r="P341" s="627">
        <f>CO!H152</f>
        <v>20717.935999999987</v>
      </c>
      <c r="Q341" s="627">
        <f>CO!I152</f>
        <v>15003.615999999989</v>
      </c>
      <c r="R341" s="628">
        <f>CO!J152</f>
        <v>12064.27100000001</v>
      </c>
    </row>
    <row r="342" spans="1:18">
      <c r="B342" s="595" t="s">
        <v>1044</v>
      </c>
      <c r="C342" s="626">
        <f>CR!C153</f>
        <v>0</v>
      </c>
      <c r="D342" s="627">
        <f>CR!D153</f>
        <v>0</v>
      </c>
      <c r="E342" s="627">
        <f>CR!E153</f>
        <v>0</v>
      </c>
      <c r="F342" s="627">
        <f>CR!F153</f>
        <v>117803.84906063467</v>
      </c>
      <c r="G342" s="627">
        <f>CR!G153</f>
        <v>126195.56600000001</v>
      </c>
      <c r="H342" s="627">
        <f>CR!H153</f>
        <v>161672.31139204543</v>
      </c>
      <c r="I342" s="627">
        <f>CR!I153</f>
        <v>232065.06</v>
      </c>
      <c r="J342" s="627">
        <f>CR!J153</f>
        <v>353952.86</v>
      </c>
      <c r="K342" s="626">
        <f>CR!C156</f>
        <v>0</v>
      </c>
      <c r="L342" s="627">
        <f>CR!D156</f>
        <v>0</v>
      </c>
      <c r="M342" s="627">
        <f>CR!E156</f>
        <v>0</v>
      </c>
      <c r="N342" s="627">
        <f>CR!F156</f>
        <v>32973.781000000003</v>
      </c>
      <c r="O342" s="627">
        <f>CR!G156</f>
        <v>30016.314999999999</v>
      </c>
      <c r="P342" s="627">
        <f>CR!H156</f>
        <v>16491.63</v>
      </c>
      <c r="Q342" s="627">
        <f>CR!I156</f>
        <v>19779.382000000001</v>
      </c>
      <c r="R342" s="628">
        <f>CR!J156</f>
        <v>32604.314999999999</v>
      </c>
    </row>
    <row r="343" spans="1:18">
      <c r="B343" s="595" t="s">
        <v>1061</v>
      </c>
      <c r="C343" s="626">
        <f>CW!C165</f>
        <v>0</v>
      </c>
      <c r="D343" s="627">
        <v>10427.299999999999</v>
      </c>
      <c r="E343" s="627">
        <f>CW!E165</f>
        <v>13168.936</v>
      </c>
      <c r="F343" s="627">
        <f>CW!F165</f>
        <v>14430.100999999999</v>
      </c>
      <c r="G343" s="627">
        <f>CW!G165</f>
        <v>15794.379000000001</v>
      </c>
      <c r="H343" s="627">
        <f>CW!H165</f>
        <v>15714.258000000002</v>
      </c>
      <c r="I343" s="627">
        <f>CW!I165</f>
        <v>15011.198999999999</v>
      </c>
      <c r="J343" s="627">
        <f>CW!J165</f>
        <v>14155.878000000001</v>
      </c>
      <c r="K343" s="626">
        <f>CW!C168</f>
        <v>0</v>
      </c>
      <c r="L343" s="627">
        <f>CW!D168</f>
        <v>0</v>
      </c>
      <c r="M343" s="627">
        <f>CW!E168</f>
        <v>0</v>
      </c>
      <c r="N343" s="627">
        <f>CW!F168</f>
        <v>0</v>
      </c>
      <c r="O343" s="627">
        <f>CW!G168</f>
        <v>0</v>
      </c>
      <c r="P343" s="627">
        <f>CW!H168</f>
        <v>0</v>
      </c>
      <c r="Q343" s="627">
        <f>CW!I168</f>
        <v>0</v>
      </c>
      <c r="R343" s="628">
        <f>CW!J168</f>
        <v>0</v>
      </c>
    </row>
    <row r="344" spans="1:18">
      <c r="B344" s="595" t="s">
        <v>1047</v>
      </c>
      <c r="C344" s="626">
        <f>EC!C150</f>
        <v>46913.004000000001</v>
      </c>
      <c r="D344" s="627">
        <f>EC!D150</f>
        <v>50759.462</v>
      </c>
      <c r="E344" s="627">
        <f>EC!E150</f>
        <v>56510.404000000002</v>
      </c>
      <c r="F344" s="627">
        <f>EC!F150</f>
        <v>61867.663999999997</v>
      </c>
      <c r="G344" s="627">
        <f>EC!G150</f>
        <v>68910.497000000003</v>
      </c>
      <c r="H344" s="627">
        <f>EC!H150</f>
        <v>75324.728000000003</v>
      </c>
      <c r="I344" s="627">
        <f>EC!I150</f>
        <v>81576.899000000005</v>
      </c>
      <c r="J344" s="627">
        <f>EC!J150</f>
        <v>100905.921</v>
      </c>
      <c r="K344" s="626">
        <f>EC!C153</f>
        <v>6458.5910000000003</v>
      </c>
      <c r="L344" s="627">
        <f>EC!D153</f>
        <v>7594.98</v>
      </c>
      <c r="M344" s="627">
        <f>EC!E153</f>
        <v>8066.24</v>
      </c>
      <c r="N344" s="627">
        <f>EC!F153</f>
        <v>8266.357</v>
      </c>
      <c r="O344" s="627">
        <f>EC!G153</f>
        <v>8657.6139999999996</v>
      </c>
      <c r="P344" s="627">
        <f>EC!H153</f>
        <v>9446.1589999999997</v>
      </c>
      <c r="Q344" s="627">
        <f>EC!I153</f>
        <v>9210.9719999999998</v>
      </c>
      <c r="R344" s="628">
        <f>EC!J153</f>
        <v>9957.16</v>
      </c>
    </row>
    <row r="345" spans="1:18">
      <c r="A345" s="383"/>
      <c r="B345" s="595" t="s">
        <v>1048</v>
      </c>
      <c r="C345" s="626">
        <f>SV!C151</f>
        <v>0</v>
      </c>
      <c r="D345" s="627">
        <f>SV!D151</f>
        <v>13409.675999999999</v>
      </c>
      <c r="E345" s="627">
        <f>SV!E151</f>
        <v>18639.32</v>
      </c>
      <c r="F345" s="627">
        <f>SV!F151</f>
        <v>16705.794580416183</v>
      </c>
      <c r="G345" s="627">
        <f>SV!G151</f>
        <v>17977.640312600775</v>
      </c>
      <c r="H345" s="627">
        <f>SV!H151</f>
        <v>28516.296999999999</v>
      </c>
      <c r="I345" s="627">
        <f>SV!I151</f>
        <v>32946.660000000003</v>
      </c>
      <c r="J345" s="627">
        <f>SV!J151</f>
        <v>42588.781999999999</v>
      </c>
      <c r="K345" s="626">
        <f>SV!C154</f>
        <v>0</v>
      </c>
      <c r="L345" s="627">
        <f>SV!D154</f>
        <v>2621.76467</v>
      </c>
      <c r="M345" s="627">
        <f>SV!E154</f>
        <v>2756.31</v>
      </c>
      <c r="N345" s="627">
        <f>SV!F154</f>
        <v>2742.06</v>
      </c>
      <c r="O345" s="627">
        <f>SV!G154</f>
        <v>1700.07</v>
      </c>
      <c r="P345" s="627">
        <f>SV!H154</f>
        <v>2648.85</v>
      </c>
      <c r="Q345" s="627">
        <f>SV!I154</f>
        <v>3072.9110000000001</v>
      </c>
      <c r="R345" s="628">
        <f>SV!J154</f>
        <v>2221.25</v>
      </c>
    </row>
    <row r="346" spans="1:18">
      <c r="B346" s="595" t="s">
        <v>1049</v>
      </c>
      <c r="C346" s="626">
        <f>GT!C158</f>
        <v>73.819999999999993</v>
      </c>
      <c r="D346" s="627">
        <f>GT!D158</f>
        <v>76.134</v>
      </c>
      <c r="E346" s="627">
        <f>GT!E158</f>
        <v>83.753</v>
      </c>
      <c r="F346" s="627">
        <f>GT!F158</f>
        <v>90.594999999999999</v>
      </c>
      <c r="G346" s="627">
        <f>GT!G158</f>
        <v>112.742</v>
      </c>
      <c r="H346" s="627">
        <f>GT!H158</f>
        <v>112.815</v>
      </c>
      <c r="I346" s="627">
        <f>GT!I158</f>
        <v>100.02200000000001</v>
      </c>
      <c r="J346" s="627">
        <f>GT!J158</f>
        <v>80.846000000000004</v>
      </c>
      <c r="K346" s="626">
        <f>GT!C161</f>
        <v>0</v>
      </c>
      <c r="L346" s="627">
        <f>GT!D161</f>
        <v>0</v>
      </c>
      <c r="M346" s="627">
        <f>GT!E161</f>
        <v>0</v>
      </c>
      <c r="N346" s="627">
        <f>GT!F161</f>
        <v>0</v>
      </c>
      <c r="O346" s="627">
        <f>GT!G161</f>
        <v>0</v>
      </c>
      <c r="P346" s="627">
        <f>GT!H161</f>
        <v>0</v>
      </c>
      <c r="Q346" s="627">
        <f>GT!I161</f>
        <v>0</v>
      </c>
      <c r="R346" s="628">
        <f>GT!J161</f>
        <v>0</v>
      </c>
    </row>
    <row r="347" spans="1:18">
      <c r="B347" s="595" t="s">
        <v>1050</v>
      </c>
      <c r="C347" s="626">
        <f>HN!C155</f>
        <v>0</v>
      </c>
      <c r="D347" s="627">
        <f>HN!D155</f>
        <v>0</v>
      </c>
      <c r="E347" s="627">
        <f>HN!E155</f>
        <v>0</v>
      </c>
      <c r="F347" s="627">
        <f>HN!F155</f>
        <v>0</v>
      </c>
      <c r="G347" s="627">
        <f>HN!G155</f>
        <v>0</v>
      </c>
      <c r="H347" s="627">
        <f>HN!H155</f>
        <v>0</v>
      </c>
      <c r="I347" s="627">
        <f>HN!I155</f>
        <v>0</v>
      </c>
      <c r="J347" s="627">
        <f>HN!J155</f>
        <v>0</v>
      </c>
      <c r="K347" s="626">
        <f>HN!C163</f>
        <v>0</v>
      </c>
      <c r="L347" s="627">
        <f>HN!D163</f>
        <v>0</v>
      </c>
      <c r="M347" s="627">
        <f>HN!E163</f>
        <v>0</v>
      </c>
      <c r="N347" s="627">
        <f>HN!F163</f>
        <v>0</v>
      </c>
      <c r="O347" s="627">
        <f>HN!G163</f>
        <v>0</v>
      </c>
      <c r="P347" s="627">
        <f>HN!H163</f>
        <v>0</v>
      </c>
      <c r="Q347" s="627">
        <f>HN!I163</f>
        <v>0</v>
      </c>
      <c r="R347" s="628">
        <f>HN!J163</f>
        <v>0</v>
      </c>
    </row>
    <row r="348" spans="1:18">
      <c r="B348" s="595" t="s">
        <v>1051</v>
      </c>
      <c r="C348" s="626">
        <f>JM!C153</f>
        <v>1785.127</v>
      </c>
      <c r="D348" s="627">
        <f>JM!D153</f>
        <v>2088.1860000000001</v>
      </c>
      <c r="E348" s="627">
        <f>JM!E153</f>
        <v>2723.433</v>
      </c>
      <c r="F348" s="627">
        <f>JM!F153</f>
        <v>3258.2170000000001</v>
      </c>
      <c r="G348" s="627">
        <f>JM!G153</f>
        <v>4060.0349999999999</v>
      </c>
      <c r="H348" s="627">
        <f>JM!H153</f>
        <v>4896.0540000000001</v>
      </c>
      <c r="I348" s="627">
        <f>JM!I153</f>
        <v>6605.5410000000002</v>
      </c>
      <c r="J348" s="627">
        <f>JM!J153</f>
        <v>8458.616</v>
      </c>
      <c r="K348" s="626">
        <f>JM!C156</f>
        <v>456.18700000000001</v>
      </c>
      <c r="L348" s="627">
        <f>JM!D156</f>
        <v>442.96300000000002</v>
      </c>
      <c r="M348" s="627">
        <f>JM!E156</f>
        <v>506.178</v>
      </c>
      <c r="N348" s="627">
        <f>JM!F156</f>
        <v>516.64800000000002</v>
      </c>
      <c r="O348" s="627">
        <f>JM!G156</f>
        <v>539.73699999999997</v>
      </c>
      <c r="P348" s="627">
        <f>JM!H156</f>
        <v>580.822</v>
      </c>
      <c r="Q348" s="627">
        <f>JM!I156</f>
        <v>564.92499999999995</v>
      </c>
      <c r="R348" s="628">
        <f>JM!J156</f>
        <v>582.33500000000004</v>
      </c>
    </row>
    <row r="349" spans="1:18">
      <c r="B349" s="595" t="s">
        <v>1052</v>
      </c>
      <c r="C349" s="626">
        <f>RD!C167</f>
        <v>44462.536</v>
      </c>
      <c r="D349" s="627">
        <f>RD!D167</f>
        <v>50625.976999999999</v>
      </c>
      <c r="E349" s="627">
        <f>RD!E167</f>
        <v>56064.789000000004</v>
      </c>
      <c r="F349" s="627">
        <f>RD!F167</f>
        <v>61164.960999999996</v>
      </c>
      <c r="G349" s="627">
        <f>RD!G167</f>
        <v>61339.483</v>
      </c>
      <c r="H349" s="627">
        <f>RD!H167</f>
        <v>76914.468999999997</v>
      </c>
      <c r="I349" s="627">
        <f>RD!I167</f>
        <v>89264.694000000003</v>
      </c>
      <c r="J349" s="627">
        <f>RD!J167</f>
        <v>118370.773</v>
      </c>
      <c r="K349" s="626">
        <f>RD!C170</f>
        <v>8476.7729999999992</v>
      </c>
      <c r="L349" s="627">
        <f>RD!D170</f>
        <v>8116.8760000000002</v>
      </c>
      <c r="M349" s="627">
        <f>RD!E170</f>
        <v>7732.8140000000003</v>
      </c>
      <c r="N349" s="627">
        <f>RD!F170</f>
        <v>8659.5653499999989</v>
      </c>
      <c r="O349" s="627">
        <f>RD!G170</f>
        <v>18459.939999999999</v>
      </c>
      <c r="P349" s="627">
        <f>RD!H170</f>
        <v>21072.58913</v>
      </c>
      <c r="Q349" s="627">
        <f>RD!I170</f>
        <v>19146.068360000001</v>
      </c>
      <c r="R349" s="628">
        <f>RD!J170</f>
        <v>21854.901999999998</v>
      </c>
    </row>
    <row r="350" spans="1:18">
      <c r="B350" s="595" t="s">
        <v>1053</v>
      </c>
      <c r="C350" s="626">
        <f>PY!C151</f>
        <v>2349.7289999999998</v>
      </c>
      <c r="D350" s="627">
        <f>PY!D151</f>
        <v>22743.326000000001</v>
      </c>
      <c r="E350" s="627">
        <f>PY!E151</f>
        <v>26089.359</v>
      </c>
      <c r="F350" s="627">
        <f>PY!F151</f>
        <v>35435.587</v>
      </c>
      <c r="G350" s="627">
        <f>PY!G151</f>
        <v>43277.767</v>
      </c>
      <c r="H350" s="627">
        <f>PY!H151</f>
        <v>56513.038</v>
      </c>
      <c r="I350" s="627">
        <f>PY!I151</f>
        <v>96994.466916837802</v>
      </c>
      <c r="J350" s="627">
        <f>PY!J151</f>
        <v>112363.71</v>
      </c>
      <c r="K350" s="626">
        <f>PY!C163</f>
        <v>0</v>
      </c>
      <c r="L350" s="627">
        <f>PY!D163</f>
        <v>0</v>
      </c>
      <c r="M350" s="627">
        <f>PY!E163</f>
        <v>0</v>
      </c>
      <c r="N350" s="627">
        <f>PY!F163</f>
        <v>0</v>
      </c>
      <c r="O350" s="627">
        <f>PY!G163</f>
        <v>0</v>
      </c>
      <c r="P350" s="627">
        <f>PY!H163</f>
        <v>0</v>
      </c>
      <c r="Q350" s="627">
        <f>PY!I163</f>
        <v>0</v>
      </c>
      <c r="R350" s="628">
        <f>PY!J163</f>
        <v>0</v>
      </c>
    </row>
    <row r="351" spans="1:18">
      <c r="B351" s="595" t="s">
        <v>1054</v>
      </c>
      <c r="C351" s="626">
        <f>PE!C155</f>
        <v>205330.29045599999</v>
      </c>
      <c r="D351" s="627">
        <f>PE!D155</f>
        <v>228892.476383</v>
      </c>
      <c r="E351" s="627">
        <f>PE!E155</f>
        <v>191338.51181799997</v>
      </c>
      <c r="F351" s="627">
        <f>PE!F155</f>
        <v>224658.40400099999</v>
      </c>
      <c r="G351" s="627">
        <f>PE!G155</f>
        <v>279972.34216299996</v>
      </c>
      <c r="H351" s="627">
        <f>PE!H155</f>
        <v>384542.39500299998</v>
      </c>
      <c r="I351" s="627">
        <f>PE!I155</f>
        <v>659511.25916300004</v>
      </c>
      <c r="J351" s="627">
        <f>PE!J155</f>
        <v>1285829.4235340001</v>
      </c>
      <c r="K351" s="626">
        <f>PE!C158</f>
        <v>26426.684999999998</v>
      </c>
      <c r="L351" s="627">
        <f>PE!D158</f>
        <v>25836.725999999999</v>
      </c>
      <c r="M351" s="627">
        <f>PE!E158</f>
        <v>24863.258999999998</v>
      </c>
      <c r="N351" s="627">
        <f>PE!F158</f>
        <v>19114.399000000001</v>
      </c>
      <c r="O351" s="627">
        <f>PE!G158</f>
        <v>19169.582999999999</v>
      </c>
      <c r="P351" s="627">
        <f>PE!H158</f>
        <v>52636.298999999999</v>
      </c>
      <c r="Q351" s="627">
        <f>PE!I158</f>
        <v>50292.935000000005</v>
      </c>
      <c r="R351" s="628">
        <f>PE!J158</f>
        <v>49229.259999999995</v>
      </c>
    </row>
    <row r="352" spans="1:18">
      <c r="B352" s="604" t="s">
        <v>1055</v>
      </c>
      <c r="C352" s="629">
        <f>TT!C159</f>
        <v>6711.6280000000006</v>
      </c>
      <c r="D352" s="630">
        <f>TT!D159</f>
        <v>7173.9159999999993</v>
      </c>
      <c r="E352" s="630">
        <f>TT!E159</f>
        <v>7388.7780000000002</v>
      </c>
      <c r="F352" s="630">
        <f>TT!F159</f>
        <v>7906.982</v>
      </c>
      <c r="G352" s="630">
        <f>TT!G159</f>
        <v>8939.5879999999997</v>
      </c>
      <c r="H352" s="630">
        <f>TT!H159</f>
        <v>10079.534</v>
      </c>
      <c r="I352" s="630">
        <f>TT!I159</f>
        <v>11935.812000000002</v>
      </c>
      <c r="J352" s="630">
        <f>TT!J159</f>
        <v>15901.573</v>
      </c>
      <c r="K352" s="629">
        <f>TT!C162</f>
        <v>199.392</v>
      </c>
      <c r="L352" s="630">
        <f>TT!D162</f>
        <v>225.267</v>
      </c>
      <c r="M352" s="630">
        <f>TT!E162</f>
        <v>250.661</v>
      </c>
      <c r="N352" s="630">
        <f>TT!F162</f>
        <v>275.56200000000001</v>
      </c>
      <c r="O352" s="630">
        <f>TT!G162</f>
        <v>297.13099999999997</v>
      </c>
      <c r="P352" s="630">
        <f>TT!H162</f>
        <v>321.916</v>
      </c>
      <c r="Q352" s="630">
        <f>TT!I162</f>
        <v>348.233</v>
      </c>
      <c r="R352" s="631">
        <f>TT!J162</f>
        <v>419.92700000000002</v>
      </c>
    </row>
    <row r="353" spans="2:18">
      <c r="B353" s="57"/>
      <c r="C353" s="582"/>
      <c r="D353" s="582"/>
      <c r="E353" s="582"/>
      <c r="F353" s="582"/>
      <c r="G353" s="582"/>
      <c r="H353" s="582"/>
      <c r="I353" s="582"/>
      <c r="J353" s="582"/>
      <c r="K353" s="582"/>
      <c r="L353" s="582"/>
      <c r="M353" s="582"/>
      <c r="N353" s="582"/>
      <c r="O353" s="582"/>
      <c r="P353" s="582"/>
      <c r="Q353" s="582"/>
    </row>
    <row r="354" spans="2:18">
      <c r="B354" s="2157" t="s">
        <v>1101</v>
      </c>
      <c r="C354" s="2157"/>
      <c r="D354" s="2157"/>
      <c r="E354" s="2157"/>
      <c r="F354" s="2157"/>
      <c r="G354" s="2157"/>
      <c r="H354" s="2157"/>
      <c r="I354" s="2157"/>
      <c r="J354" s="2157"/>
      <c r="K354" s="2157"/>
      <c r="L354" s="2157"/>
      <c r="M354" s="2157"/>
      <c r="N354" s="2157"/>
      <c r="O354" s="2157"/>
      <c r="P354" s="2157"/>
      <c r="Q354" s="2157"/>
      <c r="R354" s="2157"/>
    </row>
    <row r="355" spans="2:18">
      <c r="B355" s="619"/>
      <c r="C355" s="621"/>
      <c r="D355" s="621"/>
      <c r="E355" s="621"/>
      <c r="F355" s="621"/>
      <c r="G355" s="621"/>
      <c r="H355" s="621"/>
      <c r="I355" s="621"/>
      <c r="J355" s="621"/>
      <c r="K355" s="622"/>
      <c r="L355" s="622"/>
      <c r="M355" s="622"/>
      <c r="N355" s="622"/>
      <c r="O355" s="622"/>
      <c r="P355" s="622"/>
      <c r="Q355" s="622"/>
    </row>
    <row r="356" spans="2:18">
      <c r="B356" s="583"/>
      <c r="C356" s="2187" t="s">
        <v>1102</v>
      </c>
      <c r="D356" s="2187"/>
      <c r="E356" s="2187"/>
      <c r="F356" s="2187"/>
      <c r="G356" s="2187"/>
      <c r="H356" s="2187"/>
      <c r="I356" s="2187"/>
      <c r="J356" s="2187"/>
      <c r="K356" s="2187" t="s">
        <v>1103</v>
      </c>
      <c r="L356" s="2187"/>
      <c r="M356" s="2187"/>
      <c r="N356" s="2187"/>
      <c r="O356" s="2187"/>
      <c r="P356" s="2187"/>
      <c r="Q356" s="2187"/>
      <c r="R356" s="2187"/>
    </row>
    <row r="357" spans="2:18">
      <c r="B357" s="65"/>
      <c r="C357" s="585">
        <v>2014</v>
      </c>
      <c r="D357" s="586">
        <v>2015</v>
      </c>
      <c r="E357" s="586">
        <v>2016</v>
      </c>
      <c r="F357" s="586">
        <v>2017</v>
      </c>
      <c r="G357" s="586">
        <v>2018</v>
      </c>
      <c r="H357" s="586">
        <v>2019</v>
      </c>
      <c r="I357" s="586">
        <v>2020</v>
      </c>
      <c r="J357" s="586">
        <v>2021</v>
      </c>
      <c r="K357" s="587">
        <v>2014</v>
      </c>
      <c r="L357" s="588">
        <v>2015</v>
      </c>
      <c r="M357" s="588">
        <v>2016</v>
      </c>
      <c r="N357" s="588">
        <v>2017</v>
      </c>
      <c r="O357" s="588">
        <v>2018</v>
      </c>
      <c r="P357" s="588">
        <v>2019</v>
      </c>
      <c r="Q357" s="588">
        <v>2020</v>
      </c>
      <c r="R357" s="848">
        <v>2021</v>
      </c>
    </row>
    <row r="358" spans="2:18">
      <c r="B358" s="589" t="s">
        <v>1038</v>
      </c>
      <c r="C358" s="623">
        <f>ARG!C169</f>
        <v>91361.764999999999</v>
      </c>
      <c r="D358" s="624">
        <f>ARG!D169</f>
        <v>89050.089000000007</v>
      </c>
      <c r="E358" s="624">
        <f>ARG!E169</f>
        <v>86306.274999999994</v>
      </c>
      <c r="F358" s="624">
        <f>ARG!F169</f>
        <v>85421.087</v>
      </c>
      <c r="G358" s="624">
        <f>ARG!G169</f>
        <v>83336.062000000005</v>
      </c>
      <c r="H358" s="624">
        <f>ARG!H169</f>
        <v>77487.157999999996</v>
      </c>
      <c r="I358" s="624">
        <f>ARG!I169</f>
        <v>56479.173999999999</v>
      </c>
      <c r="J358" s="625">
        <f>ARG!J169</f>
        <v>56867.995999999999</v>
      </c>
      <c r="K358" s="623">
        <f>ARG!C168</f>
        <v>0</v>
      </c>
      <c r="L358" s="624">
        <f>ARG!D168</f>
        <v>0</v>
      </c>
      <c r="M358" s="624">
        <f>ARG!E168</f>
        <v>1951.338</v>
      </c>
      <c r="N358" s="624">
        <f>ARG!F168</f>
        <v>20848.904999999999</v>
      </c>
      <c r="O358" s="624">
        <f>ARG!G168</f>
        <v>39016.71</v>
      </c>
      <c r="P358" s="624">
        <f>ARG!H168</f>
        <v>94566.485000000001</v>
      </c>
      <c r="Q358" s="624">
        <f>ARG!I168</f>
        <v>270458.41499999998</v>
      </c>
      <c r="R358" s="625">
        <f>ARG!J168</f>
        <v>0</v>
      </c>
    </row>
    <row r="359" spans="2:18">
      <c r="B359" s="595" t="s">
        <v>1039</v>
      </c>
      <c r="C359" s="626">
        <f>BA!C158</f>
        <v>4940.3539999999994</v>
      </c>
      <c r="D359" s="627">
        <f>BA!D158</f>
        <v>4846.5770000000002</v>
      </c>
      <c r="E359" s="627">
        <f>BA!E158</f>
        <v>7809.26</v>
      </c>
      <c r="F359" s="627">
        <f>BA!F158</f>
        <v>5893.3329999999996</v>
      </c>
      <c r="G359" s="627">
        <f>BA!G158</f>
        <v>5346.0070000000005</v>
      </c>
      <c r="H359" s="627">
        <f>BA!H158</f>
        <v>5549.2620000000006</v>
      </c>
      <c r="I359" s="627">
        <f>BA!I158</f>
        <v>3471.5769999999998</v>
      </c>
      <c r="J359" s="628">
        <f>BA!J158</f>
        <v>3007.442</v>
      </c>
      <c r="K359" s="626">
        <f>BA!C157</f>
        <v>0</v>
      </c>
      <c r="L359" s="627">
        <f>BA!D157</f>
        <v>0</v>
      </c>
      <c r="M359" s="627">
        <f>BA!E157</f>
        <v>0</v>
      </c>
      <c r="N359" s="627">
        <f>BA!F157</f>
        <v>0</v>
      </c>
      <c r="O359" s="627">
        <f>BA!G157</f>
        <v>0</v>
      </c>
      <c r="P359" s="627">
        <f>BA!H157</f>
        <v>0</v>
      </c>
      <c r="Q359" s="627">
        <f>BA!I157</f>
        <v>0</v>
      </c>
      <c r="R359" s="628">
        <f>BA!J157</f>
        <v>0</v>
      </c>
    </row>
    <row r="360" spans="2:18">
      <c r="B360" s="595" t="s">
        <v>1040</v>
      </c>
      <c r="C360" s="626">
        <f>BO!C156</f>
        <v>2116.4920000000002</v>
      </c>
      <c r="D360" s="627">
        <f>BO!D156</f>
        <v>2034.64</v>
      </c>
      <c r="E360" s="627">
        <f>BO!E156</f>
        <v>6077.1050000000005</v>
      </c>
      <c r="F360" s="627">
        <f>BO!F156</f>
        <v>1857.4430000000002</v>
      </c>
      <c r="G360" s="627">
        <f>BO!G156</f>
        <v>5601.3650000000007</v>
      </c>
      <c r="H360" s="627">
        <f>BO!H156</f>
        <v>5213.9130000000005</v>
      </c>
      <c r="I360" s="627">
        <f>BO!I156</f>
        <v>2919.049</v>
      </c>
      <c r="J360" s="628">
        <f>BO!J156</f>
        <v>3105.1479999999997</v>
      </c>
      <c r="K360" s="626">
        <f>BO!C155</f>
        <v>1247.4559999999999</v>
      </c>
      <c r="L360" s="627">
        <f>BO!D155</f>
        <v>22837.474999999999</v>
      </c>
      <c r="M360" s="627">
        <f>BO!E155</f>
        <v>57637.277999999998</v>
      </c>
      <c r="N360" s="627">
        <f>BO!F155</f>
        <v>69187.107000000004</v>
      </c>
      <c r="O360" s="627">
        <f>BO!G155</f>
        <v>71765.491999999998</v>
      </c>
      <c r="P360" s="627">
        <f>BO!H155</f>
        <v>60226.188000000002</v>
      </c>
      <c r="Q360" s="627">
        <f>BO!I155</f>
        <v>46771.398000000001</v>
      </c>
      <c r="R360" s="628">
        <f>BO!J155</f>
        <v>54037.845999999998</v>
      </c>
    </row>
    <row r="361" spans="2:18">
      <c r="B361" s="595" t="s">
        <v>1041</v>
      </c>
      <c r="C361" s="626">
        <f>BR!C163</f>
        <v>1164815.814</v>
      </c>
      <c r="D361" s="627">
        <f>BR!D163</f>
        <v>1039674.3590000001</v>
      </c>
      <c r="E361" s="627">
        <f>BR!E163</f>
        <v>864066.50800000003</v>
      </c>
      <c r="F361" s="627">
        <f>BR!F163</f>
        <v>730952.70700000005</v>
      </c>
      <c r="G361" s="627">
        <f>BR!G163</f>
        <v>632891.99199999997</v>
      </c>
      <c r="H361" s="627">
        <f>BR!H163</f>
        <v>550493.27099999995</v>
      </c>
      <c r="I361" s="627">
        <f>BR!I163</f>
        <v>381147.01799999998</v>
      </c>
      <c r="J361" s="628">
        <f>BR!J163</f>
        <v>312542.41499999998</v>
      </c>
      <c r="K361" s="626">
        <f>BR!C162</f>
        <v>27775.268</v>
      </c>
      <c r="L361" s="627">
        <f>BR!D162</f>
        <v>24366.682000000001</v>
      </c>
      <c r="M361" s="627">
        <f>BR!E162</f>
        <v>23400.186000000002</v>
      </c>
      <c r="N361" s="627">
        <f>BR!F162</f>
        <v>28384.447</v>
      </c>
      <c r="O361" s="627">
        <f>BR!G162</f>
        <v>88339</v>
      </c>
      <c r="P361" s="627">
        <f>BR!H162</f>
        <v>458339</v>
      </c>
      <c r="Q361" s="627">
        <f>BR!I162</f>
        <v>1278388</v>
      </c>
      <c r="R361" s="628">
        <f>BR!J162</f>
        <v>3972034</v>
      </c>
    </row>
    <row r="362" spans="2:18">
      <c r="B362" s="595" t="s">
        <v>1042</v>
      </c>
      <c r="C362" s="626">
        <f>CL!C161</f>
        <v>167149.15100000001</v>
      </c>
      <c r="D362" s="627">
        <f>CL!D161</f>
        <v>153973.603</v>
      </c>
      <c r="E362" s="627">
        <f>CL!E161</f>
        <v>140651.859</v>
      </c>
      <c r="F362" s="627">
        <f>CL!F161</f>
        <v>122868.97</v>
      </c>
      <c r="G362" s="627">
        <f>CL!G161</f>
        <v>109234.44</v>
      </c>
      <c r="H362" s="627">
        <f>CL!H161</f>
        <v>94638.725000000006</v>
      </c>
      <c r="I362" s="627">
        <f>CL!I161</f>
        <v>51407</v>
      </c>
      <c r="J362" s="628">
        <f>CL!J161</f>
        <v>38608</v>
      </c>
      <c r="K362" s="626">
        <f>CL!C160</f>
        <v>0</v>
      </c>
      <c r="L362" s="627">
        <f>CL!D160</f>
        <v>0</v>
      </c>
      <c r="M362" s="627">
        <f>CL!E160</f>
        <v>0</v>
      </c>
      <c r="N362" s="627">
        <f>CL!F160</f>
        <v>0</v>
      </c>
      <c r="O362" s="627">
        <f>CL!G160</f>
        <v>0</v>
      </c>
      <c r="P362" s="627">
        <f>CL!H160</f>
        <v>0</v>
      </c>
      <c r="Q362" s="627">
        <f>CL!I160</f>
        <v>0</v>
      </c>
      <c r="R362" s="628">
        <f>CL!J160</f>
        <v>0</v>
      </c>
    </row>
    <row r="363" spans="2:18">
      <c r="B363" s="595" t="s">
        <v>1043</v>
      </c>
      <c r="C363" s="626">
        <f>CO!C158</f>
        <v>23853.919999999998</v>
      </c>
      <c r="D363" s="627">
        <f>CO!D158</f>
        <v>20900</v>
      </c>
      <c r="E363" s="627">
        <f>CO!E158</f>
        <v>18093.720999999998</v>
      </c>
      <c r="F363" s="627">
        <f>CO!F158</f>
        <v>13472</v>
      </c>
      <c r="G363" s="627">
        <f>CO!G158</f>
        <v>11482</v>
      </c>
      <c r="H363" s="627">
        <f>CO!H158</f>
        <v>9935</v>
      </c>
      <c r="I363" s="627">
        <f>CO!I158</f>
        <v>5369.6149999999998</v>
      </c>
      <c r="J363" s="628">
        <f>CO!J158</f>
        <v>5590.5329999999994</v>
      </c>
      <c r="K363" s="626">
        <f>CO!C157</f>
        <v>0</v>
      </c>
      <c r="L363" s="627">
        <f>CO!D157</f>
        <v>0</v>
      </c>
      <c r="M363" s="627">
        <f>CO!E157</f>
        <v>0</v>
      </c>
      <c r="N363" s="627">
        <f>CO!F157</f>
        <v>0</v>
      </c>
      <c r="O363" s="627">
        <f>CO!G157</f>
        <v>0</v>
      </c>
      <c r="P363" s="627">
        <f>CO!H157</f>
        <v>0</v>
      </c>
      <c r="Q363" s="627">
        <f>CO!I157</f>
        <v>0</v>
      </c>
      <c r="R363" s="628">
        <f>CO!J157</f>
        <v>423259.01299999998</v>
      </c>
    </row>
    <row r="364" spans="2:18">
      <c r="B364" s="595" t="s">
        <v>1044</v>
      </c>
      <c r="C364" s="626">
        <f>CR!C162</f>
        <v>13462.040579431916</v>
      </c>
      <c r="D364" s="627">
        <f>CR!D162</f>
        <v>11980.464154671012</v>
      </c>
      <c r="E364" s="627">
        <f>CR!E162</f>
        <v>11062.181</v>
      </c>
      <c r="F364" s="627">
        <f>CR!F162</f>
        <v>7309.1570000000002</v>
      </c>
      <c r="G364" s="627">
        <f>CR!G162</f>
        <v>7404.1506732709377</v>
      </c>
      <c r="H364" s="627">
        <f>CR!H162</f>
        <v>6210.6509999999998</v>
      </c>
      <c r="I364" s="627">
        <f>CR!I162</f>
        <v>4531.3360000000002</v>
      </c>
      <c r="J364" s="628">
        <f>CR!J162</f>
        <v>3653.3019999999997</v>
      </c>
      <c r="K364" s="626">
        <f>CR!C161</f>
        <v>0</v>
      </c>
      <c r="L364" s="627">
        <f>CR!D161</f>
        <v>0</v>
      </c>
      <c r="M364" s="627">
        <f>CR!E161</f>
        <v>0</v>
      </c>
      <c r="N364" s="627">
        <f>CR!F161</f>
        <v>0</v>
      </c>
      <c r="O364" s="627">
        <f>CR!G161</f>
        <v>0</v>
      </c>
      <c r="P364" s="627">
        <f>CR!H161</f>
        <v>0</v>
      </c>
      <c r="Q364" s="627">
        <f>CR!I161</f>
        <v>0</v>
      </c>
      <c r="R364" s="628">
        <f>CR!J161</f>
        <v>0</v>
      </c>
    </row>
    <row r="365" spans="2:18">
      <c r="B365" s="595" t="s">
        <v>1061</v>
      </c>
      <c r="C365" s="626">
        <f>CW!C174</f>
        <v>0</v>
      </c>
      <c r="D365" s="627">
        <v>1496.7</v>
      </c>
      <c r="E365" s="627">
        <f>CW!E174</f>
        <v>1460.7439999999999</v>
      </c>
      <c r="F365" s="627">
        <f>CW!F174</f>
        <v>1330.5709999999999</v>
      </c>
      <c r="G365" s="627">
        <f>CW!G174</f>
        <v>1256.8739999999998</v>
      </c>
      <c r="H365" s="627">
        <f>CW!H174</f>
        <v>841.53500000000008</v>
      </c>
      <c r="I365" s="627">
        <f>CW!I174</f>
        <v>446.63600000000002</v>
      </c>
      <c r="J365" s="628">
        <f>CW!J174</f>
        <v>282.69400000000002</v>
      </c>
      <c r="K365" s="626">
        <f>CW!C173</f>
        <v>0</v>
      </c>
      <c r="L365" s="627">
        <v>358.6</v>
      </c>
      <c r="M365" s="627">
        <f>CW!E173</f>
        <v>616.82000000000005</v>
      </c>
      <c r="N365" s="627">
        <f>CW!F173</f>
        <v>618.08600000000001</v>
      </c>
      <c r="O365" s="627">
        <f>CW!G173</f>
        <v>641.10900000000004</v>
      </c>
      <c r="P365" s="627">
        <f>CW!H173</f>
        <v>638.245</v>
      </c>
      <c r="Q365" s="627">
        <f>CW!I173</f>
        <v>763.09799999999996</v>
      </c>
      <c r="R365" s="628">
        <f>CW!J173</f>
        <v>697.6</v>
      </c>
    </row>
    <row r="366" spans="2:18">
      <c r="B366" s="595" t="s">
        <v>1047</v>
      </c>
      <c r="C366" s="626">
        <f>EC!C159</f>
        <v>39230.355000000003</v>
      </c>
      <c r="D366" s="627">
        <f>EC!D159</f>
        <v>35272.517</v>
      </c>
      <c r="E366" s="627">
        <f>EC!E159</f>
        <v>31428.602999999999</v>
      </c>
      <c r="F366" s="627">
        <f>EC!F159</f>
        <v>31233.322</v>
      </c>
      <c r="G366" s="627">
        <f>EC!G159</f>
        <v>30711.741999999998</v>
      </c>
      <c r="H366" s="627">
        <f>EC!H159</f>
        <v>29116.758000000002</v>
      </c>
      <c r="I366" s="627">
        <f>EC!I159</f>
        <v>18357.436000000002</v>
      </c>
      <c r="J366" s="628">
        <f>EC!J159</f>
        <v>19850.754000000001</v>
      </c>
      <c r="K366" s="626">
        <f>EC!C158</f>
        <v>0</v>
      </c>
      <c r="L366" s="627">
        <f>EC!D158</f>
        <v>0</v>
      </c>
      <c r="M366" s="627">
        <f>EC!E158</f>
        <v>0</v>
      </c>
      <c r="N366" s="627">
        <f>EC!F158</f>
        <v>0</v>
      </c>
      <c r="O366" s="627">
        <f>EC!G158</f>
        <v>0</v>
      </c>
      <c r="P366" s="627">
        <f>EC!H158</f>
        <v>0</v>
      </c>
      <c r="Q366" s="627">
        <f>EC!I158</f>
        <v>0</v>
      </c>
      <c r="R366" s="628">
        <f>EC!J158</f>
        <v>0</v>
      </c>
    </row>
    <row r="367" spans="2:18">
      <c r="B367" s="595" t="s">
        <v>1048</v>
      </c>
      <c r="C367" s="626">
        <f>SV!C160</f>
        <v>0</v>
      </c>
      <c r="D367" s="627">
        <f>SV!D160</f>
        <v>14914.743</v>
      </c>
      <c r="E367" s="627">
        <f>SV!E160</f>
        <v>16776.500666666667</v>
      </c>
      <c r="F367" s="627">
        <f>SV!F160</f>
        <v>15676.955</v>
      </c>
      <c r="G367" s="627">
        <f>SV!G160</f>
        <v>14658.415499999999</v>
      </c>
      <c r="H367" s="627">
        <f>SV!H160</f>
        <v>13957.5265</v>
      </c>
      <c r="I367" s="627">
        <f>SV!I160</f>
        <v>9258.5789999999997</v>
      </c>
      <c r="J367" s="628">
        <f>SV!J160</f>
        <v>9005.4699999999993</v>
      </c>
      <c r="K367" s="626">
        <f>SV!C159</f>
        <v>0</v>
      </c>
      <c r="L367" s="627">
        <f>SV!D159</f>
        <v>0</v>
      </c>
      <c r="M367" s="627">
        <f>SV!E159</f>
        <v>0</v>
      </c>
      <c r="N367" s="627">
        <f>SV!F159</f>
        <v>0</v>
      </c>
      <c r="O367" s="627">
        <f>SV!G159</f>
        <v>0</v>
      </c>
      <c r="P367" s="627">
        <f>SV!H159</f>
        <v>0</v>
      </c>
      <c r="Q367" s="627">
        <f>SV!I159</f>
        <v>0</v>
      </c>
      <c r="R367" s="628">
        <f>SV!J159</f>
        <v>0</v>
      </c>
    </row>
    <row r="368" spans="2:18">
      <c r="B368" s="595" t="s">
        <v>1049</v>
      </c>
      <c r="C368" s="626">
        <f>GT!C167</f>
        <v>21033.563000000002</v>
      </c>
      <c r="D368" s="627">
        <f>GT!D167</f>
        <v>20112.550999999999</v>
      </c>
      <c r="E368" s="627">
        <f>GT!E167</f>
        <v>18973.442000000003</v>
      </c>
      <c r="F368" s="627">
        <f>GT!F167</f>
        <v>17494.065999999999</v>
      </c>
      <c r="G368" s="627">
        <f>GT!G167</f>
        <v>16637.524000000001</v>
      </c>
      <c r="H368" s="627">
        <f>GT!H167</f>
        <v>15752.826999999999</v>
      </c>
      <c r="I368" s="627">
        <f>GT!I167</f>
        <v>11717.408000000001</v>
      </c>
      <c r="J368" s="628">
        <f>GT!J167</f>
        <v>11064.026</v>
      </c>
      <c r="K368" s="626">
        <f>GT!C166</f>
        <v>0</v>
      </c>
      <c r="L368" s="627">
        <f>GT!D166</f>
        <v>0</v>
      </c>
      <c r="M368" s="627">
        <f>GT!E166</f>
        <v>0</v>
      </c>
      <c r="N368" s="627">
        <f>GT!F166</f>
        <v>0</v>
      </c>
      <c r="O368" s="627">
        <f>GT!G166</f>
        <v>0</v>
      </c>
      <c r="P368" s="627">
        <f>GT!H166</f>
        <v>0</v>
      </c>
      <c r="Q368" s="627">
        <f>GT!I166</f>
        <v>0</v>
      </c>
      <c r="R368" s="628">
        <f>GT!J166</f>
        <v>0</v>
      </c>
    </row>
    <row r="369" spans="2:18">
      <c r="B369" s="595" t="s">
        <v>1050</v>
      </c>
      <c r="C369" s="626">
        <f>HN!C166</f>
        <v>4949.9649999999992</v>
      </c>
      <c r="D369" s="627">
        <f>HN!D166</f>
        <v>4681.3360000000002</v>
      </c>
      <c r="E369" s="627">
        <f>HN!E166</f>
        <v>4496.5839999999998</v>
      </c>
      <c r="F369" s="627">
        <f>HN!F166</f>
        <v>4227.1810000000005</v>
      </c>
      <c r="G369" s="627">
        <f>HN!G166</f>
        <v>3843.7249999999999</v>
      </c>
      <c r="H369" s="627">
        <f>HN!H166</f>
        <v>3628.94</v>
      </c>
      <c r="I369" s="627">
        <f>HN!I166</f>
        <v>2110.116</v>
      </c>
      <c r="J369" s="628">
        <f>HN!J166</f>
        <v>2208.4369999999999</v>
      </c>
      <c r="K369" s="626">
        <f>HN!C165</f>
        <v>0</v>
      </c>
      <c r="L369" s="627">
        <f>HN!D165</f>
        <v>0</v>
      </c>
      <c r="M369" s="627">
        <f>HN!E165</f>
        <v>0</v>
      </c>
      <c r="N369" s="627">
        <f>HN!F165</f>
        <v>0</v>
      </c>
      <c r="O369" s="627">
        <f>HN!G165</f>
        <v>0</v>
      </c>
      <c r="P369" s="627">
        <f>HN!H165</f>
        <v>0</v>
      </c>
      <c r="Q369" s="627">
        <f>HN!I165</f>
        <v>0</v>
      </c>
      <c r="R369" s="628">
        <f>HN!J165</f>
        <v>0</v>
      </c>
    </row>
    <row r="370" spans="2:18">
      <c r="B370" s="595" t="s">
        <v>1051</v>
      </c>
      <c r="C370" s="626">
        <f>JM!C162</f>
        <v>16769.407999999999</v>
      </c>
      <c r="D370" s="627">
        <f>JM!D162</f>
        <v>15003.231</v>
      </c>
      <c r="E370" s="627">
        <f>JM!E162</f>
        <v>14720.453</v>
      </c>
      <c r="F370" s="627">
        <f>JM!F162</f>
        <v>13811.218000000001</v>
      </c>
      <c r="G370" s="627">
        <f>JM!G162</f>
        <v>13258.93</v>
      </c>
      <c r="H370" s="627">
        <f>JM!H162</f>
        <v>12484.067999999999</v>
      </c>
      <c r="I370" s="627">
        <f>JM!I162</f>
        <v>9035.8960000000006</v>
      </c>
      <c r="J370" s="628">
        <f>JM!J162</f>
        <v>7019.44</v>
      </c>
      <c r="K370" s="626">
        <f>JM!C161</f>
        <v>0</v>
      </c>
      <c r="L370" s="627">
        <f>JM!D161</f>
        <v>0</v>
      </c>
      <c r="M370" s="627">
        <f>JM!E161</f>
        <v>0</v>
      </c>
      <c r="N370" s="627">
        <f>JM!F161</f>
        <v>0</v>
      </c>
      <c r="O370" s="627">
        <f>JM!G161</f>
        <v>0</v>
      </c>
      <c r="P370" s="627">
        <f>JM!H161</f>
        <v>0</v>
      </c>
      <c r="Q370" s="627">
        <f>JM!I161</f>
        <v>0</v>
      </c>
      <c r="R370" s="628">
        <f>JM!J161</f>
        <v>0</v>
      </c>
    </row>
    <row r="371" spans="2:18">
      <c r="B371" s="595" t="s">
        <v>1052</v>
      </c>
      <c r="C371" s="626">
        <f>RD!C177</f>
        <v>25368.782999999999</v>
      </c>
      <c r="D371" s="627">
        <f>RD!D177</f>
        <v>25714.294999999998</v>
      </c>
      <c r="E371" s="627">
        <f>RD!E177</f>
        <v>25366.094000000001</v>
      </c>
      <c r="F371" s="627">
        <f>RD!F177</f>
        <v>24273.90984</v>
      </c>
      <c r="G371" s="627">
        <f>RD!G177</f>
        <v>23298.866000000002</v>
      </c>
      <c r="H371" s="627">
        <f>RD!H177</f>
        <v>21601.91</v>
      </c>
      <c r="I371" s="627">
        <f>RD!I177</f>
        <v>14506.24</v>
      </c>
      <c r="J371" s="628">
        <f>RD!J177</f>
        <v>14991.880999999999</v>
      </c>
      <c r="K371" s="626">
        <f>RD!C176</f>
        <v>0</v>
      </c>
      <c r="L371" s="627">
        <f>RD!D176</f>
        <v>0</v>
      </c>
      <c r="M371" s="627">
        <f>RD!E176</f>
        <v>0</v>
      </c>
      <c r="N371" s="627">
        <f>RD!F176</f>
        <v>0</v>
      </c>
      <c r="O371" s="627">
        <f>RD!G176</f>
        <v>0</v>
      </c>
      <c r="P371" s="627">
        <f>RD!H176</f>
        <v>0</v>
      </c>
      <c r="Q371" s="627">
        <f>RD!I176</f>
        <v>0</v>
      </c>
      <c r="R371" s="628">
        <f>RD!J176</f>
        <v>0</v>
      </c>
    </row>
    <row r="372" spans="2:18">
      <c r="B372" s="595" t="s">
        <v>1053</v>
      </c>
      <c r="C372" s="626">
        <f>PY!C160</f>
        <v>19386.415999999997</v>
      </c>
      <c r="D372" s="627">
        <f>PY!D160</f>
        <v>22228.612000000001</v>
      </c>
      <c r="E372" s="627">
        <f>PY!E160</f>
        <v>21104.792000000001</v>
      </c>
      <c r="F372" s="627">
        <f>PY!F160</f>
        <v>20765.522000000001</v>
      </c>
      <c r="G372" s="627">
        <f>PY!G160</f>
        <v>20083.724000000002</v>
      </c>
      <c r="H372" s="627">
        <f>PY!H160</f>
        <v>18491.675999999999</v>
      </c>
      <c r="I372" s="627">
        <f>PY!I160</f>
        <v>13873.169</v>
      </c>
      <c r="J372" s="628">
        <f>PY!J160</f>
        <v>13587.636</v>
      </c>
      <c r="K372" s="626">
        <f>PY!C159</f>
        <v>0</v>
      </c>
      <c r="L372" s="627">
        <f>PY!D159</f>
        <v>281.86799999999999</v>
      </c>
      <c r="M372" s="627">
        <f>PY!E159</f>
        <v>540.553</v>
      </c>
      <c r="N372" s="627">
        <f>PY!F159</f>
        <v>2205.6039999999998</v>
      </c>
      <c r="O372" s="627">
        <f>PY!G159</f>
        <v>3066.1880000000001</v>
      </c>
      <c r="P372" s="627">
        <f>PY!H159</f>
        <v>6363.4189999999999</v>
      </c>
      <c r="Q372" s="627">
        <f>PY!I159</f>
        <v>25093.362000000001</v>
      </c>
      <c r="R372" s="628">
        <f>PY!J159</f>
        <v>47772.542000000001</v>
      </c>
    </row>
    <row r="373" spans="2:18">
      <c r="B373" s="595" t="s">
        <v>1054</v>
      </c>
      <c r="C373" s="626">
        <f>PE!C164</f>
        <v>34043.728000000003</v>
      </c>
      <c r="D373" s="627">
        <f>PE!D164</f>
        <v>30712.535000000003</v>
      </c>
      <c r="E373" s="627">
        <f>PE!E164</f>
        <v>27983.548000000003</v>
      </c>
      <c r="F373" s="627">
        <f>PE!F164</f>
        <v>24541.032999999999</v>
      </c>
      <c r="G373" s="627">
        <f>PE!G164</f>
        <v>22275.134000000002</v>
      </c>
      <c r="H373" s="627">
        <f>PE!H164</f>
        <v>18923.025000000001</v>
      </c>
      <c r="I373" s="627">
        <f>PE!I164</f>
        <v>8469.8119999999999</v>
      </c>
      <c r="J373" s="628">
        <f>PE!J164</f>
        <v>6520.3449999999984</v>
      </c>
      <c r="K373" s="626">
        <f>PE!C163</f>
        <v>0</v>
      </c>
      <c r="L373" s="627">
        <f>PE!D163</f>
        <v>0</v>
      </c>
      <c r="M373" s="627">
        <f>PE!E163</f>
        <v>34.319000000000003</v>
      </c>
      <c r="N373" s="627">
        <f>PE!F163</f>
        <v>243.30700000000002</v>
      </c>
      <c r="O373" s="627">
        <f>PE!G163</f>
        <v>557.09299999999996</v>
      </c>
      <c r="P373" s="627">
        <f>PE!H163</f>
        <v>710.80799999999999</v>
      </c>
      <c r="Q373" s="627">
        <f>PE!I163</f>
        <v>768.2349999999999</v>
      </c>
      <c r="R373" s="628">
        <f>PE!J163</f>
        <v>710.71199999999988</v>
      </c>
    </row>
    <row r="374" spans="2:18">
      <c r="B374" s="604" t="s">
        <v>1055</v>
      </c>
      <c r="C374" s="629">
        <f>TT!C168</f>
        <v>14722.382</v>
      </c>
      <c r="D374" s="630">
        <f>TT!D168</f>
        <v>14444.267</v>
      </c>
      <c r="E374" s="630">
        <f>TT!E168</f>
        <v>13601.422</v>
      </c>
      <c r="F374" s="630">
        <f>TT!F168</f>
        <v>12952.458000000001</v>
      </c>
      <c r="G374" s="630">
        <f>TT!G168</f>
        <v>12059.367</v>
      </c>
      <c r="H374" s="630">
        <f>TT!H168</f>
        <v>11386.897000000001</v>
      </c>
      <c r="I374" s="630">
        <f>TT!I168</f>
        <v>8333.6110000000008</v>
      </c>
      <c r="J374" s="631">
        <f>TT!J168</f>
        <v>7212.13</v>
      </c>
      <c r="K374" s="629">
        <f>TT!C167</f>
        <v>3944.3</v>
      </c>
      <c r="L374" s="630">
        <f>TT!D167</f>
        <v>4309.5069999999996</v>
      </c>
      <c r="M374" s="630">
        <f>TT!E167</f>
        <v>4651.0429999999997</v>
      </c>
      <c r="N374" s="630">
        <f>TT!F167</f>
        <v>4632.9179999999997</v>
      </c>
      <c r="O374" s="630">
        <f>TT!G167</f>
        <v>5174.2650000000003</v>
      </c>
      <c r="P374" s="630">
        <f>TT!H167</f>
        <v>6081.6350000000002</v>
      </c>
      <c r="Q374" s="630">
        <f>TT!I167</f>
        <v>5293.0929999999998</v>
      </c>
      <c r="R374" s="631">
        <f>TT!J167</f>
        <v>5715.7440000000006</v>
      </c>
    </row>
    <row r="375" spans="2:18">
      <c r="B375" s="57"/>
      <c r="C375" s="582"/>
      <c r="D375" s="582"/>
      <c r="E375" s="582"/>
      <c r="F375" s="582"/>
      <c r="G375" s="582"/>
      <c r="H375" s="582"/>
      <c r="I375" s="582"/>
      <c r="J375" s="582"/>
      <c r="K375" s="582"/>
      <c r="L375" s="582"/>
      <c r="M375" s="582"/>
      <c r="N375" s="582"/>
      <c r="O375" s="582"/>
      <c r="P375" s="582"/>
      <c r="Q375" s="582"/>
    </row>
    <row r="376" spans="2:18">
      <c r="B376" s="2157" t="s">
        <v>1101</v>
      </c>
      <c r="C376" s="2157"/>
      <c r="D376" s="2157"/>
      <c r="E376" s="2157"/>
      <c r="F376" s="2157"/>
      <c r="G376" s="2157"/>
      <c r="H376" s="2157"/>
      <c r="I376" s="2157"/>
      <c r="J376" s="2157"/>
      <c r="K376" s="2157"/>
      <c r="L376" s="2157"/>
      <c r="M376" s="2157"/>
      <c r="N376" s="2157"/>
      <c r="O376" s="2157"/>
      <c r="P376" s="2157"/>
      <c r="Q376" s="2157"/>
      <c r="R376" s="2157"/>
    </row>
    <row r="377" spans="2:18">
      <c r="B377" s="619"/>
      <c r="C377" s="621"/>
      <c r="D377" s="621"/>
      <c r="E377" s="621"/>
      <c r="F377" s="621"/>
      <c r="G377" s="621"/>
      <c r="H377" s="621"/>
      <c r="I377" s="621"/>
      <c r="J377" s="621"/>
      <c r="K377" s="622"/>
      <c r="L377" s="622"/>
      <c r="M377" s="622"/>
      <c r="N377" s="622"/>
      <c r="O377" s="622"/>
      <c r="P377" s="622"/>
      <c r="Q377" s="622"/>
    </row>
    <row r="378" spans="2:18">
      <c r="B378" s="583"/>
      <c r="C378" s="2161" t="s">
        <v>1104</v>
      </c>
      <c r="D378" s="2162"/>
      <c r="E378" s="2162"/>
      <c r="F378" s="2162"/>
      <c r="G378" s="2162"/>
      <c r="H378" s="2162"/>
      <c r="I378" s="2162"/>
      <c r="J378" s="2163"/>
      <c r="K378" s="2196" t="s">
        <v>1105</v>
      </c>
      <c r="L378" s="2197"/>
      <c r="M378" s="2197"/>
      <c r="N378" s="2197"/>
      <c r="O378" s="2197"/>
      <c r="P378" s="2197"/>
      <c r="Q378" s="2197"/>
      <c r="R378" s="2198"/>
    </row>
    <row r="379" spans="2:18">
      <c r="B379" s="57"/>
      <c r="C379" s="585">
        <v>2014</v>
      </c>
      <c r="D379" s="586">
        <v>2015</v>
      </c>
      <c r="E379" s="586">
        <v>2016</v>
      </c>
      <c r="F379" s="586">
        <v>2017</v>
      </c>
      <c r="G379" s="586">
        <v>2018</v>
      </c>
      <c r="H379" s="586">
        <v>2019</v>
      </c>
      <c r="I379" s="586">
        <v>2020</v>
      </c>
      <c r="J379" s="586">
        <v>2021</v>
      </c>
      <c r="K379" s="587">
        <v>2014</v>
      </c>
      <c r="L379" s="588">
        <v>2015</v>
      </c>
      <c r="M379" s="588">
        <v>2016</v>
      </c>
      <c r="N379" s="588">
        <v>2017</v>
      </c>
      <c r="O379" s="588">
        <v>2018</v>
      </c>
      <c r="P379" s="588">
        <v>2019</v>
      </c>
      <c r="Q379" s="588">
        <v>2020</v>
      </c>
      <c r="R379" s="848">
        <v>2021</v>
      </c>
    </row>
    <row r="380" spans="2:18">
      <c r="B380" s="589" t="s">
        <v>1038</v>
      </c>
      <c r="C380" s="623">
        <f>ARG!C164</f>
        <v>1127927.6839999999</v>
      </c>
      <c r="D380" s="624">
        <f>ARG!D164</f>
        <v>1269346.808</v>
      </c>
      <c r="E380" s="624">
        <f>ARG!E164</f>
        <v>1502885.149</v>
      </c>
      <c r="F380" s="624">
        <f>ARG!F164</f>
        <v>1622460.426</v>
      </c>
      <c r="G380" s="624">
        <f>ARG!G164</f>
        <v>1816183.6310000001</v>
      </c>
      <c r="H380" s="624">
        <f>ARG!H164</f>
        <v>2098279.4569999999</v>
      </c>
      <c r="I380" s="624">
        <f>ARG!I164</f>
        <v>2089810.5720000002</v>
      </c>
      <c r="J380" s="624">
        <f>ARG!J164</f>
        <v>2716746.125</v>
      </c>
      <c r="K380" s="623">
        <f>ARG!C165</f>
        <v>515806.52500000002</v>
      </c>
      <c r="L380" s="624">
        <f>ARG!D165</f>
        <v>587263.89099999995</v>
      </c>
      <c r="M380" s="624">
        <f>ARG!E165</f>
        <v>682858.46600000001</v>
      </c>
      <c r="N380" s="624">
        <f>ARG!F165</f>
        <v>749422.68599999999</v>
      </c>
      <c r="O380" s="624">
        <f>ARG!G165</f>
        <v>866194.69299999997</v>
      </c>
      <c r="P380" s="624">
        <f>ARG!H165</f>
        <v>1054729.2960000001</v>
      </c>
      <c r="Q380" s="624">
        <f>ARG!I165</f>
        <v>1230031.79</v>
      </c>
      <c r="R380" s="625">
        <f>ARG!J165</f>
        <v>1705149.334</v>
      </c>
    </row>
    <row r="381" spans="2:18">
      <c r="B381" s="595" t="s">
        <v>1039</v>
      </c>
      <c r="C381" s="626">
        <f>BA!C153</f>
        <v>6259.34</v>
      </c>
      <c r="D381" s="627">
        <f>BA!D153</f>
        <v>9717.4260000000013</v>
      </c>
      <c r="E381" s="627">
        <f>BA!E153</f>
        <v>12226.932999999999</v>
      </c>
      <c r="F381" s="627">
        <f>BA!F153</f>
        <v>14513.338</v>
      </c>
      <c r="G381" s="627">
        <f>BA!G153</f>
        <v>17183.496999999999</v>
      </c>
      <c r="H381" s="627">
        <f>BA!H153</f>
        <v>18306.847999999998</v>
      </c>
      <c r="I381" s="627">
        <f>BA!I153</f>
        <v>14871.073</v>
      </c>
      <c r="J381" s="627">
        <f>BA!J153</f>
        <v>21122.838</v>
      </c>
      <c r="K381" s="626">
        <f>BA!C154</f>
        <v>5348.1980000000003</v>
      </c>
      <c r="L381" s="627">
        <f>BA!D154</f>
        <v>8319.6830000000009</v>
      </c>
      <c r="M381" s="627">
        <f>BA!E154</f>
        <v>9556.4079999999994</v>
      </c>
      <c r="N381" s="627">
        <f>BA!F154</f>
        <v>11358.813</v>
      </c>
      <c r="O381" s="627">
        <f>BA!G154</f>
        <v>14005.29</v>
      </c>
      <c r="P381" s="627">
        <f>BA!H154</f>
        <v>14998.677</v>
      </c>
      <c r="Q381" s="627">
        <f>BA!I154</f>
        <v>12437.2</v>
      </c>
      <c r="R381" s="628">
        <f>BA!J154</f>
        <v>17603.004000000001</v>
      </c>
    </row>
    <row r="382" spans="2:18">
      <c r="B382" s="595" t="s">
        <v>1040</v>
      </c>
      <c r="C382" s="626">
        <f>BO!C151</f>
        <v>9281.4339999999993</v>
      </c>
      <c r="D382" s="627">
        <f>BO!D151</f>
        <v>10732.32361820076</v>
      </c>
      <c r="E382" s="627">
        <f>BO!E151</f>
        <v>12157.577000000001</v>
      </c>
      <c r="F382" s="627">
        <f>BO!F151</f>
        <v>16239.764999999999</v>
      </c>
      <c r="G382" s="627">
        <f>BO!G151</f>
        <v>22437.49121</v>
      </c>
      <c r="H382" s="627">
        <f>BO!H151</f>
        <v>32364.112999999998</v>
      </c>
      <c r="I382" s="627">
        <f>BO!I151</f>
        <v>32132.206999999999</v>
      </c>
      <c r="J382" s="627">
        <f>BO!J151</f>
        <v>49594.254000000001</v>
      </c>
      <c r="K382" s="626">
        <f>BO!C152</f>
        <v>5293.2979999999998</v>
      </c>
      <c r="L382" s="627">
        <f>BO!D152</f>
        <v>6402.11</v>
      </c>
      <c r="M382" s="627">
        <f>BO!E152</f>
        <v>7357.79</v>
      </c>
      <c r="N382" s="627">
        <f>BO!F152</f>
        <v>10401.491</v>
      </c>
      <c r="O382" s="627">
        <f>BO!G152</f>
        <v>14611.831</v>
      </c>
      <c r="P382" s="627">
        <f>BO!H152</f>
        <v>20700.297999999999</v>
      </c>
      <c r="Q382" s="627">
        <f>BO!I152</f>
        <v>23785.038</v>
      </c>
      <c r="R382" s="628">
        <f>BO!J152</f>
        <v>37059.404999999999</v>
      </c>
    </row>
    <row r="383" spans="2:18">
      <c r="B383" s="595" t="s">
        <v>1041</v>
      </c>
      <c r="C383" s="626">
        <f>BR!C158</f>
        <v>10986500.208999999</v>
      </c>
      <c r="D383" s="627">
        <f>BR!D158</f>
        <v>11823083.822000001</v>
      </c>
      <c r="E383" s="627">
        <f>BR!E158</f>
        <v>12810326.952</v>
      </c>
      <c r="F383" s="627">
        <f>BR!F158</f>
        <v>14444438.873</v>
      </c>
      <c r="G383" s="627">
        <f>BR!G158</f>
        <v>16583882.432999998</v>
      </c>
      <c r="H383" s="627">
        <f>BR!H158</f>
        <v>20540997.041999999</v>
      </c>
      <c r="I383" s="627">
        <f>BR!I158</f>
        <v>20980744</v>
      </c>
      <c r="J383" s="627">
        <f>BR!J158</f>
        <v>26217897</v>
      </c>
      <c r="K383" s="626">
        <f>BR!C159</f>
        <v>5631910.5379999997</v>
      </c>
      <c r="L383" s="627">
        <f>BR!D159</f>
        <v>6211147.7659999998</v>
      </c>
      <c r="M383" s="627">
        <f>BR!E159</f>
        <v>6838684.318</v>
      </c>
      <c r="N383" s="627">
        <f>BR!F159</f>
        <v>7935827.9819999998</v>
      </c>
      <c r="O383" s="627">
        <f>BR!G159</f>
        <v>9032572.4609999992</v>
      </c>
      <c r="P383" s="627">
        <f>BR!H159</f>
        <v>10881346.041999999</v>
      </c>
      <c r="Q383" s="627">
        <f>BR!I159</f>
        <v>11470916</v>
      </c>
      <c r="R383" s="628">
        <f>BR!J159</f>
        <v>13518389</v>
      </c>
    </row>
    <row r="384" spans="2:18">
      <c r="B384" s="595" t="s">
        <v>1042</v>
      </c>
      <c r="C384" s="626">
        <f>CL!C156</f>
        <v>680148.10499999998</v>
      </c>
      <c r="D384" s="627">
        <f>CL!D156</f>
        <v>859334.08700000006</v>
      </c>
      <c r="E384" s="627">
        <f>CL!E156</f>
        <v>1040623.9210000001</v>
      </c>
      <c r="F384" s="627">
        <f>CL!F156</f>
        <v>1252373.8459999999</v>
      </c>
      <c r="G384" s="627">
        <f>CL!G156</f>
        <v>1542657.6490000002</v>
      </c>
      <c r="H384" s="627">
        <f>CL!H156</f>
        <v>1871566.969</v>
      </c>
      <c r="I384" s="627">
        <f>CL!I156</f>
        <v>2007385.5190000001</v>
      </c>
      <c r="J384" s="627">
        <f>CL!J156</f>
        <v>2986418.42</v>
      </c>
      <c r="K384" s="626">
        <f>CL!C157</f>
        <v>485197.26199999999</v>
      </c>
      <c r="L384" s="627">
        <f>CL!D157</f>
        <v>615469.26</v>
      </c>
      <c r="M384" s="627">
        <f>CL!E157</f>
        <v>739686.57900000003</v>
      </c>
      <c r="N384" s="627">
        <f>CL!F157</f>
        <v>898598.07700000005</v>
      </c>
      <c r="O384" s="627">
        <f>CL!G157</f>
        <v>1136512.4750000001</v>
      </c>
      <c r="P384" s="627">
        <f>CL!H157</f>
        <v>1423151.1610000001</v>
      </c>
      <c r="Q384" s="627">
        <f>CL!I157</f>
        <v>1484698.57</v>
      </c>
      <c r="R384" s="628">
        <f>CL!J157</f>
        <v>2381428.9700000002</v>
      </c>
    </row>
    <row r="385" spans="2:18">
      <c r="B385" s="595" t="s">
        <v>1043</v>
      </c>
      <c r="C385" s="626">
        <f>CO!C153</f>
        <v>396605.98800000001</v>
      </c>
      <c r="D385" s="627">
        <f>CO!D153</f>
        <v>438065.68599999999</v>
      </c>
      <c r="E385" s="627">
        <f>CO!E153</f>
        <v>507566.84599999996</v>
      </c>
      <c r="F385" s="627">
        <f>CO!F153</f>
        <v>568225.71500000008</v>
      </c>
      <c r="G385" s="627">
        <f>CO!G153</f>
        <v>650419.05000000005</v>
      </c>
      <c r="H385" s="627">
        <f>CO!H153</f>
        <v>773811.70299999998</v>
      </c>
      <c r="I385" s="627">
        <f>CO!I153</f>
        <v>713203.277</v>
      </c>
      <c r="J385" s="627">
        <f>CO!J153</f>
        <v>971281.09600000002</v>
      </c>
      <c r="K385" s="626">
        <f>CO!C154</f>
        <v>215892.08799999999</v>
      </c>
      <c r="L385" s="627">
        <f>CO!D154</f>
        <v>241108.77900000001</v>
      </c>
      <c r="M385" s="627">
        <f>CO!E154</f>
        <v>272156.21999999997</v>
      </c>
      <c r="N385" s="627">
        <f>CO!F154</f>
        <v>306560.39500000002</v>
      </c>
      <c r="O385" s="627">
        <f>CO!G154</f>
        <v>354667.63699999999</v>
      </c>
      <c r="P385" s="627">
        <f>CO!H154</f>
        <v>432590.84</v>
      </c>
      <c r="Q385" s="627">
        <f>CO!I154</f>
        <v>439295.83299999998</v>
      </c>
      <c r="R385" s="628">
        <f>CO!J154</f>
        <v>640526.9</v>
      </c>
    </row>
    <row r="386" spans="2:18">
      <c r="B386" s="595" t="s">
        <v>1044</v>
      </c>
      <c r="C386" s="626">
        <f>CR!C157</f>
        <v>253361.64500000002</v>
      </c>
      <c r="D386" s="627">
        <f>CR!D157</f>
        <v>298166.21911821258</v>
      </c>
      <c r="E386" s="627">
        <f>CR!E157</f>
        <v>351290.18800000002</v>
      </c>
      <c r="F386" s="627">
        <f>CR!F157</f>
        <v>377188.43900000001</v>
      </c>
      <c r="G386" s="627">
        <f>CR!G157</f>
        <v>403697.08999999997</v>
      </c>
      <c r="H386" s="627">
        <f>CR!H157</f>
        <v>517319.147</v>
      </c>
      <c r="I386" s="627">
        <f>CR!I157</f>
        <v>455355.83700000006</v>
      </c>
      <c r="J386" s="627">
        <f>CR!J157</f>
        <v>609939.98900000006</v>
      </c>
      <c r="K386" s="626">
        <f>CR!C158</f>
        <v>163877.20000000001</v>
      </c>
      <c r="L386" s="627">
        <f>CR!D158</f>
        <v>198912.6</v>
      </c>
      <c r="M386" s="627">
        <f>CR!E158</f>
        <v>243800.1</v>
      </c>
      <c r="N386" s="627">
        <f>CR!F158</f>
        <v>244643.9</v>
      </c>
      <c r="O386" s="627">
        <f>CR!G158</f>
        <v>261929.30900000001</v>
      </c>
      <c r="P386" s="627">
        <f>CR!H158</f>
        <v>340703.11599999998</v>
      </c>
      <c r="Q386" s="627">
        <f>CR!I158</f>
        <v>325568.53000000003</v>
      </c>
      <c r="R386" s="628">
        <f>CR!J158</f>
        <v>453706.72200000001</v>
      </c>
    </row>
    <row r="387" spans="2:18">
      <c r="B387" s="595" t="s">
        <v>1061</v>
      </c>
      <c r="C387" s="626">
        <f>CW!C169</f>
        <v>0</v>
      </c>
      <c r="D387" s="627">
        <v>13425.9</v>
      </c>
      <c r="E387" s="627">
        <f>CW!E169</f>
        <v>14516.785</v>
      </c>
      <c r="F387" s="627">
        <f>CW!F169</f>
        <v>17874.085999999999</v>
      </c>
      <c r="G387" s="627">
        <f>CW!G169</f>
        <v>19237.647000000001</v>
      </c>
      <c r="H387" s="627">
        <f>CW!H169</f>
        <v>22657.629000000001</v>
      </c>
      <c r="I387" s="627">
        <f>CW!I169</f>
        <v>20731.761999999999</v>
      </c>
      <c r="J387" s="627">
        <f>CW!J169</f>
        <v>23041.814999999999</v>
      </c>
      <c r="K387" s="626">
        <f>CW!C170</f>
        <v>0</v>
      </c>
      <c r="L387" s="627">
        <v>11622.9</v>
      </c>
      <c r="M387" s="627">
        <f>CW!E170</f>
        <v>12256.928</v>
      </c>
      <c r="N387" s="627">
        <f>CW!F170</f>
        <v>15271.621999999999</v>
      </c>
      <c r="O387" s="627">
        <f>CW!G170</f>
        <v>16339.272000000001</v>
      </c>
      <c r="P387" s="627">
        <f>CW!H170</f>
        <v>19067.477999999999</v>
      </c>
      <c r="Q387" s="627">
        <f>CW!I170</f>
        <v>18839.335999999999</v>
      </c>
      <c r="R387" s="628">
        <f>CW!J170</f>
        <v>19692.284</v>
      </c>
    </row>
    <row r="388" spans="2:18">
      <c r="B388" s="595" t="s">
        <v>1047</v>
      </c>
      <c r="C388" s="626">
        <f>EC!C154</f>
        <v>0</v>
      </c>
      <c r="D388" s="627">
        <f>EC!D154</f>
        <v>155978.908</v>
      </c>
      <c r="E388" s="627">
        <f>EC!E154</f>
        <v>166429.31100000016</v>
      </c>
      <c r="F388" s="627">
        <f>EC!F154</f>
        <v>195173.008</v>
      </c>
      <c r="G388" s="627">
        <f>EC!G154</f>
        <v>235005.53200000001</v>
      </c>
      <c r="H388" s="627">
        <f>EC!H154</f>
        <v>265765.223</v>
      </c>
      <c r="I388" s="627">
        <f>EC!I154</f>
        <v>228076.97400000002</v>
      </c>
      <c r="J388" s="627">
        <f>EC!J154</f>
        <v>273900.71499999997</v>
      </c>
      <c r="K388" s="626">
        <f>EC!C155</f>
        <v>0</v>
      </c>
      <c r="L388" s="627">
        <f>EC!D155</f>
        <v>23701.365000000002</v>
      </c>
      <c r="M388" s="627">
        <f>EC!E155</f>
        <v>30334.004000000001</v>
      </c>
      <c r="N388" s="627">
        <f>EC!F155</f>
        <v>37474.750999999997</v>
      </c>
      <c r="O388" s="627">
        <f>EC!G155</f>
        <v>46936.235000000001</v>
      </c>
      <c r="P388" s="627">
        <f>EC!H155</f>
        <v>59801.622000000003</v>
      </c>
      <c r="Q388" s="627">
        <f>EC!I155</f>
        <v>61115.125999999997</v>
      </c>
      <c r="R388" s="628">
        <f>EC!J155</f>
        <v>123000</v>
      </c>
    </row>
    <row r="389" spans="2:18">
      <c r="B389" s="595" t="s">
        <v>1048</v>
      </c>
      <c r="C389" s="626">
        <f>SV!C155</f>
        <v>0</v>
      </c>
      <c r="D389" s="627">
        <f>SV!D155</f>
        <v>39921.607000000004</v>
      </c>
      <c r="E389" s="627">
        <f>SV!E155</f>
        <v>51617.36</v>
      </c>
      <c r="F389" s="627">
        <f>SV!F155</f>
        <v>57408.240000000005</v>
      </c>
      <c r="G389" s="627">
        <f>SV!G155</f>
        <v>62223.33</v>
      </c>
      <c r="H389" s="627">
        <f>SV!H155</f>
        <v>70907.350000000006</v>
      </c>
      <c r="I389" s="627">
        <f>SV!I155</f>
        <v>65176.679999999993</v>
      </c>
      <c r="J389" s="627">
        <f>SV!J155</f>
        <v>69151.06</v>
      </c>
      <c r="K389" s="626">
        <f>SV!C156</f>
        <v>0</v>
      </c>
      <c r="L389" s="627">
        <f>SV!D156</f>
        <v>18174.897000000001</v>
      </c>
      <c r="M389" s="627">
        <f>SV!E156</f>
        <v>24240.68</v>
      </c>
      <c r="N389" s="627">
        <f>SV!F156</f>
        <v>26310.18</v>
      </c>
      <c r="O389" s="627">
        <f>SV!G156</f>
        <v>28566.6</v>
      </c>
      <c r="P389" s="627">
        <f>SV!H156</f>
        <v>33465.79</v>
      </c>
      <c r="Q389" s="627">
        <f>SV!I156</f>
        <v>33769.629999999997</v>
      </c>
      <c r="R389" s="628">
        <f>SV!J156</f>
        <v>36114.720000000001</v>
      </c>
    </row>
    <row r="390" spans="2:18">
      <c r="B390" s="595" t="s">
        <v>1049</v>
      </c>
      <c r="C390" s="626">
        <f>GT!C162</f>
        <v>97.385999999999996</v>
      </c>
      <c r="D390" s="627">
        <f>GT!D162</f>
        <v>113.977</v>
      </c>
      <c r="E390" s="627">
        <f>GT!E162</f>
        <v>141.554</v>
      </c>
      <c r="F390" s="627">
        <f>GT!F162</f>
        <v>182.31899999999999</v>
      </c>
      <c r="G390" s="627">
        <f>GT!G162</f>
        <v>219.19499999999999</v>
      </c>
      <c r="H390" s="627">
        <f>GT!H162</f>
        <v>254.625</v>
      </c>
      <c r="I390" s="627">
        <f>GT!I162</f>
        <v>231.46700000000001</v>
      </c>
      <c r="J390" s="627">
        <f>GT!J162</f>
        <v>169.25399999999999</v>
      </c>
      <c r="K390" s="626">
        <f>GT!C163</f>
        <v>95.542000000000002</v>
      </c>
      <c r="L390" s="627">
        <f>GT!D163</f>
        <v>112.524</v>
      </c>
      <c r="M390" s="627">
        <f>GT!E163</f>
        <v>140.09800000000001</v>
      </c>
      <c r="N390" s="627">
        <f>GT!F163</f>
        <v>180.06899999999999</v>
      </c>
      <c r="O390" s="627">
        <f>GT!G163</f>
        <v>216.989</v>
      </c>
      <c r="P390" s="627">
        <f>GT!H163</f>
        <v>251.65299999999999</v>
      </c>
      <c r="Q390" s="627">
        <f>GT!I163</f>
        <v>227.21700000000001</v>
      </c>
      <c r="R390" s="628">
        <f>GT!J163</f>
        <v>166.60599999999999</v>
      </c>
    </row>
    <row r="391" spans="2:18">
      <c r="B391" s="595" t="s">
        <v>1050</v>
      </c>
      <c r="C391" s="626">
        <f>HN!C161</f>
        <v>0</v>
      </c>
      <c r="D391" s="627">
        <f>HN!D161</f>
        <v>0</v>
      </c>
      <c r="E391" s="627">
        <f>HN!E161</f>
        <v>0</v>
      </c>
      <c r="F391" s="627">
        <f>HN!F161</f>
        <v>0</v>
      </c>
      <c r="G391" s="627">
        <f>HN!G161</f>
        <v>0</v>
      </c>
      <c r="H391" s="627">
        <f>HN!H161</f>
        <v>0</v>
      </c>
      <c r="I391" s="627">
        <f>HN!I161</f>
        <v>0</v>
      </c>
      <c r="J391" s="627">
        <f>HN!J161</f>
        <v>0</v>
      </c>
      <c r="K391" s="626">
        <f>HN!C162</f>
        <v>0</v>
      </c>
      <c r="L391" s="627">
        <f>HN!D162</f>
        <v>0</v>
      </c>
      <c r="M391" s="627">
        <f>HN!E162</f>
        <v>0</v>
      </c>
      <c r="N391" s="627">
        <f>HN!F162</f>
        <v>0</v>
      </c>
      <c r="O391" s="627">
        <f>HN!G162</f>
        <v>0</v>
      </c>
      <c r="P391" s="627">
        <f>HN!H162</f>
        <v>0</v>
      </c>
      <c r="Q391" s="627">
        <f>HN!I162</f>
        <v>0</v>
      </c>
      <c r="R391" s="628">
        <f>HN!J162</f>
        <v>0</v>
      </c>
    </row>
    <row r="392" spans="2:18">
      <c r="B392" s="595" t="s">
        <v>1051</v>
      </c>
      <c r="C392" s="626">
        <f>JM!C157</f>
        <v>80421.794999999998</v>
      </c>
      <c r="D392" s="627">
        <f>JM!D157</f>
        <v>86051.51</v>
      </c>
      <c r="E392" s="627">
        <f>JM!E157</f>
        <v>96995.377999999997</v>
      </c>
      <c r="F392" s="627">
        <f>JM!F157</f>
        <v>102695.387</v>
      </c>
      <c r="G392" s="627">
        <f>JM!G157</f>
        <v>115792.141</v>
      </c>
      <c r="H392" s="627">
        <f>JM!H157</f>
        <v>120674.79300000001</v>
      </c>
      <c r="I392" s="627">
        <f>JM!I157</f>
        <v>108893.242</v>
      </c>
      <c r="J392" s="627">
        <f>JM!J157</f>
        <v>110979.77099999999</v>
      </c>
      <c r="K392" s="626">
        <f>JM!C158</f>
        <v>63463.648000000001</v>
      </c>
      <c r="L392" s="627">
        <f>JM!D158</f>
        <v>71374.775999999998</v>
      </c>
      <c r="M392" s="627">
        <f>JM!E158</f>
        <v>81171.076000000001</v>
      </c>
      <c r="N392" s="627">
        <f>JM!F158</f>
        <v>85193.039000000004</v>
      </c>
      <c r="O392" s="627">
        <f>JM!G158</f>
        <v>95557.547999999995</v>
      </c>
      <c r="P392" s="627">
        <f>JM!H158</f>
        <v>99170.976999999999</v>
      </c>
      <c r="Q392" s="627">
        <f>JM!I158</f>
        <v>88433.241999999998</v>
      </c>
      <c r="R392" s="628">
        <f>JM!J158</f>
        <v>83091.005999999994</v>
      </c>
    </row>
    <row r="393" spans="2:18">
      <c r="B393" s="595" t="s">
        <v>1052</v>
      </c>
      <c r="C393" s="626">
        <f>RD!C171</f>
        <v>113215.942</v>
      </c>
      <c r="D393" s="627">
        <f>RD!D171</f>
        <v>137403.34329000002</v>
      </c>
      <c r="E393" s="627">
        <f>RD!E171</f>
        <v>158436.06580151807</v>
      </c>
      <c r="F393" s="627">
        <f>RD!F171</f>
        <v>185506.96016268339</v>
      </c>
      <c r="G393" s="627">
        <f>RD!G171</f>
        <v>204394.5103625</v>
      </c>
      <c r="H393" s="627">
        <f>RD!H171</f>
        <v>230444.56819999998</v>
      </c>
      <c r="I393" s="627">
        <f>RD!I171</f>
        <v>206242.3505</v>
      </c>
      <c r="J393" s="627">
        <f>RD!J171</f>
        <v>272668.52699999994</v>
      </c>
      <c r="K393" s="626">
        <f>RD!C172</f>
        <v>32625.135590380167</v>
      </c>
      <c r="L393" s="627">
        <f>RD!D172</f>
        <v>41804.093179999996</v>
      </c>
      <c r="M393" s="627">
        <f>RD!E172</f>
        <v>48254.407657118056</v>
      </c>
      <c r="N393" s="627">
        <f>RD!F172</f>
        <v>59963.947625021341</v>
      </c>
      <c r="O393" s="627">
        <f>RD!G172</f>
        <v>73588.627000000008</v>
      </c>
      <c r="P393" s="627">
        <f>RD!H172</f>
        <v>89698.152222222227</v>
      </c>
      <c r="Q393" s="627">
        <f>RD!I172</f>
        <v>92397.196500000005</v>
      </c>
      <c r="R393" s="628">
        <f>RD!J172</f>
        <v>126658.152</v>
      </c>
    </row>
    <row r="394" spans="2:18">
      <c r="B394" s="595" t="s">
        <v>1053</v>
      </c>
      <c r="C394" s="626">
        <f>PY!C155</f>
        <v>36117.357000000004</v>
      </c>
      <c r="D394" s="627">
        <f>PY!D155</f>
        <v>36474.134999999995</v>
      </c>
      <c r="E394" s="627">
        <f>PY!E155</f>
        <v>42790.967000000004</v>
      </c>
      <c r="F394" s="627">
        <f>PY!F155</f>
        <v>51025.942999999999</v>
      </c>
      <c r="G394" s="627">
        <f>PY!G155</f>
        <v>65458.495000000003</v>
      </c>
      <c r="H394" s="627">
        <f>PY!H155</f>
        <v>77939.347999999998</v>
      </c>
      <c r="I394" s="627">
        <f>PY!I155</f>
        <v>72100.023000000001</v>
      </c>
      <c r="J394" s="627">
        <f>PY!J155</f>
        <v>84764.206999999995</v>
      </c>
      <c r="K394" s="626">
        <f>PY!C156</f>
        <v>13439.519</v>
      </c>
      <c r="L394" s="627">
        <f>PY!D156</f>
        <v>16111.75</v>
      </c>
      <c r="M394" s="627">
        <f>PY!E156</f>
        <v>20377.328000000001</v>
      </c>
      <c r="N394" s="627">
        <f>PY!F156</f>
        <v>26481.41</v>
      </c>
      <c r="O394" s="627">
        <f>PY!G156</f>
        <v>34252.987000000001</v>
      </c>
      <c r="P394" s="627">
        <f>PY!H156</f>
        <v>43476.612999999998</v>
      </c>
      <c r="Q394" s="627">
        <f>PY!I156</f>
        <v>46342.714999999997</v>
      </c>
      <c r="R394" s="628">
        <f>PY!J156</f>
        <v>63221.521999999997</v>
      </c>
    </row>
    <row r="395" spans="2:18">
      <c r="B395" s="595" t="s">
        <v>1054</v>
      </c>
      <c r="C395" s="626">
        <f>PE!C159</f>
        <v>234778.99</v>
      </c>
      <c r="D395" s="627">
        <f>PE!D159</f>
        <v>272063.18</v>
      </c>
      <c r="E395" s="627">
        <f>PE!E159</f>
        <v>327030.36199999996</v>
      </c>
      <c r="F395" s="627">
        <f>PE!F159</f>
        <v>366678.728</v>
      </c>
      <c r="G395" s="627">
        <f>PE!G159</f>
        <v>449063.29499999993</v>
      </c>
      <c r="H395" s="627">
        <f>PE!H159</f>
        <v>540548.18800000008</v>
      </c>
      <c r="I395" s="627">
        <f>PE!I159</f>
        <v>454100.109</v>
      </c>
      <c r="J395" s="627">
        <f>PE!J159</f>
        <v>727419.42700000003</v>
      </c>
      <c r="K395" s="626">
        <f>PE!C160</f>
        <v>121047.045</v>
      </c>
      <c r="L395" s="627">
        <f>PE!D160</f>
        <v>143285.27100000001</v>
      </c>
      <c r="M395" s="627">
        <f>PE!E160</f>
        <v>171813.24200000003</v>
      </c>
      <c r="N395" s="627">
        <f>PE!F160</f>
        <v>198776.997</v>
      </c>
      <c r="O395" s="627">
        <f>PE!G160</f>
        <v>253004.23399999997</v>
      </c>
      <c r="P395" s="627">
        <f>PE!H160</f>
        <v>316322.95200000005</v>
      </c>
      <c r="Q395" s="627">
        <f>PE!I160</f>
        <v>307493.20699999999</v>
      </c>
      <c r="R395" s="628">
        <f>PE!J160</f>
        <v>526141.64300000004</v>
      </c>
    </row>
    <row r="396" spans="2:18">
      <c r="B396" s="604" t="s">
        <v>1055</v>
      </c>
      <c r="C396" s="629">
        <f>TT!C163</f>
        <v>45417.771000000001</v>
      </c>
      <c r="D396" s="630">
        <f>TT!D163</f>
        <v>49344.08</v>
      </c>
      <c r="E396" s="630">
        <f>TT!E163</f>
        <v>54468.437000000005</v>
      </c>
      <c r="F396" s="630">
        <f>TT!F163</f>
        <v>55675.728999999999</v>
      </c>
      <c r="G396" s="630">
        <f>TT!G163</f>
        <v>58460.055</v>
      </c>
      <c r="H396" s="630">
        <f>TT!H163</f>
        <v>62554.593999999997</v>
      </c>
      <c r="I396" s="630">
        <f>TT!I163</f>
        <v>57669.34</v>
      </c>
      <c r="J396" s="630">
        <f>TT!J163</f>
        <v>60266.887000000002</v>
      </c>
      <c r="K396" s="629">
        <f>TT!C164</f>
        <v>31854.857</v>
      </c>
      <c r="L396" s="630">
        <f>TT!D164</f>
        <v>34446.885999999999</v>
      </c>
      <c r="M396" s="630">
        <f>TT!E164</f>
        <v>37715.828000000001</v>
      </c>
      <c r="N396" s="630">
        <f>TT!F164</f>
        <v>38161.368999999999</v>
      </c>
      <c r="O396" s="630">
        <f>TT!G164</f>
        <v>40142.737000000001</v>
      </c>
      <c r="P396" s="630">
        <f>TT!H164</f>
        <v>43274.631000000001</v>
      </c>
      <c r="Q396" s="630">
        <f>TT!I164</f>
        <v>40458.860999999997</v>
      </c>
      <c r="R396" s="631">
        <f>TT!J164</f>
        <v>42628.713000000003</v>
      </c>
    </row>
    <row r="397" spans="2:18">
      <c r="B397" s="57"/>
      <c r="C397" s="582"/>
      <c r="D397" s="582"/>
      <c r="E397" s="582"/>
      <c r="F397" s="582"/>
      <c r="G397" s="582"/>
      <c r="H397" s="582"/>
      <c r="I397" s="582"/>
      <c r="J397" s="582"/>
      <c r="K397" s="582"/>
      <c r="L397" s="582"/>
      <c r="M397" s="582"/>
      <c r="N397" s="582"/>
      <c r="O397" s="582"/>
      <c r="P397" s="582"/>
      <c r="Q397" s="582"/>
    </row>
    <row r="398" spans="2:18">
      <c r="B398" s="2157" t="s">
        <v>1101</v>
      </c>
      <c r="C398" s="2157"/>
      <c r="D398" s="2157"/>
      <c r="E398" s="2157"/>
      <c r="F398" s="2157"/>
      <c r="G398" s="2157"/>
      <c r="H398" s="2157"/>
      <c r="I398" s="2157"/>
      <c r="J398" s="2157"/>
      <c r="K398" s="2157"/>
      <c r="L398" s="2157"/>
      <c r="M398" s="2157"/>
      <c r="N398" s="2157"/>
      <c r="O398" s="2157"/>
      <c r="P398" s="2157"/>
      <c r="Q398" s="2157"/>
      <c r="R398" s="2157"/>
    </row>
    <row r="399" spans="2:18">
      <c r="B399" s="619"/>
      <c r="C399" s="621"/>
      <c r="D399" s="621"/>
      <c r="E399" s="621"/>
      <c r="F399" s="621"/>
      <c r="G399" s="621"/>
      <c r="H399" s="621"/>
      <c r="I399" s="621"/>
      <c r="J399" s="621"/>
      <c r="K399" s="622"/>
      <c r="L399" s="622"/>
      <c r="M399" s="622"/>
      <c r="N399" s="622"/>
      <c r="O399" s="622"/>
      <c r="P399" s="622"/>
      <c r="Q399" s="622"/>
    </row>
    <row r="400" spans="2:18">
      <c r="B400" s="583"/>
      <c r="C400" s="2196" t="s">
        <v>1106</v>
      </c>
      <c r="D400" s="2197"/>
      <c r="E400" s="2197"/>
      <c r="F400" s="2197"/>
      <c r="G400" s="2197"/>
      <c r="H400" s="2197"/>
      <c r="I400" s="2197"/>
      <c r="J400" s="2198"/>
      <c r="K400" s="2199" t="s">
        <v>1107</v>
      </c>
      <c r="L400" s="2199"/>
      <c r="M400" s="2199"/>
      <c r="N400" s="2199"/>
      <c r="O400" s="2199"/>
      <c r="P400" s="2199"/>
      <c r="Q400" s="2199"/>
      <c r="R400" s="2199"/>
    </row>
    <row r="401" spans="2:18">
      <c r="B401" s="65"/>
      <c r="C401" s="585">
        <v>2014</v>
      </c>
      <c r="D401" s="586">
        <v>2015</v>
      </c>
      <c r="E401" s="586">
        <v>2016</v>
      </c>
      <c r="F401" s="586">
        <v>2017</v>
      </c>
      <c r="G401" s="586">
        <v>2018</v>
      </c>
      <c r="H401" s="586">
        <v>2019</v>
      </c>
      <c r="I401" s="586">
        <v>2020</v>
      </c>
      <c r="J401" s="586">
        <v>2021</v>
      </c>
      <c r="K401" s="585">
        <v>2014</v>
      </c>
      <c r="L401" s="586">
        <v>2015</v>
      </c>
      <c r="M401" s="586">
        <v>2016</v>
      </c>
      <c r="N401" s="586">
        <v>2017</v>
      </c>
      <c r="O401" s="586">
        <v>2018</v>
      </c>
      <c r="P401" s="586">
        <v>2019</v>
      </c>
      <c r="Q401" s="586">
        <v>2020</v>
      </c>
      <c r="R401" s="1652">
        <v>2021</v>
      </c>
    </row>
    <row r="402" spans="2:18">
      <c r="B402" s="589" t="s">
        <v>1038</v>
      </c>
      <c r="C402" s="623">
        <f>ARG!C166</f>
        <v>0</v>
      </c>
      <c r="D402" s="624">
        <f>ARG!D166</f>
        <v>0</v>
      </c>
      <c r="E402" s="624">
        <f>ARG!E166</f>
        <v>0</v>
      </c>
      <c r="F402" s="624">
        <f>ARG!F166</f>
        <v>0</v>
      </c>
      <c r="G402" s="624">
        <f>ARG!G166</f>
        <v>0</v>
      </c>
      <c r="H402" s="624">
        <f>ARG!H166</f>
        <v>0</v>
      </c>
      <c r="I402" s="624">
        <f>ARG!I166</f>
        <v>0</v>
      </c>
      <c r="J402" s="624">
        <f>ARG!J166</f>
        <v>0</v>
      </c>
      <c r="K402" s="623">
        <f>ARG!C167</f>
        <v>612121.15899999999</v>
      </c>
      <c r="L402" s="624">
        <f>ARG!D167</f>
        <v>682082.91700000002</v>
      </c>
      <c r="M402" s="624">
        <f>ARG!E167</f>
        <v>802865.20299999998</v>
      </c>
      <c r="N402" s="624">
        <f>ARG!F167</f>
        <v>845835.61800000002</v>
      </c>
      <c r="O402" s="624">
        <f>ARG!G167</f>
        <v>911316.15300000005</v>
      </c>
      <c r="P402" s="624">
        <f>ARG!H167</f>
        <v>1039498.8130000001</v>
      </c>
      <c r="Q402" s="624">
        <f>ARG!I167</f>
        <v>859778.78200000001</v>
      </c>
      <c r="R402" s="625">
        <f>ARG!J167</f>
        <v>1011596.791</v>
      </c>
    </row>
    <row r="403" spans="2:18">
      <c r="B403" s="595" t="s">
        <v>1039</v>
      </c>
      <c r="C403" s="626">
        <f>BA!C155</f>
        <v>0</v>
      </c>
      <c r="D403" s="627">
        <f>BA!D155</f>
        <v>0</v>
      </c>
      <c r="E403" s="627">
        <f>BA!E155</f>
        <v>0</v>
      </c>
      <c r="F403" s="627">
        <f>BA!F155</f>
        <v>0</v>
      </c>
      <c r="G403" s="627">
        <f>BA!G155</f>
        <v>0</v>
      </c>
      <c r="H403" s="627">
        <f>BA!H155</f>
        <v>0</v>
      </c>
      <c r="I403" s="627">
        <f>BA!I155</f>
        <v>0</v>
      </c>
      <c r="J403" s="627">
        <f>BA!J155</f>
        <v>0</v>
      </c>
      <c r="K403" s="626">
        <f>BA!C156</f>
        <v>911.14200000000005</v>
      </c>
      <c r="L403" s="627">
        <f>BA!D156</f>
        <v>1397.7429999999999</v>
      </c>
      <c r="M403" s="627">
        <f>BA!E156</f>
        <v>2670.5250000000001</v>
      </c>
      <c r="N403" s="627">
        <f>BA!F156</f>
        <v>3154.5250000000001</v>
      </c>
      <c r="O403" s="627">
        <f>BA!G156</f>
        <v>3178.2069999999999</v>
      </c>
      <c r="P403" s="627">
        <f>BA!H156</f>
        <v>3308.1709999999998</v>
      </c>
      <c r="Q403" s="627">
        <f>BA!I156</f>
        <v>2433.873</v>
      </c>
      <c r="R403" s="628">
        <f>BA!J156</f>
        <v>3519.8339999999998</v>
      </c>
    </row>
    <row r="404" spans="2:18">
      <c r="B404" s="595" t="s">
        <v>1040</v>
      </c>
      <c r="C404" s="626">
        <f>BO!C153</f>
        <v>0</v>
      </c>
      <c r="D404" s="627">
        <f>BO!D153</f>
        <v>0</v>
      </c>
      <c r="E404" s="627">
        <f>BO!E153</f>
        <v>0</v>
      </c>
      <c r="F404" s="627">
        <f>BO!F153</f>
        <v>0</v>
      </c>
      <c r="G404" s="627">
        <f>BO!G153</f>
        <v>0</v>
      </c>
      <c r="H404" s="627">
        <f>BO!H153</f>
        <v>0</v>
      </c>
      <c r="I404" s="627">
        <f>BO!I153</f>
        <v>0</v>
      </c>
      <c r="J404" s="627">
        <f>BO!J153</f>
        <v>0</v>
      </c>
      <c r="K404" s="626">
        <f>BO!C154</f>
        <v>3988.136</v>
      </c>
      <c r="L404" s="627">
        <f>BO!D154</f>
        <v>4330.2136182007598</v>
      </c>
      <c r="M404" s="627">
        <f>BO!E154</f>
        <v>4799.7870000000003</v>
      </c>
      <c r="N404" s="627">
        <f>BO!F154</f>
        <v>5838.2740000000003</v>
      </c>
      <c r="O404" s="627">
        <f>BO!G154</f>
        <v>7825.66021</v>
      </c>
      <c r="P404" s="627">
        <f>BO!H154</f>
        <v>11663.815000000001</v>
      </c>
      <c r="Q404" s="627">
        <f>BO!I154</f>
        <v>8347.1689999999999</v>
      </c>
      <c r="R404" s="628">
        <f>BO!J154</f>
        <v>12534.849</v>
      </c>
    </row>
    <row r="405" spans="2:18">
      <c r="B405" s="595" t="s">
        <v>1041</v>
      </c>
      <c r="C405" s="626">
        <f>BR!C160</f>
        <v>0</v>
      </c>
      <c r="D405" s="627">
        <f>BR!D160</f>
        <v>0</v>
      </c>
      <c r="E405" s="627">
        <f>BR!E160</f>
        <v>0</v>
      </c>
      <c r="F405" s="627">
        <f>BR!F160</f>
        <v>0</v>
      </c>
      <c r="G405" s="627">
        <f>BR!G160</f>
        <v>0</v>
      </c>
      <c r="H405" s="627">
        <f>BR!H160</f>
        <v>0</v>
      </c>
      <c r="I405" s="627">
        <f>BR!I160</f>
        <v>0</v>
      </c>
      <c r="J405" s="627">
        <f>BR!J160</f>
        <v>0</v>
      </c>
      <c r="K405" s="626">
        <f>BR!C161</f>
        <v>5354589.6710000001</v>
      </c>
      <c r="L405" s="627">
        <f>BR!D161</f>
        <v>5611936.0559999999</v>
      </c>
      <c r="M405" s="627">
        <f>BR!E161</f>
        <v>5971642.6339999996</v>
      </c>
      <c r="N405" s="627">
        <f>BR!F161</f>
        <v>6508610.8909999998</v>
      </c>
      <c r="O405" s="627">
        <f>BR!G161</f>
        <v>7551309.9720000001</v>
      </c>
      <c r="P405" s="627">
        <f>BR!H161</f>
        <v>9659651</v>
      </c>
      <c r="Q405" s="627">
        <f>BR!I161</f>
        <v>9509828</v>
      </c>
      <c r="R405" s="628">
        <f>BR!J161</f>
        <v>12699508</v>
      </c>
    </row>
    <row r="406" spans="2:18">
      <c r="B406" s="595" t="s">
        <v>1042</v>
      </c>
      <c r="C406" s="626">
        <f>CL!C158</f>
        <v>0</v>
      </c>
      <c r="D406" s="627">
        <f>CL!D158</f>
        <v>0</v>
      </c>
      <c r="E406" s="627">
        <f>CL!E158</f>
        <v>0</v>
      </c>
      <c r="F406" s="627">
        <f>CL!F158</f>
        <v>0</v>
      </c>
      <c r="G406" s="627">
        <f>CL!G158</f>
        <v>0</v>
      </c>
      <c r="H406" s="627">
        <f>CL!H158</f>
        <v>0</v>
      </c>
      <c r="I406" s="627">
        <f>CL!I158</f>
        <v>0</v>
      </c>
      <c r="J406" s="627">
        <f>CL!J158</f>
        <v>0</v>
      </c>
      <c r="K406" s="626">
        <f>CL!C159</f>
        <v>194950.84299999999</v>
      </c>
      <c r="L406" s="627">
        <f>CL!D159</f>
        <v>243864.82699999999</v>
      </c>
      <c r="M406" s="627">
        <f>CL!E159</f>
        <v>300937.342</v>
      </c>
      <c r="N406" s="627">
        <f>CL!F159</f>
        <v>353775.76899999997</v>
      </c>
      <c r="O406" s="627">
        <f>CL!G159</f>
        <v>406145.174</v>
      </c>
      <c r="P406" s="627">
        <f>CL!H159</f>
        <v>448415.80800000002</v>
      </c>
      <c r="Q406" s="627">
        <f>CL!I159</f>
        <v>522686.94900000002</v>
      </c>
      <c r="R406" s="628">
        <f>CL!J159</f>
        <v>605989.44200000004</v>
      </c>
    </row>
    <row r="407" spans="2:18">
      <c r="B407" s="595" t="s">
        <v>1043</v>
      </c>
      <c r="C407" s="626">
        <f>CO!C155</f>
        <v>0</v>
      </c>
      <c r="D407" s="627">
        <f>CO!D155</f>
        <v>0</v>
      </c>
      <c r="E407" s="627">
        <f>CO!E155</f>
        <v>0</v>
      </c>
      <c r="F407" s="627">
        <f>CO!F155</f>
        <v>0</v>
      </c>
      <c r="G407" s="627">
        <f>CO!G155</f>
        <v>0</v>
      </c>
      <c r="H407" s="627">
        <f>CO!H155</f>
        <v>0</v>
      </c>
      <c r="I407" s="627">
        <f>CO!I155</f>
        <v>0</v>
      </c>
      <c r="J407" s="627">
        <f>CO!J155</f>
        <v>0</v>
      </c>
      <c r="K407" s="626">
        <f>CO!C156</f>
        <v>180713.9</v>
      </c>
      <c r="L407" s="627">
        <f>CO!D156</f>
        <v>196956.90700000001</v>
      </c>
      <c r="M407" s="627">
        <f>CO!E156</f>
        <v>235410.62599999999</v>
      </c>
      <c r="N407" s="627">
        <f>CO!F156</f>
        <v>261665.32</v>
      </c>
      <c r="O407" s="627">
        <f>CO!G156</f>
        <v>295751.413</v>
      </c>
      <c r="P407" s="627">
        <f>CO!H156</f>
        <v>341220.86300000001</v>
      </c>
      <c r="Q407" s="627">
        <f>CO!I156</f>
        <v>273907.44400000002</v>
      </c>
      <c r="R407" s="628">
        <f>CO!J156</f>
        <v>330754.196</v>
      </c>
    </row>
    <row r="408" spans="2:18">
      <c r="B408" s="595" t="s">
        <v>1044</v>
      </c>
      <c r="C408" s="626">
        <f>CR!C159</f>
        <v>0</v>
      </c>
      <c r="D408" s="627">
        <f>CR!D159</f>
        <v>0</v>
      </c>
      <c r="E408" s="627">
        <f>CR!E159</f>
        <v>0</v>
      </c>
      <c r="F408" s="627">
        <f>CR!F159</f>
        <v>0</v>
      </c>
      <c r="G408" s="627">
        <f>CR!G159</f>
        <v>0</v>
      </c>
      <c r="H408" s="627">
        <f>CR!H159</f>
        <v>0</v>
      </c>
      <c r="I408" s="627">
        <f>CR!I159</f>
        <v>0</v>
      </c>
      <c r="J408" s="627">
        <f>CR!J159</f>
        <v>0</v>
      </c>
      <c r="K408" s="626">
        <f>CR!C160</f>
        <v>89484.4</v>
      </c>
      <c r="L408" s="627">
        <f>CR!D160</f>
        <v>99253.6</v>
      </c>
      <c r="M408" s="627">
        <f>CR!E160</f>
        <v>119878.81</v>
      </c>
      <c r="N408" s="627">
        <f>CR!F160</f>
        <v>132544.53899999999</v>
      </c>
      <c r="O408" s="627">
        <f>CR!G160</f>
        <v>141767.78099999999</v>
      </c>
      <c r="P408" s="627">
        <f>CR!H160</f>
        <v>176616.03099999999</v>
      </c>
      <c r="Q408" s="627">
        <f>CR!I160</f>
        <v>129787.307</v>
      </c>
      <c r="R408" s="628">
        <f>CR!J160</f>
        <v>156233.26699999999</v>
      </c>
    </row>
    <row r="409" spans="2:18">
      <c r="B409" s="595" t="s">
        <v>1061</v>
      </c>
      <c r="C409" s="626">
        <f>CW!C171</f>
        <v>0</v>
      </c>
      <c r="D409" s="627">
        <f>CW!D171</f>
        <v>0</v>
      </c>
      <c r="E409" s="627">
        <f>CW!E171</f>
        <v>0</v>
      </c>
      <c r="F409" s="627">
        <f>CW!F171</f>
        <v>0</v>
      </c>
      <c r="G409" s="627">
        <f>CW!G171</f>
        <v>0</v>
      </c>
      <c r="H409" s="627">
        <f>CW!H171</f>
        <v>0</v>
      </c>
      <c r="I409" s="627">
        <f>CW!I171</f>
        <v>0</v>
      </c>
      <c r="J409" s="627">
        <f>CW!J171</f>
        <v>0</v>
      </c>
      <c r="K409" s="626">
        <f>CW!C172</f>
        <v>0</v>
      </c>
      <c r="L409" s="627">
        <v>1763</v>
      </c>
      <c r="M409" s="627">
        <f>CW!E172</f>
        <v>2259.857</v>
      </c>
      <c r="N409" s="627">
        <f>CW!F172</f>
        <v>2602.4639999999999</v>
      </c>
      <c r="O409" s="627">
        <f>CW!G172</f>
        <v>2898.375</v>
      </c>
      <c r="P409" s="627">
        <f>CW!H172</f>
        <v>3590.1509999999998</v>
      </c>
      <c r="Q409" s="627">
        <f>CW!I172</f>
        <v>1892.4259999999999</v>
      </c>
      <c r="R409" s="628">
        <f>CW!J172</f>
        <v>3349.5309999999999</v>
      </c>
    </row>
    <row r="410" spans="2:18">
      <c r="B410" s="595" t="s">
        <v>1047</v>
      </c>
      <c r="C410" s="626">
        <f>EC!C156</f>
        <v>0</v>
      </c>
      <c r="D410" s="627">
        <f>EC!D156</f>
        <v>0</v>
      </c>
      <c r="E410" s="627">
        <f>EC!E156</f>
        <v>0</v>
      </c>
      <c r="F410" s="627">
        <f>EC!F156</f>
        <v>0</v>
      </c>
      <c r="G410" s="627">
        <f>EC!G156</f>
        <v>0</v>
      </c>
      <c r="H410" s="627">
        <f>EC!H156</f>
        <v>0</v>
      </c>
      <c r="I410" s="627">
        <f>EC!I156</f>
        <v>0</v>
      </c>
      <c r="J410" s="627">
        <f>EC!J156</f>
        <v>0</v>
      </c>
      <c r="K410" s="626">
        <f>EC!C157</f>
        <v>0</v>
      </c>
      <c r="L410" s="627">
        <f>EC!D157</f>
        <v>132277.54300000001</v>
      </c>
      <c r="M410" s="627">
        <f>EC!E157</f>
        <v>136095.30700000018</v>
      </c>
      <c r="N410" s="627">
        <f>EC!F157</f>
        <v>157698.25700000001</v>
      </c>
      <c r="O410" s="627">
        <f>EC!G157</f>
        <v>188069.29699999999</v>
      </c>
      <c r="P410" s="627">
        <f>EC!H157</f>
        <v>205963.601</v>
      </c>
      <c r="Q410" s="627">
        <f>EC!I157</f>
        <v>166961.84800000003</v>
      </c>
      <c r="R410" s="628">
        <f>EC!J157</f>
        <v>150900.715</v>
      </c>
    </row>
    <row r="411" spans="2:18">
      <c r="B411" s="595" t="s">
        <v>1048</v>
      </c>
      <c r="C411" s="626">
        <f>SV!C157</f>
        <v>0</v>
      </c>
      <c r="D411" s="627">
        <f>SV!D157</f>
        <v>0</v>
      </c>
      <c r="E411" s="627">
        <f>SV!E157</f>
        <v>0</v>
      </c>
      <c r="F411" s="627">
        <f>SV!F157</f>
        <v>0</v>
      </c>
      <c r="G411" s="627">
        <f>SV!G157</f>
        <v>0</v>
      </c>
      <c r="H411" s="627">
        <f>SV!H157</f>
        <v>0</v>
      </c>
      <c r="I411" s="627">
        <f>SV!I157</f>
        <v>0</v>
      </c>
      <c r="J411" s="627">
        <f>SV!J157</f>
        <v>0</v>
      </c>
      <c r="K411" s="626">
        <f>SV!C158</f>
        <v>0</v>
      </c>
      <c r="L411" s="627">
        <f>SV!D158</f>
        <v>21746.71</v>
      </c>
      <c r="M411" s="627">
        <f>SV!E158</f>
        <v>27376.68</v>
      </c>
      <c r="N411" s="627">
        <f>SV!F158</f>
        <v>31098.06</v>
      </c>
      <c r="O411" s="627">
        <f>SV!G158</f>
        <v>33656.730000000003</v>
      </c>
      <c r="P411" s="627">
        <f>SV!H158</f>
        <v>37441.56</v>
      </c>
      <c r="Q411" s="627">
        <f>SV!I158</f>
        <v>31407.05</v>
      </c>
      <c r="R411" s="628">
        <f>SV!J158</f>
        <v>33036.339999999997</v>
      </c>
    </row>
    <row r="412" spans="2:18">
      <c r="B412" s="595" t="s">
        <v>1049</v>
      </c>
      <c r="C412" s="626">
        <f>GT!C164</f>
        <v>0</v>
      </c>
      <c r="D412" s="627">
        <f>GT!D164</f>
        <v>0</v>
      </c>
      <c r="E412" s="627">
        <f>GT!E164</f>
        <v>0</v>
      </c>
      <c r="F412" s="627">
        <f>GT!F164</f>
        <v>0</v>
      </c>
      <c r="G412" s="627">
        <f>GT!G164</f>
        <v>0</v>
      </c>
      <c r="H412" s="627">
        <f>GT!H164</f>
        <v>0</v>
      </c>
      <c r="I412" s="627">
        <f>GT!I164</f>
        <v>0</v>
      </c>
      <c r="J412" s="627">
        <f>GT!J164</f>
        <v>0</v>
      </c>
      <c r="K412" s="626">
        <f>GT!C165</f>
        <v>1.8440000000000001</v>
      </c>
      <c r="L412" s="627">
        <f>GT!D165</f>
        <v>1.4530000000000001</v>
      </c>
      <c r="M412" s="627">
        <f>GT!E165</f>
        <v>1.456</v>
      </c>
      <c r="N412" s="627">
        <f>GT!F165</f>
        <v>2.25</v>
      </c>
      <c r="O412" s="627">
        <f>GT!G165</f>
        <v>2.206</v>
      </c>
      <c r="P412" s="627">
        <f>GT!H165</f>
        <v>2.972</v>
      </c>
      <c r="Q412" s="627">
        <f>GT!I165</f>
        <v>4.25</v>
      </c>
      <c r="R412" s="628">
        <f>GT!J165</f>
        <v>2.6480000000000001</v>
      </c>
    </row>
    <row r="413" spans="2:18">
      <c r="B413" s="595" t="s">
        <v>1050</v>
      </c>
      <c r="C413" s="626">
        <f>HN!C163</f>
        <v>0</v>
      </c>
      <c r="D413" s="627">
        <f>HN!D163</f>
        <v>0</v>
      </c>
      <c r="E413" s="627">
        <f>HN!E163</f>
        <v>0</v>
      </c>
      <c r="F413" s="627">
        <f>HN!F163</f>
        <v>0</v>
      </c>
      <c r="G413" s="627">
        <f>HN!G163</f>
        <v>0</v>
      </c>
      <c r="H413" s="627">
        <f>HN!H163</f>
        <v>0</v>
      </c>
      <c r="I413" s="627">
        <f>HN!I163</f>
        <v>0</v>
      </c>
      <c r="J413" s="627">
        <f>HN!J163</f>
        <v>0</v>
      </c>
      <c r="K413" s="626">
        <f>HN!C164</f>
        <v>0</v>
      </c>
      <c r="L413" s="627">
        <f>HN!D164</f>
        <v>0</v>
      </c>
      <c r="M413" s="627">
        <f>HN!E164</f>
        <v>0</v>
      </c>
      <c r="N413" s="627">
        <f>HN!F164</f>
        <v>0</v>
      </c>
      <c r="O413" s="627">
        <f>HN!G164</f>
        <v>0</v>
      </c>
      <c r="P413" s="627">
        <f>HN!H164</f>
        <v>0</v>
      </c>
      <c r="Q413" s="627">
        <f>HN!I164</f>
        <v>0</v>
      </c>
      <c r="R413" s="628">
        <f>HN!J164</f>
        <v>0</v>
      </c>
    </row>
    <row r="414" spans="2:18">
      <c r="B414" s="595" t="s">
        <v>1051</v>
      </c>
      <c r="C414" s="626">
        <f>JM!C159</f>
        <v>0</v>
      </c>
      <c r="D414" s="627">
        <f>JM!D159</f>
        <v>0</v>
      </c>
      <c r="E414" s="627">
        <f>JM!E159</f>
        <v>0</v>
      </c>
      <c r="F414" s="627">
        <f>JM!F159</f>
        <v>0</v>
      </c>
      <c r="G414" s="627">
        <f>JM!G159</f>
        <v>0</v>
      </c>
      <c r="H414" s="627">
        <f>JM!H159</f>
        <v>0</v>
      </c>
      <c r="I414" s="627">
        <f>JM!I159</f>
        <v>0</v>
      </c>
      <c r="J414" s="627">
        <f>JM!J159</f>
        <v>0</v>
      </c>
      <c r="K414" s="626">
        <f>JM!C160</f>
        <v>16958.147000000001</v>
      </c>
      <c r="L414" s="627">
        <f>JM!D160</f>
        <v>14676.734</v>
      </c>
      <c r="M414" s="627">
        <f>JM!E160</f>
        <v>15824.302</v>
      </c>
      <c r="N414" s="627">
        <f>JM!F160</f>
        <v>17502.348000000002</v>
      </c>
      <c r="O414" s="627">
        <f>JM!G160</f>
        <v>20234.593000000001</v>
      </c>
      <c r="P414" s="627">
        <f>JM!H160</f>
        <v>21503.815999999999</v>
      </c>
      <c r="Q414" s="627">
        <f>JM!I160</f>
        <v>20460</v>
      </c>
      <c r="R414" s="628">
        <f>JM!J160</f>
        <v>27888.764999999999</v>
      </c>
    </row>
    <row r="415" spans="2:18">
      <c r="B415" s="595" t="s">
        <v>1052</v>
      </c>
      <c r="C415" s="626">
        <f>RD!C173</f>
        <v>0</v>
      </c>
      <c r="D415" s="627">
        <f>RD!D173</f>
        <v>0</v>
      </c>
      <c r="E415" s="627">
        <f>RD!E173</f>
        <v>0</v>
      </c>
      <c r="F415" s="627">
        <f>RD!F173</f>
        <v>0</v>
      </c>
      <c r="G415" s="627">
        <f>RD!G173</f>
        <v>0</v>
      </c>
      <c r="H415" s="627">
        <f>RD!H173</f>
        <v>0</v>
      </c>
      <c r="I415" s="627">
        <f>RD!I173</f>
        <v>0</v>
      </c>
      <c r="J415" s="627">
        <f>RD!J173</f>
        <v>0</v>
      </c>
      <c r="K415" s="626">
        <f>RD!C174</f>
        <v>79429.141409619842</v>
      </c>
      <c r="L415" s="627">
        <f>RD!D174</f>
        <v>95112.966109999994</v>
      </c>
      <c r="M415" s="627">
        <f>RD!E174</f>
        <v>109645.99614439999</v>
      </c>
      <c r="N415" s="627">
        <f>RD!F174</f>
        <v>125185.14353766204</v>
      </c>
      <c r="O415" s="627">
        <f>RD!G174</f>
        <v>130505.6457125</v>
      </c>
      <c r="P415" s="627">
        <f>RD!H174</f>
        <v>140458.70397777777</v>
      </c>
      <c r="Q415" s="627">
        <f>RD!I174</f>
        <v>113623.417</v>
      </c>
      <c r="R415" s="628">
        <f>RD!J174</f>
        <v>145748.09</v>
      </c>
    </row>
    <row r="416" spans="2:18">
      <c r="B416" s="595" t="s">
        <v>1053</v>
      </c>
      <c r="C416" s="626">
        <f>PY!C157</f>
        <v>0</v>
      </c>
      <c r="D416" s="627">
        <f>PY!D157</f>
        <v>0</v>
      </c>
      <c r="E416" s="627">
        <f>PY!E157</f>
        <v>0</v>
      </c>
      <c r="F416" s="627">
        <f>PY!F157</f>
        <v>0</v>
      </c>
      <c r="G416" s="627">
        <f>PY!G157</f>
        <v>0</v>
      </c>
      <c r="H416" s="627">
        <f>PY!H157</f>
        <v>0</v>
      </c>
      <c r="I416" s="627">
        <f>PY!I157</f>
        <v>0</v>
      </c>
      <c r="J416" s="627">
        <f>PY!J157</f>
        <v>0</v>
      </c>
      <c r="K416" s="626">
        <f>PY!C158</f>
        <v>22677.838</v>
      </c>
      <c r="L416" s="627">
        <f>PY!D158</f>
        <v>20362.384999999998</v>
      </c>
      <c r="M416" s="627">
        <f>PY!E158</f>
        <v>22413.638999999999</v>
      </c>
      <c r="N416" s="627">
        <f>PY!F158</f>
        <v>24544.532999999999</v>
      </c>
      <c r="O416" s="627">
        <f>PY!G158</f>
        <v>31205.508000000002</v>
      </c>
      <c r="P416" s="627">
        <f>PY!H158</f>
        <v>34462.735000000001</v>
      </c>
      <c r="Q416" s="627">
        <f>PY!I158</f>
        <v>25757.308000000001</v>
      </c>
      <c r="R416" s="628">
        <f>PY!J158</f>
        <v>21542.685000000001</v>
      </c>
    </row>
    <row r="417" spans="2:18">
      <c r="B417" s="595" t="s">
        <v>1054</v>
      </c>
      <c r="C417" s="626">
        <f>PE!C161</f>
        <v>0</v>
      </c>
      <c r="D417" s="627">
        <f>PE!D161</f>
        <v>0</v>
      </c>
      <c r="E417" s="627">
        <f>PE!E161</f>
        <v>0</v>
      </c>
      <c r="F417" s="627">
        <f>PE!F161</f>
        <v>0</v>
      </c>
      <c r="G417" s="627">
        <f>PE!G161</f>
        <v>0</v>
      </c>
      <c r="H417" s="627">
        <f>PE!H161</f>
        <v>0</v>
      </c>
      <c r="I417" s="627">
        <f>PE!I161</f>
        <v>0</v>
      </c>
      <c r="J417" s="627">
        <f>PE!J161</f>
        <v>0</v>
      </c>
      <c r="K417" s="626">
        <f>PE!C162</f>
        <v>113731.94500000001</v>
      </c>
      <c r="L417" s="627">
        <f>PE!D162</f>
        <v>128777.909</v>
      </c>
      <c r="M417" s="627">
        <f>PE!E162</f>
        <v>155217.11999999997</v>
      </c>
      <c r="N417" s="627">
        <f>PE!F162</f>
        <v>167901.731</v>
      </c>
      <c r="O417" s="627">
        <f>PE!G162</f>
        <v>196059.06099999999</v>
      </c>
      <c r="P417" s="627">
        <f>PE!H162</f>
        <v>224225.23600000006</v>
      </c>
      <c r="Q417" s="627">
        <f>PE!I162</f>
        <v>146606.902</v>
      </c>
      <c r="R417" s="628">
        <f>PE!J162</f>
        <v>201277.78399999999</v>
      </c>
    </row>
    <row r="418" spans="2:18">
      <c r="B418" s="604" t="s">
        <v>1055</v>
      </c>
      <c r="C418" s="629">
        <f>TT!C165</f>
        <v>0</v>
      </c>
      <c r="D418" s="630">
        <f>TT!D165</f>
        <v>0</v>
      </c>
      <c r="E418" s="630">
        <f>TT!E165</f>
        <v>0</v>
      </c>
      <c r="F418" s="630">
        <f>TT!F165</f>
        <v>0</v>
      </c>
      <c r="G418" s="630">
        <f>TT!G165</f>
        <v>0</v>
      </c>
      <c r="H418" s="630">
        <f>TT!H165</f>
        <v>0</v>
      </c>
      <c r="I418" s="630">
        <f>TT!I165</f>
        <v>0</v>
      </c>
      <c r="J418" s="630">
        <f>TT!J165</f>
        <v>0</v>
      </c>
      <c r="K418" s="629">
        <f>TT!C166</f>
        <v>13562.914000000001</v>
      </c>
      <c r="L418" s="630">
        <f>TT!D166</f>
        <v>14897.194</v>
      </c>
      <c r="M418" s="630">
        <f>TT!E166</f>
        <v>16752.609</v>
      </c>
      <c r="N418" s="630">
        <f>TT!F166</f>
        <v>17514.36</v>
      </c>
      <c r="O418" s="630">
        <f>TT!G166</f>
        <v>18317.317999999999</v>
      </c>
      <c r="P418" s="630">
        <f>TT!H166</f>
        <v>19279.963</v>
      </c>
      <c r="Q418" s="630">
        <f>TT!I166</f>
        <v>17210.478999999999</v>
      </c>
      <c r="R418" s="631">
        <f>TT!J166</f>
        <v>17638.173999999999</v>
      </c>
    </row>
    <row r="419" spans="2:18">
      <c r="B419" s="57"/>
      <c r="C419" s="582"/>
      <c r="D419" s="582"/>
      <c r="E419" s="582"/>
      <c r="F419" s="582"/>
      <c r="G419" s="582"/>
      <c r="H419" s="582"/>
      <c r="I419" s="582"/>
      <c r="J419" s="582"/>
      <c r="K419" s="582"/>
      <c r="L419" s="582"/>
      <c r="M419" s="582"/>
      <c r="N419" s="582"/>
      <c r="O419" s="582"/>
      <c r="P419" s="582"/>
      <c r="Q419" s="582"/>
    </row>
    <row r="420" spans="2:18">
      <c r="B420" s="2157" t="s">
        <v>1108</v>
      </c>
      <c r="C420" s="2157"/>
      <c r="D420" s="2157"/>
      <c r="E420" s="2157"/>
      <c r="F420" s="2157"/>
      <c r="G420" s="2157"/>
      <c r="H420" s="2157"/>
      <c r="I420" s="2157"/>
      <c r="J420" s="2157"/>
      <c r="K420" s="2157"/>
      <c r="L420" s="2157"/>
      <c r="M420" s="2157"/>
      <c r="N420" s="2157"/>
      <c r="O420" s="2157"/>
      <c r="P420" s="2157"/>
      <c r="Q420" s="2157"/>
      <c r="R420" s="2157"/>
    </row>
    <row r="421" spans="2:18" ht="15" customHeight="1">
      <c r="B421" s="2178" t="s">
        <v>1109</v>
      </c>
      <c r="C421" s="2178"/>
      <c r="D421" s="2178"/>
      <c r="E421" s="2178"/>
      <c r="F421" s="2178"/>
      <c r="G421" s="2178"/>
      <c r="H421" s="2178"/>
      <c r="I421" s="2178"/>
      <c r="J421" s="2178"/>
      <c r="K421" s="2178"/>
      <c r="L421" s="2178"/>
      <c r="M421" s="2178"/>
      <c r="N421" s="2178"/>
      <c r="O421" s="2178"/>
      <c r="P421" s="2178"/>
      <c r="Q421" s="2178"/>
      <c r="R421" s="2178"/>
    </row>
    <row r="422" spans="2:18">
      <c r="B422" s="2160" t="s">
        <v>1110</v>
      </c>
      <c r="C422" s="2160"/>
      <c r="D422" s="2160"/>
      <c r="E422" s="2160"/>
      <c r="F422" s="2160"/>
      <c r="G422" s="2160"/>
      <c r="H422" s="2160"/>
      <c r="I422" s="2160"/>
      <c r="J422" s="2160"/>
      <c r="K422" s="2160"/>
      <c r="L422" s="2160"/>
      <c r="M422" s="2160"/>
      <c r="N422" s="2160"/>
      <c r="O422" s="2160"/>
      <c r="P422" s="2160"/>
      <c r="Q422" s="2160"/>
      <c r="R422" s="2160"/>
    </row>
    <row r="424" spans="2:18">
      <c r="B424" s="641">
        <v>100</v>
      </c>
      <c r="C424" s="2183" t="s">
        <v>361</v>
      </c>
      <c r="D424" s="2184"/>
      <c r="E424" s="2184"/>
      <c r="F424" s="2184"/>
      <c r="G424" s="2184"/>
      <c r="H424" s="2184"/>
      <c r="I424" s="2184"/>
      <c r="J424" s="2185"/>
      <c r="K424" s="2177" t="s">
        <v>358</v>
      </c>
      <c r="L424" s="2177"/>
      <c r="M424" s="2177"/>
      <c r="N424" s="2177"/>
      <c r="O424" s="2177"/>
      <c r="P424" s="2177"/>
      <c r="Q424" s="2177"/>
      <c r="R424" s="2177"/>
    </row>
    <row r="425" spans="2:18">
      <c r="B425" s="57"/>
      <c r="C425" s="585">
        <v>2014</v>
      </c>
      <c r="D425" s="586">
        <v>2015</v>
      </c>
      <c r="E425" s="586">
        <v>2016</v>
      </c>
      <c r="F425" s="586">
        <v>2017</v>
      </c>
      <c r="G425" s="586">
        <v>2018</v>
      </c>
      <c r="H425" s="586">
        <v>2019</v>
      </c>
      <c r="I425" s="586">
        <v>2020</v>
      </c>
      <c r="J425" s="586">
        <v>2021</v>
      </c>
      <c r="K425" s="587">
        <v>2014</v>
      </c>
      <c r="L425" s="588">
        <v>2015</v>
      </c>
      <c r="M425" s="588">
        <v>2016</v>
      </c>
      <c r="N425" s="588">
        <v>2017</v>
      </c>
      <c r="O425" s="588">
        <v>2018</v>
      </c>
      <c r="P425" s="588">
        <v>2019</v>
      </c>
      <c r="Q425" s="588">
        <v>2020</v>
      </c>
      <c r="R425" s="848">
        <v>2021</v>
      </c>
    </row>
    <row r="426" spans="2:18">
      <c r="B426" s="589" t="s">
        <v>1038</v>
      </c>
      <c r="C426" s="623">
        <f t="shared" ref="C426:J435" si="102">IF(ISNUMBER(C336/(C290*10)),C336/(C290*10),"0")</f>
        <v>8.8738069428206678</v>
      </c>
      <c r="D426" s="624">
        <f t="shared" si="102"/>
        <v>9.2144828563279244</v>
      </c>
      <c r="E426" s="624">
        <f t="shared" si="102"/>
        <v>9.4364762959584922</v>
      </c>
      <c r="F426" s="624">
        <f t="shared" si="102"/>
        <v>10.535536952124792</v>
      </c>
      <c r="G426" s="624">
        <f t="shared" si="102"/>
        <v>11.96539962368484</v>
      </c>
      <c r="H426" s="624">
        <f t="shared" si="102"/>
        <v>13.671523031937134</v>
      </c>
      <c r="I426" s="624">
        <f t="shared" si="102"/>
        <v>27.426059242449686</v>
      </c>
      <c r="J426" s="624">
        <f t="shared" si="102"/>
        <v>39.019498471105408</v>
      </c>
      <c r="K426" s="623">
        <f t="shared" ref="K426:K436" si="103">IF(ISNUMBER(K336/(C290*10)),K336/(C290*10),"0")</f>
        <v>3.088026323825928</v>
      </c>
      <c r="L426" s="624">
        <f t="shared" ref="L426:L436" si="104">IF(ISNUMBER(L336/(D290*10)),L336/(D290*10),"0")</f>
        <v>3.0231116601109487</v>
      </c>
      <c r="M426" s="624">
        <f t="shared" ref="M426:M436" si="105">IF(ISNUMBER(M336/(E290*10)),M336/(E290*10),"0")</f>
        <v>2.904363993016509</v>
      </c>
      <c r="N426" s="624">
        <f t="shared" ref="N426:N436" si="106">IF(ISNUMBER(N336/(F290*10)),N336/(F290*10),"0")</f>
        <v>3.222225278499967</v>
      </c>
      <c r="O426" s="624">
        <f t="shared" ref="O426:O436" si="107">IF(ISNUMBER(O336/(G290*10)),O336/(G290*10),"0")</f>
        <v>3.4843760435108746</v>
      </c>
      <c r="P426" s="624">
        <f t="shared" ref="P426:P436" si="108">IF(ISNUMBER(P336/(H290*10)),P336/(H290*10),"0")</f>
        <v>3.4259627092350233</v>
      </c>
      <c r="Q426" s="624">
        <f t="shared" ref="Q426:Q436" si="109">IF(ISNUMBER(Q336/(I290*10)),Q336/(I290*10),"0")</f>
        <v>3.085773505705848</v>
      </c>
      <c r="R426" s="625">
        <f t="shared" ref="R426:R436" si="110">IF(ISNUMBER(R336/(J290*10)),R336/(J290*10),"0")</f>
        <v>2.5155833966196388</v>
      </c>
    </row>
    <row r="427" spans="2:18">
      <c r="B427" s="595" t="s">
        <v>1039</v>
      </c>
      <c r="C427" s="626">
        <f t="shared" si="102"/>
        <v>11.466572426448751</v>
      </c>
      <c r="D427" s="627">
        <f t="shared" si="102"/>
        <v>10.011371875840373</v>
      </c>
      <c r="E427" s="627">
        <f t="shared" si="102"/>
        <v>9.0435520243715057</v>
      </c>
      <c r="F427" s="627">
        <f t="shared" si="102"/>
        <v>9.7630813767984854</v>
      </c>
      <c r="G427" s="627">
        <f t="shared" si="102"/>
        <v>9.5827219392523961</v>
      </c>
      <c r="H427" s="627">
        <f t="shared" si="102"/>
        <v>9.7896576743730446</v>
      </c>
      <c r="I427" s="627">
        <f t="shared" si="102"/>
        <v>10.938167436622116</v>
      </c>
      <c r="J427" s="627">
        <f t="shared" si="102"/>
        <v>11.527858450727864</v>
      </c>
      <c r="K427" s="626">
        <f t="shared" si="103"/>
        <v>0.30380180815802865</v>
      </c>
      <c r="L427" s="627">
        <f t="shared" si="104"/>
        <v>0.40617796469010403</v>
      </c>
      <c r="M427" s="627">
        <f t="shared" si="105"/>
        <v>0.46391654100011531</v>
      </c>
      <c r="N427" s="627">
        <f t="shared" si="106"/>
        <v>0.42898316519654245</v>
      </c>
      <c r="O427" s="627">
        <f t="shared" si="107"/>
        <v>0.27064591383888897</v>
      </c>
      <c r="P427" s="627">
        <f t="shared" si="108"/>
        <v>0.1940420396371004</v>
      </c>
      <c r="Q427" s="627">
        <f t="shared" si="109"/>
        <v>0.2470959017000674</v>
      </c>
      <c r="R427" s="628">
        <f t="shared" si="110"/>
        <v>0.24377510941762714</v>
      </c>
    </row>
    <row r="428" spans="2:18">
      <c r="B428" s="595" t="s">
        <v>1040</v>
      </c>
      <c r="C428" s="626">
        <f t="shared" si="102"/>
        <v>0</v>
      </c>
      <c r="D428" s="627">
        <f t="shared" si="102"/>
        <v>21.625256004075961</v>
      </c>
      <c r="E428" s="627">
        <f t="shared" si="102"/>
        <v>13.850021799884965</v>
      </c>
      <c r="F428" s="627">
        <f t="shared" si="102"/>
        <v>17.820167346217929</v>
      </c>
      <c r="G428" s="627">
        <f t="shared" si="102"/>
        <v>21.837301070431987</v>
      </c>
      <c r="H428" s="627">
        <f t="shared" si="102"/>
        <v>32.539200202559776</v>
      </c>
      <c r="I428" s="627">
        <f t="shared" si="102"/>
        <v>67.477048593412775</v>
      </c>
      <c r="J428" s="627">
        <f t="shared" si="102"/>
        <v>87.843546425330359</v>
      </c>
      <c r="K428" s="626">
        <f t="shared" si="103"/>
        <v>0</v>
      </c>
      <c r="L428" s="627">
        <f t="shared" si="104"/>
        <v>0</v>
      </c>
      <c r="M428" s="627">
        <f t="shared" si="105"/>
        <v>0</v>
      </c>
      <c r="N428" s="627">
        <f t="shared" si="106"/>
        <v>0</v>
      </c>
      <c r="O428" s="627">
        <f t="shared" si="107"/>
        <v>0</v>
      </c>
      <c r="P428" s="627">
        <f t="shared" si="108"/>
        <v>0</v>
      </c>
      <c r="Q428" s="627">
        <f t="shared" si="109"/>
        <v>0</v>
      </c>
      <c r="R428" s="628">
        <f t="shared" si="110"/>
        <v>0</v>
      </c>
    </row>
    <row r="429" spans="2:18">
      <c r="B429" s="595" t="s">
        <v>1041</v>
      </c>
      <c r="C429" s="626">
        <f t="shared" si="102"/>
        <v>35.99135752131258</v>
      </c>
      <c r="D429" s="627">
        <f t="shared" si="102"/>
        <v>35.441315871804747</v>
      </c>
      <c r="E429" s="627">
        <f t="shared" si="102"/>
        <v>34.325757363570865</v>
      </c>
      <c r="F429" s="627">
        <f t="shared" si="102"/>
        <v>33.809265496583578</v>
      </c>
      <c r="G429" s="627">
        <f t="shared" si="102"/>
        <v>31.435714977741807</v>
      </c>
      <c r="H429" s="627">
        <f t="shared" si="102"/>
        <v>30.105698740587258</v>
      </c>
      <c r="I429" s="627">
        <f t="shared" si="102"/>
        <v>33.780460082255509</v>
      </c>
      <c r="J429" s="627">
        <f t="shared" si="102"/>
        <v>38.490320411657571</v>
      </c>
      <c r="K429" s="626">
        <f t="shared" si="103"/>
        <v>20.058079603232517</v>
      </c>
      <c r="L429" s="627">
        <f t="shared" si="104"/>
        <v>19.130598999650083</v>
      </c>
      <c r="M429" s="627">
        <f t="shared" si="105"/>
        <v>18.410635391614086</v>
      </c>
      <c r="N429" s="627">
        <f t="shared" si="106"/>
        <v>17.250686852190068</v>
      </c>
      <c r="O429" s="627">
        <f t="shared" si="107"/>
        <v>18.571588570780161</v>
      </c>
      <c r="P429" s="627">
        <f t="shared" si="108"/>
        <v>15.248729176840671</v>
      </c>
      <c r="Q429" s="627">
        <f t="shared" si="109"/>
        <v>14.059565170572625</v>
      </c>
      <c r="R429" s="628">
        <f t="shared" si="110"/>
        <v>11.093094064922051</v>
      </c>
    </row>
    <row r="430" spans="2:18">
      <c r="B430" s="595" t="s">
        <v>1042</v>
      </c>
      <c r="C430" s="626">
        <f t="shared" si="102"/>
        <v>9.9290685237416056</v>
      </c>
      <c r="D430" s="627">
        <f t="shared" si="102"/>
        <v>9.8056765453520249</v>
      </c>
      <c r="E430" s="627">
        <f t="shared" si="102"/>
        <v>9.3331998235472593</v>
      </c>
      <c r="F430" s="627">
        <f t="shared" si="102"/>
        <v>8.7576524615211451</v>
      </c>
      <c r="G430" s="627">
        <f t="shared" si="102"/>
        <v>8.6512679225747622</v>
      </c>
      <c r="H430" s="627">
        <f t="shared" si="102"/>
        <v>8.7301227611015495</v>
      </c>
      <c r="I430" s="627">
        <f t="shared" si="102"/>
        <v>9.1412095527046304</v>
      </c>
      <c r="J430" s="627" t="str">
        <f t="shared" si="102"/>
        <v>0</v>
      </c>
      <c r="K430" s="626">
        <f t="shared" si="103"/>
        <v>0</v>
      </c>
      <c r="L430" s="627">
        <f t="shared" si="104"/>
        <v>0</v>
      </c>
      <c r="M430" s="627">
        <f t="shared" si="105"/>
        <v>0</v>
      </c>
      <c r="N430" s="627">
        <f t="shared" si="106"/>
        <v>0</v>
      </c>
      <c r="O430" s="627">
        <f t="shared" si="107"/>
        <v>0</v>
      </c>
      <c r="P430" s="627">
        <f t="shared" si="108"/>
        <v>0</v>
      </c>
      <c r="Q430" s="627">
        <f t="shared" si="109"/>
        <v>0</v>
      </c>
      <c r="R430" s="628" t="str">
        <f t="shared" si="110"/>
        <v>0</v>
      </c>
    </row>
    <row r="431" spans="2:18">
      <c r="B431" s="595" t="s">
        <v>1043</v>
      </c>
      <c r="C431" s="626">
        <f t="shared" si="102"/>
        <v>24.868341046467371</v>
      </c>
      <c r="D431" s="627">
        <f t="shared" si="102"/>
        <v>24.625195107146826</v>
      </c>
      <c r="E431" s="627">
        <f t="shared" si="102"/>
        <v>23.283238154531475</v>
      </c>
      <c r="F431" s="627">
        <f t="shared" si="102"/>
        <v>22.906014838240015</v>
      </c>
      <c r="G431" s="627">
        <f t="shared" si="102"/>
        <v>22.184003985100286</v>
      </c>
      <c r="H431" s="627">
        <f t="shared" si="102"/>
        <v>20.909785381997409</v>
      </c>
      <c r="I431" s="627">
        <f t="shared" si="102"/>
        <v>25.488411400463026</v>
      </c>
      <c r="J431" s="627">
        <f t="shared" si="102"/>
        <v>23.183137563227145</v>
      </c>
      <c r="K431" s="626">
        <f t="shared" si="103"/>
        <v>1.0867436495860932</v>
      </c>
      <c r="L431" s="627">
        <f t="shared" si="104"/>
        <v>1.0737169072896542</v>
      </c>
      <c r="M431" s="627">
        <f t="shared" si="105"/>
        <v>1.1719872563406286</v>
      </c>
      <c r="N431" s="627">
        <f t="shared" si="106"/>
        <v>1.347214156616402</v>
      </c>
      <c r="O431" s="627">
        <f t="shared" si="107"/>
        <v>1.7656587637282293</v>
      </c>
      <c r="P431" s="627">
        <f t="shared" si="108"/>
        <v>2.0368651712509158</v>
      </c>
      <c r="Q431" s="627">
        <f t="shared" si="109"/>
        <v>1.523962736954807</v>
      </c>
      <c r="R431" s="628">
        <f t="shared" si="110"/>
        <v>0.93710769910056746</v>
      </c>
    </row>
    <row r="432" spans="2:18">
      <c r="B432" s="595" t="s">
        <v>1044</v>
      </c>
      <c r="C432" s="626">
        <f t="shared" si="102"/>
        <v>0</v>
      </c>
      <c r="D432" s="627">
        <f t="shared" si="102"/>
        <v>0</v>
      </c>
      <c r="E432" s="627">
        <f t="shared" si="102"/>
        <v>0</v>
      </c>
      <c r="F432" s="627">
        <f t="shared" si="102"/>
        <v>23.45281906294618</v>
      </c>
      <c r="G432" s="627">
        <f t="shared" si="102"/>
        <v>22.244429254128729</v>
      </c>
      <c r="H432" s="627">
        <f t="shared" si="102"/>
        <v>23.040295547188432</v>
      </c>
      <c r="I432" s="627">
        <f t="shared" si="102"/>
        <v>32.605697865479804</v>
      </c>
      <c r="J432" s="627">
        <f t="shared" si="102"/>
        <v>35.389961014126037</v>
      </c>
      <c r="K432" s="626">
        <f t="shared" si="103"/>
        <v>0</v>
      </c>
      <c r="L432" s="627">
        <f t="shared" si="104"/>
        <v>0</v>
      </c>
      <c r="M432" s="627">
        <f t="shared" si="105"/>
        <v>0</v>
      </c>
      <c r="N432" s="627">
        <f t="shared" si="106"/>
        <v>6.5645403421086339</v>
      </c>
      <c r="O432" s="627">
        <f t="shared" si="107"/>
        <v>5.2909608209779968</v>
      </c>
      <c r="P432" s="627">
        <f t="shared" si="108"/>
        <v>2.3502603877139499</v>
      </c>
      <c r="Q432" s="627">
        <f t="shared" si="109"/>
        <v>2.7790506397555483</v>
      </c>
      <c r="R432" s="628">
        <f t="shared" si="110"/>
        <v>3.2599409897190399</v>
      </c>
    </row>
    <row r="433" spans="2:18">
      <c r="B433" s="595" t="s">
        <v>1061</v>
      </c>
      <c r="C433" s="626" t="str">
        <f t="shared" si="102"/>
        <v>0</v>
      </c>
      <c r="D433" s="627">
        <f t="shared" si="102"/>
        <v>40.573151750972762</v>
      </c>
      <c r="E433" s="627">
        <f t="shared" si="102"/>
        <v>44.245573027305291</v>
      </c>
      <c r="F433" s="627">
        <f t="shared" si="102"/>
        <v>42.128183575063147</v>
      </c>
      <c r="G433" s="627">
        <f t="shared" si="102"/>
        <v>42.76841362264495</v>
      </c>
      <c r="H433" s="627">
        <f t="shared" si="102"/>
        <v>39.431871193744541</v>
      </c>
      <c r="I433" s="627">
        <f t="shared" si="102"/>
        <v>40.622744836337382</v>
      </c>
      <c r="J433" s="627">
        <f t="shared" si="102"/>
        <v>37.078639059728317</v>
      </c>
      <c r="K433" s="626" t="str">
        <f t="shared" si="103"/>
        <v>0</v>
      </c>
      <c r="L433" s="627">
        <f t="shared" si="104"/>
        <v>0</v>
      </c>
      <c r="M433" s="627">
        <f t="shared" si="105"/>
        <v>0</v>
      </c>
      <c r="N433" s="627">
        <f t="shared" si="106"/>
        <v>0</v>
      </c>
      <c r="O433" s="627">
        <f t="shared" si="107"/>
        <v>0</v>
      </c>
      <c r="P433" s="627">
        <f t="shared" si="108"/>
        <v>0</v>
      </c>
      <c r="Q433" s="627">
        <f t="shared" si="109"/>
        <v>0</v>
      </c>
      <c r="R433" s="628">
        <f t="shared" si="110"/>
        <v>0</v>
      </c>
    </row>
    <row r="434" spans="2:18">
      <c r="B434" s="595" t="s">
        <v>1047</v>
      </c>
      <c r="C434" s="626">
        <f t="shared" si="102"/>
        <v>50.6609245269673</v>
      </c>
      <c r="D434" s="627">
        <f t="shared" si="102"/>
        <v>20.335844910248049</v>
      </c>
      <c r="E434" s="627">
        <f t="shared" si="102"/>
        <v>21.533141226011846</v>
      </c>
      <c r="F434" s="627">
        <f t="shared" si="102"/>
        <v>20.863151942515909</v>
      </c>
      <c r="G434" s="627">
        <f t="shared" si="102"/>
        <v>20.073821960116362</v>
      </c>
      <c r="H434" s="627">
        <f t="shared" si="102"/>
        <v>19.840421171268485</v>
      </c>
      <c r="I434" s="627">
        <f t="shared" si="102"/>
        <v>24.190838979586879</v>
      </c>
      <c r="J434" s="627">
        <f t="shared" si="102"/>
        <v>24.938777164587879</v>
      </c>
      <c r="K434" s="626">
        <f t="shared" si="103"/>
        <v>6.9745734296092037</v>
      </c>
      <c r="L434" s="627">
        <f t="shared" si="104"/>
        <v>3.0427890543133751</v>
      </c>
      <c r="M434" s="627">
        <f t="shared" si="105"/>
        <v>3.0736195954802548</v>
      </c>
      <c r="N434" s="627">
        <f t="shared" si="106"/>
        <v>2.7875993847461249</v>
      </c>
      <c r="O434" s="627">
        <f t="shared" si="107"/>
        <v>2.5219873546320648</v>
      </c>
      <c r="P434" s="627">
        <f t="shared" si="108"/>
        <v>2.4881042120824959</v>
      </c>
      <c r="Q434" s="627">
        <f t="shared" si="109"/>
        <v>2.7314244992014625</v>
      </c>
      <c r="R434" s="628">
        <f t="shared" si="110"/>
        <v>2.46090013322556</v>
      </c>
    </row>
    <row r="435" spans="2:18">
      <c r="B435" s="595" t="s">
        <v>1048</v>
      </c>
      <c r="C435" s="626" t="str">
        <f t="shared" si="102"/>
        <v>0</v>
      </c>
      <c r="D435" s="627">
        <f t="shared" si="102"/>
        <v>18.7998042109962</v>
      </c>
      <c r="E435" s="627">
        <f t="shared" si="102"/>
        <v>20.333248205961731</v>
      </c>
      <c r="F435" s="627">
        <f t="shared" si="102"/>
        <v>17.809033089208565</v>
      </c>
      <c r="G435" s="627">
        <f t="shared" si="102"/>
        <v>18.063930659376442</v>
      </c>
      <c r="H435" s="627">
        <f t="shared" si="102"/>
        <v>23.823122857658586</v>
      </c>
      <c r="I435" s="627">
        <f t="shared" si="102"/>
        <v>29.828175010545039</v>
      </c>
      <c r="J435" s="627">
        <f t="shared" si="102"/>
        <v>34.634441515897628</v>
      </c>
      <c r="K435" s="626" t="str">
        <f t="shared" si="103"/>
        <v>0</v>
      </c>
      <c r="L435" s="627">
        <f t="shared" si="104"/>
        <v>3.67560427882874</v>
      </c>
      <c r="M435" s="627">
        <f t="shared" si="105"/>
        <v>3.0068015014804392</v>
      </c>
      <c r="N435" s="627">
        <f t="shared" si="106"/>
        <v>2.923143645609144</v>
      </c>
      <c r="O435" s="627">
        <f t="shared" si="107"/>
        <v>1.7082301159713982</v>
      </c>
      <c r="P435" s="627">
        <f t="shared" si="108"/>
        <v>2.2129057984460236</v>
      </c>
      <c r="Q435" s="627">
        <f t="shared" si="109"/>
        <v>2.7820521746310236</v>
      </c>
      <c r="R435" s="628">
        <f t="shared" si="110"/>
        <v>1.8063853814177546</v>
      </c>
    </row>
    <row r="436" spans="2:18">
      <c r="B436" s="595" t="s">
        <v>1049</v>
      </c>
      <c r="C436" s="626">
        <f t="shared" ref="C436:J442" si="111">IF(ISNUMBER(C346/(C300*10)),C346/(C300*10),"0")</f>
        <v>0.34812923451323613</v>
      </c>
      <c r="D436" s="627">
        <f t="shared" si="111"/>
        <v>0.37499516073310979</v>
      </c>
      <c r="E436" s="627">
        <f t="shared" si="111"/>
        <v>0.43624196555723493</v>
      </c>
      <c r="F436" s="627">
        <f t="shared" si="111"/>
        <v>0.50990657950872909</v>
      </c>
      <c r="G436" s="627">
        <f t="shared" si="111"/>
        <v>0.66438173846535253</v>
      </c>
      <c r="H436" s="627">
        <f t="shared" si="111"/>
        <v>0.69983332161930079</v>
      </c>
      <c r="I436" s="627">
        <f t="shared" si="111"/>
        <v>0.83013407783301663</v>
      </c>
      <c r="J436" s="627">
        <f t="shared" si="111"/>
        <v>0.71455806661513233</v>
      </c>
      <c r="K436" s="626">
        <f t="shared" si="103"/>
        <v>0</v>
      </c>
      <c r="L436" s="627">
        <f t="shared" si="104"/>
        <v>0</v>
      </c>
      <c r="M436" s="627">
        <f t="shared" si="105"/>
        <v>0</v>
      </c>
      <c r="N436" s="627">
        <f t="shared" si="106"/>
        <v>0</v>
      </c>
      <c r="O436" s="627">
        <f t="shared" si="107"/>
        <v>0</v>
      </c>
      <c r="P436" s="627">
        <f t="shared" si="108"/>
        <v>0</v>
      </c>
      <c r="Q436" s="627">
        <f t="shared" si="109"/>
        <v>0</v>
      </c>
      <c r="R436" s="628">
        <f t="shared" si="110"/>
        <v>0</v>
      </c>
    </row>
    <row r="437" spans="2:18">
      <c r="B437" s="595" t="s">
        <v>1050</v>
      </c>
      <c r="C437" s="626" t="str">
        <f t="shared" si="111"/>
        <v>0</v>
      </c>
      <c r="D437" s="627" t="str">
        <f t="shared" si="111"/>
        <v>0</v>
      </c>
      <c r="E437" s="627" t="str">
        <f t="shared" si="111"/>
        <v>0</v>
      </c>
      <c r="F437" s="627" t="str">
        <f t="shared" si="111"/>
        <v>0</v>
      </c>
      <c r="G437" s="627" t="str">
        <f t="shared" si="111"/>
        <v>0</v>
      </c>
      <c r="H437" s="627" t="str">
        <f t="shared" si="111"/>
        <v>0</v>
      </c>
      <c r="I437" s="627" t="str">
        <f t="shared" si="111"/>
        <v>0</v>
      </c>
      <c r="J437" s="627" t="str">
        <f t="shared" si="111"/>
        <v>0</v>
      </c>
      <c r="K437" s="626">
        <v>0</v>
      </c>
      <c r="L437" s="627">
        <v>0</v>
      </c>
      <c r="M437" s="627">
        <v>0</v>
      </c>
      <c r="N437" s="627">
        <v>0</v>
      </c>
      <c r="O437" s="627">
        <v>0</v>
      </c>
      <c r="P437" s="627">
        <v>0</v>
      </c>
      <c r="Q437" s="627">
        <v>0</v>
      </c>
      <c r="R437" s="628">
        <v>0</v>
      </c>
    </row>
    <row r="438" spans="2:18">
      <c r="B438" s="595" t="s">
        <v>1051</v>
      </c>
      <c r="C438" s="626" t="str">
        <f t="shared" si="111"/>
        <v>0</v>
      </c>
      <c r="D438" s="627" t="str">
        <f t="shared" si="111"/>
        <v>0</v>
      </c>
      <c r="E438" s="627" t="str">
        <f t="shared" si="111"/>
        <v>0</v>
      </c>
      <c r="F438" s="627" t="str">
        <f t="shared" si="111"/>
        <v>0</v>
      </c>
      <c r="G438" s="627" t="str">
        <f t="shared" si="111"/>
        <v>0</v>
      </c>
      <c r="H438" s="627" t="str">
        <f t="shared" si="111"/>
        <v>0</v>
      </c>
      <c r="I438" s="627" t="str">
        <f t="shared" si="111"/>
        <v>0</v>
      </c>
      <c r="J438" s="627" t="str">
        <f t="shared" si="111"/>
        <v>0</v>
      </c>
      <c r="K438" s="626" t="str">
        <f t="shared" ref="K438:R442" si="112">IF(ISNUMBER(K348/(C302*10)),K348/(C302*10),"0")</f>
        <v>0</v>
      </c>
      <c r="L438" s="627" t="str">
        <f t="shared" si="112"/>
        <v>0</v>
      </c>
      <c r="M438" s="627" t="str">
        <f t="shared" si="112"/>
        <v>0</v>
      </c>
      <c r="N438" s="627" t="str">
        <f t="shared" si="112"/>
        <v>0</v>
      </c>
      <c r="O438" s="627" t="str">
        <f t="shared" si="112"/>
        <v>0</v>
      </c>
      <c r="P438" s="627" t="str">
        <f t="shared" si="112"/>
        <v>0</v>
      </c>
      <c r="Q438" s="627" t="str">
        <f t="shared" si="112"/>
        <v>0</v>
      </c>
      <c r="R438" s="628" t="str">
        <f t="shared" si="112"/>
        <v>0</v>
      </c>
    </row>
    <row r="439" spans="2:18">
      <c r="B439" s="595" t="s">
        <v>1052</v>
      </c>
      <c r="C439" s="626">
        <f t="shared" si="111"/>
        <v>23.215120876161162</v>
      </c>
      <c r="D439" s="627">
        <f t="shared" si="111"/>
        <v>22.818833901266984</v>
      </c>
      <c r="E439" s="627">
        <f t="shared" si="111"/>
        <v>22.643312887558334</v>
      </c>
      <c r="F439" s="627">
        <f t="shared" si="111"/>
        <v>21.875457983954249</v>
      </c>
      <c r="G439" s="627">
        <f t="shared" si="111"/>
        <v>19.948266472310959</v>
      </c>
      <c r="H439" s="627">
        <f t="shared" si="111"/>
        <v>21.973457116831117</v>
      </c>
      <c r="I439" s="627">
        <f t="shared" si="111"/>
        <v>27.118990611810617</v>
      </c>
      <c r="J439" s="627">
        <f t="shared" si="111"/>
        <v>27.664085770230582</v>
      </c>
      <c r="K439" s="626">
        <f t="shared" si="112"/>
        <v>4.4259578408838234</v>
      </c>
      <c r="L439" s="627">
        <f t="shared" si="112"/>
        <v>3.658549547422667</v>
      </c>
      <c r="M439" s="627">
        <f t="shared" si="112"/>
        <v>3.1231104232514193</v>
      </c>
      <c r="N439" s="627">
        <f t="shared" si="112"/>
        <v>3.0970666027765645</v>
      </c>
      <c r="O439" s="627">
        <f t="shared" si="112"/>
        <v>6.0033730995559891</v>
      </c>
      <c r="P439" s="627">
        <f t="shared" si="112"/>
        <v>6.0201629109427586</v>
      </c>
      <c r="Q439" s="627">
        <f t="shared" si="112"/>
        <v>5.8166563379237521</v>
      </c>
      <c r="R439" s="628">
        <f t="shared" si="112"/>
        <v>5.1076449710097256</v>
      </c>
    </row>
    <row r="440" spans="2:18">
      <c r="B440" s="595" t="s">
        <v>1053</v>
      </c>
      <c r="C440" s="626">
        <f t="shared" si="111"/>
        <v>4.0615155846572604</v>
      </c>
      <c r="D440" s="627">
        <f t="shared" si="111"/>
        <v>27.828091252170424</v>
      </c>
      <c r="E440" s="627">
        <f t="shared" si="111"/>
        <v>28.819846030194022</v>
      </c>
      <c r="F440" s="627">
        <f t="shared" si="111"/>
        <v>32.381181536889684</v>
      </c>
      <c r="G440" s="627">
        <f t="shared" si="111"/>
        <v>32.814483647087982</v>
      </c>
      <c r="H440" s="627">
        <f t="shared" si="111"/>
        <v>35.47418968981124</v>
      </c>
      <c r="I440" s="627">
        <f t="shared" si="111"/>
        <v>46.618278853686192</v>
      </c>
      <c r="J440" s="627">
        <f t="shared" si="111"/>
        <v>43.469588028802633</v>
      </c>
      <c r="K440" s="626">
        <f t="shared" si="112"/>
        <v>0</v>
      </c>
      <c r="L440" s="627">
        <f t="shared" si="112"/>
        <v>0</v>
      </c>
      <c r="M440" s="627">
        <f t="shared" si="112"/>
        <v>0</v>
      </c>
      <c r="N440" s="627">
        <f t="shared" si="112"/>
        <v>0</v>
      </c>
      <c r="O440" s="627">
        <f t="shared" si="112"/>
        <v>0</v>
      </c>
      <c r="P440" s="627">
        <f t="shared" si="112"/>
        <v>0</v>
      </c>
      <c r="Q440" s="627">
        <f t="shared" si="112"/>
        <v>0</v>
      </c>
      <c r="R440" s="628">
        <f t="shared" si="112"/>
        <v>0</v>
      </c>
    </row>
    <row r="441" spans="2:18">
      <c r="B441" s="595" t="s">
        <v>1054</v>
      </c>
      <c r="C441" s="626">
        <f t="shared" si="111"/>
        <v>41.018501777089796</v>
      </c>
      <c r="D441" s="627">
        <f t="shared" si="111"/>
        <v>41.056584300179949</v>
      </c>
      <c r="E441" s="627">
        <f t="shared" si="111"/>
        <v>33.494706674653891</v>
      </c>
      <c r="F441" s="627">
        <f t="shared" si="111"/>
        <v>35.3661394541503</v>
      </c>
      <c r="G441" s="627">
        <f t="shared" si="111"/>
        <v>36.311121229344508</v>
      </c>
      <c r="H441" s="627">
        <f t="shared" si="111"/>
        <v>38.555999772042682</v>
      </c>
      <c r="I441" s="627">
        <f t="shared" si="111"/>
        <v>56.21749645909258</v>
      </c>
      <c r="J441" s="627">
        <f t="shared" si="111"/>
        <v>62.126092095636288</v>
      </c>
      <c r="K441" s="626">
        <f t="shared" si="112"/>
        <v>5.2792163456632215</v>
      </c>
      <c r="L441" s="627">
        <f t="shared" si="112"/>
        <v>4.6343494370024434</v>
      </c>
      <c r="M441" s="627">
        <f t="shared" si="112"/>
        <v>4.352430460905282</v>
      </c>
      <c r="N441" s="627">
        <f t="shared" si="112"/>
        <v>3.009023871696614</v>
      </c>
      <c r="O441" s="627">
        <f t="shared" si="112"/>
        <v>2.4862064832951605</v>
      </c>
      <c r="P441" s="627">
        <f t="shared" si="112"/>
        <v>5.2775588819779884</v>
      </c>
      <c r="Q441" s="627">
        <f t="shared" si="112"/>
        <v>4.2870274858811586</v>
      </c>
      <c r="R441" s="628">
        <f t="shared" si="112"/>
        <v>2.3785593054436371</v>
      </c>
    </row>
    <row r="442" spans="2:18">
      <c r="B442" s="604" t="s">
        <v>1055</v>
      </c>
      <c r="C442" s="629">
        <f t="shared" si="111"/>
        <v>9.4535999499573737</v>
      </c>
      <c r="D442" s="630">
        <f t="shared" si="111"/>
        <v>9.502248412742345</v>
      </c>
      <c r="E442" s="630">
        <f t="shared" si="111"/>
        <v>9.1945577981059081</v>
      </c>
      <c r="F442" s="630">
        <f t="shared" si="111"/>
        <v>9.7085311096510409</v>
      </c>
      <c r="G442" s="630">
        <f t="shared" si="111"/>
        <v>10.525780366574486</v>
      </c>
      <c r="H442" s="630">
        <f t="shared" si="111"/>
        <v>11.14689661359319</v>
      </c>
      <c r="I442" s="630">
        <f t="shared" si="111"/>
        <v>14.280688310824846</v>
      </c>
      <c r="J442" s="630">
        <f t="shared" si="111"/>
        <v>17.763893199247899</v>
      </c>
      <c r="K442" s="629">
        <f t="shared" si="112"/>
        <v>0.28085171008016241</v>
      </c>
      <c r="L442" s="630">
        <f t="shared" si="112"/>
        <v>0.29837859729514954</v>
      </c>
      <c r="M442" s="630">
        <f t="shared" si="112"/>
        <v>0.31192127469941916</v>
      </c>
      <c r="N442" s="630">
        <f t="shared" si="112"/>
        <v>0.3383468243177562</v>
      </c>
      <c r="O442" s="630">
        <f t="shared" si="112"/>
        <v>0.34985232497299018</v>
      </c>
      <c r="P442" s="630">
        <f t="shared" si="112"/>
        <v>0.35600498696283633</v>
      </c>
      <c r="Q442" s="630">
        <f t="shared" si="112"/>
        <v>0.41664588320790141</v>
      </c>
      <c r="R442" s="631">
        <f t="shared" si="112"/>
        <v>0.46910694806611725</v>
      </c>
    </row>
    <row r="443" spans="2:18">
      <c r="B443" s="57"/>
      <c r="C443" s="582"/>
      <c r="D443" s="582"/>
      <c r="E443" s="582"/>
      <c r="F443" s="582"/>
      <c r="G443" s="582"/>
      <c r="H443" s="582"/>
      <c r="I443" s="582"/>
      <c r="J443" s="582"/>
      <c r="K443" s="582"/>
      <c r="L443" s="582"/>
      <c r="M443" s="582"/>
      <c r="N443" s="582"/>
      <c r="O443" s="582"/>
      <c r="P443" s="582"/>
      <c r="Q443" s="582"/>
    </row>
    <row r="444" spans="2:18">
      <c r="B444" s="2157" t="s">
        <v>1111</v>
      </c>
      <c r="C444" s="2157"/>
      <c r="D444" s="2157"/>
      <c r="E444" s="2157"/>
      <c r="F444" s="2157"/>
      <c r="G444" s="2157"/>
      <c r="H444" s="2157"/>
      <c r="I444" s="2157"/>
      <c r="J444" s="2157"/>
      <c r="K444" s="2157"/>
      <c r="L444" s="2157"/>
      <c r="M444" s="2157"/>
      <c r="N444" s="2157"/>
      <c r="O444" s="2157"/>
      <c r="P444" s="2157"/>
      <c r="Q444" s="2157"/>
      <c r="R444" s="2157"/>
    </row>
    <row r="445" spans="2:18">
      <c r="B445" s="619"/>
      <c r="C445" s="621"/>
      <c r="D445" s="621"/>
      <c r="E445" s="621"/>
      <c r="F445" s="621"/>
      <c r="G445" s="621"/>
      <c r="H445" s="621"/>
      <c r="I445" s="621"/>
      <c r="J445" s="621"/>
      <c r="K445" s="622"/>
      <c r="L445" s="622"/>
      <c r="M445" s="622"/>
      <c r="N445" s="622"/>
      <c r="O445" s="622"/>
      <c r="P445" s="622"/>
      <c r="Q445" s="622"/>
    </row>
    <row r="446" spans="2:18">
      <c r="B446" s="583"/>
      <c r="C446" s="2183" t="s">
        <v>353</v>
      </c>
      <c r="D446" s="2184"/>
      <c r="E446" s="2184"/>
      <c r="F446" s="2184"/>
      <c r="G446" s="2184"/>
      <c r="H446" s="2184"/>
      <c r="I446" s="2184"/>
      <c r="J446" s="2185"/>
      <c r="K446" s="2183" t="s">
        <v>338</v>
      </c>
      <c r="L446" s="2184"/>
      <c r="M446" s="2184"/>
      <c r="N446" s="2184"/>
      <c r="O446" s="2184"/>
      <c r="P446" s="2184"/>
      <c r="Q446" s="2184"/>
      <c r="R446" s="2185"/>
    </row>
    <row r="447" spans="2:18">
      <c r="B447" s="57"/>
      <c r="C447" s="585">
        <v>2014</v>
      </c>
      <c r="D447" s="586">
        <v>2015</v>
      </c>
      <c r="E447" s="586">
        <v>2016</v>
      </c>
      <c r="F447" s="586">
        <v>2017</v>
      </c>
      <c r="G447" s="586">
        <v>2018</v>
      </c>
      <c r="H447" s="586">
        <v>2019</v>
      </c>
      <c r="I447" s="586">
        <v>2020</v>
      </c>
      <c r="J447" s="586">
        <v>2021</v>
      </c>
      <c r="K447" s="587">
        <v>2014</v>
      </c>
      <c r="L447" s="588">
        <v>2015</v>
      </c>
      <c r="M447" s="588">
        <v>2016</v>
      </c>
      <c r="N447" s="588">
        <v>2017</v>
      </c>
      <c r="O447" s="588">
        <v>2018</v>
      </c>
      <c r="P447" s="588">
        <v>2019</v>
      </c>
      <c r="Q447" s="588">
        <v>2020</v>
      </c>
      <c r="R447" s="848">
        <v>2021</v>
      </c>
    </row>
    <row r="448" spans="2:18">
      <c r="B448" s="589" t="s">
        <v>1038</v>
      </c>
      <c r="C448" s="614">
        <f t="shared" ref="C448:J457" si="113">IF(ISNUMBER(C358/C290/10),C358/C290/10,"0")</f>
        <v>6.5967291906939582</v>
      </c>
      <c r="D448" s="615">
        <f t="shared" si="113"/>
        <v>5.7532890692146559</v>
      </c>
      <c r="E448" s="615">
        <f t="shared" si="113"/>
        <v>4.7547811076229776</v>
      </c>
      <c r="F448" s="615">
        <f t="shared" si="113"/>
        <v>4.2614489439363172</v>
      </c>
      <c r="G448" s="615">
        <f t="shared" si="113"/>
        <v>3.6347315008051573</v>
      </c>
      <c r="H448" s="615">
        <f t="shared" si="113"/>
        <v>2.8290008606268424</v>
      </c>
      <c r="I448" s="615">
        <f t="shared" si="113"/>
        <v>1.6210147355032063</v>
      </c>
      <c r="J448" s="615">
        <f t="shared" si="113"/>
        <v>1.187134154429226</v>
      </c>
      <c r="K448" s="614">
        <f t="shared" ref="K448:K464" si="114">IF(ISNUMBER(K358/C290/10),K358/C290/10,"0")</f>
        <v>0</v>
      </c>
      <c r="L448" s="615">
        <f t="shared" ref="L448:L464" si="115">IF(ISNUMBER(L358/D290/10),L358/D290/10,"0")</f>
        <v>0</v>
      </c>
      <c r="M448" s="615">
        <f t="shared" ref="M448:M464" si="116">IF(ISNUMBER(M358/E290/10),M358/E290/10,"0")</f>
        <v>0.10750301825663089</v>
      </c>
      <c r="N448" s="615">
        <f t="shared" ref="N448:N464" si="117">IF(ISNUMBER(N358/F290/10),N358/F290/10,"0")</f>
        <v>1.0401008382681738</v>
      </c>
      <c r="O448" s="615">
        <f t="shared" ref="O448:O464" si="118">IF(ISNUMBER(O358/G290/10),O358/G290/10,"0")</f>
        <v>1.7017274573734908</v>
      </c>
      <c r="P448" s="615">
        <f t="shared" ref="P448:P464" si="119">IF(ISNUMBER(P358/H290/10),P358/H290/10,"0")</f>
        <v>3.4525549053103148</v>
      </c>
      <c r="Q448" s="615">
        <f t="shared" ref="Q448:Q464" si="120">IF(ISNUMBER(Q358/I290/10),Q358/I290/10,"0")</f>
        <v>7.7624555213190876</v>
      </c>
      <c r="R448" s="616">
        <f t="shared" ref="R448:R464" si="121">IF(ISNUMBER(R358/J290/10),R358/J290/10,"0")</f>
        <v>0</v>
      </c>
    </row>
    <row r="449" spans="2:18">
      <c r="B449" s="595" t="s">
        <v>1039</v>
      </c>
      <c r="C449" s="608">
        <f t="shared" si="113"/>
        <v>38.919419099179265</v>
      </c>
      <c r="D449" s="609">
        <f t="shared" si="113"/>
        <v>29.811051435963815</v>
      </c>
      <c r="E449" s="609">
        <f t="shared" si="113"/>
        <v>35.270158658942151</v>
      </c>
      <c r="F449" s="609">
        <f t="shared" si="113"/>
        <v>25.936031883717373</v>
      </c>
      <c r="G449" s="609">
        <f t="shared" si="113"/>
        <v>21.390818301361584</v>
      </c>
      <c r="H449" s="609">
        <f t="shared" si="113"/>
        <v>20.939039707547987</v>
      </c>
      <c r="I449" s="609">
        <f t="shared" si="113"/>
        <v>16.809304928989945</v>
      </c>
      <c r="J449" s="609">
        <f t="shared" si="113"/>
        <v>10.996212842230133</v>
      </c>
      <c r="K449" s="608">
        <f t="shared" si="114"/>
        <v>0</v>
      </c>
      <c r="L449" s="609">
        <f t="shared" si="115"/>
        <v>0</v>
      </c>
      <c r="M449" s="609">
        <f t="shared" si="116"/>
        <v>0</v>
      </c>
      <c r="N449" s="609">
        <f t="shared" si="117"/>
        <v>0</v>
      </c>
      <c r="O449" s="609">
        <f t="shared" si="118"/>
        <v>0</v>
      </c>
      <c r="P449" s="609">
        <f t="shared" si="119"/>
        <v>0</v>
      </c>
      <c r="Q449" s="609">
        <f t="shared" si="120"/>
        <v>0</v>
      </c>
      <c r="R449" s="603">
        <f t="shared" si="121"/>
        <v>0</v>
      </c>
    </row>
    <row r="450" spans="2:18">
      <c r="B450" s="595" t="s">
        <v>1040</v>
      </c>
      <c r="C450" s="608">
        <f t="shared" si="113"/>
        <v>16.737272151999839</v>
      </c>
      <c r="D450" s="609">
        <f t="shared" si="113"/>
        <v>5.7145684048502456</v>
      </c>
      <c r="E450" s="609">
        <f t="shared" si="113"/>
        <v>8.0096850008883411</v>
      </c>
      <c r="F450" s="609">
        <f t="shared" si="113"/>
        <v>2.1280375517640255</v>
      </c>
      <c r="G450" s="609">
        <f t="shared" si="113"/>
        <v>5.612345654734475</v>
      </c>
      <c r="H450" s="609">
        <f t="shared" si="113"/>
        <v>5.3309696860300928</v>
      </c>
      <c r="I450" s="609">
        <f t="shared" si="113"/>
        <v>3.5675315542807988</v>
      </c>
      <c r="J450" s="609">
        <f t="shared" si="113"/>
        <v>2.9091512646082083</v>
      </c>
      <c r="K450" s="608">
        <f t="shared" si="114"/>
        <v>9.8649135312796403</v>
      </c>
      <c r="L450" s="609">
        <f t="shared" si="115"/>
        <v>64.142213404610828</v>
      </c>
      <c r="M450" s="609">
        <f t="shared" si="116"/>
        <v>75.966507257753733</v>
      </c>
      <c r="N450" s="609">
        <f t="shared" si="117"/>
        <v>79.266368762818374</v>
      </c>
      <c r="O450" s="609">
        <f t="shared" si="118"/>
        <v>71.90617772383726</v>
      </c>
      <c r="P450" s="609">
        <f t="shared" si="119"/>
        <v>61.578316042701395</v>
      </c>
      <c r="Q450" s="609">
        <f t="shared" si="120"/>
        <v>57.161917529587832</v>
      </c>
      <c r="R450" s="603">
        <f t="shared" si="121"/>
        <v>50.626980751836506</v>
      </c>
    </row>
    <row r="451" spans="2:18">
      <c r="B451" s="595" t="s">
        <v>1041</v>
      </c>
      <c r="C451" s="608">
        <f t="shared" si="113"/>
        <v>4.2043722111421804</v>
      </c>
      <c r="D451" s="609">
        <f t="shared" si="113"/>
        <v>3.6649303695520219</v>
      </c>
      <c r="E451" s="609">
        <f t="shared" si="113"/>
        <v>2.9814217619957017</v>
      </c>
      <c r="F451" s="609">
        <f t="shared" si="113"/>
        <v>2.3528931396940331</v>
      </c>
      <c r="G451" s="609">
        <f t="shared" si="113"/>
        <v>1.8283600035188594</v>
      </c>
      <c r="H451" s="609">
        <f t="shared" si="113"/>
        <v>1.3959284449299239</v>
      </c>
      <c r="I451" s="609">
        <f t="shared" si="113"/>
        <v>0.87810838453156492</v>
      </c>
      <c r="J451" s="609">
        <f t="shared" si="113"/>
        <v>0.51659159508667818</v>
      </c>
      <c r="K451" s="608">
        <f t="shared" si="114"/>
        <v>0.10025410329484644</v>
      </c>
      <c r="L451" s="609">
        <f t="shared" si="115"/>
        <v>8.5894388078312317E-2</v>
      </c>
      <c r="M451" s="609">
        <f t="shared" si="116"/>
        <v>8.0741266012762936E-2</v>
      </c>
      <c r="N451" s="609">
        <f t="shared" si="117"/>
        <v>9.1367840874975875E-2</v>
      </c>
      <c r="O451" s="609">
        <f t="shared" si="118"/>
        <v>0.25520230369868946</v>
      </c>
      <c r="P451" s="609">
        <f t="shared" si="119"/>
        <v>1.1622457189322053</v>
      </c>
      <c r="Q451" s="609">
        <f t="shared" si="120"/>
        <v>2.9452236760895723</v>
      </c>
      <c r="R451" s="603">
        <f t="shared" si="121"/>
        <v>6.5652509269774431</v>
      </c>
    </row>
    <row r="452" spans="2:18">
      <c r="B452" s="595" t="s">
        <v>1042</v>
      </c>
      <c r="C452" s="608">
        <f t="shared" si="113"/>
        <v>17.768592568221145</v>
      </c>
      <c r="D452" s="609">
        <f t="shared" si="113"/>
        <v>13.705160919542175</v>
      </c>
      <c r="E452" s="609">
        <f t="shared" si="113"/>
        <v>10.795492644740083</v>
      </c>
      <c r="F452" s="609">
        <f t="shared" si="113"/>
        <v>8.1519082535857681</v>
      </c>
      <c r="G452" s="609">
        <f t="shared" si="113"/>
        <v>6.0406049884458168</v>
      </c>
      <c r="H452" s="609">
        <f t="shared" si="113"/>
        <v>4.3930626582733669</v>
      </c>
      <c r="I452" s="609">
        <f t="shared" si="113"/>
        <v>2.2686976941186914</v>
      </c>
      <c r="J452" s="609" t="str">
        <f t="shared" si="113"/>
        <v>0</v>
      </c>
      <c r="K452" s="608">
        <f t="shared" si="114"/>
        <v>0</v>
      </c>
      <c r="L452" s="609">
        <f t="shared" si="115"/>
        <v>0</v>
      </c>
      <c r="M452" s="609">
        <f t="shared" si="116"/>
        <v>0</v>
      </c>
      <c r="N452" s="609">
        <f t="shared" si="117"/>
        <v>0</v>
      </c>
      <c r="O452" s="609">
        <f t="shared" si="118"/>
        <v>0</v>
      </c>
      <c r="P452" s="609">
        <f t="shared" si="119"/>
        <v>0</v>
      </c>
      <c r="Q452" s="609">
        <f t="shared" si="120"/>
        <v>0</v>
      </c>
      <c r="R452" s="603" t="str">
        <f t="shared" si="121"/>
        <v>0</v>
      </c>
    </row>
    <row r="453" spans="2:18">
      <c r="B453" s="595" t="s">
        <v>1043</v>
      </c>
      <c r="C453" s="608">
        <f t="shared" si="113"/>
        <v>4.2007845515371134</v>
      </c>
      <c r="D453" s="609">
        <f t="shared" si="113"/>
        <v>3.3834615228692231</v>
      </c>
      <c r="E453" s="609">
        <f t="shared" si="113"/>
        <v>2.6003207397209418</v>
      </c>
      <c r="F453" s="609">
        <f t="shared" si="113"/>
        <v>1.7542797103497207</v>
      </c>
      <c r="G453" s="609">
        <f t="shared" si="113"/>
        <v>1.3192454858893954</v>
      </c>
      <c r="H453" s="609">
        <f t="shared" si="113"/>
        <v>0.97675055451362824</v>
      </c>
      <c r="I453" s="609">
        <f t="shared" si="113"/>
        <v>0.545408065082017</v>
      </c>
      <c r="J453" s="609">
        <f t="shared" si="113"/>
        <v>0.4342518098586966</v>
      </c>
      <c r="K453" s="608">
        <f t="shared" si="114"/>
        <v>0</v>
      </c>
      <c r="L453" s="609">
        <f t="shared" si="115"/>
        <v>0</v>
      </c>
      <c r="M453" s="609">
        <f t="shared" si="116"/>
        <v>0</v>
      </c>
      <c r="N453" s="609">
        <f t="shared" si="117"/>
        <v>0</v>
      </c>
      <c r="O453" s="609">
        <f t="shared" si="118"/>
        <v>0</v>
      </c>
      <c r="P453" s="609">
        <f t="shared" si="119"/>
        <v>0</v>
      </c>
      <c r="Q453" s="609">
        <f t="shared" si="120"/>
        <v>0</v>
      </c>
      <c r="R453" s="603">
        <f t="shared" si="121"/>
        <v>32.877185848693784</v>
      </c>
    </row>
    <row r="454" spans="2:18">
      <c r="B454" s="595" t="s">
        <v>1044</v>
      </c>
      <c r="C454" s="608">
        <f t="shared" si="113"/>
        <v>5.0452944423572701</v>
      </c>
      <c r="D454" s="609">
        <f t="shared" si="113"/>
        <v>3.86283807011728</v>
      </c>
      <c r="E454" s="609">
        <f t="shared" si="113"/>
        <v>3.0528794472984382</v>
      </c>
      <c r="F454" s="609">
        <f t="shared" si="113"/>
        <v>1.4551335800194014</v>
      </c>
      <c r="G454" s="609">
        <f t="shared" si="113"/>
        <v>1.3051259331764871</v>
      </c>
      <c r="H454" s="609">
        <f t="shared" si="113"/>
        <v>0.88509425855515977</v>
      </c>
      <c r="I454" s="609">
        <f t="shared" si="113"/>
        <v>0.63666358280290791</v>
      </c>
      <c r="J454" s="609">
        <f t="shared" si="113"/>
        <v>0.36527523849596438</v>
      </c>
      <c r="K454" s="608">
        <f t="shared" si="114"/>
        <v>0</v>
      </c>
      <c r="L454" s="609">
        <f t="shared" si="115"/>
        <v>0</v>
      </c>
      <c r="M454" s="609">
        <f t="shared" si="116"/>
        <v>0</v>
      </c>
      <c r="N454" s="609">
        <f t="shared" si="117"/>
        <v>0</v>
      </c>
      <c r="O454" s="609">
        <f t="shared" si="118"/>
        <v>0</v>
      </c>
      <c r="P454" s="609">
        <f t="shared" si="119"/>
        <v>0</v>
      </c>
      <c r="Q454" s="609">
        <f t="shared" si="120"/>
        <v>0</v>
      </c>
      <c r="R454" s="603">
        <f t="shared" si="121"/>
        <v>0</v>
      </c>
    </row>
    <row r="455" spans="2:18">
      <c r="B455" s="595" t="s">
        <v>1061</v>
      </c>
      <c r="C455" s="608" t="str">
        <f t="shared" si="113"/>
        <v>0</v>
      </c>
      <c r="D455" s="609">
        <f t="shared" si="113"/>
        <v>5.8237354085603119</v>
      </c>
      <c r="E455" s="609">
        <f t="shared" si="113"/>
        <v>4.9078722325173452</v>
      </c>
      <c r="F455" s="609">
        <f t="shared" si="113"/>
        <v>3.8845562721740712</v>
      </c>
      <c r="G455" s="609">
        <f t="shared" si="113"/>
        <v>3.4033947839005401</v>
      </c>
      <c r="H455" s="609">
        <f t="shared" si="113"/>
        <v>2.1116682521712327</v>
      </c>
      <c r="I455" s="609">
        <f t="shared" si="113"/>
        <v>1.2086696247729702</v>
      </c>
      <c r="J455" s="609">
        <f t="shared" si="113"/>
        <v>0.74046334606379327</v>
      </c>
      <c r="K455" s="608" t="str">
        <f t="shared" si="114"/>
        <v>0</v>
      </c>
      <c r="L455" s="609">
        <f t="shared" si="115"/>
        <v>1.395330739299611</v>
      </c>
      <c r="M455" s="609">
        <f t="shared" si="116"/>
        <v>2.072419089492306</v>
      </c>
      <c r="N455" s="609">
        <f t="shared" si="117"/>
        <v>1.8044808191693515</v>
      </c>
      <c r="O455" s="609">
        <f t="shared" si="118"/>
        <v>1.7360109497942449</v>
      </c>
      <c r="P455" s="609">
        <f t="shared" si="119"/>
        <v>1.6015515737396879</v>
      </c>
      <c r="Q455" s="609">
        <f t="shared" si="120"/>
        <v>2.0650672434040334</v>
      </c>
      <c r="R455" s="603">
        <f t="shared" si="121"/>
        <v>1.8272309642726843</v>
      </c>
    </row>
    <row r="456" spans="2:18">
      <c r="B456" s="595" t="s">
        <v>1047</v>
      </c>
      <c r="C456" s="608">
        <f t="shared" si="113"/>
        <v>42.364502043423485</v>
      </c>
      <c r="D456" s="609">
        <f t="shared" si="113"/>
        <v>14.13128522335575</v>
      </c>
      <c r="E456" s="609">
        <f t="shared" si="113"/>
        <v>11.975786740708127</v>
      </c>
      <c r="F456" s="609">
        <f t="shared" si="113"/>
        <v>10.532570658486879</v>
      </c>
      <c r="G456" s="609">
        <f t="shared" si="113"/>
        <v>8.9464169877199975</v>
      </c>
      <c r="H456" s="609">
        <f t="shared" si="113"/>
        <v>7.6693106925245207</v>
      </c>
      <c r="I456" s="609">
        <f t="shared" si="113"/>
        <v>5.443719776036982</v>
      </c>
      <c r="J456" s="609">
        <f t="shared" si="113"/>
        <v>4.9060900059080925</v>
      </c>
      <c r="K456" s="608">
        <f t="shared" si="114"/>
        <v>0</v>
      </c>
      <c r="L456" s="609">
        <f t="shared" si="115"/>
        <v>0</v>
      </c>
      <c r="M456" s="609">
        <f t="shared" si="116"/>
        <v>0</v>
      </c>
      <c r="N456" s="609">
        <f t="shared" si="117"/>
        <v>0</v>
      </c>
      <c r="O456" s="609">
        <f t="shared" si="118"/>
        <v>0</v>
      </c>
      <c r="P456" s="609">
        <f t="shared" si="119"/>
        <v>0</v>
      </c>
      <c r="Q456" s="609">
        <f t="shared" si="120"/>
        <v>0</v>
      </c>
      <c r="R456" s="603">
        <f t="shared" si="121"/>
        <v>0</v>
      </c>
    </row>
    <row r="457" spans="2:18">
      <c r="B457" s="595" t="s">
        <v>1048</v>
      </c>
      <c r="C457" s="608" t="str">
        <f t="shared" si="113"/>
        <v>0</v>
      </c>
      <c r="D457" s="609">
        <f t="shared" si="113"/>
        <v>20.909845119101021</v>
      </c>
      <c r="E457" s="609">
        <f t="shared" si="113"/>
        <v>18.301137170391183</v>
      </c>
      <c r="F457" s="609">
        <f t="shared" si="113"/>
        <v>16.712249692111222</v>
      </c>
      <c r="G457" s="609">
        <f t="shared" si="113"/>
        <v>14.728773997260078</v>
      </c>
      <c r="H457" s="609">
        <f t="shared" si="113"/>
        <v>11.660415396800133</v>
      </c>
      <c r="I457" s="609">
        <f t="shared" si="113"/>
        <v>8.3822309988617079</v>
      </c>
      <c r="J457" s="609">
        <f t="shared" si="113"/>
        <v>7.3235112485294973</v>
      </c>
      <c r="K457" s="608" t="str">
        <f t="shared" si="114"/>
        <v>0</v>
      </c>
      <c r="L457" s="609">
        <f t="shared" si="115"/>
        <v>0</v>
      </c>
      <c r="M457" s="609">
        <f t="shared" si="116"/>
        <v>0</v>
      </c>
      <c r="N457" s="609">
        <f t="shared" si="117"/>
        <v>0</v>
      </c>
      <c r="O457" s="609">
        <f t="shared" si="118"/>
        <v>0</v>
      </c>
      <c r="P457" s="609">
        <f t="shared" si="119"/>
        <v>0</v>
      </c>
      <c r="Q457" s="609">
        <f t="shared" si="120"/>
        <v>0</v>
      </c>
      <c r="R457" s="603">
        <f t="shared" si="121"/>
        <v>0</v>
      </c>
    </row>
    <row r="458" spans="2:18">
      <c r="B458" s="595" t="s">
        <v>1049</v>
      </c>
      <c r="C458" s="608">
        <f t="shared" ref="C458:J464" si="122">IF(ISNUMBER(C368/C300/10),C368/C300/10,"0")</f>
        <v>99.192606153832671</v>
      </c>
      <c r="D458" s="609">
        <f t="shared" si="122"/>
        <v>99.063615401763556</v>
      </c>
      <c r="E458" s="609">
        <f t="shared" si="122"/>
        <v>98.826449577521956</v>
      </c>
      <c r="F458" s="609">
        <f t="shared" si="122"/>
        <v>98.463925776918742</v>
      </c>
      <c r="G458" s="609">
        <f t="shared" si="122"/>
        <v>98.043915478517548</v>
      </c>
      <c r="H458" s="609">
        <f t="shared" si="122"/>
        <v>97.720633287277437</v>
      </c>
      <c r="I458" s="609">
        <f t="shared" si="122"/>
        <v>97.24880211026786</v>
      </c>
      <c r="J458" s="609">
        <f t="shared" si="122"/>
        <v>97.789488998089638</v>
      </c>
      <c r="K458" s="608">
        <f t="shared" si="114"/>
        <v>0</v>
      </c>
      <c r="L458" s="609">
        <f t="shared" si="115"/>
        <v>0</v>
      </c>
      <c r="M458" s="609">
        <f t="shared" si="116"/>
        <v>0</v>
      </c>
      <c r="N458" s="609">
        <f t="shared" si="117"/>
        <v>0</v>
      </c>
      <c r="O458" s="609">
        <f t="shared" si="118"/>
        <v>0</v>
      </c>
      <c r="P458" s="609">
        <f t="shared" si="119"/>
        <v>0</v>
      </c>
      <c r="Q458" s="609">
        <f t="shared" si="120"/>
        <v>0</v>
      </c>
      <c r="R458" s="603">
        <f t="shared" si="121"/>
        <v>0</v>
      </c>
    </row>
    <row r="459" spans="2:18">
      <c r="B459" s="595" t="s">
        <v>1050</v>
      </c>
      <c r="C459" s="608" t="str">
        <f t="shared" si="122"/>
        <v>0</v>
      </c>
      <c r="D459" s="609" t="str">
        <f t="shared" si="122"/>
        <v>0</v>
      </c>
      <c r="E459" s="609" t="str">
        <f t="shared" si="122"/>
        <v>0</v>
      </c>
      <c r="F459" s="609" t="str">
        <f t="shared" si="122"/>
        <v>0</v>
      </c>
      <c r="G459" s="609" t="str">
        <f t="shared" si="122"/>
        <v>0</v>
      </c>
      <c r="H459" s="609" t="str">
        <f t="shared" si="122"/>
        <v>0</v>
      </c>
      <c r="I459" s="609" t="str">
        <f t="shared" si="122"/>
        <v>0</v>
      </c>
      <c r="J459" s="609" t="str">
        <f t="shared" si="122"/>
        <v>0</v>
      </c>
      <c r="K459" s="608" t="str">
        <f t="shared" si="114"/>
        <v>0</v>
      </c>
      <c r="L459" s="609" t="str">
        <f t="shared" si="115"/>
        <v>0</v>
      </c>
      <c r="M459" s="609" t="str">
        <f t="shared" si="116"/>
        <v>0</v>
      </c>
      <c r="N459" s="609" t="str">
        <f t="shared" si="117"/>
        <v>0</v>
      </c>
      <c r="O459" s="609" t="str">
        <f t="shared" si="118"/>
        <v>0</v>
      </c>
      <c r="P459" s="609" t="str">
        <f t="shared" si="119"/>
        <v>0</v>
      </c>
      <c r="Q459" s="609" t="str">
        <f t="shared" si="120"/>
        <v>0</v>
      </c>
      <c r="R459" s="603" t="str">
        <f t="shared" si="121"/>
        <v>0</v>
      </c>
    </row>
    <row r="460" spans="2:18">
      <c r="B460" s="595" t="s">
        <v>1051</v>
      </c>
      <c r="C460" s="608" t="str">
        <f t="shared" si="122"/>
        <v>0</v>
      </c>
      <c r="D460" s="609" t="str">
        <f t="shared" si="122"/>
        <v>0</v>
      </c>
      <c r="E460" s="609" t="str">
        <f t="shared" si="122"/>
        <v>0</v>
      </c>
      <c r="F460" s="609" t="str">
        <f t="shared" si="122"/>
        <v>0</v>
      </c>
      <c r="G460" s="609" t="str">
        <f t="shared" si="122"/>
        <v>0</v>
      </c>
      <c r="H460" s="609" t="str">
        <f t="shared" si="122"/>
        <v>0</v>
      </c>
      <c r="I460" s="609" t="str">
        <f t="shared" si="122"/>
        <v>0</v>
      </c>
      <c r="J460" s="609" t="str">
        <f t="shared" si="122"/>
        <v>0</v>
      </c>
      <c r="K460" s="608" t="str">
        <f t="shared" si="114"/>
        <v>0</v>
      </c>
      <c r="L460" s="609" t="str">
        <f t="shared" si="115"/>
        <v>0</v>
      </c>
      <c r="M460" s="609" t="str">
        <f t="shared" si="116"/>
        <v>0</v>
      </c>
      <c r="N460" s="609" t="str">
        <f t="shared" si="117"/>
        <v>0</v>
      </c>
      <c r="O460" s="609" t="str">
        <f t="shared" si="118"/>
        <v>0</v>
      </c>
      <c r="P460" s="609" t="str">
        <f t="shared" si="119"/>
        <v>0</v>
      </c>
      <c r="Q460" s="609" t="str">
        <f t="shared" si="120"/>
        <v>0</v>
      </c>
      <c r="R460" s="603" t="str">
        <f t="shared" si="121"/>
        <v>0</v>
      </c>
    </row>
    <row r="461" spans="2:18">
      <c r="B461" s="595" t="s">
        <v>1052</v>
      </c>
      <c r="C461" s="608">
        <f t="shared" si="122"/>
        <v>13.245743873586122</v>
      </c>
      <c r="D461" s="609">
        <f t="shared" si="122"/>
        <v>11.590299313990128</v>
      </c>
      <c r="E461" s="609">
        <f t="shared" si="122"/>
        <v>10.244797375001557</v>
      </c>
      <c r="F461" s="609">
        <f t="shared" si="122"/>
        <v>8.6814883248468622</v>
      </c>
      <c r="G461" s="609">
        <f t="shared" si="122"/>
        <v>7.5770444213014612</v>
      </c>
      <c r="H461" s="609">
        <f t="shared" si="122"/>
        <v>6.1713829556132707</v>
      </c>
      <c r="I461" s="609">
        <f t="shared" si="122"/>
        <v>4.4070569084421169</v>
      </c>
      <c r="J461" s="609">
        <f t="shared" si="122"/>
        <v>3.503708485886885</v>
      </c>
      <c r="K461" s="608">
        <f t="shared" si="114"/>
        <v>0</v>
      </c>
      <c r="L461" s="609">
        <f t="shared" si="115"/>
        <v>0</v>
      </c>
      <c r="M461" s="609">
        <f t="shared" si="116"/>
        <v>0</v>
      </c>
      <c r="N461" s="609">
        <f t="shared" si="117"/>
        <v>0</v>
      </c>
      <c r="O461" s="609">
        <f t="shared" si="118"/>
        <v>0</v>
      </c>
      <c r="P461" s="609">
        <f t="shared" si="119"/>
        <v>0</v>
      </c>
      <c r="Q461" s="609">
        <f t="shared" si="120"/>
        <v>0</v>
      </c>
      <c r="R461" s="603">
        <f t="shared" si="121"/>
        <v>0</v>
      </c>
    </row>
    <row r="462" spans="2:18">
      <c r="B462" s="595" t="s">
        <v>1053</v>
      </c>
      <c r="C462" s="608">
        <f t="shared" si="122"/>
        <v>33.509494377712862</v>
      </c>
      <c r="D462" s="609">
        <f t="shared" si="122"/>
        <v>27.198301741138938</v>
      </c>
      <c r="E462" s="609">
        <f t="shared" si="122"/>
        <v>23.313599078431576</v>
      </c>
      <c r="F462" s="609">
        <f t="shared" si="122"/>
        <v>18.975617296540804</v>
      </c>
      <c r="G462" s="609">
        <f t="shared" si="122"/>
        <v>15.228073869213919</v>
      </c>
      <c r="H462" s="609">
        <f t="shared" si="122"/>
        <v>11.607537752731147</v>
      </c>
      <c r="I462" s="609">
        <f t="shared" si="122"/>
        <v>6.66783664660817</v>
      </c>
      <c r="J462" s="609">
        <f t="shared" si="122"/>
        <v>5.2565809655566529</v>
      </c>
      <c r="K462" s="608">
        <f t="shared" si="114"/>
        <v>0</v>
      </c>
      <c r="L462" s="609">
        <f t="shared" si="115"/>
        <v>0.34488572274199353</v>
      </c>
      <c r="M462" s="609">
        <f t="shared" si="116"/>
        <v>0.59712675313944918</v>
      </c>
      <c r="N462" s="609">
        <f t="shared" si="117"/>
        <v>2.0154897821359645</v>
      </c>
      <c r="O462" s="609">
        <f t="shared" si="118"/>
        <v>2.3248744785029549</v>
      </c>
      <c r="P462" s="609">
        <f t="shared" si="119"/>
        <v>3.9944257231711546</v>
      </c>
      <c r="Q462" s="609">
        <f t="shared" si="120"/>
        <v>12.060578136848537</v>
      </c>
      <c r="R462" s="603">
        <f t="shared" si="121"/>
        <v>18.481525038899758</v>
      </c>
    </row>
    <row r="463" spans="2:18">
      <c r="B463" s="595" t="s">
        <v>1054</v>
      </c>
      <c r="C463" s="608">
        <f t="shared" si="122"/>
        <v>6.8008607710317319</v>
      </c>
      <c r="D463" s="609">
        <f t="shared" si="122"/>
        <v>5.5089262968600536</v>
      </c>
      <c r="E463" s="609">
        <f t="shared" si="122"/>
        <v>4.8986517302259172</v>
      </c>
      <c r="F463" s="609">
        <f t="shared" si="122"/>
        <v>3.8632945839989197</v>
      </c>
      <c r="G463" s="609">
        <f t="shared" si="122"/>
        <v>2.8889821216803968</v>
      </c>
      <c r="H463" s="609">
        <f t="shared" si="122"/>
        <v>1.8973100419283191</v>
      </c>
      <c r="I463" s="609">
        <f t="shared" si="122"/>
        <v>0.72197649320418589</v>
      </c>
      <c r="J463" s="609">
        <f t="shared" si="122"/>
        <v>0.31503677435843824</v>
      </c>
      <c r="K463" s="608">
        <f t="shared" si="114"/>
        <v>0</v>
      </c>
      <c r="L463" s="609">
        <f t="shared" si="115"/>
        <v>0</v>
      </c>
      <c r="M463" s="609">
        <f t="shared" si="116"/>
        <v>6.0077024089162413E-3</v>
      </c>
      <c r="N463" s="609">
        <f t="shared" si="117"/>
        <v>3.830183576009312E-2</v>
      </c>
      <c r="O463" s="609">
        <f t="shared" si="118"/>
        <v>7.2252392156801265E-2</v>
      </c>
      <c r="P463" s="609">
        <f t="shared" si="119"/>
        <v>7.126889893571374E-2</v>
      </c>
      <c r="Q463" s="609">
        <f t="shared" si="120"/>
        <v>6.5485232878453231E-2</v>
      </c>
      <c r="R463" s="603">
        <f t="shared" si="121"/>
        <v>3.4338737594074291E-2</v>
      </c>
    </row>
    <row r="464" spans="2:18">
      <c r="B464" s="604" t="s">
        <v>1055</v>
      </c>
      <c r="C464" s="610">
        <f t="shared" si="122"/>
        <v>20.737071503136541</v>
      </c>
      <c r="D464" s="617">
        <f t="shared" si="122"/>
        <v>19.132230315210915</v>
      </c>
      <c r="E464" s="617">
        <f t="shared" si="122"/>
        <v>16.925540422980532</v>
      </c>
      <c r="F464" s="617">
        <f t="shared" si="122"/>
        <v>15.903582610842989</v>
      </c>
      <c r="G464" s="617">
        <f t="shared" si="122"/>
        <v>14.19911615635041</v>
      </c>
      <c r="H464" s="617">
        <f t="shared" si="122"/>
        <v>12.592701568210838</v>
      </c>
      <c r="I464" s="617">
        <f t="shared" si="122"/>
        <v>9.9708089566643103</v>
      </c>
      <c r="J464" s="617">
        <f t="shared" si="122"/>
        <v>8.0567819962900362</v>
      </c>
      <c r="K464" s="610">
        <f t="shared" si="114"/>
        <v>5.5557063476427571</v>
      </c>
      <c r="L464" s="617">
        <f t="shared" si="115"/>
        <v>5.7081803091159724</v>
      </c>
      <c r="M464" s="617">
        <f t="shared" si="116"/>
        <v>5.7877342755427064</v>
      </c>
      <c r="N464" s="617">
        <f t="shared" si="117"/>
        <v>5.6884951213322958</v>
      </c>
      <c r="O464" s="617">
        <f t="shared" si="118"/>
        <v>6.0923587248599755</v>
      </c>
      <c r="P464" s="617">
        <f t="shared" si="119"/>
        <v>6.7256439222894455</v>
      </c>
      <c r="Q464" s="617">
        <f t="shared" si="120"/>
        <v>6.3329592769397518</v>
      </c>
      <c r="R464" s="618">
        <f t="shared" si="121"/>
        <v>6.3851460462585674</v>
      </c>
    </row>
    <row r="465" spans="2:18">
      <c r="B465" s="57"/>
      <c r="C465" s="582"/>
      <c r="D465" s="582"/>
      <c r="E465" s="582"/>
      <c r="F465" s="582"/>
      <c r="G465" s="582"/>
      <c r="H465" s="582"/>
      <c r="I465" s="582"/>
      <c r="J465" s="582"/>
      <c r="K465" s="582"/>
      <c r="L465" s="582"/>
      <c r="M465" s="582"/>
      <c r="N465" s="582"/>
      <c r="O465" s="582"/>
      <c r="P465" s="582"/>
      <c r="Q465" s="582"/>
    </row>
    <row r="466" spans="2:18">
      <c r="B466" s="2157" t="s">
        <v>1111</v>
      </c>
      <c r="C466" s="2157"/>
      <c r="D466" s="2157"/>
      <c r="E466" s="2157"/>
      <c r="F466" s="2157"/>
      <c r="G466" s="2157"/>
      <c r="H466" s="2157"/>
      <c r="I466" s="2157"/>
      <c r="J466" s="2157"/>
      <c r="K466" s="2157"/>
      <c r="L466" s="2157"/>
      <c r="M466" s="2157"/>
      <c r="N466" s="2157"/>
      <c r="O466" s="2157"/>
      <c r="P466" s="2157"/>
      <c r="Q466" s="2157"/>
      <c r="R466" s="2157"/>
    </row>
    <row r="467" spans="2:18">
      <c r="B467" s="619"/>
      <c r="C467" s="621"/>
      <c r="D467" s="621"/>
      <c r="E467" s="621"/>
      <c r="F467" s="621"/>
      <c r="G467" s="621"/>
      <c r="H467" s="621"/>
      <c r="I467" s="621"/>
      <c r="J467" s="621"/>
      <c r="K467" s="622"/>
      <c r="L467" s="622"/>
      <c r="M467" s="622"/>
      <c r="N467" s="622"/>
      <c r="O467" s="622"/>
      <c r="P467" s="622"/>
      <c r="Q467" s="622"/>
    </row>
    <row r="468" spans="2:18">
      <c r="B468" s="583"/>
      <c r="C468" s="2183" t="s">
        <v>1112</v>
      </c>
      <c r="D468" s="2184"/>
      <c r="E468" s="2184"/>
      <c r="F468" s="2184"/>
      <c r="G468" s="2184"/>
      <c r="H468" s="2184"/>
      <c r="I468" s="2184"/>
      <c r="J468" s="2185"/>
      <c r="K468" s="2200" t="s">
        <v>1113</v>
      </c>
      <c r="L468" s="2201"/>
      <c r="M468" s="2201"/>
      <c r="N468" s="2201"/>
      <c r="O468" s="2201"/>
      <c r="P468" s="2201"/>
      <c r="Q468" s="2201"/>
      <c r="R468" s="2202"/>
    </row>
    <row r="469" spans="2:18">
      <c r="B469" s="57"/>
      <c r="C469" s="585">
        <v>2014</v>
      </c>
      <c r="D469" s="586">
        <v>2015</v>
      </c>
      <c r="E469" s="586">
        <v>2016</v>
      </c>
      <c r="F469" s="586">
        <v>2017</v>
      </c>
      <c r="G469" s="586">
        <v>2018</v>
      </c>
      <c r="H469" s="586">
        <v>2019</v>
      </c>
      <c r="I469" s="586">
        <v>2020</v>
      </c>
      <c r="J469" s="586">
        <v>2021</v>
      </c>
      <c r="K469" s="587">
        <v>2014</v>
      </c>
      <c r="L469" s="588">
        <v>2015</v>
      </c>
      <c r="M469" s="588">
        <v>2016</v>
      </c>
      <c r="N469" s="588">
        <v>2017</v>
      </c>
      <c r="O469" s="588">
        <v>2018</v>
      </c>
      <c r="P469" s="588">
        <v>2019</v>
      </c>
      <c r="Q469" s="588">
        <v>2020</v>
      </c>
      <c r="R469" s="848">
        <v>2021</v>
      </c>
    </row>
    <row r="470" spans="2:18">
      <c r="B470" s="589" t="s">
        <v>1038</v>
      </c>
      <c r="C470" s="614">
        <f t="shared" ref="C470:J479" si="123">IF(ISNUMBER(C380/C290/10),C380/C290/10,"0")</f>
        <v>81.441437542659443</v>
      </c>
      <c r="D470" s="615">
        <f t="shared" si="123"/>
        <v>82.009116414346465</v>
      </c>
      <c r="E470" s="615">
        <f t="shared" si="123"/>
        <v>82.796875585145386</v>
      </c>
      <c r="F470" s="615">
        <f t="shared" si="123"/>
        <v>80.940579332081867</v>
      </c>
      <c r="G470" s="615">
        <f t="shared" si="123"/>
        <v>79.213484491772476</v>
      </c>
      <c r="H470" s="615">
        <f t="shared" si="123"/>
        <v>76.606686100019616</v>
      </c>
      <c r="I470" s="615">
        <f t="shared" si="123"/>
        <v>59.979873849117993</v>
      </c>
      <c r="J470" s="615">
        <f t="shared" si="123"/>
        <v>56.712779432226725</v>
      </c>
      <c r="K470" s="614">
        <f t="shared" ref="K470:K486" si="124">IF(ISNUMBER(K380/C290/10),K380/C290/10,"0")</f>
        <v>37.243544498269195</v>
      </c>
      <c r="L470" s="615">
        <f t="shared" ref="L470:L486" si="125">IF(ISNUMBER(L380/D290/10),L380/D290/10,"0")</f>
        <v>37.941555845438479</v>
      </c>
      <c r="M470" s="615">
        <f t="shared" ref="M470:M486" si="126">IF(ISNUMBER(M380/E290/10),M380/E290/10,"0")</f>
        <v>37.620005420430985</v>
      </c>
      <c r="N470" s="615">
        <f t="shared" ref="N470:N486" si="127">IF(ISNUMBER(N380/F290/10),N380/F290/10,"0")</f>
        <v>37.386863431234708</v>
      </c>
      <c r="O470" s="615">
        <f t="shared" ref="O470:O486" si="128">IF(ISNUMBER(O380/G290/10),O380/G290/10,"0")</f>
        <v>37.779384589559228</v>
      </c>
      <c r="P470" s="615">
        <f t="shared" ref="P470:P486" si="129">IF(ISNUMBER(P380/H290/10),P380/H290/10,"0")</f>
        <v>38.507414171937292</v>
      </c>
      <c r="Q470" s="615">
        <f t="shared" ref="Q470:Q486" si="130">IF(ISNUMBER(Q380/I290/10),Q380/I290/10,"0")</f>
        <v>35.303272259742783</v>
      </c>
      <c r="R470" s="616">
        <f t="shared" ref="R470:R486" si="131">IF(ISNUMBER(R380/J290/10),R380/J290/10,"0")</f>
        <v>35.595434254332574</v>
      </c>
    </row>
    <row r="471" spans="2:18">
      <c r="B471" s="595" t="s">
        <v>1039</v>
      </c>
      <c r="C471" s="608">
        <f t="shared" si="123"/>
        <v>49.310206666213951</v>
      </c>
      <c r="D471" s="609">
        <f t="shared" si="123"/>
        <v>59.771398723505719</v>
      </c>
      <c r="E471" s="609">
        <f t="shared" si="123"/>
        <v>55.222372775686232</v>
      </c>
      <c r="F471" s="609">
        <f t="shared" si="123"/>
        <v>63.871903574287593</v>
      </c>
      <c r="G471" s="609">
        <f t="shared" si="123"/>
        <v>68.755813845547124</v>
      </c>
      <c r="H471" s="609">
        <f t="shared" si="123"/>
        <v>69.077260578441866</v>
      </c>
      <c r="I471" s="609">
        <f t="shared" si="123"/>
        <v>72.005431732687867</v>
      </c>
      <c r="J471" s="609">
        <f t="shared" si="123"/>
        <v>77.232153597624375</v>
      </c>
      <c r="K471" s="608">
        <f t="shared" si="124"/>
        <v>42.132357192904067</v>
      </c>
      <c r="L471" s="609">
        <f t="shared" si="125"/>
        <v>51.173951810507454</v>
      </c>
      <c r="M471" s="609">
        <f t="shared" si="126"/>
        <v>43.161071134727749</v>
      </c>
      <c r="N471" s="609">
        <f t="shared" si="127"/>
        <v>49.989120948906745</v>
      </c>
      <c r="O471" s="609">
        <f t="shared" si="128"/>
        <v>56.038949003971823</v>
      </c>
      <c r="P471" s="609">
        <f t="shared" si="129"/>
        <v>56.594533338610916</v>
      </c>
      <c r="Q471" s="609">
        <f t="shared" si="130"/>
        <v>60.220668377176651</v>
      </c>
      <c r="R471" s="603">
        <f t="shared" si="131"/>
        <v>64.362464395532285</v>
      </c>
    </row>
    <row r="472" spans="2:18">
      <c r="B472" s="595" t="s">
        <v>1040</v>
      </c>
      <c r="C472" s="608">
        <f t="shared" si="123"/>
        <v>73.397814316720513</v>
      </c>
      <c r="D472" s="609">
        <f t="shared" si="123"/>
        <v>30.143218190538931</v>
      </c>
      <c r="E472" s="609">
        <f t="shared" si="123"/>
        <v>16.023807741357945</v>
      </c>
      <c r="F472" s="609">
        <f t="shared" si="123"/>
        <v>18.605593685417592</v>
      </c>
      <c r="G472" s="609">
        <f t="shared" si="123"/>
        <v>22.48147662142825</v>
      </c>
      <c r="H472" s="609">
        <f t="shared" si="123"/>
        <v>33.09071427126851</v>
      </c>
      <c r="I472" s="609">
        <f t="shared" si="123"/>
        <v>39.27055091613137</v>
      </c>
      <c r="J472" s="609">
        <f t="shared" si="123"/>
        <v>46.463867983555282</v>
      </c>
      <c r="K472" s="608">
        <f t="shared" si="124"/>
        <v>41.859534176191751</v>
      </c>
      <c r="L472" s="609">
        <f t="shared" si="125"/>
        <v>17.981213153371506</v>
      </c>
      <c r="M472" s="609">
        <f t="shared" si="126"/>
        <v>9.6976406039859793</v>
      </c>
      <c r="N472" s="609">
        <f t="shared" si="127"/>
        <v>11.916792839584065</v>
      </c>
      <c r="O472" s="609">
        <f t="shared" si="128"/>
        <v>14.640475352090871</v>
      </c>
      <c r="P472" s="609">
        <f t="shared" si="129"/>
        <v>21.165036917529953</v>
      </c>
      <c r="Q472" s="609">
        <f t="shared" si="130"/>
        <v>29.069013087744622</v>
      </c>
      <c r="R472" s="603">
        <f t="shared" si="131"/>
        <v>34.720217819368919</v>
      </c>
    </row>
    <row r="473" spans="2:18">
      <c r="B473" s="595" t="s">
        <v>1041</v>
      </c>
      <c r="C473" s="608">
        <f t="shared" si="123"/>
        <v>39.65548511726108</v>
      </c>
      <c r="D473" s="609">
        <f t="shared" si="123"/>
        <v>41.677260370914844</v>
      </c>
      <c r="E473" s="609">
        <f t="shared" si="123"/>
        <v>44.201444216806593</v>
      </c>
      <c r="F473" s="609">
        <f t="shared" si="123"/>
        <v>46.495786670657345</v>
      </c>
      <c r="G473" s="609">
        <f t="shared" si="123"/>
        <v>47.909134144260477</v>
      </c>
      <c r="H473" s="609">
        <f t="shared" si="123"/>
        <v>52.087397918709939</v>
      </c>
      <c r="I473" s="609">
        <f t="shared" si="123"/>
        <v>48.336642686550746</v>
      </c>
      <c r="J473" s="609">
        <f t="shared" si="123"/>
        <v>43.334743001356266</v>
      </c>
      <c r="K473" s="608">
        <f t="shared" si="124"/>
        <v>20.32823376624075</v>
      </c>
      <c r="L473" s="609">
        <f t="shared" si="125"/>
        <v>21.894763375027694</v>
      </c>
      <c r="M473" s="609">
        <f t="shared" si="126"/>
        <v>23.59656584340604</v>
      </c>
      <c r="N473" s="609">
        <f t="shared" si="127"/>
        <v>25.544956654274678</v>
      </c>
      <c r="O473" s="609">
        <f t="shared" si="128"/>
        <v>26.094174717537449</v>
      </c>
      <c r="P473" s="609">
        <f t="shared" si="129"/>
        <v>27.592672352853231</v>
      </c>
      <c r="Q473" s="609">
        <f t="shared" si="130"/>
        <v>26.427354910742821</v>
      </c>
      <c r="R473" s="603">
        <f t="shared" si="131"/>
        <v>22.34412291372422</v>
      </c>
    </row>
    <row r="474" spans="2:18">
      <c r="B474" s="595" t="s">
        <v>1042</v>
      </c>
      <c r="C474" s="608">
        <f t="shared" si="123"/>
        <v>72.302338908037257</v>
      </c>
      <c r="D474" s="609">
        <f t="shared" si="123"/>
        <v>76.48916253510582</v>
      </c>
      <c r="E474" s="609">
        <f t="shared" si="123"/>
        <v>79.87130753171266</v>
      </c>
      <c r="F474" s="609">
        <f t="shared" si="123"/>
        <v>83.09043928489308</v>
      </c>
      <c r="G474" s="609">
        <f t="shared" si="123"/>
        <v>85.308127088979433</v>
      </c>
      <c r="H474" s="609">
        <f t="shared" si="123"/>
        <v>86.87681458062508</v>
      </c>
      <c r="I474" s="609">
        <f t="shared" si="123"/>
        <v>88.590092753176663</v>
      </c>
      <c r="J474" s="609" t="str">
        <f t="shared" si="123"/>
        <v>0</v>
      </c>
      <c r="K474" s="608">
        <f t="shared" si="124"/>
        <v>51.578320392991088</v>
      </c>
      <c r="L474" s="609">
        <f t="shared" si="125"/>
        <v>54.782800980058525</v>
      </c>
      <c r="M474" s="609">
        <f t="shared" si="126"/>
        <v>56.773377044433197</v>
      </c>
      <c r="N474" s="609">
        <f t="shared" si="127"/>
        <v>59.618706664120317</v>
      </c>
      <c r="O474" s="609">
        <f t="shared" si="128"/>
        <v>62.848520355996719</v>
      </c>
      <c r="P474" s="609">
        <f t="shared" si="129"/>
        <v>66.06167002426848</v>
      </c>
      <c r="Q474" s="609">
        <f t="shared" si="130"/>
        <v>65.522831953242147</v>
      </c>
      <c r="R474" s="603" t="str">
        <f t="shared" si="131"/>
        <v>0</v>
      </c>
    </row>
    <row r="475" spans="2:18">
      <c r="B475" s="595" t="s">
        <v>1043</v>
      </c>
      <c r="C475" s="608">
        <f t="shared" si="123"/>
        <v>69.844130752409427</v>
      </c>
      <c r="D475" s="609">
        <f t="shared" si="123"/>
        <v>70.917626462694287</v>
      </c>
      <c r="E475" s="609">
        <f t="shared" si="123"/>
        <v>72.944453849406955</v>
      </c>
      <c r="F475" s="609">
        <f t="shared" si="123"/>
        <v>73.992491294793879</v>
      </c>
      <c r="G475" s="609">
        <f t="shared" si="123"/>
        <v>74.731091765282088</v>
      </c>
      <c r="H475" s="609">
        <f t="shared" si="123"/>
        <v>76.076598892238039</v>
      </c>
      <c r="I475" s="609">
        <f t="shared" si="123"/>
        <v>72.442217797500149</v>
      </c>
      <c r="J475" s="609">
        <f t="shared" si="123"/>
        <v>75.445502927813592</v>
      </c>
      <c r="K475" s="608">
        <f t="shared" si="124"/>
        <v>38.019585379237085</v>
      </c>
      <c r="L475" s="609">
        <f t="shared" si="125"/>
        <v>39.032644812080328</v>
      </c>
      <c r="M475" s="609">
        <f t="shared" si="126"/>
        <v>39.112654788368594</v>
      </c>
      <c r="N475" s="609">
        <f t="shared" si="127"/>
        <v>39.919290450214966</v>
      </c>
      <c r="O475" s="609">
        <f t="shared" si="128"/>
        <v>40.750189784297916</v>
      </c>
      <c r="P475" s="609">
        <f t="shared" si="129"/>
        <v>42.529777840716278</v>
      </c>
      <c r="Q475" s="609">
        <f t="shared" si="130"/>
        <v>44.620608791342178</v>
      </c>
      <c r="R475" s="603">
        <f t="shared" si="131"/>
        <v>49.753747198734075</v>
      </c>
    </row>
    <row r="476" spans="2:18">
      <c r="B476" s="595" t="s">
        <v>1044</v>
      </c>
      <c r="C476" s="608">
        <f t="shared" si="123"/>
        <v>94.954705557642725</v>
      </c>
      <c r="D476" s="609">
        <f t="shared" si="123"/>
        <v>96.137161929882694</v>
      </c>
      <c r="E476" s="609">
        <f t="shared" si="123"/>
        <v>96.947120552701548</v>
      </c>
      <c r="F476" s="609">
        <f t="shared" si="123"/>
        <v>75.092047357034417</v>
      </c>
      <c r="G476" s="609">
        <f t="shared" si="123"/>
        <v>71.159483991716769</v>
      </c>
      <c r="H476" s="609">
        <f t="shared" si="123"/>
        <v>73.724349806542449</v>
      </c>
      <c r="I476" s="609">
        <f t="shared" si="123"/>
        <v>63.978587911961725</v>
      </c>
      <c r="J476" s="609">
        <f t="shared" si="123"/>
        <v>60.984822757658947</v>
      </c>
      <c r="K476" s="608">
        <f t="shared" si="124"/>
        <v>61.417785922612438</v>
      </c>
      <c r="L476" s="609">
        <f t="shared" si="125"/>
        <v>64.135007958471718</v>
      </c>
      <c r="M476" s="609">
        <f t="shared" si="126"/>
        <v>67.282601373029792</v>
      </c>
      <c r="N476" s="609">
        <f t="shared" si="127"/>
        <v>48.704598086606765</v>
      </c>
      <c r="O476" s="609">
        <f t="shared" si="128"/>
        <v>46.170148193901866</v>
      </c>
      <c r="P476" s="609">
        <f t="shared" si="129"/>
        <v>48.554390166739779</v>
      </c>
      <c r="Q476" s="609">
        <f t="shared" si="130"/>
        <v>45.743159800481813</v>
      </c>
      <c r="R476" s="603">
        <f t="shared" si="131"/>
        <v>45.363846483475008</v>
      </c>
    </row>
    <row r="477" spans="2:18">
      <c r="B477" s="595" t="s">
        <v>1061</v>
      </c>
      <c r="C477" s="608" t="str">
        <f t="shared" si="123"/>
        <v>0</v>
      </c>
      <c r="D477" s="609">
        <f t="shared" si="123"/>
        <v>52.240856031128409</v>
      </c>
      <c r="E477" s="609">
        <f t="shared" si="123"/>
        <v>48.774135650685068</v>
      </c>
      <c r="F477" s="609">
        <f t="shared" si="123"/>
        <v>52.182779333593444</v>
      </c>
      <c r="G477" s="609">
        <f t="shared" si="123"/>
        <v>52.092180643660299</v>
      </c>
      <c r="H477" s="609">
        <f t="shared" si="123"/>
        <v>56.854908980344533</v>
      </c>
      <c r="I477" s="609">
        <f t="shared" si="123"/>
        <v>56.103518295485628</v>
      </c>
      <c r="J477" s="609">
        <f t="shared" si="123"/>
        <v>60.353666629935198</v>
      </c>
      <c r="K477" s="608" t="str">
        <f t="shared" si="124"/>
        <v>0</v>
      </c>
      <c r="L477" s="609">
        <f t="shared" si="125"/>
        <v>45.225291828793772</v>
      </c>
      <c r="M477" s="609">
        <f t="shared" si="126"/>
        <v>41.181368252865909</v>
      </c>
      <c r="N477" s="609">
        <f t="shared" si="127"/>
        <v>44.584975192132951</v>
      </c>
      <c r="O477" s="609">
        <f t="shared" si="128"/>
        <v>44.243888486460982</v>
      </c>
      <c r="P477" s="609">
        <f t="shared" si="129"/>
        <v>47.846123977699591</v>
      </c>
      <c r="Q477" s="609">
        <f t="shared" si="130"/>
        <v>50.982305891356518</v>
      </c>
      <c r="R477" s="603">
        <f t="shared" si="131"/>
        <v>51.58020510615188</v>
      </c>
    </row>
    <row r="478" spans="2:18">
      <c r="B478" s="595" t="s">
        <v>1047</v>
      </c>
      <c r="C478" s="608">
        <f t="shared" si="123"/>
        <v>0</v>
      </c>
      <c r="D478" s="609">
        <f t="shared" si="123"/>
        <v>62.490080812082837</v>
      </c>
      <c r="E478" s="609">
        <f t="shared" si="123"/>
        <v>63.417452437799774</v>
      </c>
      <c r="F478" s="609">
        <f t="shared" si="123"/>
        <v>65.816678014251096</v>
      </c>
      <c r="G478" s="609">
        <f t="shared" si="123"/>
        <v>68.457773697531564</v>
      </c>
      <c r="H478" s="609">
        <f t="shared" si="123"/>
        <v>70.002163924124503</v>
      </c>
      <c r="I478" s="609">
        <f t="shared" si="123"/>
        <v>67.634016745174677</v>
      </c>
      <c r="J478" s="609">
        <f t="shared" si="123"/>
        <v>67.694232696278462</v>
      </c>
      <c r="K478" s="608">
        <f t="shared" si="124"/>
        <v>0</v>
      </c>
      <c r="L478" s="609">
        <f t="shared" si="125"/>
        <v>9.4955159848065609</v>
      </c>
      <c r="M478" s="609">
        <f t="shared" si="126"/>
        <v>11.558692662724695</v>
      </c>
      <c r="N478" s="609">
        <f t="shared" si="127"/>
        <v>12.637319296893931</v>
      </c>
      <c r="O478" s="609">
        <f t="shared" si="128"/>
        <v>13.672657517884137</v>
      </c>
      <c r="P478" s="609">
        <f t="shared" si="129"/>
        <v>15.751658170010192</v>
      </c>
      <c r="Q478" s="609">
        <f t="shared" si="130"/>
        <v>18.123098455644453</v>
      </c>
      <c r="R478" s="603">
        <f t="shared" si="131"/>
        <v>30.399302249511294</v>
      </c>
    </row>
    <row r="479" spans="2:18">
      <c r="B479" s="595" t="s">
        <v>1048</v>
      </c>
      <c r="C479" s="608" t="str">
        <f t="shared" si="123"/>
        <v>0</v>
      </c>
      <c r="D479" s="609">
        <f t="shared" si="123"/>
        <v>55.968421264491063</v>
      </c>
      <c r="E479" s="609">
        <f t="shared" si="123"/>
        <v>56.308309134479202</v>
      </c>
      <c r="F479" s="609">
        <f t="shared" si="123"/>
        <v>61.199438364443054</v>
      </c>
      <c r="G479" s="609">
        <f t="shared" si="123"/>
        <v>62.521993930853782</v>
      </c>
      <c r="H479" s="609">
        <f t="shared" si="123"/>
        <v>59.237512870657703</v>
      </c>
      <c r="I479" s="609">
        <f t="shared" si="123"/>
        <v>59.007541815962234</v>
      </c>
      <c r="J479" s="609">
        <f t="shared" si="123"/>
        <v>56.235661854155111</v>
      </c>
      <c r="K479" s="608" t="str">
        <f t="shared" si="124"/>
        <v>0</v>
      </c>
      <c r="L479" s="609">
        <f t="shared" si="125"/>
        <v>25.480444505521405</v>
      </c>
      <c r="M479" s="609">
        <f t="shared" si="126"/>
        <v>26.443655837299453</v>
      </c>
      <c r="N479" s="609">
        <f t="shared" si="127"/>
        <v>28.047685127908505</v>
      </c>
      <c r="O479" s="609">
        <f t="shared" si="128"/>
        <v>28.703715982817499</v>
      </c>
      <c r="P479" s="609">
        <f t="shared" si="129"/>
        <v>27.958034898381168</v>
      </c>
      <c r="Q479" s="609">
        <f t="shared" si="130"/>
        <v>30.573248811301418</v>
      </c>
      <c r="R479" s="603">
        <f t="shared" si="131"/>
        <v>29.369545193920278</v>
      </c>
    </row>
    <row r="480" spans="2:18">
      <c r="B480" s="595" t="s">
        <v>1049</v>
      </c>
      <c r="C480" s="608">
        <f t="shared" ref="C480:J486" si="132">IF(ISNUMBER(C390/C300/10),C390/C300/10,"0")</f>
        <v>0.45926461165410482</v>
      </c>
      <c r="D480" s="609">
        <f t="shared" si="132"/>
        <v>0.56138943750331849</v>
      </c>
      <c r="E480" s="609">
        <f t="shared" si="132"/>
        <v>0.73730845692081282</v>
      </c>
      <c r="F480" s="609">
        <f t="shared" si="132"/>
        <v>1.0261676435725149</v>
      </c>
      <c r="G480" s="609">
        <f t="shared" si="132"/>
        <v>1.2917027830170915</v>
      </c>
      <c r="H480" s="609">
        <f t="shared" si="132"/>
        <v>1.5795333911032616</v>
      </c>
      <c r="I480" s="609">
        <f t="shared" si="132"/>
        <v>1.9210638118991308</v>
      </c>
      <c r="J480" s="609">
        <f t="shared" si="132"/>
        <v>1.495952935295223</v>
      </c>
      <c r="K480" s="608">
        <f t="shared" si="124"/>
        <v>0.45056845467168261</v>
      </c>
      <c r="L480" s="609">
        <f t="shared" si="125"/>
        <v>0.55423274051451965</v>
      </c>
      <c r="M480" s="609">
        <f t="shared" si="126"/>
        <v>0.72972462945372107</v>
      </c>
      <c r="N480" s="609">
        <f t="shared" si="127"/>
        <v>1.0135037018108872</v>
      </c>
      <c r="O480" s="609">
        <f t="shared" si="128"/>
        <v>1.2787029593927584</v>
      </c>
      <c r="P480" s="609">
        <f t="shared" si="129"/>
        <v>1.5610969719049941</v>
      </c>
      <c r="Q480" s="609">
        <f t="shared" si="130"/>
        <v>1.8857908736376452</v>
      </c>
      <c r="R480" s="603">
        <f t="shared" si="131"/>
        <v>1.4725485645113019</v>
      </c>
    </row>
    <row r="481" spans="2:18">
      <c r="B481" s="595" t="s">
        <v>1050</v>
      </c>
      <c r="C481" s="608" t="str">
        <f t="shared" si="132"/>
        <v>0</v>
      </c>
      <c r="D481" s="609" t="str">
        <f t="shared" si="132"/>
        <v>0</v>
      </c>
      <c r="E481" s="609" t="str">
        <f t="shared" si="132"/>
        <v>0</v>
      </c>
      <c r="F481" s="609" t="str">
        <f t="shared" si="132"/>
        <v>0</v>
      </c>
      <c r="G481" s="609" t="str">
        <f t="shared" si="132"/>
        <v>0</v>
      </c>
      <c r="H481" s="609" t="str">
        <f t="shared" si="132"/>
        <v>0</v>
      </c>
      <c r="I481" s="609" t="str">
        <f t="shared" si="132"/>
        <v>0</v>
      </c>
      <c r="J481" s="609" t="str">
        <f t="shared" si="132"/>
        <v>0</v>
      </c>
      <c r="K481" s="608" t="str">
        <f t="shared" si="124"/>
        <v>0</v>
      </c>
      <c r="L481" s="609" t="str">
        <f t="shared" si="125"/>
        <v>0</v>
      </c>
      <c r="M481" s="609" t="str">
        <f t="shared" si="126"/>
        <v>0</v>
      </c>
      <c r="N481" s="609" t="str">
        <f t="shared" si="127"/>
        <v>0</v>
      </c>
      <c r="O481" s="609" t="str">
        <f t="shared" si="128"/>
        <v>0</v>
      </c>
      <c r="P481" s="609" t="str">
        <f t="shared" si="129"/>
        <v>0</v>
      </c>
      <c r="Q481" s="609" t="str">
        <f t="shared" si="130"/>
        <v>0</v>
      </c>
      <c r="R481" s="603" t="str">
        <f t="shared" si="131"/>
        <v>0</v>
      </c>
    </row>
    <row r="482" spans="2:18">
      <c r="B482" s="595" t="s">
        <v>1051</v>
      </c>
      <c r="C482" s="608" t="str">
        <f t="shared" si="132"/>
        <v>0</v>
      </c>
      <c r="D482" s="609" t="str">
        <f t="shared" si="132"/>
        <v>0</v>
      </c>
      <c r="E482" s="609" t="str">
        <f t="shared" si="132"/>
        <v>0</v>
      </c>
      <c r="F482" s="609" t="str">
        <f t="shared" si="132"/>
        <v>0</v>
      </c>
      <c r="G482" s="609" t="str">
        <f t="shared" si="132"/>
        <v>0</v>
      </c>
      <c r="H482" s="609" t="str">
        <f t="shared" si="132"/>
        <v>0</v>
      </c>
      <c r="I482" s="609" t="str">
        <f t="shared" si="132"/>
        <v>0</v>
      </c>
      <c r="J482" s="609" t="str">
        <f t="shared" si="132"/>
        <v>0</v>
      </c>
      <c r="K482" s="608" t="str">
        <f t="shared" si="124"/>
        <v>0</v>
      </c>
      <c r="L482" s="609" t="str">
        <f t="shared" si="125"/>
        <v>0</v>
      </c>
      <c r="M482" s="609" t="str">
        <f t="shared" si="126"/>
        <v>0</v>
      </c>
      <c r="N482" s="609" t="str">
        <f t="shared" si="127"/>
        <v>0</v>
      </c>
      <c r="O482" s="609" t="str">
        <f t="shared" si="128"/>
        <v>0</v>
      </c>
      <c r="P482" s="609" t="str">
        <f t="shared" si="129"/>
        <v>0</v>
      </c>
      <c r="Q482" s="609" t="str">
        <f t="shared" si="130"/>
        <v>0</v>
      </c>
      <c r="R482" s="603" t="str">
        <f t="shared" si="131"/>
        <v>0</v>
      </c>
    </row>
    <row r="483" spans="2:18">
      <c r="B483" s="595" t="s">
        <v>1052</v>
      </c>
      <c r="C483" s="608">
        <f t="shared" si="132"/>
        <v>59.113177409368895</v>
      </c>
      <c r="D483" s="609">
        <f t="shared" si="132"/>
        <v>61.932317237320227</v>
      </c>
      <c r="E483" s="609">
        <f t="shared" si="132"/>
        <v>63.988779314188704</v>
      </c>
      <c r="F483" s="609">
        <f t="shared" si="132"/>
        <v>66.345987088422333</v>
      </c>
      <c r="G483" s="609">
        <f t="shared" si="132"/>
        <v>66.471316006831586</v>
      </c>
      <c r="H483" s="609">
        <f t="shared" si="132"/>
        <v>65.834997016612874</v>
      </c>
      <c r="I483" s="609">
        <f t="shared" si="132"/>
        <v>62.657296141823494</v>
      </c>
      <c r="J483" s="609">
        <f t="shared" si="132"/>
        <v>63.724560772872806</v>
      </c>
      <c r="K483" s="608">
        <f t="shared" si="124"/>
        <v>17.034486434418024</v>
      </c>
      <c r="L483" s="609">
        <f t="shared" si="125"/>
        <v>18.842513570997507</v>
      </c>
      <c r="M483" s="609">
        <f t="shared" si="126"/>
        <v>19.488874751386557</v>
      </c>
      <c r="N483" s="609">
        <f t="shared" si="127"/>
        <v>21.445919287403576</v>
      </c>
      <c r="O483" s="609">
        <f t="shared" si="128"/>
        <v>23.931821217461145</v>
      </c>
      <c r="P483" s="609">
        <f t="shared" si="129"/>
        <v>25.625588097266718</v>
      </c>
      <c r="Q483" s="609">
        <f t="shared" si="130"/>
        <v>28.070658086175939</v>
      </c>
      <c r="R483" s="603">
        <f t="shared" si="131"/>
        <v>29.600904781004527</v>
      </c>
    </row>
    <row r="484" spans="2:18">
      <c r="B484" s="595" t="s">
        <v>1054</v>
      </c>
      <c r="C484" s="608">
        <f t="shared" si="132"/>
        <v>62.428990037629873</v>
      </c>
      <c r="D484" s="609">
        <f t="shared" si="132"/>
        <v>44.628721283948657</v>
      </c>
      <c r="E484" s="609">
        <f t="shared" si="132"/>
        <v>47.269428138234957</v>
      </c>
      <c r="F484" s="609">
        <f t="shared" si="132"/>
        <v>46.627711384433539</v>
      </c>
      <c r="G484" s="609">
        <f t="shared" si="132"/>
        <v>49.632568005195147</v>
      </c>
      <c r="H484" s="609">
        <f t="shared" si="132"/>
        <v>48.923846834286458</v>
      </c>
      <c r="I484" s="609">
        <f t="shared" si="132"/>
        <v>34.653306362857101</v>
      </c>
      <c r="J484" s="609">
        <f t="shared" si="132"/>
        <v>32.792305966740933</v>
      </c>
      <c r="K484" s="608">
        <f t="shared" si="124"/>
        <v>23.230260114590816</v>
      </c>
      <c r="L484" s="609">
        <f t="shared" si="125"/>
        <v>19.713882183817653</v>
      </c>
      <c r="M484" s="609">
        <f t="shared" si="126"/>
        <v>22.50999940116434</v>
      </c>
      <c r="N484" s="609">
        <f t="shared" si="127"/>
        <v>24.198818678037018</v>
      </c>
      <c r="O484" s="609">
        <f t="shared" si="128"/>
        <v>25.971628383123765</v>
      </c>
      <c r="P484" s="609">
        <f t="shared" si="129"/>
        <v>27.29100524789542</v>
      </c>
      <c r="Q484" s="609">
        <f t="shared" si="130"/>
        <v>22.273617035899882</v>
      </c>
      <c r="R484" s="603">
        <f t="shared" si="131"/>
        <v>24.458194873539529</v>
      </c>
    </row>
    <row r="485" spans="2:18">
      <c r="B485" s="595" t="s">
        <v>1053</v>
      </c>
      <c r="C485" s="608">
        <f t="shared" si="132"/>
        <v>46.901421106215253</v>
      </c>
      <c r="D485" s="609">
        <f t="shared" si="132"/>
        <v>48.800139965957541</v>
      </c>
      <c r="E485" s="609">
        <f t="shared" si="132"/>
        <v>57.248203431805997</v>
      </c>
      <c r="F485" s="609">
        <f t="shared" si="132"/>
        <v>57.723240254394057</v>
      </c>
      <c r="G485" s="609">
        <f t="shared" si="132"/>
        <v>58.241437773523145</v>
      </c>
      <c r="H485" s="609">
        <f t="shared" si="132"/>
        <v>54.197862405115302</v>
      </c>
      <c r="I485" s="609">
        <f t="shared" si="132"/>
        <v>38.708014328943612</v>
      </c>
      <c r="J485" s="609">
        <f t="shared" si="132"/>
        <v>35.145973086967558</v>
      </c>
      <c r="K485" s="608">
        <f t="shared" si="124"/>
        <v>24.181373432128606</v>
      </c>
      <c r="L485" s="609">
        <f t="shared" si="125"/>
        <v>25.701167206309059</v>
      </c>
      <c r="M485" s="609">
        <f t="shared" si="126"/>
        <v>30.076716333433644</v>
      </c>
      <c r="N485" s="609">
        <f t="shared" si="127"/>
        <v>31.291840727880913</v>
      </c>
      <c r="O485" s="609">
        <f t="shared" si="128"/>
        <v>32.813482008029375</v>
      </c>
      <c r="P485" s="609">
        <f t="shared" si="129"/>
        <v>31.716002770276408</v>
      </c>
      <c r="Q485" s="609">
        <f t="shared" si="130"/>
        <v>26.211073784632863</v>
      </c>
      <c r="R485" s="603">
        <f t="shared" si="131"/>
        <v>25.421042301652598</v>
      </c>
    </row>
    <row r="486" spans="2:18">
      <c r="B486" s="604" t="s">
        <v>1055</v>
      </c>
      <c r="C486" s="610">
        <f t="shared" si="132"/>
        <v>63.972770489183162</v>
      </c>
      <c r="D486" s="617">
        <f t="shared" si="132"/>
        <v>65.35896236563562</v>
      </c>
      <c r="E486" s="617">
        <f t="shared" si="132"/>
        <v>67.780246228671416</v>
      </c>
      <c r="F486" s="617">
        <f t="shared" si="132"/>
        <v>68.361044333855915</v>
      </c>
      <c r="G486" s="617">
        <f t="shared" si="132"/>
        <v>68.832892427242129</v>
      </c>
      <c r="H486" s="617">
        <f t="shared" si="132"/>
        <v>69.178752908943707</v>
      </c>
      <c r="I486" s="617">
        <f t="shared" si="132"/>
        <v>68.998897572363205</v>
      </c>
      <c r="J486" s="617">
        <f t="shared" si="132"/>
        <v>67.325071810137359</v>
      </c>
      <c r="K486" s="610">
        <f t="shared" si="124"/>
        <v>44.868856638225367</v>
      </c>
      <c r="L486" s="617">
        <f t="shared" si="125"/>
        <v>45.626805195017127</v>
      </c>
      <c r="M486" s="617">
        <f t="shared" si="126"/>
        <v>46.93338471522911</v>
      </c>
      <c r="N486" s="617">
        <f t="shared" si="127"/>
        <v>46.856163087682866</v>
      </c>
      <c r="O486" s="617">
        <f t="shared" si="128"/>
        <v>47.265448136442437</v>
      </c>
      <c r="P486" s="617">
        <f t="shared" si="129"/>
        <v>47.857156665019929</v>
      </c>
      <c r="Q486" s="617">
        <f t="shared" si="130"/>
        <v>48.407295905128798</v>
      </c>
      <c r="R486" s="618">
        <f t="shared" si="131"/>
        <v>47.621194768177368</v>
      </c>
    </row>
    <row r="487" spans="2:18">
      <c r="B487" s="57"/>
      <c r="C487" s="582"/>
      <c r="D487" s="582"/>
      <c r="E487" s="582"/>
      <c r="F487" s="582"/>
      <c r="G487" s="582"/>
      <c r="H487" s="582"/>
      <c r="I487" s="582"/>
      <c r="J487" s="582"/>
      <c r="K487" s="582"/>
      <c r="L487" s="582"/>
      <c r="M487" s="582"/>
      <c r="N487" s="582"/>
      <c r="O487" s="582"/>
      <c r="P487" s="582"/>
      <c r="Q487" s="582"/>
    </row>
    <row r="488" spans="2:18">
      <c r="B488" s="2157" t="s">
        <v>1111</v>
      </c>
      <c r="C488" s="2157"/>
      <c r="D488" s="2157"/>
      <c r="E488" s="2157"/>
      <c r="F488" s="2157"/>
      <c r="G488" s="2157"/>
      <c r="H488" s="2157"/>
      <c r="I488" s="2157"/>
      <c r="J488" s="2157"/>
      <c r="K488" s="2157"/>
      <c r="L488" s="2157"/>
      <c r="M488" s="2157"/>
      <c r="N488" s="2157"/>
      <c r="O488" s="2157"/>
      <c r="P488" s="2157"/>
      <c r="Q488" s="2157"/>
      <c r="R488" s="2157"/>
    </row>
    <row r="489" spans="2:18">
      <c r="B489" s="619"/>
      <c r="C489" s="621"/>
      <c r="D489" s="621"/>
      <c r="E489" s="621"/>
      <c r="F489" s="621"/>
      <c r="G489" s="621"/>
      <c r="H489" s="621"/>
      <c r="I489" s="621"/>
      <c r="J489" s="621"/>
      <c r="K489" s="622"/>
      <c r="L489" s="622"/>
      <c r="M489" s="622"/>
      <c r="N489" s="622"/>
      <c r="O489" s="622"/>
      <c r="P489" s="622"/>
      <c r="Q489" s="622"/>
    </row>
    <row r="490" spans="2:18">
      <c r="B490" s="583"/>
      <c r="C490" s="2200" t="s">
        <v>1114</v>
      </c>
      <c r="D490" s="2201"/>
      <c r="E490" s="2201"/>
      <c r="F490" s="2201"/>
      <c r="G490" s="2201"/>
      <c r="H490" s="2201"/>
      <c r="I490" s="2201"/>
      <c r="J490" s="845"/>
      <c r="K490" s="2200" t="s">
        <v>1115</v>
      </c>
      <c r="L490" s="2201"/>
      <c r="M490" s="2201"/>
      <c r="N490" s="2201"/>
      <c r="O490" s="2201"/>
      <c r="P490" s="2201"/>
      <c r="Q490" s="2201"/>
      <c r="R490" s="2202"/>
    </row>
    <row r="491" spans="2:18">
      <c r="B491" s="57"/>
      <c r="C491" s="585">
        <v>2014</v>
      </c>
      <c r="D491" s="586">
        <v>2015</v>
      </c>
      <c r="E491" s="586">
        <v>2016</v>
      </c>
      <c r="F491" s="586">
        <v>2017</v>
      </c>
      <c r="G491" s="586">
        <v>2018</v>
      </c>
      <c r="H491" s="586">
        <v>2019</v>
      </c>
      <c r="I491" s="586">
        <v>2020</v>
      </c>
      <c r="J491" s="586">
        <v>2021</v>
      </c>
      <c r="K491" s="638">
        <v>2014</v>
      </c>
      <c r="L491" s="639">
        <v>2015</v>
      </c>
      <c r="M491" s="639">
        <v>2016</v>
      </c>
      <c r="N491" s="639">
        <v>2017</v>
      </c>
      <c r="O491" s="639">
        <v>2018</v>
      </c>
      <c r="P491" s="639">
        <v>2019</v>
      </c>
      <c r="Q491" s="639">
        <v>2020</v>
      </c>
      <c r="R491" s="640">
        <v>2021</v>
      </c>
    </row>
    <row r="492" spans="2:18">
      <c r="B492" s="589" t="s">
        <v>1038</v>
      </c>
      <c r="C492" s="614">
        <f>(C402/C290)/10</f>
        <v>0</v>
      </c>
      <c r="D492" s="615">
        <f t="shared" ref="D492:J492" si="133">(D402/D290)/10</f>
        <v>0</v>
      </c>
      <c r="E492" s="615">
        <f t="shared" si="133"/>
        <v>0</v>
      </c>
      <c r="F492" s="615">
        <f t="shared" si="133"/>
        <v>0</v>
      </c>
      <c r="G492" s="615">
        <f t="shared" si="133"/>
        <v>0</v>
      </c>
      <c r="H492" s="615">
        <f t="shared" si="133"/>
        <v>0</v>
      </c>
      <c r="I492" s="615">
        <f t="shared" si="133"/>
        <v>0</v>
      </c>
      <c r="J492" s="616">
        <f t="shared" si="133"/>
        <v>0</v>
      </c>
      <c r="K492" s="615">
        <f t="shared" ref="K492:K508" si="134">IF(ISNUMBER(K402/C290/10),K402/C290/10,"0")</f>
        <v>44.197893044390263</v>
      </c>
      <c r="L492" s="615">
        <f t="shared" ref="L492:L508" si="135">IF(ISNUMBER(L402/D290/10),L402/D290/10,"0")</f>
        <v>44.067560568907993</v>
      </c>
      <c r="M492" s="615">
        <f t="shared" ref="M492:M508" si="136">IF(ISNUMBER(M402/E290/10),M402/E290/10,"0")</f>
        <v>44.23141074264052</v>
      </c>
      <c r="N492" s="615">
        <f t="shared" ref="N492:N508" si="137">IF(ISNUMBER(N402/F290/10),N402/F290/10,"0")</f>
        <v>42.196668617314863</v>
      </c>
      <c r="O492" s="615">
        <f t="shared" ref="O492:O508" si="138">IF(ISNUMBER(O402/G290/10),O402/G290/10,"0")</f>
        <v>39.747372854043334</v>
      </c>
      <c r="P492" s="615">
        <f t="shared" ref="P492:P508" si="139">IF(ISNUMBER(P402/H290/10),P402/H290/10,"0")</f>
        <v>37.951360102761562</v>
      </c>
      <c r="Q492" s="615">
        <f t="shared" ref="Q492:Q508" si="140">IF(ISNUMBER(Q402/I290/10),Q402/I290/10,"0")</f>
        <v>24.67660158937521</v>
      </c>
      <c r="R492" s="616">
        <f t="shared" ref="R492:R508" si="141">IF(ISNUMBER(R402/J290/10),R402/J290/10,"0")</f>
        <v>21.117345177894144</v>
      </c>
    </row>
    <row r="493" spans="2:18">
      <c r="B493" s="595" t="s">
        <v>1039</v>
      </c>
      <c r="C493" s="608">
        <f t="shared" ref="C493:J508" si="142">(C403/C291)/10</f>
        <v>0</v>
      </c>
      <c r="D493" s="609">
        <f t="shared" si="142"/>
        <v>0</v>
      </c>
      <c r="E493" s="609">
        <f t="shared" si="142"/>
        <v>0</v>
      </c>
      <c r="F493" s="609">
        <f t="shared" si="142"/>
        <v>0</v>
      </c>
      <c r="G493" s="609">
        <f t="shared" si="142"/>
        <v>0</v>
      </c>
      <c r="H493" s="609">
        <f t="shared" si="142"/>
        <v>0</v>
      </c>
      <c r="I493" s="609">
        <f t="shared" si="142"/>
        <v>0</v>
      </c>
      <c r="J493" s="603">
        <f t="shared" si="142"/>
        <v>0</v>
      </c>
      <c r="K493" s="609">
        <f t="shared" si="134"/>
        <v>7.1778494733098883</v>
      </c>
      <c r="L493" s="609">
        <f t="shared" si="135"/>
        <v>8.5974469129982616</v>
      </c>
      <c r="M493" s="609">
        <f t="shared" si="136"/>
        <v>12.061301640958488</v>
      </c>
      <c r="N493" s="609">
        <f t="shared" si="137"/>
        <v>13.882782625380845</v>
      </c>
      <c r="O493" s="609">
        <f t="shared" si="138"/>
        <v>12.716864841575308</v>
      </c>
      <c r="P493" s="609">
        <f t="shared" si="139"/>
        <v>12.48272723983094</v>
      </c>
      <c r="Q493" s="609">
        <f t="shared" si="140"/>
        <v>11.784763355511213</v>
      </c>
      <c r="R493" s="603">
        <f t="shared" si="141"/>
        <v>12.869689202092095</v>
      </c>
    </row>
    <row r="494" spans="2:18">
      <c r="B494" s="595" t="s">
        <v>1040</v>
      </c>
      <c r="C494" s="608">
        <f t="shared" si="142"/>
        <v>0</v>
      </c>
      <c r="D494" s="609">
        <f t="shared" si="142"/>
        <v>0</v>
      </c>
      <c r="E494" s="609">
        <f t="shared" si="142"/>
        <v>0</v>
      </c>
      <c r="F494" s="609">
        <f t="shared" si="142"/>
        <v>0</v>
      </c>
      <c r="G494" s="609">
        <f t="shared" si="142"/>
        <v>0</v>
      </c>
      <c r="H494" s="609">
        <f t="shared" si="142"/>
        <v>0</v>
      </c>
      <c r="I494" s="609">
        <f t="shared" si="142"/>
        <v>0</v>
      </c>
      <c r="J494" s="603">
        <f t="shared" si="142"/>
        <v>0</v>
      </c>
      <c r="K494" s="609">
        <f t="shared" si="134"/>
        <v>31.538280140528776</v>
      </c>
      <c r="L494" s="609">
        <f t="shared" si="135"/>
        <v>12.162005037167424</v>
      </c>
      <c r="M494" s="609">
        <f t="shared" si="136"/>
        <v>6.3261671373719635</v>
      </c>
      <c r="N494" s="609">
        <f t="shared" si="137"/>
        <v>6.6888008458335264</v>
      </c>
      <c r="O494" s="609">
        <f t="shared" si="138"/>
        <v>7.8410012693373803</v>
      </c>
      <c r="P494" s="609">
        <f t="shared" si="139"/>
        <v>11.925677353738562</v>
      </c>
      <c r="Q494" s="609">
        <f t="shared" si="140"/>
        <v>10.201537828386744</v>
      </c>
      <c r="R494" s="603">
        <f t="shared" si="141"/>
        <v>11.743650164186358</v>
      </c>
    </row>
    <row r="495" spans="2:18">
      <c r="B495" s="595" t="s">
        <v>1041</v>
      </c>
      <c r="C495" s="608">
        <f t="shared" si="142"/>
        <v>0</v>
      </c>
      <c r="D495" s="609">
        <f t="shared" si="142"/>
        <v>0</v>
      </c>
      <c r="E495" s="609">
        <f t="shared" si="142"/>
        <v>0</v>
      </c>
      <c r="F495" s="609">
        <f t="shared" si="142"/>
        <v>0</v>
      </c>
      <c r="G495" s="609">
        <f t="shared" si="142"/>
        <v>0</v>
      </c>
      <c r="H495" s="609">
        <f t="shared" si="142"/>
        <v>0</v>
      </c>
      <c r="I495" s="609">
        <f t="shared" si="142"/>
        <v>0</v>
      </c>
      <c r="J495" s="603">
        <f t="shared" si="142"/>
        <v>0</v>
      </c>
      <c r="K495" s="609">
        <f t="shared" si="134"/>
        <v>19.32725135102033</v>
      </c>
      <c r="L495" s="609">
        <f t="shared" si="135"/>
        <v>19.782496995887147</v>
      </c>
      <c r="M495" s="609">
        <f t="shared" si="136"/>
        <v>20.604878373400545</v>
      </c>
      <c r="N495" s="609">
        <f t="shared" si="137"/>
        <v>20.950830016382668</v>
      </c>
      <c r="O495" s="609">
        <f t="shared" si="138"/>
        <v>21.814959426723036</v>
      </c>
      <c r="P495" s="609">
        <f t="shared" si="139"/>
        <v>24.494725565856704</v>
      </c>
      <c r="Q495" s="609">
        <f t="shared" si="140"/>
        <v>21.909287775807925</v>
      </c>
      <c r="R495" s="603">
        <f t="shared" si="141"/>
        <v>20.990620087632045</v>
      </c>
    </row>
    <row r="496" spans="2:18">
      <c r="B496" s="595" t="s">
        <v>1042</v>
      </c>
      <c r="C496" s="608">
        <f t="shared" si="142"/>
        <v>0</v>
      </c>
      <c r="D496" s="609">
        <f t="shared" si="142"/>
        <v>0</v>
      </c>
      <c r="E496" s="609">
        <f t="shared" si="142"/>
        <v>0</v>
      </c>
      <c r="F496" s="609">
        <f t="shared" si="142"/>
        <v>0</v>
      </c>
      <c r="G496" s="609">
        <f t="shared" si="142"/>
        <v>0</v>
      </c>
      <c r="H496" s="609">
        <f t="shared" si="142"/>
        <v>0</v>
      </c>
      <c r="I496" s="609">
        <f t="shared" si="142"/>
        <v>0</v>
      </c>
      <c r="J496" s="603">
        <f>IFERROR((J406/J294)/10,0)</f>
        <v>0</v>
      </c>
      <c r="K496" s="609">
        <f t="shared" si="134"/>
        <v>20.724018515046165</v>
      </c>
      <c r="L496" s="609">
        <f t="shared" si="135"/>
        <v>21.706361555047287</v>
      </c>
      <c r="M496" s="609">
        <f t="shared" si="136"/>
        <v>23.097930487279452</v>
      </c>
      <c r="N496" s="609">
        <f t="shared" si="137"/>
        <v>23.471732620772777</v>
      </c>
      <c r="O496" s="609">
        <f t="shared" si="138"/>
        <v>22.459606732982699</v>
      </c>
      <c r="P496" s="609">
        <f t="shared" si="139"/>
        <v>20.815144556356604</v>
      </c>
      <c r="Q496" s="609">
        <f t="shared" si="140"/>
        <v>23.067260799934523</v>
      </c>
      <c r="R496" s="603" t="str">
        <f t="shared" si="141"/>
        <v>0</v>
      </c>
    </row>
    <row r="497" spans="2:18">
      <c r="B497" s="595" t="s">
        <v>1043</v>
      </c>
      <c r="C497" s="608">
        <f t="shared" si="142"/>
        <v>0</v>
      </c>
      <c r="D497" s="609">
        <f t="shared" si="142"/>
        <v>0</v>
      </c>
      <c r="E497" s="609">
        <f t="shared" si="142"/>
        <v>0</v>
      </c>
      <c r="F497" s="609">
        <f t="shared" si="142"/>
        <v>0</v>
      </c>
      <c r="G497" s="609">
        <f t="shared" si="142"/>
        <v>0</v>
      </c>
      <c r="H497" s="609">
        <f t="shared" si="142"/>
        <v>0</v>
      </c>
      <c r="I497" s="609">
        <f t="shared" si="142"/>
        <v>0</v>
      </c>
      <c r="J497" s="603">
        <f t="shared" si="142"/>
        <v>0</v>
      </c>
      <c r="K497" s="609">
        <f t="shared" si="134"/>
        <v>31.824545373172327</v>
      </c>
      <c r="L497" s="609">
        <f t="shared" si="135"/>
        <v>31.884981650613963</v>
      </c>
      <c r="M497" s="609">
        <f t="shared" si="136"/>
        <v>33.831799061038353</v>
      </c>
      <c r="N497" s="609">
        <f t="shared" si="137"/>
        <v>34.073200844578906</v>
      </c>
      <c r="O497" s="609">
        <f t="shared" si="138"/>
        <v>33.980901980984171</v>
      </c>
      <c r="P497" s="609">
        <f t="shared" si="139"/>
        <v>33.546821051521768</v>
      </c>
      <c r="Q497" s="609">
        <f t="shared" si="140"/>
        <v>27.821609006157974</v>
      </c>
      <c r="R497" s="603">
        <f t="shared" si="141"/>
        <v>25.69175572907951</v>
      </c>
    </row>
    <row r="498" spans="2:18">
      <c r="B498" s="595" t="s">
        <v>1044</v>
      </c>
      <c r="C498" s="608">
        <f t="shared" si="142"/>
        <v>0</v>
      </c>
      <c r="D498" s="609">
        <f t="shared" si="142"/>
        <v>0</v>
      </c>
      <c r="E498" s="609">
        <f t="shared" si="142"/>
        <v>0</v>
      </c>
      <c r="F498" s="609">
        <f t="shared" si="142"/>
        <v>0</v>
      </c>
      <c r="G498" s="609">
        <f t="shared" si="142"/>
        <v>0</v>
      </c>
      <c r="H498" s="609">
        <f t="shared" si="142"/>
        <v>0</v>
      </c>
      <c r="I498" s="609">
        <f t="shared" si="142"/>
        <v>0</v>
      </c>
      <c r="J498" s="603">
        <f t="shared" si="142"/>
        <v>0</v>
      </c>
      <c r="K498" s="609">
        <f t="shared" si="134"/>
        <v>33.536902769960797</v>
      </c>
      <c r="L498" s="609">
        <f t="shared" si="135"/>
        <v>32.002147807162387</v>
      </c>
      <c r="M498" s="609">
        <f t="shared" si="136"/>
        <v>33.083490065439584</v>
      </c>
      <c r="N498" s="609">
        <f t="shared" si="137"/>
        <v>26.387449270427645</v>
      </c>
      <c r="O498" s="609">
        <f t="shared" si="138"/>
        <v>24.989335797814913</v>
      </c>
      <c r="P498" s="609">
        <f t="shared" si="139"/>
        <v>25.169959639802673</v>
      </c>
      <c r="Q498" s="609">
        <f t="shared" si="140"/>
        <v>18.235428111479912</v>
      </c>
      <c r="R498" s="603">
        <f t="shared" si="141"/>
        <v>15.620976274183926</v>
      </c>
    </row>
    <row r="499" spans="2:18">
      <c r="B499" s="595" t="s">
        <v>1061</v>
      </c>
      <c r="C499" s="608">
        <f>IFERROR((C409/C297)/10,0)</f>
        <v>0</v>
      </c>
      <c r="D499" s="609">
        <f t="shared" si="142"/>
        <v>0</v>
      </c>
      <c r="E499" s="609">
        <f>(E409/E297)/10</f>
        <v>0</v>
      </c>
      <c r="F499" s="609">
        <f t="shared" si="142"/>
        <v>0</v>
      </c>
      <c r="G499" s="609">
        <f t="shared" si="142"/>
        <v>0</v>
      </c>
      <c r="H499" s="609">
        <f t="shared" si="142"/>
        <v>0</v>
      </c>
      <c r="I499" s="609">
        <f t="shared" si="142"/>
        <v>0</v>
      </c>
      <c r="J499" s="603">
        <f>IFERROR((J409/J297)/10,0)</f>
        <v>0</v>
      </c>
      <c r="K499" s="609" t="str">
        <f t="shared" si="134"/>
        <v>0</v>
      </c>
      <c r="L499" s="609">
        <f t="shared" si="135"/>
        <v>6.8599221789883273</v>
      </c>
      <c r="M499" s="609">
        <f t="shared" si="136"/>
        <v>7.5927673978191592</v>
      </c>
      <c r="N499" s="609">
        <f t="shared" si="137"/>
        <v>7.5978041414604878</v>
      </c>
      <c r="O499" s="609">
        <f t="shared" si="138"/>
        <v>7.8482921571993129</v>
      </c>
      <c r="P499" s="609">
        <f t="shared" si="139"/>
        <v>9.008785002644931</v>
      </c>
      <c r="Q499" s="609">
        <f t="shared" si="140"/>
        <v>5.1212124041291185</v>
      </c>
      <c r="R499" s="603">
        <f t="shared" si="141"/>
        <v>8.7734615237833253</v>
      </c>
    </row>
    <row r="500" spans="2:18">
      <c r="B500" s="595" t="s">
        <v>1047</v>
      </c>
      <c r="C500" s="608">
        <f t="shared" si="142"/>
        <v>0</v>
      </c>
      <c r="D500" s="609">
        <f t="shared" si="142"/>
        <v>0</v>
      </c>
      <c r="E500" s="609">
        <f t="shared" si="142"/>
        <v>0</v>
      </c>
      <c r="F500" s="609">
        <f t="shared" si="142"/>
        <v>0</v>
      </c>
      <c r="G500" s="609">
        <f t="shared" si="142"/>
        <v>0</v>
      </c>
      <c r="H500" s="609">
        <f t="shared" si="142"/>
        <v>0</v>
      </c>
      <c r="I500" s="609">
        <f t="shared" si="142"/>
        <v>0</v>
      </c>
      <c r="J500" s="603">
        <f t="shared" si="142"/>
        <v>0</v>
      </c>
      <c r="K500" s="609">
        <f t="shared" si="134"/>
        <v>0</v>
      </c>
      <c r="L500" s="609">
        <f t="shared" si="135"/>
        <v>52.994564827276278</v>
      </c>
      <c r="M500" s="609">
        <f t="shared" si="136"/>
        <v>51.858759775075086</v>
      </c>
      <c r="N500" s="609">
        <f t="shared" si="137"/>
        <v>53.179358717357161</v>
      </c>
      <c r="O500" s="609">
        <f t="shared" si="138"/>
        <v>54.785116179647432</v>
      </c>
      <c r="P500" s="609">
        <f t="shared" si="139"/>
        <v>54.250505754114307</v>
      </c>
      <c r="Q500" s="609">
        <f t="shared" si="140"/>
        <v>49.510918289530231</v>
      </c>
      <c r="R500" s="603">
        <f t="shared" si="141"/>
        <v>37.294930446767175</v>
      </c>
    </row>
    <row r="501" spans="2:18">
      <c r="B501" s="595" t="s">
        <v>1048</v>
      </c>
      <c r="C501" s="608">
        <f>IFERROR((C411/C299)/10,0)</f>
        <v>0</v>
      </c>
      <c r="D501" s="609">
        <f t="shared" si="142"/>
        <v>0</v>
      </c>
      <c r="E501" s="609">
        <f t="shared" si="142"/>
        <v>0</v>
      </c>
      <c r="F501" s="609">
        <f t="shared" si="142"/>
        <v>0</v>
      </c>
      <c r="G501" s="609">
        <f t="shared" si="142"/>
        <v>0</v>
      </c>
      <c r="H501" s="609">
        <f t="shared" si="142"/>
        <v>0</v>
      </c>
      <c r="I501" s="609">
        <f t="shared" si="142"/>
        <v>0</v>
      </c>
      <c r="J501" s="603">
        <f t="shared" si="142"/>
        <v>0</v>
      </c>
      <c r="K501" s="609" t="str">
        <f t="shared" si="134"/>
        <v>0</v>
      </c>
      <c r="L501" s="609">
        <f t="shared" si="135"/>
        <v>30.487976758969655</v>
      </c>
      <c r="M501" s="609">
        <f t="shared" si="136"/>
        <v>29.86465329717975</v>
      </c>
      <c r="N501" s="609">
        <f t="shared" si="137"/>
        <v>33.151753236534539</v>
      </c>
      <c r="O501" s="609">
        <f t="shared" si="138"/>
        <v>33.818277948036283</v>
      </c>
      <c r="P501" s="609">
        <f t="shared" si="139"/>
        <v>31.279477972276531</v>
      </c>
      <c r="Q501" s="609">
        <f t="shared" si="140"/>
        <v>28.434293004660823</v>
      </c>
      <c r="R501" s="603">
        <f t="shared" si="141"/>
        <v>26.86611666023483</v>
      </c>
    </row>
    <row r="502" spans="2:18">
      <c r="B502" s="595" t="s">
        <v>1049</v>
      </c>
      <c r="C502" s="608">
        <f t="shared" si="142"/>
        <v>0</v>
      </c>
      <c r="D502" s="609">
        <f t="shared" si="142"/>
        <v>0</v>
      </c>
      <c r="E502" s="609">
        <f t="shared" si="142"/>
        <v>0</v>
      </c>
      <c r="F502" s="609">
        <f t="shared" si="142"/>
        <v>0</v>
      </c>
      <c r="G502" s="609">
        <f t="shared" si="142"/>
        <v>0</v>
      </c>
      <c r="H502" s="609">
        <f t="shared" si="142"/>
        <v>0</v>
      </c>
      <c r="I502" s="609">
        <f t="shared" si="142"/>
        <v>0</v>
      </c>
      <c r="J502" s="603">
        <f t="shared" si="142"/>
        <v>0</v>
      </c>
      <c r="K502" s="609">
        <f t="shared" si="134"/>
        <v>8.6961569824222096E-3</v>
      </c>
      <c r="L502" s="609">
        <f t="shared" si="135"/>
        <v>7.1566969887988082E-3</v>
      </c>
      <c r="M502" s="609">
        <f t="shared" si="136"/>
        <v>7.5838274670917347E-3</v>
      </c>
      <c r="N502" s="609">
        <f t="shared" si="137"/>
        <v>1.2663941761627467E-2</v>
      </c>
      <c r="O502" s="609">
        <f t="shared" si="138"/>
        <v>1.2999823624333145E-2</v>
      </c>
      <c r="P502" s="609">
        <f t="shared" si="139"/>
        <v>1.8436419198267624E-2</v>
      </c>
      <c r="Q502" s="609">
        <f t="shared" si="140"/>
        <v>3.5272938261485677E-2</v>
      </c>
      <c r="R502" s="603">
        <f t="shared" si="141"/>
        <v>2.3404370783920915E-2</v>
      </c>
    </row>
    <row r="503" spans="2:18">
      <c r="B503" s="595" t="s">
        <v>1050</v>
      </c>
      <c r="C503" s="608">
        <f>IFERROR((C413/C301)/10,0)</f>
        <v>0</v>
      </c>
      <c r="D503" s="609">
        <f t="shared" ref="D503:J503" si="143">IFERROR((D413/D301)/10,0)</f>
        <v>0</v>
      </c>
      <c r="E503" s="609">
        <f t="shared" si="143"/>
        <v>0</v>
      </c>
      <c r="F503" s="609">
        <f t="shared" si="143"/>
        <v>0</v>
      </c>
      <c r="G503" s="609">
        <f t="shared" si="143"/>
        <v>0</v>
      </c>
      <c r="H503" s="609">
        <f t="shared" si="143"/>
        <v>0</v>
      </c>
      <c r="I503" s="609">
        <f t="shared" si="143"/>
        <v>0</v>
      </c>
      <c r="J503" s="603">
        <f t="shared" si="143"/>
        <v>0</v>
      </c>
      <c r="K503" s="609" t="str">
        <f t="shared" si="134"/>
        <v>0</v>
      </c>
      <c r="L503" s="609" t="str">
        <f t="shared" si="135"/>
        <v>0</v>
      </c>
      <c r="M503" s="609" t="str">
        <f t="shared" si="136"/>
        <v>0</v>
      </c>
      <c r="N503" s="609" t="str">
        <f t="shared" si="137"/>
        <v>0</v>
      </c>
      <c r="O503" s="609" t="str">
        <f t="shared" si="138"/>
        <v>0</v>
      </c>
      <c r="P503" s="609" t="str">
        <f t="shared" si="139"/>
        <v>0</v>
      </c>
      <c r="Q503" s="609" t="str">
        <f t="shared" si="140"/>
        <v>0</v>
      </c>
      <c r="R503" s="603" t="str">
        <f t="shared" si="141"/>
        <v>0</v>
      </c>
    </row>
    <row r="504" spans="2:18">
      <c r="B504" s="595" t="s">
        <v>1051</v>
      </c>
      <c r="C504" s="608">
        <f>IFERROR((C414/C302)/10,0)</f>
        <v>0</v>
      </c>
      <c r="D504" s="609">
        <f t="shared" ref="D504:J504" si="144">IFERROR((D414/D302)/10,0)</f>
        <v>0</v>
      </c>
      <c r="E504" s="609">
        <f t="shared" si="144"/>
        <v>0</v>
      </c>
      <c r="F504" s="609">
        <f t="shared" si="144"/>
        <v>0</v>
      </c>
      <c r="G504" s="609">
        <f t="shared" si="144"/>
        <v>0</v>
      </c>
      <c r="H504" s="609">
        <f t="shared" si="144"/>
        <v>0</v>
      </c>
      <c r="I504" s="609">
        <f t="shared" si="144"/>
        <v>0</v>
      </c>
      <c r="J504" s="603">
        <f t="shared" si="144"/>
        <v>0</v>
      </c>
      <c r="K504" s="609" t="str">
        <f t="shared" si="134"/>
        <v>0</v>
      </c>
      <c r="L504" s="609" t="str">
        <f t="shared" si="135"/>
        <v>0</v>
      </c>
      <c r="M504" s="609" t="str">
        <f t="shared" si="136"/>
        <v>0</v>
      </c>
      <c r="N504" s="609" t="str">
        <f t="shared" si="137"/>
        <v>0</v>
      </c>
      <c r="O504" s="609" t="str">
        <f t="shared" si="138"/>
        <v>0</v>
      </c>
      <c r="P504" s="609" t="str">
        <f t="shared" si="139"/>
        <v>0</v>
      </c>
      <c r="Q504" s="609" t="str">
        <f t="shared" si="140"/>
        <v>0</v>
      </c>
      <c r="R504" s="603" t="str">
        <f t="shared" si="141"/>
        <v>0</v>
      </c>
    </row>
    <row r="505" spans="2:18">
      <c r="B505" s="595" t="s">
        <v>1052</v>
      </c>
      <c r="C505" s="608">
        <f t="shared" si="142"/>
        <v>0</v>
      </c>
      <c r="D505" s="609">
        <f t="shared" si="142"/>
        <v>0</v>
      </c>
      <c r="E505" s="609">
        <f t="shared" si="142"/>
        <v>0</v>
      </c>
      <c r="F505" s="609">
        <f t="shared" si="142"/>
        <v>0</v>
      </c>
      <c r="G505" s="609">
        <f t="shared" si="142"/>
        <v>0</v>
      </c>
      <c r="H505" s="609">
        <f t="shared" si="142"/>
        <v>0</v>
      </c>
      <c r="I505" s="609">
        <f t="shared" si="142"/>
        <v>0</v>
      </c>
      <c r="J505" s="603">
        <f t="shared" si="142"/>
        <v>0</v>
      </c>
      <c r="K505" s="609">
        <f t="shared" si="134"/>
        <v>41.472153520753352</v>
      </c>
      <c r="L505" s="609">
        <f t="shared" si="135"/>
        <v>42.87061908002142</v>
      </c>
      <c r="M505" s="609">
        <f t="shared" si="136"/>
        <v>44.28356267541939</v>
      </c>
      <c r="N505" s="609">
        <f t="shared" si="137"/>
        <v>44.772077066695218</v>
      </c>
      <c r="O505" s="609">
        <f t="shared" si="138"/>
        <v>42.441854242787734</v>
      </c>
      <c r="P505" s="609">
        <f t="shared" si="139"/>
        <v>40.127213366595257</v>
      </c>
      <c r="Q505" s="609">
        <f t="shared" si="140"/>
        <v>34.519273419621456</v>
      </c>
      <c r="R505" s="603">
        <f t="shared" si="141"/>
        <v>34.062358134700069</v>
      </c>
    </row>
    <row r="506" spans="2:18">
      <c r="B506" s="595" t="s">
        <v>1053</v>
      </c>
      <c r="C506" s="608">
        <f t="shared" si="142"/>
        <v>0</v>
      </c>
      <c r="D506" s="609">
        <f t="shared" si="142"/>
        <v>0</v>
      </c>
      <c r="E506" s="609">
        <f t="shared" si="142"/>
        <v>0</v>
      </c>
      <c r="F506" s="609">
        <f t="shared" si="142"/>
        <v>0</v>
      </c>
      <c r="G506" s="609">
        <f t="shared" si="142"/>
        <v>0</v>
      </c>
      <c r="H506" s="609">
        <f t="shared" si="142"/>
        <v>0</v>
      </c>
      <c r="I506" s="609">
        <f t="shared" si="142"/>
        <v>0</v>
      </c>
      <c r="J506" s="603">
        <f t="shared" si="142"/>
        <v>0</v>
      </c>
      <c r="K506" s="609">
        <f t="shared" si="134"/>
        <v>39.19872992303906</v>
      </c>
      <c r="L506" s="609">
        <f t="shared" si="135"/>
        <v>24.914839100131008</v>
      </c>
      <c r="M506" s="609">
        <f t="shared" si="136"/>
        <v>24.759428737070614</v>
      </c>
      <c r="N506" s="609">
        <f t="shared" si="137"/>
        <v>22.428892706396525</v>
      </c>
      <c r="O506" s="609">
        <f t="shared" si="138"/>
        <v>23.660939622071375</v>
      </c>
      <c r="P506" s="609">
        <f t="shared" si="139"/>
        <v>21.632841586391038</v>
      </c>
      <c r="Q506" s="609">
        <f t="shared" si="140"/>
        <v>12.379689326957221</v>
      </c>
      <c r="R506" s="603">
        <f t="shared" si="141"/>
        <v>8.3341110932014093</v>
      </c>
    </row>
    <row r="507" spans="2:18">
      <c r="B507" s="595" t="s">
        <v>1054</v>
      </c>
      <c r="C507" s="608">
        <f t="shared" si="142"/>
        <v>0</v>
      </c>
      <c r="D507" s="609">
        <f t="shared" si="142"/>
        <v>0</v>
      </c>
      <c r="E507" s="609">
        <f t="shared" si="142"/>
        <v>0</v>
      </c>
      <c r="F507" s="609">
        <f t="shared" si="142"/>
        <v>0</v>
      </c>
      <c r="G507" s="609">
        <f t="shared" si="142"/>
        <v>0</v>
      </c>
      <c r="H507" s="609">
        <f t="shared" si="142"/>
        <v>0</v>
      </c>
      <c r="I507" s="609">
        <f t="shared" si="142"/>
        <v>0</v>
      </c>
      <c r="J507" s="603">
        <f t="shared" si="142"/>
        <v>0</v>
      </c>
      <c r="K507" s="609">
        <f t="shared" si="134"/>
        <v>22.720047674086651</v>
      </c>
      <c r="L507" s="609">
        <f t="shared" si="135"/>
        <v>23.09897275964849</v>
      </c>
      <c r="M507" s="609">
        <f t="shared" si="136"/>
        <v>27.17148709837236</v>
      </c>
      <c r="N507" s="609">
        <f t="shared" si="137"/>
        <v>26.43139952651315</v>
      </c>
      <c r="O507" s="609">
        <f t="shared" si="138"/>
        <v>25.42795576549377</v>
      </c>
      <c r="P507" s="609">
        <f t="shared" si="139"/>
        <v>22.481859634838898</v>
      </c>
      <c r="Q507" s="609">
        <f t="shared" si="140"/>
        <v>12.496940544310753</v>
      </c>
      <c r="R507" s="603">
        <f t="shared" si="141"/>
        <v>9.7249307853149602</v>
      </c>
    </row>
    <row r="508" spans="2:18">
      <c r="B508" s="604" t="s">
        <v>1055</v>
      </c>
      <c r="C508" s="610">
        <f t="shared" si="142"/>
        <v>0</v>
      </c>
      <c r="D508" s="617">
        <f t="shared" si="142"/>
        <v>0</v>
      </c>
      <c r="E508" s="617">
        <f t="shared" si="142"/>
        <v>0</v>
      </c>
      <c r="F508" s="617">
        <f t="shared" si="142"/>
        <v>0</v>
      </c>
      <c r="G508" s="617">
        <f t="shared" si="142"/>
        <v>0</v>
      </c>
      <c r="H508" s="617">
        <f t="shared" si="142"/>
        <v>0</v>
      </c>
      <c r="I508" s="617">
        <f t="shared" si="142"/>
        <v>0</v>
      </c>
      <c r="J508" s="618">
        <f t="shared" si="142"/>
        <v>0</v>
      </c>
      <c r="K508" s="617">
        <f t="shared" si="134"/>
        <v>19.103913850957792</v>
      </c>
      <c r="L508" s="617">
        <f t="shared" si="135"/>
        <v>19.7321571706185</v>
      </c>
      <c r="M508" s="617">
        <f t="shared" si="136"/>
        <v>20.846861513442303</v>
      </c>
      <c r="N508" s="617">
        <f t="shared" si="137"/>
        <v>21.504881246173042</v>
      </c>
      <c r="O508" s="617">
        <f t="shared" si="138"/>
        <v>21.567444290799692</v>
      </c>
      <c r="P508" s="617">
        <f t="shared" si="139"/>
        <v>21.321596243923779</v>
      </c>
      <c r="Q508" s="617">
        <f t="shared" si="140"/>
        <v>20.591601667234407</v>
      </c>
      <c r="R508" s="618">
        <f t="shared" si="141"/>
        <v>19.703877041960006</v>
      </c>
    </row>
    <row r="509" spans="2:18">
      <c r="B509" s="57"/>
      <c r="C509" s="582"/>
      <c r="D509" s="582"/>
      <c r="E509" s="582"/>
      <c r="F509" s="582"/>
      <c r="G509" s="582"/>
      <c r="H509" s="582"/>
      <c r="I509" s="582"/>
      <c r="J509" s="582"/>
      <c r="K509" s="582"/>
      <c r="L509" s="582"/>
      <c r="M509" s="582"/>
      <c r="N509" s="582"/>
      <c r="O509" s="582"/>
      <c r="P509" s="582"/>
      <c r="Q509" s="582"/>
    </row>
    <row r="510" spans="2:18">
      <c r="B510" s="2157" t="s">
        <v>1116</v>
      </c>
      <c r="C510" s="2157"/>
      <c r="D510" s="2157"/>
      <c r="E510" s="2157"/>
      <c r="F510" s="2157"/>
      <c r="G510" s="2157"/>
      <c r="H510" s="2157"/>
      <c r="I510" s="2157"/>
      <c r="J510" s="2157"/>
      <c r="K510" s="2157"/>
      <c r="L510" s="2157"/>
      <c r="M510" s="2157"/>
      <c r="N510" s="2157"/>
      <c r="O510" s="2157"/>
      <c r="P510" s="2157"/>
      <c r="Q510" s="2157"/>
      <c r="R510" s="2157"/>
    </row>
    <row r="511" spans="2:18" ht="15" customHeight="1">
      <c r="B511" s="2178" t="s">
        <v>1117</v>
      </c>
      <c r="C511" s="2178"/>
      <c r="D511" s="2178"/>
      <c r="E511" s="2178"/>
      <c r="F511" s="2178"/>
      <c r="G511" s="2178"/>
      <c r="H511" s="2178"/>
      <c r="I511" s="2178"/>
      <c r="J511" s="2178"/>
      <c r="K511" s="2178"/>
      <c r="L511" s="2178"/>
      <c r="M511" s="2178"/>
      <c r="N511" s="2178"/>
      <c r="O511" s="2178"/>
      <c r="P511" s="2178"/>
      <c r="Q511" s="2178"/>
      <c r="R511" s="2178"/>
    </row>
    <row r="512" spans="2:18">
      <c r="B512" s="2160" t="s">
        <v>1118</v>
      </c>
      <c r="C512" s="2160"/>
      <c r="D512" s="2160"/>
      <c r="E512" s="2160"/>
      <c r="F512" s="2160"/>
      <c r="G512" s="2160"/>
      <c r="H512" s="2160"/>
      <c r="I512" s="2160"/>
      <c r="J512" s="2160"/>
      <c r="K512" s="2160"/>
      <c r="L512" s="2160"/>
      <c r="M512" s="2160"/>
      <c r="N512" s="2160"/>
      <c r="O512" s="2160"/>
      <c r="P512" s="2160"/>
      <c r="Q512" s="2160"/>
      <c r="R512" s="2160"/>
    </row>
    <row r="514" spans="2:18">
      <c r="B514" s="641">
        <v>100</v>
      </c>
      <c r="C514" s="2183" t="s">
        <v>361</v>
      </c>
      <c r="D514" s="2184"/>
      <c r="E514" s="2184"/>
      <c r="F514" s="2184"/>
      <c r="G514" s="2184"/>
      <c r="H514" s="2184"/>
      <c r="I514" s="2184"/>
      <c r="J514" s="2185"/>
      <c r="K514" s="2183" t="s">
        <v>358</v>
      </c>
      <c r="L514" s="2184"/>
      <c r="M514" s="2184"/>
      <c r="N514" s="2184"/>
      <c r="O514" s="2184"/>
      <c r="P514" s="2184"/>
      <c r="Q514" s="2184"/>
      <c r="R514" s="2185"/>
    </row>
    <row r="515" spans="2:18">
      <c r="B515" s="57"/>
      <c r="C515" s="585">
        <v>2014</v>
      </c>
      <c r="D515" s="586">
        <v>2015</v>
      </c>
      <c r="E515" s="586">
        <v>2016</v>
      </c>
      <c r="F515" s="586">
        <v>2017</v>
      </c>
      <c r="G515" s="586">
        <v>2018</v>
      </c>
      <c r="H515" s="586">
        <v>2019</v>
      </c>
      <c r="I515" s="586">
        <v>2020</v>
      </c>
      <c r="J515" s="586">
        <v>2021</v>
      </c>
      <c r="K515" s="587">
        <v>2014</v>
      </c>
      <c r="L515" s="588">
        <v>2015</v>
      </c>
      <c r="M515" s="588">
        <v>2016</v>
      </c>
      <c r="N515" s="588">
        <v>2017</v>
      </c>
      <c r="O515" s="588">
        <v>2018</v>
      </c>
      <c r="P515" s="588">
        <v>2019</v>
      </c>
      <c r="Q515" s="588">
        <v>2020</v>
      </c>
      <c r="R515" s="848">
        <v>2021</v>
      </c>
    </row>
    <row r="516" spans="2:18">
      <c r="B516" s="589" t="s">
        <v>1038</v>
      </c>
      <c r="C516" s="623">
        <v>-7.6893181988476753</v>
      </c>
      <c r="D516" s="624">
        <f t="shared" ref="D516:J525" si="145">IF(ISNUMBER((D336/C336-1)*100),(D336/C336-1)*100,"0")</f>
        <v>16.049514411833222</v>
      </c>
      <c r="E516" s="624">
        <f t="shared" si="145"/>
        <v>20.097113326632577</v>
      </c>
      <c r="F516" s="624">
        <f t="shared" si="145"/>
        <v>23.29423806215307</v>
      </c>
      <c r="G516" s="624">
        <f t="shared" si="145"/>
        <v>29.904252601665426</v>
      </c>
      <c r="H516" s="624">
        <f t="shared" si="145"/>
        <v>36.497816478547797</v>
      </c>
      <c r="I516" s="624">
        <f t="shared" si="145"/>
        <v>155.1827023476034</v>
      </c>
      <c r="J516" s="624">
        <f t="shared" si="145"/>
        <v>95.607284246581543</v>
      </c>
      <c r="K516" s="623">
        <v>-16.17831753096025</v>
      </c>
      <c r="L516" s="624">
        <f t="shared" ref="L516:R525" si="146">IF(ISNUMBER((L336/K336-1)*100),(L336/K336-1)*100,"0")</f>
        <v>9.4096255754710469</v>
      </c>
      <c r="M516" s="624">
        <f t="shared" si="146"/>
        <v>12.665393374263335</v>
      </c>
      <c r="N516" s="624">
        <f t="shared" si="146"/>
        <v>22.518258824642533</v>
      </c>
      <c r="O516" s="624">
        <f t="shared" si="146"/>
        <v>23.686401398116242</v>
      </c>
      <c r="P516" s="624">
        <f t="shared" si="146"/>
        <v>17.460981617988903</v>
      </c>
      <c r="Q516" s="624">
        <f t="shared" si="146"/>
        <v>14.574015802128692</v>
      </c>
      <c r="R516" s="625">
        <f t="shared" si="146"/>
        <v>12.083432890043566</v>
      </c>
    </row>
    <row r="517" spans="2:18">
      <c r="B517" s="595" t="s">
        <v>1039</v>
      </c>
      <c r="C517" s="626">
        <v>0</v>
      </c>
      <c r="D517" s="627">
        <f t="shared" si="145"/>
        <v>11.821696905074663</v>
      </c>
      <c r="E517" s="627">
        <f t="shared" si="145"/>
        <v>23.024070817773733</v>
      </c>
      <c r="F517" s="627">
        <f t="shared" si="145"/>
        <v>10.790583297583778</v>
      </c>
      <c r="G517" s="627">
        <f t="shared" si="145"/>
        <v>7.9559669188428161</v>
      </c>
      <c r="H517" s="627">
        <f t="shared" si="145"/>
        <v>8.3315517846107578</v>
      </c>
      <c r="I517" s="627">
        <f t="shared" si="145"/>
        <v>-12.928577650634788</v>
      </c>
      <c r="J517" s="627">
        <f t="shared" si="145"/>
        <v>39.566486117037968</v>
      </c>
      <c r="K517" s="626">
        <v>0</v>
      </c>
      <c r="L517" s="627">
        <f t="shared" si="146"/>
        <v>71.234830411783008</v>
      </c>
      <c r="M517" s="627">
        <f t="shared" si="146"/>
        <v>55.549329900810186</v>
      </c>
      <c r="N517" s="627">
        <f t="shared" si="146"/>
        <v>-5.1023686439440441</v>
      </c>
      <c r="O517" s="627">
        <f t="shared" si="146"/>
        <v>-30.60856005580861</v>
      </c>
      <c r="P517" s="627">
        <f t="shared" si="146"/>
        <v>-23.972501478415143</v>
      </c>
      <c r="Q517" s="627">
        <f t="shared" si="146"/>
        <v>-0.76421973748177496</v>
      </c>
      <c r="R517" s="628">
        <f t="shared" si="146"/>
        <v>30.647436902335802</v>
      </c>
    </row>
    <row r="518" spans="2:18">
      <c r="B518" s="595" t="s">
        <v>1040</v>
      </c>
      <c r="C518" s="626">
        <v>0</v>
      </c>
      <c r="D518" s="627" t="str">
        <f t="shared" si="145"/>
        <v>0</v>
      </c>
      <c r="E518" s="627">
        <f t="shared" si="145"/>
        <v>36.479166122803775</v>
      </c>
      <c r="F518" s="627">
        <f t="shared" si="145"/>
        <v>48.018577345128598</v>
      </c>
      <c r="G518" s="627">
        <f t="shared" si="145"/>
        <v>40.120099952353748</v>
      </c>
      <c r="H518" s="627">
        <f t="shared" si="145"/>
        <v>46.021234824664624</v>
      </c>
      <c r="I518" s="627">
        <f t="shared" si="145"/>
        <v>73.486305876355388</v>
      </c>
      <c r="J518" s="627">
        <f t="shared" si="145"/>
        <v>69.822887661544215</v>
      </c>
      <c r="K518" s="626">
        <v>0</v>
      </c>
      <c r="L518" s="627" t="str">
        <f t="shared" si="146"/>
        <v>0</v>
      </c>
      <c r="M518" s="627" t="str">
        <f t="shared" si="146"/>
        <v>0</v>
      </c>
      <c r="N518" s="627" t="str">
        <f t="shared" si="146"/>
        <v>0</v>
      </c>
      <c r="O518" s="627" t="str">
        <f t="shared" si="146"/>
        <v>0</v>
      </c>
      <c r="P518" s="627" t="str">
        <f t="shared" si="146"/>
        <v>0</v>
      </c>
      <c r="Q518" s="627" t="str">
        <f t="shared" si="146"/>
        <v>0</v>
      </c>
      <c r="R518" s="628" t="str">
        <f t="shared" si="146"/>
        <v>0</v>
      </c>
    </row>
    <row r="519" spans="2:18">
      <c r="B519" s="595" t="s">
        <v>1041</v>
      </c>
      <c r="C519" s="626">
        <v>4.2401613426744627</v>
      </c>
      <c r="D519" s="627">
        <f t="shared" si="145"/>
        <v>0.82938416413711469</v>
      </c>
      <c r="E519" s="627">
        <f t="shared" si="145"/>
        <v>-1.0530437066967324</v>
      </c>
      <c r="F519" s="627">
        <f t="shared" si="145"/>
        <v>5.5793364585595917</v>
      </c>
      <c r="G519" s="627">
        <f t="shared" si="145"/>
        <v>3.6020668333863304</v>
      </c>
      <c r="H519" s="627">
        <f t="shared" si="145"/>
        <v>9.1054232575045404</v>
      </c>
      <c r="I519" s="627">
        <f t="shared" si="145"/>
        <v>23.50154579025223</v>
      </c>
      <c r="J519" s="627">
        <f t="shared" si="145"/>
        <v>58.819268522694436</v>
      </c>
      <c r="K519" s="626">
        <v>12.18679365014108</v>
      </c>
      <c r="L519" s="627">
        <f t="shared" si="146"/>
        <v>-2.3404492383305442</v>
      </c>
      <c r="M519" s="627">
        <f t="shared" si="146"/>
        <v>-1.6821533800402855</v>
      </c>
      <c r="N519" s="627">
        <f t="shared" si="146"/>
        <v>0.43866580165650149</v>
      </c>
      <c r="O519" s="627">
        <f t="shared" si="146"/>
        <v>19.956414234430998</v>
      </c>
      <c r="P519" s="627">
        <f t="shared" si="146"/>
        <v>-6.4582335729790552</v>
      </c>
      <c r="Q519" s="627">
        <f t="shared" si="146"/>
        <v>1.4831134119365874</v>
      </c>
      <c r="R519" s="628">
        <f t="shared" si="146"/>
        <v>9.9760283972625921</v>
      </c>
    </row>
    <row r="520" spans="2:18">
      <c r="B520" s="595" t="s">
        <v>1042</v>
      </c>
      <c r="C520" s="626">
        <v>13.301447232986527</v>
      </c>
      <c r="D520" s="627">
        <f t="shared" si="145"/>
        <v>17.945137973884862</v>
      </c>
      <c r="E520" s="627">
        <f t="shared" si="145"/>
        <v>10.380886678043645</v>
      </c>
      <c r="F520" s="627">
        <f t="shared" si="145"/>
        <v>8.5518092105263186</v>
      </c>
      <c r="G520" s="627">
        <f t="shared" si="145"/>
        <v>18.519079689997643</v>
      </c>
      <c r="H520" s="627">
        <f t="shared" si="145"/>
        <v>20.216179591419305</v>
      </c>
      <c r="I520" s="627">
        <f t="shared" si="145"/>
        <v>10.135533920700169</v>
      </c>
      <c r="J520" s="627">
        <f t="shared" si="145"/>
        <v>13.603819767975157</v>
      </c>
      <c r="K520" s="626">
        <v>0</v>
      </c>
      <c r="L520" s="627" t="str">
        <f t="shared" si="146"/>
        <v>0</v>
      </c>
      <c r="M520" s="627" t="str">
        <f t="shared" si="146"/>
        <v>0</v>
      </c>
      <c r="N520" s="627" t="str">
        <f t="shared" si="146"/>
        <v>0</v>
      </c>
      <c r="O520" s="627" t="str">
        <f t="shared" si="146"/>
        <v>0</v>
      </c>
      <c r="P520" s="627" t="str">
        <f t="shared" si="146"/>
        <v>0</v>
      </c>
      <c r="Q520" s="627" t="str">
        <f t="shared" si="146"/>
        <v>0</v>
      </c>
      <c r="R520" s="628" t="str">
        <f t="shared" si="146"/>
        <v>0</v>
      </c>
    </row>
    <row r="521" spans="2:18">
      <c r="B521" s="595" t="s">
        <v>1043</v>
      </c>
      <c r="C521" s="626">
        <v>7.8914321279695239</v>
      </c>
      <c r="D521" s="627">
        <f t="shared" si="145"/>
        <v>7.7180689608796094</v>
      </c>
      <c r="E521" s="627">
        <f t="shared" si="145"/>
        <v>6.5073613934671259</v>
      </c>
      <c r="F521" s="627">
        <f t="shared" si="145"/>
        <v>8.5771459277290916</v>
      </c>
      <c r="G521" s="627">
        <f t="shared" si="145"/>
        <v>9.7612612693019685</v>
      </c>
      <c r="H521" s="627">
        <f t="shared" si="145"/>
        <v>10.154417923994563</v>
      </c>
      <c r="I521" s="627">
        <f t="shared" si="145"/>
        <v>17.986027885916144</v>
      </c>
      <c r="J521" s="627">
        <f t="shared" si="145"/>
        <v>18.937670932230709</v>
      </c>
      <c r="K521" s="626">
        <v>26.191784934151798</v>
      </c>
      <c r="L521" s="627">
        <f t="shared" si="146"/>
        <v>7.4777026073353126</v>
      </c>
      <c r="M521" s="627">
        <f t="shared" si="146"/>
        <v>22.955800884226619</v>
      </c>
      <c r="N521" s="627">
        <f t="shared" si="146"/>
        <v>26.866223633653807</v>
      </c>
      <c r="O521" s="627">
        <f t="shared" si="146"/>
        <v>48.535009585404374</v>
      </c>
      <c r="P521" s="627">
        <f t="shared" si="146"/>
        <v>34.817971099747865</v>
      </c>
      <c r="Q521" s="627">
        <f t="shared" si="146"/>
        <v>-27.581511980730134</v>
      </c>
      <c r="R521" s="628">
        <f t="shared" si="146"/>
        <v>-19.590910617813606</v>
      </c>
    </row>
    <row r="522" spans="2:18">
      <c r="B522" s="595" t="s">
        <v>1044</v>
      </c>
      <c r="C522" s="626">
        <v>14.738040172590969</v>
      </c>
      <c r="D522" s="627" t="str">
        <f t="shared" si="145"/>
        <v>0</v>
      </c>
      <c r="E522" s="627" t="str">
        <f t="shared" si="145"/>
        <v>0</v>
      </c>
      <c r="F522" s="627" t="str">
        <f t="shared" si="145"/>
        <v>0</v>
      </c>
      <c r="G522" s="627">
        <f t="shared" si="145"/>
        <v>7.1234658343345414</v>
      </c>
      <c r="H522" s="627">
        <f t="shared" si="145"/>
        <v>28.112513392146777</v>
      </c>
      <c r="I522" s="627">
        <f t="shared" si="145"/>
        <v>43.540386106843279</v>
      </c>
      <c r="J522" s="627">
        <f t="shared" si="145"/>
        <v>52.523115715911729</v>
      </c>
      <c r="K522" s="626">
        <v>55.641522315127965</v>
      </c>
      <c r="L522" s="627" t="str">
        <f t="shared" si="146"/>
        <v>0</v>
      </c>
      <c r="M522" s="627" t="str">
        <f t="shared" si="146"/>
        <v>0</v>
      </c>
      <c r="N522" s="627" t="str">
        <f t="shared" si="146"/>
        <v>0</v>
      </c>
      <c r="O522" s="627">
        <f t="shared" si="146"/>
        <v>-8.9691443028629418</v>
      </c>
      <c r="P522" s="627">
        <f t="shared" si="146"/>
        <v>-45.057779410963661</v>
      </c>
      <c r="Q522" s="627">
        <f t="shared" si="146"/>
        <v>19.93588262652024</v>
      </c>
      <c r="R522" s="628">
        <f t="shared" si="146"/>
        <v>64.839907536039277</v>
      </c>
    </row>
    <row r="523" spans="2:18">
      <c r="B523" s="595" t="s">
        <v>1061</v>
      </c>
      <c r="C523" s="626">
        <v>0</v>
      </c>
      <c r="D523" s="627" t="str">
        <f t="shared" si="145"/>
        <v>0</v>
      </c>
      <c r="E523" s="627">
        <f t="shared" si="145"/>
        <v>26.292865842547929</v>
      </c>
      <c r="F523" s="627">
        <f t="shared" si="145"/>
        <v>9.5768177474626626</v>
      </c>
      <c r="G523" s="627">
        <f t="shared" si="145"/>
        <v>9.4543898202791752</v>
      </c>
      <c r="H523" s="627">
        <f t="shared" si="145"/>
        <v>-0.50727540474999611</v>
      </c>
      <c r="I523" s="627">
        <f t="shared" si="145"/>
        <v>-4.4740197087256846</v>
      </c>
      <c r="J523" s="627">
        <f t="shared" si="145"/>
        <v>-5.6978859583434849</v>
      </c>
      <c r="K523" s="626">
        <v>0</v>
      </c>
      <c r="L523" s="627" t="str">
        <f t="shared" si="146"/>
        <v>0</v>
      </c>
      <c r="M523" s="627" t="str">
        <f t="shared" si="146"/>
        <v>0</v>
      </c>
      <c r="N523" s="627" t="str">
        <f t="shared" si="146"/>
        <v>0</v>
      </c>
      <c r="O523" s="627" t="str">
        <f t="shared" si="146"/>
        <v>0</v>
      </c>
      <c r="P523" s="627" t="str">
        <f t="shared" si="146"/>
        <v>0</v>
      </c>
      <c r="Q523" s="627" t="str">
        <f t="shared" si="146"/>
        <v>0</v>
      </c>
      <c r="R523" s="628" t="str">
        <f t="shared" si="146"/>
        <v>0</v>
      </c>
    </row>
    <row r="524" spans="2:18">
      <c r="B524" s="595" t="s">
        <v>1047</v>
      </c>
      <c r="C524" s="626">
        <v>0</v>
      </c>
      <c r="D524" s="627">
        <f t="shared" si="145"/>
        <v>8.1991296059403815</v>
      </c>
      <c r="E524" s="627">
        <f t="shared" si="145"/>
        <v>11.329793054150183</v>
      </c>
      <c r="F524" s="627">
        <f t="shared" si="145"/>
        <v>9.4801304198780745</v>
      </c>
      <c r="G524" s="627">
        <f t="shared" si="145"/>
        <v>11.383706034221696</v>
      </c>
      <c r="H524" s="627">
        <f t="shared" si="145"/>
        <v>9.308060860452084</v>
      </c>
      <c r="I524" s="627">
        <f t="shared" si="145"/>
        <v>8.3002901782798446</v>
      </c>
      <c r="J524" s="627">
        <f t="shared" si="145"/>
        <v>23.69423481027393</v>
      </c>
      <c r="K524" s="626">
        <v>0</v>
      </c>
      <c r="L524" s="627">
        <f t="shared" si="146"/>
        <v>17.594998661472737</v>
      </c>
      <c r="M524" s="627">
        <f t="shared" si="146"/>
        <v>6.2048879654719391</v>
      </c>
      <c r="N524" s="627">
        <f t="shared" si="146"/>
        <v>2.4809204784385308</v>
      </c>
      <c r="O524" s="627">
        <f t="shared" si="146"/>
        <v>4.7331248819764138</v>
      </c>
      <c r="P524" s="627">
        <f t="shared" si="146"/>
        <v>9.1081099249747055</v>
      </c>
      <c r="Q524" s="627">
        <f t="shared" si="146"/>
        <v>-2.4897632995591112</v>
      </c>
      <c r="R524" s="628">
        <f t="shared" si="146"/>
        <v>8.1010777147080724</v>
      </c>
    </row>
    <row r="525" spans="2:18">
      <c r="B525" s="595" t="s">
        <v>1048</v>
      </c>
      <c r="C525" s="626">
        <v>0</v>
      </c>
      <c r="D525" s="627" t="str">
        <f t="shared" si="145"/>
        <v>0</v>
      </c>
      <c r="E525" s="627">
        <f t="shared" si="145"/>
        <v>38.999033235404056</v>
      </c>
      <c r="F525" s="627">
        <f t="shared" si="145"/>
        <v>-10.373368876030975</v>
      </c>
      <c r="G525" s="627">
        <f t="shared" si="145"/>
        <v>7.6132010726119415</v>
      </c>
      <c r="H525" s="627">
        <f t="shared" si="145"/>
        <v>58.620911889156744</v>
      </c>
      <c r="I525" s="627">
        <f t="shared" si="145"/>
        <v>15.536249324377582</v>
      </c>
      <c r="J525" s="627">
        <f t="shared" si="145"/>
        <v>29.265855780221717</v>
      </c>
      <c r="K525" s="626">
        <v>0</v>
      </c>
      <c r="L525" s="627" t="str">
        <f t="shared" si="146"/>
        <v>0</v>
      </c>
      <c r="M525" s="627">
        <f t="shared" si="146"/>
        <v>5.1318614343826674</v>
      </c>
      <c r="N525" s="627">
        <f t="shared" si="146"/>
        <v>-0.5169955483962263</v>
      </c>
      <c r="O525" s="627">
        <f t="shared" si="146"/>
        <v>-38.000262576311236</v>
      </c>
      <c r="P525" s="627">
        <f t="shared" si="146"/>
        <v>55.808290246872197</v>
      </c>
      <c r="Q525" s="627">
        <f t="shared" si="146"/>
        <v>16.009249296864692</v>
      </c>
      <c r="R525" s="628">
        <f t="shared" si="146"/>
        <v>-27.715120939070481</v>
      </c>
    </row>
    <row r="526" spans="2:18">
      <c r="B526" s="595" t="s">
        <v>1049</v>
      </c>
      <c r="C526" s="626">
        <v>8.5572270996014588</v>
      </c>
      <c r="D526" s="627">
        <f t="shared" ref="D526:J532" si="147">IF(ISNUMBER((D346/C346-1)*100),(D346/C346-1)*100,"0")</f>
        <v>3.1346518558656333</v>
      </c>
      <c r="E526" s="627">
        <f t="shared" si="147"/>
        <v>10.007355452228971</v>
      </c>
      <c r="F526" s="627">
        <f t="shared" si="147"/>
        <v>8.1692596086110356</v>
      </c>
      <c r="G526" s="627">
        <f t="shared" si="147"/>
        <v>24.446161487940831</v>
      </c>
      <c r="H526" s="627">
        <f t="shared" si="147"/>
        <v>6.4749605293501489E-2</v>
      </c>
      <c r="I526" s="627">
        <f t="shared" si="147"/>
        <v>-11.339804104064166</v>
      </c>
      <c r="J526" s="627">
        <f t="shared" si="147"/>
        <v>-19.171782207914255</v>
      </c>
      <c r="K526" s="626">
        <v>0</v>
      </c>
      <c r="L526" s="627" t="str">
        <f t="shared" ref="L526:R532" si="148">IF(ISNUMBER((L346/K346-1)*100),(L346/K346-1)*100,"0")</f>
        <v>0</v>
      </c>
      <c r="M526" s="627" t="str">
        <f t="shared" si="148"/>
        <v>0</v>
      </c>
      <c r="N526" s="627" t="str">
        <f t="shared" si="148"/>
        <v>0</v>
      </c>
      <c r="O526" s="627" t="str">
        <f t="shared" si="148"/>
        <v>0</v>
      </c>
      <c r="P526" s="627" t="str">
        <f t="shared" si="148"/>
        <v>0</v>
      </c>
      <c r="Q526" s="627" t="str">
        <f t="shared" si="148"/>
        <v>0</v>
      </c>
      <c r="R526" s="628" t="str">
        <f t="shared" si="148"/>
        <v>0</v>
      </c>
    </row>
    <row r="527" spans="2:18">
      <c r="B527" s="595" t="s">
        <v>1050</v>
      </c>
      <c r="C527" s="626">
        <v>0</v>
      </c>
      <c r="D527" s="627" t="str">
        <f t="shared" si="147"/>
        <v>0</v>
      </c>
      <c r="E527" s="627" t="str">
        <f t="shared" si="147"/>
        <v>0</v>
      </c>
      <c r="F527" s="627" t="str">
        <f t="shared" si="147"/>
        <v>0</v>
      </c>
      <c r="G527" s="627" t="str">
        <f t="shared" si="147"/>
        <v>0</v>
      </c>
      <c r="H527" s="627" t="str">
        <f t="shared" si="147"/>
        <v>0</v>
      </c>
      <c r="I527" s="627" t="str">
        <f t="shared" si="147"/>
        <v>0</v>
      </c>
      <c r="J527" s="627" t="str">
        <f t="shared" si="147"/>
        <v>0</v>
      </c>
      <c r="K527" s="626">
        <v>0</v>
      </c>
      <c r="L527" s="627" t="str">
        <f t="shared" si="148"/>
        <v>0</v>
      </c>
      <c r="M527" s="627" t="str">
        <f t="shared" si="148"/>
        <v>0</v>
      </c>
      <c r="N527" s="627" t="str">
        <f t="shared" si="148"/>
        <v>0</v>
      </c>
      <c r="O527" s="627" t="str">
        <f t="shared" si="148"/>
        <v>0</v>
      </c>
      <c r="P527" s="627" t="str">
        <f t="shared" si="148"/>
        <v>0</v>
      </c>
      <c r="Q527" s="627" t="str">
        <f t="shared" si="148"/>
        <v>0</v>
      </c>
      <c r="R527" s="628" t="str">
        <f t="shared" si="148"/>
        <v>0</v>
      </c>
    </row>
    <row r="528" spans="2:18">
      <c r="B528" s="595" t="s">
        <v>1051</v>
      </c>
      <c r="C528" s="626">
        <v>26.991490396996248</v>
      </c>
      <c r="D528" s="627">
        <f t="shared" si="147"/>
        <v>16.976887358714542</v>
      </c>
      <c r="E528" s="627">
        <f t="shared" si="147"/>
        <v>30.420996980154058</v>
      </c>
      <c r="F528" s="627">
        <f t="shared" si="147"/>
        <v>19.636392744010966</v>
      </c>
      <c r="G528" s="627">
        <f t="shared" si="147"/>
        <v>24.609103690760925</v>
      </c>
      <c r="H528" s="627">
        <f t="shared" si="147"/>
        <v>20.591423472950353</v>
      </c>
      <c r="I528" s="627">
        <f t="shared" si="147"/>
        <v>34.915607548446161</v>
      </c>
      <c r="J528" s="627">
        <f t="shared" si="147"/>
        <v>28.053341883730631</v>
      </c>
      <c r="K528" s="626">
        <v>-1.1833640203617384</v>
      </c>
      <c r="L528" s="627">
        <f t="shared" si="148"/>
        <v>-2.8988112331127303</v>
      </c>
      <c r="M528" s="627">
        <f t="shared" si="148"/>
        <v>14.270943622830789</v>
      </c>
      <c r="N528" s="627">
        <f t="shared" si="148"/>
        <v>2.0684423266123853</v>
      </c>
      <c r="O528" s="627">
        <f t="shared" si="148"/>
        <v>4.4690001703287185</v>
      </c>
      <c r="P528" s="627">
        <f t="shared" si="148"/>
        <v>7.6120406790714856</v>
      </c>
      <c r="Q528" s="627">
        <f t="shared" si="148"/>
        <v>-2.7369831032571179</v>
      </c>
      <c r="R528" s="628">
        <f t="shared" si="148"/>
        <v>3.0818250210205012</v>
      </c>
    </row>
    <row r="529" spans="2:18">
      <c r="B529" s="595" t="s">
        <v>1052</v>
      </c>
      <c r="C529" s="626">
        <v>13.207671498121321</v>
      </c>
      <c r="D529" s="627">
        <f t="shared" si="147"/>
        <v>13.862099543759721</v>
      </c>
      <c r="E529" s="627">
        <f t="shared" si="147"/>
        <v>10.743125016629328</v>
      </c>
      <c r="F529" s="627">
        <f t="shared" si="147"/>
        <v>9.0969253447114475</v>
      </c>
      <c r="G529" s="627">
        <f t="shared" si="147"/>
        <v>0.28533002743189595</v>
      </c>
      <c r="H529" s="627">
        <f t="shared" si="147"/>
        <v>25.391453005888543</v>
      </c>
      <c r="I529" s="627">
        <f t="shared" si="147"/>
        <v>16.057089336468032</v>
      </c>
      <c r="J529" s="627">
        <f t="shared" si="147"/>
        <v>32.606484933449728</v>
      </c>
      <c r="K529" s="626">
        <v>2.143385867645331</v>
      </c>
      <c r="L529" s="627">
        <f t="shared" si="148"/>
        <v>-4.2456840592522527</v>
      </c>
      <c r="M529" s="627">
        <f t="shared" si="148"/>
        <v>-4.7316479887089535</v>
      </c>
      <c r="N529" s="627">
        <f t="shared" si="148"/>
        <v>11.984658495600687</v>
      </c>
      <c r="O529" s="627">
        <f t="shared" si="148"/>
        <v>113.17397876095478</v>
      </c>
      <c r="P529" s="627">
        <f t="shared" si="148"/>
        <v>14.153074874566229</v>
      </c>
      <c r="Q529" s="627">
        <f t="shared" si="148"/>
        <v>-9.1423068998071404</v>
      </c>
      <c r="R529" s="628">
        <f t="shared" si="148"/>
        <v>14.148250121467743</v>
      </c>
    </row>
    <row r="530" spans="2:18">
      <c r="B530" s="595" t="s">
        <v>1053</v>
      </c>
      <c r="C530" s="626">
        <v>0</v>
      </c>
      <c r="D530" s="627">
        <f t="shared" si="147"/>
        <v>867.91272525469981</v>
      </c>
      <c r="E530" s="627">
        <f t="shared" si="147"/>
        <v>14.712153358747958</v>
      </c>
      <c r="F530" s="627">
        <f t="shared" si="147"/>
        <v>35.823908130514056</v>
      </c>
      <c r="G530" s="627">
        <f t="shared" si="147"/>
        <v>22.130803138663957</v>
      </c>
      <c r="H530" s="627">
        <f t="shared" si="147"/>
        <v>30.5821485660293</v>
      </c>
      <c r="I530" s="627">
        <f t="shared" si="147"/>
        <v>71.63201687518162</v>
      </c>
      <c r="J530" s="627">
        <f t="shared" si="147"/>
        <v>15.845484357720796</v>
      </c>
      <c r="K530" s="626">
        <v>0</v>
      </c>
      <c r="L530" s="627" t="str">
        <f t="shared" si="148"/>
        <v>0</v>
      </c>
      <c r="M530" s="627" t="str">
        <f t="shared" si="148"/>
        <v>0</v>
      </c>
      <c r="N530" s="627" t="str">
        <f t="shared" si="148"/>
        <v>0</v>
      </c>
      <c r="O530" s="627" t="str">
        <f t="shared" si="148"/>
        <v>0</v>
      </c>
      <c r="P530" s="627" t="str">
        <f t="shared" si="148"/>
        <v>0</v>
      </c>
      <c r="Q530" s="627" t="str">
        <f t="shared" si="148"/>
        <v>0</v>
      </c>
      <c r="R530" s="628" t="str">
        <f t="shared" si="148"/>
        <v>0</v>
      </c>
    </row>
    <row r="531" spans="2:18">
      <c r="B531" s="595" t="s">
        <v>1054</v>
      </c>
      <c r="C531" s="626">
        <v>9.3179260544362883</v>
      </c>
      <c r="D531" s="627">
        <f t="shared" si="147"/>
        <v>11.475260603134995</v>
      </c>
      <c r="E531" s="627">
        <f t="shared" si="147"/>
        <v>-16.406814744824526</v>
      </c>
      <c r="F531" s="627">
        <f t="shared" si="147"/>
        <v>17.414106478832501</v>
      </c>
      <c r="G531" s="627">
        <f t="shared" si="147"/>
        <v>24.621352763528837</v>
      </c>
      <c r="H531" s="627">
        <f t="shared" si="147"/>
        <v>37.350136814271217</v>
      </c>
      <c r="I531" s="627">
        <f t="shared" si="147"/>
        <v>71.505474489452567</v>
      </c>
      <c r="J531" s="627">
        <f t="shared" si="147"/>
        <v>94.967016206193946</v>
      </c>
      <c r="K531" s="626">
        <v>-4.4676777734120705</v>
      </c>
      <c r="L531" s="627">
        <f t="shared" si="148"/>
        <v>-2.2324366450048427</v>
      </c>
      <c r="M531" s="627">
        <f t="shared" si="148"/>
        <v>-3.7677645379681657</v>
      </c>
      <c r="N531" s="627">
        <f t="shared" si="148"/>
        <v>-23.121908515693768</v>
      </c>
      <c r="O531" s="627">
        <f t="shared" si="148"/>
        <v>0.28870381956553892</v>
      </c>
      <c r="P531" s="627">
        <f t="shared" si="148"/>
        <v>174.58238919438153</v>
      </c>
      <c r="Q531" s="627">
        <f t="shared" si="148"/>
        <v>-4.4519923408748667</v>
      </c>
      <c r="R531" s="628">
        <f t="shared" si="148"/>
        <v>-2.1149590891842207</v>
      </c>
    </row>
    <row r="532" spans="2:18">
      <c r="B532" s="604" t="s">
        <v>1055</v>
      </c>
      <c r="C532" s="629">
        <v>6.5588069040012353</v>
      </c>
      <c r="D532" s="630">
        <f t="shared" si="147"/>
        <v>6.8878668484009919</v>
      </c>
      <c r="E532" s="630">
        <f t="shared" si="147"/>
        <v>2.9950448262845653</v>
      </c>
      <c r="F532" s="630">
        <f t="shared" si="147"/>
        <v>7.0133924716644591</v>
      </c>
      <c r="G532" s="630">
        <f t="shared" si="147"/>
        <v>13.059420142856016</v>
      </c>
      <c r="H532" s="630">
        <f t="shared" si="147"/>
        <v>12.751661485965581</v>
      </c>
      <c r="I532" s="630">
        <f t="shared" si="147"/>
        <v>18.41630773803633</v>
      </c>
      <c r="J532" s="630">
        <f t="shared" si="147"/>
        <v>33.225732777962634</v>
      </c>
      <c r="K532" s="629">
        <v>21.151287208122447</v>
      </c>
      <c r="L532" s="630">
        <f t="shared" si="148"/>
        <v>12.976949927780446</v>
      </c>
      <c r="M532" s="630">
        <f t="shared" si="148"/>
        <v>11.272845112688511</v>
      </c>
      <c r="N532" s="630">
        <f t="shared" si="148"/>
        <v>9.9341341493092372</v>
      </c>
      <c r="O532" s="630">
        <f t="shared" si="148"/>
        <v>7.8272766201435529</v>
      </c>
      <c r="P532" s="630">
        <f t="shared" si="148"/>
        <v>8.341438624714371</v>
      </c>
      <c r="Q532" s="630">
        <f t="shared" si="148"/>
        <v>8.1751140048957005</v>
      </c>
      <c r="R532" s="631">
        <f t="shared" si="148"/>
        <v>20.587939684062118</v>
      </c>
    </row>
    <row r="533" spans="2:18">
      <c r="B533" s="57"/>
      <c r="C533" s="582"/>
      <c r="D533" s="582"/>
      <c r="E533" s="582"/>
      <c r="F533" s="582"/>
      <c r="G533" s="582"/>
      <c r="H533" s="582"/>
      <c r="I533" s="582"/>
      <c r="J533" s="582"/>
      <c r="K533" s="582"/>
      <c r="L533" s="582"/>
      <c r="M533" s="582"/>
      <c r="N533" s="582"/>
      <c r="O533" s="582"/>
      <c r="P533" s="582"/>
      <c r="Q533" s="582"/>
    </row>
    <row r="534" spans="2:18">
      <c r="B534" s="2157" t="s">
        <v>1119</v>
      </c>
      <c r="C534" s="2157"/>
      <c r="D534" s="2157"/>
      <c r="E534" s="2157"/>
      <c r="F534" s="2157"/>
      <c r="G534" s="2157"/>
      <c r="H534" s="2157"/>
      <c r="I534" s="2157"/>
      <c r="J534" s="2157"/>
      <c r="K534" s="2157"/>
      <c r="L534" s="2157"/>
      <c r="M534" s="2157"/>
      <c r="N534" s="2157"/>
      <c r="O534" s="2157"/>
      <c r="P534" s="2157"/>
      <c r="Q534" s="2157"/>
      <c r="R534" s="2157"/>
    </row>
    <row r="535" spans="2:18">
      <c r="B535" s="619"/>
      <c r="C535" s="621"/>
      <c r="D535" s="621"/>
      <c r="E535" s="621"/>
      <c r="F535" s="621"/>
      <c r="G535" s="621"/>
      <c r="H535" s="621"/>
      <c r="I535" s="621"/>
      <c r="J535" s="621"/>
      <c r="K535" s="622"/>
      <c r="L535" s="622"/>
      <c r="M535" s="622"/>
      <c r="N535" s="622"/>
      <c r="O535" s="622"/>
      <c r="P535" s="622"/>
      <c r="Q535" s="622"/>
    </row>
    <row r="536" spans="2:18">
      <c r="B536" s="583"/>
      <c r="C536" s="2183" t="s">
        <v>353</v>
      </c>
      <c r="D536" s="2184"/>
      <c r="E536" s="2184"/>
      <c r="F536" s="2184"/>
      <c r="G536" s="2184"/>
      <c r="H536" s="2184"/>
      <c r="I536" s="2184"/>
      <c r="J536" s="2185"/>
      <c r="K536" s="2183" t="s">
        <v>338</v>
      </c>
      <c r="L536" s="2184"/>
      <c r="M536" s="2184"/>
      <c r="N536" s="2184"/>
      <c r="O536" s="2184"/>
      <c r="P536" s="2184"/>
      <c r="Q536" s="2184"/>
      <c r="R536" s="2185"/>
    </row>
    <row r="537" spans="2:18">
      <c r="B537" s="57"/>
      <c r="C537" s="585">
        <v>2014</v>
      </c>
      <c r="D537" s="586">
        <v>2015</v>
      </c>
      <c r="E537" s="586">
        <v>2016</v>
      </c>
      <c r="F537" s="586">
        <v>2017</v>
      </c>
      <c r="G537" s="586">
        <v>2018</v>
      </c>
      <c r="H537" s="586">
        <v>2019</v>
      </c>
      <c r="I537" s="586">
        <v>2020</v>
      </c>
      <c r="J537" s="586">
        <v>2021</v>
      </c>
      <c r="K537" s="638">
        <v>2014</v>
      </c>
      <c r="L537" s="639">
        <v>2015</v>
      </c>
      <c r="M537" s="639">
        <v>2016</v>
      </c>
      <c r="N537" s="639">
        <v>2017</v>
      </c>
      <c r="O537" s="639">
        <v>2018</v>
      </c>
      <c r="P537" s="639">
        <v>2019</v>
      </c>
      <c r="Q537" s="639">
        <v>2020</v>
      </c>
      <c r="R537" s="640">
        <v>2021</v>
      </c>
    </row>
    <row r="538" spans="2:18">
      <c r="B538" s="589" t="s">
        <v>1038</v>
      </c>
      <c r="C538" s="614">
        <v>-25.676702374246513</v>
      </c>
      <c r="D538" s="615">
        <f t="shared" ref="D538:J547" si="149">IF(ISNUMBER((D358/C358-1)*100),(D358/C358-1)*100,"0")</f>
        <v>-2.5302444627684162</v>
      </c>
      <c r="E538" s="615">
        <f t="shared" si="149"/>
        <v>-3.0812029845360578</v>
      </c>
      <c r="F538" s="615">
        <f t="shared" si="149"/>
        <v>-1.0256357373783054</v>
      </c>
      <c r="G538" s="615">
        <f t="shared" si="149"/>
        <v>-2.4408785619878581</v>
      </c>
      <c r="H538" s="615">
        <f t="shared" si="149"/>
        <v>-7.018454987709899</v>
      </c>
      <c r="I538" s="615">
        <f t="shared" si="149"/>
        <v>-27.111568603406511</v>
      </c>
      <c r="J538" s="615">
        <f t="shared" si="149"/>
        <v>0.68843428907086057</v>
      </c>
      <c r="K538" s="614">
        <v>0</v>
      </c>
      <c r="L538" s="615" t="str">
        <f t="shared" ref="L538:R547" si="150">IF(ISNUMBER((L358/K358-1)*100),(L358/K358-1)*100,"0")</f>
        <v>0</v>
      </c>
      <c r="M538" s="615" t="str">
        <f t="shared" si="150"/>
        <v>0</v>
      </c>
      <c r="N538" s="615">
        <f t="shared" si="150"/>
        <v>968.44150013990406</v>
      </c>
      <c r="O538" s="615">
        <f t="shared" si="150"/>
        <v>87.140331830376709</v>
      </c>
      <c r="P538" s="615">
        <f t="shared" si="150"/>
        <v>142.37431859323863</v>
      </c>
      <c r="Q538" s="615">
        <f t="shared" si="150"/>
        <v>185.99816837857509</v>
      </c>
      <c r="R538" s="616">
        <f t="shared" si="150"/>
        <v>-100</v>
      </c>
    </row>
    <row r="539" spans="2:18">
      <c r="B539" s="595" t="s">
        <v>1039</v>
      </c>
      <c r="C539" s="608">
        <v>0</v>
      </c>
      <c r="D539" s="609">
        <f t="shared" si="149"/>
        <v>-1.898183814358223</v>
      </c>
      <c r="E539" s="609">
        <f t="shared" si="149"/>
        <v>61.129390908263701</v>
      </c>
      <c r="F539" s="609">
        <f t="shared" si="149"/>
        <v>-24.534040357216959</v>
      </c>
      <c r="G539" s="609">
        <f t="shared" si="149"/>
        <v>-9.2872064076474086</v>
      </c>
      <c r="H539" s="609">
        <f t="shared" si="149"/>
        <v>3.8019965181489646</v>
      </c>
      <c r="I539" s="609">
        <f t="shared" si="149"/>
        <v>-37.440744372855363</v>
      </c>
      <c r="J539" s="609">
        <f t="shared" si="149"/>
        <v>-13.369572387419314</v>
      </c>
      <c r="K539" s="608">
        <v>0</v>
      </c>
      <c r="L539" s="609" t="str">
        <f t="shared" si="150"/>
        <v>0</v>
      </c>
      <c r="M539" s="609" t="str">
        <f t="shared" si="150"/>
        <v>0</v>
      </c>
      <c r="N539" s="609" t="str">
        <f t="shared" si="150"/>
        <v>0</v>
      </c>
      <c r="O539" s="609" t="str">
        <f t="shared" si="150"/>
        <v>0</v>
      </c>
      <c r="P539" s="609" t="str">
        <f t="shared" si="150"/>
        <v>0</v>
      </c>
      <c r="Q539" s="609" t="str">
        <f t="shared" si="150"/>
        <v>0</v>
      </c>
      <c r="R539" s="603" t="str">
        <f t="shared" si="150"/>
        <v>0</v>
      </c>
    </row>
    <row r="540" spans="2:18">
      <c r="B540" s="595" t="s">
        <v>1040</v>
      </c>
      <c r="C540" s="608">
        <v>3.2863886423095741</v>
      </c>
      <c r="D540" s="609">
        <f t="shared" si="149"/>
        <v>-3.8673427539532401</v>
      </c>
      <c r="E540" s="609">
        <f t="shared" si="149"/>
        <v>198.68207643612629</v>
      </c>
      <c r="F540" s="609">
        <f t="shared" si="149"/>
        <v>-69.43539728209403</v>
      </c>
      <c r="G540" s="609">
        <f t="shared" si="149"/>
        <v>201.56322428198337</v>
      </c>
      <c r="H540" s="609">
        <f t="shared" si="149"/>
        <v>-6.9170996712408561</v>
      </c>
      <c r="I540" s="609">
        <f t="shared" si="149"/>
        <v>-44.014236524468288</v>
      </c>
      <c r="J540" s="609">
        <f t="shared" si="149"/>
        <v>6.3753297734981285</v>
      </c>
      <c r="K540" s="608">
        <v>3.7355759013931644</v>
      </c>
      <c r="L540" s="609">
        <f t="shared" si="150"/>
        <v>1730.7238892594207</v>
      </c>
      <c r="M540" s="609">
        <f t="shared" si="150"/>
        <v>152.38025657389883</v>
      </c>
      <c r="N540" s="609">
        <f t="shared" si="150"/>
        <v>20.038817586076863</v>
      </c>
      <c r="O540" s="609">
        <f t="shared" si="150"/>
        <v>3.7266842216715279</v>
      </c>
      <c r="P540" s="609">
        <f t="shared" si="150"/>
        <v>-16.079181899846795</v>
      </c>
      <c r="Q540" s="609">
        <f t="shared" si="150"/>
        <v>-22.340431043053897</v>
      </c>
      <c r="R540" s="603">
        <f t="shared" si="150"/>
        <v>15.536093233732284</v>
      </c>
    </row>
    <row r="541" spans="2:18">
      <c r="B541" s="595" t="s">
        <v>1041</v>
      </c>
      <c r="C541" s="608">
        <v>-10.189874963088364</v>
      </c>
      <c r="D541" s="609">
        <f t="shared" si="149"/>
        <v>-10.743454329509984</v>
      </c>
      <c r="E541" s="609">
        <f t="shared" si="149"/>
        <v>-16.890659029901112</v>
      </c>
      <c r="F541" s="609">
        <f t="shared" si="149"/>
        <v>-15.405504063351561</v>
      </c>
      <c r="G541" s="609">
        <f t="shared" si="149"/>
        <v>-13.415466426338863</v>
      </c>
      <c r="H541" s="609">
        <f t="shared" si="149"/>
        <v>-13.019396996889165</v>
      </c>
      <c r="I541" s="609">
        <f t="shared" si="149"/>
        <v>-30.762638150394395</v>
      </c>
      <c r="J541" s="609">
        <f t="shared" si="149"/>
        <v>-17.999511936362577</v>
      </c>
      <c r="K541" s="608">
        <v>-27.448183548604018</v>
      </c>
      <c r="L541" s="609">
        <f t="shared" si="150"/>
        <v>-12.272018401406603</v>
      </c>
      <c r="M541" s="609">
        <f t="shared" si="150"/>
        <v>-3.9664653562598295</v>
      </c>
      <c r="N541" s="609">
        <f t="shared" si="150"/>
        <v>21.300091375342056</v>
      </c>
      <c r="O541" s="609">
        <f t="shared" si="150"/>
        <v>211.22325546803853</v>
      </c>
      <c r="P541" s="609">
        <f t="shared" si="150"/>
        <v>418.84105547945978</v>
      </c>
      <c r="Q541" s="609">
        <f t="shared" si="150"/>
        <v>178.91756974641041</v>
      </c>
      <c r="R541" s="603">
        <f t="shared" si="150"/>
        <v>210.70645218822452</v>
      </c>
    </row>
    <row r="542" spans="2:18">
      <c r="B542" s="595" t="s">
        <v>1042</v>
      </c>
      <c r="C542" s="608">
        <v>-6.7598409923395959</v>
      </c>
      <c r="D542" s="609">
        <f t="shared" si="149"/>
        <v>-7.8825096754455037</v>
      </c>
      <c r="E542" s="609">
        <f t="shared" si="149"/>
        <v>-8.6519661425341852</v>
      </c>
      <c r="F542" s="609">
        <f t="shared" si="149"/>
        <v>-12.643195138999186</v>
      </c>
      <c r="G542" s="609">
        <f t="shared" si="149"/>
        <v>-11.096804994784282</v>
      </c>
      <c r="H542" s="609">
        <f t="shared" si="149"/>
        <v>-13.361825263167916</v>
      </c>
      <c r="I542" s="609">
        <f t="shared" si="149"/>
        <v>-45.680798214472993</v>
      </c>
      <c r="J542" s="609">
        <f t="shared" si="149"/>
        <v>-24.897387515318925</v>
      </c>
      <c r="K542" s="608">
        <v>0</v>
      </c>
      <c r="L542" s="609" t="str">
        <f t="shared" si="150"/>
        <v>0</v>
      </c>
      <c r="M542" s="609" t="str">
        <f t="shared" si="150"/>
        <v>0</v>
      </c>
      <c r="N542" s="609" t="str">
        <f t="shared" si="150"/>
        <v>0</v>
      </c>
      <c r="O542" s="609" t="str">
        <f t="shared" si="150"/>
        <v>0</v>
      </c>
      <c r="P542" s="609" t="str">
        <f t="shared" si="150"/>
        <v>0</v>
      </c>
      <c r="Q542" s="609" t="str">
        <f t="shared" si="150"/>
        <v>0</v>
      </c>
      <c r="R542" s="603" t="str">
        <f t="shared" si="150"/>
        <v>0</v>
      </c>
    </row>
    <row r="543" spans="2:18">
      <c r="B543" s="595" t="s">
        <v>1043</v>
      </c>
      <c r="C543" s="608">
        <v>-8.8375444740439146</v>
      </c>
      <c r="D543" s="609">
        <f t="shared" si="149"/>
        <v>-12.383373466499425</v>
      </c>
      <c r="E543" s="609">
        <f t="shared" si="149"/>
        <v>-13.427172248803842</v>
      </c>
      <c r="F543" s="609">
        <f t="shared" si="149"/>
        <v>-25.543231267907796</v>
      </c>
      <c r="G543" s="609">
        <f t="shared" si="149"/>
        <v>-14.771377672209029</v>
      </c>
      <c r="H543" s="609">
        <f t="shared" si="149"/>
        <v>-13.473262497822681</v>
      </c>
      <c r="I543" s="609">
        <f t="shared" si="149"/>
        <v>-45.952541519879219</v>
      </c>
      <c r="J543" s="609">
        <f t="shared" si="149"/>
        <v>4.1142242041561472</v>
      </c>
      <c r="K543" s="608">
        <v>0</v>
      </c>
      <c r="L543" s="609" t="str">
        <f t="shared" si="150"/>
        <v>0</v>
      </c>
      <c r="M543" s="609" t="str">
        <f t="shared" si="150"/>
        <v>0</v>
      </c>
      <c r="N543" s="609" t="str">
        <f t="shared" si="150"/>
        <v>0</v>
      </c>
      <c r="O543" s="609" t="str">
        <f t="shared" si="150"/>
        <v>0</v>
      </c>
      <c r="P543" s="609" t="str">
        <f t="shared" si="150"/>
        <v>0</v>
      </c>
      <c r="Q543" s="609" t="str">
        <f t="shared" si="150"/>
        <v>0</v>
      </c>
      <c r="R543" s="603" t="str">
        <f t="shared" si="150"/>
        <v>0</v>
      </c>
    </row>
    <row r="544" spans="2:18">
      <c r="B544" s="595" t="s">
        <v>1044</v>
      </c>
      <c r="C544" s="608">
        <v>-8.3396218565840332</v>
      </c>
      <c r="D544" s="609">
        <f t="shared" si="149"/>
        <v>-11.005585787822847</v>
      </c>
      <c r="E544" s="609">
        <f t="shared" si="149"/>
        <v>-7.664837879532282</v>
      </c>
      <c r="F544" s="609">
        <f t="shared" si="149"/>
        <v>-33.926618991318257</v>
      </c>
      <c r="G544" s="609">
        <f t="shared" si="149"/>
        <v>1.2996529322182759</v>
      </c>
      <c r="H544" s="609">
        <f t="shared" si="149"/>
        <v>-16.1193326005572</v>
      </c>
      <c r="I544" s="609">
        <f t="shared" si="149"/>
        <v>-27.039274948793611</v>
      </c>
      <c r="J544" s="609">
        <f t="shared" si="149"/>
        <v>-19.376934308115768</v>
      </c>
      <c r="K544" s="608">
        <v>0</v>
      </c>
      <c r="L544" s="609" t="str">
        <f t="shared" si="150"/>
        <v>0</v>
      </c>
      <c r="M544" s="609" t="str">
        <f t="shared" si="150"/>
        <v>0</v>
      </c>
      <c r="N544" s="609" t="str">
        <f t="shared" si="150"/>
        <v>0</v>
      </c>
      <c r="O544" s="609" t="str">
        <f t="shared" si="150"/>
        <v>0</v>
      </c>
      <c r="P544" s="609" t="str">
        <f t="shared" si="150"/>
        <v>0</v>
      </c>
      <c r="Q544" s="609" t="str">
        <f t="shared" si="150"/>
        <v>0</v>
      </c>
      <c r="R544" s="603" t="str">
        <f t="shared" si="150"/>
        <v>0</v>
      </c>
    </row>
    <row r="545" spans="2:18">
      <c r="B545" s="595" t="s">
        <v>1061</v>
      </c>
      <c r="C545" s="608">
        <v>0</v>
      </c>
      <c r="D545" s="609" t="str">
        <f t="shared" si="149"/>
        <v>0</v>
      </c>
      <c r="E545" s="609">
        <f t="shared" si="149"/>
        <v>-2.4023518407162547</v>
      </c>
      <c r="F545" s="609">
        <f t="shared" si="149"/>
        <v>-8.9114177432869859</v>
      </c>
      <c r="G545" s="609">
        <f t="shared" si="149"/>
        <v>-5.5387499051159361</v>
      </c>
      <c r="H545" s="609">
        <f t="shared" si="149"/>
        <v>-33.045396754169452</v>
      </c>
      <c r="I545" s="609">
        <f t="shared" si="149"/>
        <v>-46.926033973631519</v>
      </c>
      <c r="J545" s="609">
        <f t="shared" si="149"/>
        <v>-36.70595294602316</v>
      </c>
      <c r="K545" s="608">
        <v>0</v>
      </c>
      <c r="L545" s="609" t="str">
        <f t="shared" si="150"/>
        <v>0</v>
      </c>
      <c r="M545" s="609">
        <f t="shared" si="150"/>
        <v>72.007808142777478</v>
      </c>
      <c r="N545" s="609">
        <f t="shared" si="150"/>
        <v>0.20524626309132987</v>
      </c>
      <c r="O545" s="609">
        <f t="shared" si="150"/>
        <v>3.7248861808874434</v>
      </c>
      <c r="P545" s="609">
        <f t="shared" si="150"/>
        <v>-0.44672590776295706</v>
      </c>
      <c r="Q545" s="609">
        <f t="shared" si="150"/>
        <v>19.561923712680862</v>
      </c>
      <c r="R545" s="603">
        <f t="shared" si="150"/>
        <v>-8.5831701825977653</v>
      </c>
    </row>
    <row r="546" spans="2:18">
      <c r="B546" s="595" t="s">
        <v>1047</v>
      </c>
      <c r="C546" s="608">
        <v>0</v>
      </c>
      <c r="D546" s="609">
        <f t="shared" si="149"/>
        <v>-10.0887131916089</v>
      </c>
      <c r="E546" s="609">
        <f t="shared" si="149"/>
        <v>-10.897759295147559</v>
      </c>
      <c r="F546" s="609">
        <f t="shared" si="149"/>
        <v>-0.62134801219131397</v>
      </c>
      <c r="G546" s="609">
        <f t="shared" si="149"/>
        <v>-1.669947244164427</v>
      </c>
      <c r="H546" s="609">
        <f t="shared" si="149"/>
        <v>-5.1934012730375123</v>
      </c>
      <c r="I546" s="609">
        <f t="shared" si="149"/>
        <v>-36.952335146653347</v>
      </c>
      <c r="J546" s="609">
        <f t="shared" si="149"/>
        <v>8.1346763240792477</v>
      </c>
      <c r="K546" s="608">
        <v>0</v>
      </c>
      <c r="L546" s="609" t="str">
        <f t="shared" si="150"/>
        <v>0</v>
      </c>
      <c r="M546" s="609" t="str">
        <f t="shared" si="150"/>
        <v>0</v>
      </c>
      <c r="N546" s="609" t="str">
        <f t="shared" si="150"/>
        <v>0</v>
      </c>
      <c r="O546" s="609" t="str">
        <f t="shared" si="150"/>
        <v>0</v>
      </c>
      <c r="P546" s="609" t="str">
        <f t="shared" si="150"/>
        <v>0</v>
      </c>
      <c r="Q546" s="609" t="str">
        <f t="shared" si="150"/>
        <v>0</v>
      </c>
      <c r="R546" s="603" t="str">
        <f t="shared" si="150"/>
        <v>0</v>
      </c>
    </row>
    <row r="547" spans="2:18">
      <c r="B547" s="595" t="s">
        <v>1048</v>
      </c>
      <c r="C547" s="608">
        <v>0</v>
      </c>
      <c r="D547" s="609" t="str">
        <f t="shared" si="149"/>
        <v>0</v>
      </c>
      <c r="E547" s="609">
        <f t="shared" si="149"/>
        <v>12.482666759103168</v>
      </c>
      <c r="F547" s="609">
        <f t="shared" si="149"/>
        <v>-6.5540823352474238</v>
      </c>
      <c r="G547" s="609">
        <f t="shared" si="149"/>
        <v>-6.4970493313274202</v>
      </c>
      <c r="H547" s="609">
        <f t="shared" si="149"/>
        <v>-4.7814785984201302</v>
      </c>
      <c r="I547" s="609">
        <f t="shared" si="149"/>
        <v>-33.666047490577931</v>
      </c>
      <c r="J547" s="609">
        <f t="shared" si="149"/>
        <v>-2.7337780452054261</v>
      </c>
      <c r="K547" s="608">
        <v>0</v>
      </c>
      <c r="L547" s="609" t="str">
        <f t="shared" si="150"/>
        <v>0</v>
      </c>
      <c r="M547" s="609" t="str">
        <f t="shared" si="150"/>
        <v>0</v>
      </c>
      <c r="N547" s="609" t="str">
        <f t="shared" si="150"/>
        <v>0</v>
      </c>
      <c r="O547" s="609" t="str">
        <f t="shared" si="150"/>
        <v>0</v>
      </c>
      <c r="P547" s="609" t="str">
        <f t="shared" si="150"/>
        <v>0</v>
      </c>
      <c r="Q547" s="609" t="str">
        <f t="shared" si="150"/>
        <v>0</v>
      </c>
      <c r="R547" s="603" t="str">
        <f t="shared" si="150"/>
        <v>0</v>
      </c>
    </row>
    <row r="548" spans="2:18">
      <c r="B548" s="595" t="s">
        <v>1049</v>
      </c>
      <c r="C548" s="608">
        <v>-4.6166042025616294</v>
      </c>
      <c r="D548" s="609">
        <f t="shared" ref="D548:J554" si="151">IF(ISNUMBER((D368/C368-1)*100),(D368/C368-1)*100,"0")</f>
        <v>-4.3787731065821012</v>
      </c>
      <c r="E548" s="609">
        <f t="shared" si="151"/>
        <v>-5.6636724003832128</v>
      </c>
      <c r="F548" s="609">
        <f t="shared" si="151"/>
        <v>-7.7970881614416783</v>
      </c>
      <c r="G548" s="609">
        <f t="shared" si="151"/>
        <v>-4.8961859409927815</v>
      </c>
      <c r="H548" s="609">
        <f t="shared" si="151"/>
        <v>-5.317479932711155</v>
      </c>
      <c r="I548" s="609">
        <f t="shared" si="151"/>
        <v>-25.617109868596909</v>
      </c>
      <c r="J548" s="609">
        <f t="shared" si="151"/>
        <v>-5.5761649675423186</v>
      </c>
      <c r="K548" s="608">
        <v>0</v>
      </c>
      <c r="L548" s="609" t="str">
        <f t="shared" ref="L548:R554" si="152">IF(ISNUMBER((L368/K368-1)*100),(L368/K368-1)*100,"0")</f>
        <v>0</v>
      </c>
      <c r="M548" s="609" t="str">
        <f t="shared" si="152"/>
        <v>0</v>
      </c>
      <c r="N548" s="609" t="str">
        <f t="shared" si="152"/>
        <v>0</v>
      </c>
      <c r="O548" s="609" t="str">
        <f t="shared" si="152"/>
        <v>0</v>
      </c>
      <c r="P548" s="609" t="str">
        <f t="shared" si="152"/>
        <v>0</v>
      </c>
      <c r="Q548" s="609" t="str">
        <f t="shared" si="152"/>
        <v>0</v>
      </c>
      <c r="R548" s="603" t="str">
        <f t="shared" si="152"/>
        <v>0</v>
      </c>
    </row>
    <row r="549" spans="2:18">
      <c r="B549" s="595" t="s">
        <v>1050</v>
      </c>
      <c r="C549" s="608">
        <v>0</v>
      </c>
      <c r="D549" s="609">
        <f t="shared" si="151"/>
        <v>-5.4268868567757362</v>
      </c>
      <c r="E549" s="609">
        <f t="shared" si="151"/>
        <v>-3.9465656812499805</v>
      </c>
      <c r="F549" s="609">
        <f t="shared" si="151"/>
        <v>-5.9912813815998884</v>
      </c>
      <c r="G549" s="609">
        <f t="shared" si="151"/>
        <v>-9.0711989858016651</v>
      </c>
      <c r="H549" s="609">
        <f t="shared" si="151"/>
        <v>-5.5879387833416727</v>
      </c>
      <c r="I549" s="609">
        <f t="shared" si="151"/>
        <v>-41.853103109999068</v>
      </c>
      <c r="J549" s="609">
        <f t="shared" si="151"/>
        <v>4.6595068707123266</v>
      </c>
      <c r="K549" s="608">
        <v>0</v>
      </c>
      <c r="L549" s="609" t="str">
        <f t="shared" si="152"/>
        <v>0</v>
      </c>
      <c r="M549" s="609" t="str">
        <f t="shared" si="152"/>
        <v>0</v>
      </c>
      <c r="N549" s="609" t="str">
        <f t="shared" si="152"/>
        <v>0</v>
      </c>
      <c r="O549" s="609" t="str">
        <f t="shared" si="152"/>
        <v>0</v>
      </c>
      <c r="P549" s="609" t="str">
        <f t="shared" si="152"/>
        <v>0</v>
      </c>
      <c r="Q549" s="609" t="str">
        <f t="shared" si="152"/>
        <v>0</v>
      </c>
      <c r="R549" s="603" t="str">
        <f t="shared" si="152"/>
        <v>0</v>
      </c>
    </row>
    <row r="550" spans="2:18">
      <c r="B550" s="595" t="s">
        <v>1051</v>
      </c>
      <c r="C550" s="608">
        <v>-10.489118706240799</v>
      </c>
      <c r="D550" s="609">
        <f t="shared" si="151"/>
        <v>-10.532136853012341</v>
      </c>
      <c r="E550" s="609">
        <f t="shared" si="151"/>
        <v>-1.8847806849071391</v>
      </c>
      <c r="F550" s="609">
        <f t="shared" si="151"/>
        <v>-6.1766781226094025</v>
      </c>
      <c r="G550" s="609">
        <f t="shared" si="151"/>
        <v>-3.9988363082821499</v>
      </c>
      <c r="H550" s="609">
        <f t="shared" si="151"/>
        <v>-5.8440764073722455</v>
      </c>
      <c r="I550" s="609">
        <f t="shared" si="151"/>
        <v>-27.620580086555112</v>
      </c>
      <c r="J550" s="609">
        <f t="shared" si="151"/>
        <v>-22.316060299941487</v>
      </c>
      <c r="K550" s="608">
        <v>0</v>
      </c>
      <c r="L550" s="609" t="str">
        <f t="shared" si="152"/>
        <v>0</v>
      </c>
      <c r="M550" s="609" t="str">
        <f t="shared" si="152"/>
        <v>0</v>
      </c>
      <c r="N550" s="609" t="str">
        <f t="shared" si="152"/>
        <v>0</v>
      </c>
      <c r="O550" s="609" t="str">
        <f t="shared" si="152"/>
        <v>0</v>
      </c>
      <c r="P550" s="609" t="str">
        <f t="shared" si="152"/>
        <v>0</v>
      </c>
      <c r="Q550" s="609" t="str">
        <f t="shared" si="152"/>
        <v>0</v>
      </c>
      <c r="R550" s="603" t="str">
        <f t="shared" si="152"/>
        <v>0</v>
      </c>
    </row>
    <row r="551" spans="2:18">
      <c r="B551" s="595" t="s">
        <v>1052</v>
      </c>
      <c r="C551" s="608">
        <v>12.87917006647865</v>
      </c>
      <c r="D551" s="609">
        <f t="shared" si="151"/>
        <v>1.3619573315755806</v>
      </c>
      <c r="E551" s="609">
        <f t="shared" si="151"/>
        <v>-1.3541145110141928</v>
      </c>
      <c r="F551" s="609">
        <f t="shared" si="151"/>
        <v>-4.3056852190171639</v>
      </c>
      <c r="G551" s="609">
        <f t="shared" si="151"/>
        <v>-4.0168388464278726</v>
      </c>
      <c r="H551" s="609">
        <f t="shared" si="151"/>
        <v>-7.283427442348489</v>
      </c>
      <c r="I551" s="609">
        <f t="shared" si="151"/>
        <v>-32.847419510589567</v>
      </c>
      <c r="J551" s="609">
        <f t="shared" si="151"/>
        <v>3.3478075641930616</v>
      </c>
      <c r="K551" s="608">
        <v>0</v>
      </c>
      <c r="L551" s="609" t="str">
        <f t="shared" si="152"/>
        <v>0</v>
      </c>
      <c r="M551" s="609" t="str">
        <f t="shared" si="152"/>
        <v>0</v>
      </c>
      <c r="N551" s="609" t="str">
        <f t="shared" si="152"/>
        <v>0</v>
      </c>
      <c r="O551" s="609" t="str">
        <f t="shared" si="152"/>
        <v>0</v>
      </c>
      <c r="P551" s="609" t="str">
        <f t="shared" si="152"/>
        <v>0</v>
      </c>
      <c r="Q551" s="609" t="str">
        <f t="shared" si="152"/>
        <v>0</v>
      </c>
      <c r="R551" s="603" t="str">
        <f t="shared" si="152"/>
        <v>0</v>
      </c>
    </row>
    <row r="552" spans="2:18">
      <c r="B552" s="595" t="s">
        <v>1053</v>
      </c>
      <c r="C552" s="608">
        <v>-1.201546017425259</v>
      </c>
      <c r="D552" s="609">
        <f t="shared" si="151"/>
        <v>14.660760400478367</v>
      </c>
      <c r="E552" s="609">
        <f t="shared" si="151"/>
        <v>-5.0557362735918936</v>
      </c>
      <c r="F552" s="609">
        <f t="shared" si="151"/>
        <v>-1.6075496029527292</v>
      </c>
      <c r="G552" s="609">
        <f t="shared" si="151"/>
        <v>-3.2833174143178212</v>
      </c>
      <c r="H552" s="609">
        <f t="shared" si="151"/>
        <v>-7.9270557591809236</v>
      </c>
      <c r="I552" s="609">
        <f t="shared" si="151"/>
        <v>-24.976140615918208</v>
      </c>
      <c r="J552" s="609">
        <f t="shared" si="151"/>
        <v>-2.0581670993844225</v>
      </c>
      <c r="K552" s="608">
        <v>0</v>
      </c>
      <c r="L552" s="609" t="str">
        <f t="shared" si="152"/>
        <v>0</v>
      </c>
      <c r="M552" s="609">
        <f t="shared" si="152"/>
        <v>91.775228120964442</v>
      </c>
      <c r="N552" s="609">
        <f t="shared" si="152"/>
        <v>308.02733496992892</v>
      </c>
      <c r="O552" s="609">
        <f t="shared" si="152"/>
        <v>39.018064892881974</v>
      </c>
      <c r="P552" s="609">
        <f t="shared" si="152"/>
        <v>107.53518701397304</v>
      </c>
      <c r="Q552" s="609">
        <f t="shared" si="152"/>
        <v>294.33772945015886</v>
      </c>
      <c r="R552" s="603">
        <f t="shared" si="152"/>
        <v>90.379200682634718</v>
      </c>
    </row>
    <row r="553" spans="2:18">
      <c r="B553" s="595" t="s">
        <v>1054</v>
      </c>
      <c r="C553" s="608">
        <v>-6.9755363477581263</v>
      </c>
      <c r="D553" s="609">
        <f t="shared" si="151"/>
        <v>-9.7850417557090115</v>
      </c>
      <c r="E553" s="609">
        <f t="shared" si="151"/>
        <v>-8.8855804315729703</v>
      </c>
      <c r="F553" s="609">
        <f t="shared" si="151"/>
        <v>-12.301924688034561</v>
      </c>
      <c r="G553" s="609">
        <f t="shared" si="151"/>
        <v>-9.233103594294489</v>
      </c>
      <c r="H553" s="609">
        <f t="shared" si="151"/>
        <v>-15.048659191006442</v>
      </c>
      <c r="I553" s="609">
        <f t="shared" si="151"/>
        <v>-55.240708079178667</v>
      </c>
      <c r="J553" s="609">
        <f t="shared" si="151"/>
        <v>-23.016650192471822</v>
      </c>
      <c r="K553" s="608">
        <v>0</v>
      </c>
      <c r="L553" s="609" t="str">
        <f t="shared" si="152"/>
        <v>0</v>
      </c>
      <c r="M553" s="609" t="str">
        <f t="shared" si="152"/>
        <v>0</v>
      </c>
      <c r="N553" s="609">
        <f t="shared" si="152"/>
        <v>608.9571374457297</v>
      </c>
      <c r="O553" s="609">
        <f t="shared" si="152"/>
        <v>128.96710739929387</v>
      </c>
      <c r="P553" s="609">
        <f t="shared" si="152"/>
        <v>27.592340955639362</v>
      </c>
      <c r="Q553" s="609">
        <f t="shared" si="152"/>
        <v>8.079115598023634</v>
      </c>
      <c r="R553" s="603">
        <f t="shared" si="152"/>
        <v>-7.4876828053915823</v>
      </c>
    </row>
    <row r="554" spans="2:18">
      <c r="B554" s="604" t="s">
        <v>1055</v>
      </c>
      <c r="C554" s="610">
        <v>-3.003582220883616</v>
      </c>
      <c r="D554" s="617">
        <f t="shared" si="151"/>
        <v>-1.8890625171932074</v>
      </c>
      <c r="E554" s="617">
        <f t="shared" si="151"/>
        <v>-5.8351524518343467</v>
      </c>
      <c r="F554" s="617">
        <f t="shared" si="151"/>
        <v>-4.7712952366304018</v>
      </c>
      <c r="G554" s="617">
        <f t="shared" si="151"/>
        <v>-6.8951468516632142</v>
      </c>
      <c r="H554" s="617">
        <f t="shared" si="151"/>
        <v>-5.5763291721696469</v>
      </c>
      <c r="I554" s="617">
        <f t="shared" si="151"/>
        <v>-26.814030196286133</v>
      </c>
      <c r="J554" s="617">
        <f t="shared" si="151"/>
        <v>-13.457323601977588</v>
      </c>
      <c r="K554" s="610">
        <v>12.428056077494221</v>
      </c>
      <c r="L554" s="617">
        <f t="shared" si="152"/>
        <v>9.2591080800141778</v>
      </c>
      <c r="M554" s="617">
        <f t="shared" si="152"/>
        <v>7.9251756639448612</v>
      </c>
      <c r="N554" s="617">
        <f t="shared" si="152"/>
        <v>-0.38969753666006079</v>
      </c>
      <c r="O554" s="617">
        <f t="shared" si="152"/>
        <v>11.68479562988165</v>
      </c>
      <c r="P554" s="617">
        <f t="shared" si="152"/>
        <v>17.536210456944112</v>
      </c>
      <c r="Q554" s="617">
        <f t="shared" si="152"/>
        <v>-12.965954056762708</v>
      </c>
      <c r="R554" s="618">
        <f t="shared" si="152"/>
        <v>7.9849532211128782</v>
      </c>
    </row>
    <row r="555" spans="2:18">
      <c r="B555" s="57"/>
      <c r="C555" s="582"/>
      <c r="D555" s="582"/>
      <c r="E555" s="582"/>
      <c r="F555" s="582"/>
      <c r="G555" s="582"/>
      <c r="H555" s="582"/>
      <c r="I555" s="582"/>
      <c r="J555" s="582"/>
      <c r="K555" s="582"/>
      <c r="L555" s="582"/>
      <c r="M555" s="582"/>
      <c r="N555" s="582"/>
      <c r="O555" s="582"/>
      <c r="P555" s="582"/>
      <c r="Q555" s="582"/>
    </row>
    <row r="556" spans="2:18">
      <c r="B556" s="2157" t="s">
        <v>1119</v>
      </c>
      <c r="C556" s="2157"/>
      <c r="D556" s="2157"/>
      <c r="E556" s="2157"/>
      <c r="F556" s="2157"/>
      <c r="G556" s="2157"/>
      <c r="H556" s="2157"/>
      <c r="I556" s="2157"/>
      <c r="J556" s="2157"/>
      <c r="K556" s="2157"/>
      <c r="L556" s="2157"/>
      <c r="M556" s="2157"/>
      <c r="N556" s="2157"/>
      <c r="O556" s="2157"/>
      <c r="P556" s="2157"/>
      <c r="Q556" s="2157"/>
      <c r="R556" s="2157"/>
    </row>
    <row r="557" spans="2:18">
      <c r="B557" s="619"/>
      <c r="C557" s="621"/>
      <c r="D557" s="621"/>
      <c r="E557" s="621"/>
      <c r="F557" s="621"/>
      <c r="G557" s="621"/>
      <c r="H557" s="621"/>
      <c r="I557" s="621"/>
      <c r="J557" s="621"/>
      <c r="K557" s="622"/>
      <c r="L557" s="622"/>
      <c r="M557" s="622"/>
      <c r="N557" s="622"/>
      <c r="O557" s="622"/>
      <c r="P557" s="622"/>
      <c r="Q557" s="622"/>
    </row>
    <row r="558" spans="2:18">
      <c r="B558" s="583"/>
      <c r="C558" s="2183" t="s">
        <v>1112</v>
      </c>
      <c r="D558" s="2184"/>
      <c r="E558" s="2184"/>
      <c r="F558" s="2184"/>
      <c r="G558" s="2184"/>
      <c r="H558" s="2184"/>
      <c r="I558" s="2184"/>
      <c r="J558" s="2185"/>
      <c r="K558" s="2203" t="s">
        <v>1113</v>
      </c>
      <c r="L558" s="2204"/>
      <c r="M558" s="2204"/>
      <c r="N558" s="2204"/>
      <c r="O558" s="2204"/>
      <c r="P558" s="2204"/>
      <c r="Q558" s="2204"/>
      <c r="R558" s="2205"/>
    </row>
    <row r="559" spans="2:18">
      <c r="B559" s="57"/>
      <c r="C559" s="585">
        <v>2014</v>
      </c>
      <c r="D559" s="586">
        <v>2015</v>
      </c>
      <c r="E559" s="586">
        <v>2016</v>
      </c>
      <c r="F559" s="586">
        <v>2017</v>
      </c>
      <c r="G559" s="586">
        <v>2018</v>
      </c>
      <c r="H559" s="586">
        <v>2019</v>
      </c>
      <c r="I559" s="586">
        <v>2020</v>
      </c>
      <c r="J559" s="586">
        <v>2021</v>
      </c>
      <c r="K559" s="587">
        <v>2014</v>
      </c>
      <c r="L559" s="588">
        <v>2015</v>
      </c>
      <c r="M559" s="588">
        <v>2016</v>
      </c>
      <c r="N559" s="588">
        <v>2017</v>
      </c>
      <c r="O559" s="588">
        <v>2018</v>
      </c>
      <c r="P559" s="588">
        <v>2019</v>
      </c>
      <c r="Q559" s="588">
        <v>2020</v>
      </c>
      <c r="R559" s="848">
        <v>2021</v>
      </c>
    </row>
    <row r="560" spans="2:18">
      <c r="B560" s="589" t="s">
        <v>1038</v>
      </c>
      <c r="C560" s="614">
        <v>9.570993372446468</v>
      </c>
      <c r="D560" s="615">
        <f t="shared" ref="D560:J569" si="153">IF(ISNUMBER((D380/C380-1)*100),(D380/C380-1)*100,"0")</f>
        <v>12.537960190717335</v>
      </c>
      <c r="E560" s="615">
        <f t="shared" si="153"/>
        <v>18.398308447158442</v>
      </c>
      <c r="F560" s="615">
        <f t="shared" si="153"/>
        <v>7.9563815691148232</v>
      </c>
      <c r="G560" s="615">
        <f t="shared" si="153"/>
        <v>11.940088146100658</v>
      </c>
      <c r="H560" s="615">
        <f t="shared" si="153"/>
        <v>15.532340518049725</v>
      </c>
      <c r="I560" s="615">
        <f t="shared" si="153"/>
        <v>-0.40361091901972568</v>
      </c>
      <c r="J560" s="615">
        <f t="shared" si="153"/>
        <v>29.999635440642216</v>
      </c>
      <c r="K560" s="614">
        <v>-16.446305233470905</v>
      </c>
      <c r="L560" s="615">
        <f t="shared" ref="L560:R569" si="154">IF(ISNUMBER((L380/K380-1)*100),(L380/K380-1)*100,"0")</f>
        <v>13.85352114341709</v>
      </c>
      <c r="M560" s="615">
        <f t="shared" si="154"/>
        <v>16.277958932094471</v>
      </c>
      <c r="N560" s="615">
        <f t="shared" si="154"/>
        <v>9.7478794383139444</v>
      </c>
      <c r="O560" s="615">
        <f t="shared" si="154"/>
        <v>15.581594897168616</v>
      </c>
      <c r="P560" s="615">
        <f t="shared" si="154"/>
        <v>21.765846007093948</v>
      </c>
      <c r="Q560" s="615">
        <f t="shared" si="154"/>
        <v>16.620614850163395</v>
      </c>
      <c r="R560" s="616">
        <f t="shared" si="154"/>
        <v>38.626444280761227</v>
      </c>
    </row>
    <row r="561" spans="2:18">
      <c r="B561" s="595" t="s">
        <v>1039</v>
      </c>
      <c r="C561" s="608">
        <v>0</v>
      </c>
      <c r="D561" s="609">
        <f t="shared" si="153"/>
        <v>55.246815159425779</v>
      </c>
      <c r="E561" s="609">
        <f t="shared" si="153"/>
        <v>25.824812043847789</v>
      </c>
      <c r="F561" s="609">
        <f t="shared" si="153"/>
        <v>18.699742609205437</v>
      </c>
      <c r="G561" s="609">
        <f t="shared" si="153"/>
        <v>18.397966064043981</v>
      </c>
      <c r="H561" s="609">
        <f t="shared" si="153"/>
        <v>6.5373829320073629</v>
      </c>
      <c r="I561" s="609">
        <f t="shared" si="153"/>
        <v>-18.767703757632106</v>
      </c>
      <c r="J561" s="609">
        <f t="shared" si="153"/>
        <v>42.039770768390404</v>
      </c>
      <c r="K561" s="608">
        <v>0</v>
      </c>
      <c r="L561" s="609">
        <f t="shared" si="154"/>
        <v>55.56048972008891</v>
      </c>
      <c r="M561" s="609">
        <f t="shared" si="154"/>
        <v>14.865049545757913</v>
      </c>
      <c r="N561" s="609">
        <f t="shared" si="154"/>
        <v>18.860695357502543</v>
      </c>
      <c r="O561" s="609">
        <f t="shared" si="154"/>
        <v>23.298886952360263</v>
      </c>
      <c r="P561" s="609">
        <f t="shared" si="154"/>
        <v>7.0929413100335514</v>
      </c>
      <c r="Q561" s="609">
        <f t="shared" si="154"/>
        <v>-17.078019614663344</v>
      </c>
      <c r="R561" s="603">
        <f t="shared" si="154"/>
        <v>41.535104364326372</v>
      </c>
    </row>
    <row r="562" spans="2:18">
      <c r="B562" s="595" t="s">
        <v>1040</v>
      </c>
      <c r="C562" s="608">
        <v>0</v>
      </c>
      <c r="D562" s="609">
        <f t="shared" si="153"/>
        <v>15.632170828352177</v>
      </c>
      <c r="E562" s="609">
        <f t="shared" si="153"/>
        <v>13.280007503521208</v>
      </c>
      <c r="F562" s="609">
        <f t="shared" si="153"/>
        <v>33.577315611490668</v>
      </c>
      <c r="G562" s="609">
        <f t="shared" si="153"/>
        <v>38.163890979949521</v>
      </c>
      <c r="H562" s="609">
        <f t="shared" si="153"/>
        <v>44.241228652051248</v>
      </c>
      <c r="I562" s="609">
        <f t="shared" si="153"/>
        <v>-0.71655293009266208</v>
      </c>
      <c r="J562" s="609">
        <f t="shared" si="153"/>
        <v>54.344374788821703</v>
      </c>
      <c r="K562" s="608">
        <v>13.229355576632912</v>
      </c>
      <c r="L562" s="609">
        <f t="shared" si="154"/>
        <v>20.947469800491113</v>
      </c>
      <c r="M562" s="609">
        <f t="shared" si="154"/>
        <v>14.927578563942202</v>
      </c>
      <c r="N562" s="609">
        <f t="shared" si="154"/>
        <v>41.36705450957421</v>
      </c>
      <c r="O562" s="609">
        <f t="shared" si="154"/>
        <v>40.478235283768463</v>
      </c>
      <c r="P562" s="609">
        <f t="shared" si="154"/>
        <v>41.668063365912175</v>
      </c>
      <c r="Q562" s="609">
        <f t="shared" si="154"/>
        <v>14.901911073937214</v>
      </c>
      <c r="R562" s="603">
        <f t="shared" si="154"/>
        <v>55.80973635610755</v>
      </c>
    </row>
    <row r="563" spans="2:18">
      <c r="B563" s="595" t="s">
        <v>1041</v>
      </c>
      <c r="C563" s="608">
        <v>15.244484228012013</v>
      </c>
      <c r="D563" s="609">
        <f t="shared" si="153"/>
        <v>7.6146506811576309</v>
      </c>
      <c r="E563" s="609">
        <f t="shared" si="153"/>
        <v>8.3501322063112671</v>
      </c>
      <c r="F563" s="609">
        <f t="shared" si="153"/>
        <v>12.756207762088966</v>
      </c>
      <c r="G563" s="609">
        <f t="shared" si="153"/>
        <v>14.811538051499618</v>
      </c>
      <c r="H563" s="609">
        <f t="shared" si="153"/>
        <v>23.861207560937615</v>
      </c>
      <c r="I563" s="609">
        <f t="shared" si="153"/>
        <v>2.1408257695614941</v>
      </c>
      <c r="J563" s="609">
        <f t="shared" si="153"/>
        <v>24.96171251124364</v>
      </c>
      <c r="K563" s="608">
        <v>14.681962462708062</v>
      </c>
      <c r="L563" s="609">
        <f t="shared" si="154"/>
        <v>10.284915289256325</v>
      </c>
      <c r="M563" s="609">
        <f t="shared" si="154"/>
        <v>10.103391122574035</v>
      </c>
      <c r="N563" s="609">
        <f t="shared" si="154"/>
        <v>16.043197974678037</v>
      </c>
      <c r="O563" s="609">
        <f t="shared" si="154"/>
        <v>13.820164467874418</v>
      </c>
      <c r="P563" s="609">
        <f t="shared" si="154"/>
        <v>20.467852198058335</v>
      </c>
      <c r="Q563" s="609">
        <f t="shared" si="154"/>
        <v>5.4181712053303688</v>
      </c>
      <c r="R563" s="603">
        <f t="shared" si="154"/>
        <v>17.849254584376695</v>
      </c>
    </row>
    <row r="564" spans="2:18">
      <c r="B564" s="595" t="s">
        <v>1042</v>
      </c>
      <c r="C564" s="608">
        <v>23.288572043087918</v>
      </c>
      <c r="D564" s="609">
        <f t="shared" si="153"/>
        <v>26.345141695278286</v>
      </c>
      <c r="E564" s="609">
        <f t="shared" si="153"/>
        <v>21.096548681421034</v>
      </c>
      <c r="F564" s="609">
        <f t="shared" si="153"/>
        <v>20.348362239887408</v>
      </c>
      <c r="G564" s="609">
        <f t="shared" si="153"/>
        <v>23.178686134906744</v>
      </c>
      <c r="H564" s="609">
        <f t="shared" si="153"/>
        <v>21.320953499514907</v>
      </c>
      <c r="I564" s="609">
        <f t="shared" si="153"/>
        <v>7.2569430989995132</v>
      </c>
      <c r="J564" s="609">
        <f t="shared" si="153"/>
        <v>48.771543469523237</v>
      </c>
      <c r="K564" s="608">
        <v>23.723620770978403</v>
      </c>
      <c r="L564" s="609">
        <f t="shared" si="154"/>
        <v>26.849285476800567</v>
      </c>
      <c r="M564" s="609">
        <f t="shared" si="154"/>
        <v>20.182538279815954</v>
      </c>
      <c r="N564" s="609">
        <f t="shared" si="154"/>
        <v>21.483625972345788</v>
      </c>
      <c r="O564" s="609">
        <f t="shared" si="154"/>
        <v>26.476174842737855</v>
      </c>
      <c r="P564" s="609">
        <f t="shared" si="154"/>
        <v>25.220900984830806</v>
      </c>
      <c r="Q564" s="609">
        <f t="shared" si="154"/>
        <v>4.3247274559894855</v>
      </c>
      <c r="R564" s="603">
        <f t="shared" si="154"/>
        <v>60.398145328583432</v>
      </c>
    </row>
    <row r="565" spans="2:18">
      <c r="B565" s="595" t="s">
        <v>1043</v>
      </c>
      <c r="C565" s="608">
        <v>15.103537607814266</v>
      </c>
      <c r="D565" s="609">
        <f t="shared" si="153"/>
        <v>10.453623811650559</v>
      </c>
      <c r="E565" s="609">
        <f t="shared" si="153"/>
        <v>15.865465436158344</v>
      </c>
      <c r="F565" s="609">
        <f t="shared" si="153"/>
        <v>11.950912373027634</v>
      </c>
      <c r="G565" s="609">
        <f t="shared" si="153"/>
        <v>14.464909424241723</v>
      </c>
      <c r="H565" s="609">
        <f t="shared" si="153"/>
        <v>18.971254455108589</v>
      </c>
      <c r="I565" s="609">
        <f t="shared" si="153"/>
        <v>-7.8324514562168606</v>
      </c>
      <c r="J565" s="609">
        <f t="shared" si="153"/>
        <v>36.185730958159908</v>
      </c>
      <c r="K565" s="608">
        <v>15.729101511939522</v>
      </c>
      <c r="L565" s="609">
        <f t="shared" si="154"/>
        <v>11.680229337538318</v>
      </c>
      <c r="M565" s="609">
        <f t="shared" si="154"/>
        <v>12.876943398232687</v>
      </c>
      <c r="N565" s="609">
        <f t="shared" si="154"/>
        <v>12.641333348912642</v>
      </c>
      <c r="O565" s="609">
        <f t="shared" si="154"/>
        <v>15.692582207169959</v>
      </c>
      <c r="P565" s="609">
        <f t="shared" si="154"/>
        <v>21.97076780366065</v>
      </c>
      <c r="Q565" s="609">
        <f t="shared" si="154"/>
        <v>1.5499618530988579</v>
      </c>
      <c r="R565" s="603">
        <f t="shared" si="154"/>
        <v>45.807643024012037</v>
      </c>
    </row>
    <row r="566" spans="2:18">
      <c r="B566" s="595" t="s">
        <v>1044</v>
      </c>
      <c r="C566" s="608">
        <v>7.4359867942195734</v>
      </c>
      <c r="D566" s="609">
        <f t="shared" si="153"/>
        <v>17.68403979150537</v>
      </c>
      <c r="E566" s="609">
        <f t="shared" si="153"/>
        <v>17.816897245735809</v>
      </c>
      <c r="F566" s="609">
        <f t="shared" si="153"/>
        <v>7.3723240456690542</v>
      </c>
      <c r="G566" s="609">
        <f t="shared" si="153"/>
        <v>7.0279595711574716</v>
      </c>
      <c r="H566" s="609">
        <f t="shared" si="153"/>
        <v>28.145374295365876</v>
      </c>
      <c r="I566" s="609">
        <f t="shared" si="153"/>
        <v>-11.977772398205843</v>
      </c>
      <c r="J566" s="609">
        <f t="shared" si="153"/>
        <v>33.947989558767858</v>
      </c>
      <c r="K566" s="608">
        <v>22.691411005281186</v>
      </c>
      <c r="L566" s="609">
        <f t="shared" si="154"/>
        <v>21.379057001217983</v>
      </c>
      <c r="M566" s="609">
        <f t="shared" si="154"/>
        <v>22.566443754694276</v>
      </c>
      <c r="N566" s="609">
        <f t="shared" si="154"/>
        <v>0.34610322145067762</v>
      </c>
      <c r="O566" s="609">
        <f t="shared" si="154"/>
        <v>7.0655385235438128</v>
      </c>
      <c r="P566" s="609">
        <f t="shared" si="154"/>
        <v>30.074453027324232</v>
      </c>
      <c r="Q566" s="609">
        <f t="shared" si="154"/>
        <v>-4.4421624837736928</v>
      </c>
      <c r="R566" s="603">
        <f t="shared" si="154"/>
        <v>39.358285642657151</v>
      </c>
    </row>
    <row r="567" spans="2:18">
      <c r="B567" s="595" t="s">
        <v>1061</v>
      </c>
      <c r="C567" s="608">
        <v>0</v>
      </c>
      <c r="D567" s="609" t="str">
        <f t="shared" si="153"/>
        <v>0</v>
      </c>
      <c r="E567" s="609">
        <f t="shared" si="153"/>
        <v>8.1252281038887588</v>
      </c>
      <c r="F567" s="609">
        <f t="shared" si="153"/>
        <v>23.127028470835654</v>
      </c>
      <c r="G567" s="609">
        <f t="shared" si="153"/>
        <v>7.6287033641888158</v>
      </c>
      <c r="H567" s="609">
        <f t="shared" si="153"/>
        <v>17.777548366492013</v>
      </c>
      <c r="I567" s="609">
        <f t="shared" si="153"/>
        <v>-8.49986112845259</v>
      </c>
      <c r="J567" s="609">
        <f t="shared" si="153"/>
        <v>11.142579198044045</v>
      </c>
      <c r="K567" s="608">
        <v>0</v>
      </c>
      <c r="L567" s="609" t="str">
        <f t="shared" si="154"/>
        <v>0</v>
      </c>
      <c r="M567" s="609">
        <f t="shared" si="154"/>
        <v>5.4549897185728113</v>
      </c>
      <c r="N567" s="609">
        <f t="shared" si="154"/>
        <v>24.595836738210419</v>
      </c>
      <c r="O567" s="609">
        <f t="shared" si="154"/>
        <v>6.9910714133704976</v>
      </c>
      <c r="P567" s="609">
        <f t="shared" si="154"/>
        <v>16.697231063905416</v>
      </c>
      <c r="Q567" s="609">
        <f t="shared" si="154"/>
        <v>-1.1964980371289791</v>
      </c>
      <c r="R567" s="603">
        <f t="shared" si="154"/>
        <v>4.5274844081553578</v>
      </c>
    </row>
    <row r="568" spans="2:18">
      <c r="B568" s="595" t="s">
        <v>1047</v>
      </c>
      <c r="C568" s="608">
        <v>0</v>
      </c>
      <c r="D568" s="609" t="str">
        <f t="shared" si="153"/>
        <v>0</v>
      </c>
      <c r="E568" s="609">
        <f t="shared" si="153"/>
        <v>6.6998821404751441</v>
      </c>
      <c r="F568" s="609">
        <f t="shared" si="153"/>
        <v>17.270814153643776</v>
      </c>
      <c r="G568" s="609">
        <f t="shared" si="153"/>
        <v>20.408828253546218</v>
      </c>
      <c r="H568" s="609">
        <f t="shared" si="153"/>
        <v>13.088922093970101</v>
      </c>
      <c r="I568" s="609">
        <f t="shared" si="153"/>
        <v>-14.181031127612954</v>
      </c>
      <c r="J568" s="609">
        <f t="shared" si="153"/>
        <v>20.091349072353061</v>
      </c>
      <c r="K568" s="608">
        <v>0</v>
      </c>
      <c r="L568" s="609" t="str">
        <f t="shared" si="154"/>
        <v>0</v>
      </c>
      <c r="M568" s="609">
        <f t="shared" si="154"/>
        <v>27.984206816780379</v>
      </c>
      <c r="N568" s="609">
        <f t="shared" si="154"/>
        <v>23.540403700085211</v>
      </c>
      <c r="O568" s="609">
        <f t="shared" si="154"/>
        <v>25.2476233931481</v>
      </c>
      <c r="P568" s="609">
        <f t="shared" si="154"/>
        <v>27.410351512003462</v>
      </c>
      <c r="Q568" s="609">
        <f t="shared" si="154"/>
        <v>2.1964354077218751</v>
      </c>
      <c r="R568" s="603">
        <f t="shared" si="154"/>
        <v>101.25950488918245</v>
      </c>
    </row>
    <row r="569" spans="2:18">
      <c r="B569" s="595" t="s">
        <v>1048</v>
      </c>
      <c r="C569" s="608">
        <v>0</v>
      </c>
      <c r="D569" s="609" t="str">
        <f t="shared" si="153"/>
        <v>0</v>
      </c>
      <c r="E569" s="609">
        <f t="shared" si="153"/>
        <v>29.296799099294766</v>
      </c>
      <c r="F569" s="609">
        <f t="shared" si="153"/>
        <v>11.218861251330958</v>
      </c>
      <c r="G569" s="609">
        <f t="shared" si="153"/>
        <v>8.3874544838859357</v>
      </c>
      <c r="H569" s="609">
        <f t="shared" si="153"/>
        <v>13.956212243864163</v>
      </c>
      <c r="I569" s="609">
        <f t="shared" si="153"/>
        <v>-8.0819125238780103</v>
      </c>
      <c r="J569" s="609">
        <f t="shared" si="153"/>
        <v>6.097855858874679</v>
      </c>
      <c r="K569" s="608">
        <v>0</v>
      </c>
      <c r="L569" s="609" t="str">
        <f t="shared" si="154"/>
        <v>0</v>
      </c>
      <c r="M569" s="609">
        <f t="shared" si="154"/>
        <v>33.374511008232943</v>
      </c>
      <c r="N569" s="609">
        <f t="shared" si="154"/>
        <v>8.5373017588615596</v>
      </c>
      <c r="O569" s="609">
        <f t="shared" si="154"/>
        <v>8.576224107930841</v>
      </c>
      <c r="P569" s="609">
        <f t="shared" si="154"/>
        <v>17.150063360707968</v>
      </c>
      <c r="Q569" s="609">
        <f t="shared" si="154"/>
        <v>0.90791222917492309</v>
      </c>
      <c r="R569" s="603">
        <f t="shared" si="154"/>
        <v>6.9443757601134637</v>
      </c>
    </row>
    <row r="570" spans="2:18">
      <c r="B570" s="595" t="s">
        <v>1049</v>
      </c>
      <c r="C570" s="608">
        <v>-6.2874362426053825</v>
      </c>
      <c r="D570" s="609">
        <f t="shared" ref="D570:J576" si="155">IF(ISNUMBER((D390/C390-1)*100),(D390/C390-1)*100,"0")</f>
        <v>17.036329657240266</v>
      </c>
      <c r="E570" s="609">
        <f t="shared" si="155"/>
        <v>24.195232371443364</v>
      </c>
      <c r="F570" s="609">
        <f t="shared" si="155"/>
        <v>28.798197154442828</v>
      </c>
      <c r="G570" s="609">
        <f t="shared" si="155"/>
        <v>20.226087242690017</v>
      </c>
      <c r="H570" s="609">
        <f t="shared" si="155"/>
        <v>16.163689865188523</v>
      </c>
      <c r="I570" s="609">
        <f t="shared" si="155"/>
        <v>-9.0949435444280802</v>
      </c>
      <c r="J570" s="609">
        <f t="shared" si="155"/>
        <v>-26.877697468753659</v>
      </c>
      <c r="K570" s="608">
        <v>29.121280103792202</v>
      </c>
      <c r="L570" s="609">
        <f t="shared" ref="L570:R576" si="156">IF(ISNUMBER((L390/K390-1)*100),(L390/K390-1)*100,"0")</f>
        <v>17.774381947206464</v>
      </c>
      <c r="M570" s="609">
        <f t="shared" si="156"/>
        <v>24.504994490064359</v>
      </c>
      <c r="N570" s="609">
        <f t="shared" si="156"/>
        <v>28.530742765778228</v>
      </c>
      <c r="O570" s="609">
        <f t="shared" si="156"/>
        <v>20.503251531357435</v>
      </c>
      <c r="P570" s="609">
        <f t="shared" si="156"/>
        <v>15.97500334118318</v>
      </c>
      <c r="Q570" s="609">
        <f t="shared" si="156"/>
        <v>-9.7101961828390593</v>
      </c>
      <c r="R570" s="603">
        <f t="shared" si="156"/>
        <v>-26.675380803372995</v>
      </c>
    </row>
    <row r="571" spans="2:18">
      <c r="B571" s="595" t="s">
        <v>1050</v>
      </c>
      <c r="C571" s="608">
        <v>0</v>
      </c>
      <c r="D571" s="609" t="str">
        <f t="shared" si="155"/>
        <v>0</v>
      </c>
      <c r="E571" s="609" t="str">
        <f t="shared" si="155"/>
        <v>0</v>
      </c>
      <c r="F571" s="609" t="str">
        <f t="shared" si="155"/>
        <v>0</v>
      </c>
      <c r="G571" s="609" t="str">
        <f t="shared" si="155"/>
        <v>0</v>
      </c>
      <c r="H571" s="609" t="str">
        <f t="shared" si="155"/>
        <v>0</v>
      </c>
      <c r="I571" s="609" t="str">
        <f t="shared" si="155"/>
        <v>0</v>
      </c>
      <c r="J571" s="609" t="str">
        <f t="shared" si="155"/>
        <v>0</v>
      </c>
      <c r="K571" s="608">
        <v>0</v>
      </c>
      <c r="L571" s="609" t="str">
        <f t="shared" si="156"/>
        <v>0</v>
      </c>
      <c r="M571" s="609" t="str">
        <f t="shared" si="156"/>
        <v>0</v>
      </c>
      <c r="N571" s="609" t="str">
        <f t="shared" si="156"/>
        <v>0</v>
      </c>
      <c r="O571" s="609" t="str">
        <f t="shared" si="156"/>
        <v>0</v>
      </c>
      <c r="P571" s="609" t="str">
        <f t="shared" si="156"/>
        <v>0</v>
      </c>
      <c r="Q571" s="609" t="str">
        <f t="shared" si="156"/>
        <v>0</v>
      </c>
      <c r="R571" s="603" t="str">
        <f t="shared" si="156"/>
        <v>0</v>
      </c>
    </row>
    <row r="572" spans="2:18">
      <c r="B572" s="595" t="s">
        <v>1051</v>
      </c>
      <c r="C572" s="608">
        <v>7.0016041330898782</v>
      </c>
      <c r="D572" s="609">
        <f t="shared" si="155"/>
        <v>7.0002354461250249</v>
      </c>
      <c r="E572" s="609">
        <f t="shared" si="155"/>
        <v>12.717810529995344</v>
      </c>
      <c r="F572" s="609">
        <f t="shared" si="155"/>
        <v>5.8765779540546736</v>
      </c>
      <c r="G572" s="609">
        <f t="shared" si="155"/>
        <v>12.753010999413238</v>
      </c>
      <c r="H572" s="609">
        <f t="shared" si="155"/>
        <v>4.2167386817728802</v>
      </c>
      <c r="I572" s="609">
        <f t="shared" si="155"/>
        <v>-9.7630588021808347</v>
      </c>
      <c r="J572" s="609">
        <f t="shared" si="155"/>
        <v>1.9161235001158294</v>
      </c>
      <c r="K572" s="608">
        <v>8.690626234388052</v>
      </c>
      <c r="L572" s="609">
        <f t="shared" si="156"/>
        <v>12.465605506950993</v>
      </c>
      <c r="M572" s="609">
        <f t="shared" si="156"/>
        <v>13.725156909774405</v>
      </c>
      <c r="N572" s="609">
        <f t="shared" si="156"/>
        <v>4.9549213811087123</v>
      </c>
      <c r="O572" s="609">
        <f t="shared" si="156"/>
        <v>12.165910644413081</v>
      </c>
      <c r="P572" s="609">
        <f t="shared" si="156"/>
        <v>3.7814166181828091</v>
      </c>
      <c r="Q572" s="609">
        <f t="shared" si="156"/>
        <v>-10.827497444136302</v>
      </c>
      <c r="R572" s="603">
        <f t="shared" si="156"/>
        <v>-6.0409817385186475</v>
      </c>
    </row>
    <row r="573" spans="2:18">
      <c r="B573" s="595" t="s">
        <v>1052</v>
      </c>
      <c r="C573" s="608">
        <v>27.146380433825335</v>
      </c>
      <c r="D573" s="609">
        <f t="shared" si="155"/>
        <v>21.363953576431861</v>
      </c>
      <c r="E573" s="609">
        <f t="shared" si="155"/>
        <v>15.307285840292039</v>
      </c>
      <c r="F573" s="609">
        <f t="shared" si="155"/>
        <v>17.086320733991588</v>
      </c>
      <c r="G573" s="609">
        <f t="shared" si="155"/>
        <v>10.181585738482735</v>
      </c>
      <c r="H573" s="609">
        <f t="shared" si="155"/>
        <v>12.744988987864403</v>
      </c>
      <c r="I573" s="609">
        <f t="shared" si="155"/>
        <v>-10.502403197889731</v>
      </c>
      <c r="J573" s="609">
        <f t="shared" si="155"/>
        <v>32.207825569753659</v>
      </c>
      <c r="K573" s="608">
        <v>29.82346108259053</v>
      </c>
      <c r="L573" s="609">
        <f t="shared" si="156"/>
        <v>28.1346189786452</v>
      </c>
      <c r="M573" s="609">
        <f t="shared" si="156"/>
        <v>15.42986340917456</v>
      </c>
      <c r="N573" s="609">
        <f t="shared" si="156"/>
        <v>24.266259884709207</v>
      </c>
      <c r="O573" s="609">
        <f t="shared" si="156"/>
        <v>22.72145166322148</v>
      </c>
      <c r="P573" s="609">
        <f t="shared" si="156"/>
        <v>21.891324623059226</v>
      </c>
      <c r="Q573" s="609">
        <f t="shared" si="156"/>
        <v>3.0090299642862695</v>
      </c>
      <c r="R573" s="603">
        <f t="shared" si="156"/>
        <v>37.080081212204298</v>
      </c>
    </row>
    <row r="574" spans="2:18">
      <c r="B574" s="595" t="s">
        <v>1053</v>
      </c>
      <c r="C574" s="608">
        <v>9.9777790262326249</v>
      </c>
      <c r="D574" s="609">
        <f t="shared" si="155"/>
        <v>0.98782975731028788</v>
      </c>
      <c r="E574" s="609">
        <f t="shared" si="155"/>
        <v>17.318661566614281</v>
      </c>
      <c r="F574" s="609">
        <f t="shared" si="155"/>
        <v>19.244659743258417</v>
      </c>
      <c r="G574" s="609">
        <f t="shared" si="155"/>
        <v>28.284733512911274</v>
      </c>
      <c r="H574" s="609">
        <f t="shared" si="155"/>
        <v>19.06681936393435</v>
      </c>
      <c r="I574" s="609">
        <f t="shared" si="155"/>
        <v>-7.4921399137185425</v>
      </c>
      <c r="J574" s="609">
        <f t="shared" si="155"/>
        <v>17.564743356600587</v>
      </c>
      <c r="K574" s="608">
        <v>13.392601087342349</v>
      </c>
      <c r="L574" s="609">
        <f t="shared" si="156"/>
        <v>19.883382731182575</v>
      </c>
      <c r="M574" s="609">
        <f t="shared" si="156"/>
        <v>26.474951510543555</v>
      </c>
      <c r="N574" s="609">
        <f t="shared" si="156"/>
        <v>29.955262044169871</v>
      </c>
      <c r="O574" s="609">
        <f t="shared" si="156"/>
        <v>29.347293063322532</v>
      </c>
      <c r="P574" s="609">
        <f t="shared" si="156"/>
        <v>26.927946459092734</v>
      </c>
      <c r="Q574" s="609">
        <f t="shared" si="156"/>
        <v>6.5922844541731029</v>
      </c>
      <c r="R574" s="603">
        <f t="shared" si="156"/>
        <v>36.421705115895776</v>
      </c>
    </row>
    <row r="575" spans="2:18">
      <c r="B575" s="595" t="s">
        <v>1054</v>
      </c>
      <c r="C575" s="608">
        <v>18.42367892201322</v>
      </c>
      <c r="D575" s="609">
        <f t="shared" si="155"/>
        <v>15.880547914444975</v>
      </c>
      <c r="E575" s="609">
        <f t="shared" si="155"/>
        <v>20.20382986040228</v>
      </c>
      <c r="F575" s="609">
        <f t="shared" si="155"/>
        <v>12.123756876127612</v>
      </c>
      <c r="G575" s="609">
        <f t="shared" si="155"/>
        <v>22.467779205342907</v>
      </c>
      <c r="H575" s="609">
        <f t="shared" si="155"/>
        <v>20.372382694960667</v>
      </c>
      <c r="I575" s="609">
        <f t="shared" si="155"/>
        <v>-15.992668353926675</v>
      </c>
      <c r="J575" s="609">
        <f t="shared" si="155"/>
        <v>60.189220963168722</v>
      </c>
      <c r="K575" s="608">
        <v>26.562791958239139</v>
      </c>
      <c r="L575" s="609">
        <f t="shared" si="156"/>
        <v>18.371556282105029</v>
      </c>
      <c r="M575" s="609">
        <f t="shared" si="156"/>
        <v>19.909911745220498</v>
      </c>
      <c r="N575" s="609">
        <f t="shared" si="156"/>
        <v>15.693641937098167</v>
      </c>
      <c r="O575" s="609">
        <f t="shared" si="156"/>
        <v>27.280438792422235</v>
      </c>
      <c r="P575" s="609">
        <f t="shared" si="156"/>
        <v>25.02674243783607</v>
      </c>
      <c r="Q575" s="609">
        <f t="shared" si="156"/>
        <v>-2.7913703207979812</v>
      </c>
      <c r="R575" s="603">
        <f t="shared" si="156"/>
        <v>71.106753262357444</v>
      </c>
    </row>
    <row r="576" spans="2:18">
      <c r="B576" s="604" t="s">
        <v>1055</v>
      </c>
      <c r="C576" s="610">
        <v>0.42511897171373381</v>
      </c>
      <c r="D576" s="617">
        <f t="shared" si="155"/>
        <v>8.6448738314348397</v>
      </c>
      <c r="E576" s="617">
        <f t="shared" si="155"/>
        <v>10.384947900538432</v>
      </c>
      <c r="F576" s="617">
        <f t="shared" si="155"/>
        <v>2.2164983364585833</v>
      </c>
      <c r="G576" s="617">
        <f t="shared" si="155"/>
        <v>5.0009690937320217</v>
      </c>
      <c r="H576" s="617">
        <f t="shared" si="155"/>
        <v>7.0039944368851526</v>
      </c>
      <c r="I576" s="617">
        <f t="shared" si="155"/>
        <v>-7.8095846965292477</v>
      </c>
      <c r="J576" s="617">
        <f t="shared" si="155"/>
        <v>4.5042079552150449</v>
      </c>
      <c r="K576" s="610">
        <v>-0.95678589909813372</v>
      </c>
      <c r="L576" s="617">
        <f t="shared" si="156"/>
        <v>8.1369977583010353</v>
      </c>
      <c r="M576" s="617">
        <f t="shared" si="156"/>
        <v>9.4898041001442159</v>
      </c>
      <c r="N576" s="617">
        <f t="shared" si="156"/>
        <v>1.181310403685143</v>
      </c>
      <c r="O576" s="617">
        <f t="shared" si="156"/>
        <v>5.1920778837887038</v>
      </c>
      <c r="P576" s="617">
        <f t="shared" si="156"/>
        <v>7.8018945245313054</v>
      </c>
      <c r="Q576" s="617">
        <f t="shared" si="156"/>
        <v>-6.5067452568226543</v>
      </c>
      <c r="R576" s="618">
        <f t="shared" si="156"/>
        <v>5.3631069841536316</v>
      </c>
    </row>
    <row r="577" spans="2:18">
      <c r="B577" s="57"/>
      <c r="C577" s="582"/>
      <c r="D577" s="582"/>
      <c r="E577" s="582"/>
      <c r="F577" s="582"/>
      <c r="G577" s="582"/>
      <c r="H577" s="582"/>
      <c r="I577" s="582"/>
      <c r="J577" s="582"/>
      <c r="K577" s="582"/>
      <c r="L577" s="582"/>
      <c r="M577" s="582"/>
      <c r="N577" s="582"/>
      <c r="O577" s="582"/>
      <c r="P577" s="582"/>
      <c r="Q577" s="582"/>
    </row>
    <row r="578" spans="2:18">
      <c r="B578" s="2157" t="s">
        <v>1119</v>
      </c>
      <c r="C578" s="2157"/>
      <c r="D578" s="2157"/>
      <c r="E578" s="2157"/>
      <c r="F578" s="2157"/>
      <c r="G578" s="2157"/>
      <c r="H578" s="2157"/>
      <c r="I578" s="2157"/>
      <c r="J578" s="2157"/>
      <c r="K578" s="2157"/>
      <c r="L578" s="2157"/>
      <c r="M578" s="2157"/>
      <c r="N578" s="2157"/>
      <c r="O578" s="2157"/>
      <c r="P578" s="2157"/>
      <c r="Q578" s="2157"/>
      <c r="R578" s="2157"/>
    </row>
    <row r="579" spans="2:18">
      <c r="B579" s="619"/>
      <c r="C579" s="621"/>
      <c r="D579" s="621"/>
      <c r="E579" s="621"/>
      <c r="F579" s="621"/>
      <c r="G579" s="621"/>
      <c r="H579" s="621"/>
      <c r="I579" s="621"/>
      <c r="J579" s="621"/>
      <c r="K579" s="622"/>
      <c r="L579" s="622"/>
      <c r="M579" s="622"/>
      <c r="N579" s="622"/>
      <c r="O579" s="622"/>
      <c r="P579" s="622"/>
      <c r="Q579" s="622"/>
    </row>
    <row r="580" spans="2:18">
      <c r="B580" s="583"/>
      <c r="C580" s="2200" t="s">
        <v>1114</v>
      </c>
      <c r="D580" s="2201"/>
      <c r="E580" s="2201"/>
      <c r="F580" s="2201"/>
      <c r="G580" s="2201"/>
      <c r="H580" s="2201"/>
      <c r="I580" s="2201"/>
      <c r="J580" s="845"/>
      <c r="K580" s="2200" t="s">
        <v>1115</v>
      </c>
      <c r="L580" s="2201"/>
      <c r="M580" s="2201"/>
      <c r="N580" s="2201"/>
      <c r="O580" s="2201"/>
      <c r="P580" s="2201"/>
      <c r="Q580" s="2201"/>
      <c r="R580" s="2202"/>
    </row>
    <row r="581" spans="2:18">
      <c r="B581" s="57"/>
      <c r="C581" s="585">
        <v>2014</v>
      </c>
      <c r="D581" s="586">
        <v>2015</v>
      </c>
      <c r="E581" s="586">
        <v>2016</v>
      </c>
      <c r="F581" s="586">
        <v>2017</v>
      </c>
      <c r="G581" s="586">
        <v>2018</v>
      </c>
      <c r="H581" s="586">
        <v>2019</v>
      </c>
      <c r="I581" s="586">
        <v>2020</v>
      </c>
      <c r="J581" s="586">
        <v>2021</v>
      </c>
      <c r="K581" s="638">
        <v>2014</v>
      </c>
      <c r="L581" s="639">
        <v>2015</v>
      </c>
      <c r="M581" s="639">
        <v>2016</v>
      </c>
      <c r="N581" s="639">
        <v>2017</v>
      </c>
      <c r="O581" s="639">
        <v>2018</v>
      </c>
      <c r="P581" s="639">
        <v>2019</v>
      </c>
      <c r="Q581" s="639">
        <v>2020</v>
      </c>
      <c r="R581" s="640">
        <v>2021</v>
      </c>
    </row>
    <row r="582" spans="2:18">
      <c r="B582" s="589" t="s">
        <v>1038</v>
      </c>
      <c r="C582" s="614">
        <f t="shared" ref="C582:I597" si="157">IFERROR((C402/B402-1)*100,0)</f>
        <v>0</v>
      </c>
      <c r="D582" s="615">
        <f t="shared" si="157"/>
        <v>0</v>
      </c>
      <c r="E582" s="615">
        <f t="shared" si="157"/>
        <v>0</v>
      </c>
      <c r="F582" s="615">
        <f t="shared" si="157"/>
        <v>0</v>
      </c>
      <c r="G582" s="615">
        <f t="shared" si="157"/>
        <v>0</v>
      </c>
      <c r="H582" s="615">
        <f t="shared" si="157"/>
        <v>0</v>
      </c>
      <c r="I582" s="615">
        <f t="shared" si="157"/>
        <v>0</v>
      </c>
      <c r="J582" s="616">
        <f>IFERROR((J402/I402-1)*100,0)</f>
        <v>0</v>
      </c>
      <c r="K582" s="615">
        <v>-11.285084796383199</v>
      </c>
      <c r="L582" s="615">
        <f t="shared" ref="L582:R591" si="158">IF(ISNUMBER((L402/K402-1)*100),(L402/K402-1)*100,"0")</f>
        <v>11.429397100778882</v>
      </c>
      <c r="M582" s="615">
        <f t="shared" si="158"/>
        <v>17.707859702928165</v>
      </c>
      <c r="N582" s="615">
        <f t="shared" si="158"/>
        <v>5.3521331899098357</v>
      </c>
      <c r="O582" s="615">
        <f t="shared" si="158"/>
        <v>7.7415201732495609</v>
      </c>
      <c r="P582" s="615">
        <f t="shared" si="158"/>
        <v>14.065663115706894</v>
      </c>
      <c r="Q582" s="615">
        <f t="shared" si="158"/>
        <v>-17.289104013628155</v>
      </c>
      <c r="R582" s="616">
        <f t="shared" si="158"/>
        <v>17.657798980203253</v>
      </c>
    </row>
    <row r="583" spans="2:18">
      <c r="B583" s="595" t="s">
        <v>1039</v>
      </c>
      <c r="C583" s="608">
        <f t="shared" si="157"/>
        <v>0</v>
      </c>
      <c r="D583" s="609">
        <f t="shared" si="157"/>
        <v>0</v>
      </c>
      <c r="E583" s="609">
        <f t="shared" si="157"/>
        <v>0</v>
      </c>
      <c r="F583" s="609">
        <f t="shared" si="157"/>
        <v>0</v>
      </c>
      <c r="G583" s="609">
        <f t="shared" si="157"/>
        <v>0</v>
      </c>
      <c r="H583" s="609">
        <f t="shared" si="157"/>
        <v>0</v>
      </c>
      <c r="I583" s="609">
        <f t="shared" si="157"/>
        <v>0</v>
      </c>
      <c r="J583" s="603">
        <f t="shared" ref="J583:J598" si="159">IFERROR((J403/I403-1)*100,0)</f>
        <v>0</v>
      </c>
      <c r="K583" s="609">
        <v>0</v>
      </c>
      <c r="L583" s="609">
        <f t="shared" si="158"/>
        <v>53.405616248619857</v>
      </c>
      <c r="M583" s="609">
        <f t="shared" si="158"/>
        <v>91.059801408413435</v>
      </c>
      <c r="N583" s="609">
        <f t="shared" si="158"/>
        <v>18.12377715992173</v>
      </c>
      <c r="O583" s="609">
        <f t="shared" si="158"/>
        <v>0.7507310926367694</v>
      </c>
      <c r="P583" s="609">
        <f t="shared" si="158"/>
        <v>4.0892238925910096</v>
      </c>
      <c r="Q583" s="609">
        <f t="shared" si="158"/>
        <v>-26.428440367804441</v>
      </c>
      <c r="R583" s="603">
        <f t="shared" si="158"/>
        <v>44.618638688214205</v>
      </c>
    </row>
    <row r="584" spans="2:18">
      <c r="B584" s="595" t="s">
        <v>1040</v>
      </c>
      <c r="C584" s="608">
        <f t="shared" si="157"/>
        <v>0</v>
      </c>
      <c r="D584" s="609">
        <f t="shared" si="157"/>
        <v>0</v>
      </c>
      <c r="E584" s="609">
        <f t="shared" si="157"/>
        <v>0</v>
      </c>
      <c r="F584" s="609">
        <f t="shared" si="157"/>
        <v>0</v>
      </c>
      <c r="G584" s="609">
        <f t="shared" si="157"/>
        <v>0</v>
      </c>
      <c r="H584" s="609">
        <f t="shared" si="157"/>
        <v>0</v>
      </c>
      <c r="I584" s="609">
        <f t="shared" si="157"/>
        <v>0</v>
      </c>
      <c r="J584" s="603">
        <f t="shared" si="159"/>
        <v>0</v>
      </c>
      <c r="K584" s="609">
        <v>3.7355759013931644</v>
      </c>
      <c r="L584" s="609">
        <f t="shared" si="158"/>
        <v>8.5773809669670307</v>
      </c>
      <c r="M584" s="609">
        <f t="shared" si="158"/>
        <v>10.844115861294434</v>
      </c>
      <c r="N584" s="609">
        <f t="shared" si="158"/>
        <v>21.636105935534221</v>
      </c>
      <c r="O584" s="609">
        <f t="shared" si="158"/>
        <v>34.040646430777308</v>
      </c>
      <c r="P584" s="609">
        <f t="shared" si="158"/>
        <v>49.045763386141196</v>
      </c>
      <c r="Q584" s="609">
        <f t="shared" si="158"/>
        <v>-28.435344696396513</v>
      </c>
      <c r="R584" s="603">
        <f t="shared" si="158"/>
        <v>50.168865635762259</v>
      </c>
    </row>
    <row r="585" spans="2:18">
      <c r="B585" s="595" t="s">
        <v>1041</v>
      </c>
      <c r="C585" s="608">
        <f t="shared" si="157"/>
        <v>0</v>
      </c>
      <c r="D585" s="609">
        <f t="shared" si="157"/>
        <v>0</v>
      </c>
      <c r="E585" s="609">
        <f t="shared" si="157"/>
        <v>0</v>
      </c>
      <c r="F585" s="609">
        <f t="shared" si="157"/>
        <v>0</v>
      </c>
      <c r="G585" s="609">
        <f t="shared" si="157"/>
        <v>0</v>
      </c>
      <c r="H585" s="609">
        <f t="shared" si="157"/>
        <v>0</v>
      </c>
      <c r="I585" s="609">
        <f t="shared" si="157"/>
        <v>0</v>
      </c>
      <c r="J585" s="603">
        <f t="shared" si="159"/>
        <v>0</v>
      </c>
      <c r="K585" s="609">
        <v>10.833766204440023</v>
      </c>
      <c r="L585" s="609">
        <f t="shared" si="158"/>
        <v>4.8060897437905536</v>
      </c>
      <c r="M585" s="609">
        <f t="shared" si="158"/>
        <v>6.4096699322762074</v>
      </c>
      <c r="N585" s="609">
        <f t="shared" si="158"/>
        <v>8.9919690428682095</v>
      </c>
      <c r="O585" s="609">
        <f t="shared" si="158"/>
        <v>16.020301389376755</v>
      </c>
      <c r="P585" s="609">
        <f t="shared" si="158"/>
        <v>27.920202399552618</v>
      </c>
      <c r="Q585" s="609">
        <f t="shared" si="158"/>
        <v>-1.5510187686905041</v>
      </c>
      <c r="R585" s="603">
        <f t="shared" si="158"/>
        <v>33.540880024328516</v>
      </c>
    </row>
    <row r="586" spans="2:18">
      <c r="B586" s="595" t="s">
        <v>1042</v>
      </c>
      <c r="C586" s="608">
        <f t="shared" si="157"/>
        <v>0</v>
      </c>
      <c r="D586" s="609">
        <f t="shared" si="157"/>
        <v>0</v>
      </c>
      <c r="E586" s="609">
        <f t="shared" si="157"/>
        <v>0</v>
      </c>
      <c r="F586" s="609">
        <f t="shared" si="157"/>
        <v>0</v>
      </c>
      <c r="G586" s="609">
        <f t="shared" si="157"/>
        <v>0</v>
      </c>
      <c r="H586" s="609">
        <f t="shared" si="157"/>
        <v>0</v>
      </c>
      <c r="I586" s="609">
        <f t="shared" si="157"/>
        <v>0</v>
      </c>
      <c r="J586" s="603">
        <f t="shared" si="159"/>
        <v>0</v>
      </c>
      <c r="K586" s="609">
        <v>34.213424679855038</v>
      </c>
      <c r="L586" s="609">
        <f t="shared" si="158"/>
        <v>25.090419332015923</v>
      </c>
      <c r="M586" s="609">
        <f t="shared" si="158"/>
        <v>23.403340162704154</v>
      </c>
      <c r="N586" s="609">
        <f t="shared" si="158"/>
        <v>17.557949654516449</v>
      </c>
      <c r="O586" s="609">
        <f t="shared" si="158"/>
        <v>14.802993757325433</v>
      </c>
      <c r="P586" s="609">
        <f t="shared" si="158"/>
        <v>10.407764687608978</v>
      </c>
      <c r="Q586" s="609">
        <f t="shared" si="158"/>
        <v>16.563006850998431</v>
      </c>
      <c r="R586" s="603">
        <f t="shared" si="158"/>
        <v>15.937358520118705</v>
      </c>
    </row>
    <row r="587" spans="2:18">
      <c r="B587" s="595" t="s">
        <v>1043</v>
      </c>
      <c r="C587" s="608">
        <f t="shared" si="157"/>
        <v>0</v>
      </c>
      <c r="D587" s="609">
        <f t="shared" si="157"/>
        <v>0</v>
      </c>
      <c r="E587" s="609">
        <f t="shared" si="157"/>
        <v>0</v>
      </c>
      <c r="F587" s="609">
        <f t="shared" si="157"/>
        <v>0</v>
      </c>
      <c r="G587" s="609">
        <f t="shared" si="157"/>
        <v>0</v>
      </c>
      <c r="H587" s="609">
        <f t="shared" si="157"/>
        <v>0</v>
      </c>
      <c r="I587" s="609">
        <f t="shared" si="157"/>
        <v>0</v>
      </c>
      <c r="J587" s="603">
        <f t="shared" si="159"/>
        <v>0</v>
      </c>
      <c r="K587" s="609">
        <v>6.8396836360675994</v>
      </c>
      <c r="L587" s="609">
        <f t="shared" si="158"/>
        <v>8.9882444017864707</v>
      </c>
      <c r="M587" s="609">
        <f t="shared" si="158"/>
        <v>19.523925099006554</v>
      </c>
      <c r="N587" s="609">
        <f t="shared" si="158"/>
        <v>11.152722562319695</v>
      </c>
      <c r="O587" s="609">
        <f t="shared" si="158"/>
        <v>13.026599398040206</v>
      </c>
      <c r="P587" s="609">
        <f t="shared" si="158"/>
        <v>15.374212261160025</v>
      </c>
      <c r="Q587" s="609">
        <f t="shared" si="158"/>
        <v>-19.727228402209384</v>
      </c>
      <c r="R587" s="603">
        <f t="shared" si="158"/>
        <v>20.754000391460693</v>
      </c>
    </row>
    <row r="588" spans="2:18">
      <c r="B588" s="595" t="s">
        <v>1044</v>
      </c>
      <c r="C588" s="608">
        <f t="shared" si="157"/>
        <v>0</v>
      </c>
      <c r="D588" s="609">
        <f t="shared" si="157"/>
        <v>0</v>
      </c>
      <c r="E588" s="609">
        <f t="shared" si="157"/>
        <v>0</v>
      </c>
      <c r="F588" s="609">
        <f t="shared" si="157"/>
        <v>0</v>
      </c>
      <c r="G588" s="609">
        <f t="shared" si="157"/>
        <v>0</v>
      </c>
      <c r="H588" s="609">
        <f t="shared" si="157"/>
        <v>0</v>
      </c>
      <c r="I588" s="609">
        <f t="shared" si="157"/>
        <v>0</v>
      </c>
      <c r="J588" s="603">
        <f t="shared" si="159"/>
        <v>0</v>
      </c>
      <c r="K588" s="609">
        <v>11.417628719133804</v>
      </c>
      <c r="L588" s="609">
        <f t="shared" si="158"/>
        <v>10.917210150596102</v>
      </c>
      <c r="M588" s="609">
        <f t="shared" si="158"/>
        <v>20.78031426567901</v>
      </c>
      <c r="N588" s="609">
        <f t="shared" si="158"/>
        <v>10.565444385041856</v>
      </c>
      <c r="O588" s="609">
        <f t="shared" si="158"/>
        <v>6.958598271634564</v>
      </c>
      <c r="P588" s="609">
        <f t="shared" si="158"/>
        <v>24.581219903554818</v>
      </c>
      <c r="Q588" s="609">
        <f t="shared" si="158"/>
        <v>-26.514424389935463</v>
      </c>
      <c r="R588" s="603">
        <f t="shared" si="158"/>
        <v>20.376383955635969</v>
      </c>
    </row>
    <row r="589" spans="2:18">
      <c r="B589" s="595" t="s">
        <v>1061</v>
      </c>
      <c r="C589" s="608">
        <f t="shared" si="157"/>
        <v>0</v>
      </c>
      <c r="D589" s="609">
        <f t="shared" si="157"/>
        <v>0</v>
      </c>
      <c r="E589" s="609">
        <f t="shared" si="157"/>
        <v>0</v>
      </c>
      <c r="F589" s="609">
        <f t="shared" si="157"/>
        <v>0</v>
      </c>
      <c r="G589" s="609">
        <f t="shared" si="157"/>
        <v>0</v>
      </c>
      <c r="H589" s="609">
        <f t="shared" si="157"/>
        <v>0</v>
      </c>
      <c r="I589" s="609">
        <f t="shared" si="157"/>
        <v>0</v>
      </c>
      <c r="J589" s="603">
        <f t="shared" si="159"/>
        <v>0</v>
      </c>
      <c r="K589" s="609">
        <v>0</v>
      </c>
      <c r="L589" s="609" t="str">
        <f t="shared" si="158"/>
        <v>0</v>
      </c>
      <c r="M589" s="609">
        <f t="shared" si="158"/>
        <v>28.182473057288714</v>
      </c>
      <c r="N589" s="609">
        <f t="shared" si="158"/>
        <v>15.160561044349263</v>
      </c>
      <c r="O589" s="609">
        <f t="shared" si="158"/>
        <v>11.370416651296612</v>
      </c>
      <c r="P589" s="609">
        <f t="shared" si="158"/>
        <v>23.867718980463181</v>
      </c>
      <c r="Q589" s="609">
        <f t="shared" si="158"/>
        <v>-47.28840096140803</v>
      </c>
      <c r="R589" s="603">
        <f t="shared" si="158"/>
        <v>76.996669882996756</v>
      </c>
    </row>
    <row r="590" spans="2:18">
      <c r="B590" s="595" t="s">
        <v>1047</v>
      </c>
      <c r="C590" s="608">
        <f t="shared" si="157"/>
        <v>0</v>
      </c>
      <c r="D590" s="609">
        <f t="shared" si="157"/>
        <v>0</v>
      </c>
      <c r="E590" s="609">
        <f t="shared" si="157"/>
        <v>0</v>
      </c>
      <c r="F590" s="609">
        <f t="shared" si="157"/>
        <v>0</v>
      </c>
      <c r="G590" s="609">
        <f t="shared" si="157"/>
        <v>0</v>
      </c>
      <c r="H590" s="609">
        <f t="shared" si="157"/>
        <v>0</v>
      </c>
      <c r="I590" s="609">
        <f t="shared" si="157"/>
        <v>0</v>
      </c>
      <c r="J590" s="603">
        <f t="shared" si="159"/>
        <v>0</v>
      </c>
      <c r="K590" s="609">
        <v>0</v>
      </c>
      <c r="L590" s="609" t="str">
        <f t="shared" si="158"/>
        <v>0</v>
      </c>
      <c r="M590" s="609">
        <f t="shared" si="158"/>
        <v>2.8861769831937112</v>
      </c>
      <c r="N590" s="609">
        <f t="shared" si="158"/>
        <v>15.873398191459898</v>
      </c>
      <c r="O590" s="609">
        <f t="shared" si="158"/>
        <v>19.258957313649951</v>
      </c>
      <c r="P590" s="609">
        <f t="shared" si="158"/>
        <v>9.5147396653479266</v>
      </c>
      <c r="Q590" s="609">
        <f t="shared" si="158"/>
        <v>-18.936235728370264</v>
      </c>
      <c r="R590" s="603">
        <f t="shared" si="158"/>
        <v>-9.6196425664862204</v>
      </c>
    </row>
    <row r="591" spans="2:18">
      <c r="B591" s="595" t="s">
        <v>1048</v>
      </c>
      <c r="C591" s="608">
        <f t="shared" si="157"/>
        <v>0</v>
      </c>
      <c r="D591" s="609">
        <f t="shared" si="157"/>
        <v>0</v>
      </c>
      <c r="E591" s="609">
        <f t="shared" si="157"/>
        <v>0</v>
      </c>
      <c r="F591" s="609">
        <f t="shared" si="157"/>
        <v>0</v>
      </c>
      <c r="G591" s="609">
        <f t="shared" si="157"/>
        <v>0</v>
      </c>
      <c r="H591" s="609">
        <f t="shared" si="157"/>
        <v>0</v>
      </c>
      <c r="I591" s="609">
        <f t="shared" si="157"/>
        <v>0</v>
      </c>
      <c r="J591" s="603">
        <f t="shared" si="159"/>
        <v>0</v>
      </c>
      <c r="K591" s="609">
        <v>0</v>
      </c>
      <c r="L591" s="609" t="str">
        <f t="shared" si="158"/>
        <v>0</v>
      </c>
      <c r="M591" s="609">
        <f t="shared" si="158"/>
        <v>25.888835598580194</v>
      </c>
      <c r="N591" s="609">
        <f t="shared" si="158"/>
        <v>13.593247976014622</v>
      </c>
      <c r="O591" s="609">
        <f t="shared" si="158"/>
        <v>8.2277479688443567</v>
      </c>
      <c r="P591" s="609">
        <f t="shared" si="158"/>
        <v>11.245388366606001</v>
      </c>
      <c r="Q591" s="609">
        <f t="shared" si="158"/>
        <v>-16.117143623289198</v>
      </c>
      <c r="R591" s="603">
        <f t="shared" si="158"/>
        <v>5.1876569114259308</v>
      </c>
    </row>
    <row r="592" spans="2:18">
      <c r="B592" s="595" t="s">
        <v>1049</v>
      </c>
      <c r="C592" s="608">
        <f t="shared" si="157"/>
        <v>0</v>
      </c>
      <c r="D592" s="609">
        <f t="shared" si="157"/>
        <v>0</v>
      </c>
      <c r="E592" s="609">
        <f t="shared" si="157"/>
        <v>0</v>
      </c>
      <c r="F592" s="609">
        <f t="shared" si="157"/>
        <v>0</v>
      </c>
      <c r="G592" s="609">
        <f t="shared" si="157"/>
        <v>0</v>
      </c>
      <c r="H592" s="609">
        <f t="shared" si="157"/>
        <v>0</v>
      </c>
      <c r="I592" s="609">
        <f t="shared" si="157"/>
        <v>0</v>
      </c>
      <c r="J592" s="603">
        <f t="shared" si="159"/>
        <v>0</v>
      </c>
      <c r="K592" s="609">
        <v>-2.2269353128313796</v>
      </c>
      <c r="L592" s="609">
        <f t="shared" ref="L592:R598" si="160">IF(ISNUMBER((L412/K412-1)*100),(L412/K412-1)*100,"0")</f>
        <v>-21.203904555314534</v>
      </c>
      <c r="M592" s="609">
        <f t="shared" si="160"/>
        <v>0.20646937370956131</v>
      </c>
      <c r="N592" s="609">
        <f t="shared" si="160"/>
        <v>54.532967032967036</v>
      </c>
      <c r="O592" s="609">
        <f t="shared" si="160"/>
        <v>-1.9555555555555548</v>
      </c>
      <c r="P592" s="609">
        <f t="shared" si="160"/>
        <v>34.723481414324574</v>
      </c>
      <c r="Q592" s="609">
        <f t="shared" si="160"/>
        <v>43.001345895020179</v>
      </c>
      <c r="R592" s="603">
        <f t="shared" si="160"/>
        <v>-37.694117647058825</v>
      </c>
    </row>
    <row r="593" spans="2:18">
      <c r="B593" s="595" t="s">
        <v>1050</v>
      </c>
      <c r="C593" s="608">
        <f t="shared" si="157"/>
        <v>0</v>
      </c>
      <c r="D593" s="609">
        <f t="shared" si="157"/>
        <v>0</v>
      </c>
      <c r="E593" s="609">
        <f t="shared" si="157"/>
        <v>0</v>
      </c>
      <c r="F593" s="609">
        <f t="shared" si="157"/>
        <v>0</v>
      </c>
      <c r="G593" s="609">
        <f t="shared" si="157"/>
        <v>0</v>
      </c>
      <c r="H593" s="609">
        <f t="shared" si="157"/>
        <v>0</v>
      </c>
      <c r="I593" s="609">
        <f t="shared" si="157"/>
        <v>0</v>
      </c>
      <c r="J593" s="603">
        <f t="shared" si="159"/>
        <v>0</v>
      </c>
      <c r="K593" s="609">
        <v>0</v>
      </c>
      <c r="L593" s="609" t="str">
        <f t="shared" si="160"/>
        <v>0</v>
      </c>
      <c r="M593" s="609" t="str">
        <f t="shared" si="160"/>
        <v>0</v>
      </c>
      <c r="N593" s="609" t="str">
        <f t="shared" si="160"/>
        <v>0</v>
      </c>
      <c r="O593" s="609" t="str">
        <f t="shared" si="160"/>
        <v>0</v>
      </c>
      <c r="P593" s="609" t="str">
        <f t="shared" si="160"/>
        <v>0</v>
      </c>
      <c r="Q593" s="609" t="str">
        <f t="shared" si="160"/>
        <v>0</v>
      </c>
      <c r="R593" s="603" t="str">
        <f t="shared" si="160"/>
        <v>0</v>
      </c>
    </row>
    <row r="594" spans="2:18">
      <c r="B594" s="595" t="s">
        <v>1051</v>
      </c>
      <c r="C594" s="608">
        <f t="shared" si="157"/>
        <v>0</v>
      </c>
      <c r="D594" s="609">
        <f t="shared" si="157"/>
        <v>0</v>
      </c>
      <c r="E594" s="609">
        <f t="shared" si="157"/>
        <v>0</v>
      </c>
      <c r="F594" s="609">
        <f t="shared" si="157"/>
        <v>0</v>
      </c>
      <c r="G594" s="609">
        <f t="shared" si="157"/>
        <v>0</v>
      </c>
      <c r="H594" s="609">
        <f t="shared" si="157"/>
        <v>0</v>
      </c>
      <c r="I594" s="609">
        <f t="shared" si="157"/>
        <v>0</v>
      </c>
      <c r="J594" s="603">
        <f t="shared" si="159"/>
        <v>0</v>
      </c>
      <c r="K594" s="609">
        <v>3.2588988329738675</v>
      </c>
      <c r="L594" s="609">
        <f t="shared" si="160"/>
        <v>-13.453197451348897</v>
      </c>
      <c r="M594" s="609">
        <f t="shared" si="160"/>
        <v>7.8189602673183201</v>
      </c>
      <c r="N594" s="609">
        <f t="shared" si="160"/>
        <v>10.604233918184836</v>
      </c>
      <c r="O594" s="609">
        <f t="shared" si="160"/>
        <v>15.610734056939091</v>
      </c>
      <c r="P594" s="609">
        <f t="shared" si="160"/>
        <v>6.2725402976971045</v>
      </c>
      <c r="Q594" s="609">
        <f t="shared" si="160"/>
        <v>-4.8540965938324572</v>
      </c>
      <c r="R594" s="603">
        <f t="shared" si="160"/>
        <v>36.308724340175957</v>
      </c>
    </row>
    <row r="595" spans="2:18">
      <c r="B595" s="595" t="s">
        <v>1052</v>
      </c>
      <c r="C595" s="608">
        <f t="shared" si="157"/>
        <v>0</v>
      </c>
      <c r="D595" s="609">
        <f t="shared" si="157"/>
        <v>0</v>
      </c>
      <c r="E595" s="609">
        <f t="shared" si="157"/>
        <v>0</v>
      </c>
      <c r="F595" s="609">
        <f t="shared" si="157"/>
        <v>0</v>
      </c>
      <c r="G595" s="609">
        <f t="shared" si="157"/>
        <v>0</v>
      </c>
      <c r="H595" s="609">
        <f t="shared" si="157"/>
        <v>0</v>
      </c>
      <c r="I595" s="609">
        <f t="shared" si="157"/>
        <v>0</v>
      </c>
      <c r="J595" s="603">
        <f t="shared" si="159"/>
        <v>0</v>
      </c>
      <c r="K595" s="609">
        <v>24.276206345127971</v>
      </c>
      <c r="L595" s="609">
        <f t="shared" si="160"/>
        <v>19.745680769099504</v>
      </c>
      <c r="M595" s="609">
        <f t="shared" si="160"/>
        <v>15.279756934078016</v>
      </c>
      <c r="N595" s="609">
        <f t="shared" si="160"/>
        <v>14.172106542584118</v>
      </c>
      <c r="O595" s="609">
        <f t="shared" si="160"/>
        <v>4.250106701549039</v>
      </c>
      <c r="P595" s="609">
        <f t="shared" si="160"/>
        <v>7.6265346306964021</v>
      </c>
      <c r="Q595" s="609">
        <f t="shared" si="160"/>
        <v>-19.105463896365883</v>
      </c>
      <c r="R595" s="603">
        <f t="shared" si="160"/>
        <v>28.2729333866099</v>
      </c>
    </row>
    <row r="596" spans="2:18">
      <c r="B596" s="595" t="s">
        <v>1053</v>
      </c>
      <c r="C596" s="608">
        <f t="shared" si="157"/>
        <v>0</v>
      </c>
      <c r="D596" s="609">
        <f t="shared" si="157"/>
        <v>0</v>
      </c>
      <c r="E596" s="609">
        <f t="shared" si="157"/>
        <v>0</v>
      </c>
      <c r="F596" s="609">
        <f t="shared" si="157"/>
        <v>0</v>
      </c>
      <c r="G596" s="609">
        <f t="shared" si="157"/>
        <v>0</v>
      </c>
      <c r="H596" s="609">
        <f t="shared" si="157"/>
        <v>0</v>
      </c>
      <c r="I596" s="609">
        <f t="shared" si="157"/>
        <v>0</v>
      </c>
      <c r="J596" s="603">
        <f t="shared" si="159"/>
        <v>0</v>
      </c>
      <c r="K596" s="609">
        <v>8.0494200747327262</v>
      </c>
      <c r="L596" s="609">
        <f t="shared" si="160"/>
        <v>-10.210201695593735</v>
      </c>
      <c r="M596" s="609">
        <f t="shared" si="160"/>
        <v>10.073741361829679</v>
      </c>
      <c r="N596" s="609">
        <f t="shared" si="160"/>
        <v>9.5071309036431018</v>
      </c>
      <c r="O596" s="609">
        <f t="shared" si="160"/>
        <v>27.138324448870144</v>
      </c>
      <c r="P596" s="609">
        <f t="shared" si="160"/>
        <v>10.43798742196409</v>
      </c>
      <c r="Q596" s="609">
        <f t="shared" si="160"/>
        <v>-25.260406639229306</v>
      </c>
      <c r="R596" s="603">
        <f t="shared" si="160"/>
        <v>-16.362824096369078</v>
      </c>
    </row>
    <row r="597" spans="2:18">
      <c r="B597" s="595" t="s">
        <v>1054</v>
      </c>
      <c r="C597" s="608">
        <f t="shared" si="157"/>
        <v>0</v>
      </c>
      <c r="D597" s="609">
        <f t="shared" si="157"/>
        <v>0</v>
      </c>
      <c r="E597" s="609">
        <f t="shared" si="157"/>
        <v>0</v>
      </c>
      <c r="F597" s="609">
        <f t="shared" si="157"/>
        <v>0</v>
      </c>
      <c r="G597" s="609">
        <f t="shared" si="157"/>
        <v>0</v>
      </c>
      <c r="H597" s="609">
        <f t="shared" si="157"/>
        <v>0</v>
      </c>
      <c r="I597" s="609">
        <f t="shared" si="157"/>
        <v>0</v>
      </c>
      <c r="J597" s="603">
        <f t="shared" si="159"/>
        <v>0</v>
      </c>
      <c r="K597" s="609">
        <v>10.837395385048755</v>
      </c>
      <c r="L597" s="609">
        <f t="shared" si="160"/>
        <v>13.229320926499577</v>
      </c>
      <c r="M597" s="609">
        <f t="shared" si="160"/>
        <v>20.530859062170336</v>
      </c>
      <c r="N597" s="609">
        <f t="shared" si="160"/>
        <v>8.1721726314726304</v>
      </c>
      <c r="O597" s="609">
        <f t="shared" si="160"/>
        <v>16.770124901213791</v>
      </c>
      <c r="P597" s="609">
        <f t="shared" si="160"/>
        <v>14.3661684679802</v>
      </c>
      <c r="Q597" s="609">
        <f t="shared" si="160"/>
        <v>-34.616234722125583</v>
      </c>
      <c r="R597" s="603">
        <f t="shared" si="160"/>
        <v>37.290796854843848</v>
      </c>
    </row>
    <row r="598" spans="2:18">
      <c r="B598" s="604" t="s">
        <v>1055</v>
      </c>
      <c r="C598" s="610">
        <f t="shared" ref="C598:I598" si="161">IFERROR((C418/B418-1)*100,0)</f>
        <v>0</v>
      </c>
      <c r="D598" s="617">
        <f t="shared" si="161"/>
        <v>0</v>
      </c>
      <c r="E598" s="617">
        <f t="shared" si="161"/>
        <v>0</v>
      </c>
      <c r="F598" s="617">
        <f t="shared" si="161"/>
        <v>0</v>
      </c>
      <c r="G598" s="617">
        <f t="shared" si="161"/>
        <v>0</v>
      </c>
      <c r="H598" s="617">
        <f t="shared" si="161"/>
        <v>0</v>
      </c>
      <c r="I598" s="617">
        <f t="shared" si="161"/>
        <v>0</v>
      </c>
      <c r="J598" s="618">
        <f t="shared" si="159"/>
        <v>0</v>
      </c>
      <c r="K598" s="617">
        <v>3.838679161788483</v>
      </c>
      <c r="L598" s="617">
        <f t="shared" si="160"/>
        <v>9.8377089171250311</v>
      </c>
      <c r="M598" s="617">
        <f t="shared" si="160"/>
        <v>12.454795178206046</v>
      </c>
      <c r="N598" s="617">
        <f t="shared" si="160"/>
        <v>4.5470589088541402</v>
      </c>
      <c r="O598" s="617">
        <f t="shared" si="160"/>
        <v>4.5845694618587229</v>
      </c>
      <c r="P598" s="617">
        <f t="shared" si="160"/>
        <v>5.2553818195436808</v>
      </c>
      <c r="Q598" s="617">
        <f t="shared" si="160"/>
        <v>-10.733858773484162</v>
      </c>
      <c r="R598" s="618">
        <f t="shared" si="160"/>
        <v>2.4850848137347059</v>
      </c>
    </row>
    <row r="599" spans="2:18">
      <c r="B599" s="57"/>
      <c r="C599" s="582"/>
      <c r="D599" s="582"/>
      <c r="E599" s="582"/>
      <c r="F599" s="582"/>
      <c r="G599" s="582"/>
      <c r="H599" s="582"/>
      <c r="I599" s="582"/>
      <c r="J599" s="582"/>
      <c r="K599" s="582"/>
      <c r="L599" s="582"/>
      <c r="M599" s="582"/>
      <c r="N599" s="582"/>
      <c r="O599" s="582"/>
      <c r="P599" s="582"/>
      <c r="Q599" s="582"/>
    </row>
    <row r="600" spans="2:18">
      <c r="B600" s="2157" t="s">
        <v>1120</v>
      </c>
      <c r="C600" s="2157"/>
      <c r="D600" s="2157"/>
      <c r="E600" s="2157"/>
      <c r="F600" s="2157"/>
      <c r="G600" s="2157"/>
      <c r="H600" s="2157"/>
      <c r="I600" s="2157"/>
      <c r="J600" s="2157"/>
      <c r="K600" s="2157"/>
      <c r="L600" s="2157"/>
      <c r="M600" s="2157"/>
      <c r="N600" s="2157"/>
      <c r="O600" s="2157"/>
      <c r="P600" s="2157"/>
      <c r="Q600" s="2157"/>
      <c r="R600" s="2157"/>
    </row>
    <row r="601" spans="2:18" ht="15" customHeight="1">
      <c r="B601" s="2178" t="s">
        <v>1121</v>
      </c>
      <c r="C601" s="2178"/>
      <c r="D601" s="2178"/>
      <c r="E601" s="2178"/>
      <c r="F601" s="2178"/>
      <c r="G601" s="2178"/>
      <c r="H601" s="2178"/>
      <c r="I601" s="2178"/>
      <c r="J601" s="2178"/>
      <c r="K601" s="2178"/>
      <c r="L601" s="2178"/>
      <c r="M601" s="2178"/>
      <c r="N601" s="2178"/>
      <c r="O601" s="2178"/>
      <c r="P601" s="2178"/>
      <c r="Q601" s="2178"/>
      <c r="R601" s="2178"/>
    </row>
    <row r="602" spans="2:18">
      <c r="B602" s="2160" t="s">
        <v>1098</v>
      </c>
      <c r="C602" s="2160"/>
      <c r="D602" s="2160"/>
      <c r="E602" s="2160"/>
      <c r="F602" s="2160"/>
      <c r="G602" s="2160"/>
      <c r="H602" s="2160"/>
      <c r="I602" s="2160"/>
      <c r="J602" s="2160"/>
      <c r="K602" s="2160"/>
      <c r="L602" s="2160"/>
      <c r="M602" s="2160"/>
      <c r="N602" s="2160"/>
      <c r="O602" s="2160"/>
      <c r="P602" s="2160"/>
      <c r="Q602" s="2160"/>
      <c r="R602" s="2160"/>
    </row>
    <row r="603" spans="2:18">
      <c r="B603" s="57"/>
      <c r="C603" s="582"/>
      <c r="D603" s="582"/>
      <c r="E603" s="582"/>
      <c r="F603" s="582"/>
      <c r="G603" s="582"/>
      <c r="H603" s="582"/>
      <c r="I603" s="582"/>
      <c r="J603" s="582"/>
      <c r="K603" s="582"/>
      <c r="L603" s="582"/>
      <c r="M603" s="582"/>
      <c r="N603" s="582"/>
      <c r="O603" s="582"/>
      <c r="P603" s="582"/>
      <c r="Q603" s="582"/>
    </row>
    <row r="604" spans="2:18">
      <c r="B604" s="641">
        <v>100</v>
      </c>
      <c r="C604" s="2183" t="s">
        <v>361</v>
      </c>
      <c r="D604" s="2184"/>
      <c r="E604" s="2184"/>
      <c r="F604" s="2184"/>
      <c r="G604" s="2184"/>
      <c r="H604" s="2184"/>
      <c r="I604" s="2184"/>
      <c r="J604" s="2185"/>
      <c r="K604" s="2183" t="s">
        <v>358</v>
      </c>
      <c r="L604" s="2184"/>
      <c r="M604" s="2184"/>
      <c r="N604" s="2184"/>
      <c r="O604" s="2184"/>
      <c r="P604" s="2184"/>
      <c r="Q604" s="2184"/>
      <c r="R604" s="1649"/>
    </row>
    <row r="605" spans="2:18">
      <c r="B605" s="57"/>
      <c r="C605" s="585">
        <v>2014</v>
      </c>
      <c r="D605" s="586">
        <v>2015</v>
      </c>
      <c r="E605" s="586">
        <v>2016</v>
      </c>
      <c r="F605" s="586">
        <v>2017</v>
      </c>
      <c r="G605" s="586">
        <v>2018</v>
      </c>
      <c r="H605" s="586">
        <v>2019</v>
      </c>
      <c r="I605" s="586">
        <v>2020</v>
      </c>
      <c r="J605" s="586">
        <v>2021</v>
      </c>
      <c r="K605" s="638">
        <v>2014</v>
      </c>
      <c r="L605" s="639">
        <v>2015</v>
      </c>
      <c r="M605" s="639">
        <v>2016</v>
      </c>
      <c r="N605" s="639">
        <v>2017</v>
      </c>
      <c r="O605" s="639">
        <v>2018</v>
      </c>
      <c r="P605" s="639">
        <v>2019</v>
      </c>
      <c r="Q605" s="639">
        <v>2020</v>
      </c>
      <c r="R605" s="640">
        <v>2021</v>
      </c>
    </row>
    <row r="606" spans="2:18">
      <c r="B606" s="589" t="s">
        <v>1038</v>
      </c>
      <c r="C606" s="614">
        <f t="shared" ref="C606:J612" si="162">IF(ISNUMBER(C336/(K6*1000)),C336/(K6*1000),"0")</f>
        <v>2.8802371483143698</v>
      </c>
      <c r="D606" s="615">
        <f t="shared" si="162"/>
        <v>3.3066625342327312</v>
      </c>
      <c r="E606" s="615">
        <f t="shared" si="162"/>
        <v>3.9294445277452121</v>
      </c>
      <c r="F606" s="615">
        <f t="shared" si="162"/>
        <v>4.7947915135792041</v>
      </c>
      <c r="G606" s="615">
        <f t="shared" si="162"/>
        <v>6.1656873246946322</v>
      </c>
      <c r="H606" s="615">
        <f t="shared" si="162"/>
        <v>8.3328378436836381</v>
      </c>
      <c r="I606" s="615">
        <f t="shared" si="162"/>
        <v>21.05857615091346</v>
      </c>
      <c r="J606" s="616">
        <f t="shared" si="162"/>
        <v>40.802757607509278</v>
      </c>
      <c r="K606" s="614">
        <f t="shared" ref="K606:R612" si="163">IF(ISNUMBER(K336/(K6*1000)),K336/(K6*1000),"0")</f>
        <v>1.0023035423428912</v>
      </c>
      <c r="L606" s="615">
        <f t="shared" si="163"/>
        <v>1.0848585014650156</v>
      </c>
      <c r="M606" s="615">
        <f t="shared" si="163"/>
        <v>1.2094066514877784</v>
      </c>
      <c r="N606" s="615">
        <f t="shared" si="163"/>
        <v>1.4664557193808823</v>
      </c>
      <c r="O606" s="615">
        <f t="shared" si="163"/>
        <v>1.7954747757374607</v>
      </c>
      <c r="P606" s="615">
        <f t="shared" si="163"/>
        <v>2.0881354365474469</v>
      </c>
      <c r="Q606" s="615">
        <f t="shared" si="163"/>
        <v>2.3693522930118784</v>
      </c>
      <c r="R606" s="616">
        <f t="shared" si="163"/>
        <v>2.6305499454267629</v>
      </c>
    </row>
    <row r="607" spans="2:18">
      <c r="B607" s="595" t="s">
        <v>1039</v>
      </c>
      <c r="C607" s="1844">
        <f t="shared" si="162"/>
        <v>3.9777656318320948E-3</v>
      </c>
      <c r="D607" s="609">
        <f t="shared" si="162"/>
        <v>4.4028836529877999E-3</v>
      </c>
      <c r="E607" s="609">
        <f t="shared" si="162"/>
        <v>5.3613500053550393E-3</v>
      </c>
      <c r="F607" s="609">
        <f t="shared" si="162"/>
        <v>5.8787974348102606E-3</v>
      </c>
      <c r="G607" s="609">
        <f t="shared" si="162"/>
        <v>6.2806042169306622E-3</v>
      </c>
      <c r="H607" s="609">
        <f t="shared" si="162"/>
        <v>6.7328956246431731E-3</v>
      </c>
      <c r="I607" s="609">
        <f t="shared" si="162"/>
        <v>5.8011555943606992E-3</v>
      </c>
      <c r="J607" s="603">
        <f t="shared" si="162"/>
        <v>8.012315120711563E-3</v>
      </c>
      <c r="K607" s="1844">
        <f t="shared" si="163"/>
        <v>1.0538915609969392E-4</v>
      </c>
      <c r="L607" s="609">
        <f t="shared" si="163"/>
        <v>1.7863229366732491E-4</v>
      </c>
      <c r="M607" s="609">
        <f t="shared" si="163"/>
        <v>2.7502677519545892E-4</v>
      </c>
      <c r="N607" s="609">
        <f t="shared" si="163"/>
        <v>2.5831036675853298E-4</v>
      </c>
      <c r="O607" s="609">
        <f t="shared" si="163"/>
        <v>1.7738382460925206E-4</v>
      </c>
      <c r="P607" s="609">
        <f t="shared" si="163"/>
        <v>1.3345357346758707E-4</v>
      </c>
      <c r="Q607" s="609">
        <f t="shared" si="163"/>
        <v>1.3104953647826199E-4</v>
      </c>
      <c r="R607" s="603">
        <f t="shared" si="163"/>
        <v>1.6943329097839898E-4</v>
      </c>
    </row>
    <row r="608" spans="2:18">
      <c r="B608" s="595" t="s">
        <v>1040</v>
      </c>
      <c r="C608" s="1844">
        <f t="shared" si="162"/>
        <v>0</v>
      </c>
      <c r="D608" s="609">
        <f t="shared" si="162"/>
        <v>7.286591877692409E-4</v>
      </c>
      <c r="E608" s="609">
        <f t="shared" si="162"/>
        <v>9.7724733071764044E-4</v>
      </c>
      <c r="F608" s="609">
        <f t="shared" si="162"/>
        <v>1.4214592232214146E-3</v>
      </c>
      <c r="G608" s="609">
        <f t="shared" si="162"/>
        <v>1.9572600485848603E-3</v>
      </c>
      <c r="H608" s="609">
        <f t="shared" si="162"/>
        <v>2.8085246199123733E-3</v>
      </c>
      <c r="I608" s="609">
        <f t="shared" si="162"/>
        <v>4.7280630646909082E-3</v>
      </c>
      <c r="J608" s="603">
        <f t="shared" si="162"/>
        <v>7.9177622276051553E-3</v>
      </c>
      <c r="K608" s="1844">
        <f t="shared" si="163"/>
        <v>0</v>
      </c>
      <c r="L608" s="609">
        <f t="shared" si="163"/>
        <v>0</v>
      </c>
      <c r="M608" s="609">
        <f t="shared" si="163"/>
        <v>0</v>
      </c>
      <c r="N608" s="609">
        <f t="shared" si="163"/>
        <v>0</v>
      </c>
      <c r="O608" s="609">
        <f t="shared" si="163"/>
        <v>0</v>
      </c>
      <c r="P608" s="609">
        <f t="shared" si="163"/>
        <v>0</v>
      </c>
      <c r="Q608" s="609">
        <f t="shared" si="163"/>
        <v>0</v>
      </c>
      <c r="R608" s="603">
        <f t="shared" si="163"/>
        <v>0</v>
      </c>
    </row>
    <row r="609" spans="2:18">
      <c r="B609" s="595" t="s">
        <v>1041</v>
      </c>
      <c r="C609" s="1844">
        <f t="shared" si="162"/>
        <v>4.9432282431005843E-2</v>
      </c>
      <c r="D609" s="609">
        <f t="shared" si="162"/>
        <v>4.9411601316507188E-2</v>
      </c>
      <c r="E609" s="609">
        <f t="shared" si="162"/>
        <v>4.849069597263285E-2</v>
      </c>
      <c r="F609" s="609">
        <f t="shared" si="162"/>
        <v>5.0788141447879083E-2</v>
      </c>
      <c r="G609" s="609">
        <f t="shared" si="162"/>
        <v>5.2191021200038941E-2</v>
      </c>
      <c r="H609" s="609">
        <f t="shared" si="162"/>
        <v>5.6495533783771729E-2</v>
      </c>
      <c r="I609" s="609">
        <f t="shared" si="162"/>
        <v>6.9242839583268448E-2</v>
      </c>
      <c r="J609" s="603">
        <f t="shared" si="162"/>
        <v>0.10916556096531937</v>
      </c>
      <c r="K609" s="1844">
        <f t="shared" si="163"/>
        <v>2.754874292761679E-2</v>
      </c>
      <c r="L609" s="609">
        <f t="shared" si="163"/>
        <v>2.6671513386688078E-2</v>
      </c>
      <c r="M609" s="609">
        <f t="shared" si="163"/>
        <v>2.6008006581821331E-2</v>
      </c>
      <c r="N609" s="609">
        <f t="shared" si="163"/>
        <v>2.591391179470107E-2</v>
      </c>
      <c r="O609" s="609">
        <f t="shared" si="163"/>
        <v>3.0833406318332007E-2</v>
      </c>
      <c r="P609" s="609">
        <f t="shared" si="163"/>
        <v>2.8615349598525318E-2</v>
      </c>
      <c r="Q609" s="609">
        <f t="shared" si="163"/>
        <v>2.8819152058495785E-2</v>
      </c>
      <c r="R609" s="603">
        <f t="shared" si="163"/>
        <v>3.1462035740068818E-2</v>
      </c>
    </row>
    <row r="610" spans="2:18">
      <c r="B610" s="595" t="s">
        <v>1042</v>
      </c>
      <c r="C610" s="1844">
        <f t="shared" si="162"/>
        <v>5.2509983771294386E-3</v>
      </c>
      <c r="D610" s="609">
        <f t="shared" si="162"/>
        <v>6.1299542056296825E-3</v>
      </c>
      <c r="E610" s="609">
        <f t="shared" si="162"/>
        <v>6.6934010056724919E-3</v>
      </c>
      <c r="F610" s="609">
        <f t="shared" si="162"/>
        <v>7.1663838457191823E-3</v>
      </c>
      <c r="G610" s="609">
        <f t="shared" si="162"/>
        <v>8.3430548270916234E-3</v>
      </c>
      <c r="H610" s="609">
        <f t="shared" si="162"/>
        <v>9.842930545192979E-3</v>
      </c>
      <c r="I610" s="609">
        <f t="shared" si="162"/>
        <v>1.0644963514303144E-2</v>
      </c>
      <c r="J610" s="603">
        <f t="shared" si="162"/>
        <v>1.1957854421122327E-2</v>
      </c>
      <c r="K610" s="1844">
        <f t="shared" si="163"/>
        <v>0</v>
      </c>
      <c r="L610" s="609">
        <f t="shared" si="163"/>
        <v>0</v>
      </c>
      <c r="M610" s="609">
        <f t="shared" si="163"/>
        <v>0</v>
      </c>
      <c r="N610" s="609">
        <f t="shared" si="163"/>
        <v>0</v>
      </c>
      <c r="O610" s="609">
        <f t="shared" si="163"/>
        <v>0</v>
      </c>
      <c r="P610" s="609">
        <f t="shared" si="163"/>
        <v>0</v>
      </c>
      <c r="Q610" s="609">
        <f t="shared" si="163"/>
        <v>0</v>
      </c>
      <c r="R610" s="603">
        <f t="shared" si="163"/>
        <v>0</v>
      </c>
    </row>
    <row r="611" spans="2:18">
      <c r="B611" s="595" t="s">
        <v>1043</v>
      </c>
      <c r="C611" s="1844">
        <f t="shared" si="162"/>
        <v>2.9628239285279002E-3</v>
      </c>
      <c r="D611" s="609">
        <f t="shared" si="162"/>
        <v>3.1556367646642389E-3</v>
      </c>
      <c r="E611" s="609">
        <f t="shared" si="162"/>
        <v>3.3234576485113927E-3</v>
      </c>
      <c r="F611" s="609">
        <f t="shared" si="162"/>
        <v>3.5686978284681274E-3</v>
      </c>
      <c r="G611" s="609">
        <f t="shared" si="162"/>
        <v>3.8743961180104283E-3</v>
      </c>
      <c r="H611" s="609">
        <f t="shared" si="162"/>
        <v>4.2220485341803449E-3</v>
      </c>
      <c r="I611" s="609">
        <f t="shared" si="162"/>
        <v>4.9816304849653447E-3</v>
      </c>
      <c r="J611" s="603">
        <f t="shared" si="162"/>
        <v>5.8464510072165649E-3</v>
      </c>
      <c r="K611" s="1844">
        <f t="shared" si="163"/>
        <v>1.2947506563276782E-4</v>
      </c>
      <c r="L611" s="609">
        <f t="shared" si="163"/>
        <v>1.3759324678412242E-4</v>
      </c>
      <c r="M611" s="609">
        <f t="shared" si="163"/>
        <v>1.6728987545424709E-4</v>
      </c>
      <c r="N611" s="609">
        <f t="shared" si="163"/>
        <v>2.0989247885984001E-4</v>
      </c>
      <c r="O611" s="609">
        <f t="shared" si="163"/>
        <v>3.0836910525775039E-4</v>
      </c>
      <c r="P611" s="609">
        <f t="shared" si="163"/>
        <v>4.112784255550993E-4</v>
      </c>
      <c r="Q611" s="609">
        <f t="shared" si="163"/>
        <v>2.9785376220925935E-4</v>
      </c>
      <c r="R611" s="603">
        <f t="shared" si="163"/>
        <v>2.3632496836697609E-4</v>
      </c>
    </row>
    <row r="612" spans="2:18">
      <c r="B612" s="595" t="s">
        <v>1044</v>
      </c>
      <c r="C612" s="1844">
        <f t="shared" si="162"/>
        <v>0</v>
      </c>
      <c r="D612" s="609">
        <f t="shared" si="162"/>
        <v>0</v>
      </c>
      <c r="E612" s="609">
        <f t="shared" si="162"/>
        <v>0</v>
      </c>
      <c r="F612" s="609">
        <f t="shared" si="162"/>
        <v>2.3810874475442084E-2</v>
      </c>
      <c r="G612" s="609">
        <f t="shared" si="162"/>
        <v>2.5221952397107311E-2</v>
      </c>
      <c r="H612" s="609">
        <f t="shared" si="162"/>
        <v>3.1963638382942118E-2</v>
      </c>
      <c r="I612" s="609">
        <f t="shared" si="162"/>
        <v>4.5402904378867362E-2</v>
      </c>
      <c r="J612" s="603">
        <f t="shared" si="162"/>
        <v>6.8555378721101456E-2</v>
      </c>
      <c r="K612" s="1844">
        <f t="shared" si="163"/>
        <v>0</v>
      </c>
      <c r="L612" s="609">
        <f t="shared" si="163"/>
        <v>0</v>
      </c>
      <c r="M612" s="609">
        <f t="shared" si="163"/>
        <v>0</v>
      </c>
      <c r="N612" s="609">
        <f t="shared" si="163"/>
        <v>6.664761522075578E-3</v>
      </c>
      <c r="O612" s="609">
        <f t="shared" si="163"/>
        <v>5.9991812078926616E-3</v>
      </c>
      <c r="P612" s="609">
        <f t="shared" si="163"/>
        <v>3.2604995445819772E-3</v>
      </c>
      <c r="Q612" s="609">
        <f t="shared" si="163"/>
        <v>3.8697828514947076E-3</v>
      </c>
      <c r="R612" s="603">
        <f t="shared" si="163"/>
        <v>6.3149685039049809E-3</v>
      </c>
    </row>
    <row r="613" spans="2:18">
      <c r="B613" s="595" t="s">
        <v>1061</v>
      </c>
      <c r="C613" s="1844">
        <f t="shared" ref="C613:C622" si="164">IF(ISNUMBER(C343/(K15*1000)),C343/(K15*1000),"0")</f>
        <v>0</v>
      </c>
      <c r="D613" s="609">
        <f t="shared" ref="D613:J613" si="165">IF(ISNUMBER(D343/(L15*1000)),D343/(L15*1000),"0")</f>
        <v>5.2556955645161288E-2</v>
      </c>
      <c r="E613" s="609">
        <f t="shared" si="165"/>
        <v>6.5556232576662682E-2</v>
      </c>
      <c r="F613" s="609">
        <f t="shared" si="165"/>
        <v>7.1927529658060013E-2</v>
      </c>
      <c r="G613" s="609">
        <f t="shared" si="165"/>
        <v>7.9035123098478793E-2</v>
      </c>
      <c r="H613" s="609">
        <f t="shared" si="165"/>
        <v>7.9260859477453857E-2</v>
      </c>
      <c r="I613" s="609">
        <f t="shared" si="165"/>
        <v>7.6490185987261136E-2</v>
      </c>
      <c r="J613" s="603">
        <f t="shared" si="165"/>
        <v>9.3704097438273654E-2</v>
      </c>
      <c r="K613" s="1844">
        <f t="shared" ref="K613:K622" si="166">IF(ISNUMBER(K343/(K15*1000)),K343/(K15*1000),"0")</f>
        <v>0</v>
      </c>
      <c r="L613" s="609">
        <f t="shared" ref="L613:R613" si="167">IF(ISNUMBER(L343/(L15*1000)),L343/(L15*1000),"0")</f>
        <v>0</v>
      </c>
      <c r="M613" s="609">
        <f t="shared" si="167"/>
        <v>0</v>
      </c>
      <c r="N613" s="609">
        <f t="shared" si="167"/>
        <v>0</v>
      </c>
      <c r="O613" s="609">
        <f t="shared" si="167"/>
        <v>0</v>
      </c>
      <c r="P613" s="609">
        <f t="shared" si="167"/>
        <v>0</v>
      </c>
      <c r="Q613" s="609">
        <f t="shared" si="167"/>
        <v>0</v>
      </c>
      <c r="R613" s="603">
        <f t="shared" si="167"/>
        <v>0</v>
      </c>
    </row>
    <row r="614" spans="2:18">
      <c r="B614" s="595" t="s">
        <v>1047</v>
      </c>
      <c r="C614" s="1844">
        <f t="shared" si="164"/>
        <v>2.9270381231817932</v>
      </c>
      <c r="D614" s="609">
        <f t="shared" ref="D614:D622" si="168">IF(ISNUMBER(D344/(L16*1000)),D344/(L16*1000),"0")</f>
        <v>3.1181244810749464</v>
      </c>
      <c r="E614" s="609">
        <f t="shared" ref="E614:E622" si="169">IF(ISNUMBER(E344/(M16*1000)),E344/(M16*1000),"0")</f>
        <v>3.4189199049170749</v>
      </c>
      <c r="F614" s="609">
        <f t="shared" ref="F614:F622" si="170">IF(ISNUMBER(F344/(N16*1000)),F344/(N16*1000),"0")</f>
        <v>3.6876526682965589</v>
      </c>
      <c r="G614" s="609">
        <f t="shared" ref="G614:G622" si="171">IF(ISNUMBER(G344/(O16*1000)),G344/(O16*1000),"0")</f>
        <v>4.047984810092081</v>
      </c>
      <c r="H614" s="609">
        <f t="shared" ref="H614:H622" si="172">IF(ISNUMBER(H344/(P16*1000)),H344/(P16*1000),"0")</f>
        <v>4.3621026794902429</v>
      </c>
      <c r="I614" s="609">
        <f t="shared" ref="I614:I622" si="173">IF(ISNUMBER(I344/(Q16*1000)),I344/(Q16*1000),"0")</f>
        <v>4.6587037951718848</v>
      </c>
      <c r="J614" s="603">
        <f t="shared" ref="J614:J622" si="174">IF(ISNUMBER(J344/(R16*1000)),J344/(R16*1000),"0")</f>
        <v>5.6408344837016289</v>
      </c>
      <c r="K614" s="1844">
        <f t="shared" si="166"/>
        <v>0.4029701887996518</v>
      </c>
      <c r="L614" s="609">
        <f t="shared" ref="L614:R622" si="175">IF(ISNUMBER(L344/(L16*1000)),L344/(L16*1000),"0")</f>
        <v>0.46655524188326886</v>
      </c>
      <c r="M614" s="609">
        <f t="shared" si="175"/>
        <v>0.48801329563735385</v>
      </c>
      <c r="N614" s="609">
        <f t="shared" si="175"/>
        <v>0.49272029162345521</v>
      </c>
      <c r="O614" s="609">
        <f t="shared" si="175"/>
        <v>0.50857113922194663</v>
      </c>
      <c r="P614" s="609">
        <f t="shared" si="175"/>
        <v>0.54703304716600998</v>
      </c>
      <c r="Q614" s="609">
        <f t="shared" si="175"/>
        <v>0.52602134598940764</v>
      </c>
      <c r="R614" s="603">
        <f t="shared" si="175"/>
        <v>0.55662433810731993</v>
      </c>
    </row>
    <row r="615" spans="2:18">
      <c r="B615" s="595" t="s">
        <v>1048</v>
      </c>
      <c r="C615" s="1844">
        <f t="shared" si="164"/>
        <v>0</v>
      </c>
      <c r="D615" s="609">
        <f t="shared" si="168"/>
        <v>2.1421546442986878</v>
      </c>
      <c r="E615" s="609">
        <f t="shared" si="169"/>
        <v>2.9685640847020842</v>
      </c>
      <c r="F615" s="609">
        <f t="shared" si="170"/>
        <v>2.6544124995060345</v>
      </c>
      <c r="G615" s="609">
        <f t="shared" si="171"/>
        <v>2.8511064494531082</v>
      </c>
      <c r="H615" s="609">
        <f t="shared" si="172"/>
        <v>4.5158200120194687</v>
      </c>
      <c r="I615" s="609">
        <f t="shared" si="173"/>
        <v>5.2122197574387261</v>
      </c>
      <c r="J615" s="603">
        <f t="shared" si="174"/>
        <v>6.7325207917380014</v>
      </c>
      <c r="K615" s="1844">
        <f t="shared" si="166"/>
        <v>0</v>
      </c>
      <c r="L615" s="609">
        <f t="shared" si="175"/>
        <v>0.41881887109716276</v>
      </c>
      <c r="M615" s="609">
        <f t="shared" si="175"/>
        <v>0.43897968768738349</v>
      </c>
      <c r="N615" s="609">
        <f t="shared" si="175"/>
        <v>0.435690640355892</v>
      </c>
      <c r="O615" s="609">
        <f t="shared" si="175"/>
        <v>0.26961717206703484</v>
      </c>
      <c r="P615" s="609">
        <f t="shared" si="175"/>
        <v>0.41946995568315792</v>
      </c>
      <c r="Q615" s="609">
        <f t="shared" si="175"/>
        <v>0.4861399433827524</v>
      </c>
      <c r="R615" s="603">
        <f t="shared" si="175"/>
        <v>0.35113969234076792</v>
      </c>
    </row>
    <row r="616" spans="2:18">
      <c r="B616" s="595" t="s">
        <v>1049</v>
      </c>
      <c r="C616" s="1844">
        <f t="shared" si="164"/>
        <v>4.8228456801754251E-6</v>
      </c>
      <c r="D616" s="609">
        <f t="shared" si="168"/>
        <v>4.8905987562870895E-6</v>
      </c>
      <c r="E616" s="609">
        <f t="shared" si="169"/>
        <v>5.291549177422606E-6</v>
      </c>
      <c r="F616" s="609">
        <f t="shared" si="170"/>
        <v>5.6314195354406776E-6</v>
      </c>
      <c r="G616" s="609">
        <f t="shared" si="171"/>
        <v>6.8968217312709717E-6</v>
      </c>
      <c r="H616" s="609">
        <f t="shared" si="172"/>
        <v>6.7944364818508465E-6</v>
      </c>
      <c r="I616" s="609">
        <f t="shared" si="173"/>
        <v>5.9330895883952467E-6</v>
      </c>
      <c r="J616" s="603">
        <f t="shared" si="174"/>
        <v>4.7251432020089604E-6</v>
      </c>
      <c r="K616" s="1844">
        <f t="shared" si="166"/>
        <v>0</v>
      </c>
      <c r="L616" s="609">
        <f t="shared" si="175"/>
        <v>0</v>
      </c>
      <c r="M616" s="609">
        <f t="shared" si="175"/>
        <v>0</v>
      </c>
      <c r="N616" s="609">
        <f t="shared" si="175"/>
        <v>0</v>
      </c>
      <c r="O616" s="609">
        <f t="shared" si="175"/>
        <v>0</v>
      </c>
      <c r="P616" s="609">
        <f t="shared" si="175"/>
        <v>0</v>
      </c>
      <c r="Q616" s="609">
        <f t="shared" si="175"/>
        <v>0</v>
      </c>
      <c r="R616" s="603">
        <f t="shared" si="175"/>
        <v>0</v>
      </c>
    </row>
    <row r="617" spans="2:18">
      <c r="B617" s="595" t="s">
        <v>1050</v>
      </c>
      <c r="C617" s="1844">
        <f t="shared" si="164"/>
        <v>0</v>
      </c>
      <c r="D617" s="609">
        <f t="shared" si="168"/>
        <v>0</v>
      </c>
      <c r="E617" s="609">
        <f t="shared" si="169"/>
        <v>0</v>
      </c>
      <c r="F617" s="609">
        <f t="shared" si="170"/>
        <v>0</v>
      </c>
      <c r="G617" s="609">
        <f t="shared" si="171"/>
        <v>0</v>
      </c>
      <c r="H617" s="609">
        <f t="shared" si="172"/>
        <v>0</v>
      </c>
      <c r="I617" s="609">
        <f t="shared" si="173"/>
        <v>0</v>
      </c>
      <c r="J617" s="603">
        <f t="shared" si="174"/>
        <v>0</v>
      </c>
      <c r="K617" s="1844">
        <f t="shared" si="166"/>
        <v>0</v>
      </c>
      <c r="L617" s="609">
        <f t="shared" si="175"/>
        <v>0</v>
      </c>
      <c r="M617" s="609">
        <f t="shared" si="175"/>
        <v>0</v>
      </c>
      <c r="N617" s="609">
        <f t="shared" si="175"/>
        <v>0</v>
      </c>
      <c r="O617" s="609">
        <f t="shared" si="175"/>
        <v>0</v>
      </c>
      <c r="P617" s="609">
        <f t="shared" si="175"/>
        <v>0</v>
      </c>
      <c r="Q617" s="609">
        <f t="shared" si="175"/>
        <v>0</v>
      </c>
      <c r="R617" s="603">
        <f t="shared" si="175"/>
        <v>0</v>
      </c>
    </row>
    <row r="618" spans="2:18">
      <c r="B618" s="595" t="s">
        <v>1051</v>
      </c>
      <c r="C618" s="1844">
        <f t="shared" si="164"/>
        <v>6.5734627016593038E-4</v>
      </c>
      <c r="D618" s="609">
        <f t="shared" si="168"/>
        <v>7.6786506194221672E-4</v>
      </c>
      <c r="E618" s="609">
        <f t="shared" si="169"/>
        <v>1.0006499700183416E-3</v>
      </c>
      <c r="F618" s="609">
        <f t="shared" si="170"/>
        <v>1.1952890844137787E-3</v>
      </c>
      <c r="G618" s="609">
        <f t="shared" si="171"/>
        <v>1.4866575466260853E-3</v>
      </c>
      <c r="H618" s="609">
        <f t="shared" si="172"/>
        <v>1.7907422281327769E-3</v>
      </c>
      <c r="I618" s="609">
        <f t="shared" si="173"/>
        <v>2.4139530039467916E-3</v>
      </c>
      <c r="J618" s="603">
        <f t="shared" si="174"/>
        <v>3.0876495710896149E-3</v>
      </c>
      <c r="K618" s="1844">
        <f t="shared" si="166"/>
        <v>1.6798402743792754E-4</v>
      </c>
      <c r="L618" s="609">
        <f t="shared" si="175"/>
        <v>1.6288578289151931E-4</v>
      </c>
      <c r="M618" s="609">
        <f t="shared" si="175"/>
        <v>1.8598107628274468E-4</v>
      </c>
      <c r="N618" s="609">
        <f t="shared" si="175"/>
        <v>1.8953424983179758E-4</v>
      </c>
      <c r="O618" s="609">
        <f t="shared" si="175"/>
        <v>1.9763477020353851E-4</v>
      </c>
      <c r="P618" s="609">
        <f t="shared" si="175"/>
        <v>2.1243688946824028E-4</v>
      </c>
      <c r="Q618" s="609">
        <f t="shared" si="175"/>
        <v>2.0644825317935972E-4</v>
      </c>
      <c r="R618" s="603">
        <f t="shared" si="175"/>
        <v>2.1256981200949081E-4</v>
      </c>
    </row>
    <row r="619" spans="2:18">
      <c r="B619" s="595" t="s">
        <v>1052</v>
      </c>
      <c r="C619" s="1844">
        <f t="shared" si="164"/>
        <v>4.4986693966076343</v>
      </c>
      <c r="D619" s="609">
        <f t="shared" si="168"/>
        <v>5.0726196746912873</v>
      </c>
      <c r="E619" s="609">
        <f t="shared" si="169"/>
        <v>5.5647184702400834</v>
      </c>
      <c r="F619" s="609">
        <f t="shared" si="170"/>
        <v>6.0147434815735235</v>
      </c>
      <c r="G619" s="609">
        <f t="shared" si="171"/>
        <v>5.9749262357287032</v>
      </c>
      <c r="H619" s="609">
        <f t="shared" si="172"/>
        <v>7.4253806601842758</v>
      </c>
      <c r="I619" s="609">
        <f t="shared" si="173"/>
        <v>8.5433031098533867</v>
      </c>
      <c r="J619" s="603">
        <f t="shared" si="174"/>
        <v>11.235383205504039</v>
      </c>
      <c r="K619" s="1844">
        <f t="shared" si="166"/>
        <v>0.8576703604376027</v>
      </c>
      <c r="L619" s="609">
        <f t="shared" si="175"/>
        <v>0.81329442579704725</v>
      </c>
      <c r="M619" s="609">
        <f t="shared" si="175"/>
        <v>0.76752153464326955</v>
      </c>
      <c r="N619" s="609">
        <f t="shared" si="175"/>
        <v>0.85155068180575555</v>
      </c>
      <c r="O619" s="609">
        <f t="shared" si="175"/>
        <v>1.7981367696884194</v>
      </c>
      <c r="P619" s="609">
        <f t="shared" si="175"/>
        <v>2.0343635966063993</v>
      </c>
      <c r="Q619" s="609">
        <f t="shared" si="175"/>
        <v>1.8324228542300671</v>
      </c>
      <c r="R619" s="603">
        <f t="shared" si="175"/>
        <v>2.0743988796012731</v>
      </c>
    </row>
    <row r="620" spans="2:18">
      <c r="B620" s="595" t="s">
        <v>1053</v>
      </c>
      <c r="C620" s="1844">
        <f t="shared" si="164"/>
        <v>3.5295885737495695E-4</v>
      </c>
      <c r="D620" s="609">
        <f t="shared" si="168"/>
        <v>3.3665108711599992E-3</v>
      </c>
      <c r="E620" s="609">
        <f t="shared" si="169"/>
        <v>3.8061451570171926E-3</v>
      </c>
      <c r="F620" s="609">
        <f t="shared" si="170"/>
        <v>5.095972242475386E-3</v>
      </c>
      <c r="G620" s="609">
        <f t="shared" si="171"/>
        <v>6.136094047015284E-3</v>
      </c>
      <c r="H620" s="609">
        <f t="shared" si="172"/>
        <v>7.9009348103236312E-3</v>
      </c>
      <c r="I620" s="609">
        <f t="shared" si="173"/>
        <v>1.3373618347474721E-2</v>
      </c>
      <c r="J620" s="603">
        <f t="shared" si="174"/>
        <v>1.5281262897166694E-2</v>
      </c>
      <c r="K620" s="1844">
        <f t="shared" si="166"/>
        <v>0</v>
      </c>
      <c r="L620" s="609">
        <f t="shared" si="175"/>
        <v>0</v>
      </c>
      <c r="M620" s="609">
        <f t="shared" si="175"/>
        <v>0</v>
      </c>
      <c r="N620" s="609">
        <f t="shared" si="175"/>
        <v>0</v>
      </c>
      <c r="O620" s="609">
        <f t="shared" si="175"/>
        <v>0</v>
      </c>
      <c r="P620" s="609">
        <f t="shared" si="175"/>
        <v>0</v>
      </c>
      <c r="Q620" s="609">
        <f t="shared" si="175"/>
        <v>0</v>
      </c>
      <c r="R620" s="603">
        <f t="shared" si="175"/>
        <v>0</v>
      </c>
    </row>
    <row r="621" spans="2:18">
      <c r="B621" s="595" t="s">
        <v>1054</v>
      </c>
      <c r="C621" s="1844">
        <f t="shared" si="164"/>
        <v>6.6635011469883577E-3</v>
      </c>
      <c r="D621" s="609">
        <f t="shared" si="168"/>
        <v>7.3476855260250643E-3</v>
      </c>
      <c r="E621" s="609">
        <f t="shared" si="169"/>
        <v>6.0764327377902331E-3</v>
      </c>
      <c r="F621" s="609">
        <f t="shared" si="170"/>
        <v>7.058954217929494E-3</v>
      </c>
      <c r="G621" s="609">
        <f t="shared" si="171"/>
        <v>8.7050164927543472E-3</v>
      </c>
      <c r="H621" s="609">
        <f t="shared" si="172"/>
        <v>1.1833708564752484E-2</v>
      </c>
      <c r="I621" s="609">
        <f t="shared" si="173"/>
        <v>2.0092129727655301E-2</v>
      </c>
      <c r="J621" s="603">
        <f t="shared" si="174"/>
        <v>3.8789369299348127E-2</v>
      </c>
      <c r="K621" s="1844">
        <f t="shared" si="166"/>
        <v>8.576145556387603E-4</v>
      </c>
      <c r="L621" s="609">
        <f t="shared" si="175"/>
        <v>8.2938566033258655E-4</v>
      </c>
      <c r="M621" s="609">
        <f t="shared" si="175"/>
        <v>7.8959494103029266E-4</v>
      </c>
      <c r="N621" s="609">
        <f t="shared" si="175"/>
        <v>6.0059034089655829E-4</v>
      </c>
      <c r="O621" s="609">
        <f t="shared" si="175"/>
        <v>5.9602864656206178E-4</v>
      </c>
      <c r="P621" s="609">
        <f t="shared" si="175"/>
        <v>1.6198022126749203E-3</v>
      </c>
      <c r="Q621" s="609">
        <f t="shared" si="175"/>
        <v>1.5321833560309086E-3</v>
      </c>
      <c r="R621" s="603">
        <f t="shared" si="175"/>
        <v>1.4850896328265065E-3</v>
      </c>
    </row>
    <row r="622" spans="2:18">
      <c r="B622" s="604" t="s">
        <v>1055</v>
      </c>
      <c r="C622" s="610">
        <f t="shared" si="164"/>
        <v>4.9887857594680318E-3</v>
      </c>
      <c r="D622" s="617">
        <f t="shared" si="168"/>
        <v>5.3153229648498475E-3</v>
      </c>
      <c r="E622" s="617">
        <f t="shared" si="169"/>
        <v>5.4574232122875117E-3</v>
      </c>
      <c r="F622" s="617">
        <f t="shared" si="170"/>
        <v>5.8283868960875935E-3</v>
      </c>
      <c r="G622" s="617">
        <f t="shared" si="171"/>
        <v>6.5771292230021785E-3</v>
      </c>
      <c r="H622" s="617">
        <f t="shared" si="172"/>
        <v>7.3897689490720203E-3</v>
      </c>
      <c r="I622" s="617">
        <f t="shared" si="173"/>
        <v>8.7331482192833237E-3</v>
      </c>
      <c r="J622" s="618">
        <f t="shared" si="174"/>
        <v>1.1627713778867149E-2</v>
      </c>
      <c r="K622" s="610">
        <f t="shared" si="166"/>
        <v>1.4820904408764158E-4</v>
      </c>
      <c r="L622" s="617">
        <f t="shared" si="175"/>
        <v>1.6690561449602014E-4</v>
      </c>
      <c r="M622" s="617">
        <f t="shared" si="175"/>
        <v>1.8514064975496623E-4</v>
      </c>
      <c r="N622" s="617">
        <f t="shared" si="175"/>
        <v>2.0312199393645886E-4</v>
      </c>
      <c r="O622" s="617">
        <f t="shared" si="175"/>
        <v>2.1860839483428768E-4</v>
      </c>
      <c r="P622" s="617">
        <f t="shared" si="175"/>
        <v>2.3601139308716739E-4</v>
      </c>
      <c r="Q622" s="617">
        <f t="shared" si="175"/>
        <v>2.5479375880297793E-4</v>
      </c>
      <c r="R622" s="618">
        <f t="shared" si="175"/>
        <v>3.0706339328935225E-4</v>
      </c>
    </row>
    <row r="623" spans="2:18">
      <c r="B623" s="619"/>
      <c r="C623" s="621"/>
      <c r="D623" s="621"/>
      <c r="E623" s="621"/>
      <c r="F623" s="621"/>
      <c r="G623" s="621"/>
      <c r="H623" s="621"/>
      <c r="I623" s="621"/>
      <c r="J623" s="621"/>
      <c r="K623" s="622"/>
      <c r="L623" s="622"/>
      <c r="M623" s="622"/>
      <c r="N623" s="622"/>
      <c r="O623" s="622"/>
      <c r="P623" s="622"/>
      <c r="Q623" s="622"/>
    </row>
    <row r="624" spans="2:18">
      <c r="B624" s="2157" t="s">
        <v>1122</v>
      </c>
      <c r="C624" s="2157"/>
      <c r="D624" s="2157"/>
      <c r="E624" s="2157"/>
      <c r="F624" s="2157"/>
      <c r="G624" s="2157"/>
      <c r="H624" s="2157"/>
      <c r="I624" s="2157"/>
      <c r="J624" s="2157"/>
      <c r="K624" s="2157"/>
      <c r="L624" s="2157"/>
      <c r="M624" s="2157"/>
      <c r="N624" s="2157"/>
      <c r="O624" s="2157"/>
      <c r="P624" s="2157"/>
      <c r="Q624" s="2157"/>
      <c r="R624" s="2157"/>
    </row>
    <row r="625" spans="2:18">
      <c r="B625" s="619"/>
      <c r="C625" s="621"/>
      <c r="D625" s="621"/>
      <c r="E625" s="621"/>
      <c r="F625" s="621"/>
      <c r="G625" s="621"/>
      <c r="H625" s="621"/>
      <c r="I625" s="621"/>
      <c r="J625" s="621"/>
      <c r="K625" s="622"/>
      <c r="L625" s="622"/>
      <c r="M625" s="622"/>
      <c r="N625" s="622"/>
      <c r="O625" s="622"/>
      <c r="P625" s="622"/>
      <c r="Q625" s="622"/>
    </row>
    <row r="626" spans="2:18">
      <c r="B626" s="583"/>
      <c r="C626" s="2183" t="s">
        <v>353</v>
      </c>
      <c r="D626" s="2184"/>
      <c r="E626" s="2184"/>
      <c r="F626" s="2184"/>
      <c r="G626" s="2184"/>
      <c r="H626" s="2184"/>
      <c r="I626" s="2184"/>
      <c r="J626" s="2185"/>
      <c r="K626" s="2183" t="s">
        <v>338</v>
      </c>
      <c r="L626" s="2184"/>
      <c r="M626" s="2184"/>
      <c r="N626" s="2184"/>
      <c r="O626" s="2184"/>
      <c r="P626" s="2184"/>
      <c r="Q626" s="2184"/>
      <c r="R626" s="2185"/>
    </row>
    <row r="627" spans="2:18">
      <c r="B627" s="57"/>
      <c r="C627" s="585">
        <v>2014</v>
      </c>
      <c r="D627" s="586">
        <v>2015</v>
      </c>
      <c r="E627" s="586">
        <v>2016</v>
      </c>
      <c r="F627" s="586">
        <v>2017</v>
      </c>
      <c r="G627" s="586">
        <v>2018</v>
      </c>
      <c r="H627" s="586">
        <v>2019</v>
      </c>
      <c r="I627" s="586">
        <v>2020</v>
      </c>
      <c r="J627" s="586">
        <v>2021</v>
      </c>
      <c r="K627" s="587">
        <v>2014</v>
      </c>
      <c r="L627" s="588">
        <v>2015</v>
      </c>
      <c r="M627" s="588">
        <v>2016</v>
      </c>
      <c r="N627" s="588">
        <v>2017</v>
      </c>
      <c r="O627" s="588">
        <v>2018</v>
      </c>
      <c r="P627" s="588">
        <v>2019</v>
      </c>
      <c r="Q627" s="588">
        <v>2020</v>
      </c>
      <c r="R627" s="640">
        <v>2021</v>
      </c>
    </row>
    <row r="628" spans="2:18">
      <c r="B628" s="589" t="s">
        <v>1038</v>
      </c>
      <c r="C628" s="614">
        <f t="shared" ref="C628:J634" si="176">IF(ISNUMBER(C358/(K6*1000)),C358/(K6*1000),"0")</f>
        <v>2.1411491814996659</v>
      </c>
      <c r="D628" s="615">
        <f t="shared" si="176"/>
        <v>2.0645961048935262</v>
      </c>
      <c r="E628" s="615">
        <f t="shared" si="176"/>
        <v>1.9799391232485122</v>
      </c>
      <c r="F628" s="615">
        <f t="shared" si="176"/>
        <v>1.9394131808171455</v>
      </c>
      <c r="G628" s="615">
        <f t="shared" si="176"/>
        <v>1.8729518986413198</v>
      </c>
      <c r="H628" s="615">
        <f t="shared" si="176"/>
        <v>1.724285244312298</v>
      </c>
      <c r="I628" s="615">
        <f t="shared" si="176"/>
        <v>1.2446652268770522</v>
      </c>
      <c r="J628" s="616">
        <f t="shared" si="176"/>
        <v>1.2413882558393363</v>
      </c>
      <c r="K628" s="614">
        <f t="shared" ref="K628:R634" si="177">IF(ISNUMBER(K358/(K6*1000)),K358/(K6*1000),"0")</f>
        <v>0</v>
      </c>
      <c r="L628" s="615">
        <f t="shared" si="177"/>
        <v>0</v>
      </c>
      <c r="M628" s="615">
        <f t="shared" si="177"/>
        <v>4.476534816131858E-2</v>
      </c>
      <c r="N628" s="615">
        <f t="shared" si="177"/>
        <v>0.47335666850744346</v>
      </c>
      <c r="O628" s="615">
        <f t="shared" si="177"/>
        <v>0.87688834004704663</v>
      </c>
      <c r="P628" s="615">
        <f t="shared" si="177"/>
        <v>2.1043434667197403</v>
      </c>
      <c r="Q628" s="615">
        <f t="shared" si="177"/>
        <v>5.9602533221676177</v>
      </c>
      <c r="R628" s="616">
        <f t="shared" si="177"/>
        <v>0</v>
      </c>
    </row>
    <row r="629" spans="2:18">
      <c r="B629" s="595" t="s">
        <v>1039</v>
      </c>
      <c r="C629" s="1844">
        <f t="shared" si="176"/>
        <v>1.3501186051595976E-2</v>
      </c>
      <c r="D629" s="609">
        <f t="shared" si="176"/>
        <v>1.3110549949955367E-2</v>
      </c>
      <c r="E629" s="609">
        <f t="shared" si="176"/>
        <v>2.0909446288957911E-2</v>
      </c>
      <c r="F629" s="609">
        <f t="shared" si="176"/>
        <v>1.5617269980920076E-2</v>
      </c>
      <c r="G629" s="609">
        <f t="shared" si="176"/>
        <v>1.4019739326549881E-2</v>
      </c>
      <c r="H629" s="609">
        <f t="shared" si="176"/>
        <v>1.4400949810556913E-2</v>
      </c>
      <c r="I629" s="609">
        <f t="shared" si="176"/>
        <v>8.9149662309647923E-3</v>
      </c>
      <c r="J629" s="603">
        <f t="shared" si="176"/>
        <v>7.6428005082592124E-3</v>
      </c>
      <c r="K629" s="1844">
        <f t="shared" si="177"/>
        <v>0</v>
      </c>
      <c r="L629" s="609">
        <f t="shared" si="177"/>
        <v>0</v>
      </c>
      <c r="M629" s="609">
        <f t="shared" si="177"/>
        <v>0</v>
      </c>
      <c r="N629" s="609">
        <f t="shared" si="177"/>
        <v>0</v>
      </c>
      <c r="O629" s="609">
        <f t="shared" si="177"/>
        <v>0</v>
      </c>
      <c r="P629" s="609">
        <f t="shared" si="177"/>
        <v>0</v>
      </c>
      <c r="Q629" s="609">
        <f t="shared" si="177"/>
        <v>0</v>
      </c>
      <c r="R629" s="603">
        <f t="shared" si="177"/>
        <v>0</v>
      </c>
    </row>
    <row r="630" spans="2:18">
      <c r="B630" s="595" t="s">
        <v>1040</v>
      </c>
      <c r="C630" s="1844">
        <f t="shared" si="176"/>
        <v>2.038271300105729E-4</v>
      </c>
      <c r="D630" s="609">
        <f t="shared" si="176"/>
        <v>1.925513747233843E-4</v>
      </c>
      <c r="E630" s="609">
        <f t="shared" si="176"/>
        <v>5.6515747051548069E-4</v>
      </c>
      <c r="F630" s="609">
        <f t="shared" si="176"/>
        <v>1.6974692473684807E-4</v>
      </c>
      <c r="G630" s="609">
        <f t="shared" si="176"/>
        <v>5.0303010859406192E-4</v>
      </c>
      <c r="H630" s="609">
        <f t="shared" si="176"/>
        <v>4.60126847556758E-4</v>
      </c>
      <c r="I630" s="609">
        <f t="shared" si="176"/>
        <v>2.4997409527424154E-4</v>
      </c>
      <c r="J630" s="603">
        <f t="shared" si="176"/>
        <v>2.6221582500524614E-4</v>
      </c>
      <c r="K630" s="1844">
        <f t="shared" si="177"/>
        <v>1.201352881534488E-4</v>
      </c>
      <c r="L630" s="609">
        <f t="shared" si="177"/>
        <v>2.161260570155369E-3</v>
      </c>
      <c r="M630" s="609">
        <f t="shared" si="177"/>
        <v>5.3601407647025289E-3</v>
      </c>
      <c r="N630" s="609">
        <f t="shared" si="177"/>
        <v>6.3228312495668794E-3</v>
      </c>
      <c r="O630" s="609">
        <f t="shared" si="177"/>
        <v>6.44489392033304E-3</v>
      </c>
      <c r="P630" s="609">
        <f t="shared" si="177"/>
        <v>5.3149498322662162E-3</v>
      </c>
      <c r="Q630" s="609">
        <f t="shared" si="177"/>
        <v>4.0052900447239735E-3</v>
      </c>
      <c r="R630" s="603">
        <f t="shared" si="177"/>
        <v>4.5632537870647204E-3</v>
      </c>
    </row>
    <row r="631" spans="2:18">
      <c r="B631" s="595" t="s">
        <v>1041</v>
      </c>
      <c r="C631" s="1844">
        <f t="shared" si="176"/>
        <v>5.774489458009009E-3</v>
      </c>
      <c r="D631" s="609">
        <f t="shared" si="176"/>
        <v>5.1095754719742113E-3</v>
      </c>
      <c r="E631" s="609">
        <f t="shared" si="176"/>
        <v>4.2117414831043176E-3</v>
      </c>
      <c r="F631" s="609">
        <f t="shared" si="176"/>
        <v>3.5345065275848779E-3</v>
      </c>
      <c r="G631" s="609">
        <f t="shared" si="176"/>
        <v>3.0355274493524781E-3</v>
      </c>
      <c r="H631" s="609">
        <f t="shared" si="176"/>
        <v>2.6195612764152729E-3</v>
      </c>
      <c r="I631" s="609">
        <f t="shared" si="176"/>
        <v>1.7999375336744195E-3</v>
      </c>
      <c r="J631" s="603">
        <f t="shared" si="176"/>
        <v>1.4651478778162179E-3</v>
      </c>
      <c r="K631" s="1844">
        <f t="shared" si="177"/>
        <v>1.3769386570104976E-4</v>
      </c>
      <c r="L631" s="609">
        <f t="shared" si="177"/>
        <v>1.1975230475083355E-4</v>
      </c>
      <c r="M631" s="609">
        <f t="shared" si="177"/>
        <v>1.1406012520572884E-4</v>
      </c>
      <c r="N631" s="609">
        <f t="shared" si="177"/>
        <v>1.3725239983739058E-4</v>
      </c>
      <c r="O631" s="609">
        <f t="shared" si="177"/>
        <v>4.2369861325145122E-4</v>
      </c>
      <c r="P631" s="609">
        <f t="shared" si="177"/>
        <v>2.1810386413804138E-3</v>
      </c>
      <c r="Q631" s="609">
        <f t="shared" si="177"/>
        <v>6.0370891942777153E-3</v>
      </c>
      <c r="R631" s="603">
        <f t="shared" si="177"/>
        <v>1.8620247705303818E-2</v>
      </c>
    </row>
    <row r="632" spans="2:18">
      <c r="B632" s="595" t="s">
        <v>1042</v>
      </c>
      <c r="C632" s="1844">
        <f t="shared" si="176"/>
        <v>9.3969389491577217E-3</v>
      </c>
      <c r="D632" s="609">
        <f t="shared" si="176"/>
        <v>8.5676912173287562E-3</v>
      </c>
      <c r="E632" s="609">
        <f t="shared" si="176"/>
        <v>7.742099461186723E-3</v>
      </c>
      <c r="F632" s="609">
        <f t="shared" si="176"/>
        <v>6.6707035791798031E-3</v>
      </c>
      <c r="G632" s="609">
        <f t="shared" si="176"/>
        <v>5.8254002833387688E-3</v>
      </c>
      <c r="H632" s="609">
        <f t="shared" si="176"/>
        <v>4.953035805948915E-3</v>
      </c>
      <c r="I632" s="609">
        <f t="shared" si="176"/>
        <v>2.6419046669520631E-3</v>
      </c>
      <c r="J632" s="603">
        <f t="shared" si="176"/>
        <v>1.9619518147927246E-3</v>
      </c>
      <c r="K632" s="1844">
        <f t="shared" si="177"/>
        <v>0</v>
      </c>
      <c r="L632" s="609">
        <f t="shared" si="177"/>
        <v>0</v>
      </c>
      <c r="M632" s="609">
        <f t="shared" si="177"/>
        <v>0</v>
      </c>
      <c r="N632" s="609">
        <f t="shared" si="177"/>
        <v>0</v>
      </c>
      <c r="O632" s="609">
        <f t="shared" si="177"/>
        <v>0</v>
      </c>
      <c r="P632" s="609">
        <f t="shared" si="177"/>
        <v>0</v>
      </c>
      <c r="Q632" s="609">
        <f t="shared" si="177"/>
        <v>0</v>
      </c>
      <c r="R632" s="603">
        <f t="shared" si="177"/>
        <v>0</v>
      </c>
    </row>
    <row r="633" spans="2:18">
      <c r="B633" s="595" t="s">
        <v>1043</v>
      </c>
      <c r="C633" s="1844">
        <f t="shared" si="176"/>
        <v>5.0048312288416706E-4</v>
      </c>
      <c r="D633" s="609">
        <f t="shared" si="176"/>
        <v>4.3357932909511267E-4</v>
      </c>
      <c r="E633" s="609">
        <f t="shared" si="176"/>
        <v>3.7117070201536444E-4</v>
      </c>
      <c r="F633" s="609">
        <f t="shared" si="176"/>
        <v>2.7331223860028591E-4</v>
      </c>
      <c r="G633" s="609">
        <f t="shared" si="176"/>
        <v>2.304038347931061E-4</v>
      </c>
      <c r="H633" s="609">
        <f t="shared" si="176"/>
        <v>1.9722288735180541E-4</v>
      </c>
      <c r="I633" s="609">
        <f t="shared" si="176"/>
        <v>1.0659830465970825E-4</v>
      </c>
      <c r="J633" s="603">
        <f t="shared" si="176"/>
        <v>1.0951200734628183E-4</v>
      </c>
      <c r="K633" s="1844">
        <f t="shared" si="177"/>
        <v>0</v>
      </c>
      <c r="L633" s="609">
        <f t="shared" si="177"/>
        <v>0</v>
      </c>
      <c r="M633" s="609">
        <f t="shared" si="177"/>
        <v>0</v>
      </c>
      <c r="N633" s="609">
        <f t="shared" si="177"/>
        <v>0</v>
      </c>
      <c r="O633" s="609">
        <f t="shared" si="177"/>
        <v>0</v>
      </c>
      <c r="P633" s="609">
        <f t="shared" si="177"/>
        <v>0</v>
      </c>
      <c r="Q633" s="609">
        <f t="shared" si="177"/>
        <v>0</v>
      </c>
      <c r="R633" s="603">
        <f t="shared" si="177"/>
        <v>8.2911493664443083E-3</v>
      </c>
    </row>
    <row r="634" spans="2:18">
      <c r="B634" s="595" t="s">
        <v>1044</v>
      </c>
      <c r="C634" s="1844">
        <f t="shared" si="176"/>
        <v>2.8203865395838479E-3</v>
      </c>
      <c r="D634" s="609">
        <f t="shared" si="176"/>
        <v>2.4792842212650631E-3</v>
      </c>
      <c r="E634" s="609">
        <f t="shared" si="176"/>
        <v>2.2620326224671661E-3</v>
      </c>
      <c r="F634" s="609">
        <f t="shared" si="176"/>
        <v>1.4773491803202479E-3</v>
      </c>
      <c r="G634" s="609">
        <f t="shared" si="176"/>
        <v>1.4798232754251416E-3</v>
      </c>
      <c r="H634" s="609">
        <f t="shared" si="176"/>
        <v>1.2278849790504395E-3</v>
      </c>
      <c r="I634" s="609">
        <f t="shared" si="176"/>
        <v>8.8654369217201138E-4</v>
      </c>
      <c r="J634" s="603">
        <f t="shared" si="176"/>
        <v>7.0758999430759622E-4</v>
      </c>
      <c r="K634" s="1844">
        <f t="shared" si="177"/>
        <v>0</v>
      </c>
      <c r="L634" s="609">
        <f t="shared" si="177"/>
        <v>0</v>
      </c>
      <c r="M634" s="609">
        <f t="shared" si="177"/>
        <v>0</v>
      </c>
      <c r="N634" s="609">
        <f t="shared" si="177"/>
        <v>0</v>
      </c>
      <c r="O634" s="609">
        <f t="shared" si="177"/>
        <v>0</v>
      </c>
      <c r="P634" s="609">
        <f t="shared" si="177"/>
        <v>0</v>
      </c>
      <c r="Q634" s="609">
        <f t="shared" si="177"/>
        <v>0</v>
      </c>
      <c r="R634" s="603">
        <f t="shared" si="177"/>
        <v>0</v>
      </c>
    </row>
    <row r="635" spans="2:18">
      <c r="B635" s="595" t="s">
        <v>1061</v>
      </c>
      <c r="C635" s="1844">
        <f t="shared" ref="C635:C644" si="178">IF(ISNUMBER(C365/(K15*1000)),C365/(K15*1000),"0")</f>
        <v>0</v>
      </c>
      <c r="D635" s="609">
        <f t="shared" ref="D635:J635" si="179">IF(ISNUMBER(D365/(L15*1000)),D365/(L15*1000),"0")</f>
        <v>7.5438508064516133E-3</v>
      </c>
      <c r="E635" s="609">
        <f t="shared" si="179"/>
        <v>7.2717244125846273E-3</v>
      </c>
      <c r="F635" s="609">
        <f t="shared" si="179"/>
        <v>6.6322948858538525E-3</v>
      </c>
      <c r="G635" s="609">
        <f t="shared" si="179"/>
        <v>6.2894015212169724E-3</v>
      </c>
      <c r="H635" s="609">
        <f t="shared" si="179"/>
        <v>4.2446030465045905E-3</v>
      </c>
      <c r="I635" s="609">
        <f t="shared" si="179"/>
        <v>2.275852229299363E-3</v>
      </c>
      <c r="J635" s="603">
        <f t="shared" si="179"/>
        <v>1.8712782153968361E-3</v>
      </c>
      <c r="K635" s="1844">
        <f t="shared" ref="K635:K644" si="180">IF(ISNUMBER(K365/(K15*1000)),K365/(K15*1000),"0")</f>
        <v>0</v>
      </c>
      <c r="L635" s="609">
        <f t="shared" ref="L635:R635" si="181">IF(ISNUMBER(L365/(L15*1000)),L365/(L15*1000),"0")</f>
        <v>1.807459677419355E-3</v>
      </c>
      <c r="M635" s="609">
        <f t="shared" si="181"/>
        <v>3.0705894066109123E-3</v>
      </c>
      <c r="N635" s="609">
        <f t="shared" si="181"/>
        <v>3.0808792742498254E-3</v>
      </c>
      <c r="O635" s="609">
        <f t="shared" si="181"/>
        <v>3.2081114891913533E-3</v>
      </c>
      <c r="P635" s="609">
        <f t="shared" si="181"/>
        <v>3.2192323211943912E-3</v>
      </c>
      <c r="Q635" s="609">
        <f t="shared" si="181"/>
        <v>3.8883974522292992E-3</v>
      </c>
      <c r="R635" s="603">
        <f t="shared" si="181"/>
        <v>4.6177268815780761E-3</v>
      </c>
    </row>
    <row r="636" spans="2:18">
      <c r="B636" s="595" t="s">
        <v>1047</v>
      </c>
      <c r="C636" s="1844">
        <f t="shared" si="178"/>
        <v>2.4476954123627528</v>
      </c>
      <c r="D636" s="609">
        <f t="shared" ref="D636:D644" si="182">IF(ISNUMBER(D366/(L16*1000)),D366/(L16*1000),"0")</f>
        <v>2.1667703800097846</v>
      </c>
      <c r="E636" s="609">
        <f t="shared" ref="E636:E644" si="183">IF(ISNUMBER(E366/(M16*1000)),E366/(M16*1000),"0")</f>
        <v>1.9014529851960797</v>
      </c>
      <c r="F636" s="609">
        <f t="shared" ref="F636:F644" si="184">IF(ISNUMBER(F366/(N16*1000)),F366/(N16*1000),"0")</f>
        <v>1.8616775835122146</v>
      </c>
      <c r="G636" s="609">
        <f t="shared" ref="G636:G644" si="185">IF(ISNUMBER(G366/(O16*1000)),G366/(O16*1000),"0")</f>
        <v>1.804088934483624</v>
      </c>
      <c r="H636" s="609">
        <f t="shared" ref="H636:H644" si="186">IF(ISNUMBER(H366/(P16*1000)),H366/(P16*1000),"0")</f>
        <v>1.6861698868646291</v>
      </c>
      <c r="I636" s="609">
        <f t="shared" ref="I636:I644" si="187">IF(ISNUMBER(I366/(Q16*1000)),I366/(Q16*1000),"0")</f>
        <v>1.048358761011803</v>
      </c>
      <c r="J636" s="603">
        <f t="shared" ref="J636:J644" si="188">IF(ISNUMBER(J366/(R16*1000)),J366/(R16*1000),"0")</f>
        <v>1.1096952149188355</v>
      </c>
      <c r="K636" s="1844">
        <f t="shared" si="180"/>
        <v>0</v>
      </c>
      <c r="L636" s="609">
        <f t="shared" ref="L636:R644" si="189">IF(ISNUMBER(L366/(L16*1000)),L366/(L16*1000),"0")</f>
        <v>0</v>
      </c>
      <c r="M636" s="609">
        <f t="shared" si="189"/>
        <v>0</v>
      </c>
      <c r="N636" s="609">
        <f t="shared" si="189"/>
        <v>0</v>
      </c>
      <c r="O636" s="609">
        <f t="shared" si="189"/>
        <v>0</v>
      </c>
      <c r="P636" s="609">
        <f t="shared" si="189"/>
        <v>0</v>
      </c>
      <c r="Q636" s="609">
        <f t="shared" si="189"/>
        <v>0</v>
      </c>
      <c r="R636" s="603">
        <f t="shared" si="189"/>
        <v>0</v>
      </c>
    </row>
    <row r="637" spans="2:18">
      <c r="B637" s="595" t="s">
        <v>1048</v>
      </c>
      <c r="C637" s="1844">
        <f t="shared" si="178"/>
        <v>0</v>
      </c>
      <c r="D637" s="609">
        <f t="shared" si="182"/>
        <v>2.3825844849623024</v>
      </c>
      <c r="E637" s="609">
        <f t="shared" si="183"/>
        <v>2.6718848834639481</v>
      </c>
      <c r="F637" s="609">
        <f t="shared" si="184"/>
        <v>2.4909384049876748</v>
      </c>
      <c r="G637" s="609">
        <f t="shared" si="185"/>
        <v>2.3247045910424808</v>
      </c>
      <c r="H637" s="609">
        <f t="shared" si="186"/>
        <v>2.2103037251643176</v>
      </c>
      <c r="I637" s="609">
        <f t="shared" si="187"/>
        <v>1.4647235376698966</v>
      </c>
      <c r="J637" s="603">
        <f t="shared" si="188"/>
        <v>1.4236029106061971</v>
      </c>
      <c r="K637" s="1844">
        <f t="shared" si="180"/>
        <v>0</v>
      </c>
      <c r="L637" s="609">
        <f t="shared" si="189"/>
        <v>0</v>
      </c>
      <c r="M637" s="609">
        <f t="shared" si="189"/>
        <v>0</v>
      </c>
      <c r="N637" s="609">
        <f t="shared" si="189"/>
        <v>0</v>
      </c>
      <c r="O637" s="609">
        <f t="shared" si="189"/>
        <v>0</v>
      </c>
      <c r="P637" s="609">
        <f t="shared" si="189"/>
        <v>0</v>
      </c>
      <c r="Q637" s="609">
        <f t="shared" si="189"/>
        <v>0</v>
      </c>
      <c r="R637" s="603">
        <f t="shared" si="189"/>
        <v>0</v>
      </c>
    </row>
    <row r="638" spans="2:18">
      <c r="B638" s="595" t="s">
        <v>1049</v>
      </c>
      <c r="C638" s="1844">
        <f t="shared" si="178"/>
        <v>1.3741754057606025E-3</v>
      </c>
      <c r="D638" s="609">
        <f t="shared" si="182"/>
        <v>1.2919643905004419E-3</v>
      </c>
      <c r="E638" s="609">
        <f t="shared" si="183"/>
        <v>1.1987499123371763E-3</v>
      </c>
      <c r="F638" s="609">
        <f t="shared" si="184"/>
        <v>1.0874377727985933E-3</v>
      </c>
      <c r="G638" s="609">
        <f t="shared" si="185"/>
        <v>1.0177754259968986E-3</v>
      </c>
      <c r="H638" s="609">
        <f t="shared" si="186"/>
        <v>9.4873538502047625E-4</v>
      </c>
      <c r="I638" s="609">
        <f t="shared" si="187"/>
        <v>6.950514027691825E-4</v>
      </c>
      <c r="J638" s="603">
        <f t="shared" si="188"/>
        <v>6.4665051135183416E-4</v>
      </c>
      <c r="K638" s="1844">
        <f t="shared" si="180"/>
        <v>0</v>
      </c>
      <c r="L638" s="609">
        <f t="shared" si="189"/>
        <v>0</v>
      </c>
      <c r="M638" s="609">
        <f t="shared" si="189"/>
        <v>0</v>
      </c>
      <c r="N638" s="609">
        <f t="shared" si="189"/>
        <v>0</v>
      </c>
      <c r="O638" s="609">
        <f t="shared" si="189"/>
        <v>0</v>
      </c>
      <c r="P638" s="609">
        <f t="shared" si="189"/>
        <v>0</v>
      </c>
      <c r="Q638" s="609">
        <f t="shared" si="189"/>
        <v>0</v>
      </c>
      <c r="R638" s="603">
        <f t="shared" si="189"/>
        <v>0</v>
      </c>
    </row>
    <row r="639" spans="2:18">
      <c r="B639" s="595" t="s">
        <v>1050</v>
      </c>
      <c r="C639" s="1844">
        <f t="shared" si="178"/>
        <v>5.8703474202901978E-4</v>
      </c>
      <c r="D639" s="609">
        <f t="shared" si="182"/>
        <v>5.4580109595429643E-4</v>
      </c>
      <c r="E639" s="609">
        <f t="shared" si="183"/>
        <v>5.1560417383327603E-4</v>
      </c>
      <c r="F639" s="609">
        <f t="shared" si="184"/>
        <v>4.7676407561129665E-4</v>
      </c>
      <c r="G639" s="609">
        <f t="shared" si="185"/>
        <v>4.2650240784714054E-4</v>
      </c>
      <c r="H639" s="609">
        <f t="shared" si="186"/>
        <v>3.9624602819300528E-4</v>
      </c>
      <c r="I639" s="609">
        <f t="shared" si="187"/>
        <v>2.2678689652207558E-4</v>
      </c>
      <c r="J639" s="603">
        <f t="shared" si="188"/>
        <v>2.3367972742759796E-4</v>
      </c>
      <c r="K639" s="1844">
        <f t="shared" si="180"/>
        <v>0</v>
      </c>
      <c r="L639" s="609">
        <f t="shared" si="189"/>
        <v>0</v>
      </c>
      <c r="M639" s="609">
        <f t="shared" si="189"/>
        <v>0</v>
      </c>
      <c r="N639" s="609">
        <f t="shared" si="189"/>
        <v>0</v>
      </c>
      <c r="O639" s="609">
        <f t="shared" si="189"/>
        <v>0</v>
      </c>
      <c r="P639" s="609">
        <f t="shared" si="189"/>
        <v>0</v>
      </c>
      <c r="Q639" s="609">
        <f t="shared" si="189"/>
        <v>0</v>
      </c>
      <c r="R639" s="603">
        <f t="shared" si="189"/>
        <v>0</v>
      </c>
    </row>
    <row r="640" spans="2:18">
      <c r="B640" s="595" t="s">
        <v>1051</v>
      </c>
      <c r="C640" s="1844">
        <f t="shared" si="178"/>
        <v>6.1750832303195877E-3</v>
      </c>
      <c r="D640" s="609">
        <f t="shared" si="182"/>
        <v>5.5169687475868463E-3</v>
      </c>
      <c r="E640" s="609">
        <f t="shared" si="183"/>
        <v>5.4086224456802896E-3</v>
      </c>
      <c r="F640" s="609">
        <f t="shared" si="184"/>
        <v>5.0666969443284781E-3</v>
      </c>
      <c r="G640" s="609">
        <f t="shared" si="185"/>
        <v>4.855004536829609E-3</v>
      </c>
      <c r="H640" s="609">
        <f t="shared" si="186"/>
        <v>4.5660745871024091E-3</v>
      </c>
      <c r="I640" s="609">
        <f t="shared" si="187"/>
        <v>3.3021108025142526E-3</v>
      </c>
      <c r="J640" s="603">
        <f t="shared" si="188"/>
        <v>2.5623069903267016E-3</v>
      </c>
      <c r="K640" s="1844">
        <f t="shared" si="180"/>
        <v>0</v>
      </c>
      <c r="L640" s="609">
        <f t="shared" si="189"/>
        <v>0</v>
      </c>
      <c r="M640" s="609">
        <f t="shared" si="189"/>
        <v>0</v>
      </c>
      <c r="N640" s="609">
        <f t="shared" si="189"/>
        <v>0</v>
      </c>
      <c r="O640" s="609">
        <f t="shared" si="189"/>
        <v>0</v>
      </c>
      <c r="P640" s="609">
        <f t="shared" si="189"/>
        <v>0</v>
      </c>
      <c r="Q640" s="609">
        <f t="shared" si="189"/>
        <v>0</v>
      </c>
      <c r="R640" s="603">
        <f t="shared" si="189"/>
        <v>0</v>
      </c>
    </row>
    <row r="641" spans="2:18">
      <c r="B641" s="595" t="s">
        <v>1052</v>
      </c>
      <c r="C641" s="1844">
        <f t="shared" si="178"/>
        <v>2.566784938026927</v>
      </c>
      <c r="D641" s="609">
        <f t="shared" si="182"/>
        <v>2.5765199304265436</v>
      </c>
      <c r="E641" s="609">
        <f t="shared" si="183"/>
        <v>2.5177152062348109</v>
      </c>
      <c r="F641" s="609">
        <f t="shared" si="184"/>
        <v>2.3870094674374669</v>
      </c>
      <c r="G641" s="609">
        <f t="shared" si="185"/>
        <v>2.2694844970592185</v>
      </c>
      <c r="H641" s="609">
        <f t="shared" si="186"/>
        <v>2.0854646313301766</v>
      </c>
      <c r="I641" s="609">
        <f t="shared" si="187"/>
        <v>1.3883563562574874</v>
      </c>
      <c r="J641" s="603">
        <f t="shared" si="188"/>
        <v>1.4229824114295098</v>
      </c>
      <c r="K641" s="1844">
        <f t="shared" si="180"/>
        <v>0</v>
      </c>
      <c r="L641" s="609">
        <f t="shared" si="189"/>
        <v>0</v>
      </c>
      <c r="M641" s="609">
        <f t="shared" si="189"/>
        <v>0</v>
      </c>
      <c r="N641" s="609">
        <f t="shared" si="189"/>
        <v>0</v>
      </c>
      <c r="O641" s="609">
        <f t="shared" si="189"/>
        <v>0</v>
      </c>
      <c r="P641" s="609">
        <f t="shared" si="189"/>
        <v>0</v>
      </c>
      <c r="Q641" s="609">
        <f t="shared" si="189"/>
        <v>0</v>
      </c>
      <c r="R641" s="603">
        <f t="shared" si="189"/>
        <v>0</v>
      </c>
    </row>
    <row r="642" spans="2:18">
      <c r="B642" s="595" t="s">
        <v>1053</v>
      </c>
      <c r="C642" s="1844">
        <f t="shared" si="178"/>
        <v>2.9120835806833822E-3</v>
      </c>
      <c r="D642" s="609">
        <f t="shared" si="182"/>
        <v>3.2903219146046452E-3</v>
      </c>
      <c r="E642" s="609">
        <f t="shared" si="183"/>
        <v>3.0789526818445481E-3</v>
      </c>
      <c r="F642" s="609">
        <f t="shared" si="184"/>
        <v>2.9862782776114861E-3</v>
      </c>
      <c r="G642" s="609">
        <f t="shared" si="185"/>
        <v>2.8475503201978512E-3</v>
      </c>
      <c r="H642" s="609">
        <f t="shared" si="186"/>
        <v>2.5852711476885394E-3</v>
      </c>
      <c r="I642" s="609">
        <f t="shared" si="187"/>
        <v>1.912835580972811E-3</v>
      </c>
      <c r="J642" s="603">
        <f t="shared" si="188"/>
        <v>1.847894109824306E-3</v>
      </c>
      <c r="K642" s="1844">
        <f t="shared" si="180"/>
        <v>0</v>
      </c>
      <c r="L642" s="609">
        <f t="shared" si="189"/>
        <v>4.1722643655203577E-5</v>
      </c>
      <c r="M642" s="609">
        <f t="shared" si="189"/>
        <v>7.8860626014656577E-5</v>
      </c>
      <c r="N642" s="609">
        <f t="shared" si="189"/>
        <v>3.1718669601529901E-4</v>
      </c>
      <c r="O642" s="609">
        <f t="shared" si="189"/>
        <v>4.3473633780203354E-4</v>
      </c>
      <c r="P642" s="609">
        <f t="shared" si="189"/>
        <v>8.8965237879752264E-4</v>
      </c>
      <c r="Q642" s="609">
        <f t="shared" si="189"/>
        <v>3.45987824986714E-3</v>
      </c>
      <c r="R642" s="603">
        <f t="shared" si="189"/>
        <v>6.4969799730530218E-3</v>
      </c>
    </row>
    <row r="643" spans="2:18">
      <c r="B643" s="595" t="s">
        <v>1054</v>
      </c>
      <c r="C643" s="1844">
        <f t="shared" si="178"/>
        <v>1.1048073816676903E-3</v>
      </c>
      <c r="D643" s="609">
        <f t="shared" si="182"/>
        <v>9.8590417847302641E-4</v>
      </c>
      <c r="E643" s="609">
        <f t="shared" si="183"/>
        <v>8.8868751811169914E-4</v>
      </c>
      <c r="F643" s="609">
        <f t="shared" si="184"/>
        <v>7.7109970213678635E-4</v>
      </c>
      <c r="G643" s="609">
        <f t="shared" si="185"/>
        <v>6.9258772973875167E-4</v>
      </c>
      <c r="H643" s="609">
        <f t="shared" si="186"/>
        <v>5.8232737384334029E-4</v>
      </c>
      <c r="I643" s="609">
        <f t="shared" si="187"/>
        <v>2.580343536345783E-4</v>
      </c>
      <c r="J643" s="603">
        <f t="shared" si="188"/>
        <v>1.9669799550007752E-4</v>
      </c>
      <c r="K643" s="1844">
        <f t="shared" si="180"/>
        <v>0</v>
      </c>
      <c r="L643" s="609">
        <f t="shared" si="189"/>
        <v>0</v>
      </c>
      <c r="M643" s="609">
        <f t="shared" si="189"/>
        <v>1.0898856333040901E-6</v>
      </c>
      <c r="N643" s="609">
        <f t="shared" si="189"/>
        <v>7.6449086404714546E-6</v>
      </c>
      <c r="O643" s="609">
        <f t="shared" si="189"/>
        <v>1.7321367230533847E-5</v>
      </c>
      <c r="P643" s="609">
        <f t="shared" si="189"/>
        <v>2.187403736700855E-5</v>
      </c>
      <c r="Q643" s="609">
        <f t="shared" si="189"/>
        <v>2.3404418145817198E-5</v>
      </c>
      <c r="R643" s="603">
        <f t="shared" si="189"/>
        <v>2.143991242454979E-5</v>
      </c>
    </row>
    <row r="644" spans="2:18">
      <c r="B644" s="604" t="s">
        <v>1055</v>
      </c>
      <c r="C644" s="610">
        <f t="shared" si="178"/>
        <v>1.0943218197887081E-2</v>
      </c>
      <c r="D644" s="617">
        <f t="shared" si="182"/>
        <v>1.0702096887602645E-2</v>
      </c>
      <c r="E644" s="617">
        <f t="shared" si="183"/>
        <v>1.0046142426111331E-2</v>
      </c>
      <c r="F644" s="617">
        <f t="shared" si="184"/>
        <v>9.5475032672800979E-3</v>
      </c>
      <c r="G644" s="617">
        <f t="shared" si="185"/>
        <v>8.8724463707508788E-3</v>
      </c>
      <c r="H644" s="617">
        <f t="shared" si="186"/>
        <v>8.3482567623544262E-3</v>
      </c>
      <c r="I644" s="617">
        <f t="shared" si="187"/>
        <v>6.0975038870292129E-3</v>
      </c>
      <c r="J644" s="618">
        <f t="shared" si="188"/>
        <v>5.2737287924899713E-3</v>
      </c>
      <c r="K644" s="610">
        <f t="shared" si="180"/>
        <v>2.9318173878334374E-3</v>
      </c>
      <c r="L644" s="617">
        <f t="shared" si="189"/>
        <v>3.1930150177784593E-3</v>
      </c>
      <c r="M644" s="617">
        <f t="shared" si="189"/>
        <v>3.4353055443738247E-3</v>
      </c>
      <c r="N644" s="617">
        <f t="shared" si="189"/>
        <v>3.4150120187257716E-3</v>
      </c>
      <c r="O644" s="617">
        <f t="shared" si="189"/>
        <v>3.8068655444811741E-3</v>
      </c>
      <c r="P644" s="617">
        <f t="shared" si="189"/>
        <v>4.4587257191244772E-3</v>
      </c>
      <c r="Q644" s="617">
        <f t="shared" si="189"/>
        <v>3.8728295743474363E-3</v>
      </c>
      <c r="R644" s="618">
        <f t="shared" si="189"/>
        <v>4.1795258409515357E-3</v>
      </c>
    </row>
    <row r="645" spans="2:18">
      <c r="B645" s="57"/>
      <c r="C645" s="582"/>
      <c r="D645" s="582"/>
      <c r="E645" s="582"/>
      <c r="F645" s="582"/>
      <c r="G645" s="582"/>
      <c r="H645" s="582"/>
      <c r="I645" s="582"/>
      <c r="J645" s="582"/>
      <c r="K645" s="582"/>
      <c r="L645" s="582"/>
      <c r="M645" s="582"/>
      <c r="N645" s="582"/>
      <c r="O645" s="582"/>
      <c r="P645" s="582"/>
      <c r="Q645" s="582"/>
    </row>
    <row r="646" spans="2:18">
      <c r="B646" s="2157" t="s">
        <v>1122</v>
      </c>
      <c r="C646" s="2157"/>
      <c r="D646" s="2157"/>
      <c r="E646" s="2157"/>
      <c r="F646" s="2157"/>
      <c r="G646" s="2157"/>
      <c r="H646" s="2157"/>
      <c r="I646" s="2157"/>
      <c r="J646" s="2157"/>
      <c r="K646" s="2157"/>
      <c r="L646" s="2157"/>
      <c r="M646" s="2157"/>
      <c r="N646" s="2157"/>
      <c r="O646" s="2157"/>
      <c r="P646" s="2157"/>
      <c r="Q646" s="2157"/>
      <c r="R646" s="2157"/>
    </row>
    <row r="647" spans="2:18">
      <c r="B647" s="619"/>
      <c r="C647" s="621"/>
      <c r="D647" s="621"/>
      <c r="E647" s="621"/>
      <c r="F647" s="621"/>
      <c r="G647" s="621"/>
      <c r="H647" s="621"/>
      <c r="I647" s="621"/>
      <c r="J647" s="621"/>
      <c r="K647" s="622"/>
      <c r="L647" s="622"/>
      <c r="M647" s="622"/>
      <c r="N647" s="622"/>
      <c r="O647" s="622"/>
      <c r="P647" s="622"/>
      <c r="Q647" s="622"/>
    </row>
    <row r="648" spans="2:18">
      <c r="B648" s="583"/>
      <c r="C648" s="2183" t="s">
        <v>1112</v>
      </c>
      <c r="D648" s="2184"/>
      <c r="E648" s="2184"/>
      <c r="F648" s="2184"/>
      <c r="G648" s="2184"/>
      <c r="H648" s="2184"/>
      <c r="I648" s="2184"/>
      <c r="J648" s="2185"/>
      <c r="K648" s="2200" t="s">
        <v>1113</v>
      </c>
      <c r="L648" s="2201"/>
      <c r="M648" s="2201"/>
      <c r="N648" s="2201"/>
      <c r="O648" s="2201"/>
      <c r="P648" s="2201"/>
      <c r="Q648" s="2201"/>
      <c r="R648" s="2202"/>
    </row>
    <row r="649" spans="2:18">
      <c r="B649" s="57"/>
      <c r="C649" s="585">
        <v>2014</v>
      </c>
      <c r="D649" s="586">
        <v>2015</v>
      </c>
      <c r="E649" s="586">
        <v>2016</v>
      </c>
      <c r="F649" s="586">
        <v>2017</v>
      </c>
      <c r="G649" s="586">
        <v>2018</v>
      </c>
      <c r="H649" s="586">
        <v>2019</v>
      </c>
      <c r="I649" s="586">
        <v>2020</v>
      </c>
      <c r="J649" s="586">
        <v>2021</v>
      </c>
      <c r="K649" s="638">
        <v>2014</v>
      </c>
      <c r="L649" s="639">
        <v>2015</v>
      </c>
      <c r="M649" s="639">
        <v>2016</v>
      </c>
      <c r="N649" s="639">
        <v>2017</v>
      </c>
      <c r="O649" s="639">
        <v>2018</v>
      </c>
      <c r="P649" s="639">
        <v>2019</v>
      </c>
      <c r="Q649" s="639">
        <v>2020</v>
      </c>
      <c r="R649" s="640">
        <v>2021</v>
      </c>
    </row>
    <row r="650" spans="2:18">
      <c r="B650" s="589" t="s">
        <v>1038</v>
      </c>
      <c r="C650" s="614">
        <f t="shared" ref="C650:J656" si="190">IF(ISNUMBER(C380/(K6*1000)),C380/(K6*1000),"0")</f>
        <v>26.4340497076366</v>
      </c>
      <c r="D650" s="615">
        <f t="shared" si="190"/>
        <v>29.42937514139745</v>
      </c>
      <c r="E650" s="615">
        <f t="shared" si="190"/>
        <v>34.477459538767832</v>
      </c>
      <c r="F650" s="615">
        <f t="shared" si="190"/>
        <v>36.836585040630553</v>
      </c>
      <c r="G650" s="615">
        <f t="shared" si="190"/>
        <v>40.818158409773865</v>
      </c>
      <c r="H650" s="615">
        <f t="shared" si="190"/>
        <v>46.69202484040931</v>
      </c>
      <c r="I650" s="615">
        <f t="shared" si="190"/>
        <v>46.054401392776079</v>
      </c>
      <c r="J650" s="616">
        <f t="shared" si="190"/>
        <v>59.3046523684785</v>
      </c>
      <c r="K650" s="614">
        <f t="shared" ref="K650:R656" si="191">IF(ISNUMBER(K380/(K6*1000)),K380/(K6*1000),"0")</f>
        <v>12.088412683532734</v>
      </c>
      <c r="L650" s="615">
        <f t="shared" si="191"/>
        <v>13.615514094581266</v>
      </c>
      <c r="M650" s="615">
        <f t="shared" si="191"/>
        <v>15.66535217137878</v>
      </c>
      <c r="N650" s="615">
        <f t="shared" si="191"/>
        <v>17.015005150095888</v>
      </c>
      <c r="O650" s="615">
        <f t="shared" si="191"/>
        <v>19.467454495838609</v>
      </c>
      <c r="P650" s="615">
        <f t="shared" si="191"/>
        <v>23.470394434090593</v>
      </c>
      <c r="Q650" s="615">
        <f t="shared" si="191"/>
        <v>27.106943826167441</v>
      </c>
      <c r="R650" s="616">
        <f t="shared" si="191"/>
        <v>37.222207683911812</v>
      </c>
    </row>
    <row r="651" spans="2:18">
      <c r="B651" s="595" t="s">
        <v>1039</v>
      </c>
      <c r="C651" s="1844">
        <f t="shared" si="190"/>
        <v>1.7105760822037606E-2</v>
      </c>
      <c r="D651" s="609">
        <f t="shared" si="190"/>
        <v>2.6286758460248333E-2</v>
      </c>
      <c r="E651" s="609">
        <f t="shared" si="190"/>
        <v>3.2737852093820283E-2</v>
      </c>
      <c r="F651" s="609">
        <f t="shared" si="190"/>
        <v>3.8460191859232565E-2</v>
      </c>
      <c r="G651" s="609">
        <f t="shared" si="190"/>
        <v>4.5063193643134374E-2</v>
      </c>
      <c r="H651" s="609">
        <f t="shared" si="190"/>
        <v>4.7508299164374317E-2</v>
      </c>
      <c r="I651" s="609">
        <f t="shared" si="190"/>
        <v>3.818872910300198E-2</v>
      </c>
      <c r="J651" s="603">
        <f t="shared" si="190"/>
        <v>5.367938500635324E-2</v>
      </c>
      <c r="K651" s="1844">
        <f t="shared" si="191"/>
        <v>1.4615757542632271E-2</v>
      </c>
      <c r="L651" s="609">
        <f t="shared" si="191"/>
        <v>2.2505702383206646E-2</v>
      </c>
      <c r="M651" s="609">
        <f t="shared" si="191"/>
        <v>2.5587469208525219E-2</v>
      </c>
      <c r="N651" s="609">
        <f t="shared" si="191"/>
        <v>3.0100734047063812E-2</v>
      </c>
      <c r="O651" s="609">
        <f t="shared" si="191"/>
        <v>3.6728443302213365E-2</v>
      </c>
      <c r="P651" s="609">
        <f t="shared" si="191"/>
        <v>3.8923228836871333E-2</v>
      </c>
      <c r="Q651" s="609">
        <f t="shared" si="191"/>
        <v>3.1938573739760154E-2</v>
      </c>
      <c r="R651" s="603">
        <f t="shared" si="191"/>
        <v>4.4734444726810672E-2</v>
      </c>
    </row>
    <row r="652" spans="2:18">
      <c r="B652" s="595" t="s">
        <v>1040</v>
      </c>
      <c r="C652" s="1844">
        <f t="shared" si="190"/>
        <v>8.9384134435781064E-4</v>
      </c>
      <c r="D652" s="609">
        <f t="shared" si="190"/>
        <v>1.0156704216278075E-3</v>
      </c>
      <c r="E652" s="609">
        <f t="shared" si="190"/>
        <v>1.130628064665196E-3</v>
      </c>
      <c r="F652" s="609">
        <f t="shared" si="190"/>
        <v>1.4841102349838456E-3</v>
      </c>
      <c r="G652" s="609">
        <f t="shared" si="190"/>
        <v>2.0149969944727058E-3</v>
      </c>
      <c r="H652" s="609">
        <f t="shared" si="190"/>
        <v>2.85612692207574E-3</v>
      </c>
      <c r="I652" s="609">
        <f t="shared" si="190"/>
        <v>2.7516562325571275E-3</v>
      </c>
      <c r="J652" s="603">
        <f t="shared" si="190"/>
        <v>4.1880123678902682E-3</v>
      </c>
      <c r="K652" s="1844">
        <f t="shared" si="191"/>
        <v>5.0976698217177548E-4</v>
      </c>
      <c r="L652" s="609">
        <f t="shared" si="191"/>
        <v>6.058738064868113E-4</v>
      </c>
      <c r="M652" s="609">
        <f t="shared" si="191"/>
        <v>6.8425837384479917E-4</v>
      </c>
      <c r="N652" s="609">
        <f t="shared" si="191"/>
        <v>9.5056543319391358E-4</v>
      </c>
      <c r="O652" s="609">
        <f t="shared" si="191"/>
        <v>1.3122142432582201E-3</v>
      </c>
      <c r="P652" s="609">
        <f t="shared" si="191"/>
        <v>1.8267974287690379E-3</v>
      </c>
      <c r="Q652" s="609">
        <f t="shared" si="191"/>
        <v>2.0368426001459573E-3</v>
      </c>
      <c r="R652" s="603">
        <f t="shared" si="191"/>
        <v>3.1295005765517602E-3</v>
      </c>
    </row>
    <row r="653" spans="2:18">
      <c r="B653" s="595" t="s">
        <v>1041</v>
      </c>
      <c r="C653" s="1844">
        <f t="shared" si="190"/>
        <v>5.4464773636121205E-2</v>
      </c>
      <c r="D653" s="609">
        <f t="shared" si="190"/>
        <v>5.810563526650013E-2</v>
      </c>
      <c r="E653" s="609">
        <f t="shared" si="190"/>
        <v>6.2441704355317623E-2</v>
      </c>
      <c r="F653" s="609">
        <f t="shared" si="190"/>
        <v>6.9845782080015267E-2</v>
      </c>
      <c r="G653" s="609">
        <f t="shared" si="190"/>
        <v>7.954095008079333E-2</v>
      </c>
      <c r="H653" s="609">
        <f t="shared" si="190"/>
        <v>9.7745791392577941E-2</v>
      </c>
      <c r="I653" s="609">
        <f t="shared" si="190"/>
        <v>9.9079952948797234E-2</v>
      </c>
      <c r="J653" s="603">
        <f t="shared" si="190"/>
        <v>0.12290522600061879</v>
      </c>
      <c r="K653" s="1844">
        <f t="shared" si="191"/>
        <v>2.7919785805836289E-2</v>
      </c>
      <c r="L653" s="609">
        <f t="shared" si="191"/>
        <v>3.0525258224590894E-2</v>
      </c>
      <c r="M653" s="609">
        <f t="shared" si="191"/>
        <v>3.3333973907452456E-2</v>
      </c>
      <c r="N653" s="609">
        <f t="shared" si="191"/>
        <v>3.8373530237394315E-2</v>
      </c>
      <c r="O653" s="609">
        <f t="shared" si="191"/>
        <v>4.3322750153600875E-2</v>
      </c>
      <c r="P653" s="609">
        <f t="shared" si="191"/>
        <v>5.1779656952242382E-2</v>
      </c>
      <c r="Q653" s="609">
        <f t="shared" si="191"/>
        <v>5.4170520242733312E-2</v>
      </c>
      <c r="R653" s="603">
        <f t="shared" si="191"/>
        <v>6.3372003300237206E-2</v>
      </c>
    </row>
    <row r="654" spans="2:18">
      <c r="B654" s="595" t="s">
        <v>1042</v>
      </c>
      <c r="C654" s="1844">
        <f t="shared" si="190"/>
        <v>3.8237168306468484E-2</v>
      </c>
      <c r="D654" s="609">
        <f t="shared" si="190"/>
        <v>4.7816696930454539E-2</v>
      </c>
      <c r="E654" s="609">
        <f t="shared" si="190"/>
        <v>5.7280536178850761E-2</v>
      </c>
      <c r="F654" s="609">
        <f t="shared" si="190"/>
        <v>6.7992876451909504E-2</v>
      </c>
      <c r="G654" s="609">
        <f t="shared" si="190"/>
        <v>8.226890992968261E-2</v>
      </c>
      <c r="H654" s="609">
        <f t="shared" si="190"/>
        <v>9.7950793511728765E-2</v>
      </c>
      <c r="I654" s="609">
        <f t="shared" si="190"/>
        <v>0.1031634051980876</v>
      </c>
      <c r="J654" s="603">
        <f t="shared" si="190"/>
        <v>0.15176152711483165</v>
      </c>
      <c r="K654" s="1844">
        <f t="shared" si="191"/>
        <v>2.7277249223434483E-2</v>
      </c>
      <c r="L654" s="609">
        <f t="shared" si="191"/>
        <v>3.4247107755462657E-2</v>
      </c>
      <c r="M654" s="609">
        <f t="shared" si="191"/>
        <v>4.071561588619281E-2</v>
      </c>
      <c r="N654" s="609">
        <f t="shared" si="191"/>
        <v>4.878596612707007E-2</v>
      </c>
      <c r="O654" s="609">
        <f t="shared" si="191"/>
        <v>6.0609456998022289E-2</v>
      </c>
      <c r="P654" s="609">
        <f t="shared" si="191"/>
        <v>7.4482392463663991E-2</v>
      </c>
      <c r="Q654" s="609">
        <f t="shared" si="191"/>
        <v>7.6301516935437866E-2</v>
      </c>
      <c r="R654" s="603">
        <f t="shared" si="191"/>
        <v>0.12101763596900821</v>
      </c>
    </row>
    <row r="655" spans="2:18">
      <c r="B655" s="595" t="s">
        <v>1043</v>
      </c>
      <c r="C655" s="1844">
        <f t="shared" si="190"/>
        <v>8.3212571949935494E-3</v>
      </c>
      <c r="D655" s="609">
        <f t="shared" si="190"/>
        <v>9.0878577146158036E-3</v>
      </c>
      <c r="E655" s="609">
        <f t="shared" si="190"/>
        <v>1.0412117139948404E-2</v>
      </c>
      <c r="F655" s="609">
        <f t="shared" si="190"/>
        <v>1.1527838642881389E-2</v>
      </c>
      <c r="G655" s="609">
        <f t="shared" si="190"/>
        <v>1.3051649829514808E-2</v>
      </c>
      <c r="H655" s="609">
        <f t="shared" si="190"/>
        <v>1.5361185539232783E-2</v>
      </c>
      <c r="I655" s="609">
        <f t="shared" si="190"/>
        <v>1.4158605450474251E-2</v>
      </c>
      <c r="J655" s="603">
        <f t="shared" si="190"/>
        <v>1.9026261453148865E-2</v>
      </c>
      <c r="K655" s="1844">
        <f t="shared" si="191"/>
        <v>4.5296683483563045E-3</v>
      </c>
      <c r="L655" s="609">
        <f t="shared" si="191"/>
        <v>5.0019034754909949E-3</v>
      </c>
      <c r="M655" s="609">
        <f t="shared" si="191"/>
        <v>5.5829541770456154E-3</v>
      </c>
      <c r="N655" s="609">
        <f t="shared" si="191"/>
        <v>6.2193221365526947E-3</v>
      </c>
      <c r="O655" s="609">
        <f t="shared" si="191"/>
        <v>7.116946842171166E-3</v>
      </c>
      <c r="P655" s="609">
        <f t="shared" si="191"/>
        <v>8.5875002019872044E-3</v>
      </c>
      <c r="Q655" s="609">
        <f t="shared" si="191"/>
        <v>8.720958772998496E-3</v>
      </c>
      <c r="R655" s="603">
        <f t="shared" si="191"/>
        <v>1.2547173333614369E-2</v>
      </c>
    </row>
    <row r="656" spans="2:18">
      <c r="B656" s="595" t="s">
        <v>1044</v>
      </c>
      <c r="C656" s="1844">
        <f t="shared" si="190"/>
        <v>5.3080940366246894E-2</v>
      </c>
      <c r="D656" s="609">
        <f t="shared" si="190"/>
        <v>6.1703686337213168E-2</v>
      </c>
      <c r="E656" s="609">
        <f t="shared" si="190"/>
        <v>7.1833019655764427E-2</v>
      </c>
      <c r="F656" s="609">
        <f t="shared" si="190"/>
        <v>7.6238481562637642E-2</v>
      </c>
      <c r="G656" s="609">
        <f t="shared" si="190"/>
        <v>8.0684520934996604E-2</v>
      </c>
      <c r="H656" s="609">
        <f t="shared" si="190"/>
        <v>0.1022772669043046</v>
      </c>
      <c r="I656" s="609">
        <f t="shared" si="190"/>
        <v>8.9089143905033003E-2</v>
      </c>
      <c r="J656" s="603">
        <f t="shared" si="190"/>
        <v>0.11813625956586271</v>
      </c>
      <c r="K656" s="1844">
        <f t="shared" si="191"/>
        <v>3.4333357286922869E-2</v>
      </c>
      <c r="L656" s="609">
        <f t="shared" si="191"/>
        <v>4.116375327566358E-2</v>
      </c>
      <c r="M656" s="609">
        <f t="shared" si="191"/>
        <v>4.9853078661500599E-2</v>
      </c>
      <c r="N656" s="609">
        <f t="shared" si="191"/>
        <v>4.9448173727195718E-2</v>
      </c>
      <c r="O656" s="609">
        <f t="shared" si="191"/>
        <v>5.2350243137743932E-2</v>
      </c>
      <c r="P656" s="609">
        <f t="shared" si="191"/>
        <v>6.7359160650321437E-2</v>
      </c>
      <c r="Q656" s="609">
        <f t="shared" si="191"/>
        <v>6.3696606616947898E-2</v>
      </c>
      <c r="R656" s="603">
        <f t="shared" si="191"/>
        <v>8.7876210846324271E-2</v>
      </c>
    </row>
    <row r="657" spans="2:18">
      <c r="B657" s="595" t="s">
        <v>1061</v>
      </c>
      <c r="C657" s="1844">
        <f t="shared" ref="C657:C666" si="192">IF(ISNUMBER(C387/(K15*1000)),C387/(K15*1000),"0")</f>
        <v>0</v>
      </c>
      <c r="D657" s="609">
        <f t="shared" ref="D657:J657" si="193">IF(ISNUMBER(D387/(L15*1000)),D387/(L15*1000),"0")</f>
        <v>6.7670866935483867E-2</v>
      </c>
      <c r="E657" s="609">
        <f t="shared" si="193"/>
        <v>7.226595479888491E-2</v>
      </c>
      <c r="F657" s="609">
        <f t="shared" si="193"/>
        <v>8.9094237862625852E-2</v>
      </c>
      <c r="G657" s="609">
        <f t="shared" si="193"/>
        <v>9.6265247197758211E-2</v>
      </c>
      <c r="H657" s="609">
        <f t="shared" si="193"/>
        <v>0.11428240189649955</v>
      </c>
      <c r="I657" s="609">
        <f t="shared" si="193"/>
        <v>0.10563955159235668</v>
      </c>
      <c r="J657" s="603">
        <f t="shared" si="193"/>
        <v>0.15252409479049447</v>
      </c>
      <c r="K657" s="1844">
        <f t="shared" ref="K657:K666" si="194">IF(ISNUMBER(K387/(K15*1000)),K387/(K15*1000),"0")</f>
        <v>0</v>
      </c>
      <c r="L657" s="609">
        <f t="shared" ref="L657:R657" si="195">IF(ISNUMBER(L387/(L15*1000)),L387/(L15*1000),"0")</f>
        <v>5.8583165322580642E-2</v>
      </c>
      <c r="M657" s="609">
        <f t="shared" si="195"/>
        <v>6.1016168857029068E-2</v>
      </c>
      <c r="N657" s="609">
        <f t="shared" si="195"/>
        <v>7.6122131392682674E-2</v>
      </c>
      <c r="O657" s="609">
        <f t="shared" si="195"/>
        <v>8.1761769415532426E-2</v>
      </c>
      <c r="P657" s="609">
        <f t="shared" si="195"/>
        <v>9.6174104710985572E-2</v>
      </c>
      <c r="Q657" s="609">
        <f t="shared" si="195"/>
        <v>9.5996616560509548E-2</v>
      </c>
      <c r="R657" s="603">
        <f t="shared" si="195"/>
        <v>0.13035204871913683</v>
      </c>
    </row>
    <row r="658" spans="2:18">
      <c r="B658" s="595" t="s">
        <v>1047</v>
      </c>
      <c r="C658" s="1844">
        <f t="shared" si="192"/>
        <v>0</v>
      </c>
      <c r="D658" s="609">
        <f t="shared" ref="D658:D666" si="196">IF(ISNUMBER(D388/(L16*1000)),D388/(L16*1000),"0")</f>
        <v>9.5816943758414297</v>
      </c>
      <c r="E658" s="609">
        <f t="shared" ref="E658:E666" si="197">IF(ISNUMBER(E388/(M16*1000)),E388/(M16*1000),"0")</f>
        <v>10.069092483209548</v>
      </c>
      <c r="F658" s="609">
        <f t="shared" ref="F658:F666" si="198">IF(ISNUMBER(F388/(N16*1000)),F388/(N16*1000),"0")</f>
        <v>11.633383535067134</v>
      </c>
      <c r="G658" s="609">
        <f t="shared" ref="G658:G666" si="199">IF(ISNUMBER(G388/(O16*1000)),G388/(O16*1000),"0")</f>
        <v>13.804846362138534</v>
      </c>
      <c r="H658" s="609">
        <f t="shared" ref="H658:H666" si="200">IF(ISNUMBER(H388/(P16*1000)),H388/(P16*1000),"0")</f>
        <v>15.39063229493005</v>
      </c>
      <c r="I658" s="609">
        <f t="shared" ref="I658:I666" si="201">IF(ISNUMBER(I388/(Q16*1000)),I388/(Q16*1000),"0")</f>
        <v>13.025048480515537</v>
      </c>
      <c r="J658" s="603">
        <f t="shared" ref="J658:J666" si="202">IF(ISNUMBER(J388/(R16*1000)),J388/(R16*1000),"0")</f>
        <v>15.311575207588975</v>
      </c>
      <c r="K658" s="1844">
        <f t="shared" si="194"/>
        <v>0</v>
      </c>
      <c r="L658" s="609">
        <f t="shared" ref="L658:R666" si="203">IF(ISNUMBER(L388/(L16*1000)),L388/(L16*1000),"0")</f>
        <v>1.4559611849588339</v>
      </c>
      <c r="M658" s="609">
        <f t="shared" si="203"/>
        <v>1.8352289619347646</v>
      </c>
      <c r="N658" s="609">
        <f t="shared" si="203"/>
        <v>2.2337010416119663</v>
      </c>
      <c r="O658" s="609">
        <f t="shared" si="203"/>
        <v>2.7571585548557609</v>
      </c>
      <c r="P658" s="609">
        <f t="shared" si="203"/>
        <v>3.4631497848098789</v>
      </c>
      <c r="Q658" s="609">
        <f t="shared" si="203"/>
        <v>3.4901702924330076</v>
      </c>
      <c r="R658" s="603">
        <f t="shared" si="203"/>
        <v>6.8759358679784546</v>
      </c>
    </row>
    <row r="659" spans="2:18">
      <c r="B659" s="595" t="s">
        <v>1048</v>
      </c>
      <c r="C659" s="1844">
        <f t="shared" si="192"/>
        <v>0</v>
      </c>
      <c r="D659" s="609">
        <f t="shared" si="196"/>
        <v>6.3773543703007451</v>
      </c>
      <c r="E659" s="609">
        <f t="shared" si="197"/>
        <v>8.2207634743723474</v>
      </c>
      <c r="F659" s="609">
        <f t="shared" si="198"/>
        <v>9.1216942179619469</v>
      </c>
      <c r="G659" s="609">
        <f t="shared" si="199"/>
        <v>9.8681102961606832</v>
      </c>
      <c r="H659" s="609">
        <f t="shared" si="200"/>
        <v>11.228836273141239</v>
      </c>
      <c r="I659" s="609">
        <f t="shared" si="201"/>
        <v>10.311065802125661</v>
      </c>
      <c r="J659" s="603">
        <f t="shared" si="202"/>
        <v>10.931539418542705</v>
      </c>
      <c r="K659" s="1844">
        <f t="shared" si="194"/>
        <v>0</v>
      </c>
      <c r="L659" s="609">
        <f t="shared" si="203"/>
        <v>2.9033840950519827</v>
      </c>
      <c r="M659" s="609">
        <f t="shared" si="203"/>
        <v>3.860656506608402</v>
      </c>
      <c r="N659" s="609">
        <f t="shared" si="203"/>
        <v>4.1804698555388224</v>
      </c>
      <c r="O659" s="609">
        <f t="shared" si="203"/>
        <v>4.5304286926833353</v>
      </c>
      <c r="P659" s="609">
        <f t="shared" si="203"/>
        <v>5.299618116617351</v>
      </c>
      <c r="Q659" s="609">
        <f t="shared" si="203"/>
        <v>5.3424150638454853</v>
      </c>
      <c r="R659" s="603">
        <f t="shared" si="203"/>
        <v>5.7090879773879477</v>
      </c>
    </row>
    <row r="660" spans="2:18">
      <c r="B660" s="595" t="s">
        <v>1049</v>
      </c>
      <c r="C660" s="1844">
        <f t="shared" si="192"/>
        <v>6.3624715444264969E-6</v>
      </c>
      <c r="D660" s="609">
        <f t="shared" si="196"/>
        <v>7.3215091082214726E-6</v>
      </c>
      <c r="E660" s="609">
        <f t="shared" si="197"/>
        <v>8.9434402619712673E-6</v>
      </c>
      <c r="F660" s="609">
        <f t="shared" si="198"/>
        <v>1.1333018138771553E-5</v>
      </c>
      <c r="G660" s="609">
        <f t="shared" si="199"/>
        <v>1.3408923377143748E-5</v>
      </c>
      <c r="H660" s="609">
        <f t="shared" si="200"/>
        <v>1.5335136189259158E-5</v>
      </c>
      <c r="I660" s="609">
        <f t="shared" si="201"/>
        <v>1.3730123850323755E-5</v>
      </c>
      <c r="J660" s="603">
        <f t="shared" si="202"/>
        <v>9.89225672900112E-6</v>
      </c>
      <c r="K660" s="1844">
        <f t="shared" si="194"/>
        <v>6.2419984011828847E-6</v>
      </c>
      <c r="L660" s="609">
        <f t="shared" si="203"/>
        <v>7.2281731480343659E-6</v>
      </c>
      <c r="M660" s="609">
        <f t="shared" si="203"/>
        <v>8.8514495798186608E-6</v>
      </c>
      <c r="N660" s="609">
        <f t="shared" si="203"/>
        <v>1.119315728602315E-5</v>
      </c>
      <c r="O660" s="609">
        <f t="shared" si="203"/>
        <v>1.3273974655822646E-5</v>
      </c>
      <c r="P660" s="609">
        <f t="shared" si="203"/>
        <v>1.5156143455810052E-5</v>
      </c>
      <c r="Q660" s="609">
        <f t="shared" si="203"/>
        <v>1.3478023005002927E-5</v>
      </c>
      <c r="R660" s="603">
        <f t="shared" si="203"/>
        <v>9.737491135169394E-6</v>
      </c>
    </row>
    <row r="661" spans="2:18">
      <c r="B661" s="595" t="s">
        <v>1050</v>
      </c>
      <c r="C661" s="1844">
        <f t="shared" si="192"/>
        <v>0</v>
      </c>
      <c r="D661" s="609">
        <f t="shared" si="196"/>
        <v>0</v>
      </c>
      <c r="E661" s="609">
        <f t="shared" si="197"/>
        <v>0</v>
      </c>
      <c r="F661" s="609">
        <f t="shared" si="198"/>
        <v>0</v>
      </c>
      <c r="G661" s="609">
        <f t="shared" si="199"/>
        <v>0</v>
      </c>
      <c r="H661" s="609">
        <f t="shared" si="200"/>
        <v>0</v>
      </c>
      <c r="I661" s="609">
        <f t="shared" si="201"/>
        <v>0</v>
      </c>
      <c r="J661" s="603">
        <f t="shared" si="202"/>
        <v>0</v>
      </c>
      <c r="K661" s="1844">
        <f t="shared" si="194"/>
        <v>0</v>
      </c>
      <c r="L661" s="609">
        <f t="shared" si="203"/>
        <v>0</v>
      </c>
      <c r="M661" s="609">
        <f t="shared" si="203"/>
        <v>0</v>
      </c>
      <c r="N661" s="609">
        <f t="shared" si="203"/>
        <v>0</v>
      </c>
      <c r="O661" s="609">
        <f t="shared" si="203"/>
        <v>0</v>
      </c>
      <c r="P661" s="609">
        <f t="shared" si="203"/>
        <v>0</v>
      </c>
      <c r="Q661" s="609">
        <f t="shared" si="203"/>
        <v>0</v>
      </c>
      <c r="R661" s="603">
        <f t="shared" si="203"/>
        <v>0</v>
      </c>
    </row>
    <row r="662" spans="2:18">
      <c r="B662" s="595" t="s">
        <v>1051</v>
      </c>
      <c r="C662" s="1844">
        <f t="shared" si="192"/>
        <v>2.9614121002762867E-2</v>
      </c>
      <c r="D662" s="609">
        <f t="shared" si="196"/>
        <v>3.1642750241775049E-2</v>
      </c>
      <c r="E662" s="609">
        <f t="shared" si="197"/>
        <v>3.563826320956591E-2</v>
      </c>
      <c r="F662" s="609">
        <f t="shared" si="198"/>
        <v>3.76741865568649E-2</v>
      </c>
      <c r="G662" s="609">
        <f t="shared" si="199"/>
        <v>4.2399452284929015E-2</v>
      </c>
      <c r="H662" s="609">
        <f t="shared" si="200"/>
        <v>4.4137063785710209E-2</v>
      </c>
      <c r="I662" s="609">
        <f t="shared" si="201"/>
        <v>3.9794343663207131E-2</v>
      </c>
      <c r="J662" s="603">
        <f t="shared" si="202"/>
        <v>4.0510958569081948E-2</v>
      </c>
      <c r="K662" s="1844">
        <f t="shared" si="194"/>
        <v>2.336953746367822E-2</v>
      </c>
      <c r="L662" s="609">
        <f t="shared" si="203"/>
        <v>2.6245840549813014E-2</v>
      </c>
      <c r="M662" s="609">
        <f t="shared" si="203"/>
        <v>2.982406204439637E-2</v>
      </c>
      <c r="N662" s="609">
        <f t="shared" si="203"/>
        <v>3.1253384776010112E-2</v>
      </c>
      <c r="O662" s="609">
        <f t="shared" si="203"/>
        <v>3.499017862439225E-2</v>
      </c>
      <c r="P662" s="609">
        <f t="shared" si="203"/>
        <v>3.6271997065204828E-2</v>
      </c>
      <c r="Q662" s="609">
        <f t="shared" si="203"/>
        <v>3.2317366613068263E-2</v>
      </c>
      <c r="R662" s="603">
        <f t="shared" si="203"/>
        <v>3.0330719474356633E-2</v>
      </c>
    </row>
    <row r="663" spans="2:18">
      <c r="B663" s="595" t="s">
        <v>1052</v>
      </c>
      <c r="C663" s="1844">
        <f t="shared" si="192"/>
        <v>11.455061705960834</v>
      </c>
      <c r="D663" s="609">
        <f t="shared" si="196"/>
        <v>13.767534847598402</v>
      </c>
      <c r="E663" s="609">
        <f t="shared" si="197"/>
        <v>15.725593861021769</v>
      </c>
      <c r="F663" s="609">
        <f t="shared" si="198"/>
        <v>18.242090915827109</v>
      </c>
      <c r="G663" s="609">
        <f t="shared" si="199"/>
        <v>19.909560085529634</v>
      </c>
      <c r="H663" s="609">
        <f t="shared" si="200"/>
        <v>22.247291858139153</v>
      </c>
      <c r="I663" s="609">
        <f t="shared" si="201"/>
        <v>19.738945326022428</v>
      </c>
      <c r="J663" s="603">
        <f t="shared" si="202"/>
        <v>25.880842975700801</v>
      </c>
      <c r="K663" s="1844">
        <f t="shared" si="194"/>
        <v>3.3009745337202046</v>
      </c>
      <c r="L663" s="609">
        <f t="shared" si="203"/>
        <v>4.1886849027623869</v>
      </c>
      <c r="M663" s="609">
        <f t="shared" si="203"/>
        <v>4.7894979781348921</v>
      </c>
      <c r="N663" s="609">
        <f t="shared" si="203"/>
        <v>5.8966401222264055</v>
      </c>
      <c r="O663" s="609">
        <f t="shared" si="203"/>
        <v>7.1680848388232041</v>
      </c>
      <c r="P663" s="609">
        <f t="shared" si="203"/>
        <v>8.659527049002369</v>
      </c>
      <c r="Q663" s="609">
        <f t="shared" si="203"/>
        <v>8.8431071774041428</v>
      </c>
      <c r="R663" s="603">
        <f t="shared" si="203"/>
        <v>12.021995275987409</v>
      </c>
    </row>
    <row r="664" spans="2:18">
      <c r="B664" s="595" t="s">
        <v>1053</v>
      </c>
      <c r="C664" s="1844">
        <f t="shared" si="192"/>
        <v>5.4252814082489534E-3</v>
      </c>
      <c r="D664" s="609">
        <f t="shared" si="196"/>
        <v>5.398971636499314E-3</v>
      </c>
      <c r="E664" s="609">
        <f t="shared" si="197"/>
        <v>6.2427226292195419E-3</v>
      </c>
      <c r="F664" s="609">
        <f t="shared" si="198"/>
        <v>7.3380127489952752E-3</v>
      </c>
      <c r="G664" s="609">
        <f t="shared" si="199"/>
        <v>9.2809659402269939E-3</v>
      </c>
      <c r="H664" s="609">
        <f t="shared" si="200"/>
        <v>1.089648919081518E-2</v>
      </c>
      <c r="I664" s="609">
        <f t="shared" si="201"/>
        <v>9.9411669664917976E-3</v>
      </c>
      <c r="J664" s="603">
        <f t="shared" si="202"/>
        <v>1.1527780022899361E-2</v>
      </c>
      <c r="K664" s="1844">
        <f t="shared" si="194"/>
        <v>2.0187848342974974E-3</v>
      </c>
      <c r="L664" s="609">
        <f t="shared" si="203"/>
        <v>2.3848922329307558E-3</v>
      </c>
      <c r="M664" s="609">
        <f t="shared" si="203"/>
        <v>2.9728238351946802E-3</v>
      </c>
      <c r="N664" s="609">
        <f t="shared" si="203"/>
        <v>3.8082769816007314E-3</v>
      </c>
      <c r="O664" s="609">
        <f t="shared" si="203"/>
        <v>4.8565248207744155E-3</v>
      </c>
      <c r="P664" s="609">
        <f t="shared" si="203"/>
        <v>6.0783475325936103E-3</v>
      </c>
      <c r="Q664" s="609">
        <f t="shared" si="203"/>
        <v>6.3897436966912462E-3</v>
      </c>
      <c r="R664" s="603">
        <f t="shared" si="203"/>
        <v>8.5980135262622402E-3</v>
      </c>
    </row>
    <row r="665" spans="2:18">
      <c r="B665" s="595" t="s">
        <v>1054</v>
      </c>
      <c r="C665" s="1844">
        <f t="shared" si="192"/>
        <v>7.6191879224415384E-3</v>
      </c>
      <c r="D665" s="609">
        <f t="shared" si="196"/>
        <v>8.7335098184066883E-3</v>
      </c>
      <c r="E665" s="609">
        <f t="shared" si="197"/>
        <v>1.0385666633585937E-2</v>
      </c>
      <c r="F665" s="609">
        <f t="shared" si="198"/>
        <v>1.1521351115932882E-2</v>
      </c>
      <c r="G665" s="609">
        <f t="shared" si="199"/>
        <v>1.3962462717084135E-2</v>
      </c>
      <c r="H665" s="609">
        <f t="shared" si="200"/>
        <v>1.6634550065532133E-2</v>
      </c>
      <c r="I665" s="609">
        <f t="shared" si="201"/>
        <v>1.383424190657438E-2</v>
      </c>
      <c r="J665" s="603">
        <f t="shared" si="202"/>
        <v>2.1943922166498094E-2</v>
      </c>
      <c r="K665" s="1844">
        <f t="shared" si="194"/>
        <v>3.9282909570027428E-3</v>
      </c>
      <c r="L665" s="609">
        <f t="shared" si="203"/>
        <v>4.5996055809961614E-3</v>
      </c>
      <c r="M665" s="609">
        <f t="shared" si="203"/>
        <v>5.4563589867769723E-3</v>
      </c>
      <c r="N665" s="609">
        <f t="shared" si="203"/>
        <v>6.2457388480079415E-3</v>
      </c>
      <c r="O665" s="609">
        <f t="shared" si="203"/>
        <v>7.8665128587038727E-3</v>
      </c>
      <c r="P665" s="609">
        <f t="shared" si="203"/>
        <v>9.73435874679302E-3</v>
      </c>
      <c r="Q665" s="609">
        <f t="shared" si="203"/>
        <v>9.3678361355917453E-3</v>
      </c>
      <c r="R665" s="603">
        <f t="shared" si="203"/>
        <v>1.5872013908346479E-2</v>
      </c>
    </row>
    <row r="666" spans="2:18">
      <c r="B666" s="604" t="s">
        <v>1055</v>
      </c>
      <c r="C666" s="610">
        <f t="shared" si="192"/>
        <v>3.3759250243246518E-2</v>
      </c>
      <c r="D666" s="617">
        <f t="shared" si="196"/>
        <v>3.6560188550212758E-2</v>
      </c>
      <c r="E666" s="617">
        <f t="shared" si="197"/>
        <v>4.0230916725447693E-2</v>
      </c>
      <c r="F666" s="617">
        <f t="shared" si="198"/>
        <v>4.1039639312916612E-2</v>
      </c>
      <c r="G666" s="617">
        <f t="shared" si="199"/>
        <v>4.3010856442021114E-2</v>
      </c>
      <c r="H666" s="617">
        <f t="shared" si="200"/>
        <v>4.5861643639776094E-2</v>
      </c>
      <c r="I666" s="617">
        <f t="shared" si="201"/>
        <v>4.2195277030858437E-2</v>
      </c>
      <c r="J666" s="618">
        <f t="shared" si="202"/>
        <v>4.4068980620931619E-2</v>
      </c>
      <c r="K666" s="610">
        <f t="shared" si="194"/>
        <v>2.3677870253162203E-2</v>
      </c>
      <c r="L666" s="617">
        <f t="shared" si="203"/>
        <v>2.5522507403678091E-2</v>
      </c>
      <c r="M666" s="617">
        <f t="shared" si="203"/>
        <v>2.7857276967563956E-2</v>
      </c>
      <c r="N666" s="617">
        <f t="shared" si="203"/>
        <v>2.8129471271891512E-2</v>
      </c>
      <c r="O666" s="617">
        <f t="shared" si="203"/>
        <v>2.953424348124218E-2</v>
      </c>
      <c r="P666" s="617">
        <f t="shared" si="203"/>
        <v>3.1726617961341221E-2</v>
      </c>
      <c r="Q666" s="617">
        <f t="shared" si="203"/>
        <v>2.960278110080667E-2</v>
      </c>
      <c r="R666" s="618">
        <f t="shared" si="203"/>
        <v>3.1171411377067738E-2</v>
      </c>
    </row>
    <row r="667" spans="2:18">
      <c r="B667" s="57"/>
      <c r="C667" s="582"/>
      <c r="D667" s="582"/>
      <c r="E667" s="582"/>
      <c r="F667" s="582"/>
      <c r="G667" s="582"/>
      <c r="H667" s="582"/>
      <c r="I667" s="582"/>
      <c r="J667" s="582"/>
      <c r="K667" s="582"/>
      <c r="L667" s="582"/>
      <c r="M667" s="582"/>
      <c r="N667" s="582"/>
      <c r="O667" s="582"/>
      <c r="P667" s="582"/>
      <c r="Q667" s="582"/>
    </row>
    <row r="668" spans="2:18">
      <c r="B668" s="2157" t="s">
        <v>1122</v>
      </c>
      <c r="C668" s="2157"/>
      <c r="D668" s="2157"/>
      <c r="E668" s="2157"/>
      <c r="F668" s="2157"/>
      <c r="G668" s="2157"/>
      <c r="H668" s="2157"/>
      <c r="I668" s="2157"/>
      <c r="J668" s="2157"/>
      <c r="K668" s="2157"/>
      <c r="L668" s="2157"/>
      <c r="M668" s="2157"/>
      <c r="N668" s="2157"/>
      <c r="O668" s="2157"/>
      <c r="P668" s="2157"/>
      <c r="Q668" s="2157"/>
      <c r="R668" s="2157"/>
    </row>
    <row r="669" spans="2:18">
      <c r="B669" s="619"/>
      <c r="C669" s="2182"/>
      <c r="D669" s="2182"/>
      <c r="E669" s="2182"/>
      <c r="F669" s="2182"/>
      <c r="G669" s="2182"/>
      <c r="H669" s="2182"/>
      <c r="I669" s="2182"/>
      <c r="J669" s="843"/>
      <c r="K669" s="622"/>
      <c r="L669" s="622"/>
      <c r="M669" s="622"/>
      <c r="N669" s="622"/>
      <c r="O669" s="622"/>
      <c r="P669" s="622"/>
      <c r="Q669" s="622"/>
    </row>
    <row r="670" spans="2:18">
      <c r="B670" s="583"/>
      <c r="C670" s="2200" t="s">
        <v>1114</v>
      </c>
      <c r="D670" s="2201"/>
      <c r="E670" s="2201"/>
      <c r="F670" s="2201"/>
      <c r="G670" s="2201"/>
      <c r="H670" s="2201"/>
      <c r="I670" s="2201"/>
      <c r="J670" s="2202"/>
      <c r="K670" s="2203" t="s">
        <v>1115</v>
      </c>
      <c r="L670" s="2204"/>
      <c r="M670" s="2204"/>
      <c r="N670" s="2204"/>
      <c r="O670" s="2204"/>
      <c r="P670" s="2204"/>
      <c r="Q670" s="2204"/>
      <c r="R670" s="2205"/>
    </row>
    <row r="671" spans="2:18">
      <c r="B671" s="57"/>
      <c r="C671" s="585">
        <v>2014</v>
      </c>
      <c r="D671" s="586">
        <v>2015</v>
      </c>
      <c r="E671" s="586">
        <v>2016</v>
      </c>
      <c r="F671" s="586">
        <v>2017</v>
      </c>
      <c r="G671" s="586">
        <v>2018</v>
      </c>
      <c r="H671" s="586">
        <v>2019</v>
      </c>
      <c r="I671" s="586">
        <v>2020</v>
      </c>
      <c r="J671" s="586">
        <v>2021</v>
      </c>
      <c r="K671" s="638">
        <v>2014</v>
      </c>
      <c r="L671" s="639">
        <v>2015</v>
      </c>
      <c r="M671" s="639">
        <v>2016</v>
      </c>
      <c r="N671" s="639">
        <v>2017</v>
      </c>
      <c r="O671" s="639">
        <v>2018</v>
      </c>
      <c r="P671" s="639">
        <v>2019</v>
      </c>
      <c r="Q671" s="639">
        <v>2020</v>
      </c>
      <c r="R671" s="640">
        <v>2021</v>
      </c>
    </row>
    <row r="672" spans="2:18">
      <c r="B672" s="589" t="s">
        <v>1038</v>
      </c>
      <c r="C672" s="614">
        <f t="shared" ref="C672:J678" si="204">C402/(K6*1000)</f>
        <v>0</v>
      </c>
      <c r="D672" s="615">
        <f t="shared" si="204"/>
        <v>0</v>
      </c>
      <c r="E672" s="615">
        <f t="shared" si="204"/>
        <v>0</v>
      </c>
      <c r="F672" s="615">
        <f t="shared" si="204"/>
        <v>0</v>
      </c>
      <c r="G672" s="615">
        <f t="shared" si="204"/>
        <v>0</v>
      </c>
      <c r="H672" s="615">
        <f t="shared" si="204"/>
        <v>0</v>
      </c>
      <c r="I672" s="615">
        <f t="shared" si="204"/>
        <v>0</v>
      </c>
      <c r="J672" s="616">
        <f t="shared" si="204"/>
        <v>0</v>
      </c>
      <c r="K672" s="614">
        <f t="shared" ref="K672:R678" si="205">IF(ISNUMBER(K402/(K6*1000)),K402/(K6*1000),"0")</f>
        <v>14.345637024103867</v>
      </c>
      <c r="L672" s="615">
        <f t="shared" si="205"/>
        <v>15.813861046816182</v>
      </c>
      <c r="M672" s="615">
        <f t="shared" si="205"/>
        <v>18.418408465833554</v>
      </c>
      <c r="N672" s="615">
        <f t="shared" si="205"/>
        <v>19.203978829651465</v>
      </c>
      <c r="O672" s="615">
        <f t="shared" si="205"/>
        <v>20.481545180570851</v>
      </c>
      <c r="P672" s="615">
        <f t="shared" si="205"/>
        <v>23.131477666738647</v>
      </c>
      <c r="Q672" s="615">
        <f t="shared" si="205"/>
        <v>18.947457566608634</v>
      </c>
      <c r="R672" s="616">
        <f t="shared" si="205"/>
        <v>22.082444684566688</v>
      </c>
    </row>
    <row r="673" spans="2:18">
      <c r="B673" s="595" t="s">
        <v>1039</v>
      </c>
      <c r="C673" s="1844">
        <f t="shared" si="204"/>
        <v>0</v>
      </c>
      <c r="D673" s="609">
        <f t="shared" si="204"/>
        <v>0</v>
      </c>
      <c r="E673" s="609">
        <f t="shared" si="204"/>
        <v>0</v>
      </c>
      <c r="F673" s="609">
        <f t="shared" si="204"/>
        <v>0</v>
      </c>
      <c r="G673" s="609">
        <f t="shared" si="204"/>
        <v>0</v>
      </c>
      <c r="H673" s="609">
        <f t="shared" si="204"/>
        <v>0</v>
      </c>
      <c r="I673" s="609">
        <f t="shared" si="204"/>
        <v>0</v>
      </c>
      <c r="J673" s="603">
        <f t="shared" si="204"/>
        <v>0</v>
      </c>
      <c r="K673" s="1844">
        <f t="shared" si="205"/>
        <v>2.4900032794053346E-3</v>
      </c>
      <c r="L673" s="609">
        <f t="shared" si="205"/>
        <v>3.7810560770416856E-3</v>
      </c>
      <c r="M673" s="609">
        <f t="shared" si="205"/>
        <v>7.1503828852950632E-3</v>
      </c>
      <c r="N673" s="609">
        <f t="shared" si="205"/>
        <v>8.3594578121687513E-3</v>
      </c>
      <c r="O673" s="609">
        <f t="shared" si="205"/>
        <v>8.3347503409210103E-3</v>
      </c>
      <c r="P673" s="609">
        <f t="shared" si="205"/>
        <v>8.5850703275029833E-3</v>
      </c>
      <c r="Q673" s="609">
        <f t="shared" si="205"/>
        <v>6.2501553632418275E-3</v>
      </c>
      <c r="R673" s="603">
        <f t="shared" si="205"/>
        <v>8.9449402795425664E-3</v>
      </c>
    </row>
    <row r="674" spans="2:18">
      <c r="B674" s="595" t="s">
        <v>1040</v>
      </c>
      <c r="C674" s="1844">
        <f t="shared" si="204"/>
        <v>0</v>
      </c>
      <c r="D674" s="609">
        <f t="shared" si="204"/>
        <v>0</v>
      </c>
      <c r="E674" s="609">
        <f t="shared" si="204"/>
        <v>0</v>
      </c>
      <c r="F674" s="609">
        <f t="shared" si="204"/>
        <v>0</v>
      </c>
      <c r="G674" s="609">
        <f t="shared" si="204"/>
        <v>0</v>
      </c>
      <c r="H674" s="609">
        <f t="shared" si="204"/>
        <v>0</v>
      </c>
      <c r="I674" s="609">
        <f t="shared" si="204"/>
        <v>0</v>
      </c>
      <c r="J674" s="603">
        <f t="shared" si="204"/>
        <v>0</v>
      </c>
      <c r="K674" s="1844">
        <f t="shared" si="205"/>
        <v>3.8407436218603521E-4</v>
      </c>
      <c r="L674" s="609">
        <f t="shared" si="205"/>
        <v>4.0979661514099606E-4</v>
      </c>
      <c r="M674" s="609">
        <f t="shared" si="205"/>
        <v>4.4636969082039677E-4</v>
      </c>
      <c r="N674" s="609">
        <f t="shared" si="205"/>
        <v>5.3354480178993214E-4</v>
      </c>
      <c r="O674" s="609">
        <f t="shared" si="205"/>
        <v>7.027827512144859E-4</v>
      </c>
      <c r="P674" s="609">
        <f t="shared" si="205"/>
        <v>1.029329493306702E-3</v>
      </c>
      <c r="Q674" s="609">
        <f t="shared" si="205"/>
        <v>7.1481363241117076E-4</v>
      </c>
      <c r="R674" s="603">
        <f t="shared" si="205"/>
        <v>1.0585117913385078E-3</v>
      </c>
    </row>
    <row r="675" spans="2:18">
      <c r="B675" s="595" t="s">
        <v>1041</v>
      </c>
      <c r="C675" s="1844">
        <f t="shared" si="204"/>
        <v>0</v>
      </c>
      <c r="D675" s="609">
        <f t="shared" si="204"/>
        <v>0</v>
      </c>
      <c r="E675" s="609">
        <f t="shared" si="204"/>
        <v>0</v>
      </c>
      <c r="F675" s="609">
        <f t="shared" si="204"/>
        <v>0</v>
      </c>
      <c r="G675" s="609">
        <f t="shared" si="204"/>
        <v>0</v>
      </c>
      <c r="H675" s="609">
        <f t="shared" si="204"/>
        <v>0</v>
      </c>
      <c r="I675" s="609">
        <f t="shared" si="204"/>
        <v>0</v>
      </c>
      <c r="J675" s="603">
        <f t="shared" si="204"/>
        <v>0</v>
      </c>
      <c r="K675" s="1844">
        <f t="shared" si="205"/>
        <v>2.6544987830284923E-2</v>
      </c>
      <c r="L675" s="609">
        <f t="shared" si="205"/>
        <v>2.7580377041909229E-2</v>
      </c>
      <c r="M675" s="609">
        <f t="shared" si="205"/>
        <v>2.910773044786517E-2</v>
      </c>
      <c r="N675" s="609">
        <f t="shared" si="205"/>
        <v>3.1472251842620959E-2</v>
      </c>
      <c r="O675" s="609">
        <f t="shared" si="205"/>
        <v>3.6218199927192461E-2</v>
      </c>
      <c r="P675" s="609">
        <f t="shared" si="205"/>
        <v>4.5966134440335552E-2</v>
      </c>
      <c r="Q675" s="609">
        <f t="shared" si="205"/>
        <v>4.4909432706063929E-2</v>
      </c>
      <c r="R675" s="603">
        <f t="shared" si="205"/>
        <v>5.953322270038159E-2</v>
      </c>
    </row>
    <row r="676" spans="2:18">
      <c r="B676" s="595" t="s">
        <v>1042</v>
      </c>
      <c r="C676" s="1844">
        <f t="shared" si="204"/>
        <v>0</v>
      </c>
      <c r="D676" s="609">
        <f t="shared" si="204"/>
        <v>0</v>
      </c>
      <c r="E676" s="609">
        <f t="shared" si="204"/>
        <v>0</v>
      </c>
      <c r="F676" s="609">
        <f t="shared" si="204"/>
        <v>0</v>
      </c>
      <c r="G676" s="609">
        <f t="shared" si="204"/>
        <v>0</v>
      </c>
      <c r="H676" s="609">
        <f t="shared" si="204"/>
        <v>0</v>
      </c>
      <c r="I676" s="609">
        <f t="shared" si="204"/>
        <v>0</v>
      </c>
      <c r="J676" s="603">
        <f t="shared" si="204"/>
        <v>0</v>
      </c>
      <c r="K676" s="1844">
        <f t="shared" si="205"/>
        <v>1.0959919083034E-2</v>
      </c>
      <c r="L676" s="609">
        <f t="shared" si="205"/>
        <v>1.3569589174991873E-2</v>
      </c>
      <c r="M676" s="609">
        <f t="shared" si="205"/>
        <v>1.656492029265795E-2</v>
      </c>
      <c r="N676" s="609">
        <f t="shared" si="205"/>
        <v>1.9206910324839437E-2</v>
      </c>
      <c r="O676" s="609">
        <f t="shared" si="205"/>
        <v>2.1659452931660321E-2</v>
      </c>
      <c r="P676" s="609">
        <f t="shared" si="205"/>
        <v>2.3468401048064774E-2</v>
      </c>
      <c r="Q676" s="609">
        <f t="shared" si="205"/>
        <v>2.6861888262649739E-2</v>
      </c>
      <c r="R676" s="603">
        <f t="shared" si="205"/>
        <v>3.0794707974438729E-2</v>
      </c>
    </row>
    <row r="677" spans="2:18">
      <c r="B677" s="595" t="s">
        <v>1043</v>
      </c>
      <c r="C677" s="1844">
        <f t="shared" si="204"/>
        <v>0</v>
      </c>
      <c r="D677" s="609">
        <f t="shared" si="204"/>
        <v>0</v>
      </c>
      <c r="E677" s="609">
        <f t="shared" si="204"/>
        <v>0</v>
      </c>
      <c r="F677" s="609">
        <f t="shared" si="204"/>
        <v>0</v>
      </c>
      <c r="G677" s="609">
        <f t="shared" si="204"/>
        <v>0</v>
      </c>
      <c r="H677" s="609">
        <f t="shared" si="204"/>
        <v>0</v>
      </c>
      <c r="I677" s="609">
        <f t="shared" si="204"/>
        <v>0</v>
      </c>
      <c r="J677" s="603">
        <f t="shared" si="204"/>
        <v>0</v>
      </c>
      <c r="K677" s="1844">
        <f t="shared" si="205"/>
        <v>3.7915888466372441E-3</v>
      </c>
      <c r="L677" s="609">
        <f t="shared" si="205"/>
        <v>4.0859542391248086E-3</v>
      </c>
      <c r="M677" s="609">
        <f t="shared" si="205"/>
        <v>4.8291629629027893E-3</v>
      </c>
      <c r="N677" s="609">
        <f t="shared" si="205"/>
        <v>5.3085165063286944E-3</v>
      </c>
      <c r="O677" s="609">
        <f t="shared" si="205"/>
        <v>5.9347029873436418E-3</v>
      </c>
      <c r="P677" s="609">
        <f t="shared" si="205"/>
        <v>6.7736853372455793E-3</v>
      </c>
      <c r="Q677" s="609">
        <f t="shared" si="205"/>
        <v>5.437646677475756E-3</v>
      </c>
      <c r="R677" s="603">
        <f t="shared" si="205"/>
        <v>6.4790881195344961E-3</v>
      </c>
    </row>
    <row r="678" spans="2:18">
      <c r="B678" s="595" t="s">
        <v>1044</v>
      </c>
      <c r="C678" s="1844">
        <f t="shared" si="204"/>
        <v>0</v>
      </c>
      <c r="D678" s="609">
        <f t="shared" si="204"/>
        <v>0</v>
      </c>
      <c r="E678" s="609">
        <f t="shared" si="204"/>
        <v>0</v>
      </c>
      <c r="F678" s="609">
        <f t="shared" si="204"/>
        <v>0</v>
      </c>
      <c r="G678" s="609">
        <f t="shared" si="204"/>
        <v>0</v>
      </c>
      <c r="H678" s="609">
        <f t="shared" si="204"/>
        <v>0</v>
      </c>
      <c r="I678" s="609">
        <f t="shared" si="204"/>
        <v>0</v>
      </c>
      <c r="J678" s="603">
        <f t="shared" si="204"/>
        <v>0</v>
      </c>
      <c r="K678" s="1844">
        <f t="shared" si="205"/>
        <v>1.8747573651526392E-2</v>
      </c>
      <c r="L678" s="609">
        <f t="shared" si="205"/>
        <v>2.0539929105151726E-2</v>
      </c>
      <c r="M678" s="609">
        <f t="shared" si="205"/>
        <v>2.4513229259451017E-2</v>
      </c>
      <c r="N678" s="609">
        <f t="shared" si="205"/>
        <v>2.6790307835441913E-2</v>
      </c>
      <c r="O678" s="609">
        <f t="shared" si="205"/>
        <v>2.8334277797252672E-2</v>
      </c>
      <c r="P678" s="609">
        <f t="shared" si="205"/>
        <v>3.4918106253983158E-2</v>
      </c>
      <c r="Q678" s="609">
        <f t="shared" si="205"/>
        <v>2.5392537288085087E-2</v>
      </c>
      <c r="R678" s="603">
        <f t="shared" si="205"/>
        <v>3.0260048719538423E-2</v>
      </c>
    </row>
    <row r="679" spans="2:18">
      <c r="B679" s="595" t="s">
        <v>1061</v>
      </c>
      <c r="C679" s="1844">
        <f>C409/(K15*1000)</f>
        <v>0</v>
      </c>
      <c r="D679" s="609">
        <f t="shared" ref="D679:J679" si="206">D409/(L15*1000)</f>
        <v>0</v>
      </c>
      <c r="E679" s="609">
        <f t="shared" si="206"/>
        <v>0</v>
      </c>
      <c r="F679" s="609">
        <f t="shared" si="206"/>
        <v>0</v>
      </c>
      <c r="G679" s="609">
        <f t="shared" si="206"/>
        <v>0</v>
      </c>
      <c r="H679" s="609">
        <f t="shared" si="206"/>
        <v>0</v>
      </c>
      <c r="I679" s="609">
        <f t="shared" si="206"/>
        <v>0</v>
      </c>
      <c r="J679" s="603">
        <f t="shared" si="206"/>
        <v>0</v>
      </c>
      <c r="K679" s="1844">
        <f t="shared" ref="K679:K688" si="207">IF(ISNUMBER(K409/(K15*1000)),K409/(K15*1000),"0")</f>
        <v>0</v>
      </c>
      <c r="L679" s="609">
        <f t="shared" ref="L679:R679" si="208">IF(ISNUMBER(L409/(L15*1000)),L409/(L15*1000),"0")</f>
        <v>8.8860887096774196E-3</v>
      </c>
      <c r="M679" s="609">
        <f t="shared" si="208"/>
        <v>1.1249785941855835E-2</v>
      </c>
      <c r="N679" s="609">
        <f t="shared" si="208"/>
        <v>1.2972106469943175E-2</v>
      </c>
      <c r="O679" s="609">
        <f t="shared" si="208"/>
        <v>1.4503477782225781E-2</v>
      </c>
      <c r="P679" s="609">
        <f t="shared" si="208"/>
        <v>1.8108297185513971E-2</v>
      </c>
      <c r="Q679" s="609">
        <f t="shared" si="208"/>
        <v>9.6429350318471326E-3</v>
      </c>
      <c r="R679" s="603">
        <f t="shared" si="208"/>
        <v>2.217204607135765E-2</v>
      </c>
    </row>
    <row r="680" spans="2:18">
      <c r="B680" s="595" t="s">
        <v>1047</v>
      </c>
      <c r="C680" s="1844">
        <f t="shared" ref="C680:J680" si="209">C410/(K16*1000)</f>
        <v>0</v>
      </c>
      <c r="D680" s="609">
        <f t="shared" si="209"/>
        <v>0</v>
      </c>
      <c r="E680" s="609">
        <f t="shared" si="209"/>
        <v>0</v>
      </c>
      <c r="F680" s="609">
        <f t="shared" si="209"/>
        <v>0</v>
      </c>
      <c r="G680" s="609">
        <f t="shared" si="209"/>
        <v>0</v>
      </c>
      <c r="H680" s="609">
        <f t="shared" si="209"/>
        <v>0</v>
      </c>
      <c r="I680" s="609">
        <f t="shared" si="209"/>
        <v>0</v>
      </c>
      <c r="J680" s="603">
        <f t="shared" si="209"/>
        <v>0</v>
      </c>
      <c r="K680" s="1844">
        <f t="shared" si="207"/>
        <v>0</v>
      </c>
      <c r="L680" s="609">
        <f t="shared" ref="L680:R688" si="210">IF(ISNUMBER(L410/(L16*1000)),L410/(L16*1000),"0")</f>
        <v>8.1257331908825972</v>
      </c>
      <c r="M680" s="609">
        <f t="shared" si="210"/>
        <v>8.2338635212747846</v>
      </c>
      <c r="N680" s="609">
        <f t="shared" si="210"/>
        <v>9.3996824934551686</v>
      </c>
      <c r="O680" s="609">
        <f t="shared" si="210"/>
        <v>11.047687807282772</v>
      </c>
      <c r="P680" s="609">
        <f t="shared" si="210"/>
        <v>11.927482510120171</v>
      </c>
      <c r="Q680" s="609">
        <f t="shared" si="210"/>
        <v>9.53487818808253</v>
      </c>
      <c r="R680" s="603">
        <f t="shared" si="210"/>
        <v>8.4356393396105229</v>
      </c>
    </row>
    <row r="681" spans="2:18">
      <c r="B681" s="595" t="s">
        <v>1048</v>
      </c>
      <c r="C681" s="1844">
        <f t="shared" ref="C681:J681" si="211">C411/(K17*1000)</f>
        <v>0</v>
      </c>
      <c r="D681" s="609">
        <f t="shared" si="211"/>
        <v>0</v>
      </c>
      <c r="E681" s="609">
        <f t="shared" si="211"/>
        <v>0</v>
      </c>
      <c r="F681" s="609">
        <f t="shared" si="211"/>
        <v>0</v>
      </c>
      <c r="G681" s="609">
        <f t="shared" si="211"/>
        <v>0</v>
      </c>
      <c r="H681" s="609">
        <f t="shared" si="211"/>
        <v>0</v>
      </c>
      <c r="I681" s="609">
        <f t="shared" si="211"/>
        <v>0</v>
      </c>
      <c r="J681" s="603">
        <f t="shared" si="211"/>
        <v>0</v>
      </c>
      <c r="K681" s="1844">
        <f t="shared" si="207"/>
        <v>0</v>
      </c>
      <c r="L681" s="609">
        <f t="shared" si="210"/>
        <v>3.473970275248762</v>
      </c>
      <c r="M681" s="609">
        <f t="shared" si="210"/>
        <v>4.3601069677639446</v>
      </c>
      <c r="N681" s="609">
        <f t="shared" si="210"/>
        <v>4.9412243624231245</v>
      </c>
      <c r="O681" s="609">
        <f t="shared" si="210"/>
        <v>5.337681603477348</v>
      </c>
      <c r="P681" s="609">
        <f t="shared" si="210"/>
        <v>5.9292181565238868</v>
      </c>
      <c r="Q681" s="609">
        <f t="shared" si="210"/>
        <v>4.9686507382801759</v>
      </c>
      <c r="R681" s="603">
        <f t="shared" si="210"/>
        <v>5.2224514411547567</v>
      </c>
    </row>
    <row r="682" spans="2:18">
      <c r="B682" s="595" t="s">
        <v>1049</v>
      </c>
      <c r="C682" s="1844">
        <f t="shared" ref="C682:J682" si="212">C412/(K18*1000)</f>
        <v>0</v>
      </c>
      <c r="D682" s="609">
        <f t="shared" si="212"/>
        <v>0</v>
      </c>
      <c r="E682" s="609">
        <f t="shared" si="212"/>
        <v>0</v>
      </c>
      <c r="F682" s="609">
        <f t="shared" si="212"/>
        <v>0</v>
      </c>
      <c r="G682" s="609">
        <f t="shared" si="212"/>
        <v>0</v>
      </c>
      <c r="H682" s="609">
        <f t="shared" si="212"/>
        <v>0</v>
      </c>
      <c r="I682" s="609">
        <f t="shared" si="212"/>
        <v>0</v>
      </c>
      <c r="J682" s="603">
        <f t="shared" si="212"/>
        <v>0</v>
      </c>
      <c r="K682" s="1844">
        <f t="shared" si="207"/>
        <v>1.2047314324361264E-7</v>
      </c>
      <c r="L682" s="609">
        <f t="shared" si="210"/>
        <v>9.333596018710616E-8</v>
      </c>
      <c r="M682" s="609">
        <f t="shared" si="210"/>
        <v>9.199068215260723E-8</v>
      </c>
      <c r="N682" s="609">
        <f t="shared" si="210"/>
        <v>1.398608527484025E-7</v>
      </c>
      <c r="O682" s="609">
        <f t="shared" si="210"/>
        <v>1.3494872132110272E-7</v>
      </c>
      <c r="P682" s="609">
        <f t="shared" si="210"/>
        <v>1.7899273344910444E-7</v>
      </c>
      <c r="Q682" s="609">
        <f t="shared" si="210"/>
        <v>2.5210084532082737E-7</v>
      </c>
      <c r="R682" s="603">
        <f t="shared" si="210"/>
        <v>1.5476559383172609E-7</v>
      </c>
    </row>
    <row r="683" spans="2:18">
      <c r="B683" s="595" t="s">
        <v>1050</v>
      </c>
      <c r="C683" s="1844">
        <f t="shared" ref="C683:J683" si="213">C413/(K19*1000)</f>
        <v>0</v>
      </c>
      <c r="D683" s="609">
        <f t="shared" si="213"/>
        <v>0</v>
      </c>
      <c r="E683" s="609">
        <f t="shared" si="213"/>
        <v>0</v>
      </c>
      <c r="F683" s="609">
        <f t="shared" si="213"/>
        <v>0</v>
      </c>
      <c r="G683" s="609">
        <f t="shared" si="213"/>
        <v>0</v>
      </c>
      <c r="H683" s="609">
        <f t="shared" si="213"/>
        <v>0</v>
      </c>
      <c r="I683" s="609">
        <f t="shared" si="213"/>
        <v>0</v>
      </c>
      <c r="J683" s="603">
        <f t="shared" si="213"/>
        <v>0</v>
      </c>
      <c r="K683" s="1844">
        <f t="shared" si="207"/>
        <v>0</v>
      </c>
      <c r="L683" s="609">
        <f t="shared" si="210"/>
        <v>0</v>
      </c>
      <c r="M683" s="609">
        <f t="shared" si="210"/>
        <v>0</v>
      </c>
      <c r="N683" s="609">
        <f t="shared" si="210"/>
        <v>0</v>
      </c>
      <c r="O683" s="609">
        <f t="shared" si="210"/>
        <v>0</v>
      </c>
      <c r="P683" s="609">
        <f t="shared" si="210"/>
        <v>0</v>
      </c>
      <c r="Q683" s="609">
        <f t="shared" si="210"/>
        <v>0</v>
      </c>
      <c r="R683" s="603">
        <f t="shared" si="210"/>
        <v>0</v>
      </c>
    </row>
    <row r="684" spans="2:18">
      <c r="B684" s="595" t="s">
        <v>1051</v>
      </c>
      <c r="C684" s="1844">
        <f t="shared" ref="C684:J684" si="214">C414/(K20*1000)</f>
        <v>0</v>
      </c>
      <c r="D684" s="609">
        <f t="shared" si="214"/>
        <v>0</v>
      </c>
      <c r="E684" s="609">
        <f t="shared" si="214"/>
        <v>0</v>
      </c>
      <c r="F684" s="609">
        <f t="shared" si="214"/>
        <v>0</v>
      </c>
      <c r="G684" s="609">
        <f t="shared" si="214"/>
        <v>0</v>
      </c>
      <c r="H684" s="609">
        <f t="shared" si="214"/>
        <v>0</v>
      </c>
      <c r="I684" s="609">
        <f t="shared" si="214"/>
        <v>0</v>
      </c>
      <c r="J684" s="603">
        <f t="shared" si="214"/>
        <v>0</v>
      </c>
      <c r="K684" s="1844">
        <f t="shared" si="207"/>
        <v>6.244583539084649E-3</v>
      </c>
      <c r="L684" s="609">
        <f t="shared" si="210"/>
        <v>5.3969096919620372E-3</v>
      </c>
      <c r="M684" s="609">
        <f t="shared" si="210"/>
        <v>5.8142011651695436E-3</v>
      </c>
      <c r="N684" s="609">
        <f t="shared" si="210"/>
        <v>6.4208017808547848E-3</v>
      </c>
      <c r="O684" s="609">
        <f t="shared" si="210"/>
        <v>7.4092736605367599E-3</v>
      </c>
      <c r="P684" s="609">
        <f t="shared" si="210"/>
        <v>7.8650667205053815E-3</v>
      </c>
      <c r="Q684" s="609">
        <f t="shared" si="210"/>
        <v>7.4769770501388689E-3</v>
      </c>
      <c r="R684" s="603">
        <f t="shared" si="210"/>
        <v>1.0180239094725315E-2</v>
      </c>
    </row>
    <row r="685" spans="2:18">
      <c r="B685" s="595" t="s">
        <v>1052</v>
      </c>
      <c r="C685" s="1844">
        <f t="shared" ref="C685:J685" si="215">C415/(K21*1000)</f>
        <v>0</v>
      </c>
      <c r="D685" s="609">
        <f t="shared" si="215"/>
        <v>0</v>
      </c>
      <c r="E685" s="609">
        <f t="shared" si="215"/>
        <v>0</v>
      </c>
      <c r="F685" s="609">
        <f t="shared" si="215"/>
        <v>0</v>
      </c>
      <c r="G685" s="609">
        <f t="shared" si="215"/>
        <v>0</v>
      </c>
      <c r="H685" s="609">
        <f t="shared" si="215"/>
        <v>0</v>
      </c>
      <c r="I685" s="609">
        <f t="shared" si="215"/>
        <v>0</v>
      </c>
      <c r="J685" s="603">
        <f t="shared" si="215"/>
        <v>0</v>
      </c>
      <c r="K685" s="1844">
        <f t="shared" si="207"/>
        <v>8.0365512137741533</v>
      </c>
      <c r="L685" s="609">
        <f t="shared" si="210"/>
        <v>9.5301252795147366</v>
      </c>
      <c r="M685" s="609">
        <f t="shared" si="210"/>
        <v>10.882928676189534</v>
      </c>
      <c r="N685" s="609">
        <f t="shared" si="210"/>
        <v>12.310259236215302</v>
      </c>
      <c r="O685" s="609">
        <f t="shared" si="210"/>
        <v>12.712229845144464</v>
      </c>
      <c r="P685" s="609">
        <f t="shared" si="210"/>
        <v>13.559988876360041</v>
      </c>
      <c r="Q685" s="609">
        <f t="shared" si="210"/>
        <v>10.874616248707111</v>
      </c>
      <c r="R685" s="603">
        <f t="shared" si="210"/>
        <v>13.833952428614209</v>
      </c>
    </row>
    <row r="686" spans="2:18">
      <c r="B686" s="595" t="s">
        <v>1053</v>
      </c>
      <c r="C686" s="1844">
        <f t="shared" ref="C686:J686" si="216">C416/(K22*1000)</f>
        <v>0</v>
      </c>
      <c r="D686" s="609">
        <f t="shared" si="216"/>
        <v>0</v>
      </c>
      <c r="E686" s="609">
        <f t="shared" si="216"/>
        <v>0</v>
      </c>
      <c r="F686" s="609">
        <f t="shared" si="216"/>
        <v>0</v>
      </c>
      <c r="G686" s="609">
        <f t="shared" si="216"/>
        <v>0</v>
      </c>
      <c r="H686" s="609">
        <f t="shared" si="216"/>
        <v>0</v>
      </c>
      <c r="I686" s="609">
        <f t="shared" si="216"/>
        <v>0</v>
      </c>
      <c r="J686" s="603">
        <f t="shared" si="216"/>
        <v>0</v>
      </c>
      <c r="K686" s="1844">
        <f t="shared" si="207"/>
        <v>3.4064965739514555E-3</v>
      </c>
      <c r="L686" s="609">
        <f t="shared" si="210"/>
        <v>3.0140794035685586E-3</v>
      </c>
      <c r="M686" s="609">
        <f t="shared" si="210"/>
        <v>3.2698987940248617E-3</v>
      </c>
      <c r="N686" s="609">
        <f t="shared" si="210"/>
        <v>3.5297357673945437E-3</v>
      </c>
      <c r="O686" s="609">
        <f t="shared" si="210"/>
        <v>4.4244411194525783E-3</v>
      </c>
      <c r="P686" s="609">
        <f t="shared" si="210"/>
        <v>4.8181416582215699E-3</v>
      </c>
      <c r="Q686" s="609">
        <f t="shared" si="210"/>
        <v>3.5514232698005506E-3</v>
      </c>
      <c r="R686" s="603">
        <f t="shared" si="210"/>
        <v>2.9297664966371215E-3</v>
      </c>
    </row>
    <row r="687" spans="2:18">
      <c r="B687" s="595" t="s">
        <v>1054</v>
      </c>
      <c r="C687" s="1844">
        <f t="shared" ref="C687:J687" si="217">C417/(K23*1000)</f>
        <v>0</v>
      </c>
      <c r="D687" s="609">
        <f t="shared" si="217"/>
        <v>0</v>
      </c>
      <c r="E687" s="609">
        <f t="shared" si="217"/>
        <v>0</v>
      </c>
      <c r="F687" s="609">
        <f t="shared" si="217"/>
        <v>0</v>
      </c>
      <c r="G687" s="609">
        <f t="shared" si="217"/>
        <v>0</v>
      </c>
      <c r="H687" s="609">
        <f t="shared" si="217"/>
        <v>0</v>
      </c>
      <c r="I687" s="609">
        <f t="shared" si="217"/>
        <v>0</v>
      </c>
      <c r="J687" s="603">
        <f t="shared" si="217"/>
        <v>0</v>
      </c>
      <c r="K687" s="1844">
        <f t="shared" si="207"/>
        <v>3.6908969654387957E-3</v>
      </c>
      <c r="L687" s="609">
        <f t="shared" si="210"/>
        <v>4.1339042374105277E-3</v>
      </c>
      <c r="M687" s="609">
        <f t="shared" si="210"/>
        <v>4.9293076468089657E-3</v>
      </c>
      <c r="N687" s="609">
        <f t="shared" si="210"/>
        <v>5.2756122679249408E-3</v>
      </c>
      <c r="O687" s="609">
        <f t="shared" si="210"/>
        <v>6.0959498583802642E-3</v>
      </c>
      <c r="P687" s="609">
        <f t="shared" si="210"/>
        <v>6.9001913187391141E-3</v>
      </c>
      <c r="Q687" s="609">
        <f t="shared" si="210"/>
        <v>4.4664057709826342E-3</v>
      </c>
      <c r="R687" s="603">
        <f t="shared" si="210"/>
        <v>6.0719082581516138E-3</v>
      </c>
    </row>
    <row r="688" spans="2:18">
      <c r="B688" s="604" t="s">
        <v>1055</v>
      </c>
      <c r="C688" s="610">
        <f t="shared" ref="C688:J688" si="218">C418/(K24*1000)</f>
        <v>0</v>
      </c>
      <c r="D688" s="617">
        <f t="shared" si="218"/>
        <v>0</v>
      </c>
      <c r="E688" s="617">
        <f t="shared" si="218"/>
        <v>0</v>
      </c>
      <c r="F688" s="617">
        <f t="shared" si="218"/>
        <v>0</v>
      </c>
      <c r="G688" s="617">
        <f t="shared" si="218"/>
        <v>0</v>
      </c>
      <c r="H688" s="617">
        <f t="shared" si="218"/>
        <v>0</v>
      </c>
      <c r="I688" s="617">
        <f t="shared" si="218"/>
        <v>0</v>
      </c>
      <c r="J688" s="618">
        <f t="shared" si="218"/>
        <v>0</v>
      </c>
      <c r="K688" s="610">
        <f t="shared" si="207"/>
        <v>1.0081379990084313E-2</v>
      </c>
      <c r="L688" s="617">
        <f t="shared" si="210"/>
        <v>1.1037681146534663E-2</v>
      </c>
      <c r="M688" s="617">
        <f t="shared" si="210"/>
        <v>1.2373639757883735E-2</v>
      </c>
      <c r="N688" s="617">
        <f t="shared" si="210"/>
        <v>1.2910168041025098E-2</v>
      </c>
      <c r="O688" s="617">
        <f t="shared" si="210"/>
        <v>1.3476612960778933E-2</v>
      </c>
      <c r="P688" s="617">
        <f t="shared" si="210"/>
        <v>1.413502567843488E-2</v>
      </c>
      <c r="Q688" s="617">
        <f t="shared" si="210"/>
        <v>1.2592495930051765E-2</v>
      </c>
      <c r="R688" s="618">
        <f t="shared" si="210"/>
        <v>1.289756924386388E-2</v>
      </c>
    </row>
    <row r="689" spans="2:18">
      <c r="B689" s="57"/>
      <c r="C689" s="582"/>
      <c r="D689" s="582"/>
      <c r="E689" s="582"/>
      <c r="F689" s="582"/>
      <c r="G689" s="582"/>
      <c r="H689" s="582"/>
      <c r="I689" s="582"/>
      <c r="J689" s="582"/>
      <c r="K689" s="582"/>
      <c r="L689" s="582"/>
      <c r="M689" s="582"/>
      <c r="N689" s="582"/>
      <c r="O689" s="582"/>
      <c r="P689" s="582"/>
      <c r="Q689" s="582"/>
    </row>
    <row r="690" spans="2:18">
      <c r="B690" s="2157" t="s">
        <v>1123</v>
      </c>
      <c r="C690" s="2157"/>
      <c r="D690" s="2157"/>
      <c r="E690" s="2157"/>
      <c r="F690" s="2157"/>
      <c r="G690" s="2157"/>
      <c r="H690" s="2157"/>
      <c r="I690" s="2157"/>
      <c r="J690" s="2157"/>
      <c r="K690" s="2157"/>
      <c r="L690" s="2157"/>
      <c r="M690" s="2157"/>
      <c r="N690" s="2157"/>
      <c r="O690" s="2157"/>
      <c r="P690" s="2157"/>
      <c r="Q690" s="2157"/>
      <c r="R690" s="2157"/>
    </row>
    <row r="691" spans="2:18">
      <c r="B691" s="2159" t="s">
        <v>1124</v>
      </c>
      <c r="C691" s="2159"/>
      <c r="D691" s="2159"/>
      <c r="E691" s="2159"/>
      <c r="F691" s="2159"/>
      <c r="G691" s="2159"/>
      <c r="H691" s="2159"/>
      <c r="I691" s="2159"/>
      <c r="J691" s="2159"/>
      <c r="K691" s="2159"/>
      <c r="L691" s="2159"/>
      <c r="M691" s="2159"/>
      <c r="N691" s="2159"/>
      <c r="O691" s="2159"/>
      <c r="P691" s="2159"/>
      <c r="Q691" s="2159"/>
      <c r="R691" s="2159"/>
    </row>
    <row r="692" spans="2:18">
      <c r="B692" s="2160" t="s">
        <v>1098</v>
      </c>
      <c r="C692" s="2160"/>
      <c r="D692" s="2160"/>
      <c r="E692" s="2160"/>
      <c r="F692" s="2160"/>
      <c r="G692" s="2160"/>
      <c r="H692" s="2160"/>
      <c r="I692" s="2160"/>
      <c r="J692" s="2160"/>
      <c r="K692" s="2160"/>
      <c r="L692" s="2160"/>
      <c r="M692" s="2160"/>
      <c r="N692" s="2160"/>
      <c r="O692" s="2160"/>
      <c r="P692" s="2160"/>
      <c r="Q692" s="2160"/>
      <c r="R692" s="2160"/>
    </row>
    <row r="693" spans="2:18">
      <c r="B693" s="581"/>
      <c r="C693" s="383" t="s">
        <v>1125</v>
      </c>
      <c r="D693" s="642"/>
      <c r="E693" s="642"/>
      <c r="F693" s="613"/>
      <c r="G693" s="613"/>
      <c r="H693" s="613"/>
      <c r="I693" s="613"/>
      <c r="J693" s="613"/>
      <c r="K693" s="613"/>
      <c r="L693" s="613"/>
      <c r="M693" s="613"/>
      <c r="N693" s="613"/>
      <c r="O693" s="613"/>
      <c r="P693" s="613"/>
      <c r="Q693" s="613"/>
    </row>
    <row r="694" spans="2:18">
      <c r="B694" s="583"/>
      <c r="C694" s="2183" t="s">
        <v>1126</v>
      </c>
      <c r="D694" s="2184"/>
      <c r="E694" s="2184"/>
      <c r="F694" s="2184"/>
      <c r="G694" s="2184"/>
      <c r="H694" s="2184"/>
      <c r="I694" s="2184"/>
      <c r="J694" s="2185"/>
      <c r="K694" s="2183" t="s">
        <v>1127</v>
      </c>
      <c r="L694" s="2184"/>
      <c r="M694" s="2184"/>
      <c r="N694" s="2184"/>
      <c r="O694" s="2184"/>
      <c r="P694" s="2184"/>
      <c r="Q694" s="2184"/>
      <c r="R694" s="2185"/>
    </row>
    <row r="695" spans="2:18">
      <c r="B695" s="57"/>
      <c r="C695" s="585">
        <v>2014</v>
      </c>
      <c r="D695" s="586">
        <v>2015</v>
      </c>
      <c r="E695" s="586">
        <v>2016</v>
      </c>
      <c r="F695" s="586">
        <v>2017</v>
      </c>
      <c r="G695" s="586">
        <v>2018</v>
      </c>
      <c r="H695" s="586">
        <v>2019</v>
      </c>
      <c r="I695" s="586">
        <v>2020</v>
      </c>
      <c r="J695" s="586">
        <v>2021</v>
      </c>
      <c r="K695" s="587">
        <v>2014</v>
      </c>
      <c r="L695" s="588">
        <v>2015</v>
      </c>
      <c r="M695" s="588">
        <v>2016</v>
      </c>
      <c r="N695" s="588">
        <v>2017</v>
      </c>
      <c r="O695" s="588">
        <v>2018</v>
      </c>
      <c r="P695" s="588">
        <v>2019</v>
      </c>
      <c r="Q695" s="588">
        <v>2020</v>
      </c>
      <c r="R695" s="848">
        <v>2021</v>
      </c>
    </row>
    <row r="696" spans="2:18">
      <c r="B696" s="589" t="s">
        <v>1038</v>
      </c>
      <c r="C696" s="614">
        <f>ARG!C240/1000</f>
        <v>1262.3919424320743</v>
      </c>
      <c r="D696" s="615">
        <f>ARG!D240/1000</f>
        <v>1054.8347075621984</v>
      </c>
      <c r="E696" s="615">
        <f>ARG!E240/1000</f>
        <v>1228.4421299692774</v>
      </c>
      <c r="F696" s="615">
        <f>ARG!F240/1000</f>
        <v>1365.6888631167647</v>
      </c>
      <c r="G696" s="615">
        <f>ARG!G240/1000</f>
        <v>965.80784660794438</v>
      </c>
      <c r="H696" s="615">
        <f>ARG!H240/1000</f>
        <v>951.18003304309195</v>
      </c>
      <c r="I696" s="615">
        <f>ARG!I240/1000</f>
        <v>965.86154510120309</v>
      </c>
      <c r="J696" s="616">
        <f>ARG!J240/1000</f>
        <v>1497.6287734279704</v>
      </c>
      <c r="K696" s="615">
        <v>-5.1228030918388399</v>
      </c>
      <c r="L696" s="615">
        <f t="shared" ref="L696:L712" si="219">IF(ISNUMBER((D696/C696-1)*100),(D696/C696-1)*100,"0")</f>
        <v>-16.441584257105145</v>
      </c>
      <c r="M696" s="615">
        <f t="shared" ref="M696:M712" si="220">IF(ISNUMBER((E696/D696-1)*100),(E696/D696-1)*100,"0")</f>
        <v>16.458258451534903</v>
      </c>
      <c r="N696" s="615">
        <f t="shared" ref="N696:N712" si="221">IF(ISNUMBER((F696/E696-1)*100),(F696/E696-1)*100,"0")</f>
        <v>11.17242154100655</v>
      </c>
      <c r="O696" s="615">
        <f t="shared" ref="O696:O712" si="222">IF(ISNUMBER((G696/F696-1)*100),(G696/F696-1)*100,"0")</f>
        <v>-29.280535801999207</v>
      </c>
      <c r="P696" s="615">
        <f t="shared" ref="P696:P712" si="223">IF(ISNUMBER((H696/G696-1)*100),(H696/G696-1)*100,"0")</f>
        <v>-1.5145676871675229</v>
      </c>
      <c r="Q696" s="615">
        <f t="shared" ref="Q696:Q712" si="224">IF(ISNUMBER((I696/H696-1)*100),(I696/H696-1)*100,"0")</f>
        <v>1.5435050724457389</v>
      </c>
      <c r="R696" s="616">
        <f t="shared" ref="R696:R712" si="225">IF(ISNUMBER((J696/I696-1)*100),(J696/I696-1)*100,"0")</f>
        <v>55.056258427914592</v>
      </c>
    </row>
    <row r="697" spans="2:18">
      <c r="B697" s="595" t="s">
        <v>1039</v>
      </c>
      <c r="C697" s="608">
        <f>BA!C229/1000</f>
        <v>27.787945000000001</v>
      </c>
      <c r="D697" s="609">
        <f>BA!D229/1000</f>
        <v>23.863637999999998</v>
      </c>
      <c r="E697" s="609">
        <f>BA!E229/1000</f>
        <v>25.455102</v>
      </c>
      <c r="F697" s="609">
        <f>BA!F229/1000</f>
        <v>32.283435000000004</v>
      </c>
      <c r="G697" s="609">
        <f>BA!G229/1000</f>
        <v>41.345508000000002</v>
      </c>
      <c r="H697" s="609">
        <f>BA!H229/1000</f>
        <v>40.301893999999997</v>
      </c>
      <c r="I697" s="609">
        <f>BA!I229/1000</f>
        <v>32.561628999999996</v>
      </c>
      <c r="J697" s="603">
        <f>BA!J229/1000</f>
        <v>28.93252</v>
      </c>
      <c r="K697" s="609"/>
      <c r="L697" s="609">
        <f t="shared" si="219"/>
        <v>-14.122336142525116</v>
      </c>
      <c r="M697" s="609">
        <f t="shared" si="220"/>
        <v>6.6689915426977331</v>
      </c>
      <c r="N697" s="609">
        <f t="shared" si="221"/>
        <v>26.825007418944956</v>
      </c>
      <c r="O697" s="609">
        <f t="shared" si="222"/>
        <v>28.070349391259008</v>
      </c>
      <c r="P697" s="609">
        <f t="shared" si="223"/>
        <v>-2.5241291024892143</v>
      </c>
      <c r="Q697" s="609">
        <f t="shared" si="224"/>
        <v>-19.205710282499378</v>
      </c>
      <c r="R697" s="603">
        <f t="shared" si="225"/>
        <v>-11.145354552132503</v>
      </c>
    </row>
    <row r="698" spans="2:18">
      <c r="B698" s="595" t="s">
        <v>1040</v>
      </c>
      <c r="C698" s="1844">
        <f>BO!C227/1000</f>
        <v>36.30285416616077</v>
      </c>
      <c r="D698" s="609">
        <f>BO!D227/1000</f>
        <v>34.34492304605179</v>
      </c>
      <c r="E698" s="609">
        <f>BO!E227/1000</f>
        <v>32.791885695355617</v>
      </c>
      <c r="F698" s="609">
        <f>BO!F227/1000</f>
        <v>35.185690256361049</v>
      </c>
      <c r="G698" s="609">
        <f>BO!G227/1000</f>
        <v>31.256170979038565</v>
      </c>
      <c r="H698" s="609">
        <f>BO!H227/1000</f>
        <v>33.016918798260974</v>
      </c>
      <c r="I698" s="609">
        <f>BO!I227/1000</f>
        <v>21.081578207742197</v>
      </c>
      <c r="J698" s="603">
        <f>BO!J227/1000</f>
        <v>22.845773655346594</v>
      </c>
      <c r="K698" s="609">
        <v>18.891712414095974</v>
      </c>
      <c r="L698" s="609">
        <f t="shared" si="219"/>
        <v>-5.3933255802626086</v>
      </c>
      <c r="M698" s="609">
        <f t="shared" si="220"/>
        <v>-4.5218833322577705</v>
      </c>
      <c r="N698" s="609">
        <f t="shared" si="221"/>
        <v>7.2999905624349992</v>
      </c>
      <c r="O698" s="609">
        <f t="shared" si="222"/>
        <v>-11.167947107736742</v>
      </c>
      <c r="P698" s="609">
        <f t="shared" si="223"/>
        <v>5.6332806101016875</v>
      </c>
      <c r="Q698" s="609">
        <f t="shared" si="224"/>
        <v>-36.149165412574533</v>
      </c>
      <c r="R698" s="603">
        <f t="shared" si="225"/>
        <v>8.3684220897489503</v>
      </c>
    </row>
    <row r="699" spans="2:18">
      <c r="B699" s="595" t="s">
        <v>1041</v>
      </c>
      <c r="C699" s="1844">
        <f>BR!C235/1000</f>
        <v>18062.464754491422</v>
      </c>
      <c r="D699" s="609">
        <f>BR!D235/1000</f>
        <v>13210.382035705432</v>
      </c>
      <c r="E699" s="609">
        <f>BR!E235/1000</f>
        <v>13156.321197331554</v>
      </c>
      <c r="F699" s="609">
        <f>BR!F235/1000</f>
        <v>15607.584975852096</v>
      </c>
      <c r="G699" s="609">
        <f>BR!G235/1000</f>
        <v>14940.511320954303</v>
      </c>
      <c r="H699" s="609">
        <f>BR!H235/1000</f>
        <v>15477.259533633058</v>
      </c>
      <c r="I699" s="609">
        <f>BR!I235/1000</f>
        <v>13311.226892840714</v>
      </c>
      <c r="J699" s="603">
        <f>BR!J235/1000</f>
        <v>16232.397913755651</v>
      </c>
      <c r="K699" s="609">
        <v>-4.7368160794036216</v>
      </c>
      <c r="L699" s="609">
        <f t="shared" si="219"/>
        <v>-26.862794113297682</v>
      </c>
      <c r="M699" s="609">
        <f t="shared" si="220"/>
        <v>-0.40922993920812223</v>
      </c>
      <c r="N699" s="609">
        <f t="shared" si="221"/>
        <v>18.631832879070508</v>
      </c>
      <c r="O699" s="609">
        <f t="shared" si="222"/>
        <v>-4.2740350664749354</v>
      </c>
      <c r="P699" s="609">
        <f t="shared" si="223"/>
        <v>3.5925692310540658</v>
      </c>
      <c r="Q699" s="609">
        <f t="shared" si="224"/>
        <v>-13.99493648139336</v>
      </c>
      <c r="R699" s="603">
        <f t="shared" si="225"/>
        <v>21.945167372107942</v>
      </c>
    </row>
    <row r="700" spans="2:18">
      <c r="B700" s="595" t="s">
        <v>1042</v>
      </c>
      <c r="C700" s="1844">
        <f>CL!C232/1000</f>
        <v>662.53699829833158</v>
      </c>
      <c r="D700" s="609">
        <f>CL!D232/1000</f>
        <v>734.14580790224522</v>
      </c>
      <c r="E700" s="609">
        <f>CL!E232/1000</f>
        <v>667.93919029029928</v>
      </c>
      <c r="F700" s="609">
        <f>CL!F232/1000</f>
        <v>701.64245372275025</v>
      </c>
      <c r="G700" s="609">
        <f>CL!G232/1000</f>
        <v>732.9493402279262</v>
      </c>
      <c r="H700" s="609">
        <f>CL!H232/1000</f>
        <v>653.2326195601546</v>
      </c>
      <c r="I700" s="609">
        <f>CL!I232/1000</f>
        <v>437.56689258312025</v>
      </c>
      <c r="J700" s="603">
        <f>CL!J232/1000</f>
        <v>474.62366623207299</v>
      </c>
      <c r="K700" s="609">
        <v>-13.73478880059387</v>
      </c>
      <c r="L700" s="609">
        <f t="shared" si="219"/>
        <v>10.808273317238836</v>
      </c>
      <c r="M700" s="609">
        <f t="shared" si="220"/>
        <v>-9.0181837040145041</v>
      </c>
      <c r="N700" s="609">
        <f t="shared" si="221"/>
        <v>5.04585805450386</v>
      </c>
      <c r="O700" s="609">
        <f t="shared" si="222"/>
        <v>4.4619430222713863</v>
      </c>
      <c r="P700" s="609">
        <f t="shared" si="223"/>
        <v>-10.876156958266991</v>
      </c>
      <c r="Q700" s="609">
        <f t="shared" si="224"/>
        <v>-33.01514966020067</v>
      </c>
      <c r="R700" s="603">
        <f t="shared" si="225"/>
        <v>8.4688248304602745</v>
      </c>
    </row>
    <row r="701" spans="2:18">
      <c r="B701" s="595" t="s">
        <v>1043</v>
      </c>
      <c r="C701" s="1844">
        <f>CO!C229/1000</f>
        <v>569.11081511584553</v>
      </c>
      <c r="D701" s="609">
        <f>CO!D229/1000</f>
        <v>447.18027549778441</v>
      </c>
      <c r="E701" s="609">
        <f>CO!E229/1000</f>
        <v>413.79689593940304</v>
      </c>
      <c r="F701" s="609">
        <f>CO!F229/1000</f>
        <v>440.45989119968976</v>
      </c>
      <c r="G701" s="609">
        <f>CO!G229/1000</f>
        <v>474.59053225961543</v>
      </c>
      <c r="H701" s="609">
        <f>CO!H229/1000</f>
        <v>471.85666308462913</v>
      </c>
      <c r="I701" s="609">
        <f>CO!I229/1000</f>
        <v>460.54591937938596</v>
      </c>
      <c r="J701" s="603">
        <f>CO!J229/1000</f>
        <v>489.43595521599735</v>
      </c>
      <c r="K701" s="609">
        <v>1.471517312727836</v>
      </c>
      <c r="L701" s="609">
        <f t="shared" si="219"/>
        <v>-21.424744773694293</v>
      </c>
      <c r="M701" s="609">
        <f t="shared" si="220"/>
        <v>-7.465306809702243</v>
      </c>
      <c r="N701" s="609">
        <f t="shared" si="221"/>
        <v>6.4434981320380169</v>
      </c>
      <c r="O701" s="609">
        <f t="shared" si="222"/>
        <v>7.7488647075136141</v>
      </c>
      <c r="P701" s="609">
        <f t="shared" si="223"/>
        <v>-0.57604798013348724</v>
      </c>
      <c r="Q701" s="609">
        <f t="shared" si="224"/>
        <v>-2.3970719479306291</v>
      </c>
      <c r="R701" s="603">
        <f t="shared" si="225"/>
        <v>6.2729978968313338</v>
      </c>
    </row>
    <row r="702" spans="2:18">
      <c r="B702" s="595" t="s">
        <v>1044</v>
      </c>
      <c r="C702" s="1844">
        <f>CR!C241/1000</f>
        <v>161.99268985654294</v>
      </c>
      <c r="D702" s="609">
        <f>CR!D241/1000</f>
        <v>297.14554816182027</v>
      </c>
      <c r="E702" s="609">
        <f>CR!E241/1000</f>
        <v>313.80821547403065</v>
      </c>
      <c r="F702" s="609">
        <f>CR!F241/1000</f>
        <v>359.06695809550723</v>
      </c>
      <c r="G702" s="609">
        <f>CR!G241/1000</f>
        <v>377.22284589005488</v>
      </c>
      <c r="H702" s="609">
        <f>CR!H241/1000</f>
        <v>420.55654046800828</v>
      </c>
      <c r="I702" s="609">
        <f>CR!I241/1000</f>
        <v>406.48742008941502</v>
      </c>
      <c r="J702" s="603">
        <f>CR!J241/1000</f>
        <v>397.63768167641172</v>
      </c>
      <c r="K702" s="609">
        <v>6.1484233545371669</v>
      </c>
      <c r="L702" s="609">
        <f t="shared" si="219"/>
        <v>83.431455101440477</v>
      </c>
      <c r="M702" s="609">
        <f t="shared" si="220"/>
        <v>5.6075776383956333</v>
      </c>
      <c r="N702" s="609">
        <f t="shared" si="221"/>
        <v>14.422421208160507</v>
      </c>
      <c r="O702" s="609">
        <f t="shared" si="222"/>
        <v>5.0564072759149425</v>
      </c>
      <c r="P702" s="609">
        <f t="shared" si="223"/>
        <v>11.487558362407203</v>
      </c>
      <c r="Q702" s="609">
        <f t="shared" si="224"/>
        <v>-3.3453576451187073</v>
      </c>
      <c r="R702" s="603">
        <f t="shared" si="225"/>
        <v>-2.1771247954134987</v>
      </c>
    </row>
    <row r="703" spans="2:18">
      <c r="B703" s="595" t="s">
        <v>1061</v>
      </c>
      <c r="C703" s="1844">
        <v>0</v>
      </c>
      <c r="D703" s="609">
        <v>29.9</v>
      </c>
      <c r="E703" s="609">
        <f>CW!E251/1000</f>
        <v>38.797506181515921</v>
      </c>
      <c r="F703" s="609">
        <f>CW!F251/1000</f>
        <v>38.670619004669668</v>
      </c>
      <c r="G703" s="609">
        <f>CW!G251/1000</f>
        <v>41.24959271875364</v>
      </c>
      <c r="H703" s="609">
        <f>CW!H251/1000</f>
        <v>35.967914337430166</v>
      </c>
      <c r="I703" s="609">
        <f>CW!I251/1000</f>
        <v>29.934031991620113</v>
      </c>
      <c r="J703" s="603">
        <f>CW!J251/1000</f>
        <v>47.163692903910601</v>
      </c>
      <c r="K703" s="609">
        <v>0</v>
      </c>
      <c r="L703" s="609" t="str">
        <f t="shared" si="219"/>
        <v>0</v>
      </c>
      <c r="M703" s="609">
        <f t="shared" si="220"/>
        <v>29.757545757578342</v>
      </c>
      <c r="N703" s="609">
        <f t="shared" si="221"/>
        <v>-0.32704982699817142</v>
      </c>
      <c r="O703" s="609">
        <f t="shared" si="222"/>
        <v>6.6690779213349316</v>
      </c>
      <c r="P703" s="609">
        <f t="shared" si="223"/>
        <v>-12.804195225234849</v>
      </c>
      <c r="Q703" s="609">
        <f t="shared" si="224"/>
        <v>-16.775735977359318</v>
      </c>
      <c r="R703" s="603">
        <f t="shared" si="225"/>
        <v>57.558770957129489</v>
      </c>
    </row>
    <row r="704" spans="2:18">
      <c r="B704" s="595" t="s">
        <v>1047</v>
      </c>
      <c r="C704" s="1844">
        <f>EC!C231/1000</f>
        <v>143.67811716661001</v>
      </c>
      <c r="D704" s="609">
        <f>EC!D231/1000</f>
        <v>170.57538134064001</v>
      </c>
      <c r="E704" s="609">
        <f>EC!E231/1000</f>
        <v>165.68825396425999</v>
      </c>
      <c r="F704" s="609">
        <f>EC!F231/1000</f>
        <v>175.98820593214</v>
      </c>
      <c r="G704" s="609">
        <f>EC!G231/1000</f>
        <v>188.67890005301456</v>
      </c>
      <c r="H704" s="609">
        <f>EC!H231/1000</f>
        <v>194.25508484151999</v>
      </c>
      <c r="I704" s="609">
        <f>EC!I231/1000</f>
        <v>168.84528925858001</v>
      </c>
      <c r="J704" s="603">
        <f>EC!J231/1000</f>
        <v>201.56731466107033</v>
      </c>
      <c r="K704" s="609">
        <v>0</v>
      </c>
      <c r="L704" s="609">
        <f t="shared" si="219"/>
        <v>18.720501565899394</v>
      </c>
      <c r="M704" s="609">
        <f t="shared" si="220"/>
        <v>-2.8650836585969008</v>
      </c>
      <c r="N704" s="609">
        <f t="shared" si="221"/>
        <v>6.2164647894121572</v>
      </c>
      <c r="O704" s="609">
        <f t="shared" si="222"/>
        <v>7.2111048883400697</v>
      </c>
      <c r="P704" s="609">
        <f t="shared" si="223"/>
        <v>2.9553833454289968</v>
      </c>
      <c r="Q704" s="609">
        <f t="shared" si="224"/>
        <v>-13.080633438074562</v>
      </c>
      <c r="R704" s="603">
        <f t="shared" si="225"/>
        <v>19.379886490275599</v>
      </c>
    </row>
    <row r="705" spans="2:18">
      <c r="B705" s="595" t="s">
        <v>1048</v>
      </c>
      <c r="C705" s="1844">
        <f>SV!C233/1000</f>
        <v>0</v>
      </c>
      <c r="D705" s="609">
        <f>SV!D233/1000</f>
        <v>107.88727400000001</v>
      </c>
      <c r="E705" s="609">
        <f>SV!E233/1000</f>
        <v>85.127198000000007</v>
      </c>
      <c r="F705" s="609">
        <f>SV!F233/1000</f>
        <v>86.011923999999993</v>
      </c>
      <c r="G705" s="609">
        <f>SV!G233/1000</f>
        <v>92.143079999999998</v>
      </c>
      <c r="H705" s="609">
        <f>SV!H233/1000</f>
        <v>105.35146600000002</v>
      </c>
      <c r="I705" s="609">
        <f>SV!I233/1000</f>
        <v>81.648465870264488</v>
      </c>
      <c r="J705" s="603">
        <f>SV!J233/1000</f>
        <v>88.19868000000001</v>
      </c>
      <c r="K705" s="609">
        <v>0</v>
      </c>
      <c r="L705" s="609" t="str">
        <f t="shared" si="219"/>
        <v>0</v>
      </c>
      <c r="M705" s="609">
        <f t="shared" si="220"/>
        <v>-21.096163760704524</v>
      </c>
      <c r="N705" s="609">
        <f t="shared" si="221"/>
        <v>1.039298861921889</v>
      </c>
      <c r="O705" s="609">
        <f t="shared" si="222"/>
        <v>7.1282628208619192</v>
      </c>
      <c r="P705" s="609">
        <f t="shared" si="223"/>
        <v>14.334647810774314</v>
      </c>
      <c r="Q705" s="609">
        <f t="shared" si="224"/>
        <v>-22.498975125543595</v>
      </c>
      <c r="R705" s="603">
        <f t="shared" si="225"/>
        <v>8.0224583033115415</v>
      </c>
    </row>
    <row r="706" spans="2:18">
      <c r="B706" s="595" t="s">
        <v>1049</v>
      </c>
      <c r="C706" s="1844">
        <f>GT!C239/1000</f>
        <v>75.086963999999995</v>
      </c>
      <c r="D706" s="609">
        <f>GT!D239/1000</f>
        <v>71.973784999999992</v>
      </c>
      <c r="E706" s="609">
        <f>GT!E239/1000</f>
        <v>54.050672999999996</v>
      </c>
      <c r="F706" s="609">
        <f>GT!F239/1000</f>
        <v>43.940590999999998</v>
      </c>
      <c r="G706" s="609">
        <f>GT!G239/1000</f>
        <v>43.555534081749997</v>
      </c>
      <c r="H706" s="609">
        <f>GT!H239/1000</f>
        <v>41.424319037650008</v>
      </c>
      <c r="I706" s="609">
        <f>GT!I239/1000</f>
        <v>33.660806000000001</v>
      </c>
      <c r="J706" s="603">
        <f>GT!J239/1000</f>
        <v>37.119439038229999</v>
      </c>
      <c r="K706" s="609">
        <v>9.6610822977941577</v>
      </c>
      <c r="L706" s="609">
        <f t="shared" si="219"/>
        <v>-4.146097849954355</v>
      </c>
      <c r="M706" s="609">
        <f t="shared" si="220"/>
        <v>-24.902277961343845</v>
      </c>
      <c r="N706" s="609">
        <f t="shared" si="221"/>
        <v>-18.704821677243501</v>
      </c>
      <c r="O706" s="609">
        <f t="shared" si="222"/>
        <v>-0.8763125608620026</v>
      </c>
      <c r="P706" s="609">
        <f t="shared" si="223"/>
        <v>-4.8930981769156663</v>
      </c>
      <c r="Q706" s="609">
        <f t="shared" si="224"/>
        <v>-18.741437923442639</v>
      </c>
      <c r="R706" s="603">
        <f t="shared" si="225"/>
        <v>10.274956096505816</v>
      </c>
    </row>
    <row r="707" spans="2:18">
      <c r="B707" s="595" t="s">
        <v>1050</v>
      </c>
      <c r="C707" s="1844">
        <f>HN!C238/1000</f>
        <v>0</v>
      </c>
      <c r="D707" s="609">
        <f>HN!D238/1000</f>
        <v>0</v>
      </c>
      <c r="E707" s="609">
        <f>HN!E238/1000</f>
        <v>0</v>
      </c>
      <c r="F707" s="609">
        <f>HN!F238/1000</f>
        <v>0</v>
      </c>
      <c r="G707" s="609">
        <f>HN!G238/1000</f>
        <v>0</v>
      </c>
      <c r="H707" s="609">
        <f>HN!H238/1000</f>
        <v>0</v>
      </c>
      <c r="I707" s="609">
        <f>HN!I238/1000</f>
        <v>0</v>
      </c>
      <c r="J707" s="603">
        <f>HN!J238/1000</f>
        <v>0</v>
      </c>
      <c r="K707" s="609">
        <v>0</v>
      </c>
      <c r="L707" s="609" t="str">
        <f t="shared" si="219"/>
        <v>0</v>
      </c>
      <c r="M707" s="609" t="str">
        <f t="shared" si="220"/>
        <v>0</v>
      </c>
      <c r="N707" s="609" t="str">
        <f t="shared" si="221"/>
        <v>0</v>
      </c>
      <c r="O707" s="609" t="str">
        <f t="shared" si="222"/>
        <v>0</v>
      </c>
      <c r="P707" s="609" t="str">
        <f t="shared" si="223"/>
        <v>0</v>
      </c>
      <c r="Q707" s="609" t="str">
        <f t="shared" si="224"/>
        <v>0</v>
      </c>
      <c r="R707" s="603" t="str">
        <f t="shared" si="225"/>
        <v>0</v>
      </c>
    </row>
    <row r="708" spans="2:18">
      <c r="B708" s="595" t="s">
        <v>1051</v>
      </c>
      <c r="C708" s="1844">
        <f>JM!C234/1000</f>
        <v>26.510379754789383</v>
      </c>
      <c r="D708" s="609">
        <f>JM!D234/1000</f>
        <v>24.832858205905801</v>
      </c>
      <c r="E708" s="609">
        <f>JM!E234/1000</f>
        <v>24.193454580410283</v>
      </c>
      <c r="F708" s="609">
        <f>JM!F234/1000</f>
        <v>26.146934127240353</v>
      </c>
      <c r="G708" s="609">
        <f>JM!G234/1000</f>
        <v>28.763859957601621</v>
      </c>
      <c r="H708" s="609">
        <f>JM!H234/1000</f>
        <v>30.670450692386154</v>
      </c>
      <c r="I708" s="609">
        <f>JM!I234/1000</f>
        <v>26.604321950762184</v>
      </c>
      <c r="J708" s="603">
        <f>JM!J234/1000</f>
        <v>26.588996365760426</v>
      </c>
      <c r="K708" s="609">
        <v>-13.265148766672425</v>
      </c>
      <c r="L708" s="609">
        <f t="shared" si="219"/>
        <v>-6.3277914703599114</v>
      </c>
      <c r="M708" s="609">
        <f t="shared" si="220"/>
        <v>-2.5748289632783972</v>
      </c>
      <c r="N708" s="609">
        <f t="shared" si="221"/>
        <v>8.0744134341683704</v>
      </c>
      <c r="O708" s="609">
        <f t="shared" si="222"/>
        <v>10.008537970939035</v>
      </c>
      <c r="P708" s="609">
        <f t="shared" si="223"/>
        <v>6.6284244798677117</v>
      </c>
      <c r="Q708" s="609">
        <f t="shared" si="224"/>
        <v>-13.257479592999177</v>
      </c>
      <c r="R708" s="603">
        <f t="shared" si="225"/>
        <v>-5.7605621485568026E-2</v>
      </c>
    </row>
    <row r="709" spans="2:18">
      <c r="B709" s="595" t="s">
        <v>1052</v>
      </c>
      <c r="C709" s="1844">
        <f>RD!C250/1000</f>
        <v>125.19382837220151</v>
      </c>
      <c r="D709" s="609">
        <f>RD!D250/1000</f>
        <v>125.34275022696981</v>
      </c>
      <c r="E709" s="609">
        <f>RD!E250/1000</f>
        <v>130.47157871955923</v>
      </c>
      <c r="F709" s="609">
        <f>RD!F250/1000</f>
        <v>133.76401328168413</v>
      </c>
      <c r="G709" s="609">
        <f>RD!G250/1000</f>
        <v>118.9836791852503</v>
      </c>
      <c r="H709" s="609">
        <f>RD!H250/1000</f>
        <v>124.71032966285462</v>
      </c>
      <c r="I709" s="609">
        <f>RD!I250/1000</f>
        <v>115.72451318176113</v>
      </c>
      <c r="J709" s="603">
        <f>RD!J250/1000</f>
        <v>143.54171091811446</v>
      </c>
      <c r="K709" s="609">
        <v>3.1490578839779881</v>
      </c>
      <c r="L709" s="609">
        <f t="shared" si="219"/>
        <v>0.11895303203410812</v>
      </c>
      <c r="M709" s="609">
        <f t="shared" si="220"/>
        <v>4.09184295326388</v>
      </c>
      <c r="N709" s="609">
        <f t="shared" si="221"/>
        <v>2.5234879461386583</v>
      </c>
      <c r="O709" s="609">
        <f t="shared" si="222"/>
        <v>-11.049559394804476</v>
      </c>
      <c r="P709" s="609">
        <f t="shared" si="223"/>
        <v>4.8129714233229315</v>
      </c>
      <c r="Q709" s="609">
        <f t="shared" si="224"/>
        <v>-7.2053505955649406</v>
      </c>
      <c r="R709" s="603">
        <f t="shared" si="225"/>
        <v>24.037429038619184</v>
      </c>
    </row>
    <row r="710" spans="2:18">
      <c r="B710" s="595" t="s">
        <v>1053</v>
      </c>
      <c r="C710" s="1844">
        <f>PY!C232/1000</f>
        <v>0</v>
      </c>
      <c r="D710" s="609">
        <f>PY!D232/1000</f>
        <v>375.16957367792389</v>
      </c>
      <c r="E710" s="609">
        <f>PY!E232/1000</f>
        <v>339.03480034763851</v>
      </c>
      <c r="F710" s="609">
        <f>PY!F232/1000</f>
        <v>339.66306032572561</v>
      </c>
      <c r="G710" s="609">
        <f>PY!G232/1000</f>
        <v>375.59804582638952</v>
      </c>
      <c r="H710" s="609">
        <f>PY!H232/1000</f>
        <v>377.29686132618582</v>
      </c>
      <c r="I710" s="609">
        <f>PY!I232/1000</f>
        <v>411.42040084398877</v>
      </c>
      <c r="J710" s="603">
        <f>PY!J232/1000</f>
        <v>587.34896674493848</v>
      </c>
      <c r="K710" s="609">
        <v>-7.8332270675996458</v>
      </c>
      <c r="L710" s="609" t="str">
        <f t="shared" si="219"/>
        <v>0</v>
      </c>
      <c r="M710" s="609">
        <f t="shared" si="220"/>
        <v>-9.6315841863302118</v>
      </c>
      <c r="N710" s="609">
        <f t="shared" si="221"/>
        <v>0.18530840416468575</v>
      </c>
      <c r="O710" s="609">
        <f t="shared" si="222"/>
        <v>10.579597753786786</v>
      </c>
      <c r="P710" s="609">
        <f t="shared" si="223"/>
        <v>0.45229614974662269</v>
      </c>
      <c r="Q710" s="609">
        <f t="shared" si="224"/>
        <v>9.0442150506791599</v>
      </c>
      <c r="R710" s="603">
        <f t="shared" si="225"/>
        <v>42.76126452165461</v>
      </c>
    </row>
    <row r="711" spans="2:18">
      <c r="B711" s="595" t="s">
        <v>1054</v>
      </c>
      <c r="C711" s="1844">
        <f>PE!C235/1000</f>
        <v>732.51143497223086</v>
      </c>
      <c r="D711" s="609">
        <f>PE!D235/1000</f>
        <v>667.92530260417414</v>
      </c>
      <c r="E711" s="609">
        <f>PE!E235/1000</f>
        <v>677.72672314012198</v>
      </c>
      <c r="F711" s="609">
        <f>PE!F235/1000</f>
        <v>812.50816779724209</v>
      </c>
      <c r="G711" s="609">
        <f>PE!G235/1000</f>
        <v>962.14655443772972</v>
      </c>
      <c r="H711" s="609">
        <f>PE!H235/1000</f>
        <v>1195.3737731792437</v>
      </c>
      <c r="I711" s="609">
        <f>PE!I235/1000</f>
        <v>1124.2738929055713</v>
      </c>
      <c r="J711" s="603">
        <f>PE!J235/1000</f>
        <v>1333.8786449321451</v>
      </c>
      <c r="K711" s="609">
        <v>-3.691558498378511</v>
      </c>
      <c r="L711" s="609">
        <f t="shared" si="219"/>
        <v>-8.8170817934746903</v>
      </c>
      <c r="M711" s="609">
        <f t="shared" si="220"/>
        <v>1.4674426163723719</v>
      </c>
      <c r="N711" s="609">
        <f t="shared" si="221"/>
        <v>19.887284956484397</v>
      </c>
      <c r="O711" s="609">
        <f t="shared" si="222"/>
        <v>18.416847063355203</v>
      </c>
      <c r="P711" s="609">
        <f t="shared" si="223"/>
        <v>24.240300780145695</v>
      </c>
      <c r="Q711" s="609">
        <f t="shared" si="224"/>
        <v>-5.9479203801312668</v>
      </c>
      <c r="R711" s="603">
        <f t="shared" si="225"/>
        <v>18.643566603229722</v>
      </c>
    </row>
    <row r="712" spans="2:18">
      <c r="B712" s="604" t="s">
        <v>1055</v>
      </c>
      <c r="C712" s="610">
        <f>TT!C241/1000</f>
        <v>82.891860814179779</v>
      </c>
      <c r="D712" s="617">
        <f>TT!D241/1000</f>
        <v>81.6933837488601</v>
      </c>
      <c r="E712" s="617">
        <f>TT!E241/1000</f>
        <v>71.593141897517</v>
      </c>
      <c r="F712" s="617">
        <f>TT!F241/1000</f>
        <v>69.41300660373436</v>
      </c>
      <c r="G712" s="617">
        <f>TT!G241/1000</f>
        <v>72.031716435693781</v>
      </c>
      <c r="H712" s="617">
        <f>TT!H241/1000</f>
        <v>71.386053108716453</v>
      </c>
      <c r="I712" s="617">
        <f>TT!I241/1000</f>
        <v>64.757759281219322</v>
      </c>
      <c r="J712" s="618">
        <f>TT!J241/1000</f>
        <v>66.349830598550525</v>
      </c>
      <c r="K712" s="617">
        <v>5.2798359337116185</v>
      </c>
      <c r="L712" s="617">
        <f t="shared" si="219"/>
        <v>-1.4458320196313657</v>
      </c>
      <c r="M712" s="617">
        <f t="shared" si="220"/>
        <v>-12.363598357479022</v>
      </c>
      <c r="N712" s="617">
        <f t="shared" si="221"/>
        <v>-3.0451733727560493</v>
      </c>
      <c r="O712" s="617">
        <f t="shared" si="222"/>
        <v>3.7726500552110354</v>
      </c>
      <c r="P712" s="617">
        <f t="shared" si="223"/>
        <v>-0.89635976889950175</v>
      </c>
      <c r="Q712" s="617">
        <f t="shared" si="224"/>
        <v>-9.285138397275805</v>
      </c>
      <c r="R712" s="618">
        <f t="shared" si="225"/>
        <v>2.4585027879322041</v>
      </c>
    </row>
    <row r="713" spans="2:18">
      <c r="B713" s="57"/>
      <c r="C713" s="582"/>
      <c r="D713" s="582"/>
      <c r="E713" s="582"/>
      <c r="F713" s="582"/>
      <c r="G713" s="582"/>
      <c r="H713" s="582"/>
      <c r="I713" s="582"/>
      <c r="J713" s="582"/>
      <c r="K713" s="582"/>
      <c r="L713" s="582"/>
      <c r="M713" s="582"/>
      <c r="N713" s="582"/>
      <c r="O713" s="582"/>
      <c r="P713" s="582"/>
      <c r="Q713" s="582"/>
    </row>
    <row r="714" spans="2:18">
      <c r="B714" s="2157" t="s">
        <v>1128</v>
      </c>
      <c r="C714" s="2157"/>
      <c r="D714" s="2157"/>
      <c r="E714" s="2157"/>
      <c r="F714" s="2157"/>
      <c r="G714" s="2157"/>
      <c r="H714" s="2157"/>
      <c r="I714" s="2157"/>
      <c r="J714" s="2157"/>
      <c r="K714" s="2157"/>
      <c r="L714" s="2157"/>
      <c r="M714" s="2157"/>
      <c r="N714" s="2157"/>
      <c r="O714" s="2157"/>
      <c r="P714" s="2157"/>
      <c r="Q714" s="2157"/>
      <c r="R714" s="2157"/>
    </row>
    <row r="715" spans="2:18">
      <c r="B715" s="619"/>
      <c r="C715" s="621"/>
      <c r="D715" s="621"/>
      <c r="E715" s="621"/>
      <c r="F715" s="621"/>
      <c r="G715" s="621"/>
      <c r="H715" s="621"/>
      <c r="I715" s="621"/>
      <c r="J715" s="621"/>
      <c r="K715" s="622"/>
      <c r="L715" s="622"/>
      <c r="M715" s="622"/>
      <c r="N715" s="622"/>
      <c r="O715" s="622"/>
      <c r="P715" s="622"/>
      <c r="Q715" s="622"/>
    </row>
    <row r="716" spans="2:18">
      <c r="B716" s="583"/>
      <c r="C716" s="2161" t="s">
        <v>1129</v>
      </c>
      <c r="D716" s="2162"/>
      <c r="E716" s="2162"/>
      <c r="F716" s="2162"/>
      <c r="G716" s="2162"/>
      <c r="H716" s="2162"/>
      <c r="I716" s="2162"/>
      <c r="J716" s="2163"/>
      <c r="K716" s="2161" t="s">
        <v>1130</v>
      </c>
      <c r="L716" s="2162"/>
      <c r="M716" s="2162"/>
      <c r="N716" s="2162"/>
      <c r="O716" s="2162"/>
      <c r="P716" s="2162"/>
      <c r="Q716" s="2162"/>
      <c r="R716" s="2163"/>
    </row>
    <row r="717" spans="2:18">
      <c r="B717" s="57"/>
      <c r="C717" s="635">
        <v>2014</v>
      </c>
      <c r="D717" s="636">
        <v>2015</v>
      </c>
      <c r="E717" s="636">
        <v>2016</v>
      </c>
      <c r="F717" s="636">
        <v>2017</v>
      </c>
      <c r="G717" s="636">
        <v>2018</v>
      </c>
      <c r="H717" s="636">
        <v>2019</v>
      </c>
      <c r="I717" s="636">
        <v>2020</v>
      </c>
      <c r="J717" s="636">
        <v>2021</v>
      </c>
      <c r="K717" s="587">
        <v>2014</v>
      </c>
      <c r="L717" s="588">
        <v>2015</v>
      </c>
      <c r="M717" s="588">
        <v>2016</v>
      </c>
      <c r="N717" s="588">
        <v>2017</v>
      </c>
      <c r="O717" s="588">
        <v>2018</v>
      </c>
      <c r="P717" s="588">
        <v>2019</v>
      </c>
      <c r="Q717" s="588">
        <v>2020</v>
      </c>
      <c r="R717" s="848">
        <v>2021</v>
      </c>
    </row>
    <row r="718" spans="2:18">
      <c r="B718" s="589" t="s">
        <v>1038</v>
      </c>
      <c r="C718" s="614">
        <f t="shared" ref="C718:J727" si="226">IF(ISNUMBER(C696/C290*1000),C696/C290*1000,"0")</f>
        <v>911.5036007391617</v>
      </c>
      <c r="D718" s="615">
        <f t="shared" si="226"/>
        <v>681.5006094879742</v>
      </c>
      <c r="E718" s="615">
        <f t="shared" si="226"/>
        <v>676.77274119246272</v>
      </c>
      <c r="F718" s="615">
        <f t="shared" si="226"/>
        <v>681.30874563496559</v>
      </c>
      <c r="G718" s="615">
        <f t="shared" si="226"/>
        <v>421.2404713568888</v>
      </c>
      <c r="H718" s="615">
        <f t="shared" si="226"/>
        <v>347.26904451573455</v>
      </c>
      <c r="I718" s="615">
        <f t="shared" si="226"/>
        <v>277.21294172342982</v>
      </c>
      <c r="J718" s="615">
        <f t="shared" si="226"/>
        <v>312.6338877129225</v>
      </c>
      <c r="K718" s="614">
        <f t="shared" ref="K718:R724" si="227">IF(ISNUMBER(C696/K6),C696/K6,"0")</f>
        <v>29.585346498835804</v>
      </c>
      <c r="L718" s="615">
        <f t="shared" si="227"/>
        <v>24.455984861951308</v>
      </c>
      <c r="M718" s="615">
        <f t="shared" si="227"/>
        <v>28.18150399577442</v>
      </c>
      <c r="N718" s="615">
        <f t="shared" si="227"/>
        <v>31.006804935926834</v>
      </c>
      <c r="O718" s="615">
        <f t="shared" si="227"/>
        <v>21.706228931564272</v>
      </c>
      <c r="P718" s="615">
        <f t="shared" si="227"/>
        <v>21.166161438785604</v>
      </c>
      <c r="Q718" s="615">
        <f t="shared" si="227"/>
        <v>21.285266657143552</v>
      </c>
      <c r="R718" s="616">
        <f t="shared" si="227"/>
        <v>32.692180166513211</v>
      </c>
    </row>
    <row r="719" spans="2:18">
      <c r="B719" s="595" t="s">
        <v>1039</v>
      </c>
      <c r="C719" s="608">
        <f t="shared" si="226"/>
        <v>2189.0955129125223</v>
      </c>
      <c r="D719" s="609">
        <f t="shared" si="226"/>
        <v>1467.840374489502</v>
      </c>
      <c r="E719" s="609">
        <f t="shared" si="226"/>
        <v>1149.6678125962712</v>
      </c>
      <c r="F719" s="609">
        <f t="shared" si="226"/>
        <v>1420.7651247196072</v>
      </c>
      <c r="G719" s="609">
        <f t="shared" si="226"/>
        <v>1654.3454754277195</v>
      </c>
      <c r="H719" s="609">
        <f t="shared" si="226"/>
        <v>1520.7120491975147</v>
      </c>
      <c r="I719" s="609">
        <f t="shared" si="226"/>
        <v>1576.6274256501927</v>
      </c>
      <c r="J719" s="609">
        <f t="shared" si="226"/>
        <v>1057.8696047407736</v>
      </c>
      <c r="K719" s="1844">
        <f t="shared" si="227"/>
        <v>7.5939945889811983E-2</v>
      </c>
      <c r="L719" s="609">
        <f t="shared" si="227"/>
        <v>6.4553894013579666E-2</v>
      </c>
      <c r="M719" s="609">
        <f t="shared" si="227"/>
        <v>6.8156533147691975E-2</v>
      </c>
      <c r="N719" s="609">
        <f t="shared" si="227"/>
        <v>8.5550760546957816E-2</v>
      </c>
      <c r="O719" s="609">
        <f t="shared" si="227"/>
        <v>0.10842732613028429</v>
      </c>
      <c r="P719" s="609">
        <f t="shared" si="227"/>
        <v>0.10458788083251155</v>
      </c>
      <c r="Q719" s="609">
        <f t="shared" si="227"/>
        <v>8.361785521686653E-2</v>
      </c>
      <c r="R719" s="603">
        <f t="shared" si="227"/>
        <v>7.3526099110546375E-2</v>
      </c>
    </row>
    <row r="720" spans="2:18">
      <c r="B720" s="595" t="s">
        <v>1040</v>
      </c>
      <c r="C720" s="608">
        <f t="shared" si="226"/>
        <v>2870.8388695699955</v>
      </c>
      <c r="D720" s="609">
        <f t="shared" si="226"/>
        <v>964.62475969203695</v>
      </c>
      <c r="E720" s="609">
        <f t="shared" si="226"/>
        <v>432.20032401107892</v>
      </c>
      <c r="F720" s="609">
        <f t="shared" si="226"/>
        <v>403.11584339478458</v>
      </c>
      <c r="G720" s="609">
        <f t="shared" si="226"/>
        <v>313.17444119039709</v>
      </c>
      <c r="H720" s="609">
        <f t="shared" si="226"/>
        <v>337.58176102985675</v>
      </c>
      <c r="I720" s="609">
        <f t="shared" si="226"/>
        <v>257.64965052028498</v>
      </c>
      <c r="J720" s="609">
        <f t="shared" si="226"/>
        <v>214.03749940551768</v>
      </c>
      <c r="K720" s="1844">
        <f t="shared" si="227"/>
        <v>3.4961183769562647E-3</v>
      </c>
      <c r="L720" s="609">
        <f t="shared" si="227"/>
        <v>3.2502861180779478E-3</v>
      </c>
      <c r="M720" s="609">
        <f t="shared" si="227"/>
        <v>3.049573633007814E-3</v>
      </c>
      <c r="N720" s="609">
        <f t="shared" si="227"/>
        <v>3.2155294756073629E-3</v>
      </c>
      <c r="O720" s="609">
        <f t="shared" si="227"/>
        <v>2.8069577829368977E-3</v>
      </c>
      <c r="P720" s="609">
        <f t="shared" si="227"/>
        <v>2.9137369117362109E-3</v>
      </c>
      <c r="Q720" s="609">
        <f t="shared" si="227"/>
        <v>1.805330585212349E-3</v>
      </c>
      <c r="R720" s="603">
        <f t="shared" si="227"/>
        <v>1.9292231439273831E-3</v>
      </c>
    </row>
    <row r="721" spans="2:18">
      <c r="B721" s="595" t="s">
        <v>1041</v>
      </c>
      <c r="C721" s="608">
        <f t="shared" si="226"/>
        <v>651.95994049681394</v>
      </c>
      <c r="D721" s="609">
        <f t="shared" si="226"/>
        <v>465.67590993211462</v>
      </c>
      <c r="E721" s="609">
        <f t="shared" si="226"/>
        <v>453.9528145387813</v>
      </c>
      <c r="F721" s="609">
        <f t="shared" si="226"/>
        <v>502.39884557776259</v>
      </c>
      <c r="G721" s="609">
        <f t="shared" si="226"/>
        <v>431.61603680638086</v>
      </c>
      <c r="H721" s="609">
        <f t="shared" si="226"/>
        <v>392.46886330353044</v>
      </c>
      <c r="I721" s="609">
        <f t="shared" si="226"/>
        <v>306.6716881149909</v>
      </c>
      <c r="J721" s="609">
        <f t="shared" si="226"/>
        <v>268.30023471690072</v>
      </c>
      <c r="K721" s="1844">
        <f t="shared" si="227"/>
        <v>8.9543351881785152E-2</v>
      </c>
      <c r="L721" s="609">
        <f t="shared" si="227"/>
        <v>6.4923640215550638E-2</v>
      </c>
      <c r="M721" s="609">
        <f t="shared" si="227"/>
        <v>6.4128192956005622E-2</v>
      </c>
      <c r="N721" s="609">
        <f t="shared" si="227"/>
        <v>7.5470150734368788E-2</v>
      </c>
      <c r="O721" s="609">
        <f t="shared" si="227"/>
        <v>7.1658881444842559E-2</v>
      </c>
      <c r="P721" s="609">
        <f t="shared" si="227"/>
        <v>7.3649637289270833E-2</v>
      </c>
      <c r="Q721" s="609">
        <f t="shared" si="227"/>
        <v>6.2861247162322859E-2</v>
      </c>
      <c r="R721" s="603">
        <f t="shared" si="227"/>
        <v>7.6094834536961961E-2</v>
      </c>
    </row>
    <row r="722" spans="2:18">
      <c r="B722" s="595" t="s">
        <v>1042</v>
      </c>
      <c r="C722" s="608">
        <f t="shared" si="226"/>
        <v>704.302110642206</v>
      </c>
      <c r="D722" s="609">
        <f t="shared" si="226"/>
        <v>653.46177784172323</v>
      </c>
      <c r="E722" s="609">
        <f t="shared" si="226"/>
        <v>512.66529053928639</v>
      </c>
      <c r="F722" s="609">
        <f t="shared" si="226"/>
        <v>465.51419040695606</v>
      </c>
      <c r="G722" s="609">
        <f t="shared" si="226"/>
        <v>405.31698984852045</v>
      </c>
      <c r="H722" s="609">
        <f t="shared" si="226"/>
        <v>303.22596042537629</v>
      </c>
      <c r="I722" s="609">
        <f t="shared" si="226"/>
        <v>193.10735896395551</v>
      </c>
      <c r="J722" s="609" t="str">
        <f t="shared" si="226"/>
        <v>0</v>
      </c>
      <c r="K722" s="1844">
        <f t="shared" si="227"/>
        <v>3.724709151868582E-2</v>
      </c>
      <c r="L722" s="609">
        <f t="shared" si="227"/>
        <v>4.0850733294867374E-2</v>
      </c>
      <c r="M722" s="609">
        <f t="shared" si="227"/>
        <v>3.6766322763299004E-2</v>
      </c>
      <c r="N722" s="609">
        <f t="shared" si="227"/>
        <v>3.809300938514297E-2</v>
      </c>
      <c r="O722" s="609">
        <f t="shared" si="227"/>
        <v>3.9087702506981542E-2</v>
      </c>
      <c r="P722" s="609">
        <f t="shared" si="227"/>
        <v>3.4187744544268227E-2</v>
      </c>
      <c r="Q722" s="609">
        <f t="shared" si="227"/>
        <v>2.2487404742915506E-2</v>
      </c>
      <c r="R722" s="603">
        <f t="shared" si="227"/>
        <v>2.4119062456164315E-2</v>
      </c>
    </row>
    <row r="723" spans="2:18">
      <c r="B723" s="595" t="s">
        <v>1043</v>
      </c>
      <c r="C723" s="608">
        <f t="shared" si="226"/>
        <v>1002.2302079705719</v>
      </c>
      <c r="D723" s="609">
        <f t="shared" si="226"/>
        <v>723.93170140325935</v>
      </c>
      <c r="E723" s="609">
        <f t="shared" si="226"/>
        <v>594.68400697865195</v>
      </c>
      <c r="F723" s="609">
        <f t="shared" si="226"/>
        <v>573.55244236524743</v>
      </c>
      <c r="G723" s="609">
        <f t="shared" si="226"/>
        <v>545.28951169599634</v>
      </c>
      <c r="H723" s="609">
        <f t="shared" si="226"/>
        <v>463.90161783478783</v>
      </c>
      <c r="I723" s="609">
        <f t="shared" si="226"/>
        <v>467.7904445106949</v>
      </c>
      <c r="J723" s="609">
        <f t="shared" si="226"/>
        <v>380.17564579704094</v>
      </c>
      <c r="K723" s="1844">
        <f t="shared" si="227"/>
        <v>1.1940610097473801E-2</v>
      </c>
      <c r="L723" s="609">
        <f t="shared" si="227"/>
        <v>9.2769437241577522E-3</v>
      </c>
      <c r="M723" s="609">
        <f t="shared" si="227"/>
        <v>8.48854054716589E-3</v>
      </c>
      <c r="N723" s="609">
        <f t="shared" si="227"/>
        <v>8.9357986102602122E-3</v>
      </c>
      <c r="O723" s="609">
        <f t="shared" si="227"/>
        <v>9.5233825630653829E-3</v>
      </c>
      <c r="P723" s="609">
        <f t="shared" si="227"/>
        <v>9.3669787126057988E-3</v>
      </c>
      <c r="Q723" s="609">
        <f t="shared" si="227"/>
        <v>9.1428182884227688E-3</v>
      </c>
      <c r="R723" s="603">
        <f t="shared" si="227"/>
        <v>9.5874783179258176E-3</v>
      </c>
    </row>
    <row r="724" spans="2:18">
      <c r="B724" s="595" t="s">
        <v>1044</v>
      </c>
      <c r="C724" s="608">
        <f t="shared" si="226"/>
        <v>607.11510488568911</v>
      </c>
      <c r="D724" s="609">
        <f t="shared" si="226"/>
        <v>958.08068951804876</v>
      </c>
      <c r="E724" s="609">
        <f t="shared" si="226"/>
        <v>866.03053359375326</v>
      </c>
      <c r="F724" s="609">
        <f t="shared" si="226"/>
        <v>714.84356978539631</v>
      </c>
      <c r="G724" s="609">
        <f t="shared" si="226"/>
        <v>664.9288223361533</v>
      </c>
      <c r="H724" s="609">
        <f t="shared" si="226"/>
        <v>599.34486636916938</v>
      </c>
      <c r="I724" s="609">
        <f t="shared" si="226"/>
        <v>571.12458056175421</v>
      </c>
      <c r="J724" s="609">
        <f t="shared" si="226"/>
        <v>397.57785972617012</v>
      </c>
      <c r="K724" s="1844">
        <f t="shared" si="227"/>
        <v>3.3938539947682624E-2</v>
      </c>
      <c r="L724" s="609">
        <f t="shared" si="227"/>
        <v>6.1492464687983465E-2</v>
      </c>
      <c r="M724" s="609">
        <f t="shared" si="227"/>
        <v>6.4168577661173967E-2</v>
      </c>
      <c r="N724" s="609">
        <f t="shared" si="227"/>
        <v>7.2575712386870661E-2</v>
      </c>
      <c r="O724" s="609">
        <f t="shared" si="227"/>
        <v>7.5393272233830397E-2</v>
      </c>
      <c r="P724" s="609">
        <f t="shared" si="227"/>
        <v>8.3146687663191138E-2</v>
      </c>
      <c r="Q724" s="609">
        <f t="shared" si="227"/>
        <v>7.9528169667300197E-2</v>
      </c>
      <c r="R724" s="603">
        <f t="shared" si="227"/>
        <v>7.7016475756424729E-2</v>
      </c>
    </row>
    <row r="725" spans="2:18">
      <c r="B725" s="595" t="s">
        <v>1061</v>
      </c>
      <c r="C725" s="608" t="str">
        <f t="shared" si="226"/>
        <v>0</v>
      </c>
      <c r="D725" s="609">
        <f t="shared" si="226"/>
        <v>1163.4241245136188</v>
      </c>
      <c r="E725" s="609">
        <f t="shared" si="226"/>
        <v>1303.5357549247649</v>
      </c>
      <c r="F725" s="609">
        <f t="shared" si="226"/>
        <v>1128.9754218560558</v>
      </c>
      <c r="G725" s="609">
        <f t="shared" si="226"/>
        <v>1116.9667659369823</v>
      </c>
      <c r="H725" s="609">
        <f t="shared" si="226"/>
        <v>902.54478783610637</v>
      </c>
      <c r="I725" s="609">
        <f t="shared" si="226"/>
        <v>810.06356888503319</v>
      </c>
      <c r="J725" s="609">
        <f t="shared" si="226"/>
        <v>1235.3635330199731</v>
      </c>
      <c r="K725" s="1844">
        <f t="shared" ref="K725:K734" si="228">IF(ISNUMBER(C703/K15),C703/K15,"0")</f>
        <v>0</v>
      </c>
      <c r="L725" s="609">
        <f t="shared" ref="L725:R725" si="229">IF(ISNUMBER(D703/L15),D703/L15,"0")</f>
        <v>0.15070564516129031</v>
      </c>
      <c r="M725" s="609">
        <f t="shared" si="229"/>
        <v>0.19313772491794068</v>
      </c>
      <c r="N725" s="609">
        <f t="shared" si="229"/>
        <v>0.19275555280963846</v>
      </c>
      <c r="O725" s="609">
        <f t="shared" si="229"/>
        <v>0.20641309406902342</v>
      </c>
      <c r="P725" s="609">
        <f t="shared" si="229"/>
        <v>0.18141790748224637</v>
      </c>
      <c r="Q725" s="609">
        <f t="shared" si="229"/>
        <v>0.15253009932035727</v>
      </c>
      <c r="R725" s="603">
        <f t="shared" si="229"/>
        <v>0.31219760974323563</v>
      </c>
    </row>
    <row r="726" spans="2:18">
      <c r="B726" s="595" t="s">
        <v>1047</v>
      </c>
      <c r="C726" s="608">
        <f t="shared" si="226"/>
        <v>1551.5668640521067</v>
      </c>
      <c r="D726" s="609">
        <f t="shared" si="226"/>
        <v>683.37889405716589</v>
      </c>
      <c r="E726" s="609">
        <f t="shared" si="226"/>
        <v>631.35074598010783</v>
      </c>
      <c r="F726" s="609">
        <f t="shared" si="226"/>
        <v>593.47136178489245</v>
      </c>
      <c r="G726" s="609">
        <f t="shared" si="226"/>
        <v>549.62695266800984</v>
      </c>
      <c r="H726" s="609">
        <f t="shared" si="226"/>
        <v>511.66500035901208</v>
      </c>
      <c r="I726" s="609">
        <f t="shared" si="226"/>
        <v>500.69434545631344</v>
      </c>
      <c r="J726" s="609">
        <f t="shared" si="226"/>
        <v>498.17119691091267</v>
      </c>
      <c r="K726" s="1844">
        <f t="shared" si="228"/>
        <v>8.9644936490029057</v>
      </c>
      <c r="L726" s="609">
        <f t="shared" ref="L726:L734" si="230">IF(ISNUMBER(D704/L16),D704/L16,"0")</f>
        <v>10.478347316347525</v>
      </c>
      <c r="M726" s="609">
        <f t="shared" ref="M726:M734" si="231">IF(ISNUMBER(E704/M16),E704/M16,"0")</f>
        <v>10.024258001931182</v>
      </c>
      <c r="N726" s="609">
        <f t="shared" ref="N726:N734" si="232">IF(ISNUMBER(F704/N16),F704/N16,"0")</f>
        <v>10.489863932706113</v>
      </c>
      <c r="O726" s="609">
        <f t="shared" ref="O726:O734" si="233">IF(ISNUMBER(G704/O16),G704/O16,"0")</f>
        <v>11.083497502557336</v>
      </c>
      <c r="P726" s="609">
        <f t="shared" ref="P726:P734" si="234">IF(ISNUMBER(H704/P16),H704/P16,"0")</f>
        <v>11.249434927820765</v>
      </c>
      <c r="Q726" s="609">
        <f t="shared" ref="Q726:Q734" si="235">IF(ISNUMBER(I704/Q16),I704/Q16,"0")</f>
        <v>9.6424379880613174</v>
      </c>
      <c r="R726" s="603">
        <f t="shared" ref="R726:R734" si="236">IF(ISNUMBER(J704/R16),J704/R16,"0")</f>
        <v>11.267999420245145</v>
      </c>
    </row>
    <row r="727" spans="2:18">
      <c r="B727" s="595" t="s">
        <v>1048</v>
      </c>
      <c r="C727" s="608" t="str">
        <f t="shared" si="226"/>
        <v>0</v>
      </c>
      <c r="D727" s="609">
        <f t="shared" si="226"/>
        <v>1512.534402813387</v>
      </c>
      <c r="E727" s="609">
        <f t="shared" si="226"/>
        <v>928.63497488752239</v>
      </c>
      <c r="F727" s="609">
        <f t="shared" si="226"/>
        <v>916.92088826362885</v>
      </c>
      <c r="G727" s="609">
        <f t="shared" si="226"/>
        <v>925.853548585422</v>
      </c>
      <c r="H727" s="609">
        <f t="shared" si="226"/>
        <v>880.12862180262812</v>
      </c>
      <c r="I727" s="609">
        <f t="shared" si="226"/>
        <v>739.20231347297806</v>
      </c>
      <c r="J727" s="609">
        <f t="shared" si="226"/>
        <v>717.25742808032646</v>
      </c>
      <c r="K727" s="1844">
        <f t="shared" si="228"/>
        <v>0</v>
      </c>
      <c r="L727" s="609">
        <f t="shared" si="230"/>
        <v>17.234661378830111</v>
      </c>
      <c r="M727" s="609">
        <f t="shared" si="231"/>
        <v>13.557658896039291</v>
      </c>
      <c r="N727" s="609">
        <f t="shared" si="232"/>
        <v>13.666582877764279</v>
      </c>
      <c r="O727" s="609">
        <f t="shared" si="233"/>
        <v>14.61313749148362</v>
      </c>
      <c r="P727" s="609">
        <f t="shared" si="234"/>
        <v>16.683381382175558</v>
      </c>
      <c r="Q727" s="609">
        <f t="shared" si="235"/>
        <v>12.916931396795732</v>
      </c>
      <c r="R727" s="603">
        <f t="shared" si="236"/>
        <v>13.942625710776296</v>
      </c>
    </row>
    <row r="728" spans="2:18">
      <c r="B728" s="595" t="s">
        <v>1049</v>
      </c>
      <c r="C728" s="608">
        <f t="shared" ref="C728:J734" si="237">IF(ISNUMBER(C706/C300*1000),C706/C300*1000,"0")</f>
        <v>3541.0413572531729</v>
      </c>
      <c r="D728" s="609">
        <f t="shared" si="237"/>
        <v>3545.0417782653321</v>
      </c>
      <c r="E728" s="609">
        <f t="shared" si="237"/>
        <v>2815.3226546167143</v>
      </c>
      <c r="F728" s="609">
        <f t="shared" si="237"/>
        <v>2473.1603795355204</v>
      </c>
      <c r="G728" s="609">
        <f t="shared" si="237"/>
        <v>2566.7010921413466</v>
      </c>
      <c r="H728" s="609">
        <f t="shared" si="237"/>
        <v>2569.7042758441912</v>
      </c>
      <c r="I728" s="609">
        <f t="shared" si="237"/>
        <v>2793.6836043996395</v>
      </c>
      <c r="J728" s="609">
        <f t="shared" si="237"/>
        <v>3280.8048132246358</v>
      </c>
      <c r="K728" s="1844">
        <f t="shared" si="228"/>
        <v>4.9056196148047635E-3</v>
      </c>
      <c r="L728" s="609">
        <f t="shared" si="230"/>
        <v>4.6233601729355391E-3</v>
      </c>
      <c r="M728" s="609">
        <f t="shared" si="231"/>
        <v>3.414943873679608E-3</v>
      </c>
      <c r="N728" s="609">
        <f t="shared" si="232"/>
        <v>2.7313637900127914E-3</v>
      </c>
      <c r="O728" s="609">
        <f t="shared" si="233"/>
        <v>2.664444075607376E-3</v>
      </c>
      <c r="P728" s="609">
        <f t="shared" si="234"/>
        <v>2.4948358330473589E-3</v>
      </c>
      <c r="Q728" s="609">
        <f t="shared" si="235"/>
        <v>1.996686505124795E-3</v>
      </c>
      <c r="R728" s="603">
        <f t="shared" si="236"/>
        <v>2.1694909461677575E-3</v>
      </c>
    </row>
    <row r="729" spans="2:18">
      <c r="B729" s="595" t="s">
        <v>1050</v>
      </c>
      <c r="C729" s="608" t="str">
        <f t="shared" si="237"/>
        <v>0</v>
      </c>
      <c r="D729" s="609" t="str">
        <f t="shared" si="237"/>
        <v>0</v>
      </c>
      <c r="E729" s="609" t="str">
        <f t="shared" si="237"/>
        <v>0</v>
      </c>
      <c r="F729" s="609" t="str">
        <f t="shared" si="237"/>
        <v>0</v>
      </c>
      <c r="G729" s="609" t="str">
        <f t="shared" si="237"/>
        <v>0</v>
      </c>
      <c r="H729" s="609" t="str">
        <f t="shared" si="237"/>
        <v>0</v>
      </c>
      <c r="I729" s="609" t="str">
        <f t="shared" si="237"/>
        <v>0</v>
      </c>
      <c r="J729" s="609" t="str">
        <f t="shared" si="237"/>
        <v>0</v>
      </c>
      <c r="K729" s="1844">
        <f t="shared" si="228"/>
        <v>0</v>
      </c>
      <c r="L729" s="609">
        <f t="shared" si="230"/>
        <v>0</v>
      </c>
      <c r="M729" s="609">
        <f t="shared" si="231"/>
        <v>0</v>
      </c>
      <c r="N729" s="609">
        <f t="shared" si="232"/>
        <v>0</v>
      </c>
      <c r="O729" s="609">
        <f t="shared" si="233"/>
        <v>0</v>
      </c>
      <c r="P729" s="609">
        <f t="shared" si="234"/>
        <v>0</v>
      </c>
      <c r="Q729" s="609">
        <f t="shared" si="235"/>
        <v>0</v>
      </c>
      <c r="R729" s="603">
        <f t="shared" si="236"/>
        <v>0</v>
      </c>
    </row>
    <row r="730" spans="2:18">
      <c r="B730" s="595" t="s">
        <v>1051</v>
      </c>
      <c r="C730" s="608" t="str">
        <f t="shared" si="237"/>
        <v>0</v>
      </c>
      <c r="D730" s="609" t="str">
        <f t="shared" si="237"/>
        <v>0</v>
      </c>
      <c r="E730" s="609" t="str">
        <f t="shared" si="237"/>
        <v>0</v>
      </c>
      <c r="F730" s="609" t="str">
        <f t="shared" si="237"/>
        <v>0</v>
      </c>
      <c r="G730" s="609" t="str">
        <f t="shared" si="237"/>
        <v>0</v>
      </c>
      <c r="H730" s="609" t="str">
        <f t="shared" si="237"/>
        <v>0</v>
      </c>
      <c r="I730" s="609" t="str">
        <f t="shared" si="237"/>
        <v>0</v>
      </c>
      <c r="J730" s="609" t="str">
        <f t="shared" si="237"/>
        <v>0</v>
      </c>
      <c r="K730" s="1844">
        <f t="shared" si="228"/>
        <v>9.7620501244411132E-3</v>
      </c>
      <c r="L730" s="609">
        <f t="shared" si="230"/>
        <v>9.1315065824979884E-3</v>
      </c>
      <c r="M730" s="609">
        <f t="shared" si="231"/>
        <v>8.8892143116895694E-3</v>
      </c>
      <c r="N730" s="609">
        <f t="shared" si="232"/>
        <v>9.5921005117757668E-3</v>
      </c>
      <c r="O730" s="609">
        <f t="shared" si="233"/>
        <v>1.0532423852519578E-2</v>
      </c>
      <c r="P730" s="609">
        <f t="shared" si="234"/>
        <v>1.1217782975988428E-2</v>
      </c>
      <c r="Q730" s="609">
        <f t="shared" si="235"/>
        <v>9.7223804819332633E-3</v>
      </c>
      <c r="R730" s="603">
        <f t="shared" si="236"/>
        <v>9.7057844007156138E-3</v>
      </c>
    </row>
    <row r="731" spans="2:18">
      <c r="B731" s="595" t="s">
        <v>1052</v>
      </c>
      <c r="C731" s="608">
        <f t="shared" si="237"/>
        <v>653.67163461167229</v>
      </c>
      <c r="D731" s="609">
        <f t="shared" si="237"/>
        <v>564.96201508510512</v>
      </c>
      <c r="E731" s="609">
        <f t="shared" si="237"/>
        <v>526.94549155989455</v>
      </c>
      <c r="F731" s="609">
        <f t="shared" si="237"/>
        <v>478.40283137082019</v>
      </c>
      <c r="G731" s="609">
        <f t="shared" si="237"/>
        <v>386.94785514304573</v>
      </c>
      <c r="H731" s="609">
        <f t="shared" si="237"/>
        <v>356.2810894361902</v>
      </c>
      <c r="I731" s="609">
        <f t="shared" si="237"/>
        <v>351.57595303385392</v>
      </c>
      <c r="J731" s="609">
        <f t="shared" si="237"/>
        <v>335.46711758352387</v>
      </c>
      <c r="K731" s="1844">
        <f t="shared" si="228"/>
        <v>12.666970780572919</v>
      </c>
      <c r="L731" s="609">
        <f t="shared" si="230"/>
        <v>12.559088012884036</v>
      </c>
      <c r="M731" s="609">
        <f t="shared" si="231"/>
        <v>12.949974786173089</v>
      </c>
      <c r="N731" s="609">
        <f t="shared" si="232"/>
        <v>13.15387460077223</v>
      </c>
      <c r="O731" s="609">
        <f t="shared" si="233"/>
        <v>11.589903788192661</v>
      </c>
      <c r="P731" s="609">
        <f t="shared" si="234"/>
        <v>12.039628980650782</v>
      </c>
      <c r="Q731" s="609">
        <f t="shared" si="235"/>
        <v>11.07570696822205</v>
      </c>
      <c r="R731" s="603">
        <f t="shared" si="236"/>
        <v>13.624529833379555</v>
      </c>
    </row>
    <row r="732" spans="2:18">
      <c r="B732" s="595" t="s">
        <v>1053</v>
      </c>
      <c r="C732" s="608">
        <f t="shared" si="237"/>
        <v>0</v>
      </c>
      <c r="D732" s="609">
        <f t="shared" si="237"/>
        <v>4590.4689276085392</v>
      </c>
      <c r="E732" s="609">
        <f t="shared" si="237"/>
        <v>3745.1785399926889</v>
      </c>
      <c r="F732" s="609">
        <f t="shared" si="237"/>
        <v>3103.8546695396444</v>
      </c>
      <c r="G732" s="609">
        <f t="shared" si="237"/>
        <v>2847.8955332072146</v>
      </c>
      <c r="H732" s="609">
        <f t="shared" si="237"/>
        <v>2368.3562062360766</v>
      </c>
      <c r="I732" s="609">
        <f t="shared" si="237"/>
        <v>1977.4025861789553</v>
      </c>
      <c r="J732" s="609">
        <f t="shared" si="237"/>
        <v>2272.2476512697363</v>
      </c>
      <c r="K732" s="1844">
        <f t="shared" si="228"/>
        <v>0</v>
      </c>
      <c r="L732" s="609">
        <f t="shared" si="230"/>
        <v>5.5533322097005205E-2</v>
      </c>
      <c r="M732" s="609">
        <f t="shared" si="231"/>
        <v>4.9461378618135279E-2</v>
      </c>
      <c r="N732" s="609">
        <f t="shared" si="232"/>
        <v>4.8846757560814226E-2</v>
      </c>
      <c r="O732" s="609">
        <f t="shared" si="233"/>
        <v>5.3253785784878473E-2</v>
      </c>
      <c r="P732" s="609">
        <f t="shared" si="234"/>
        <v>5.2748852494497102E-2</v>
      </c>
      <c r="Q732" s="609">
        <f t="shared" si="235"/>
        <v>5.6726734999946876E-2</v>
      </c>
      <c r="R732" s="603">
        <f t="shared" si="236"/>
        <v>7.9878405342869357E-2</v>
      </c>
    </row>
    <row r="733" spans="2:18">
      <c r="B733" s="595" t="s">
        <v>1054</v>
      </c>
      <c r="C733" s="608">
        <f t="shared" si="237"/>
        <v>1463.3263085743156</v>
      </c>
      <c r="D733" s="609">
        <f t="shared" si="237"/>
        <v>1198.0617242615574</v>
      </c>
      <c r="E733" s="609">
        <f t="shared" si="237"/>
        <v>1186.3925135335589</v>
      </c>
      <c r="F733" s="609">
        <f t="shared" si="237"/>
        <v>1279.0653124120615</v>
      </c>
      <c r="G733" s="609">
        <f t="shared" si="237"/>
        <v>1247.859696021131</v>
      </c>
      <c r="H733" s="609">
        <f t="shared" si="237"/>
        <v>1198.5370540443314</v>
      </c>
      <c r="I733" s="609">
        <f t="shared" si="237"/>
        <v>958.34396631351785</v>
      </c>
      <c r="J733" s="609">
        <f t="shared" si="237"/>
        <v>644.47636694841708</v>
      </c>
      <c r="K733" s="1844">
        <f t="shared" si="228"/>
        <v>2.377189832186748E-2</v>
      </c>
      <c r="L733" s="609">
        <f t="shared" si="230"/>
        <v>2.1441093896850776E-2</v>
      </c>
      <c r="M733" s="609">
        <f t="shared" si="231"/>
        <v>2.1522906228522903E-2</v>
      </c>
      <c r="N733" s="609">
        <f t="shared" si="232"/>
        <v>2.5529683537451719E-2</v>
      </c>
      <c r="O733" s="609">
        <f t="shared" si="233"/>
        <v>2.9915460792019899E-2</v>
      </c>
      <c r="P733" s="609">
        <f t="shared" si="234"/>
        <v>3.6785813584068808E-2</v>
      </c>
      <c r="Q733" s="609">
        <f t="shared" si="235"/>
        <v>3.4251207377934745E-2</v>
      </c>
      <c r="R733" s="603">
        <f t="shared" si="236"/>
        <v>4.0238860934277657E-2</v>
      </c>
    </row>
    <row r="734" spans="2:18">
      <c r="B734" s="604" t="s">
        <v>1055</v>
      </c>
      <c r="C734" s="610">
        <f t="shared" si="237"/>
        <v>1167.5654420131798</v>
      </c>
      <c r="D734" s="617">
        <f t="shared" si="237"/>
        <v>1082.0740388640697</v>
      </c>
      <c r="E734" s="617">
        <f t="shared" si="237"/>
        <v>890.90141986227991</v>
      </c>
      <c r="F734" s="617">
        <f t="shared" si="237"/>
        <v>852.2826206342296</v>
      </c>
      <c r="G734" s="617">
        <f t="shared" si="237"/>
        <v>848.12636402201792</v>
      </c>
      <c r="H734" s="617">
        <f t="shared" si="237"/>
        <v>789.45410934209372</v>
      </c>
      <c r="I734" s="617">
        <f t="shared" si="237"/>
        <v>774.79887920697627</v>
      </c>
      <c r="J734" s="617">
        <f t="shared" si="237"/>
        <v>741.20422208597961</v>
      </c>
      <c r="K734" s="610">
        <f t="shared" si="228"/>
        <v>6.1613923597312936E-2</v>
      </c>
      <c r="L734" s="617">
        <f t="shared" si="230"/>
        <v>6.0528547966913399E-2</v>
      </c>
      <c r="M734" s="617">
        <f t="shared" si="231"/>
        <v>5.2879390128124412E-2</v>
      </c>
      <c r="N734" s="617">
        <f t="shared" si="232"/>
        <v>5.1165648044632819E-2</v>
      </c>
      <c r="O734" s="617">
        <f t="shared" si="233"/>
        <v>5.299594423727446E-2</v>
      </c>
      <c r="P734" s="617">
        <f t="shared" si="234"/>
        <v>5.2336391608937383E-2</v>
      </c>
      <c r="Q734" s="617">
        <f t="shared" si="235"/>
        <v>4.7381703913530027E-2</v>
      </c>
      <c r="R734" s="618">
        <f t="shared" si="236"/>
        <v>4.8517013975678196E-2</v>
      </c>
    </row>
    <row r="735" spans="2:18">
      <c r="B735" s="57"/>
      <c r="C735" s="582"/>
      <c r="D735" s="582"/>
      <c r="E735" s="582"/>
      <c r="F735" s="582"/>
      <c r="G735" s="582"/>
      <c r="H735" s="582"/>
      <c r="I735" s="582"/>
      <c r="J735" s="582"/>
      <c r="K735" s="582"/>
      <c r="L735" s="582"/>
      <c r="M735" s="582"/>
      <c r="N735" s="582"/>
      <c r="O735" s="582"/>
      <c r="P735" s="582"/>
      <c r="Q735" s="582"/>
    </row>
    <row r="736" spans="2:18">
      <c r="B736" s="2157" t="s">
        <v>1128</v>
      </c>
      <c r="C736" s="2157"/>
      <c r="D736" s="2157"/>
      <c r="E736" s="2157"/>
      <c r="F736" s="2157"/>
      <c r="G736" s="2157"/>
      <c r="H736" s="2157"/>
      <c r="I736" s="2157"/>
      <c r="J736" s="2157"/>
      <c r="K736" s="2157"/>
      <c r="L736" s="2157"/>
      <c r="M736" s="2157"/>
      <c r="N736" s="2157"/>
      <c r="O736" s="2157"/>
      <c r="P736" s="2157"/>
      <c r="Q736" s="2157"/>
      <c r="R736" s="2157"/>
    </row>
    <row r="737" spans="2:18">
      <c r="B737" s="619"/>
      <c r="C737" s="621"/>
      <c r="D737" s="621"/>
      <c r="E737" s="621"/>
      <c r="F737" s="621"/>
      <c r="G737" s="621"/>
      <c r="H737" s="621"/>
      <c r="I737" s="621"/>
      <c r="J737" s="621"/>
      <c r="K737" s="622"/>
      <c r="L737" s="622"/>
      <c r="M737" s="622"/>
      <c r="N737" s="622"/>
      <c r="O737" s="622"/>
      <c r="P737" s="622"/>
      <c r="Q737" s="622"/>
    </row>
    <row r="738" spans="2:18">
      <c r="B738" s="583"/>
      <c r="C738" s="2161" t="s">
        <v>1131</v>
      </c>
      <c r="D738" s="2162"/>
      <c r="E738" s="2162"/>
      <c r="F738" s="2162"/>
      <c r="G738" s="2162"/>
      <c r="H738" s="2162"/>
      <c r="I738" s="2162"/>
      <c r="J738" s="2163"/>
      <c r="K738" s="2161" t="s">
        <v>1132</v>
      </c>
      <c r="L738" s="2162"/>
      <c r="M738" s="2162"/>
      <c r="N738" s="2162"/>
      <c r="O738" s="2162"/>
      <c r="P738" s="2162"/>
      <c r="Q738" s="2162"/>
      <c r="R738" s="2163"/>
    </row>
    <row r="739" spans="2:18">
      <c r="B739" s="57"/>
      <c r="C739" s="585">
        <v>2014</v>
      </c>
      <c r="D739" s="586">
        <v>2015</v>
      </c>
      <c r="E739" s="586">
        <v>2016</v>
      </c>
      <c r="F739" s="586">
        <v>2017</v>
      </c>
      <c r="G739" s="586">
        <v>2018</v>
      </c>
      <c r="H739" s="586">
        <v>2019</v>
      </c>
      <c r="I739" s="586">
        <v>2020</v>
      </c>
      <c r="J739" s="586">
        <v>2021</v>
      </c>
      <c r="K739" s="587">
        <v>2014</v>
      </c>
      <c r="L739" s="588">
        <v>2015</v>
      </c>
      <c r="M739" s="588">
        <v>2016</v>
      </c>
      <c r="N739" s="588">
        <v>2017</v>
      </c>
      <c r="O739" s="588">
        <v>2018</v>
      </c>
      <c r="P739" s="588">
        <v>2019</v>
      </c>
      <c r="Q739" s="588">
        <v>2020</v>
      </c>
      <c r="R739" s="848">
        <v>2021</v>
      </c>
    </row>
    <row r="740" spans="2:18">
      <c r="B740" s="589" t="s">
        <v>1038</v>
      </c>
      <c r="C740" s="614">
        <f t="shared" ref="C740:J746" si="238">IF(ISNUMBER(C696/C6*1000),C696/C6*1000,"0")</f>
        <v>2.1546428489246119</v>
      </c>
      <c r="D740" s="615">
        <f t="shared" si="238"/>
        <v>2.0936862417235269</v>
      </c>
      <c r="E740" s="615">
        <f t="shared" si="238"/>
        <v>2.1721854649763852</v>
      </c>
      <c r="F740" s="615">
        <f t="shared" si="238"/>
        <v>2.1866804316990613</v>
      </c>
      <c r="G740" s="615">
        <f t="shared" si="238"/>
        <v>2.1761958828479471</v>
      </c>
      <c r="H740" s="615">
        <f t="shared" si="238"/>
        <v>2.2625516384791293</v>
      </c>
      <c r="I740" s="615">
        <f t="shared" si="238"/>
        <v>2.491563632648043</v>
      </c>
      <c r="J740" s="616">
        <f t="shared" si="238"/>
        <v>2.8027042407465141</v>
      </c>
      <c r="K740" s="615">
        <f t="shared" ref="K740:K756" si="239">IF(ISNUMBER(C696/C244),C696/C244,"0")</f>
        <v>28.450763581603237</v>
      </c>
      <c r="L740" s="615">
        <f t="shared" ref="L740:L756" si="240">IF(ISNUMBER(D696/D244),D696/D244,"0")</f>
        <v>26.309034882351455</v>
      </c>
      <c r="M740" s="615">
        <f t="shared" ref="M740:M756" si="241">IF(ISNUMBER(E696/E244),E696/E244,"0")</f>
        <v>24.307123360077679</v>
      </c>
      <c r="N740" s="615">
        <f t="shared" ref="N740:N756" si="242">IF(ISNUMBER(F696/F244),F696/F244,"0")</f>
        <v>21.566230218128151</v>
      </c>
      <c r="O740" s="615">
        <f t="shared" ref="O740:O756" si="243">IF(ISNUMBER(G696/G244),G696/G244,"0")</f>
        <v>20.383582232878716</v>
      </c>
      <c r="P740" s="615">
        <f t="shared" ref="P740:P756" si="244">IF(ISNUMBER(H696/H244),H696/H244,"0")</f>
        <v>19.681110464506236</v>
      </c>
      <c r="Q740" s="615">
        <f t="shared" ref="Q740:Q756" si="245">IF(ISNUMBER(I696/I244),I696/I244,"0")</f>
        <v>18.159793566411228</v>
      </c>
      <c r="R740" s="616">
        <f t="shared" ref="R740:R756" si="246">IF(ISNUMBER(J696/J244),J696/J244,"0")</f>
        <v>25.051280570937276</v>
      </c>
    </row>
    <row r="741" spans="2:18">
      <c r="B741" s="595" t="s">
        <v>1039</v>
      </c>
      <c r="C741" s="1844">
        <f t="shared" si="238"/>
        <v>2.5008050145793588</v>
      </c>
      <c r="D741" s="609">
        <f t="shared" si="238"/>
        <v>2.0117888365270318</v>
      </c>
      <c r="E741" s="609">
        <f t="shared" si="238"/>
        <v>2.1509051425481216</v>
      </c>
      <c r="F741" s="609">
        <f t="shared" si="238"/>
        <v>2.6124356671198292</v>
      </c>
      <c r="G741" s="609">
        <f t="shared" si="238"/>
        <v>3.2413104626914819</v>
      </c>
      <c r="H741" s="609">
        <f t="shared" si="238"/>
        <v>3.0548400642774847</v>
      </c>
      <c r="I741" s="609">
        <f t="shared" si="238"/>
        <v>3.3570420124748694</v>
      </c>
      <c r="J741" s="603">
        <f t="shared" si="238"/>
        <v>2.5812786610281391</v>
      </c>
      <c r="K741" s="609">
        <f t="shared" si="239"/>
        <v>4.5461646526982147</v>
      </c>
      <c r="L741" s="609">
        <f t="shared" si="240"/>
        <v>3.8575226388803574</v>
      </c>
      <c r="M741" s="609">
        <f t="shared" si="241"/>
        <v>3.9113134923256818</v>
      </c>
      <c r="N741" s="609">
        <f t="shared" si="242"/>
        <v>4.858402712710836</v>
      </c>
      <c r="O741" s="609">
        <f t="shared" si="243"/>
        <v>6.3532283976369879</v>
      </c>
      <c r="P741" s="609">
        <f t="shared" si="244"/>
        <v>5.6461045110675254</v>
      </c>
      <c r="Q741" s="609">
        <f t="shared" si="245"/>
        <v>4.417623781907289</v>
      </c>
      <c r="R741" s="603">
        <f t="shared" si="246"/>
        <v>3.8477375531611142</v>
      </c>
    </row>
    <row r="742" spans="2:18">
      <c r="B742" s="595" t="s">
        <v>1040</v>
      </c>
      <c r="C742" s="1844">
        <f t="shared" si="238"/>
        <v>1.0922525563402792</v>
      </c>
      <c r="D742" s="609">
        <f t="shared" si="238"/>
        <v>1.0332182462651713</v>
      </c>
      <c r="E742" s="609">
        <f t="shared" si="238"/>
        <v>0.95914929355050982</v>
      </c>
      <c r="F742" s="609">
        <f t="shared" si="238"/>
        <v>0.93128112496335946</v>
      </c>
      <c r="G742" s="609">
        <f t="shared" si="238"/>
        <v>0.77021137637791115</v>
      </c>
      <c r="H742" s="609">
        <f t="shared" si="238"/>
        <v>0.80150913862304451</v>
      </c>
      <c r="I742" s="609">
        <f t="shared" si="238"/>
        <v>0.54971520750305591</v>
      </c>
      <c r="J742" s="603">
        <f t="shared" si="238"/>
        <v>0.56128358509324494</v>
      </c>
      <c r="K742" s="609">
        <f t="shared" si="239"/>
        <v>2.5811465693152784</v>
      </c>
      <c r="L742" s="609">
        <f t="shared" si="240"/>
        <v>1.5863470625527361</v>
      </c>
      <c r="M742" s="609">
        <f t="shared" si="241"/>
        <v>1.4421531632612579</v>
      </c>
      <c r="N742" s="609">
        <f t="shared" si="242"/>
        <v>1.3838362294604136</v>
      </c>
      <c r="O742" s="609">
        <f t="shared" si="243"/>
        <v>1.1392382227340989</v>
      </c>
      <c r="P742" s="609">
        <f t="shared" si="244"/>
        <v>1.1992626291767643</v>
      </c>
      <c r="Q742" s="609">
        <f t="shared" si="245"/>
        <v>0.69192469424388447</v>
      </c>
      <c r="R742" s="603">
        <f t="shared" si="246"/>
        <v>0.7339010287829858</v>
      </c>
    </row>
    <row r="743" spans="2:18">
      <c r="B743" s="595" t="s">
        <v>1041</v>
      </c>
      <c r="C743" s="1844">
        <f t="shared" si="238"/>
        <v>8.3021126631208304</v>
      </c>
      <c r="D743" s="609">
        <f t="shared" si="238"/>
        <v>8.6033576197791177</v>
      </c>
      <c r="E743" s="609">
        <f t="shared" si="238"/>
        <v>6.8392922517729602</v>
      </c>
      <c r="F743" s="609">
        <f t="shared" si="238"/>
        <v>7.8399598723371229</v>
      </c>
      <c r="G743" s="609">
        <f t="shared" si="238"/>
        <v>8.2653237943716071</v>
      </c>
      <c r="H743" s="609">
        <f t="shared" si="238"/>
        <v>8.4426964412622443</v>
      </c>
      <c r="I743" s="609">
        <f t="shared" si="238"/>
        <v>9.2632574019817504</v>
      </c>
      <c r="J743" s="603">
        <f t="shared" si="238"/>
        <v>10.436661723943033</v>
      </c>
      <c r="K743" s="609">
        <f t="shared" si="239"/>
        <v>259.13206297440075</v>
      </c>
      <c r="L743" s="609">
        <f t="shared" si="240"/>
        <v>318.5382126369127</v>
      </c>
      <c r="M743" s="609">
        <f t="shared" si="241"/>
        <v>250.66360282003802</v>
      </c>
      <c r="N743" s="609">
        <f t="shared" si="242"/>
        <v>286.94444537139088</v>
      </c>
      <c r="O743" s="609">
        <f t="shared" si="243"/>
        <v>301.40897102013565</v>
      </c>
      <c r="P743" s="609">
        <f t="shared" si="244"/>
        <v>284.32359489800575</v>
      </c>
      <c r="Q743" s="609">
        <f t="shared" si="245"/>
        <v>208.22017302125647</v>
      </c>
      <c r="R743" s="603">
        <f t="shared" si="246"/>
        <v>246.50611170568484</v>
      </c>
    </row>
    <row r="744" spans="2:18">
      <c r="B744" s="595" t="s">
        <v>1042</v>
      </c>
      <c r="C744" s="1844">
        <f t="shared" si="238"/>
        <v>2.7080296160774879</v>
      </c>
      <c r="D744" s="609">
        <f t="shared" si="238"/>
        <v>3.2546524486131867</v>
      </c>
      <c r="E744" s="609">
        <f t="shared" si="238"/>
        <v>2.6289725722309001</v>
      </c>
      <c r="F744" s="609">
        <f t="shared" si="238"/>
        <v>2.4013894851449598</v>
      </c>
      <c r="G744" s="609">
        <f t="shared" si="238"/>
        <v>2.6659503219434351</v>
      </c>
      <c r="H744" s="609">
        <f t="shared" si="238"/>
        <v>2.4511607570564298</v>
      </c>
      <c r="I744" s="609">
        <f t="shared" si="238"/>
        <v>2.1822431631278985</v>
      </c>
      <c r="J744" s="603">
        <f t="shared" si="238"/>
        <v>1.4792956965957886</v>
      </c>
      <c r="K744" s="609">
        <f t="shared" si="239"/>
        <v>17.000149980860098</v>
      </c>
      <c r="L744" s="609">
        <f t="shared" si="240"/>
        <v>19.794523316105806</v>
      </c>
      <c r="M744" s="609">
        <f t="shared" si="241"/>
        <v>16.092435638380408</v>
      </c>
      <c r="N744" s="609">
        <f t="shared" si="242"/>
        <v>14.859719550000115</v>
      </c>
      <c r="O744" s="609">
        <f t="shared" si="243"/>
        <v>16.116482699688689</v>
      </c>
      <c r="P744" s="609">
        <f t="shared" si="244"/>
        <v>13.07034781909071</v>
      </c>
      <c r="Q744" s="609">
        <f t="shared" si="245"/>
        <v>6.3887705151572538</v>
      </c>
      <c r="R744" s="603">
        <f t="shared" si="246"/>
        <v>5.7238744118677394</v>
      </c>
    </row>
    <row r="745" spans="2:18">
      <c r="B745" s="595" t="s">
        <v>1043</v>
      </c>
      <c r="C745" s="1844">
        <f t="shared" si="238"/>
        <v>1.7847286755092819</v>
      </c>
      <c r="D745" s="609">
        <f t="shared" si="238"/>
        <v>1.7502110897983456</v>
      </c>
      <c r="E745" s="609">
        <f t="shared" si="238"/>
        <v>1.4374975209188516</v>
      </c>
      <c r="F745" s="609">
        <f t="shared" si="238"/>
        <v>1.4278910637487483</v>
      </c>
      <c r="G745" s="609">
        <f t="shared" si="238"/>
        <v>1.564308843327461</v>
      </c>
      <c r="H745" s="609">
        <f t="shared" si="238"/>
        <v>1.4564352774626474</v>
      </c>
      <c r="I745" s="609">
        <f t="shared" si="238"/>
        <v>1.5762176628668867</v>
      </c>
      <c r="J745" s="603">
        <f t="shared" si="238"/>
        <v>1.6551833960210542</v>
      </c>
      <c r="K745" s="609">
        <f t="shared" si="239"/>
        <v>7.3312132831129819</v>
      </c>
      <c r="L745" s="609">
        <f t="shared" si="240"/>
        <v>6.870066867818875</v>
      </c>
      <c r="M745" s="609">
        <f t="shared" si="241"/>
        <v>6.1698037002710819</v>
      </c>
      <c r="N745" s="609">
        <f t="shared" si="242"/>
        <v>6.0732510613285315</v>
      </c>
      <c r="O745" s="609">
        <f t="shared" si="243"/>
        <v>6.6876150880406575</v>
      </c>
      <c r="P745" s="609">
        <f t="shared" si="244"/>
        <v>6.1174911239941769</v>
      </c>
      <c r="Q745" s="609">
        <f t="shared" si="245"/>
        <v>5.025907612237507</v>
      </c>
      <c r="R745" s="603">
        <f t="shared" si="246"/>
        <v>5.2467752355968393</v>
      </c>
    </row>
    <row r="746" spans="2:18">
      <c r="B746" s="595" t="s">
        <v>1044</v>
      </c>
      <c r="C746" s="1844">
        <f t="shared" si="238"/>
        <v>3.1142684466336998</v>
      </c>
      <c r="D746" s="609">
        <f t="shared" si="238"/>
        <v>5.2646324363442831</v>
      </c>
      <c r="E746" s="609">
        <f t="shared" si="238"/>
        <v>5.3326183022544438</v>
      </c>
      <c r="F746" s="609">
        <f t="shared" si="238"/>
        <v>5.933427804078395</v>
      </c>
      <c r="G746" s="609">
        <f t="shared" si="238"/>
        <v>6.0432849881680486</v>
      </c>
      <c r="H746" s="609">
        <f t="shared" si="238"/>
        <v>6.5285896996843134</v>
      </c>
      <c r="I746" s="609">
        <f t="shared" si="238"/>
        <v>6.5146797204470914</v>
      </c>
      <c r="J746" s="603">
        <f t="shared" si="238"/>
        <v>6.1538322015724427</v>
      </c>
      <c r="K746" s="609" t="str">
        <f t="shared" si="239"/>
        <v>0</v>
      </c>
      <c r="L746" s="609" t="str">
        <f t="shared" si="240"/>
        <v>0</v>
      </c>
      <c r="M746" s="609" t="str">
        <f t="shared" si="241"/>
        <v>0</v>
      </c>
      <c r="N746" s="609" t="str">
        <f t="shared" si="242"/>
        <v>0</v>
      </c>
      <c r="O746" s="609" t="str">
        <f t="shared" si="243"/>
        <v>0</v>
      </c>
      <c r="P746" s="609" t="str">
        <f t="shared" si="244"/>
        <v>0</v>
      </c>
      <c r="Q746" s="609" t="str">
        <f t="shared" si="245"/>
        <v>0</v>
      </c>
      <c r="R746" s="603" t="str">
        <f t="shared" si="246"/>
        <v>0</v>
      </c>
    </row>
    <row r="747" spans="2:18">
      <c r="B747" s="595" t="s">
        <v>1061</v>
      </c>
      <c r="C747" s="1844">
        <f>IF(ISNUMBER(C703/K15*1000),C703/K15*1000,"0")</f>
        <v>0</v>
      </c>
      <c r="D747" s="609">
        <f>IF(ISNUMBER(D703/L15*1000),D703/L15*1000,"0")</f>
        <v>150.70564516129031</v>
      </c>
      <c r="E747" s="609">
        <f t="shared" ref="E747:J747" si="247">IF(ISNUMBER(E703/M15*1000),E703/M15*1000,"0")</f>
        <v>193.13772491794069</v>
      </c>
      <c r="F747" s="609">
        <f t="shared" si="247"/>
        <v>192.75555280963846</v>
      </c>
      <c r="G747" s="609">
        <f t="shared" si="247"/>
        <v>206.41309406902343</v>
      </c>
      <c r="H747" s="609">
        <f t="shared" si="247"/>
        <v>181.41790748224636</v>
      </c>
      <c r="I747" s="609">
        <f t="shared" si="247"/>
        <v>152.53009932035727</v>
      </c>
      <c r="J747" s="603">
        <f t="shared" si="247"/>
        <v>312.1976097432356</v>
      </c>
      <c r="K747" s="609" t="str">
        <f t="shared" si="239"/>
        <v>0</v>
      </c>
      <c r="L747" s="609" t="str">
        <f t="shared" si="240"/>
        <v>0</v>
      </c>
      <c r="M747" s="609" t="str">
        <f t="shared" si="241"/>
        <v>0</v>
      </c>
      <c r="N747" s="609" t="str">
        <f t="shared" si="242"/>
        <v>0</v>
      </c>
      <c r="O747" s="609" t="str">
        <f t="shared" si="243"/>
        <v>0</v>
      </c>
      <c r="P747" s="609" t="str">
        <f t="shared" si="244"/>
        <v>0</v>
      </c>
      <c r="Q747" s="609" t="str">
        <f t="shared" si="245"/>
        <v>0</v>
      </c>
      <c r="R747" s="603" t="str">
        <f t="shared" si="246"/>
        <v>0</v>
      </c>
    </row>
    <row r="748" spans="2:18">
      <c r="B748" s="595" t="s">
        <v>1047</v>
      </c>
      <c r="C748" s="1844">
        <f t="shared" ref="C748:J756" si="248">IF(ISNUMBER(C704/C16*1000),C704/C16*1000,"0")</f>
        <v>1.4123985124265273</v>
      </c>
      <c r="D748" s="609">
        <f t="shared" si="248"/>
        <v>1.7179446925335566</v>
      </c>
      <c r="E748" s="609">
        <f t="shared" si="248"/>
        <v>1.6579154209498517</v>
      </c>
      <c r="F748" s="609">
        <f t="shared" si="248"/>
        <v>1.6873939764448944</v>
      </c>
      <c r="G748" s="609">
        <f t="shared" si="248"/>
        <v>1.7541407050036957</v>
      </c>
      <c r="H748" s="609">
        <f t="shared" si="248"/>
        <v>1.7968611654355677</v>
      </c>
      <c r="I748" s="609">
        <f t="shared" si="248"/>
        <v>1.708821878495276</v>
      </c>
      <c r="J748" s="603">
        <f t="shared" si="248"/>
        <v>1.8986051528838832</v>
      </c>
      <c r="K748" s="609">
        <f t="shared" si="239"/>
        <v>7.7531572576792662</v>
      </c>
      <c r="L748" s="609">
        <f t="shared" si="240"/>
        <v>10.982799421652631</v>
      </c>
      <c r="M748" s="609">
        <f t="shared" si="241"/>
        <v>8.8529562323198299</v>
      </c>
      <c r="N748" s="609">
        <f t="shared" si="242"/>
        <v>9.0690342927086522</v>
      </c>
      <c r="O748" s="609">
        <f t="shared" si="243"/>
        <v>10.013944712822283</v>
      </c>
      <c r="P748" s="609">
        <f t="shared" si="244"/>
        <v>5.8562590158094308</v>
      </c>
      <c r="Q748" s="609">
        <f t="shared" si="245"/>
        <v>7.6547900346013398</v>
      </c>
      <c r="R748" s="603" t="str">
        <f t="shared" si="246"/>
        <v>0</v>
      </c>
    </row>
    <row r="749" spans="2:18">
      <c r="B749" s="595" t="s">
        <v>1048</v>
      </c>
      <c r="C749" s="1844">
        <f t="shared" si="248"/>
        <v>0</v>
      </c>
      <c r="D749" s="609">
        <f t="shared" si="248"/>
        <v>4.6030450238584466</v>
      </c>
      <c r="E749" s="609">
        <f t="shared" si="248"/>
        <v>3.5188989654600826</v>
      </c>
      <c r="F749" s="609">
        <f t="shared" si="248"/>
        <v>3.4433431988787464</v>
      </c>
      <c r="G749" s="609">
        <f t="shared" si="248"/>
        <v>3.5411249056045442</v>
      </c>
      <c r="H749" s="609">
        <f t="shared" si="248"/>
        <v>3.9168977114630592</v>
      </c>
      <c r="I749" s="609">
        <f t="shared" si="248"/>
        <v>3.3138274175876217</v>
      </c>
      <c r="J749" s="603">
        <f t="shared" si="248"/>
        <v>3.0691743797356303</v>
      </c>
      <c r="K749" s="609" t="str">
        <f t="shared" si="239"/>
        <v>0</v>
      </c>
      <c r="L749" s="609">
        <f t="shared" si="240"/>
        <v>11.710130081857493</v>
      </c>
      <c r="M749" s="609">
        <f t="shared" si="241"/>
        <v>9.4689363525299672</v>
      </c>
      <c r="N749" s="609">
        <f t="shared" si="242"/>
        <v>8.539251784739136</v>
      </c>
      <c r="O749" s="609">
        <f t="shared" si="243"/>
        <v>4.4470028185680679</v>
      </c>
      <c r="P749" s="609">
        <f t="shared" si="244"/>
        <v>5.3714978150982091</v>
      </c>
      <c r="Q749" s="609">
        <f t="shared" si="245"/>
        <v>3.810895641186772</v>
      </c>
      <c r="R749" s="603">
        <f t="shared" si="246"/>
        <v>4.0253151385149017</v>
      </c>
    </row>
    <row r="750" spans="2:18">
      <c r="B750" s="595" t="s">
        <v>1049</v>
      </c>
      <c r="C750" s="1844">
        <f t="shared" si="248"/>
        <v>1.2983673845523362</v>
      </c>
      <c r="D750" s="609">
        <f t="shared" si="248"/>
        <v>1.1575188539644574</v>
      </c>
      <c r="E750" s="609">
        <f t="shared" si="248"/>
        <v>0.81851606263633969</v>
      </c>
      <c r="F750" s="609">
        <f t="shared" si="248"/>
        <v>0.61347879389122395</v>
      </c>
      <c r="G750" s="609">
        <f t="shared" si="248"/>
        <v>0.59397262006967333</v>
      </c>
      <c r="H750" s="609">
        <f t="shared" si="248"/>
        <v>0.53690518870528381</v>
      </c>
      <c r="I750" s="609">
        <f t="shared" si="248"/>
        <v>0.43366005215648601</v>
      </c>
      <c r="J750" s="603">
        <f t="shared" si="248"/>
        <v>0.43176937060695358</v>
      </c>
      <c r="K750" s="609">
        <f t="shared" si="239"/>
        <v>5.4960447957839254</v>
      </c>
      <c r="L750" s="609">
        <f t="shared" si="240"/>
        <v>5.013847788227098</v>
      </c>
      <c r="M750" s="609">
        <f t="shared" si="241"/>
        <v>3.4322245999491998</v>
      </c>
      <c r="N750" s="609">
        <f t="shared" si="242"/>
        <v>2.5146269314409979</v>
      </c>
      <c r="O750" s="609">
        <f t="shared" si="243"/>
        <v>2.4078464305240752</v>
      </c>
      <c r="P750" s="609">
        <f t="shared" si="244"/>
        <v>2.1055361918089868</v>
      </c>
      <c r="Q750" s="609">
        <f t="shared" si="245"/>
        <v>1.4078128816394815</v>
      </c>
      <c r="R750" s="603">
        <f t="shared" si="246"/>
        <v>1.3745394941022033</v>
      </c>
    </row>
    <row r="751" spans="2:18">
      <c r="B751" s="595" t="s">
        <v>1050</v>
      </c>
      <c r="C751" s="1844">
        <f t="shared" si="248"/>
        <v>0</v>
      </c>
      <c r="D751" s="609">
        <f t="shared" si="248"/>
        <v>0</v>
      </c>
      <c r="E751" s="609">
        <f t="shared" si="248"/>
        <v>0</v>
      </c>
      <c r="F751" s="609">
        <f t="shared" si="248"/>
        <v>0</v>
      </c>
      <c r="G751" s="609">
        <f t="shared" si="248"/>
        <v>0</v>
      </c>
      <c r="H751" s="609">
        <f t="shared" si="248"/>
        <v>0</v>
      </c>
      <c r="I751" s="609">
        <f t="shared" si="248"/>
        <v>0</v>
      </c>
      <c r="J751" s="603">
        <f t="shared" si="248"/>
        <v>0</v>
      </c>
      <c r="K751" s="609" t="str">
        <f t="shared" si="239"/>
        <v>0</v>
      </c>
      <c r="L751" s="609" t="str">
        <f t="shared" si="240"/>
        <v>0</v>
      </c>
      <c r="M751" s="609" t="str">
        <f t="shared" si="241"/>
        <v>0</v>
      </c>
      <c r="N751" s="609" t="str">
        <f t="shared" si="242"/>
        <v>0</v>
      </c>
      <c r="O751" s="609" t="str">
        <f t="shared" si="243"/>
        <v>0</v>
      </c>
      <c r="P751" s="609" t="str">
        <f t="shared" si="244"/>
        <v>0</v>
      </c>
      <c r="Q751" s="609" t="str">
        <f t="shared" si="245"/>
        <v>0</v>
      </c>
      <c r="R751" s="603" t="str">
        <f t="shared" si="246"/>
        <v>0</v>
      </c>
    </row>
    <row r="752" spans="2:18">
      <c r="B752" s="595" t="s">
        <v>1051</v>
      </c>
      <c r="C752" s="1844">
        <f t="shared" si="248"/>
        <v>1.9713932986251985</v>
      </c>
      <c r="D752" s="609">
        <f t="shared" si="248"/>
        <v>1.8017048603534915</v>
      </c>
      <c r="E752" s="609">
        <f t="shared" si="248"/>
        <v>1.7645996478165158</v>
      </c>
      <c r="F752" s="609">
        <f t="shared" si="248"/>
        <v>1.7247145231617491</v>
      </c>
      <c r="G752" s="609">
        <f t="shared" si="248"/>
        <v>1.8121144870636181</v>
      </c>
      <c r="H752" s="609">
        <f t="shared" si="248"/>
        <v>1.9265960380455098</v>
      </c>
      <c r="I752" s="609">
        <f t="shared" si="248"/>
        <v>1.9294488922563338</v>
      </c>
      <c r="J752" s="603">
        <f t="shared" si="248"/>
        <v>1.8657109151837081</v>
      </c>
      <c r="K752" s="609">
        <f t="shared" si="239"/>
        <v>8.2957055999513063</v>
      </c>
      <c r="L752" s="609">
        <f t="shared" si="240"/>
        <v>7.2947449588492947</v>
      </c>
      <c r="M752" s="609">
        <f t="shared" si="241"/>
        <v>6.8094155748792362</v>
      </c>
      <c r="N752" s="609">
        <f t="shared" si="242"/>
        <v>6.2269505932031866</v>
      </c>
      <c r="O752" s="609">
        <f t="shared" si="243"/>
        <v>6.6149794857321034</v>
      </c>
      <c r="P752" s="609">
        <f t="shared" si="244"/>
        <v>6.8534084853507355</v>
      </c>
      <c r="Q752" s="609">
        <f t="shared" si="245"/>
        <v>5.5310055329875514</v>
      </c>
      <c r="R752" s="603">
        <f t="shared" si="246"/>
        <v>5.5596701063737299</v>
      </c>
    </row>
    <row r="753" spans="2:18">
      <c r="B753" s="595" t="s">
        <v>1052</v>
      </c>
      <c r="C753" s="1844">
        <f t="shared" si="248"/>
        <v>1.8915289894757461</v>
      </c>
      <c r="D753" s="609">
        <f t="shared" si="248"/>
        <v>1.7778649924253889</v>
      </c>
      <c r="E753" s="609">
        <f t="shared" si="248"/>
        <v>1.7441056665515231</v>
      </c>
      <c r="F753" s="609">
        <f t="shared" si="248"/>
        <v>1.6952597021274587</v>
      </c>
      <c r="G753" s="609">
        <f t="shared" si="248"/>
        <v>1.4101817601169775</v>
      </c>
      <c r="H753" s="609">
        <f t="shared" si="248"/>
        <v>1.446100582799464</v>
      </c>
      <c r="I753" s="609">
        <f t="shared" si="248"/>
        <v>1.5090031919581486</v>
      </c>
      <c r="J753" s="603">
        <f t="shared" si="248"/>
        <v>1.5209706672407914</v>
      </c>
      <c r="K753" s="609">
        <f t="shared" si="239"/>
        <v>15.813730675467328</v>
      </c>
      <c r="L753" s="609">
        <f t="shared" si="240"/>
        <v>14.596079751560843</v>
      </c>
      <c r="M753" s="609">
        <f t="shared" si="241"/>
        <v>14.349945267433579</v>
      </c>
      <c r="N753" s="609">
        <f t="shared" si="242"/>
        <v>14.548696413495083</v>
      </c>
      <c r="O753" s="609">
        <f t="shared" si="243"/>
        <v>12.645963362626729</v>
      </c>
      <c r="P753" s="609">
        <f t="shared" si="244"/>
        <v>11.343159644152088</v>
      </c>
      <c r="Q753" s="609">
        <f t="shared" si="245"/>
        <v>9.5304818773860962</v>
      </c>
      <c r="R753" s="603">
        <f t="shared" si="246"/>
        <v>9.7918558397215776</v>
      </c>
    </row>
    <row r="754" spans="2:18">
      <c r="B754" s="595" t="s">
        <v>1053</v>
      </c>
      <c r="C754" s="1844">
        <f t="shared" si="248"/>
        <v>0</v>
      </c>
      <c r="D754" s="609">
        <f t="shared" si="248"/>
        <v>11.544848887523925</v>
      </c>
      <c r="E754" s="609">
        <f t="shared" si="248"/>
        <v>9.5411942894058477</v>
      </c>
      <c r="F754" s="609">
        <f t="shared" si="248"/>
        <v>8.6495527105687309</v>
      </c>
      <c r="G754" s="609">
        <f t="shared" si="248"/>
        <v>9.7087827926374999</v>
      </c>
      <c r="H754" s="609">
        <f t="shared" si="248"/>
        <v>10.274780226175338</v>
      </c>
      <c r="I754" s="609">
        <f t="shared" si="248"/>
        <v>11.739854920939676</v>
      </c>
      <c r="J754" s="603">
        <f t="shared" si="248"/>
        <v>15.892679405737423</v>
      </c>
      <c r="K754" s="609">
        <f t="shared" si="239"/>
        <v>0</v>
      </c>
      <c r="L754" s="609">
        <f t="shared" si="240"/>
        <v>21.422475380428114</v>
      </c>
      <c r="M754" s="609">
        <f t="shared" si="241"/>
        <v>18.071329100673488</v>
      </c>
      <c r="N754" s="609">
        <f t="shared" si="242"/>
        <v>9.3368932602871375</v>
      </c>
      <c r="O754" s="609">
        <f t="shared" si="243"/>
        <v>9.8997717879891223</v>
      </c>
      <c r="P754" s="609">
        <f t="shared" si="244"/>
        <v>9.9135068457345934</v>
      </c>
      <c r="Q754" s="609">
        <f t="shared" si="245"/>
        <v>5.5682695642072018</v>
      </c>
      <c r="R754" s="603">
        <f t="shared" si="246"/>
        <v>12.095027723289565</v>
      </c>
    </row>
    <row r="755" spans="2:18">
      <c r="B755" s="595" t="s">
        <v>1054</v>
      </c>
      <c r="C755" s="1844">
        <f t="shared" si="248"/>
        <v>3.609908428477369</v>
      </c>
      <c r="D755" s="609">
        <f t="shared" si="248"/>
        <v>3.4781256124301052</v>
      </c>
      <c r="E755" s="609">
        <f t="shared" si="248"/>
        <v>3.4623760737663822</v>
      </c>
      <c r="F755" s="609">
        <f t="shared" si="248"/>
        <v>3.76361294477578</v>
      </c>
      <c r="G755" s="609">
        <f t="shared" si="248"/>
        <v>4.2412124993341713</v>
      </c>
      <c r="H755" s="609">
        <f t="shared" si="248"/>
        <v>5.1425709502119972</v>
      </c>
      <c r="I755" s="609">
        <f t="shared" si="248"/>
        <v>5.4695192417960818</v>
      </c>
      <c r="J755" s="603">
        <f t="shared" si="248"/>
        <v>5.9057574328219467</v>
      </c>
      <c r="K755" s="609" t="str">
        <f t="shared" si="239"/>
        <v>0</v>
      </c>
      <c r="L755" s="609" t="str">
        <f t="shared" si="240"/>
        <v>0</v>
      </c>
      <c r="M755" s="609" t="str">
        <f t="shared" si="241"/>
        <v>0</v>
      </c>
      <c r="N755" s="609" t="str">
        <f t="shared" si="242"/>
        <v>0</v>
      </c>
      <c r="O755" s="609" t="str">
        <f t="shared" si="243"/>
        <v>0</v>
      </c>
      <c r="P755" s="609" t="str">
        <f t="shared" si="244"/>
        <v>0</v>
      </c>
      <c r="Q755" s="609" t="str">
        <f t="shared" si="245"/>
        <v>0</v>
      </c>
      <c r="R755" s="603" t="str">
        <f t="shared" si="246"/>
        <v>0</v>
      </c>
    </row>
    <row r="756" spans="2:18">
      <c r="B756" s="604" t="s">
        <v>1055</v>
      </c>
      <c r="C756" s="610">
        <f t="shared" si="248"/>
        <v>2.8003405086814221</v>
      </c>
      <c r="D756" s="617">
        <f t="shared" si="248"/>
        <v>3.0310186857094954</v>
      </c>
      <c r="E756" s="617">
        <f t="shared" si="248"/>
        <v>3.0353160296684609</v>
      </c>
      <c r="F756" s="617">
        <f t="shared" si="248"/>
        <v>2.9057810204739951</v>
      </c>
      <c r="G756" s="617">
        <f t="shared" si="248"/>
        <v>2.9553946544890066</v>
      </c>
      <c r="H756" s="617">
        <f t="shared" si="248"/>
        <v>2.993601215023074</v>
      </c>
      <c r="I756" s="617">
        <f t="shared" si="248"/>
        <v>3.0746706551628096</v>
      </c>
      <c r="J756" s="618">
        <f t="shared" si="248"/>
        <v>2.7120242570395714</v>
      </c>
      <c r="K756" s="617">
        <f t="shared" si="239"/>
        <v>11.088771559137998</v>
      </c>
      <c r="L756" s="617">
        <f t="shared" si="240"/>
        <v>12.048645128992565</v>
      </c>
      <c r="M756" s="617">
        <f t="shared" si="241"/>
        <v>11.042048592658592</v>
      </c>
      <c r="N756" s="617">
        <f t="shared" si="242"/>
        <v>10.803740610176032</v>
      </c>
      <c r="O756" s="617">
        <f t="shared" si="243"/>
        <v>10.952785685654103</v>
      </c>
      <c r="P756" s="617">
        <f t="shared" si="244"/>
        <v>9.7776031528900056</v>
      </c>
      <c r="Q756" s="617">
        <f t="shared" si="245"/>
        <v>7.7804420760146566</v>
      </c>
      <c r="R756" s="618">
        <f t="shared" si="246"/>
        <v>8.0382165063501319</v>
      </c>
    </row>
    <row r="757" spans="2:18">
      <c r="B757" s="57"/>
      <c r="C757" s="582"/>
      <c r="D757" s="582"/>
      <c r="E757" s="582"/>
      <c r="F757" s="582"/>
      <c r="G757" s="582"/>
      <c r="H757" s="582"/>
      <c r="I757" s="582"/>
      <c r="J757" s="582"/>
      <c r="K757" s="582"/>
      <c r="L757" s="582"/>
      <c r="M757" s="582"/>
      <c r="N757" s="582"/>
      <c r="O757" s="582"/>
      <c r="P757" s="582"/>
      <c r="Q757" s="582"/>
    </row>
    <row r="758" spans="2:18">
      <c r="B758" s="2157" t="s">
        <v>1133</v>
      </c>
      <c r="C758" s="2157"/>
      <c r="D758" s="2157"/>
      <c r="E758" s="2157"/>
      <c r="F758" s="2157"/>
      <c r="G758" s="2157"/>
      <c r="H758" s="2157"/>
      <c r="I758" s="2157"/>
      <c r="J758" s="2157"/>
      <c r="K758" s="2157"/>
      <c r="L758" s="2157"/>
      <c r="M758" s="2157"/>
      <c r="N758" s="2157"/>
      <c r="O758" s="2157"/>
      <c r="P758" s="2157"/>
      <c r="Q758" s="2157"/>
      <c r="R758" s="2157"/>
    </row>
    <row r="759" spans="2:18">
      <c r="B759" s="2159" t="s">
        <v>1134</v>
      </c>
      <c r="C759" s="2159"/>
      <c r="D759" s="2159"/>
      <c r="E759" s="2159"/>
      <c r="F759" s="2159"/>
      <c r="G759" s="2159"/>
      <c r="H759" s="2159"/>
      <c r="I759" s="2159"/>
      <c r="J759" s="2159"/>
      <c r="K759" s="2159"/>
      <c r="L759" s="2159"/>
      <c r="M759" s="2159"/>
      <c r="N759" s="2159"/>
      <c r="O759" s="2159"/>
      <c r="P759" s="2159"/>
      <c r="Q759" s="2159"/>
      <c r="R759" s="2159"/>
    </row>
    <row r="760" spans="2:18">
      <c r="B760" s="2160" t="s">
        <v>1135</v>
      </c>
      <c r="C760" s="2160"/>
      <c r="D760" s="2160"/>
      <c r="E760" s="2160"/>
      <c r="F760" s="2160"/>
      <c r="G760" s="2160"/>
      <c r="H760" s="2160"/>
      <c r="I760" s="2160"/>
      <c r="J760" s="2160"/>
      <c r="K760" s="2160"/>
      <c r="L760" s="2160"/>
      <c r="M760" s="2160"/>
      <c r="N760" s="2160"/>
      <c r="O760" s="2160"/>
      <c r="P760" s="2160"/>
      <c r="Q760" s="2160"/>
      <c r="R760" s="2160"/>
    </row>
    <row r="761" spans="2:18">
      <c r="B761" s="57"/>
      <c r="C761" s="582"/>
      <c r="D761" s="582"/>
      <c r="E761" s="582"/>
      <c r="F761" s="582"/>
      <c r="G761" s="582"/>
      <c r="H761" s="582"/>
      <c r="I761" s="582"/>
      <c r="J761" s="582"/>
      <c r="K761" s="582"/>
      <c r="L761" s="582"/>
      <c r="M761" s="582"/>
      <c r="N761" s="582"/>
      <c r="O761" s="582"/>
      <c r="P761" s="582"/>
      <c r="Q761" s="582"/>
    </row>
    <row r="762" spans="2:18">
      <c r="B762" s="641">
        <v>100</v>
      </c>
      <c r="C762" s="2161" t="s">
        <v>361</v>
      </c>
      <c r="D762" s="2162"/>
      <c r="E762" s="2162"/>
      <c r="F762" s="2162"/>
      <c r="G762" s="2162"/>
      <c r="H762" s="2162"/>
      <c r="I762" s="2162"/>
      <c r="J762" s="2163"/>
      <c r="K762" s="2161" t="s">
        <v>358</v>
      </c>
      <c r="L762" s="2162"/>
      <c r="M762" s="2162"/>
      <c r="N762" s="2162"/>
      <c r="O762" s="2162"/>
      <c r="P762" s="2162"/>
      <c r="Q762" s="2162"/>
      <c r="R762" s="2163"/>
    </row>
    <row r="763" spans="2:18">
      <c r="B763" s="57"/>
      <c r="C763" s="585">
        <v>2014</v>
      </c>
      <c r="D763" s="586">
        <v>2015</v>
      </c>
      <c r="E763" s="586">
        <v>2016</v>
      </c>
      <c r="F763" s="586">
        <v>2017</v>
      </c>
      <c r="G763" s="586">
        <v>2018</v>
      </c>
      <c r="H763" s="586">
        <v>2019</v>
      </c>
      <c r="I763" s="586">
        <v>2020</v>
      </c>
      <c r="J763" s="586">
        <v>2021</v>
      </c>
      <c r="K763" s="587">
        <v>2014</v>
      </c>
      <c r="L763" s="588">
        <v>2015</v>
      </c>
      <c r="M763" s="588">
        <v>2016</v>
      </c>
      <c r="N763" s="588">
        <v>2017</v>
      </c>
      <c r="O763" s="588">
        <v>2018</v>
      </c>
      <c r="P763" s="588">
        <v>2019</v>
      </c>
      <c r="Q763" s="588">
        <v>2020</v>
      </c>
      <c r="R763" s="1650">
        <v>2021</v>
      </c>
    </row>
    <row r="764" spans="2:18">
      <c r="B764" s="589" t="s">
        <v>1038</v>
      </c>
      <c r="C764" s="614">
        <f>ARG!C226/1000</f>
        <v>956.80591268117632</v>
      </c>
      <c r="D764" s="615">
        <f>ARG!D226/1000</f>
        <v>811.54407601136484</v>
      </c>
      <c r="E764" s="615">
        <f>ARG!E226/1000</f>
        <v>971.16046138915601</v>
      </c>
      <c r="F764" s="615">
        <f>ARG!F226/1000</f>
        <v>1090.0683212699457</v>
      </c>
      <c r="G764" s="615">
        <f>ARG!G226/1000</f>
        <v>787.29305363370054</v>
      </c>
      <c r="H764" s="615">
        <f>ARG!H226/1000</f>
        <v>789.70339906009372</v>
      </c>
      <c r="I764" s="615">
        <f>ARG!I226/1000</f>
        <v>827.60897614911198</v>
      </c>
      <c r="J764" s="615">
        <f>ARG!J226/1000</f>
        <v>1272.6580160252365</v>
      </c>
      <c r="K764" s="1671">
        <f>ARG!C229/1000</f>
        <v>7.4012532351412563</v>
      </c>
      <c r="L764" s="1672">
        <f>ARG!D229/1000</f>
        <v>6.8403982532518262</v>
      </c>
      <c r="M764" s="1672">
        <f>ARG!E229/1000</f>
        <v>8.4951282813529172</v>
      </c>
      <c r="N764" s="1672">
        <f>ARG!F229/1000</f>
        <v>11.131363709295202</v>
      </c>
      <c r="O764" s="1672">
        <f>ARG!G229/1000</f>
        <v>8.6470784494872799</v>
      </c>
      <c r="P764" s="1672">
        <f>ARG!H229/1000</f>
        <v>8.9580194842198857</v>
      </c>
      <c r="Q764" s="1672">
        <f>ARG!I229/1000</f>
        <v>9.0655759505713078</v>
      </c>
      <c r="R764" s="1673">
        <f>ARG!J229/1000</f>
        <v>12.972177739221872</v>
      </c>
    </row>
    <row r="765" spans="2:18">
      <c r="B765" s="595" t="s">
        <v>1039</v>
      </c>
      <c r="C765" s="608">
        <f>BA!C215/1000</f>
        <v>6.3928570000000002</v>
      </c>
      <c r="D765" s="609">
        <f>BA!D215/1000</f>
        <v>6.722925</v>
      </c>
      <c r="E765" s="609">
        <f>BA!E215/1000</f>
        <v>8.658353</v>
      </c>
      <c r="F765" s="609">
        <f>BA!F215/1000</f>
        <v>12.384528</v>
      </c>
      <c r="G765" s="609">
        <f>BA!G215/1000</f>
        <v>14.370718999999999</v>
      </c>
      <c r="H765" s="609">
        <f>BA!H215/1000</f>
        <v>13.837616000000001</v>
      </c>
      <c r="I765" s="609">
        <f>BA!I215/1000</f>
        <v>13.063120999999999</v>
      </c>
      <c r="J765" s="609">
        <f>BA!J215/1000</f>
        <v>16.274450999999999</v>
      </c>
      <c r="K765" s="1670">
        <f>BA!C218/1000</f>
        <v>3.0882E-2</v>
      </c>
      <c r="L765" s="602">
        <f>BA!D218/1000</f>
        <v>0.33595199999999997</v>
      </c>
      <c r="M765" s="602">
        <f>BA!E218/1000</f>
        <v>0.34248299999999998</v>
      </c>
      <c r="N765" s="602">
        <f>BA!F218/1000</f>
        <v>0.36823</v>
      </c>
      <c r="O765" s="602">
        <f>BA!G218/1000</f>
        <v>0.53198199999999995</v>
      </c>
      <c r="P765" s="602">
        <f>BA!H218/1000</f>
        <v>0.55046299999999992</v>
      </c>
      <c r="Q765" s="602">
        <f>BA!I218/1000</f>
        <v>0.45095299999999999</v>
      </c>
      <c r="R765" s="846">
        <f>BA!J218/1000</f>
        <v>0.51088900000000004</v>
      </c>
    </row>
    <row r="766" spans="2:18">
      <c r="B766" s="595" t="s">
        <v>1040</v>
      </c>
      <c r="C766" s="608">
        <f>BO!C226/1000</f>
        <v>0</v>
      </c>
      <c r="D766" s="609">
        <f>BO!D226/1000</f>
        <v>0</v>
      </c>
      <c r="E766" s="609">
        <f>BO!E226/1000</f>
        <v>0</v>
      </c>
      <c r="F766" s="609">
        <f>BO!F226/1000</f>
        <v>0</v>
      </c>
      <c r="G766" s="609">
        <f>BO!G226/1000</f>
        <v>0</v>
      </c>
      <c r="H766" s="609">
        <f>BO!H226/1000</f>
        <v>0</v>
      </c>
      <c r="I766" s="609">
        <f>BO!I226/1000</f>
        <v>0</v>
      </c>
      <c r="J766" s="609">
        <f>BO!J226/1000</f>
        <v>0</v>
      </c>
      <c r="K766" s="1670">
        <f>BO!C216/1000</f>
        <v>0</v>
      </c>
      <c r="L766" s="602">
        <f>BO!D216/1000</f>
        <v>0</v>
      </c>
      <c r="M766" s="602">
        <f>BO!E216/1000</f>
        <v>0</v>
      </c>
      <c r="N766" s="602">
        <f>BO!F216/1000</f>
        <v>0</v>
      </c>
      <c r="O766" s="602">
        <f>BO!G216/1000</f>
        <v>0</v>
      </c>
      <c r="P766" s="602">
        <f>BO!H216/1000</f>
        <v>0</v>
      </c>
      <c r="Q766" s="602">
        <f>BO!I216/1000</f>
        <v>0</v>
      </c>
      <c r="R766" s="846">
        <f>BO!J216/1000</f>
        <v>0</v>
      </c>
    </row>
    <row r="767" spans="2:18">
      <c r="B767" s="595" t="s">
        <v>1041</v>
      </c>
      <c r="C767" s="608">
        <f>BR!C221/1000</f>
        <v>14325.897307512636</v>
      </c>
      <c r="D767" s="609">
        <f>BR!D221/1000</f>
        <v>10827.413137149193</v>
      </c>
      <c r="E767" s="609">
        <f>BR!E221/1000</f>
        <v>10333.102425851062</v>
      </c>
      <c r="F767" s="609">
        <f>BR!F221/1000</f>
        <v>12362.997619006053</v>
      </c>
      <c r="G767" s="609">
        <f>BR!G221/1000</f>
        <v>12220.459185825195</v>
      </c>
      <c r="H767" s="609">
        <f>BR!H221/1000</f>
        <v>13326.530165366901</v>
      </c>
      <c r="I767" s="609">
        <f>BR!I221/1000</f>
        <v>11884.884916901354</v>
      </c>
      <c r="J767" s="609">
        <f>BR!J221/1000</f>
        <v>14667.550634376825</v>
      </c>
      <c r="K767" s="1670">
        <f>BR!C224/1000</f>
        <v>2134.4919658555232</v>
      </c>
      <c r="L767" s="602">
        <f>BR!D224/1000</f>
        <v>1291.9243080291762</v>
      </c>
      <c r="M767" s="602">
        <f>BR!E224/1000</f>
        <v>1870.5689573105965</v>
      </c>
      <c r="N767" s="602">
        <f>BR!F224/1000</f>
        <v>2259.5310214402507</v>
      </c>
      <c r="O767" s="602">
        <f>BR!G224/1000</f>
        <v>1867.174498324033</v>
      </c>
      <c r="P767" s="602">
        <f>BR!H224/1000</f>
        <v>1312.5757665581866</v>
      </c>
      <c r="Q767" s="602">
        <f>BR!I224/1000</f>
        <v>823.46466865177024</v>
      </c>
      <c r="R767" s="846">
        <f>BR!J224/1000</f>
        <v>887.95953780196828</v>
      </c>
    </row>
    <row r="768" spans="2:18">
      <c r="B768" s="595" t="s">
        <v>1042</v>
      </c>
      <c r="C768" s="608">
        <f>CL!C218/1000</f>
        <v>118.15332078378313</v>
      </c>
      <c r="D768" s="609">
        <f>CL!D218/1000</f>
        <v>136.08762565934376</v>
      </c>
      <c r="E768" s="609">
        <f>CL!E218/1000</f>
        <v>170.82714125387616</v>
      </c>
      <c r="F768" s="609">
        <f>CL!F218/1000</f>
        <v>209.38021384543546</v>
      </c>
      <c r="G768" s="609">
        <f>CL!G218/1000</f>
        <v>194.62758327934745</v>
      </c>
      <c r="H768" s="609">
        <f>CL!H218/1000</f>
        <v>191.52034140252852</v>
      </c>
      <c r="I768" s="609">
        <f>CL!I218/1000</f>
        <v>196.68971867007673</v>
      </c>
      <c r="J768" s="609">
        <f>CL!J218/1000</f>
        <v>227.52037157757496</v>
      </c>
      <c r="K768" s="1670">
        <f>CL!C221/1000</f>
        <v>0</v>
      </c>
      <c r="L768" s="602">
        <f>CL!D221/1000</f>
        <v>0</v>
      </c>
      <c r="M768" s="602">
        <f>CL!E221/1000</f>
        <v>0</v>
      </c>
      <c r="N768" s="602">
        <f>CL!F221/1000</f>
        <v>0</v>
      </c>
      <c r="O768" s="602">
        <f>CL!G221/1000</f>
        <v>0</v>
      </c>
      <c r="P768" s="602">
        <f>CL!H221/1000</f>
        <v>0</v>
      </c>
      <c r="Q768" s="602">
        <f>CL!I221/1000</f>
        <v>0</v>
      </c>
      <c r="R768" s="846">
        <f>CL!J221/1000</f>
        <v>0</v>
      </c>
    </row>
    <row r="769" spans="2:18">
      <c r="B769" s="595" t="s">
        <v>1043</v>
      </c>
      <c r="C769" s="608">
        <f>CO!C215/1000</f>
        <v>389.9181586998435</v>
      </c>
      <c r="D769" s="609">
        <f>CO!D215/1000</f>
        <v>316.19768465752804</v>
      </c>
      <c r="E769" s="609">
        <f>CO!E215/1000</f>
        <v>298.12813196463082</v>
      </c>
      <c r="F769" s="609">
        <f>CO!F215/1000</f>
        <v>338.04073600496957</v>
      </c>
      <c r="G769" s="609">
        <f>CO!G215/1000</f>
        <v>375.1781013306998</v>
      </c>
      <c r="H769" s="609">
        <f>CO!H215/1000</f>
        <v>378.33952830481445</v>
      </c>
      <c r="I769" s="609">
        <f>CO!I215/1000</f>
        <v>394.3187732462153</v>
      </c>
      <c r="J769" s="609">
        <f>CO!J215/1000</f>
        <v>414.2155904976791</v>
      </c>
      <c r="K769" s="1670">
        <f>CO!C218/1000</f>
        <v>1.1573727694915528</v>
      </c>
      <c r="L769" s="602">
        <f>CO!D218/1000</f>
        <v>0.95048657281929005</v>
      </c>
      <c r="M769" s="602">
        <f>CO!E218/1000</f>
        <v>1.0503942686162597</v>
      </c>
      <c r="N769" s="602">
        <f>CO!F218/1000</f>
        <v>1.2630302331627974</v>
      </c>
      <c r="O769" s="602">
        <f>CO!G218/1000</f>
        <v>1.5089376143813282</v>
      </c>
      <c r="P769" s="602">
        <f>CO!H218/1000</f>
        <v>1.4197900444554366</v>
      </c>
      <c r="Q769" s="602">
        <f>CO!I218/1000</f>
        <v>1.2162536365611138</v>
      </c>
      <c r="R769" s="846">
        <f>CO!J218/1000</f>
        <v>0.97212974812280095</v>
      </c>
    </row>
    <row r="770" spans="2:18">
      <c r="B770" s="595" t="s">
        <v>1044</v>
      </c>
      <c r="C770" s="608">
        <f>CR!C223/1000</f>
        <v>0</v>
      </c>
      <c r="D770" s="609">
        <f>CR!D223/1000</f>
        <v>0</v>
      </c>
      <c r="E770" s="609">
        <f>CR!E223/1000</f>
        <v>0</v>
      </c>
      <c r="F770" s="609">
        <f>CR!F223/1000</f>
        <v>253.01536199326071</v>
      </c>
      <c r="G770" s="609">
        <f>CR!G223/1000</f>
        <v>262.80859936261936</v>
      </c>
      <c r="H770" s="609">
        <f>CR!H223/1000</f>
        <v>316.00365566640806</v>
      </c>
      <c r="I770" s="609">
        <f>CR!I223/1000</f>
        <v>305.54166549321513</v>
      </c>
      <c r="J770" s="609">
        <f>CR!J223/1000</f>
        <v>281.34153097388707</v>
      </c>
      <c r="K770" s="1670">
        <f>CR!C226/1000</f>
        <v>0</v>
      </c>
      <c r="L770" s="602">
        <f>CR!D226/1000</f>
        <v>0</v>
      </c>
      <c r="M770" s="602">
        <f>CR!E226/1000</f>
        <v>0</v>
      </c>
      <c r="N770" s="602">
        <f>CR!F226/1000</f>
        <v>68.800498913011651</v>
      </c>
      <c r="O770" s="602">
        <f>CR!G226/1000</f>
        <v>85.577006421880782</v>
      </c>
      <c r="P770" s="602">
        <f>CR!H226/1000</f>
        <v>76.121249188787829</v>
      </c>
      <c r="Q770" s="602">
        <f>CR!I226/1000</f>
        <v>76.56611706804236</v>
      </c>
      <c r="R770" s="846">
        <f>CR!J226/1000</f>
        <v>92.321547980389951</v>
      </c>
    </row>
    <row r="771" spans="2:18">
      <c r="B771" s="595" t="s">
        <v>1061</v>
      </c>
      <c r="C771" s="608">
        <v>0</v>
      </c>
      <c r="D771" s="609">
        <v>24.1</v>
      </c>
      <c r="E771" s="609">
        <f>CW!E234/1000</f>
        <v>33.88606762386123</v>
      </c>
      <c r="F771" s="609">
        <f>CW!F234/1000</f>
        <v>34.24418760006408</v>
      </c>
      <c r="G771" s="609">
        <f>CW!G234/1000</f>
        <v>36.878690802167597</v>
      </c>
      <c r="H771" s="609">
        <f>CW!H234/1000</f>
        <v>32.423006724022343</v>
      </c>
      <c r="I771" s="609">
        <f>CW!I234/1000</f>
        <v>27.81525839888268</v>
      </c>
      <c r="J771" s="609">
        <f>CW!J234/1000</f>
        <v>45.154980537430163</v>
      </c>
      <c r="K771" s="1670">
        <f>CW!C237/1000</f>
        <v>0</v>
      </c>
      <c r="L771" s="602">
        <f>CW!D237/1000</f>
        <v>0</v>
      </c>
      <c r="M771" s="602">
        <f>CW!E237/1000</f>
        <v>9.7885952575419002E-2</v>
      </c>
      <c r="N771" s="602">
        <f>CW!F237/1000</f>
        <v>9.8248651234636872E-2</v>
      </c>
      <c r="O771" s="602">
        <f>CW!G237/1000</f>
        <v>0.12656020934636872</v>
      </c>
      <c r="P771" s="602">
        <f>CW!H237/1000</f>
        <v>8.0958637430167596E-2</v>
      </c>
      <c r="Q771" s="602">
        <f>CW!I237/1000</f>
        <v>7.9914082122905031E-2</v>
      </c>
      <c r="R771" s="846">
        <f>CW!J237/1000</f>
        <v>7.4229611731843573E-2</v>
      </c>
    </row>
    <row r="772" spans="2:18">
      <c r="B772" s="595" t="s">
        <v>1047</v>
      </c>
      <c r="C772" s="608">
        <f>EC!C217/1000</f>
        <v>66.964639794619998</v>
      </c>
      <c r="D772" s="609">
        <f>EC!D217/1000</f>
        <v>87.317155625240005</v>
      </c>
      <c r="E772" s="609">
        <f>EC!E217/1000</f>
        <v>91.63635808059</v>
      </c>
      <c r="F772" s="609">
        <f>EC!F217/1000</f>
        <v>98.961462494680006</v>
      </c>
      <c r="G772" s="609">
        <f>EC!G217/1000</f>
        <v>107.77256222837001</v>
      </c>
      <c r="H772" s="609">
        <f>EC!H217/1000</f>
        <v>113.45810338113999</v>
      </c>
      <c r="I772" s="609">
        <f>EC!I217/1000</f>
        <v>110.60461299281</v>
      </c>
      <c r="J772" s="609">
        <f>EC!J217/1000</f>
        <v>136.90942385771999</v>
      </c>
      <c r="K772" s="1670">
        <f>EC!C220/1000</f>
        <v>8.9289193892400007</v>
      </c>
      <c r="L772" s="602">
        <f>EC!D220/1000</f>
        <v>10.55746573989</v>
      </c>
      <c r="M772" s="602">
        <f>EC!E220/1000</f>
        <v>9.4002276852800009</v>
      </c>
      <c r="N772" s="602">
        <f>EC!F220/1000</f>
        <v>9.6869777192300006</v>
      </c>
      <c r="O772" s="602">
        <f>EC!G220/1000</f>
        <v>10.5107316056</v>
      </c>
      <c r="P772" s="602">
        <f>EC!H220/1000</f>
        <v>10.58290216981</v>
      </c>
      <c r="Q772" s="602">
        <f>EC!I220/1000</f>
        <v>9.7299971998199997</v>
      </c>
      <c r="R772" s="846">
        <f>EC!J220/1000</f>
        <v>9.7577109517</v>
      </c>
    </row>
    <row r="773" spans="2:18">
      <c r="B773" s="595" t="s">
        <v>1048</v>
      </c>
      <c r="C773" s="608">
        <f>SV!C219/1000</f>
        <v>0</v>
      </c>
      <c r="D773" s="609">
        <f>SV!D219/1000</f>
        <v>19.520686000000001</v>
      </c>
      <c r="E773" s="609">
        <f>SV!E219/1000</f>
        <v>33.571161000000004</v>
      </c>
      <c r="F773" s="609">
        <f>SV!F219/1000</f>
        <v>35.028576999999999</v>
      </c>
      <c r="G773" s="609">
        <f>SV!G219/1000</f>
        <v>39.929912000000002</v>
      </c>
      <c r="H773" s="609">
        <f>SV!H219/1000</f>
        <v>50.938215999999997</v>
      </c>
      <c r="I773" s="609">
        <f>SV!I219/1000</f>
        <v>52.054631633276479</v>
      </c>
      <c r="J773" s="609">
        <f>SV!J219/1000</f>
        <v>57.1768</v>
      </c>
      <c r="K773" s="1670">
        <f>SV!C222/1000</f>
        <v>0</v>
      </c>
      <c r="L773" s="602">
        <f>SV!D222/1000</f>
        <v>0.55307799999999996</v>
      </c>
      <c r="M773" s="602">
        <f>SV!E222/1000</f>
        <v>0.63324999999999998</v>
      </c>
      <c r="N773" s="602">
        <f>SV!F222/1000</f>
        <v>0.57302999999999993</v>
      </c>
      <c r="O773" s="602">
        <f>SV!G222/1000</f>
        <v>0.67224000000000006</v>
      </c>
      <c r="P773" s="602">
        <f>SV!H222/1000</f>
        <v>0.72994000000000003</v>
      </c>
      <c r="Q773" s="602">
        <f>SV!I222/1000</f>
        <v>0.61823260082799991</v>
      </c>
      <c r="R773" s="846">
        <f>SV!J222/1000</f>
        <v>0.21493000000000001</v>
      </c>
    </row>
    <row r="774" spans="2:18">
      <c r="B774" s="595" t="s">
        <v>1049</v>
      </c>
      <c r="C774" s="608">
        <f>GT!C225/1000</f>
        <v>1.3849999999999999E-2</v>
      </c>
      <c r="D774" s="609">
        <f>GT!D225/1000</f>
        <v>7.8860000000000006E-3</v>
      </c>
      <c r="E774" s="609">
        <f>GT!E225/1000</f>
        <v>9.0310000000000008E-3</v>
      </c>
      <c r="F774" s="609">
        <f>GT!F225/1000</f>
        <v>1.9800000000000002E-2</v>
      </c>
      <c r="G774" s="609">
        <f>GT!G225/1000</f>
        <v>2.3625E-2</v>
      </c>
      <c r="H774" s="609">
        <f>GT!H225/1000</f>
        <v>2.5163000000000001E-2</v>
      </c>
      <c r="I774" s="609">
        <f>GT!I225/1000</f>
        <v>2.4012000000000002E-2</v>
      </c>
      <c r="J774" s="609">
        <f>GT!J225/1000</f>
        <v>2.1014999999999999E-2</v>
      </c>
      <c r="K774" s="1670">
        <f>GT!C228/1000</f>
        <v>0</v>
      </c>
      <c r="L774" s="602">
        <f>GT!D228/1000</f>
        <v>0</v>
      </c>
      <c r="M774" s="602">
        <f>GT!E228/1000</f>
        <v>0</v>
      </c>
      <c r="N774" s="602">
        <f>GT!F228/1000</f>
        <v>0</v>
      </c>
      <c r="O774" s="602">
        <f>GT!G228/1000</f>
        <v>0</v>
      </c>
      <c r="P774" s="602">
        <f>GT!H228/1000</f>
        <v>0</v>
      </c>
      <c r="Q774" s="602">
        <f>GT!I228/1000</f>
        <v>0</v>
      </c>
      <c r="R774" s="846">
        <f>GT!J228/1000</f>
        <v>0</v>
      </c>
    </row>
    <row r="775" spans="2:18">
      <c r="B775" s="595" t="s">
        <v>1050</v>
      </c>
      <c r="C775" s="608">
        <f>HN!C224/1000</f>
        <v>0</v>
      </c>
      <c r="D775" s="609">
        <f>HN!D224/1000</f>
        <v>0</v>
      </c>
      <c r="E775" s="609">
        <f>HN!E224/1000</f>
        <v>0</v>
      </c>
      <c r="F775" s="609">
        <f>HN!F224/1000</f>
        <v>0</v>
      </c>
      <c r="G775" s="609">
        <f>HN!G224/1000</f>
        <v>0</v>
      </c>
      <c r="H775" s="609">
        <f>HN!H224/1000</f>
        <v>0</v>
      </c>
      <c r="I775" s="609">
        <f>HN!I224/1000</f>
        <v>0</v>
      </c>
      <c r="J775" s="609">
        <f>HN!J224/1000</f>
        <v>0</v>
      </c>
      <c r="K775" s="1670">
        <f>HN!C227/1000</f>
        <v>0</v>
      </c>
      <c r="L775" s="602">
        <f>HN!D227/1000</f>
        <v>0</v>
      </c>
      <c r="M775" s="602">
        <f>HN!E227/1000</f>
        <v>0</v>
      </c>
      <c r="N775" s="602">
        <f>HN!F227/1000</f>
        <v>0</v>
      </c>
      <c r="O775" s="602">
        <f>HN!G227/1000</f>
        <v>0</v>
      </c>
      <c r="P775" s="602">
        <f>HN!H227/1000</f>
        <v>0</v>
      </c>
      <c r="Q775" s="602">
        <f>HN!I227/1000</f>
        <v>0</v>
      </c>
      <c r="R775" s="846">
        <f>HN!J227/1000</f>
        <v>0</v>
      </c>
    </row>
    <row r="776" spans="2:18">
      <c r="B776" s="595" t="s">
        <v>1051</v>
      </c>
      <c r="C776" s="608">
        <f>JM!C220/1000</f>
        <v>1.256772520498741</v>
      </c>
      <c r="D776" s="609">
        <f>JM!D220/1000</f>
        <v>1.4693968611519328</v>
      </c>
      <c r="E776" s="609">
        <f>JM!E220/1000</f>
        <v>1.6294192217488421</v>
      </c>
      <c r="F776" s="609">
        <f>JM!F220/1000</f>
        <v>1.9209404526582314</v>
      </c>
      <c r="G776" s="609">
        <f>JM!G220/1000</f>
        <v>2.2836185701643958</v>
      </c>
      <c r="H776" s="609">
        <f>JM!H220/1000</f>
        <v>2.6624132134038878</v>
      </c>
      <c r="I776" s="609">
        <f>JM!I220/1000</f>
        <v>3.0285025436707365</v>
      </c>
      <c r="J776" s="609">
        <f>JM!J220/1000</f>
        <v>3.53556730430698</v>
      </c>
      <c r="K776" s="1670">
        <f>JM!C223/1000</f>
        <v>8.7201544580401136E-2</v>
      </c>
      <c r="L776" s="602">
        <f>JM!D223/1000</f>
        <v>7.5043689182327789E-2</v>
      </c>
      <c r="M776" s="602">
        <f>JM!E223/1000</f>
        <v>7.1707304320992468E-2</v>
      </c>
      <c r="N776" s="602">
        <f>JM!F223/1000</f>
        <v>7.72557710992125E-2</v>
      </c>
      <c r="O776" s="602">
        <f>JM!G223/1000</f>
        <v>7.7337454109971962E-2</v>
      </c>
      <c r="P776" s="602">
        <f>JM!H223/1000</f>
        <v>5.9270209709208044E-2</v>
      </c>
      <c r="Q776" s="602">
        <f>JM!I223/1000</f>
        <v>5.8191198457055157E-2</v>
      </c>
      <c r="R776" s="846">
        <f>JM!J223/1000</f>
        <v>5.8772503199155585E-2</v>
      </c>
    </row>
    <row r="777" spans="2:18">
      <c r="B777" s="595" t="s">
        <v>1052</v>
      </c>
      <c r="C777" s="608">
        <f>RD!C235/1000</f>
        <v>75.789664152866521</v>
      </c>
      <c r="D777" s="609">
        <f>RD!D235/1000</f>
        <v>75.574428609889878</v>
      </c>
      <c r="E777" s="609">
        <f>RD!E235/1000</f>
        <v>84.522324162836753</v>
      </c>
      <c r="F777" s="609">
        <f>RD!F235/1000</f>
        <v>89.092187072209086</v>
      </c>
      <c r="G777" s="609">
        <f>RD!G235/1000</f>
        <v>73.143472356404317</v>
      </c>
      <c r="H777" s="609">
        <f>RD!H235/1000</f>
        <v>80.474972777621787</v>
      </c>
      <c r="I777" s="609">
        <f>RD!I235/1000</f>
        <v>82.484293426328293</v>
      </c>
      <c r="J777" s="609">
        <f>RD!J235/1000</f>
        <v>102.59994736764826</v>
      </c>
      <c r="K777" s="1670">
        <f>RD!C238/1000</f>
        <v>8.7720556877409415</v>
      </c>
      <c r="L777" s="602">
        <f>RD!D238/1000</f>
        <v>8.4859251730672582</v>
      </c>
      <c r="M777" s="602">
        <f>RD!E238/1000</f>
        <v>4.7725129471087495</v>
      </c>
      <c r="N777" s="602">
        <f>RD!F238/1000</f>
        <v>3.4252480481749576</v>
      </c>
      <c r="O777" s="602">
        <f>RD!G238/1000</f>
        <v>4.3397087160169274</v>
      </c>
      <c r="P777" s="602">
        <f>RD!H238/1000</f>
        <v>4.5585476894947421</v>
      </c>
      <c r="Q777" s="602">
        <f>RD!I238/1000</f>
        <v>4.8562923773792734</v>
      </c>
      <c r="R777" s="846">
        <f>RD!J238/1000</f>
        <v>7.0509121559807557</v>
      </c>
    </row>
    <row r="778" spans="2:18">
      <c r="B778" s="595" t="s">
        <v>1053</v>
      </c>
      <c r="C778" s="608">
        <f>PY!C218/1000</f>
        <v>0</v>
      </c>
      <c r="D778" s="609">
        <f>PY!D218/1000</f>
        <v>341.66397169746352</v>
      </c>
      <c r="E778" s="609">
        <f>PY!E218/1000</f>
        <v>307.85696630150449</v>
      </c>
      <c r="F778" s="609">
        <f>PY!F218/1000</f>
        <v>305.49973815157608</v>
      </c>
      <c r="G778" s="609">
        <f>PY!G218/1000</f>
        <v>345.22488981487896</v>
      </c>
      <c r="H778" s="609">
        <f>PY!H218/1000</f>
        <v>353.19685646238844</v>
      </c>
      <c r="I778" s="609">
        <f>PY!I218/1000</f>
        <v>390.60323078004899</v>
      </c>
      <c r="J778" s="609">
        <f>PY!J218/1000</f>
        <v>567.44181667480098</v>
      </c>
      <c r="K778" s="1670">
        <f>PY!C221/1000</f>
        <v>0</v>
      </c>
      <c r="L778" s="602">
        <f>PY!D221/1000</f>
        <v>0</v>
      </c>
      <c r="M778" s="602">
        <f>PY!E221/1000</f>
        <v>0</v>
      </c>
      <c r="N778" s="602">
        <f>PY!F221/1000</f>
        <v>0</v>
      </c>
      <c r="O778" s="602">
        <f>PY!G221/1000</f>
        <v>0</v>
      </c>
      <c r="P778" s="602">
        <f>PY!H221/1000</f>
        <v>0</v>
      </c>
      <c r="Q778" s="602">
        <f>PY!I221/1000</f>
        <v>0</v>
      </c>
      <c r="R778" s="846">
        <f>PY!J221/1000</f>
        <v>0</v>
      </c>
    </row>
    <row r="779" spans="2:18">
      <c r="B779" s="595" t="s">
        <v>1054</v>
      </c>
      <c r="C779" s="608">
        <f>PE!C222/1000</f>
        <v>633.62210280628801</v>
      </c>
      <c r="D779" s="609">
        <f>PE!D222/1000</f>
        <v>585.88347908766309</v>
      </c>
      <c r="E779" s="609">
        <f>PE!E222/1000</f>
        <v>597.22011516830651</v>
      </c>
      <c r="F779" s="609">
        <f>PE!F222/1000</f>
        <v>733.38928465734489</v>
      </c>
      <c r="G779" s="609">
        <f>PE!G222/1000</f>
        <v>884.36982452035386</v>
      </c>
      <c r="H779" s="609">
        <f>PE!H222/1000</f>
        <v>1119.0577301910548</v>
      </c>
      <c r="I779" s="609">
        <f>PE!I222/1000</f>
        <v>1078.1294457548179</v>
      </c>
      <c r="J779" s="609">
        <f>PE!J222/1000</f>
        <v>1279.4954439751734</v>
      </c>
      <c r="K779" s="1670">
        <f>PE!C225/1000</f>
        <v>1.7306389913485936</v>
      </c>
      <c r="L779" s="602">
        <f>PE!D225/1000</f>
        <v>1.5857169765012473</v>
      </c>
      <c r="M779" s="602">
        <f>PE!E225/1000</f>
        <v>1.5542717268895294</v>
      </c>
      <c r="N779" s="602">
        <f>PE!F225/1000</f>
        <v>1.5980077311138197</v>
      </c>
      <c r="O779" s="602">
        <f>PE!G225/1000</f>
        <v>1.7247571041591978</v>
      </c>
      <c r="P779" s="602">
        <f>PE!H225/1000</f>
        <v>2.1154841099655628</v>
      </c>
      <c r="Q779" s="602">
        <f>PE!I225/1000</f>
        <v>1.8134688068209683</v>
      </c>
      <c r="R779" s="846">
        <f>PE!J225/1000</f>
        <v>1.9369349805568603</v>
      </c>
    </row>
    <row r="780" spans="2:18">
      <c r="B780" s="604" t="s">
        <v>1055</v>
      </c>
      <c r="C780" s="610">
        <f>TT!C227/1000</f>
        <v>26.33507672606542</v>
      </c>
      <c r="D780" s="617">
        <f>TT!D227/1000</f>
        <v>26.259373985096786</v>
      </c>
      <c r="E780" s="617">
        <f>TT!E227/1000</f>
        <v>22.891361216556163</v>
      </c>
      <c r="F780" s="617">
        <f>TT!F227/1000</f>
        <v>22.992247100133202</v>
      </c>
      <c r="G780" s="617">
        <f>TT!G227/1000</f>
        <v>26.257053554578945</v>
      </c>
      <c r="H780" s="617">
        <f>TT!H227/1000</f>
        <v>26.513435919204156</v>
      </c>
      <c r="I780" s="617">
        <f>TT!I227/1000</f>
        <v>26.973354858591378</v>
      </c>
      <c r="J780" s="617">
        <f>TT!J227/1000</f>
        <v>31.261250261475482</v>
      </c>
      <c r="K780" s="1674">
        <f>TT!C230/1000</f>
        <v>7.9075676444801388E-2</v>
      </c>
      <c r="L780" s="1675">
        <f>TT!D230/1000</f>
        <v>9.4466397844393743E-2</v>
      </c>
      <c r="M780" s="1675">
        <f>TT!E230/1000</f>
        <v>7.8835434574228536E-2</v>
      </c>
      <c r="N780" s="1675">
        <f>TT!F230/1000</f>
        <v>8.7213313860209279E-2</v>
      </c>
      <c r="O780" s="1675">
        <f>TT!G230/1000</f>
        <v>0.13330574807313453</v>
      </c>
      <c r="P780" s="1675">
        <f>TT!H230/1000</f>
        <v>0.10844589845591732</v>
      </c>
      <c r="Q780" s="1675">
        <f>TT!I230/1000</f>
        <v>0.27730510723103802</v>
      </c>
      <c r="R780" s="1676">
        <f>TT!J230/1000</f>
        <v>0.76908324145591833</v>
      </c>
    </row>
    <row r="781" spans="2:18">
      <c r="B781" s="57"/>
      <c r="C781" s="582"/>
      <c r="D781" s="582"/>
      <c r="E781" s="582"/>
      <c r="F781" s="582"/>
      <c r="G781" s="582"/>
      <c r="H781" s="582"/>
      <c r="I781" s="582"/>
      <c r="J781" s="582"/>
      <c r="K781" s="582"/>
      <c r="L781" s="582"/>
      <c r="M781" s="582"/>
      <c r="N781" s="582"/>
      <c r="O781" s="582"/>
      <c r="P781" s="582"/>
      <c r="Q781" s="582"/>
    </row>
    <row r="782" spans="2:18">
      <c r="B782" s="2157" t="s">
        <v>1136</v>
      </c>
      <c r="C782" s="2157"/>
      <c r="D782" s="2157"/>
      <c r="E782" s="2157"/>
      <c r="F782" s="2157"/>
      <c r="G782" s="2157"/>
      <c r="H782" s="2157"/>
      <c r="I782" s="2157"/>
      <c r="J782" s="2157"/>
      <c r="K782" s="2157"/>
      <c r="L782" s="2157"/>
      <c r="M782" s="2157"/>
      <c r="N782" s="2157"/>
      <c r="O782" s="2157"/>
      <c r="P782" s="2157"/>
      <c r="Q782" s="2157"/>
      <c r="R782" s="2157"/>
    </row>
    <row r="783" spans="2:18">
      <c r="B783" s="619"/>
      <c r="C783" s="621"/>
      <c r="D783" s="621"/>
      <c r="E783" s="621"/>
      <c r="F783" s="621"/>
      <c r="G783" s="621"/>
      <c r="H783" s="621"/>
      <c r="I783" s="621"/>
      <c r="J783" s="621"/>
      <c r="K783" s="622"/>
      <c r="L783" s="622"/>
      <c r="M783" s="622"/>
      <c r="N783" s="622"/>
      <c r="O783" s="622"/>
      <c r="P783" s="622"/>
      <c r="Q783" s="622"/>
    </row>
    <row r="784" spans="2:18">
      <c r="B784" s="583"/>
      <c r="C784" s="2161" t="s">
        <v>353</v>
      </c>
      <c r="D784" s="2162"/>
      <c r="E784" s="2162"/>
      <c r="F784" s="2162"/>
      <c r="G784" s="2162"/>
      <c r="H784" s="2162"/>
      <c r="I784" s="2162"/>
      <c r="J784" s="2163"/>
      <c r="K784" s="2164" t="s">
        <v>338</v>
      </c>
      <c r="L784" s="2165"/>
      <c r="M784" s="2165"/>
      <c r="N784" s="2165"/>
      <c r="O784" s="2165"/>
      <c r="P784" s="2165"/>
      <c r="Q784" s="2165"/>
      <c r="R784" s="2166"/>
    </row>
    <row r="785" spans="2:18">
      <c r="B785" s="57"/>
      <c r="C785" s="585">
        <v>2014</v>
      </c>
      <c r="D785" s="586">
        <v>2015</v>
      </c>
      <c r="E785" s="586">
        <v>2016</v>
      </c>
      <c r="F785" s="586">
        <v>2017</v>
      </c>
      <c r="G785" s="586">
        <v>2018</v>
      </c>
      <c r="H785" s="586">
        <v>2019</v>
      </c>
      <c r="I785" s="586">
        <v>2020</v>
      </c>
      <c r="J785" s="586">
        <v>2021</v>
      </c>
      <c r="K785" s="587">
        <v>2014</v>
      </c>
      <c r="L785" s="588">
        <v>2015</v>
      </c>
      <c r="M785" s="588">
        <v>2016</v>
      </c>
      <c r="N785" s="588">
        <v>2017</v>
      </c>
      <c r="O785" s="588">
        <v>2018</v>
      </c>
      <c r="P785" s="588">
        <v>2019</v>
      </c>
      <c r="Q785" s="588">
        <v>2020</v>
      </c>
      <c r="R785" s="1650">
        <v>2021</v>
      </c>
    </row>
    <row r="786" spans="2:18">
      <c r="B786" s="589" t="s">
        <v>1038</v>
      </c>
      <c r="C786" s="1671">
        <f>ARG!C235/1000</f>
        <v>237.89276821232866</v>
      </c>
      <c r="D786" s="1672">
        <f>ARG!D235/1000</f>
        <v>181.15209247474738</v>
      </c>
      <c r="E786" s="1672">
        <f>ARG!E235/1000</f>
        <v>181.11437867024074</v>
      </c>
      <c r="F786" s="1672">
        <f>ARG!F235/1000</f>
        <v>187.46216667394401</v>
      </c>
      <c r="G786" s="1672">
        <f>ARG!G235/1000</f>
        <v>116.17689614472377</v>
      </c>
      <c r="H786" s="1672">
        <f>ARG!H235/1000</f>
        <v>97.146780616078132</v>
      </c>
      <c r="I786" s="1672">
        <f>ARG!I235/1000</f>
        <v>51.782827751366774</v>
      </c>
      <c r="J786" s="1672">
        <f>ARG!J235/1000</f>
        <v>68.205367781282874</v>
      </c>
      <c r="K786" s="1671">
        <f>ARG!C234/1000</f>
        <v>0</v>
      </c>
      <c r="L786" s="1672">
        <f>ARG!D234/1000</f>
        <v>0</v>
      </c>
      <c r="M786" s="1672">
        <f>ARG!E234/1000</f>
        <v>8.9678234021652745E-2</v>
      </c>
      <c r="N786" s="1672">
        <f>ARG!F234/1000</f>
        <v>0.63513991254285651</v>
      </c>
      <c r="O786" s="1672">
        <f>ARG!G234/1000</f>
        <v>0.72027763334022676</v>
      </c>
      <c r="P786" s="1672">
        <f>ARG!H234/1000</f>
        <v>1.8588515591960264</v>
      </c>
      <c r="Q786" s="1672">
        <f>ARG!I234/1000</f>
        <v>4.9020756101412051</v>
      </c>
      <c r="R786" s="1673">
        <f>ARG!J234/1000</f>
        <v>11.785707392218718</v>
      </c>
    </row>
    <row r="787" spans="2:18">
      <c r="B787" s="595" t="s">
        <v>1039</v>
      </c>
      <c r="C787" s="1670">
        <f>BA!C224/1000</f>
        <v>14.954623999999999</v>
      </c>
      <c r="D787" s="602">
        <f>BA!D224/1000</f>
        <v>15.010151</v>
      </c>
      <c r="E787" s="602">
        <f>BA!E224/1000</f>
        <v>14.383895000000001</v>
      </c>
      <c r="F787" s="602">
        <f>BA!F224/1000</f>
        <v>17.104094</v>
      </c>
      <c r="G787" s="602">
        <f>BA!G224/1000</f>
        <v>23.941233</v>
      </c>
      <c r="H787" s="602">
        <f>BA!H224/1000</f>
        <v>23.127304999999996</v>
      </c>
      <c r="I787" s="602">
        <f>BA!I224/1000</f>
        <v>16.682659999999998</v>
      </c>
      <c r="J787" s="602">
        <f>BA!J224/1000</f>
        <v>9.1966630000000009</v>
      </c>
      <c r="K787" s="1670">
        <f>BA!C223/1000</f>
        <v>0</v>
      </c>
      <c r="L787" s="602">
        <f>BA!D223/1000</f>
        <v>0</v>
      </c>
      <c r="M787" s="602">
        <f>BA!E223/1000</f>
        <v>0</v>
      </c>
      <c r="N787" s="602">
        <f>BA!F223/1000</f>
        <v>0</v>
      </c>
      <c r="O787" s="602">
        <f>BA!G223/1000</f>
        <v>0</v>
      </c>
      <c r="P787" s="602">
        <f>BA!H223/1000</f>
        <v>0</v>
      </c>
      <c r="Q787" s="602">
        <f>BA!I223/1000</f>
        <v>0</v>
      </c>
      <c r="R787" s="846">
        <f>BA!J223/1000</f>
        <v>0</v>
      </c>
    </row>
    <row r="788" spans="2:18">
      <c r="B788" s="595" t="s">
        <v>1040</v>
      </c>
      <c r="C788" s="1670">
        <f>BO!C222/1000</f>
        <v>35.770808200984192</v>
      </c>
      <c r="D788" s="602">
        <f>BO!D222/1000</f>
        <v>33.730021456472087</v>
      </c>
      <c r="E788" s="602">
        <f>BO!E222/1000</f>
        <v>32.080273026430319</v>
      </c>
      <c r="F788" s="602">
        <f>BO!F222/1000</f>
        <v>34.292971425996157</v>
      </c>
      <c r="G788" s="602">
        <f>BO!G222/1000</f>
        <v>30.132884457448966</v>
      </c>
      <c r="H788" s="602">
        <f>BO!H222/1000</f>
        <v>31.609540561047865</v>
      </c>
      <c r="I788" s="602">
        <f>BO!I222/1000</f>
        <v>19.672036246069688</v>
      </c>
      <c r="J788" s="602">
        <f>BO!J222/1000</f>
        <v>20.867382921355599</v>
      </c>
      <c r="K788" s="1670">
        <f>BO!C221/1000</f>
        <v>4.2734406020408164E-3</v>
      </c>
      <c r="L788" s="602">
        <f>BO!D221/1000</f>
        <v>3.7860365460655972E-2</v>
      </c>
      <c r="M788" s="602">
        <f>BO!E221/1000</f>
        <v>9.3089897338134039E-2</v>
      </c>
      <c r="N788" s="602">
        <f>BO!F221/1000</f>
        <v>0.13750080341051227</v>
      </c>
      <c r="O788" s="602">
        <f>BO!G221/1000</f>
        <v>0.18330758673621025</v>
      </c>
      <c r="P788" s="602">
        <f>BO!H221/1000</f>
        <v>0.21908479040182316</v>
      </c>
      <c r="Q788" s="602">
        <f>BO!I221/1000</f>
        <v>0.33078204253425675</v>
      </c>
      <c r="R788" s="846">
        <f>BO!J221/1000</f>
        <v>0.48288577430377616</v>
      </c>
    </row>
    <row r="789" spans="2:18">
      <c r="B789" s="595" t="s">
        <v>1041</v>
      </c>
      <c r="C789" s="1670">
        <f>BR!C230/1000</f>
        <v>1189.6404988798363</v>
      </c>
      <c r="D789" s="602">
        <f>BR!D230/1000</f>
        <v>772.49991254080942</v>
      </c>
      <c r="E789" s="602">
        <f>BR!E230/1000</f>
        <v>627.89260394051621</v>
      </c>
      <c r="F789" s="602">
        <f>BR!F230/1000</f>
        <v>591.47306411527018</v>
      </c>
      <c r="G789" s="602">
        <f>BR!G230/1000</f>
        <v>457.72287341019751</v>
      </c>
      <c r="H789" s="602">
        <f>BR!H230/1000</f>
        <v>385.59792623091408</v>
      </c>
      <c r="I789" s="602">
        <f>BR!I230/1000</f>
        <v>213.92843071600291</v>
      </c>
      <c r="J789" s="602">
        <f>BR!J230/1000</f>
        <v>194.27574161392801</v>
      </c>
      <c r="K789" s="1670">
        <f>BR!C229/1000</f>
        <v>0.75063774093939772</v>
      </c>
      <c r="L789" s="602">
        <f>BR!D229/1000</f>
        <v>0.3865690897115644</v>
      </c>
      <c r="M789" s="602">
        <f>BR!E229/1000</f>
        <v>0.36573306921597337</v>
      </c>
      <c r="N789" s="602">
        <f>BR!F229/1000</f>
        <v>1.0898252153484729</v>
      </c>
      <c r="O789" s="602">
        <f>BR!G229/1000</f>
        <v>2.7457421084304392</v>
      </c>
      <c r="P789" s="602">
        <f>BR!H229/1000</f>
        <v>6.3772342312663142</v>
      </c>
      <c r="Q789" s="602">
        <f>BR!I229/1000</f>
        <v>10.475322230408313</v>
      </c>
      <c r="R789" s="846">
        <f>BR!J229/1000</f>
        <v>22.086397990955597</v>
      </c>
    </row>
    <row r="790" spans="2:18">
      <c r="B790" s="595" t="s">
        <v>1042</v>
      </c>
      <c r="C790" s="608">
        <f>[2]CL!C227/1000</f>
        <v>511.08603509901042</v>
      </c>
      <c r="D790" s="609">
        <f>[2]CL!D227/1000</f>
        <v>562.37182808608804</v>
      </c>
      <c r="E790" s="609">
        <f>[2]CL!E227/1000</f>
        <v>456.44121685136963</v>
      </c>
      <c r="F790" s="609">
        <f>[2]CL!F227/1000</f>
        <v>442.57549531813925</v>
      </c>
      <c r="G790" s="609">
        <f>[2]CL!G227/1000</f>
        <v>478.33179960399394</v>
      </c>
      <c r="H790" s="609">
        <f>[2]CL!H227/1000</f>
        <v>399.41846871164955</v>
      </c>
      <c r="I790" s="609">
        <f>[2]CL!I227/1000</f>
        <v>172.47196675191816</v>
      </c>
      <c r="J790" s="602">
        <f>CL!J227/1000</f>
        <v>141.19318644067798</v>
      </c>
      <c r="K790" s="1670">
        <f>CL!C226/1000</f>
        <v>0</v>
      </c>
      <c r="L790" s="602">
        <f>CL!D226/1000</f>
        <v>0</v>
      </c>
      <c r="M790" s="602">
        <f>CL!E226/1000</f>
        <v>0</v>
      </c>
      <c r="N790" s="602">
        <f>CL!F226/1000</f>
        <v>0</v>
      </c>
      <c r="O790" s="602">
        <f>CL!G226/1000</f>
        <v>0</v>
      </c>
      <c r="P790" s="602">
        <f>CL!H226/1000</f>
        <v>0</v>
      </c>
      <c r="Q790" s="602">
        <f>CL!I226/1000</f>
        <v>0</v>
      </c>
      <c r="R790" s="846">
        <f>CL!J226/1000</f>
        <v>0</v>
      </c>
    </row>
    <row r="791" spans="2:18">
      <c r="B791" s="595" t="s">
        <v>1043</v>
      </c>
      <c r="C791" s="608">
        <f>[2]CO!C224/1000</f>
        <v>146.47412693537825</v>
      </c>
      <c r="D791" s="609">
        <f>[2]CO!D224/1000</f>
        <v>103.90574082367549</v>
      </c>
      <c r="E791" s="609">
        <f>[2]CO!E224/1000</f>
        <v>87.77323296500316</v>
      </c>
      <c r="F791" s="609">
        <f>[2]CO!F224/1000</f>
        <v>70.800880673635689</v>
      </c>
      <c r="G791" s="609">
        <f>[2]CO!G224/1000</f>
        <v>63.848496973590116</v>
      </c>
      <c r="H791" s="609">
        <f>[2]CO!H224/1000</f>
        <v>56.534207021551374</v>
      </c>
      <c r="I791" s="609">
        <f>[2]CO!I224/1000</f>
        <v>34.542916605575527</v>
      </c>
      <c r="J791" s="602">
        <f>CO!J224/1000</f>
        <v>38.233527192534844</v>
      </c>
      <c r="K791" s="1670">
        <f>CO!C223/1000</f>
        <v>0</v>
      </c>
      <c r="L791" s="602">
        <f>CO!D223/1000</f>
        <v>0</v>
      </c>
      <c r="M791" s="602">
        <f>CO!E223/1000</f>
        <v>0</v>
      </c>
      <c r="N791" s="602">
        <f>CO!F223/1000</f>
        <v>0</v>
      </c>
      <c r="O791" s="602">
        <f>CO!G223/1000</f>
        <v>0</v>
      </c>
      <c r="P791" s="602">
        <f>CO!H223/1000</f>
        <v>0</v>
      </c>
      <c r="Q791" s="602">
        <f>CO!I223/1000</f>
        <v>0</v>
      </c>
      <c r="R791" s="846">
        <f>CO!J223/1000</f>
        <v>8.8876577611216341</v>
      </c>
    </row>
    <row r="792" spans="2:18">
      <c r="B792" s="595" t="s">
        <v>1044</v>
      </c>
      <c r="C792" s="1670">
        <f>CR!C232/1000</f>
        <v>25.443873285918954</v>
      </c>
      <c r="D792" s="602">
        <f>CR!D232/1000</f>
        <v>24.314610718510458</v>
      </c>
      <c r="E792" s="602">
        <f>CR!E232/1000</f>
        <v>21.940858055884004</v>
      </c>
      <c r="F792" s="602">
        <f>CR!F232/1000</f>
        <v>21.285978830439412</v>
      </c>
      <c r="G792" s="602">
        <f>CR!G232/1000</f>
        <v>14.941983982304198</v>
      </c>
      <c r="H792" s="602">
        <f>CR!H232/1000</f>
        <v>11.938621727305803</v>
      </c>
      <c r="I792" s="602">
        <f>CR!I232/1000</f>
        <v>11.05158362977574</v>
      </c>
      <c r="J792" s="602">
        <f>CR!J232/1000</f>
        <v>9.5209819890913998</v>
      </c>
      <c r="K792" s="1670">
        <f>CR!C231/1000</f>
        <v>0</v>
      </c>
      <c r="L792" s="602">
        <f>CR!D231/1000</f>
        <v>0</v>
      </c>
      <c r="M792" s="602">
        <f>CR!E231/1000</f>
        <v>0</v>
      </c>
      <c r="N792" s="602">
        <f>CR!F231/1000</f>
        <v>0</v>
      </c>
      <c r="O792" s="602">
        <f>CR!G231/1000</f>
        <v>0</v>
      </c>
      <c r="P792" s="602">
        <f>CR!H231/1000</f>
        <v>0</v>
      </c>
      <c r="Q792" s="602">
        <f>CR!I231/1000</f>
        <v>0</v>
      </c>
      <c r="R792" s="846">
        <f>CR!J231/1000</f>
        <v>0</v>
      </c>
    </row>
    <row r="793" spans="2:18">
      <c r="B793" s="595" t="s">
        <v>1061</v>
      </c>
      <c r="C793" s="1670">
        <v>0</v>
      </c>
      <c r="D793" s="602">
        <v>4.8</v>
      </c>
      <c r="E793" s="602">
        <f>CW!E243/1000</f>
        <v>3.7296371843463687</v>
      </c>
      <c r="F793" s="602">
        <f>CW!F243/1000</f>
        <v>3.1269023601284918</v>
      </c>
      <c r="G793" s="602">
        <f>CW!G243/1000</f>
        <v>3.021251296357542</v>
      </c>
      <c r="H793" s="602">
        <f>CW!H243/1000</f>
        <v>2.1101595497206698</v>
      </c>
      <c r="I793" s="602">
        <f>CW!I243/1000</f>
        <v>0.89600389050279328</v>
      </c>
      <c r="J793" s="602">
        <f>CW!J243/1000</f>
        <v>0.65340788212290501</v>
      </c>
      <c r="K793" s="1670">
        <f>CW!C242/1000</f>
        <v>0</v>
      </c>
      <c r="L793" s="602">
        <f>CW!D242/1000</f>
        <v>0</v>
      </c>
      <c r="M793" s="602">
        <f>CW!E242/1000</f>
        <v>3.835646312849162E-2</v>
      </c>
      <c r="N793" s="602">
        <f>CW!F242/1000</f>
        <v>3.5693552513966484E-2</v>
      </c>
      <c r="O793" s="602">
        <f>CW!G242/1000</f>
        <v>3.6725104469273746E-2</v>
      </c>
      <c r="P793" s="602">
        <f>CW!H242/1000</f>
        <v>3.3029455307262576E-2</v>
      </c>
      <c r="Q793" s="602">
        <f>CW!I242/1000</f>
        <v>4.5771669832402238E-2</v>
      </c>
      <c r="R793" s="846">
        <f>CW!J242/1000</f>
        <v>3.9427881005586592E-2</v>
      </c>
    </row>
    <row r="794" spans="2:18">
      <c r="B794" s="595" t="s">
        <v>1047</v>
      </c>
      <c r="C794" s="1670">
        <f>EC!C226/1000</f>
        <v>67.784557982750002</v>
      </c>
      <c r="D794" s="602">
        <f>EC!D226/1000</f>
        <v>62.013807664280002</v>
      </c>
      <c r="E794" s="602">
        <f>EC!E226/1000</f>
        <v>54.074726959199999</v>
      </c>
      <c r="F794" s="602">
        <f>EC!F226/1000</f>
        <v>55.403750934839998</v>
      </c>
      <c r="G794" s="602">
        <f>EC!G226/1000</f>
        <v>56.431862847919994</v>
      </c>
      <c r="H794" s="602">
        <f>EC!H226/1000</f>
        <v>54.37673948658</v>
      </c>
      <c r="I794" s="602">
        <f>EC!I226/1000</f>
        <v>34.96654270034</v>
      </c>
      <c r="J794" s="602">
        <f>EC!J226/1000</f>
        <v>40.948030311369997</v>
      </c>
      <c r="K794" s="1670">
        <f>EC!C225/1000</f>
        <v>0</v>
      </c>
      <c r="L794" s="602">
        <f>EC!D225/1000</f>
        <v>0</v>
      </c>
      <c r="M794" s="602">
        <f>EC!E225/1000</f>
        <v>0</v>
      </c>
      <c r="N794" s="602">
        <f>EC!F225/1000</f>
        <v>0</v>
      </c>
      <c r="O794" s="602">
        <f>EC!G225/1000</f>
        <v>0</v>
      </c>
      <c r="P794" s="602">
        <f>EC!H225/1000</f>
        <v>0</v>
      </c>
      <c r="Q794" s="602">
        <f>EC!I225/1000</f>
        <v>0</v>
      </c>
      <c r="R794" s="846">
        <f>EC!J225/1000</f>
        <v>0</v>
      </c>
    </row>
    <row r="795" spans="2:18">
      <c r="B795" s="595" t="s">
        <v>1048</v>
      </c>
      <c r="C795" s="1670">
        <f>SV!C228/1000</f>
        <v>0</v>
      </c>
      <c r="D795" s="602">
        <f>SV!D228/1000</f>
        <v>35.709423000000001</v>
      </c>
      <c r="E795" s="602">
        <f>SV!E228/1000</f>
        <v>35.261506999999995</v>
      </c>
      <c r="F795" s="602">
        <f>SV!F228/1000</f>
        <v>34.967107000000006</v>
      </c>
      <c r="G795" s="602">
        <f>SV!G228/1000</f>
        <v>34.081977999999999</v>
      </c>
      <c r="H795" s="602">
        <f>SV!H228/1000</f>
        <v>34.06541</v>
      </c>
      <c r="I795" s="602">
        <f>SV!I228/1000</f>
        <v>25.764921797149995</v>
      </c>
      <c r="J795" s="602">
        <f>SV!J228/1000</f>
        <v>27.17455</v>
      </c>
      <c r="K795" s="1670">
        <f>SV!C227/1000</f>
        <v>0</v>
      </c>
      <c r="L795" s="602">
        <f>SV!D227/1000</f>
        <v>0</v>
      </c>
      <c r="M795" s="602">
        <f>SV!E227/1000</f>
        <v>0</v>
      </c>
      <c r="N795" s="602">
        <f>SV!F227/1000</f>
        <v>0</v>
      </c>
      <c r="O795" s="602">
        <f>SV!G227/1000</f>
        <v>0</v>
      </c>
      <c r="P795" s="602">
        <f>SV!H227/1000</f>
        <v>0</v>
      </c>
      <c r="Q795" s="602">
        <f>SV!I227/1000</f>
        <v>0</v>
      </c>
      <c r="R795" s="846">
        <f>SV!J227/1000</f>
        <v>0</v>
      </c>
    </row>
    <row r="796" spans="2:18">
      <c r="B796" s="595" t="s">
        <v>1049</v>
      </c>
      <c r="C796" s="1670">
        <f>GT!C234/1000</f>
        <v>75.068868999999992</v>
      </c>
      <c r="D796" s="602">
        <f>GT!D234/1000</f>
        <v>71.961062999999996</v>
      </c>
      <c r="E796" s="602">
        <f>GT!E234/1000</f>
        <v>54.035882999999991</v>
      </c>
      <c r="F796" s="602">
        <f>GT!F234/1000</f>
        <v>43.913282000000002</v>
      </c>
      <c r="G796" s="602">
        <f>GT!G234/1000</f>
        <v>43.523259081749998</v>
      </c>
      <c r="H796" s="602">
        <f>GT!H234/1000</f>
        <v>41.389392037650005</v>
      </c>
      <c r="I796" s="602">
        <f>GT!I234/1000</f>
        <v>33.628423000000005</v>
      </c>
      <c r="J796" s="602">
        <f>GT!J234/1000</f>
        <v>37.092202038229999</v>
      </c>
      <c r="K796" s="1670">
        <f>GT!C233/1000</f>
        <v>0</v>
      </c>
      <c r="L796" s="602">
        <f>GT!D233/1000</f>
        <v>0</v>
      </c>
      <c r="M796" s="602">
        <f>GT!E233/1000</f>
        <v>0</v>
      </c>
      <c r="N796" s="602">
        <f>GT!F233/1000</f>
        <v>0</v>
      </c>
      <c r="O796" s="602">
        <f>GT!G233/1000</f>
        <v>0</v>
      </c>
      <c r="P796" s="602">
        <f>GT!H233/1000</f>
        <v>0</v>
      </c>
      <c r="Q796" s="602">
        <f>GT!I233/1000</f>
        <v>0</v>
      </c>
      <c r="R796" s="846">
        <f>GT!J233/1000</f>
        <v>0</v>
      </c>
    </row>
    <row r="797" spans="2:18">
      <c r="B797" s="595" t="s">
        <v>1050</v>
      </c>
      <c r="C797" s="1670">
        <f>HN!C233/1000</f>
        <v>0</v>
      </c>
      <c r="D797" s="602">
        <f>HN!D233/1000</f>
        <v>0</v>
      </c>
      <c r="E797" s="602">
        <f>HN!E233/1000</f>
        <v>0</v>
      </c>
      <c r="F797" s="602">
        <f>HN!F233/1000</f>
        <v>0</v>
      </c>
      <c r="G797" s="602">
        <f>HN!G233/1000</f>
        <v>0</v>
      </c>
      <c r="H797" s="602">
        <f>HN!H233/1000</f>
        <v>0</v>
      </c>
      <c r="I797" s="602">
        <f>HN!I233/1000</f>
        <v>0</v>
      </c>
      <c r="J797" s="602">
        <f>HN!J233/1000</f>
        <v>0</v>
      </c>
      <c r="K797" s="1670">
        <f>HN!C232/1000</f>
        <v>0</v>
      </c>
      <c r="L797" s="602">
        <f>HN!D232/1000</f>
        <v>0</v>
      </c>
      <c r="M797" s="602">
        <f>HN!E232/1000</f>
        <v>0</v>
      </c>
      <c r="N797" s="602">
        <f>HN!F232/1000</f>
        <v>0</v>
      </c>
      <c r="O797" s="602">
        <f>HN!G232/1000</f>
        <v>0</v>
      </c>
      <c r="P797" s="602">
        <f>HN!H232/1000</f>
        <v>0</v>
      </c>
      <c r="Q797" s="602">
        <f>HN!I232/1000</f>
        <v>0</v>
      </c>
      <c r="R797" s="846">
        <f>HN!J232/1000</f>
        <v>0</v>
      </c>
    </row>
    <row r="798" spans="2:18">
      <c r="B798" s="595" t="s">
        <v>1051</v>
      </c>
      <c r="C798" s="1670">
        <f>JM!C229/1000</f>
        <v>18.919019589295775</v>
      </c>
      <c r="D798" s="602">
        <f>JM!D229/1000</f>
        <v>16.018330049503909</v>
      </c>
      <c r="E798" s="602">
        <f>JM!E229/1000</f>
        <v>14.166341326717758</v>
      </c>
      <c r="F798" s="602">
        <f>JM!F229/1000</f>
        <v>13.623002574508</v>
      </c>
      <c r="G798" s="602">
        <f>JM!G229/1000</f>
        <v>13.350713167716469</v>
      </c>
      <c r="H798" s="602">
        <f>JM!H229/1000</f>
        <v>12.780774725753908</v>
      </c>
      <c r="I798" s="602">
        <f>JM!I229/1000</f>
        <v>8.7818387779729736</v>
      </c>
      <c r="J798" s="602">
        <f>JM!J229/1000</f>
        <v>7.290624045277772</v>
      </c>
      <c r="K798" s="1670">
        <f>JM!C228/1000</f>
        <v>0</v>
      </c>
      <c r="L798" s="602">
        <f>JM!D228/1000</f>
        <v>0</v>
      </c>
      <c r="M798" s="602">
        <f>JM!E228/1000</f>
        <v>0</v>
      </c>
      <c r="N798" s="602">
        <f>JM!F228/1000</f>
        <v>0</v>
      </c>
      <c r="O798" s="602">
        <f>JM!G228/1000</f>
        <v>0</v>
      </c>
      <c r="P798" s="602">
        <f>JM!H228/1000</f>
        <v>0</v>
      </c>
      <c r="Q798" s="602">
        <f>JM!I228/1000</f>
        <v>0</v>
      </c>
      <c r="R798" s="846">
        <f>JM!J228/1000</f>
        <v>0</v>
      </c>
    </row>
    <row r="799" spans="2:18">
      <c r="B799" s="595" t="s">
        <v>1052</v>
      </c>
      <c r="C799" s="1670">
        <f>RD!C245/1000</f>
        <v>0</v>
      </c>
      <c r="D799" s="602">
        <f>RD!D245/1000</f>
        <v>0</v>
      </c>
      <c r="E799" s="602">
        <f>RD!E245/1000</f>
        <v>0</v>
      </c>
      <c r="F799" s="602">
        <f>RD!F245/1000</f>
        <v>0</v>
      </c>
      <c r="G799" s="602">
        <f>RD!G245/1000</f>
        <v>0</v>
      </c>
      <c r="H799" s="602">
        <f>RD!H245/1000</f>
        <v>0</v>
      </c>
      <c r="I799" s="602">
        <f>RD!I245/1000</f>
        <v>0</v>
      </c>
      <c r="J799" s="602">
        <f>RD!J245/1000</f>
        <v>0</v>
      </c>
      <c r="K799" s="1670">
        <f>RD!C244/1000</f>
        <v>0</v>
      </c>
      <c r="L799" s="602">
        <f>RD!D244/1000</f>
        <v>0</v>
      </c>
      <c r="M799" s="602">
        <f>RD!E244/1000</f>
        <v>0</v>
      </c>
      <c r="N799" s="602">
        <f>RD!F244/1000</f>
        <v>0</v>
      </c>
      <c r="O799" s="602">
        <f>RD!G244/1000</f>
        <v>0</v>
      </c>
      <c r="P799" s="602">
        <f>RD!H244/1000</f>
        <v>0</v>
      </c>
      <c r="Q799" s="602">
        <f>RD!I244/1000</f>
        <v>0</v>
      </c>
      <c r="R799" s="846">
        <f>RD!J244/1000</f>
        <v>0</v>
      </c>
    </row>
    <row r="800" spans="2:18">
      <c r="B800" s="595" t="s">
        <v>1053</v>
      </c>
      <c r="C800" s="1670">
        <f>PY!C227/1000</f>
        <v>0</v>
      </c>
      <c r="D800" s="602">
        <f>PY!D227/1000</f>
        <v>32.076829329240994</v>
      </c>
      <c r="E800" s="602">
        <f>PY!E227/1000</f>
        <v>29.519646610375329</v>
      </c>
      <c r="F800" s="602">
        <f>PY!F227/1000</f>
        <v>32.128661935886051</v>
      </c>
      <c r="G800" s="602">
        <f>PY!G227/1000</f>
        <v>27.879589914453987</v>
      </c>
      <c r="H800" s="602">
        <f>PY!H227/1000</f>
        <v>21.486034018464249</v>
      </c>
      <c r="I800" s="602">
        <f>PY!I227/1000</f>
        <v>18.238406669096335</v>
      </c>
      <c r="J800" s="602">
        <f>PY!J227/1000</f>
        <v>17.728258537663891</v>
      </c>
      <c r="K800" s="1670">
        <f>PY!C226/1000</f>
        <v>0</v>
      </c>
      <c r="L800" s="602">
        <f>PY!D226/1000</f>
        <v>7.8847867809561899E-3</v>
      </c>
      <c r="M800" s="602">
        <f>PY!E226/1000</f>
        <v>1.057050800350047E-2</v>
      </c>
      <c r="N800" s="602">
        <f>PY!F226/1000</f>
        <v>2.5525816442023883E-2</v>
      </c>
      <c r="O800" s="602">
        <f>PY!G226/1000</f>
        <v>3.013320278986735E-2</v>
      </c>
      <c r="P800" s="602">
        <f>PY!H226/1000</f>
        <v>3.9375055418769303E-2</v>
      </c>
      <c r="Q800" s="602">
        <f>PY!I226/1000</f>
        <v>0.36865362785898348</v>
      </c>
      <c r="R800" s="846">
        <f>PY!J226/1000</f>
        <v>0.19104804196465883</v>
      </c>
    </row>
    <row r="801" spans="2:18">
      <c r="B801" s="595" t="s">
        <v>1054</v>
      </c>
      <c r="C801" s="1670">
        <f>PE!C230/1000</f>
        <v>81.740173478490661</v>
      </c>
      <c r="D801" s="602">
        <f>PE!D230/1000</f>
        <v>64.565274174200724</v>
      </c>
      <c r="E801" s="602">
        <f>PE!E230/1000</f>
        <v>60.214989617762022</v>
      </c>
      <c r="F801" s="602">
        <f>PE!F230/1000</f>
        <v>57.298853323363637</v>
      </c>
      <c r="G801" s="602">
        <f>PE!G230/1000</f>
        <v>53.300058328631131</v>
      </c>
      <c r="H801" s="602">
        <f>PE!H230/1000</f>
        <v>47.566253325868502</v>
      </c>
      <c r="I801" s="602">
        <f>PE!I230/1000</f>
        <v>24.266749546694069</v>
      </c>
      <c r="J801" s="602">
        <f>PE!J230/1000</f>
        <v>24.876827761333782</v>
      </c>
      <c r="K801" s="1670">
        <f>PE!C229/1000</f>
        <v>0</v>
      </c>
      <c r="L801" s="602">
        <f>PE!D229/1000</f>
        <v>0</v>
      </c>
      <c r="M801" s="602">
        <f>PE!E229/1000</f>
        <v>5.3636263408820017E-5</v>
      </c>
      <c r="N801" s="602">
        <f>PE!F229/1000</f>
        <v>8.1035799475551455E-4</v>
      </c>
      <c r="O801" s="602">
        <f>PE!G229/1000</f>
        <v>8.247500204505041E-3</v>
      </c>
      <c r="P801" s="602">
        <f>PE!H229/1000</f>
        <v>3.9310281882920954E-2</v>
      </c>
      <c r="Q801" s="602">
        <f>PE!I229/1000</f>
        <v>2.9305935846451261E-2</v>
      </c>
      <c r="R801" s="846">
        <f>PE!J229/1000</f>
        <v>3.146425302395587E-2</v>
      </c>
    </row>
    <row r="802" spans="2:18">
      <c r="B802" s="604" t="s">
        <v>1055</v>
      </c>
      <c r="C802" s="1674">
        <f>TT!C236/1000</f>
        <v>53.287682256433357</v>
      </c>
      <c r="D802" s="1675">
        <f>TT!D236/1000</f>
        <v>51.763569882156212</v>
      </c>
      <c r="E802" s="1675">
        <f>TT!E236/1000</f>
        <v>44.911717290156389</v>
      </c>
      <c r="F802" s="1675">
        <f>TT!F236/1000</f>
        <v>42.593080981056346</v>
      </c>
      <c r="G802" s="1675">
        <f>TT!G236/1000</f>
        <v>41.89202021620617</v>
      </c>
      <c r="H802" s="1675">
        <f>TT!H236/1000</f>
        <v>40.757138924610445</v>
      </c>
      <c r="I802" s="1675">
        <f>TT!I236/1000</f>
        <v>33.5988094710289</v>
      </c>
      <c r="J802" s="1675">
        <f>TT!J236/1000</f>
        <v>30.221110475918103</v>
      </c>
      <c r="K802" s="1674">
        <f>TT!C235/1000</f>
        <v>0.36278819374220339</v>
      </c>
      <c r="L802" s="1675">
        <f>TT!D235/1000</f>
        <v>0.40046315387280007</v>
      </c>
      <c r="M802" s="1675">
        <f>TT!E235/1000</f>
        <v>0.4262087173688176</v>
      </c>
      <c r="N802" s="1675">
        <f>TT!F235/1000</f>
        <v>0.46266511142263378</v>
      </c>
      <c r="O802" s="1675">
        <f>TT!G235/1000</f>
        <v>0.46603921437758333</v>
      </c>
      <c r="P802" s="1675">
        <f>TT!H235/1000</f>
        <v>0.51390705605952625</v>
      </c>
      <c r="Q802" s="1675">
        <f>TT!I235/1000</f>
        <v>0.42874309672407945</v>
      </c>
      <c r="R802" s="1676">
        <f>TT!J235/1000</f>
        <v>0.48285435200610222</v>
      </c>
    </row>
    <row r="803" spans="2:18">
      <c r="B803" s="57"/>
      <c r="C803" s="582"/>
      <c r="D803" s="582"/>
      <c r="E803" s="582"/>
      <c r="F803" s="582"/>
      <c r="G803" s="582"/>
      <c r="H803" s="582"/>
      <c r="I803" s="582"/>
      <c r="J803" s="582"/>
      <c r="K803" s="582"/>
      <c r="L803" s="582"/>
      <c r="M803" s="582"/>
      <c r="N803" s="582"/>
      <c r="O803" s="582"/>
      <c r="P803" s="582"/>
      <c r="Q803" s="582"/>
    </row>
    <row r="804" spans="2:18">
      <c r="B804" s="2157" t="s">
        <v>1136</v>
      </c>
      <c r="C804" s="2157"/>
      <c r="D804" s="2157"/>
      <c r="E804" s="2157"/>
      <c r="F804" s="2157"/>
      <c r="G804" s="2157"/>
      <c r="H804" s="2157"/>
      <c r="I804" s="2157"/>
      <c r="J804" s="2157"/>
      <c r="K804" s="2157"/>
      <c r="L804" s="2157"/>
      <c r="M804" s="2157"/>
      <c r="N804" s="2157"/>
      <c r="O804" s="2157"/>
      <c r="P804" s="2157"/>
      <c r="Q804" s="2157"/>
      <c r="R804" s="2157"/>
    </row>
    <row r="805" spans="2:18">
      <c r="B805" s="619"/>
      <c r="C805" s="621"/>
      <c r="D805" s="621"/>
      <c r="E805" s="621"/>
      <c r="F805" s="621"/>
      <c r="G805" s="621"/>
      <c r="H805" s="621"/>
      <c r="I805" s="621"/>
      <c r="J805" s="621"/>
      <c r="K805" s="622"/>
      <c r="L805" s="622"/>
      <c r="M805" s="622"/>
      <c r="N805" s="622"/>
      <c r="O805" s="622"/>
      <c r="P805" s="622"/>
      <c r="Q805" s="622"/>
    </row>
    <row r="806" spans="2:18">
      <c r="B806" s="583"/>
      <c r="C806" s="2161" t="s">
        <v>1112</v>
      </c>
      <c r="D806" s="2162"/>
      <c r="E806" s="2162"/>
      <c r="F806" s="2162"/>
      <c r="G806" s="2162"/>
      <c r="H806" s="2162"/>
      <c r="I806" s="2162"/>
      <c r="J806" s="842"/>
      <c r="K806" s="2206" t="s">
        <v>1113</v>
      </c>
      <c r="L806" s="2207"/>
      <c r="M806" s="2207"/>
      <c r="N806" s="2207"/>
      <c r="O806" s="2207"/>
      <c r="P806" s="2207"/>
      <c r="Q806" s="2207"/>
      <c r="R806" s="2208"/>
    </row>
    <row r="807" spans="2:18">
      <c r="B807" s="57"/>
      <c r="C807" s="585">
        <v>2014</v>
      </c>
      <c r="D807" s="586">
        <v>2015</v>
      </c>
      <c r="E807" s="586">
        <v>2016</v>
      </c>
      <c r="F807" s="586">
        <v>2017</v>
      </c>
      <c r="G807" s="586">
        <v>2018</v>
      </c>
      <c r="H807" s="586">
        <v>2019</v>
      </c>
      <c r="I807" s="586">
        <v>2020</v>
      </c>
      <c r="J807" s="586"/>
      <c r="K807" s="638">
        <v>2014</v>
      </c>
      <c r="L807" s="639">
        <v>2015</v>
      </c>
      <c r="M807" s="639">
        <v>2016</v>
      </c>
      <c r="N807" s="639">
        <v>2017</v>
      </c>
      <c r="O807" s="639">
        <v>2018</v>
      </c>
      <c r="P807" s="639">
        <v>2019</v>
      </c>
      <c r="Q807" s="639">
        <v>2020</v>
      </c>
      <c r="R807" s="640">
        <v>2021</v>
      </c>
    </row>
    <row r="808" spans="2:18">
      <c r="B808" s="589" t="s">
        <v>1038</v>
      </c>
      <c r="C808" s="1671">
        <f>ARG!C230/1000</f>
        <v>60.292008303428076</v>
      </c>
      <c r="D808" s="1672">
        <f>ARG!D230/1000</f>
        <v>55.298140822834291</v>
      </c>
      <c r="E808" s="1672">
        <f>ARG!E230/1000</f>
        <v>67.58248339450607</v>
      </c>
      <c r="F808" s="1672">
        <f>ARG!F230/1000</f>
        <v>76.389976723745775</v>
      </c>
      <c r="G808" s="1672">
        <f>ARG!G230/1000</f>
        <v>52.969235256143229</v>
      </c>
      <c r="H808" s="1672">
        <f>ARG!H230/1000</f>
        <v>51.879054562150429</v>
      </c>
      <c r="I808" s="1672">
        <f>ARG!I230/1000</f>
        <v>51.646462157723199</v>
      </c>
      <c r="J808" s="1673">
        <f>ARG!J230/1000</f>
        <v>79.767859043112523</v>
      </c>
      <c r="K808" s="1671">
        <f>ARG!C231/1000</f>
        <v>20.112847047480027</v>
      </c>
      <c r="L808" s="1672">
        <f>ARG!D231/1000</f>
        <v>17.887948282068432</v>
      </c>
      <c r="M808" s="1672">
        <f>ARG!E231/1000</f>
        <v>20.605927406955118</v>
      </c>
      <c r="N808" s="1672">
        <f>ARG!F231/1000</f>
        <v>24.250182592017765</v>
      </c>
      <c r="O808" s="1672">
        <f>ARG!G231/1000</f>
        <v>17.358221409539702</v>
      </c>
      <c r="P808" s="1672">
        <f>ARG!H231/1000</f>
        <v>17.86036831566291</v>
      </c>
      <c r="Q808" s="1672">
        <f>ARG!I231/1000</f>
        <v>22.551834263237698</v>
      </c>
      <c r="R808" s="1673">
        <f>ARG!J231/1000</f>
        <v>37.652812807570982</v>
      </c>
    </row>
    <row r="809" spans="2:18">
      <c r="B809" s="595" t="s">
        <v>1039</v>
      </c>
      <c r="C809" s="1670">
        <f>BA!C219/1000</f>
        <v>5.9753080000000001</v>
      </c>
      <c r="D809" s="602">
        <f>BA!D219/1000</f>
        <v>1.209705</v>
      </c>
      <c r="E809" s="602">
        <f>BA!E219/1000</f>
        <v>1.454828</v>
      </c>
      <c r="F809" s="602">
        <f>BA!F219/1000</f>
        <v>1.634798</v>
      </c>
      <c r="G809" s="602">
        <f>BA!G219/1000</f>
        <v>1.6767850000000002</v>
      </c>
      <c r="H809" s="602">
        <f>BA!H219/1000</f>
        <v>1.898183</v>
      </c>
      <c r="I809" s="602">
        <f>BA!I219/1000</f>
        <v>1.7507190000000001</v>
      </c>
      <c r="J809" s="846">
        <f>BA!J219/1000</f>
        <v>2.0005099999999998</v>
      </c>
      <c r="K809" s="1670">
        <f>BA!C220/1000</f>
        <v>5.9753080000000001</v>
      </c>
      <c r="L809" s="602">
        <f>BA!D220/1000</f>
        <v>1.209705</v>
      </c>
      <c r="M809" s="602">
        <f>BA!E220/1000</f>
        <v>1.454828</v>
      </c>
      <c r="N809" s="602">
        <f>BA!F220/1000</f>
        <v>1.634798</v>
      </c>
      <c r="O809" s="602">
        <f>BA!G220/1000</f>
        <v>1.6767850000000002</v>
      </c>
      <c r="P809" s="602">
        <f>BA!H220/1000</f>
        <v>1.898183</v>
      </c>
      <c r="Q809" s="602">
        <f>BA!I220/1000</f>
        <v>1.7507190000000001</v>
      </c>
      <c r="R809" s="846">
        <f>BA!J220/1000</f>
        <v>2.0005099999999998</v>
      </c>
    </row>
    <row r="810" spans="2:18">
      <c r="B810" s="595" t="s">
        <v>1040</v>
      </c>
      <c r="C810" s="1670">
        <f>BO!C217/1000</f>
        <v>0.52777252457453783</v>
      </c>
      <c r="D810" s="602">
        <f>BO!D217/1000</f>
        <v>0.57704122411903669</v>
      </c>
      <c r="E810" s="602">
        <f>BO!E217/1000</f>
        <v>0.61852277158716562</v>
      </c>
      <c r="F810" s="602">
        <f>BO!F217/1000</f>
        <v>0.75521802695438567</v>
      </c>
      <c r="G810" s="602">
        <f>BO!G217/1000</f>
        <v>0.93997893485338779</v>
      </c>
      <c r="H810" s="602">
        <f>BO!H217/1000</f>
        <v>1.1882934468112811</v>
      </c>
      <c r="I810" s="602">
        <f>BO!I217/1000</f>
        <v>1.078759919138254</v>
      </c>
      <c r="J810" s="846">
        <f>BO!J217/1000</f>
        <v>1.4955049596872201</v>
      </c>
      <c r="K810" s="1670">
        <f>BO!C218/1000</f>
        <v>0.21253398767972348</v>
      </c>
      <c r="L810" s="602">
        <f>BO!D218/1000</f>
        <v>0.24647922072173031</v>
      </c>
      <c r="M810" s="602">
        <f>BO!E218/1000</f>
        <v>0.27810946234115852</v>
      </c>
      <c r="N810" s="602">
        <f>BO!F218/1000</f>
        <v>0.37858428061944632</v>
      </c>
      <c r="O810" s="602">
        <f>BO!G218/1000</f>
        <v>0.48939726116183674</v>
      </c>
      <c r="P810" s="602">
        <f>BO!H218/1000</f>
        <v>0.61008230143813624</v>
      </c>
      <c r="Q810" s="602">
        <f>BO!I218/1000</f>
        <v>0.66128145407139804</v>
      </c>
      <c r="R810" s="846">
        <f>BO!J218/1000</f>
        <v>0.92411144011729673</v>
      </c>
    </row>
    <row r="811" spans="2:18">
      <c r="B811" s="595" t="s">
        <v>1041</v>
      </c>
      <c r="C811" s="1670">
        <f>BR!C225/1000</f>
        <v>411.68434450248441</v>
      </c>
      <c r="D811" s="602">
        <f>BR!D225/1000</f>
        <v>318.15810889654358</v>
      </c>
      <c r="E811" s="602">
        <f>BR!E225/1000</f>
        <v>324.3914771601643</v>
      </c>
      <c r="F811" s="602">
        <f>BR!F225/1000</f>
        <v>392.49344607517617</v>
      </c>
      <c r="G811" s="602">
        <f>BR!G225/1000</f>
        <v>392.40902128644893</v>
      </c>
      <c r="H811" s="602">
        <f>BR!H225/1000</f>
        <v>446.17844124578698</v>
      </c>
      <c r="I811" s="602">
        <f>BR!I225/1000</f>
        <v>378.47355434117839</v>
      </c>
      <c r="J811" s="846">
        <f>BR!J225/1000</f>
        <v>460.52560197197715</v>
      </c>
      <c r="K811" s="1670">
        <f>BR!C226/1000</f>
        <v>148.1267639189706</v>
      </c>
      <c r="L811" s="602">
        <f>BR!D226/1000</f>
        <v>116.74538634455628</v>
      </c>
      <c r="M811" s="602">
        <f>BR!E226/1000</f>
        <v>123.62587115666179</v>
      </c>
      <c r="N811" s="602">
        <f>BR!F226/1000</f>
        <v>155.19893322975724</v>
      </c>
      <c r="O811" s="602">
        <f>BR!G226/1000</f>
        <v>153.63669639066688</v>
      </c>
      <c r="P811" s="602">
        <f>BR!H226/1000</f>
        <v>169.16502217379187</v>
      </c>
      <c r="Q811" s="602">
        <f>BR!I226/1000</f>
        <v>157.33823424346232</v>
      </c>
      <c r="R811" s="846">
        <f>BR!J226/1000</f>
        <v>168.76628882793386</v>
      </c>
    </row>
    <row r="812" spans="2:18">
      <c r="B812" s="595" t="s">
        <v>1042</v>
      </c>
      <c r="C812" s="1670">
        <f>CL!C222/1000</f>
        <v>33.297642415538157</v>
      </c>
      <c r="D812" s="602">
        <f>CL!D222/1000</f>
        <v>35.686354156813387</v>
      </c>
      <c r="E812" s="602">
        <f>CL!E222/1000</f>
        <v>40.670832185053492</v>
      </c>
      <c r="F812" s="602">
        <f>CL!F222/1000</f>
        <v>49.686744559175565</v>
      </c>
      <c r="G812" s="602">
        <f>CL!G222/1000</f>
        <v>59.989957344584674</v>
      </c>
      <c r="H812" s="602">
        <f>CL!H222/1000</f>
        <v>62.293809445976621</v>
      </c>
      <c r="I812" s="602">
        <f>CL!I222/1000</f>
        <v>68.405207161125318</v>
      </c>
      <c r="J812" s="846">
        <f>CL!J222/1000</f>
        <v>105.91010821382007</v>
      </c>
      <c r="K812" s="1670">
        <f>CL!C223/1000</f>
        <v>16.370277127238506</v>
      </c>
      <c r="L812" s="602">
        <f>CL!D223/1000</f>
        <v>17.348553880088467</v>
      </c>
      <c r="M812" s="602">
        <f>CL!E223/1000</f>
        <v>19.872461778901247</v>
      </c>
      <c r="N812" s="602">
        <f>CL!F223/1000</f>
        <v>25.04820394727448</v>
      </c>
      <c r="O812" s="602">
        <f>CL!G223/1000</f>
        <v>30.893808204406501</v>
      </c>
      <c r="P812" s="602">
        <f>CL!H223/1000</f>
        <v>33.707258260748532</v>
      </c>
      <c r="Q812" s="602">
        <f>CL!I223/1000</f>
        <v>37.939372531969312</v>
      </c>
      <c r="R812" s="846">
        <f>CL!J223/1000</f>
        <v>67.026641457627122</v>
      </c>
    </row>
    <row r="813" spans="2:18">
      <c r="B813" s="595" t="s">
        <v>1043</v>
      </c>
      <c r="C813" s="1670">
        <f>CO!C219/1000</f>
        <v>31.561156711132245</v>
      </c>
      <c r="D813" s="602">
        <f>CO!D219/1000</f>
        <v>26.126363443761626</v>
      </c>
      <c r="E813" s="602">
        <f>CO!E219/1000</f>
        <v>26.845136741152825</v>
      </c>
      <c r="F813" s="602">
        <f>CO!F219/1000</f>
        <v>30.355244287921664</v>
      </c>
      <c r="G813" s="602">
        <f>CO!G219/1000</f>
        <v>34.0549963409442</v>
      </c>
      <c r="H813" s="602">
        <f>CO!H219/1000</f>
        <v>35.563137713807848</v>
      </c>
      <c r="I813" s="602">
        <f>CO!I219/1000</f>
        <v>30.467975891034005</v>
      </c>
      <c r="J813" s="846">
        <f>CO!J219/1000</f>
        <v>36.014707777660782</v>
      </c>
      <c r="K813" s="1670">
        <f>CO!C220/1000</f>
        <v>12.942157061441643</v>
      </c>
      <c r="L813" s="602">
        <f>CO!D220/1000</f>
        <v>11.011131752911174</v>
      </c>
      <c r="M813" s="602">
        <f>CO!E220/1000</f>
        <v>11.476259175090679</v>
      </c>
      <c r="N813" s="602">
        <f>CO!F220/1000</f>
        <v>13.112524313043432</v>
      </c>
      <c r="O813" s="602">
        <f>CO!G220/1000</f>
        <v>14.876315067319634</v>
      </c>
      <c r="P813" s="602">
        <f>CO!H220/1000</f>
        <v>15.845040692085139</v>
      </c>
      <c r="Q813" s="602">
        <f>CO!I220/1000</f>
        <v>15.578108681017827</v>
      </c>
      <c r="R813" s="846">
        <f>CO!J220/1000</f>
        <v>19.074185759230453</v>
      </c>
    </row>
    <row r="814" spans="2:18">
      <c r="B814" s="595" t="s">
        <v>1044</v>
      </c>
      <c r="C814" s="1670">
        <f>CR!C227/1000</f>
        <v>10.228686293944433</v>
      </c>
      <c r="D814" s="602">
        <f>CR!D227/1000</f>
        <v>11.741803423624708</v>
      </c>
      <c r="E814" s="602">
        <f>CR!E227/1000</f>
        <v>13.36643474478694</v>
      </c>
      <c r="F814" s="602">
        <f>CR!F227/1000</f>
        <v>13.023581417066939</v>
      </c>
      <c r="G814" s="602">
        <f>CR!G227/1000</f>
        <v>13.296369509902707</v>
      </c>
      <c r="H814" s="602">
        <f>CR!H227/1000</f>
        <v>16.295678084438983</v>
      </c>
      <c r="I814" s="602">
        <f>CR!I227/1000</f>
        <v>13.328053898381837</v>
      </c>
      <c r="J814" s="846">
        <f>CR!J227/1000</f>
        <v>14.4536207330433</v>
      </c>
      <c r="K814" s="1670">
        <f>CR!C228/1000</f>
        <v>5.1287387593676739</v>
      </c>
      <c r="L814" s="602">
        <f>CR!D228/1000</f>
        <v>6.2173603030966955</v>
      </c>
      <c r="M814" s="602">
        <f>CR!E228/1000</f>
        <v>6.9453926583641739</v>
      </c>
      <c r="N814" s="602">
        <f>CR!F228/1000</f>
        <v>6.0799383619071508</v>
      </c>
      <c r="O814" s="602">
        <f>CR!G228/1000</f>
        <v>6.1894695078954047</v>
      </c>
      <c r="P814" s="602">
        <f>CR!H228/1000</f>
        <v>7.2279519563619061</v>
      </c>
      <c r="Q814" s="602">
        <f>CR!I228/1000</f>
        <v>7.264658871630802</v>
      </c>
      <c r="R814" s="846">
        <f>CR!J228/1000</f>
        <v>8.5395842111907783</v>
      </c>
    </row>
    <row r="815" spans="2:18">
      <c r="B815" s="595" t="s">
        <v>1061</v>
      </c>
      <c r="C815" s="1845">
        <v>0</v>
      </c>
      <c r="D815" s="1846">
        <v>0.9</v>
      </c>
      <c r="E815" s="602">
        <f>CW!E238/1000</f>
        <v>1.0455589576044135</v>
      </c>
      <c r="F815" s="602">
        <f>CW!F238/1000</f>
        <v>1.1655868407284915</v>
      </c>
      <c r="G815" s="602">
        <f>CW!G238/1000</f>
        <v>1.1863653064128492</v>
      </c>
      <c r="H815" s="602">
        <f>CW!H238/1000</f>
        <v>1.3207599709497209</v>
      </c>
      <c r="I815" s="602">
        <f>CW!I238/1000</f>
        <v>1.0970839502793297</v>
      </c>
      <c r="J815" s="846">
        <f>CW!J238/1000</f>
        <v>1.2416469916201118</v>
      </c>
      <c r="K815" s="1670">
        <v>0</v>
      </c>
      <c r="L815" s="602">
        <v>0.7</v>
      </c>
      <c r="M815" s="602">
        <f>CW!E239/1000</f>
        <v>0.7427032464479888</v>
      </c>
      <c r="N815" s="602">
        <f>CW!F239/1000</f>
        <v>0.83150233761837977</v>
      </c>
      <c r="O815" s="602">
        <f>CW!G239/1000</f>
        <v>0.83434461724525133</v>
      </c>
      <c r="P815" s="602">
        <f>CW!H239/1000</f>
        <v>0.95731292737430174</v>
      </c>
      <c r="Q815" s="602">
        <f>CW!I239/1000</f>
        <v>0.86956676256983245</v>
      </c>
      <c r="R815" s="846">
        <f>CW!J239/1000</f>
        <v>0.89792738100558656</v>
      </c>
    </row>
    <row r="816" spans="2:18">
      <c r="B816" s="595" t="s">
        <v>1047</v>
      </c>
      <c r="C816" s="1670">
        <f>EC!C221/1000</f>
        <v>0</v>
      </c>
      <c r="D816" s="602">
        <f>EC!D221/1000</f>
        <v>10.686952311230003</v>
      </c>
      <c r="E816" s="602">
        <f>EC!E221/1000</f>
        <v>10.576941239190003</v>
      </c>
      <c r="F816" s="602">
        <f>EC!F221/1000</f>
        <v>11.936014783389989</v>
      </c>
      <c r="G816" s="602">
        <f>EC!G221/1000</f>
        <v>13.963743371124583</v>
      </c>
      <c r="H816" s="602">
        <f>EC!H221/1000</f>
        <v>15.837339803990011</v>
      </c>
      <c r="I816" s="602">
        <f>EC!I221/1000</f>
        <v>13.54413636560999</v>
      </c>
      <c r="J816" s="846">
        <f>EC!J221/1000</f>
        <v>13.952149540280352</v>
      </c>
      <c r="K816" s="1670">
        <f>EC!C222/1000</f>
        <v>0</v>
      </c>
      <c r="L816" s="602">
        <f>EC!D222/1000</f>
        <v>0.97551844200000004</v>
      </c>
      <c r="M816" s="602">
        <f>EC!E222/1000</f>
        <v>1.16118274627</v>
      </c>
      <c r="N816" s="602">
        <f>EC!F222/1000</f>
        <v>1.3845930582400001</v>
      </c>
      <c r="O816" s="602">
        <f>EC!G222/1000</f>
        <v>1.6188607431525002</v>
      </c>
      <c r="P816" s="602">
        <f>EC!H222/1000</f>
        <v>1.8661340926500001</v>
      </c>
      <c r="Q816" s="602">
        <f>EC!I222/1000</f>
        <v>1.9901416798599973</v>
      </c>
      <c r="R816" s="846">
        <f>EC!J222/1000</f>
        <v>3.4260129801801598</v>
      </c>
    </row>
    <row r="817" spans="2:18">
      <c r="B817" s="595" t="s">
        <v>1048</v>
      </c>
      <c r="C817" s="1670">
        <f>SV!C223/1000</f>
        <v>0</v>
      </c>
      <c r="D817" s="602">
        <f>SV!D223/1000</f>
        <v>1.8541100000000001</v>
      </c>
      <c r="E817" s="602">
        <f>SV!E223/1000</f>
        <v>2.4640099999999996</v>
      </c>
      <c r="F817" s="602">
        <f>SV!F223/1000</f>
        <v>2.78383</v>
      </c>
      <c r="G817" s="602">
        <f>SV!G223/1000</f>
        <v>2.9797200000000004</v>
      </c>
      <c r="H817" s="602">
        <f>SV!H223/1000</f>
        <v>3.4233999999999996</v>
      </c>
      <c r="I817" s="602">
        <f>SV!I223/1000</f>
        <v>3.2106798390100004</v>
      </c>
      <c r="J817" s="846">
        <f>SV!J223/1000</f>
        <v>3.6324000000000001</v>
      </c>
      <c r="K817" s="1670">
        <f>SV!C224/1000</f>
        <v>0</v>
      </c>
      <c r="L817" s="602">
        <f>SV!D224/1000</f>
        <v>0.51646999999999998</v>
      </c>
      <c r="M817" s="602">
        <f>SV!E224/1000</f>
        <v>0.67840999999999996</v>
      </c>
      <c r="N817" s="602">
        <f>SV!F224/1000</f>
        <v>0.72919</v>
      </c>
      <c r="O817" s="602">
        <f>SV!G224/1000</f>
        <v>0.79834000000000005</v>
      </c>
      <c r="P817" s="602">
        <f>SV!H224/1000</f>
        <v>0.92224000000000006</v>
      </c>
      <c r="Q817" s="602">
        <f>SV!I224/1000</f>
        <v>1.0461298390099998</v>
      </c>
      <c r="R817" s="846">
        <f>SV!J224/1000</f>
        <v>1.0805400000000001</v>
      </c>
    </row>
    <row r="818" spans="2:18">
      <c r="B818" s="595" t="s">
        <v>1049</v>
      </c>
      <c r="C818" s="1670">
        <f>GT!C229/1000</f>
        <v>4.2450000000000005E-3</v>
      </c>
      <c r="D818" s="602">
        <f>GT!D229/1000</f>
        <v>4.836E-3</v>
      </c>
      <c r="E818" s="602">
        <f>GT!E229/1000</f>
        <v>5.7590000000000002E-3</v>
      </c>
      <c r="F818" s="602">
        <f>GT!F229/1000</f>
        <v>7.509E-3</v>
      </c>
      <c r="G818" s="602">
        <f>GT!G229/1000</f>
        <v>8.6499999999999997E-3</v>
      </c>
      <c r="H818" s="602">
        <f>GT!H229/1000</f>
        <v>9.7640000000000001E-3</v>
      </c>
      <c r="I818" s="602">
        <f>GT!I229/1000</f>
        <v>8.371E-3</v>
      </c>
      <c r="J818" s="846">
        <f>GT!J229/1000</f>
        <v>6.2220000000000001E-3</v>
      </c>
      <c r="K818" s="1670">
        <f>GT!C230/1000</f>
        <v>0</v>
      </c>
      <c r="L818" s="602">
        <f>GT!D230/1000</f>
        <v>0</v>
      </c>
      <c r="M818" s="602">
        <f>GT!E230/1000</f>
        <v>0</v>
      </c>
      <c r="N818" s="602">
        <f>GT!F230/1000</f>
        <v>0</v>
      </c>
      <c r="O818" s="602">
        <f>GT!G230/1000</f>
        <v>8.548E-3</v>
      </c>
      <c r="P818" s="602">
        <f>GT!H230/1000</f>
        <v>9.6340000000000002E-3</v>
      </c>
      <c r="Q818" s="602">
        <f>GT!I230/1000</f>
        <v>8.2739999999999984E-3</v>
      </c>
      <c r="R818" s="846">
        <f>GT!J230/1000</f>
        <v>6.1609999999999998E-3</v>
      </c>
    </row>
    <row r="819" spans="2:18">
      <c r="B819" s="595" t="s">
        <v>1050</v>
      </c>
      <c r="C819" s="1670">
        <f>HN!C228/1000</f>
        <v>0</v>
      </c>
      <c r="D819" s="602">
        <f>HN!D228/1000</f>
        <v>0</v>
      </c>
      <c r="E819" s="602">
        <f>HN!E228/1000</f>
        <v>0</v>
      </c>
      <c r="F819" s="602">
        <f>HN!F228/1000</f>
        <v>0</v>
      </c>
      <c r="G819" s="602">
        <f>HN!G228/1000</f>
        <v>0</v>
      </c>
      <c r="H819" s="602">
        <f>HN!H228/1000</f>
        <v>0</v>
      </c>
      <c r="I819" s="602">
        <f>HN!I228/1000</f>
        <v>0</v>
      </c>
      <c r="J819" s="846">
        <f>HN!J228/1000</f>
        <v>0</v>
      </c>
      <c r="K819" s="1670">
        <f>HN!C229/1000</f>
        <v>0</v>
      </c>
      <c r="L819" s="602">
        <f>HN!D229/1000</f>
        <v>0</v>
      </c>
      <c r="M819" s="602">
        <f>HN!E229/1000</f>
        <v>0</v>
      </c>
      <c r="N819" s="602">
        <f>HN!F229/1000</f>
        <v>0</v>
      </c>
      <c r="O819" s="602">
        <f>HN!G229/1000</f>
        <v>0</v>
      </c>
      <c r="P819" s="602">
        <f>HN!H229/1000</f>
        <v>0</v>
      </c>
      <c r="Q819" s="602">
        <f>HN!I229/1000</f>
        <v>0</v>
      </c>
      <c r="R819" s="846">
        <f>HN!J229/1000</f>
        <v>0</v>
      </c>
    </row>
    <row r="820" spans="2:18">
      <c r="B820" s="595" t="s">
        <v>1051</v>
      </c>
      <c r="C820" s="1670">
        <f>JM!C224/1000</f>
        <v>6.2473861004144675</v>
      </c>
      <c r="D820" s="602">
        <f>JM!D224/1000</f>
        <v>7.2700876060676283</v>
      </c>
      <c r="E820" s="602">
        <f>JM!E224/1000</f>
        <v>8.3259867276226913</v>
      </c>
      <c r="F820" s="602">
        <f>JM!F224/1000</f>
        <v>10.52573532897491</v>
      </c>
      <c r="G820" s="602">
        <f>JM!G224/1000</f>
        <v>13.052190765610783</v>
      </c>
      <c r="H820" s="602">
        <f>JM!H224/1000</f>
        <v>15.16799254351915</v>
      </c>
      <c r="I820" s="602">
        <f>JM!I224/1000</f>
        <v>14.735789430661418</v>
      </c>
      <c r="J820" s="846">
        <f>JM!J224/1000</f>
        <v>15.704032512976521</v>
      </c>
      <c r="K820" s="1670">
        <f>JM!C225/1000</f>
        <v>4.5712739983259292</v>
      </c>
      <c r="L820" s="602">
        <f>JM!D225/1000</f>
        <v>5.5048779704989412</v>
      </c>
      <c r="M820" s="602">
        <f>JM!E225/1000</f>
        <v>6.2932397296946281</v>
      </c>
      <c r="N820" s="602">
        <f>JM!F225/1000</f>
        <v>7.7825445669613851</v>
      </c>
      <c r="O820" s="602">
        <f>JM!G225/1000</f>
        <v>9.3776550666429941</v>
      </c>
      <c r="P820" s="602">
        <f>JM!H225/1000</f>
        <v>11.100506304124872</v>
      </c>
      <c r="Q820" s="602">
        <f>JM!I225/1000</f>
        <v>10.906121650037537</v>
      </c>
      <c r="R820" s="846">
        <f>JM!J225/1000</f>
        <v>11.264333094975878</v>
      </c>
    </row>
    <row r="821" spans="2:18">
      <c r="B821" s="595" t="s">
        <v>1052</v>
      </c>
      <c r="C821" s="1670">
        <f>RD!C239/1000</f>
        <v>5.9275183493825434</v>
      </c>
      <c r="D821" s="602">
        <f>RD!D239/1000</f>
        <v>6.8261119004170689</v>
      </c>
      <c r="E821" s="602">
        <f>RD!E239/1000</f>
        <v>7.4560100405709813</v>
      </c>
      <c r="F821" s="602">
        <f>RD!F239/1000</f>
        <v>8.3766356760078491</v>
      </c>
      <c r="G821" s="602">
        <f>RD!G239/1000</f>
        <v>8.7779315802860438</v>
      </c>
      <c r="H821" s="602">
        <f>RD!H239/1000</f>
        <v>9.3653272289164509</v>
      </c>
      <c r="I821" s="602">
        <f>RD!I239/1000</f>
        <v>8.0779346685441205</v>
      </c>
      <c r="J821" s="846">
        <f>RD!J239/1000</f>
        <v>11.224533156572665</v>
      </c>
      <c r="K821" s="1670">
        <f>RD!C240/1000</f>
        <v>1.0300666211486149</v>
      </c>
      <c r="L821" s="602">
        <f>RD!D240/1000</f>
        <v>1.2992609332883283</v>
      </c>
      <c r="M821" s="602">
        <f>RD!E240/1000</f>
        <v>1.3799229715472383</v>
      </c>
      <c r="N821" s="602">
        <f>RD!F240/1000</f>
        <v>1.6199127751897437</v>
      </c>
      <c r="O821" s="602">
        <f>RD!G240/1000</f>
        <v>1.9229029697747566</v>
      </c>
      <c r="P821" s="602">
        <f>RD!H240/1000</f>
        <v>2.2165319938900336</v>
      </c>
      <c r="Q821" s="602">
        <f>RD!I240/1000</f>
        <v>2.3328060592050912</v>
      </c>
      <c r="R821" s="846">
        <f>RD!J240/1000</f>
        <v>3.3887522378727351</v>
      </c>
    </row>
    <row r="822" spans="2:18">
      <c r="B822" s="595" t="s">
        <v>1053</v>
      </c>
      <c r="C822" s="1670">
        <f>PY!C222/1000</f>
        <v>0</v>
      </c>
      <c r="D822" s="602">
        <f>PY!D222/1000</f>
        <v>1.4208878644383824</v>
      </c>
      <c r="E822" s="602">
        <f>PY!E222/1000</f>
        <v>1.6476169277551811</v>
      </c>
      <c r="F822" s="602">
        <f>PY!F222/1000</f>
        <v>2.0091344218213876</v>
      </c>
      <c r="G822" s="602">
        <f>PY!G222/1000</f>
        <v>2.4634328942667367</v>
      </c>
      <c r="H822" s="602">
        <f>PY!H222/1000</f>
        <v>2.5745957899143632</v>
      </c>
      <c r="I822" s="602">
        <f>PY!I222/1000</f>
        <v>2.2101097669844645</v>
      </c>
      <c r="J822" s="846">
        <f>PY!J222/1000</f>
        <v>1.9878434905090878</v>
      </c>
      <c r="K822" s="1670">
        <f>PY!C223/1000</f>
        <v>0</v>
      </c>
      <c r="L822" s="602">
        <f>PY!D223/1000</f>
        <v>0.51549554836290523</v>
      </c>
      <c r="M822" s="602">
        <f>PY!E223/1000</f>
        <v>0.65370037324476882</v>
      </c>
      <c r="N822" s="602">
        <f>PY!F223/1000</f>
        <v>0.85554110776754877</v>
      </c>
      <c r="O822" s="602">
        <f>PY!G223/1000</f>
        <v>0.98095184932098045</v>
      </c>
      <c r="P822" s="602">
        <f>PY!H223/1000</f>
        <v>1.1022415291762451</v>
      </c>
      <c r="Q822" s="602">
        <f>PY!I223/1000</f>
        <v>1.1724952963263353</v>
      </c>
      <c r="R822" s="846">
        <f>PY!J223/1000</f>
        <v>1.2443716045317565</v>
      </c>
    </row>
    <row r="823" spans="2:18">
      <c r="B823" s="595" t="s">
        <v>1054</v>
      </c>
      <c r="C823" s="1670">
        <f>PE!C226/1000</f>
        <v>15.41851969610347</v>
      </c>
      <c r="D823" s="602">
        <f>PE!D226/1000</f>
        <v>15.890832365808976</v>
      </c>
      <c r="E823" s="602">
        <f>PE!E226/1000</f>
        <v>18.737292990900595</v>
      </c>
      <c r="F823" s="602">
        <f>PE!F226/1000</f>
        <v>20.221211727424958</v>
      </c>
      <c r="G823" s="602">
        <f>PE!G226/1000</f>
        <v>22.743666984381164</v>
      </c>
      <c r="H823" s="602">
        <f>PE!H226/1000</f>
        <v>26.59499527047204</v>
      </c>
      <c r="I823" s="602">
        <f>PE!I226/1000</f>
        <v>20.034922861391852</v>
      </c>
      <c r="J823" s="846">
        <f>PE!J226/1000</f>
        <v>27.53797396205713</v>
      </c>
      <c r="K823" s="1670">
        <f>PE!C227/1000</f>
        <v>4.0436613982128327</v>
      </c>
      <c r="L823" s="602">
        <f>PE!D227/1000</f>
        <v>4.2072970025226084</v>
      </c>
      <c r="M823" s="602">
        <f>PE!E227/1000</f>
        <v>4.9752216409579697</v>
      </c>
      <c r="N823" s="602">
        <f>PE!F227/1000</f>
        <v>5.5576175317506573</v>
      </c>
      <c r="O823" s="602">
        <f>PE!G227/1000</f>
        <v>6.5406242357315332</v>
      </c>
      <c r="P823" s="602">
        <f>PE!H227/1000</f>
        <v>7.8960273230183455</v>
      </c>
      <c r="Q823" s="602">
        <f>PE!I227/1000</f>
        <v>8.2542936917213243</v>
      </c>
      <c r="R823" s="846">
        <f>PE!J227/1000</f>
        <v>13.132444834398894</v>
      </c>
    </row>
    <row r="824" spans="2:18">
      <c r="B824" s="604" t="s">
        <v>1055</v>
      </c>
      <c r="C824" s="1674">
        <f>TT!C231/1000</f>
        <v>2.8272379614939935</v>
      </c>
      <c r="D824" s="1675">
        <f>TT!D231/1000</f>
        <v>3.1755103298899137</v>
      </c>
      <c r="E824" s="1675">
        <f>TT!E231/1000</f>
        <v>3.2850192388613864</v>
      </c>
      <c r="F824" s="1675">
        <f>TT!F231/1000</f>
        <v>3.2778000972619772</v>
      </c>
      <c r="G824" s="1675">
        <f>TT!G231/1000</f>
        <v>3.2832977024579604</v>
      </c>
      <c r="H824" s="1675">
        <f>TT!H231/1000</f>
        <v>3.4931253103864202</v>
      </c>
      <c r="I824" s="1675">
        <f>TT!I231/1000</f>
        <v>3.4795467476439308</v>
      </c>
      <c r="J824" s="1676">
        <f>TT!J231/1000</f>
        <v>3.6155322676949244</v>
      </c>
      <c r="K824" s="1674">
        <f>TT!C232/1000</f>
        <v>1.5477104528149581</v>
      </c>
      <c r="L824" s="1675">
        <f>TT!D232/1000</f>
        <v>1.7146334067392597</v>
      </c>
      <c r="M824" s="1675">
        <f>TT!E232/1000</f>
        <v>1.7647455011292454</v>
      </c>
      <c r="N824" s="1675">
        <f>TT!F232/1000</f>
        <v>1.7467165595926162</v>
      </c>
      <c r="O824" s="1675">
        <f>TT!G232/1000</f>
        <v>1.7962052277968872</v>
      </c>
      <c r="P824" s="1675">
        <f>TT!H232/1000</f>
        <v>1.9012859537608624</v>
      </c>
      <c r="Q824" s="1675">
        <f>TT!I232/1000</f>
        <v>1.9480766083470573</v>
      </c>
      <c r="R824" s="1676">
        <f>TT!J232/1000</f>
        <v>2.0980106340977143</v>
      </c>
    </row>
    <row r="825" spans="2:18">
      <c r="B825" s="57"/>
      <c r="C825" s="582"/>
      <c r="D825" s="582"/>
      <c r="E825" s="582"/>
      <c r="F825" s="582"/>
      <c r="G825" s="582"/>
      <c r="H825" s="582"/>
      <c r="I825" s="582"/>
      <c r="J825" s="582"/>
      <c r="K825" s="582"/>
      <c r="L825" s="582"/>
      <c r="M825" s="582"/>
      <c r="N825" s="582"/>
      <c r="O825" s="582"/>
      <c r="P825" s="582"/>
      <c r="Q825" s="582"/>
    </row>
    <row r="826" spans="2:18">
      <c r="B826" s="2157" t="s">
        <v>1136</v>
      </c>
      <c r="C826" s="2157"/>
      <c r="D826" s="2157"/>
      <c r="E826" s="2157"/>
      <c r="F826" s="2157"/>
      <c r="G826" s="2157"/>
      <c r="H826" s="2157"/>
      <c r="I826" s="2157"/>
      <c r="J826" s="2157"/>
      <c r="K826" s="2157"/>
      <c r="L826" s="2157"/>
      <c r="M826" s="2157"/>
      <c r="N826" s="2157"/>
      <c r="O826" s="2157"/>
      <c r="P826" s="2157"/>
      <c r="Q826" s="2157"/>
      <c r="R826" s="2157"/>
    </row>
    <row r="827" spans="2:18">
      <c r="B827" s="619"/>
      <c r="C827" s="621"/>
      <c r="D827" s="621"/>
      <c r="E827" s="621"/>
      <c r="F827" s="621"/>
      <c r="G827" s="621"/>
      <c r="H827" s="621"/>
      <c r="I827" s="621"/>
      <c r="J827" s="621"/>
      <c r="K827" s="622"/>
      <c r="L827" s="622"/>
      <c r="M827" s="622"/>
      <c r="N827" s="622"/>
      <c r="O827" s="622"/>
      <c r="P827" s="622"/>
      <c r="Q827" s="622"/>
    </row>
    <row r="828" spans="2:18">
      <c r="B828" s="583"/>
      <c r="C828" s="2196" t="s">
        <v>1114</v>
      </c>
      <c r="D828" s="2197"/>
      <c r="E828" s="2197"/>
      <c r="F828" s="2197"/>
      <c r="G828" s="2197"/>
      <c r="H828" s="2197"/>
      <c r="I828" s="2197"/>
      <c r="J828" s="2198"/>
      <c r="K828" s="2206" t="s">
        <v>1115</v>
      </c>
      <c r="L828" s="2207"/>
      <c r="M828" s="2207"/>
      <c r="N828" s="2207"/>
      <c r="O828" s="2207"/>
      <c r="P828" s="2207"/>
      <c r="Q828" s="2207"/>
      <c r="R828" s="2208"/>
    </row>
    <row r="829" spans="2:18">
      <c r="B829" s="57"/>
      <c r="C829" s="585">
        <v>2014</v>
      </c>
      <c r="D829" s="586">
        <v>2015</v>
      </c>
      <c r="E829" s="586">
        <v>2016</v>
      </c>
      <c r="F829" s="586">
        <v>2017</v>
      </c>
      <c r="G829" s="586">
        <v>2018</v>
      </c>
      <c r="H829" s="586">
        <v>2019</v>
      </c>
      <c r="I829" s="586">
        <v>2020</v>
      </c>
      <c r="J829" s="586">
        <v>2021</v>
      </c>
      <c r="K829" s="587">
        <v>2014</v>
      </c>
      <c r="L829" s="588">
        <v>2015</v>
      </c>
      <c r="M829" s="588">
        <v>2016</v>
      </c>
      <c r="N829" s="588">
        <v>2017</v>
      </c>
      <c r="O829" s="588">
        <v>2018</v>
      </c>
      <c r="P829" s="588">
        <v>2019</v>
      </c>
      <c r="Q829" s="588">
        <v>2020</v>
      </c>
      <c r="R829" s="1650">
        <v>2021</v>
      </c>
    </row>
    <row r="830" spans="2:18">
      <c r="B830" s="589" t="s">
        <v>1038</v>
      </c>
      <c r="C830" s="1671">
        <f>ARG!D232/1000</f>
        <v>0</v>
      </c>
      <c r="D830" s="1672">
        <f>ARG!E232/1000</f>
        <v>0</v>
      </c>
      <c r="E830" s="1672">
        <f>ARG!F232/1000</f>
        <v>0</v>
      </c>
      <c r="F830" s="1672">
        <f>ARG!G232/1000</f>
        <v>0</v>
      </c>
      <c r="G830" s="1672">
        <f>ARG!H232/1000</f>
        <v>0</v>
      </c>
      <c r="H830" s="1672">
        <f>ARG!I232/1000</f>
        <v>0</v>
      </c>
      <c r="I830" s="1672">
        <f>ARG!J232/1000</f>
        <v>0</v>
      </c>
      <c r="J830" s="1672">
        <f>ARG!K232/1000</f>
        <v>0</v>
      </c>
      <c r="K830" s="1671">
        <f>ARG!C233/1000</f>
        <v>40.179161255948046</v>
      </c>
      <c r="L830" s="1672">
        <f>ARG!D233/1000</f>
        <v>37.410192540765856</v>
      </c>
      <c r="M830" s="1672">
        <f>ARG!E233/1000</f>
        <v>45.95488518596914</v>
      </c>
      <c r="N830" s="1672">
        <f>ARG!F233/1000</f>
        <v>50.457236036973775</v>
      </c>
      <c r="O830" s="1672">
        <f>ARG!G233/1000</f>
        <v>33.937196807936878</v>
      </c>
      <c r="P830" s="1672">
        <f>ARG!H233/1000</f>
        <v>33.78279100979514</v>
      </c>
      <c r="Q830" s="1672">
        <f>ARG!I233/1000</f>
        <v>29.094627894485502</v>
      </c>
      <c r="R830" s="1673">
        <f>ARG!J233/1000</f>
        <v>42.115046235541534</v>
      </c>
    </row>
    <row r="831" spans="2:18">
      <c r="B831" s="595" t="s">
        <v>1039</v>
      </c>
      <c r="C831" s="1670">
        <f>BA!D221/1000</f>
        <v>0</v>
      </c>
      <c r="D831" s="602">
        <f>BA!E221/1000</f>
        <v>0</v>
      </c>
      <c r="E831" s="602">
        <f>BA!F221/1000</f>
        <v>0</v>
      </c>
      <c r="F831" s="602">
        <f>BA!G221/1000</f>
        <v>0</v>
      </c>
      <c r="G831" s="602">
        <f>BA!H221/1000</f>
        <v>0</v>
      </c>
      <c r="H831" s="602">
        <f>BA!I221/1000</f>
        <v>0</v>
      </c>
      <c r="I831" s="602">
        <f>BA!J221/1000</f>
        <v>0</v>
      </c>
      <c r="J831" s="602">
        <f>BA!K221/1000</f>
        <v>0</v>
      </c>
      <c r="K831" s="1670">
        <f>BA!C222/1000</f>
        <v>0.43427399999999999</v>
      </c>
      <c r="L831" s="602">
        <f>BA!D222/1000</f>
        <v>0.58490500000000001</v>
      </c>
      <c r="M831" s="602">
        <f>BA!E222/1000</f>
        <v>0.61554299999999995</v>
      </c>
      <c r="N831" s="602">
        <f>BA!F222/1000</f>
        <v>0.79178499999999996</v>
      </c>
      <c r="O831" s="602">
        <f>BA!G222/1000</f>
        <v>0.82478899999999999</v>
      </c>
      <c r="P831" s="602">
        <f>BA!H222/1000</f>
        <v>0.88832699999999998</v>
      </c>
      <c r="Q831" s="602">
        <f>BA!I222/1000</f>
        <v>0.61417600000000006</v>
      </c>
      <c r="R831" s="846">
        <f>BA!J222/1000</f>
        <v>0.95000699999999993</v>
      </c>
    </row>
    <row r="832" spans="2:18">
      <c r="B832" s="595" t="s">
        <v>1040</v>
      </c>
      <c r="C832" s="1670">
        <f>BO!D219/1000</f>
        <v>0</v>
      </c>
      <c r="D832" s="602">
        <f>BO!E219/1000</f>
        <v>0</v>
      </c>
      <c r="E832" s="602">
        <f>BO!F219/1000</f>
        <v>0</v>
      </c>
      <c r="F832" s="602">
        <f>BO!G219/1000</f>
        <v>0</v>
      </c>
      <c r="G832" s="602">
        <f>BO!H219/1000</f>
        <v>0</v>
      </c>
      <c r="H832" s="602">
        <f>BO!I219/1000</f>
        <v>0</v>
      </c>
      <c r="I832" s="602">
        <f>BO!J219/1000</f>
        <v>0</v>
      </c>
      <c r="J832" s="602">
        <f>BO!K219/1000</f>
        <v>0</v>
      </c>
      <c r="K832" s="1670">
        <f>BO!C220/1000</f>
        <v>0.31523853689481424</v>
      </c>
      <c r="L832" s="602">
        <f>BO!D220/1000</f>
        <v>0.3305620033973064</v>
      </c>
      <c r="M832" s="602">
        <f>BO!E220/1000</f>
        <v>0.34041330924600716</v>
      </c>
      <c r="N832" s="602">
        <f>BO!F220/1000</f>
        <v>0.37663374633493935</v>
      </c>
      <c r="O832" s="602">
        <f>BO!G220/1000</f>
        <v>0.450581673691551</v>
      </c>
      <c r="P832" s="602">
        <f>BO!H220/1000</f>
        <v>0.57821114537314511</v>
      </c>
      <c r="Q832" s="602">
        <f>BO!I220/1000</f>
        <v>0.41747846506685593</v>
      </c>
      <c r="R832" s="846">
        <f>BO!J220/1000</f>
        <v>0.57139351956992335</v>
      </c>
    </row>
    <row r="833" spans="2:18">
      <c r="B833" s="595" t="s">
        <v>1041</v>
      </c>
      <c r="C833" s="1670">
        <f>BR!D227/1000</f>
        <v>0</v>
      </c>
      <c r="D833" s="602">
        <f>BR!E227/1000</f>
        <v>0</v>
      </c>
      <c r="E833" s="602">
        <f>BR!F227/1000</f>
        <v>0</v>
      </c>
      <c r="F833" s="602">
        <f>BR!G227/1000</f>
        <v>0</v>
      </c>
      <c r="G833" s="602">
        <f>BR!H227/1000</f>
        <v>0</v>
      </c>
      <c r="H833" s="602">
        <f>BR!I227/1000</f>
        <v>0</v>
      </c>
      <c r="I833" s="602">
        <f>BR!J227/1000</f>
        <v>0</v>
      </c>
      <c r="J833" s="602">
        <f>BR!K227/1000</f>
        <v>0</v>
      </c>
      <c r="K833" s="1670">
        <f>BR!C228/1000</f>
        <v>263.55758058351387</v>
      </c>
      <c r="L833" s="602">
        <f>BR!D228/1000</f>
        <v>201.41272255198734</v>
      </c>
      <c r="M833" s="602">
        <f>BR!E228/1000</f>
        <v>200.76560600350246</v>
      </c>
      <c r="N833" s="602">
        <f>BR!F228/1000</f>
        <v>237.29451284541895</v>
      </c>
      <c r="O833" s="602">
        <f>BR!G228/1000</f>
        <v>238.77232489578205</v>
      </c>
      <c r="P833" s="602">
        <f>BR!H228/1000</f>
        <v>277.01341907199514</v>
      </c>
      <c r="Q833" s="602">
        <f>BR!I228/1000</f>
        <v>221.13532009771609</v>
      </c>
      <c r="R833" s="846">
        <f>BR!J228/1000</f>
        <v>291.75931314404335</v>
      </c>
    </row>
    <row r="834" spans="2:18">
      <c r="B834" s="595" t="s">
        <v>1042</v>
      </c>
      <c r="C834" s="1670">
        <f>CL!D224/1000</f>
        <v>0</v>
      </c>
      <c r="D834" s="602">
        <f>CL!E224/1000</f>
        <v>0</v>
      </c>
      <c r="E834" s="602">
        <f>CL!F224/1000</f>
        <v>0</v>
      </c>
      <c r="F834" s="602">
        <f>CL!G224/1000</f>
        <v>0</v>
      </c>
      <c r="G834" s="602">
        <f>CL!H224/1000</f>
        <v>0</v>
      </c>
      <c r="H834" s="602">
        <f>CL!I224/1000</f>
        <v>0</v>
      </c>
      <c r="I834" s="602">
        <f>CL!J224/1000</f>
        <v>0</v>
      </c>
      <c r="J834" s="602">
        <f>CL!K224/1000</f>
        <v>0</v>
      </c>
      <c r="K834" s="1670">
        <f>CL!C225/1000</f>
        <v>16.927365288299647</v>
      </c>
      <c r="L834" s="602">
        <f>CL!D225/1000</f>
        <v>18.337800276724916</v>
      </c>
      <c r="M834" s="602">
        <f>CL!E225/1000</f>
        <v>20.798370406152248</v>
      </c>
      <c r="N834" s="602">
        <f>CL!F225/1000</f>
        <v>24.638540611901089</v>
      </c>
      <c r="O834" s="602">
        <f>CL!G225/1000</f>
        <v>29.096149140178181</v>
      </c>
      <c r="P834" s="602">
        <f>CL!H225/1000</f>
        <v>28.586551185228096</v>
      </c>
      <c r="Q834" s="602">
        <f>CL!I225/1000</f>
        <v>30.465835038363171</v>
      </c>
      <c r="R834" s="846">
        <f>CL!J225/1000</f>
        <v>38.883466753585395</v>
      </c>
    </row>
    <row r="835" spans="2:18">
      <c r="B835" s="595" t="s">
        <v>1043</v>
      </c>
      <c r="C835" s="1670">
        <f>CO!D221/1000</f>
        <v>0</v>
      </c>
      <c r="D835" s="602">
        <f>CO!E221/1000</f>
        <v>0</v>
      </c>
      <c r="E835" s="602">
        <f>CO!F221/1000</f>
        <v>0</v>
      </c>
      <c r="F835" s="602">
        <f>CO!G221/1000</f>
        <v>0</v>
      </c>
      <c r="G835" s="602">
        <f>CO!H221/1000</f>
        <v>0</v>
      </c>
      <c r="H835" s="602">
        <f>CO!I221/1000</f>
        <v>0</v>
      </c>
      <c r="I835" s="602">
        <f>CO!J221/1000</f>
        <v>0</v>
      </c>
      <c r="J835" s="602">
        <f>CO!K221/1000</f>
        <v>0</v>
      </c>
      <c r="K835" s="1670">
        <f>CO!C222/1000</f>
        <v>18.618999649690604</v>
      </c>
      <c r="L835" s="602">
        <f>CO!D222/1000</f>
        <v>15.115231690850452</v>
      </c>
      <c r="M835" s="602">
        <f>CO!E222/1000</f>
        <v>15.368877566062141</v>
      </c>
      <c r="N835" s="602">
        <f>CO!F222/1000</f>
        <v>17.242719974878231</v>
      </c>
      <c r="O835" s="602">
        <f>CO!G222/1000</f>
        <v>19.178681273624562</v>
      </c>
      <c r="P835" s="602">
        <f>CO!H222/1000</f>
        <v>19.718097021722709</v>
      </c>
      <c r="Q835" s="602">
        <f>CO!I222/1000</f>
        <v>14.889867210016181</v>
      </c>
      <c r="R835" s="846">
        <f>CO!J222/1000</f>
        <v>16.940522018430208</v>
      </c>
    </row>
    <row r="836" spans="2:18">
      <c r="B836" s="595" t="s">
        <v>1044</v>
      </c>
      <c r="C836" s="1670">
        <f>CR!D229/1000</f>
        <v>0</v>
      </c>
      <c r="D836" s="602">
        <f>CR!E229/1000</f>
        <v>0</v>
      </c>
      <c r="E836" s="602">
        <f>CR!F229/1000</f>
        <v>0</v>
      </c>
      <c r="F836" s="602">
        <f>CR!G229/1000</f>
        <v>0</v>
      </c>
      <c r="G836" s="602">
        <f>CR!H229/1000</f>
        <v>0</v>
      </c>
      <c r="H836" s="602">
        <f>CR!I229/1000</f>
        <v>0</v>
      </c>
      <c r="I836" s="602">
        <f>CR!J229/1000</f>
        <v>0</v>
      </c>
      <c r="J836" s="602">
        <f>CR!K229/1000</f>
        <v>0</v>
      </c>
      <c r="K836" s="1670">
        <f>CR!C230/1000</f>
        <v>5.0999475345767582</v>
      </c>
      <c r="L836" s="602">
        <f>CR!D230/1000</f>
        <v>5.5244431205280122</v>
      </c>
      <c r="M836" s="602">
        <f>CR!E230/1000</f>
        <v>6.4210420864227666</v>
      </c>
      <c r="N836" s="602">
        <f>CR!F230/1000</f>
        <v>6.9436430551597903</v>
      </c>
      <c r="O836" s="602">
        <f>CR!G230/1000</f>
        <v>7.1069000020073014</v>
      </c>
      <c r="P836" s="602">
        <f>CR!H230/1000</f>
        <v>9.0677261280770782</v>
      </c>
      <c r="Q836" s="602">
        <f>CR!I230/1000</f>
        <v>6.0633950267510333</v>
      </c>
      <c r="R836" s="846">
        <f>CR!J230/1000</f>
        <v>5.9140365218525215</v>
      </c>
    </row>
    <row r="837" spans="2:18">
      <c r="B837" s="595" t="s">
        <v>1061</v>
      </c>
      <c r="C837" s="1670">
        <f>CW!D240/1000</f>
        <v>0</v>
      </c>
      <c r="D837" s="602">
        <f>CW!E240/1000</f>
        <v>0</v>
      </c>
      <c r="E837" s="602">
        <f>CW!F240/1000</f>
        <v>0</v>
      </c>
      <c r="F837" s="602">
        <f>CW!G240/1000</f>
        <v>0</v>
      </c>
      <c r="G837" s="602">
        <f>CW!H240/1000</f>
        <v>0</v>
      </c>
      <c r="H837" s="602">
        <f>CW!I240/1000</f>
        <v>0</v>
      </c>
      <c r="I837" s="602">
        <f>CW!J240/1000</f>
        <v>0</v>
      </c>
      <c r="J837" s="602">
        <f>CW!K240/1000</f>
        <v>0</v>
      </c>
      <c r="K837" s="1670">
        <v>0</v>
      </c>
      <c r="L837" s="602">
        <v>0.3</v>
      </c>
      <c r="M837" s="602">
        <f>CW!E241/1000</f>
        <v>0.30285571115642462</v>
      </c>
      <c r="N837" s="602">
        <f>CW!F241/1000</f>
        <v>0.33408450311011179</v>
      </c>
      <c r="O837" s="602">
        <f>CW!G241/1000</f>
        <v>0.35202068916759777</v>
      </c>
      <c r="P837" s="602">
        <f>CW!H241/1000</f>
        <v>0.36344704357541902</v>
      </c>
      <c r="Q837" s="602">
        <f>CW!I241/1000</f>
        <v>0.22751718770949719</v>
      </c>
      <c r="R837" s="846">
        <f>CW!J241/1000</f>
        <v>0.34371961061452516</v>
      </c>
    </row>
    <row r="838" spans="2:18">
      <c r="B838" s="595" t="s">
        <v>1047</v>
      </c>
      <c r="C838" s="1670">
        <f>EC!D223/1000</f>
        <v>0</v>
      </c>
      <c r="D838" s="602">
        <f>EC!E223/1000</f>
        <v>0</v>
      </c>
      <c r="E838" s="602">
        <f>EC!F223/1000</f>
        <v>0</v>
      </c>
      <c r="F838" s="602">
        <f>EC!G223/1000</f>
        <v>0</v>
      </c>
      <c r="G838" s="602">
        <f>EC!H223/1000</f>
        <v>0</v>
      </c>
      <c r="H838" s="602">
        <f>EC!I223/1000</f>
        <v>0</v>
      </c>
      <c r="I838" s="602">
        <f>EC!J223/1000</f>
        <v>0</v>
      </c>
      <c r="J838" s="602">
        <f>EC!K223/1000</f>
        <v>0</v>
      </c>
      <c r="K838" s="1670">
        <f>EC!C224/1000</f>
        <v>0</v>
      </c>
      <c r="L838" s="602">
        <f>EC!D224/1000</f>
        <v>9.7114338692300031</v>
      </c>
      <c r="M838" s="602">
        <f>EC!E224/1000</f>
        <v>9.415758492920002</v>
      </c>
      <c r="N838" s="602">
        <f>EC!F224/1000</f>
        <v>10.551421725149991</v>
      </c>
      <c r="O838" s="602">
        <f>EC!G224/1000</f>
        <v>12.344882627972083</v>
      </c>
      <c r="P838" s="602">
        <f>EC!H224/1000</f>
        <v>13.971205711340012</v>
      </c>
      <c r="Q838" s="602">
        <f>EC!I224/1000</f>
        <v>11.553994685749995</v>
      </c>
      <c r="R838" s="846">
        <f>EC!J224/1000</f>
        <v>10.526136560100193</v>
      </c>
    </row>
    <row r="839" spans="2:18">
      <c r="B839" s="595" t="s">
        <v>1048</v>
      </c>
      <c r="C839" s="1670">
        <f>IFERROR(SV!D225/1000,0)</f>
        <v>0</v>
      </c>
      <c r="D839" s="602">
        <f>IFERROR(SV!E225/1000,0)</f>
        <v>0</v>
      </c>
      <c r="E839" s="602">
        <f>IFERROR(SV!F225/1000,0)</f>
        <v>0</v>
      </c>
      <c r="F839" s="602">
        <f>IFERROR(SV!G225/1000,0)</f>
        <v>0</v>
      </c>
      <c r="G839" s="602">
        <f>IFERROR(SV!H225/1000,0)</f>
        <v>0</v>
      </c>
      <c r="H839" s="602">
        <f>IFERROR(SV!I225/1000,0)</f>
        <v>0</v>
      </c>
      <c r="I839" s="602">
        <f>IFERROR(SV!J225/1000,0)</f>
        <v>0</v>
      </c>
      <c r="J839" s="602">
        <f>IFERROR(SV!K225/1000,0)</f>
        <v>0</v>
      </c>
      <c r="K839" s="1670">
        <f>SV!C226/1000</f>
        <v>0</v>
      </c>
      <c r="L839" s="602">
        <f>SV!D226/1000</f>
        <v>1.3376400000000002</v>
      </c>
      <c r="M839" s="602">
        <f>SV!E226/1000</f>
        <v>1.7855999999999999</v>
      </c>
      <c r="N839" s="602">
        <f>SV!F226/1000</f>
        <v>2.05464</v>
      </c>
      <c r="O839" s="602">
        <f>SV!G226/1000</f>
        <v>2.1813800000000003</v>
      </c>
      <c r="P839" s="602">
        <f>SV!H226/1000</f>
        <v>2.50116</v>
      </c>
      <c r="Q839" s="602">
        <f>SV!I226/1000</f>
        <v>2.1645500000000002</v>
      </c>
      <c r="R839" s="846">
        <f>SV!J226/1000</f>
        <v>2.55186</v>
      </c>
    </row>
    <row r="840" spans="2:18">
      <c r="B840" s="595" t="s">
        <v>1049</v>
      </c>
      <c r="C840" s="1670">
        <f>GT!D231/1000</f>
        <v>0</v>
      </c>
      <c r="D840" s="602">
        <f>GT!E231/1000</f>
        <v>0</v>
      </c>
      <c r="E840" s="602">
        <f>GT!F231/1000</f>
        <v>0</v>
      </c>
      <c r="F840" s="602">
        <f>GT!G231/1000</f>
        <v>0</v>
      </c>
      <c r="G840" s="602">
        <f>GT!H231/1000</f>
        <v>0</v>
      </c>
      <c r="H840" s="602">
        <f>GT!I231/1000</f>
        <v>0</v>
      </c>
      <c r="I840" s="602">
        <f>GT!J231/1000</f>
        <v>0</v>
      </c>
      <c r="J840" s="602">
        <f>GT!K231/1000</f>
        <v>0</v>
      </c>
      <c r="K840" s="1670">
        <f>GT!C232/1000</f>
        <v>0</v>
      </c>
      <c r="L840" s="602">
        <f>GT!D232/1000</f>
        <v>0</v>
      </c>
      <c r="M840" s="602">
        <f>GT!E232/1000</f>
        <v>0</v>
      </c>
      <c r="N840" s="602">
        <f>GT!F232/1000</f>
        <v>0</v>
      </c>
      <c r="O840" s="602">
        <f>GT!G232/1000</f>
        <v>1.02E-4</v>
      </c>
      <c r="P840" s="602">
        <f>GT!H232/1000</f>
        <v>1.3000000000000002E-4</v>
      </c>
      <c r="Q840" s="602">
        <f>GT!I232/1000</f>
        <v>9.7E-5</v>
      </c>
      <c r="R840" s="846">
        <f>GT!J232/1000</f>
        <v>6.0999999999999999E-5</v>
      </c>
    </row>
    <row r="841" spans="2:18">
      <c r="B841" s="595" t="s">
        <v>1050</v>
      </c>
      <c r="C841" s="1670">
        <f>HN!D230/1000</f>
        <v>0</v>
      </c>
      <c r="D841" s="602">
        <f>HN!E230/1000</f>
        <v>0</v>
      </c>
      <c r="E841" s="602">
        <f>HN!F230/1000</f>
        <v>0</v>
      </c>
      <c r="F841" s="602">
        <f>HN!G230/1000</f>
        <v>0</v>
      </c>
      <c r="G841" s="602">
        <f>HN!H230/1000</f>
        <v>0</v>
      </c>
      <c r="H841" s="602">
        <f>HN!I230/1000</f>
        <v>0</v>
      </c>
      <c r="I841" s="602">
        <f>HN!J230/1000</f>
        <v>0</v>
      </c>
      <c r="J841" s="602">
        <f>HN!K230/1000</f>
        <v>0</v>
      </c>
      <c r="K841" s="1670">
        <f>HN!C231/1000</f>
        <v>0</v>
      </c>
      <c r="L841" s="602">
        <f>HN!D231/1000</f>
        <v>0</v>
      </c>
      <c r="M841" s="602">
        <f>HN!E231/1000</f>
        <v>0</v>
      </c>
      <c r="N841" s="602">
        <f>HN!F231/1000</f>
        <v>0</v>
      </c>
      <c r="O841" s="602">
        <f>HN!G231/1000</f>
        <v>0</v>
      </c>
      <c r="P841" s="602">
        <f>HN!H231/1000</f>
        <v>0</v>
      </c>
      <c r="Q841" s="602">
        <f>HN!I231/1000</f>
        <v>0</v>
      </c>
      <c r="R841" s="846">
        <f>HN!J231/1000</f>
        <v>0</v>
      </c>
    </row>
    <row r="842" spans="2:18">
      <c r="B842" s="595" t="s">
        <v>1051</v>
      </c>
      <c r="C842" s="1670">
        <f>JM!D226/1000</f>
        <v>0</v>
      </c>
      <c r="D842" s="602">
        <f>JM!E226/1000</f>
        <v>0</v>
      </c>
      <c r="E842" s="602">
        <f>JM!F226/1000</f>
        <v>0</v>
      </c>
      <c r="F842" s="602">
        <f>JM!G226/1000</f>
        <v>0</v>
      </c>
      <c r="G842" s="602">
        <f>JM!H226/1000</f>
        <v>0</v>
      </c>
      <c r="H842" s="602">
        <f>JM!I226/1000</f>
        <v>0</v>
      </c>
      <c r="I842" s="602">
        <f>JM!J226/1000</f>
        <v>0</v>
      </c>
      <c r="J842" s="602">
        <f>JM!K226/1000</f>
        <v>0</v>
      </c>
      <c r="K842" s="1670">
        <f>JM!C227/1000</f>
        <v>1.6761121020885388</v>
      </c>
      <c r="L842" s="602">
        <f>JM!D227/1000</f>
        <v>1.7652096355686875</v>
      </c>
      <c r="M842" s="602">
        <f>JM!E227/1000</f>
        <v>2.0327469979280619</v>
      </c>
      <c r="N842" s="602">
        <f>JM!F227/1000</f>
        <v>2.743190762013525</v>
      </c>
      <c r="O842" s="602">
        <f>JM!G227/1000</f>
        <v>3.67453569896779</v>
      </c>
      <c r="P842" s="602">
        <f>JM!H227/1000</f>
        <v>4.0674862393942774</v>
      </c>
      <c r="Q842" s="602">
        <f>JM!I227/1000</f>
        <v>3.8296677806238795</v>
      </c>
      <c r="R842" s="846">
        <f>JM!J227/1000</f>
        <v>4.4396994180006422</v>
      </c>
    </row>
    <row r="843" spans="2:18">
      <c r="B843" s="595" t="s">
        <v>1052</v>
      </c>
      <c r="C843" s="1670">
        <f>RD!D241/1000</f>
        <v>0</v>
      </c>
      <c r="D843" s="602">
        <f>RD!E241/1000</f>
        <v>0</v>
      </c>
      <c r="E843" s="602">
        <f>RD!F241/1000</f>
        <v>0</v>
      </c>
      <c r="F843" s="602">
        <f>RD!G241/1000</f>
        <v>0</v>
      </c>
      <c r="G843" s="602">
        <f>RD!H241/1000</f>
        <v>0</v>
      </c>
      <c r="H843" s="602">
        <f>RD!I241/1000</f>
        <v>0</v>
      </c>
      <c r="I843" s="602">
        <f>RD!J241/1000</f>
        <v>0</v>
      </c>
      <c r="J843" s="602">
        <f>RD!K241/1000</f>
        <v>0</v>
      </c>
      <c r="K843" s="1670">
        <f>RD!C242/1000</f>
        <v>4.8562242589896778</v>
      </c>
      <c r="L843" s="602">
        <f>RD!D242/1000</f>
        <v>5.51255145792231</v>
      </c>
      <c r="M843" s="602">
        <f>RD!E242/1000</f>
        <v>6.0616960903284767</v>
      </c>
      <c r="N843" s="602">
        <f>RD!F242/1000</f>
        <v>6.7484408809184195</v>
      </c>
      <c r="O843" s="602">
        <f>RD!G242/1000</f>
        <v>6.8480087469902111</v>
      </c>
      <c r="P843" s="602">
        <f>RD!H242/1000</f>
        <v>7.1426794114873502</v>
      </c>
      <c r="Q843" s="602">
        <f>RD!I242/1000</f>
        <v>5.7407593403871005</v>
      </c>
      <c r="R843" s="846">
        <f>RD!J242/1000</f>
        <v>7.8297025495396708</v>
      </c>
    </row>
    <row r="844" spans="2:18">
      <c r="B844" s="595" t="s">
        <v>1053</v>
      </c>
      <c r="C844" s="1670">
        <f>PY!D224/1000</f>
        <v>0</v>
      </c>
      <c r="D844" s="602">
        <f>PY!E224/1000</f>
        <v>0</v>
      </c>
      <c r="E844" s="602">
        <f>PY!F224/1000</f>
        <v>0</v>
      </c>
      <c r="F844" s="602">
        <f>PY!G224/1000</f>
        <v>0</v>
      </c>
      <c r="G844" s="602">
        <f>PY!H224/1000</f>
        <v>0</v>
      </c>
      <c r="H844" s="602">
        <f>PY!I224/1000</f>
        <v>0</v>
      </c>
      <c r="I844" s="602">
        <f>PY!J224/1000</f>
        <v>0</v>
      </c>
      <c r="J844" s="602">
        <f>PY!K224/1000</f>
        <v>0</v>
      </c>
      <c r="K844" s="1670">
        <f>PY!C225/1000</f>
        <v>0</v>
      </c>
      <c r="L844" s="602">
        <f>PY!D225/1000</f>
        <v>0.90539231607547732</v>
      </c>
      <c r="M844" s="602">
        <f>PY!E225/1000</f>
        <v>0.99391655451041205</v>
      </c>
      <c r="N844" s="602">
        <f>PY!F225/1000</f>
        <v>1.1535933140538388</v>
      </c>
      <c r="O844" s="602">
        <f>PY!G225/1000</f>
        <v>1.4824810449457564</v>
      </c>
      <c r="P844" s="602">
        <f>PY!H225/1000</f>
        <v>1.4723542607381179</v>
      </c>
      <c r="Q844" s="602">
        <f>PY!I225/1000</f>
        <v>1.0376144706581292</v>
      </c>
      <c r="R844" s="846">
        <f>PY!J225/1000</f>
        <v>0.74347188597733149</v>
      </c>
    </row>
    <row r="845" spans="2:18">
      <c r="B845" s="595" t="s">
        <v>1054</v>
      </c>
      <c r="C845" s="1670">
        <f>PE!D227/1000</f>
        <v>4.2072970025226084</v>
      </c>
      <c r="D845" s="602">
        <f>PE!E227/1000</f>
        <v>4.9752216409579697</v>
      </c>
      <c r="E845" s="602">
        <f>PE!F227/1000</f>
        <v>5.5576175317506573</v>
      </c>
      <c r="F845" s="602">
        <f>PE!G227/1000</f>
        <v>6.5406242357315332</v>
      </c>
      <c r="G845" s="602">
        <f>PE!H227/1000</f>
        <v>7.8960273230183455</v>
      </c>
      <c r="H845" s="602">
        <f>PE!I227/1000</f>
        <v>8.2542936917213243</v>
      </c>
      <c r="I845" s="602">
        <f>PE!J227/1000</f>
        <v>13.132444834398894</v>
      </c>
      <c r="J845" s="602">
        <f>PE!K227/1000</f>
        <v>0</v>
      </c>
      <c r="K845" s="1670">
        <f>PE!C228/1000</f>
        <v>11.374858297890636</v>
      </c>
      <c r="L845" s="602">
        <f>PE!D228/1000</f>
        <v>11.683535363286367</v>
      </c>
      <c r="M845" s="602">
        <f>PE!E228/1000</f>
        <v>13.762071349942623</v>
      </c>
      <c r="N845" s="602">
        <f>PE!F228/1000</f>
        <v>14.6635941956743</v>
      </c>
      <c r="O845" s="602">
        <f>PE!G228/1000</f>
        <v>16.203042748649633</v>
      </c>
      <c r="P845" s="602">
        <f>PE!H228/1000</f>
        <v>18.698967947453696</v>
      </c>
      <c r="Q845" s="602">
        <f>PE!I228/1000</f>
        <v>11.780629169670529</v>
      </c>
      <c r="R845" s="846">
        <f>PE!J228/1000</f>
        <v>14.405529127658236</v>
      </c>
    </row>
    <row r="846" spans="2:18">
      <c r="B846" s="604" t="s">
        <v>1055</v>
      </c>
      <c r="C846" s="1674">
        <f>TT!D233/1000</f>
        <v>0</v>
      </c>
      <c r="D846" s="1675">
        <f>TT!E233/1000</f>
        <v>0</v>
      </c>
      <c r="E846" s="1675">
        <f>TT!F233/1000</f>
        <v>0</v>
      </c>
      <c r="F846" s="1675">
        <f>TT!G233/1000</f>
        <v>0</v>
      </c>
      <c r="G846" s="1675">
        <f>TT!H233/1000</f>
        <v>0</v>
      </c>
      <c r="H846" s="1675">
        <f>TT!I233/1000</f>
        <v>0</v>
      </c>
      <c r="I846" s="1675">
        <f>TT!J233/1000</f>
        <v>0</v>
      </c>
      <c r="J846" s="1675">
        <f>TT!K233/1000</f>
        <v>0</v>
      </c>
      <c r="K846" s="1674">
        <f>TT!C234/1000</f>
        <v>1.2795275086790356</v>
      </c>
      <c r="L846" s="1675">
        <f>TT!D234/1000</f>
        <v>1.460876923150654</v>
      </c>
      <c r="M846" s="1675">
        <f>TT!E234/1000</f>
        <v>1.5202737377321411</v>
      </c>
      <c r="N846" s="1675">
        <f>TT!F234/1000</f>
        <v>1.5310835376693608</v>
      </c>
      <c r="O846" s="1675">
        <f>TT!G234/1000</f>
        <v>1.4870924746610736</v>
      </c>
      <c r="P846" s="1675">
        <f>TT!H234/1000</f>
        <v>1.5918393566255575</v>
      </c>
      <c r="Q846" s="1675">
        <f>TT!I234/1000</f>
        <v>1.531470139296873</v>
      </c>
      <c r="R846" s="1676">
        <f>TT!J234/1000</f>
        <v>1.5175216335972102</v>
      </c>
    </row>
    <row r="847" spans="2:18">
      <c r="B847" s="57"/>
      <c r="C847" s="582"/>
      <c r="D847" s="582"/>
      <c r="E847" s="582"/>
      <c r="F847" s="582"/>
      <c r="G847" s="582"/>
      <c r="H847" s="582"/>
      <c r="I847" s="582"/>
      <c r="J847" s="582"/>
      <c r="K847" s="582"/>
      <c r="L847" s="582"/>
      <c r="M847" s="582"/>
      <c r="N847" s="582"/>
      <c r="O847" s="582"/>
      <c r="P847" s="582"/>
      <c r="Q847" s="582"/>
    </row>
    <row r="848" spans="2:18">
      <c r="B848" s="2157" t="s">
        <v>1137</v>
      </c>
      <c r="C848" s="2157"/>
      <c r="D848" s="2157"/>
      <c r="E848" s="2157"/>
      <c r="F848" s="2157"/>
      <c r="G848" s="2157"/>
      <c r="H848" s="2157"/>
      <c r="I848" s="2157"/>
      <c r="J848" s="2157"/>
      <c r="K848" s="2157"/>
      <c r="L848" s="2157"/>
      <c r="M848" s="2157"/>
      <c r="N848" s="2157"/>
      <c r="O848" s="2157"/>
      <c r="P848" s="2157"/>
      <c r="Q848" s="2157"/>
      <c r="R848" s="2157"/>
    </row>
    <row r="849" spans="2:18" ht="15" customHeight="1">
      <c r="B849" s="2178" t="s">
        <v>1138</v>
      </c>
      <c r="C849" s="2178"/>
      <c r="D849" s="2178"/>
      <c r="E849" s="2178"/>
      <c r="F849" s="2178"/>
      <c r="G849" s="2178"/>
      <c r="H849" s="2178"/>
      <c r="I849" s="2178"/>
      <c r="J849" s="2178"/>
      <c r="K849" s="2178"/>
      <c r="L849" s="2178"/>
      <c r="M849" s="2178"/>
      <c r="N849" s="2178"/>
      <c r="O849" s="2178"/>
      <c r="P849" s="2178"/>
      <c r="Q849" s="2178"/>
      <c r="R849" s="2178"/>
    </row>
    <row r="850" spans="2:18">
      <c r="B850" s="2160" t="s">
        <v>1139</v>
      </c>
      <c r="C850" s="2160"/>
      <c r="D850" s="2160"/>
      <c r="E850" s="2160"/>
      <c r="F850" s="2160"/>
      <c r="G850" s="2160"/>
      <c r="H850" s="2160"/>
      <c r="I850" s="2160"/>
      <c r="J850" s="2160"/>
      <c r="K850" s="2160"/>
      <c r="L850" s="2160"/>
      <c r="M850" s="2160"/>
      <c r="N850" s="2160"/>
      <c r="O850" s="2160"/>
      <c r="P850" s="2160"/>
      <c r="Q850" s="2160"/>
      <c r="R850" s="2160"/>
    </row>
    <row r="851" spans="2:18">
      <c r="B851" s="57"/>
      <c r="C851" s="582"/>
      <c r="D851" s="582"/>
      <c r="E851" s="582"/>
      <c r="F851" s="582"/>
      <c r="G851" s="582"/>
      <c r="H851" s="582"/>
      <c r="I851" s="582"/>
      <c r="J851" s="582"/>
      <c r="K851" s="582"/>
      <c r="L851" s="582"/>
      <c r="M851" s="582"/>
      <c r="N851" s="582"/>
      <c r="O851" s="582"/>
      <c r="P851" s="582"/>
      <c r="Q851" s="582"/>
    </row>
    <row r="852" spans="2:18">
      <c r="B852" s="641">
        <v>100</v>
      </c>
      <c r="C852" s="2161" t="s">
        <v>361</v>
      </c>
      <c r="D852" s="2162"/>
      <c r="E852" s="2162"/>
      <c r="F852" s="2162"/>
      <c r="G852" s="2162"/>
      <c r="H852" s="2162"/>
      <c r="I852" s="2162"/>
      <c r="J852" s="842"/>
      <c r="K852" s="2161" t="s">
        <v>358</v>
      </c>
      <c r="L852" s="2162"/>
      <c r="M852" s="2162"/>
      <c r="N852" s="2162"/>
      <c r="O852" s="2162"/>
      <c r="P852" s="2162"/>
      <c r="Q852" s="2162"/>
      <c r="R852" s="2163"/>
    </row>
    <row r="853" spans="2:18">
      <c r="B853" s="57"/>
      <c r="C853" s="585">
        <v>2014</v>
      </c>
      <c r="D853" s="586">
        <v>2015</v>
      </c>
      <c r="E853" s="586">
        <v>2016</v>
      </c>
      <c r="F853" s="586">
        <v>2017</v>
      </c>
      <c r="G853" s="586">
        <v>2018</v>
      </c>
      <c r="H853" s="586">
        <v>2019</v>
      </c>
      <c r="I853" s="586">
        <v>2020</v>
      </c>
      <c r="J853" s="586">
        <v>2021</v>
      </c>
      <c r="K853" s="587">
        <v>2014</v>
      </c>
      <c r="L853" s="588">
        <v>2015</v>
      </c>
      <c r="M853" s="588">
        <v>2016</v>
      </c>
      <c r="N853" s="588">
        <v>2017</v>
      </c>
      <c r="O853" s="588">
        <v>2018</v>
      </c>
      <c r="P853" s="588">
        <v>2019</v>
      </c>
      <c r="Q853" s="588">
        <v>2020</v>
      </c>
      <c r="R853" s="848">
        <v>2021</v>
      </c>
    </row>
    <row r="854" spans="2:18">
      <c r="B854" s="589" t="s">
        <v>1038</v>
      </c>
      <c r="C854" s="614">
        <f t="shared" ref="C854:J863" si="249">IF(ISNUMBER(C764/C696*100),C764/C696*100,"0")</f>
        <v>75.793094087548752</v>
      </c>
      <c r="D854" s="615">
        <f t="shared" si="249"/>
        <v>76.935663018417699</v>
      </c>
      <c r="E854" s="615">
        <f t="shared" si="249"/>
        <v>79.056264653951928</v>
      </c>
      <c r="F854" s="615">
        <f t="shared" si="249"/>
        <v>79.818203890320973</v>
      </c>
      <c r="G854" s="615">
        <f t="shared" si="249"/>
        <v>81.516531098684553</v>
      </c>
      <c r="H854" s="615">
        <f t="shared" si="249"/>
        <v>83.023546713192758</v>
      </c>
      <c r="I854" s="615">
        <f t="shared" si="249"/>
        <v>85.68608827493955</v>
      </c>
      <c r="J854" s="615">
        <f t="shared" si="249"/>
        <v>84.978202783337892</v>
      </c>
      <c r="K854" s="614">
        <f t="shared" ref="K854:K870" si="250">IF(ISNUMBER(K764/C696*100),K764/C696*100,"0")</f>
        <v>0.58628806049587856</v>
      </c>
      <c r="L854" s="615">
        <f t="shared" ref="L854:L870" si="251">IF(ISNUMBER(L764/D696*100),L764/D696*100,"0")</f>
        <v>0.64848058223837701</v>
      </c>
      <c r="M854" s="615">
        <f t="shared" ref="M854:M870" si="252">IF(ISNUMBER(M764/E696*100),M764/E696*100,"0")</f>
        <v>0.69153670930883626</v>
      </c>
      <c r="N854" s="615">
        <f t="shared" ref="N854:N870" si="253">IF(ISNUMBER(N764/F696*100),N764/F696*100,"0")</f>
        <v>0.81507318467043</v>
      </c>
      <c r="O854" s="615">
        <f t="shared" ref="O854:O870" si="254">IF(ISNUMBER(O764/G696*100),O764/G696*100,"0")</f>
        <v>0.89532079076154325</v>
      </c>
      <c r="P854" s="615">
        <f t="shared" ref="P854:P870" si="255">IF(ISNUMBER(P764/H696*100),P764/H696*100,"0")</f>
        <v>0.94177959723993221</v>
      </c>
      <c r="Q854" s="615">
        <f t="shared" ref="Q854:Q870" si="256">IF(ISNUMBER(Q764/I696*100),Q764/I696*100,"0")</f>
        <v>0.93859994701636207</v>
      </c>
      <c r="R854" s="616">
        <f t="shared" ref="R854:R870" si="257">IF(ISNUMBER(R764/J696*100),R764/J696*100,"0")</f>
        <v>0.86618112374600276</v>
      </c>
    </row>
    <row r="855" spans="2:18">
      <c r="B855" s="595" t="s">
        <v>1039</v>
      </c>
      <c r="C855" s="608">
        <f t="shared" si="249"/>
        <v>23.005864593441508</v>
      </c>
      <c r="D855" s="609">
        <f t="shared" si="249"/>
        <v>28.172255211045361</v>
      </c>
      <c r="E855" s="609">
        <f t="shared" si="249"/>
        <v>34.014214517781149</v>
      </c>
      <c r="F855" s="609">
        <f t="shared" si="249"/>
        <v>38.361865768001444</v>
      </c>
      <c r="G855" s="609">
        <f t="shared" si="249"/>
        <v>34.757630744312053</v>
      </c>
      <c r="H855" s="609">
        <f t="shared" si="249"/>
        <v>34.33490247381426</v>
      </c>
      <c r="I855" s="609">
        <f t="shared" si="249"/>
        <v>40.118143352103175</v>
      </c>
      <c r="J855" s="609">
        <f t="shared" si="249"/>
        <v>56.249683746870303</v>
      </c>
      <c r="K855" s="608">
        <f t="shared" si="250"/>
        <v>0.11113452254205916</v>
      </c>
      <c r="L855" s="609">
        <f t="shared" si="251"/>
        <v>1.4077987606080851</v>
      </c>
      <c r="M855" s="609">
        <f t="shared" si="252"/>
        <v>1.3454395114975377</v>
      </c>
      <c r="N855" s="609">
        <f t="shared" si="253"/>
        <v>1.1406159226860462</v>
      </c>
      <c r="O855" s="609">
        <f t="shared" si="254"/>
        <v>1.2866742379849341</v>
      </c>
      <c r="P855" s="609">
        <f t="shared" si="255"/>
        <v>1.3658489598528545</v>
      </c>
      <c r="Q855" s="609">
        <f t="shared" si="256"/>
        <v>1.3849214976314608</v>
      </c>
      <c r="R855" s="603">
        <f t="shared" si="257"/>
        <v>1.7657950292611913</v>
      </c>
    </row>
    <row r="856" spans="2:18">
      <c r="B856" s="595" t="s">
        <v>1040</v>
      </c>
      <c r="C856" s="608">
        <f t="shared" si="249"/>
        <v>0</v>
      </c>
      <c r="D856" s="609">
        <f t="shared" si="249"/>
        <v>0</v>
      </c>
      <c r="E856" s="609">
        <f t="shared" si="249"/>
        <v>0</v>
      </c>
      <c r="F856" s="609">
        <f t="shared" si="249"/>
        <v>0</v>
      </c>
      <c r="G856" s="609">
        <f t="shared" si="249"/>
        <v>0</v>
      </c>
      <c r="H856" s="609">
        <f t="shared" si="249"/>
        <v>0</v>
      </c>
      <c r="I856" s="609">
        <f t="shared" si="249"/>
        <v>0</v>
      </c>
      <c r="J856" s="609">
        <f t="shared" si="249"/>
        <v>0</v>
      </c>
      <c r="K856" s="608">
        <f t="shared" si="250"/>
        <v>0</v>
      </c>
      <c r="L856" s="609">
        <f t="shared" si="251"/>
        <v>0</v>
      </c>
      <c r="M856" s="609">
        <f t="shared" si="252"/>
        <v>0</v>
      </c>
      <c r="N856" s="609">
        <f t="shared" si="253"/>
        <v>0</v>
      </c>
      <c r="O856" s="609">
        <f t="shared" si="254"/>
        <v>0</v>
      </c>
      <c r="P856" s="609">
        <f t="shared" si="255"/>
        <v>0</v>
      </c>
      <c r="Q856" s="609">
        <f t="shared" si="256"/>
        <v>0</v>
      </c>
      <c r="R856" s="603">
        <f t="shared" si="257"/>
        <v>0</v>
      </c>
    </row>
    <row r="857" spans="2:18">
      <c r="B857" s="595" t="s">
        <v>1041</v>
      </c>
      <c r="C857" s="608">
        <f t="shared" si="249"/>
        <v>79.313081034250047</v>
      </c>
      <c r="D857" s="609">
        <f t="shared" si="249"/>
        <v>81.961393000478893</v>
      </c>
      <c r="E857" s="609">
        <f t="shared" si="249"/>
        <v>78.540971072877781</v>
      </c>
      <c r="F857" s="609">
        <f t="shared" si="249"/>
        <v>79.211470820975592</v>
      </c>
      <c r="G857" s="609">
        <f t="shared" si="249"/>
        <v>81.794116167134163</v>
      </c>
      <c r="H857" s="609">
        <f t="shared" si="249"/>
        <v>86.103939372519491</v>
      </c>
      <c r="I857" s="609">
        <f t="shared" si="249"/>
        <v>89.284669343991865</v>
      </c>
      <c r="J857" s="609">
        <f t="shared" si="249"/>
        <v>90.359728194854412</v>
      </c>
      <c r="K857" s="608">
        <f t="shared" si="250"/>
        <v>11.817279617527056</v>
      </c>
      <c r="L857" s="609">
        <f t="shared" si="251"/>
        <v>9.7796135231920083</v>
      </c>
      <c r="M857" s="609">
        <f t="shared" si="252"/>
        <v>14.218024394919734</v>
      </c>
      <c r="N857" s="609">
        <f t="shared" si="253"/>
        <v>14.477134194279095</v>
      </c>
      <c r="O857" s="609">
        <f t="shared" si="254"/>
        <v>12.49739355108477</v>
      </c>
      <c r="P857" s="609">
        <f t="shared" si="255"/>
        <v>8.4806729751211893</v>
      </c>
      <c r="Q857" s="609">
        <f t="shared" si="256"/>
        <v>6.1862416986871516</v>
      </c>
      <c r="R857" s="603">
        <f t="shared" si="257"/>
        <v>5.4702918356227208</v>
      </c>
    </row>
    <row r="858" spans="2:18">
      <c r="B858" s="595" t="s">
        <v>1042</v>
      </c>
      <c r="C858" s="608">
        <f t="shared" si="249"/>
        <v>17.833467577999361</v>
      </c>
      <c r="D858" s="609">
        <f t="shared" si="249"/>
        <v>18.536866136742201</v>
      </c>
      <c r="E858" s="609">
        <f t="shared" si="249"/>
        <v>25.575253516660908</v>
      </c>
      <c r="F858" s="609">
        <f t="shared" si="249"/>
        <v>29.841440285506266</v>
      </c>
      <c r="G858" s="609">
        <f t="shared" si="249"/>
        <v>26.554029398378866</v>
      </c>
      <c r="H858" s="609">
        <f t="shared" si="249"/>
        <v>29.318857581160927</v>
      </c>
      <c r="I858" s="609">
        <f t="shared" si="249"/>
        <v>44.950777127799618</v>
      </c>
      <c r="J858" s="609">
        <f t="shared" si="249"/>
        <v>47.937005203260583</v>
      </c>
      <c r="K858" s="608">
        <f t="shared" si="250"/>
        <v>0</v>
      </c>
      <c r="L858" s="609">
        <f t="shared" si="251"/>
        <v>0</v>
      </c>
      <c r="M858" s="609">
        <f t="shared" si="252"/>
        <v>0</v>
      </c>
      <c r="N858" s="609">
        <f t="shared" si="253"/>
        <v>0</v>
      </c>
      <c r="O858" s="609">
        <f t="shared" si="254"/>
        <v>0</v>
      </c>
      <c r="P858" s="609">
        <f t="shared" si="255"/>
        <v>0</v>
      </c>
      <c r="Q858" s="609">
        <f t="shared" si="256"/>
        <v>0</v>
      </c>
      <c r="R858" s="603">
        <f t="shared" si="257"/>
        <v>0</v>
      </c>
    </row>
    <row r="859" spans="2:18">
      <c r="B859" s="595" t="s">
        <v>1043</v>
      </c>
      <c r="C859" s="608">
        <f t="shared" si="249"/>
        <v>68.513573867063755</v>
      </c>
      <c r="D859" s="609">
        <f t="shared" si="249"/>
        <v>70.709219968512386</v>
      </c>
      <c r="E859" s="609">
        <f t="shared" si="249"/>
        <v>72.046971567493117</v>
      </c>
      <c r="F859" s="609">
        <f t="shared" si="249"/>
        <v>76.747223245285966</v>
      </c>
      <c r="G859" s="609">
        <f t="shared" si="249"/>
        <v>79.053010085221416</v>
      </c>
      <c r="H859" s="609">
        <f t="shared" si="249"/>
        <v>80.181029092929847</v>
      </c>
      <c r="I859" s="609">
        <f t="shared" si="249"/>
        <v>85.619860399063825</v>
      </c>
      <c r="J859" s="609">
        <f t="shared" si="249"/>
        <v>84.63121396851156</v>
      </c>
      <c r="K859" s="608">
        <f t="shared" si="250"/>
        <v>0.20336509845731246</v>
      </c>
      <c r="L859" s="609">
        <f t="shared" si="251"/>
        <v>0.21255109513970485</v>
      </c>
      <c r="M859" s="609">
        <f t="shared" si="252"/>
        <v>0.25384295506413873</v>
      </c>
      <c r="N859" s="609">
        <f t="shared" si="253"/>
        <v>0.28675260980577721</v>
      </c>
      <c r="O859" s="609">
        <f t="shared" si="254"/>
        <v>0.31794515731213396</v>
      </c>
      <c r="P859" s="609">
        <f t="shared" si="255"/>
        <v>0.30089435108830753</v>
      </c>
      <c r="Q859" s="609">
        <f t="shared" si="256"/>
        <v>0.26408954794346906</v>
      </c>
      <c r="R859" s="603">
        <f t="shared" si="257"/>
        <v>0.19862246280900669</v>
      </c>
    </row>
    <row r="860" spans="2:18">
      <c r="B860" s="595" t="s">
        <v>1044</v>
      </c>
      <c r="C860" s="608">
        <f t="shared" si="249"/>
        <v>0</v>
      </c>
      <c r="D860" s="609">
        <f t="shared" si="249"/>
        <v>0</v>
      </c>
      <c r="E860" s="609">
        <f t="shared" si="249"/>
        <v>0</v>
      </c>
      <c r="F860" s="609">
        <f t="shared" si="249"/>
        <v>70.46467414747805</v>
      </c>
      <c r="G860" s="609">
        <f t="shared" si="249"/>
        <v>69.669322053526244</v>
      </c>
      <c r="H860" s="609">
        <f t="shared" si="249"/>
        <v>75.139398691731074</v>
      </c>
      <c r="I860" s="609">
        <f t="shared" si="249"/>
        <v>75.166327515376778</v>
      </c>
      <c r="J860" s="609">
        <f t="shared" si="249"/>
        <v>70.753236913506669</v>
      </c>
      <c r="K860" s="608">
        <f t="shared" si="250"/>
        <v>0</v>
      </c>
      <c r="L860" s="609">
        <f t="shared" si="251"/>
        <v>0</v>
      </c>
      <c r="M860" s="609">
        <f t="shared" si="252"/>
        <v>0</v>
      </c>
      <c r="N860" s="609">
        <f t="shared" si="253"/>
        <v>19.160910621776452</v>
      </c>
      <c r="O860" s="609">
        <f t="shared" si="254"/>
        <v>22.686061396934321</v>
      </c>
      <c r="P860" s="609">
        <f t="shared" si="255"/>
        <v>18.100122543351187</v>
      </c>
      <c r="Q860" s="609">
        <f t="shared" si="256"/>
        <v>18.836036069996979</v>
      </c>
      <c r="R860" s="603">
        <f t="shared" si="257"/>
        <v>23.2175048378637</v>
      </c>
    </row>
    <row r="861" spans="2:18">
      <c r="B861" s="595" t="s">
        <v>1061</v>
      </c>
      <c r="C861" s="608" t="str">
        <f t="shared" si="249"/>
        <v>0</v>
      </c>
      <c r="D861" s="609">
        <f t="shared" si="249"/>
        <v>80.602006688963229</v>
      </c>
      <c r="E861" s="609">
        <f t="shared" si="249"/>
        <v>87.340839551190996</v>
      </c>
      <c r="F861" s="609">
        <f t="shared" si="249"/>
        <v>88.553502585332097</v>
      </c>
      <c r="G861" s="609">
        <f t="shared" si="249"/>
        <v>89.403769519889437</v>
      </c>
      <c r="H861" s="609">
        <f t="shared" si="249"/>
        <v>90.144250288878169</v>
      </c>
      <c r="I861" s="609">
        <f t="shared" si="249"/>
        <v>92.921856990964073</v>
      </c>
      <c r="J861" s="609">
        <f t="shared" si="249"/>
        <v>95.740977343371085</v>
      </c>
      <c r="K861" s="608" t="str">
        <f t="shared" si="250"/>
        <v>0</v>
      </c>
      <c r="L861" s="609">
        <f t="shared" si="251"/>
        <v>0</v>
      </c>
      <c r="M861" s="609">
        <f t="shared" si="252"/>
        <v>0.25229959914808714</v>
      </c>
      <c r="N861" s="609">
        <f t="shared" si="253"/>
        <v>0.25406536994603801</v>
      </c>
      <c r="O861" s="609">
        <f t="shared" si="254"/>
        <v>0.30681565805819366</v>
      </c>
      <c r="P861" s="609">
        <f t="shared" si="255"/>
        <v>0.22508571575949746</v>
      </c>
      <c r="Q861" s="609">
        <f t="shared" si="256"/>
        <v>0.26696731715018074</v>
      </c>
      <c r="R861" s="603">
        <f t="shared" si="257"/>
        <v>0.15738719163292827</v>
      </c>
    </row>
    <row r="862" spans="2:18">
      <c r="B862" s="595" t="s">
        <v>1047</v>
      </c>
      <c r="C862" s="608">
        <f t="shared" si="249"/>
        <v>46.607403489960411</v>
      </c>
      <c r="D862" s="609">
        <f t="shared" si="249"/>
        <v>51.189776003412327</v>
      </c>
      <c r="E862" s="609">
        <f t="shared" si="249"/>
        <v>55.306490284070797</v>
      </c>
      <c r="F862" s="609">
        <f t="shared" si="249"/>
        <v>56.231871886255234</v>
      </c>
      <c r="G862" s="609">
        <f t="shared" si="249"/>
        <v>57.119562493786169</v>
      </c>
      <c r="H862" s="609">
        <f t="shared" si="249"/>
        <v>58.406761127361492</v>
      </c>
      <c r="I862" s="609">
        <f t="shared" si="249"/>
        <v>65.506484355286531</v>
      </c>
      <c r="J862" s="609">
        <f t="shared" si="249"/>
        <v>67.922432805104975</v>
      </c>
      <c r="K862" s="608">
        <f t="shared" si="250"/>
        <v>6.2145297873621015</v>
      </c>
      <c r="L862" s="609">
        <f t="shared" si="251"/>
        <v>6.1893255972306358</v>
      </c>
      <c r="M862" s="609">
        <f t="shared" si="252"/>
        <v>5.6734424199483025</v>
      </c>
      <c r="N862" s="609">
        <f t="shared" si="253"/>
        <v>5.5043334682127734</v>
      </c>
      <c r="O862" s="609">
        <f t="shared" si="254"/>
        <v>5.5706979437799982</v>
      </c>
      <c r="P862" s="609">
        <f t="shared" si="255"/>
        <v>5.4479408754956902</v>
      </c>
      <c r="Q862" s="609">
        <f t="shared" si="256"/>
        <v>5.7626702187224694</v>
      </c>
      <c r="R862" s="603">
        <f t="shared" si="257"/>
        <v>4.8409192572254645</v>
      </c>
    </row>
    <row r="863" spans="2:18">
      <c r="B863" s="595" t="s">
        <v>1048</v>
      </c>
      <c r="C863" s="608" t="str">
        <f t="shared" si="249"/>
        <v>0</v>
      </c>
      <c r="D863" s="609">
        <f t="shared" si="249"/>
        <v>18.093594616173174</v>
      </c>
      <c r="E863" s="609">
        <f t="shared" si="249"/>
        <v>39.436468941453938</v>
      </c>
      <c r="F863" s="609">
        <f t="shared" si="249"/>
        <v>40.725256884150156</v>
      </c>
      <c r="G863" s="609">
        <f t="shared" si="249"/>
        <v>43.33468340758742</v>
      </c>
      <c r="H863" s="609">
        <f t="shared" si="249"/>
        <v>48.35074245668303</v>
      </c>
      <c r="I863" s="609">
        <f t="shared" si="249"/>
        <v>63.754574049179084</v>
      </c>
      <c r="J863" s="609">
        <f t="shared" si="249"/>
        <v>64.82727405897684</v>
      </c>
      <c r="K863" s="608" t="str">
        <f t="shared" si="250"/>
        <v>0</v>
      </c>
      <c r="L863" s="609">
        <f t="shared" si="251"/>
        <v>0.51264433653222152</v>
      </c>
      <c r="M863" s="609">
        <f t="shared" si="252"/>
        <v>0.74388681276693724</v>
      </c>
      <c r="N863" s="609">
        <f t="shared" si="253"/>
        <v>0.66622158109147744</v>
      </c>
      <c r="O863" s="609">
        <f t="shared" si="254"/>
        <v>0.72956102617798335</v>
      </c>
      <c r="P863" s="609">
        <f t="shared" si="255"/>
        <v>0.69286173957939978</v>
      </c>
      <c r="Q863" s="609">
        <f t="shared" si="256"/>
        <v>0.75718826341494516</v>
      </c>
      <c r="R863" s="603">
        <f t="shared" si="257"/>
        <v>0.24368845429432731</v>
      </c>
    </row>
    <row r="864" spans="2:18">
      <c r="B864" s="595" t="s">
        <v>1049</v>
      </c>
      <c r="C864" s="608">
        <f t="shared" ref="C864:J870" si="258">IF(ISNUMBER(C774/C706*100),C774/C706*100,"0")</f>
        <v>1.844527899676434E-2</v>
      </c>
      <c r="D864" s="609">
        <f t="shared" si="258"/>
        <v>1.0956767106245701E-2</v>
      </c>
      <c r="E864" s="609">
        <f t="shared" si="258"/>
        <v>1.6708395101759421E-2</v>
      </c>
      <c r="F864" s="609">
        <f t="shared" si="258"/>
        <v>4.5060841352816586E-2</v>
      </c>
      <c r="G864" s="609">
        <f t="shared" si="258"/>
        <v>5.4241098170574382E-2</v>
      </c>
      <c r="H864" s="609">
        <f t="shared" si="258"/>
        <v>6.0744510916714622E-2</v>
      </c>
      <c r="I864" s="609">
        <f t="shared" si="258"/>
        <v>7.1335190250643443E-2</v>
      </c>
      <c r="J864" s="609">
        <f t="shared" si="258"/>
        <v>5.6614540910373837E-2</v>
      </c>
      <c r="K864" s="608">
        <f t="shared" si="250"/>
        <v>0</v>
      </c>
      <c r="L864" s="609">
        <f t="shared" si="251"/>
        <v>0</v>
      </c>
      <c r="M864" s="609">
        <f t="shared" si="252"/>
        <v>0</v>
      </c>
      <c r="N864" s="609">
        <f t="shared" si="253"/>
        <v>0</v>
      </c>
      <c r="O864" s="609">
        <f t="shared" si="254"/>
        <v>0</v>
      </c>
      <c r="P864" s="609">
        <f t="shared" si="255"/>
        <v>0</v>
      </c>
      <c r="Q864" s="609">
        <f t="shared" si="256"/>
        <v>0</v>
      </c>
      <c r="R864" s="603">
        <f t="shared" si="257"/>
        <v>0</v>
      </c>
    </row>
    <row r="865" spans="2:18">
      <c r="B865" s="595" t="s">
        <v>1050</v>
      </c>
      <c r="C865" s="608" t="str">
        <f t="shared" si="258"/>
        <v>0</v>
      </c>
      <c r="D865" s="609" t="str">
        <f t="shared" si="258"/>
        <v>0</v>
      </c>
      <c r="E865" s="609" t="str">
        <f t="shared" si="258"/>
        <v>0</v>
      </c>
      <c r="F865" s="609" t="str">
        <f t="shared" si="258"/>
        <v>0</v>
      </c>
      <c r="G865" s="609" t="str">
        <f t="shared" si="258"/>
        <v>0</v>
      </c>
      <c r="H865" s="609" t="str">
        <f t="shared" si="258"/>
        <v>0</v>
      </c>
      <c r="I865" s="609" t="str">
        <f t="shared" si="258"/>
        <v>0</v>
      </c>
      <c r="J865" s="609" t="str">
        <f t="shared" si="258"/>
        <v>0</v>
      </c>
      <c r="K865" s="608" t="str">
        <f t="shared" si="250"/>
        <v>0</v>
      </c>
      <c r="L865" s="609" t="str">
        <f t="shared" si="251"/>
        <v>0</v>
      </c>
      <c r="M865" s="609" t="str">
        <f t="shared" si="252"/>
        <v>0</v>
      </c>
      <c r="N865" s="609" t="str">
        <f t="shared" si="253"/>
        <v>0</v>
      </c>
      <c r="O865" s="609" t="str">
        <f t="shared" si="254"/>
        <v>0</v>
      </c>
      <c r="P865" s="609" t="str">
        <f t="shared" si="255"/>
        <v>0</v>
      </c>
      <c r="Q865" s="609" t="str">
        <f t="shared" si="256"/>
        <v>0</v>
      </c>
      <c r="R865" s="603" t="str">
        <f t="shared" si="257"/>
        <v>0</v>
      </c>
    </row>
    <row r="866" spans="2:18">
      <c r="B866" s="595" t="s">
        <v>1051</v>
      </c>
      <c r="C866" s="608">
        <f t="shared" si="258"/>
        <v>4.7406809412893898</v>
      </c>
      <c r="D866" s="609">
        <f t="shared" si="258"/>
        <v>5.9171475509109044</v>
      </c>
      <c r="E866" s="609">
        <f t="shared" si="258"/>
        <v>6.734958896974562</v>
      </c>
      <c r="F866" s="609">
        <f t="shared" si="258"/>
        <v>7.3467139333057059</v>
      </c>
      <c r="G866" s="609">
        <f t="shared" si="258"/>
        <v>7.9391937435743509</v>
      </c>
      <c r="H866" s="609">
        <f t="shared" si="258"/>
        <v>8.6807110860774657</v>
      </c>
      <c r="I866" s="609">
        <f t="shared" si="258"/>
        <v>11.383498325105682</v>
      </c>
      <c r="J866" s="609">
        <f t="shared" si="258"/>
        <v>13.297107027551641</v>
      </c>
      <c r="K866" s="608">
        <f t="shared" si="250"/>
        <v>0.32893359275491796</v>
      </c>
      <c r="L866" s="609">
        <f t="shared" si="251"/>
        <v>0.30219513420521504</v>
      </c>
      <c r="M866" s="609">
        <f t="shared" si="252"/>
        <v>0.29639134040433684</v>
      </c>
      <c r="N866" s="609">
        <f t="shared" si="253"/>
        <v>0.29546780025244346</v>
      </c>
      <c r="O866" s="609">
        <f t="shared" si="254"/>
        <v>0.26887022195202098</v>
      </c>
      <c r="P866" s="609">
        <f t="shared" si="255"/>
        <v>0.19324857760868083</v>
      </c>
      <c r="Q866" s="609">
        <f t="shared" si="256"/>
        <v>0.21872836513086943</v>
      </c>
      <c r="R866" s="603">
        <f t="shared" si="257"/>
        <v>0.22104069815451544</v>
      </c>
    </row>
    <row r="867" spans="2:18">
      <c r="B867" s="595" t="s">
        <v>1052</v>
      </c>
      <c r="C867" s="608">
        <f t="shared" si="258"/>
        <v>60.537859683900464</v>
      </c>
      <c r="D867" s="609">
        <f t="shared" si="258"/>
        <v>60.294216038055815</v>
      </c>
      <c r="E867" s="609">
        <f t="shared" si="258"/>
        <v>64.782173245954482</v>
      </c>
      <c r="F867" s="609">
        <f t="shared" si="258"/>
        <v>66.604002740704388</v>
      </c>
      <c r="G867" s="609">
        <f t="shared" si="258"/>
        <v>61.473533897472123</v>
      </c>
      <c r="H867" s="609">
        <f t="shared" si="258"/>
        <v>64.52951651653882</v>
      </c>
      <c r="I867" s="609">
        <f t="shared" si="258"/>
        <v>71.276422910308952</v>
      </c>
      <c r="J867" s="609">
        <f t="shared" si="258"/>
        <v>71.477444926219363</v>
      </c>
      <c r="K867" s="608">
        <f t="shared" si="250"/>
        <v>7.0067796486433842</v>
      </c>
      <c r="L867" s="609">
        <f t="shared" si="251"/>
        <v>6.7701763027386921</v>
      </c>
      <c r="M867" s="609">
        <f t="shared" si="252"/>
        <v>3.6578946878285099</v>
      </c>
      <c r="N867" s="609">
        <f t="shared" si="253"/>
        <v>2.5606648336439872</v>
      </c>
      <c r="O867" s="609">
        <f t="shared" si="254"/>
        <v>3.6473142751454732</v>
      </c>
      <c r="P867" s="609">
        <f t="shared" si="255"/>
        <v>3.6553088279202268</v>
      </c>
      <c r="Q867" s="609">
        <f t="shared" si="256"/>
        <v>4.1964249784760845</v>
      </c>
      <c r="R867" s="603">
        <f t="shared" si="257"/>
        <v>4.9120998425350075</v>
      </c>
    </row>
    <row r="868" spans="2:18">
      <c r="B868" s="595" t="s">
        <v>1053</v>
      </c>
      <c r="C868" s="608" t="str">
        <f t="shared" si="258"/>
        <v>0</v>
      </c>
      <c r="D868" s="609">
        <f t="shared" si="258"/>
        <v>91.069211276385559</v>
      </c>
      <c r="E868" s="609">
        <f t="shared" si="258"/>
        <v>90.803942835908003</v>
      </c>
      <c r="F868" s="609">
        <f t="shared" si="258"/>
        <v>89.94199659468768</v>
      </c>
      <c r="G868" s="609">
        <f t="shared" si="258"/>
        <v>91.913388168811252</v>
      </c>
      <c r="H868" s="609">
        <f t="shared" si="258"/>
        <v>93.612455513388937</v>
      </c>
      <c r="I868" s="609">
        <f t="shared" si="258"/>
        <v>94.940170681561881</v>
      </c>
      <c r="J868" s="609">
        <f t="shared" si="258"/>
        <v>96.610677604412572</v>
      </c>
      <c r="K868" s="608" t="str">
        <f t="shared" si="250"/>
        <v>0</v>
      </c>
      <c r="L868" s="609">
        <f t="shared" si="251"/>
        <v>0</v>
      </c>
      <c r="M868" s="609">
        <f t="shared" si="252"/>
        <v>0</v>
      </c>
      <c r="N868" s="609">
        <f t="shared" si="253"/>
        <v>0</v>
      </c>
      <c r="O868" s="609">
        <f t="shared" si="254"/>
        <v>0</v>
      </c>
      <c r="P868" s="609">
        <f t="shared" si="255"/>
        <v>0</v>
      </c>
      <c r="Q868" s="609">
        <f t="shared" si="256"/>
        <v>0</v>
      </c>
      <c r="R868" s="603">
        <f t="shared" si="257"/>
        <v>0</v>
      </c>
    </row>
    <row r="869" spans="2:18">
      <c r="B869" s="595" t="s">
        <v>1054</v>
      </c>
      <c r="C869" s="608">
        <f t="shared" si="258"/>
        <v>86.499960622499813</v>
      </c>
      <c r="D869" s="609">
        <f t="shared" si="258"/>
        <v>87.716916368246842</v>
      </c>
      <c r="E869" s="609">
        <f t="shared" si="258"/>
        <v>88.121081075451329</v>
      </c>
      <c r="F869" s="609">
        <f t="shared" si="258"/>
        <v>90.26238919488118</v>
      </c>
      <c r="G869" s="609">
        <f t="shared" si="258"/>
        <v>91.916332334336744</v>
      </c>
      <c r="H869" s="609">
        <f t="shared" si="258"/>
        <v>93.615717133795158</v>
      </c>
      <c r="I869" s="609">
        <f t="shared" si="258"/>
        <v>95.895622281906967</v>
      </c>
      <c r="J869" s="609">
        <f t="shared" si="258"/>
        <v>95.922927384466959</v>
      </c>
      <c r="K869" s="608">
        <f t="shared" si="250"/>
        <v>0.23626102047324371</v>
      </c>
      <c r="L869" s="609">
        <f t="shared" si="251"/>
        <v>0.23740932860586281</v>
      </c>
      <c r="M869" s="609">
        <f t="shared" si="252"/>
        <v>0.22933605446279257</v>
      </c>
      <c r="N869" s="609">
        <f t="shared" si="253"/>
        <v>0.19667589748003561</v>
      </c>
      <c r="O869" s="609">
        <f t="shared" si="254"/>
        <v>0.179261370963089</v>
      </c>
      <c r="P869" s="609">
        <f t="shared" si="255"/>
        <v>0.17697260534160561</v>
      </c>
      <c r="Q869" s="609">
        <f t="shared" si="256"/>
        <v>0.16130133575673833</v>
      </c>
      <c r="R869" s="603">
        <f t="shared" si="257"/>
        <v>0.1452107347183291</v>
      </c>
    </row>
    <row r="870" spans="2:18">
      <c r="B870" s="604" t="s">
        <v>1055</v>
      </c>
      <c r="C870" s="610">
        <f t="shared" si="258"/>
        <v>31.770401179798885</v>
      </c>
      <c r="D870" s="617">
        <f t="shared" si="258"/>
        <v>32.143819707386271</v>
      </c>
      <c r="E870" s="617">
        <f t="shared" si="258"/>
        <v>31.974237489568928</v>
      </c>
      <c r="F870" s="617">
        <f t="shared" si="258"/>
        <v>33.123831145064159</v>
      </c>
      <c r="G870" s="617">
        <f t="shared" si="258"/>
        <v>36.452072578361914</v>
      </c>
      <c r="H870" s="617">
        <f t="shared" si="258"/>
        <v>37.140918659315517</v>
      </c>
      <c r="I870" s="617">
        <f t="shared" si="258"/>
        <v>41.652699472592836</v>
      </c>
      <c r="J870" s="617">
        <f t="shared" si="258"/>
        <v>47.115795141394699</v>
      </c>
      <c r="K870" s="610">
        <f t="shared" si="250"/>
        <v>9.5396189285781391E-2</v>
      </c>
      <c r="L870" s="617">
        <f t="shared" si="251"/>
        <v>0.11563531036344406</v>
      </c>
      <c r="M870" s="617">
        <f t="shared" si="252"/>
        <v>0.11011590284315029</v>
      </c>
      <c r="N870" s="617">
        <f t="shared" si="253"/>
        <v>0.1256440516373156</v>
      </c>
      <c r="O870" s="617">
        <f t="shared" si="254"/>
        <v>0.18506534991727297</v>
      </c>
      <c r="P870" s="617">
        <f t="shared" si="255"/>
        <v>0.15191468603924782</v>
      </c>
      <c r="Q870" s="617">
        <f t="shared" si="256"/>
        <v>0.42821912047142197</v>
      </c>
      <c r="R870" s="618">
        <f t="shared" si="257"/>
        <v>1.159133692607679</v>
      </c>
    </row>
    <row r="871" spans="2:18">
      <c r="B871" s="57"/>
      <c r="C871" s="582"/>
      <c r="D871" s="582"/>
      <c r="E871" s="582"/>
      <c r="F871" s="582"/>
      <c r="G871" s="582"/>
      <c r="H871" s="582"/>
      <c r="I871" s="582"/>
      <c r="J871" s="582"/>
      <c r="K871" s="582"/>
      <c r="L871" s="582"/>
      <c r="M871" s="582"/>
      <c r="N871" s="582"/>
      <c r="O871" s="582"/>
      <c r="P871" s="582"/>
      <c r="Q871" s="582"/>
    </row>
    <row r="872" spans="2:18">
      <c r="B872" s="2157" t="s">
        <v>1140</v>
      </c>
      <c r="C872" s="2157"/>
      <c r="D872" s="2157"/>
      <c r="E872" s="2157"/>
      <c r="F872" s="2157"/>
      <c r="G872" s="2157"/>
      <c r="H872" s="2157"/>
      <c r="I872" s="2157"/>
      <c r="J872" s="2157"/>
      <c r="K872" s="2157"/>
      <c r="L872" s="2157"/>
      <c r="M872" s="2157"/>
      <c r="N872" s="2157"/>
      <c r="O872" s="2157"/>
      <c r="P872" s="2157"/>
      <c r="Q872" s="2157"/>
      <c r="R872" s="2157"/>
    </row>
    <row r="873" spans="2:18">
      <c r="B873" s="619"/>
      <c r="C873" s="621"/>
      <c r="D873" s="621"/>
      <c r="E873" s="621"/>
      <c r="F873" s="621"/>
      <c r="G873" s="621"/>
      <c r="H873" s="621"/>
      <c r="I873" s="621"/>
      <c r="J873" s="621"/>
      <c r="K873" s="622"/>
      <c r="L873" s="622"/>
      <c r="M873" s="622"/>
      <c r="N873" s="622"/>
      <c r="O873" s="622"/>
      <c r="P873" s="622"/>
      <c r="Q873" s="622"/>
    </row>
    <row r="874" spans="2:18">
      <c r="B874" s="583"/>
      <c r="C874" s="2161" t="s">
        <v>353</v>
      </c>
      <c r="D874" s="2162"/>
      <c r="E874" s="2162"/>
      <c r="F874" s="2162"/>
      <c r="G874" s="2162"/>
      <c r="H874" s="2162"/>
      <c r="I874" s="2162"/>
      <c r="J874" s="2163"/>
      <c r="K874" s="2161" t="s">
        <v>338</v>
      </c>
      <c r="L874" s="2162"/>
      <c r="M874" s="2162"/>
      <c r="N874" s="2162"/>
      <c r="O874" s="2162"/>
      <c r="P874" s="2162"/>
      <c r="Q874" s="2162"/>
      <c r="R874" s="2163"/>
    </row>
    <row r="875" spans="2:18">
      <c r="B875" s="57"/>
      <c r="C875" s="585">
        <v>2014</v>
      </c>
      <c r="D875" s="586">
        <v>2015</v>
      </c>
      <c r="E875" s="586">
        <v>2016</v>
      </c>
      <c r="F875" s="586">
        <v>2017</v>
      </c>
      <c r="G875" s="586">
        <v>2018</v>
      </c>
      <c r="H875" s="586">
        <v>2019</v>
      </c>
      <c r="I875" s="586">
        <v>2020</v>
      </c>
      <c r="J875" s="586">
        <v>2021</v>
      </c>
      <c r="K875" s="587">
        <v>2014</v>
      </c>
      <c r="L875" s="588">
        <v>2015</v>
      </c>
      <c r="M875" s="588">
        <v>2016</v>
      </c>
      <c r="N875" s="588">
        <v>2017</v>
      </c>
      <c r="O875" s="588">
        <v>2018</v>
      </c>
      <c r="P875" s="588">
        <v>2019</v>
      </c>
      <c r="Q875" s="588">
        <v>2020</v>
      </c>
      <c r="R875" s="588">
        <v>2021</v>
      </c>
    </row>
    <row r="876" spans="2:18">
      <c r="B876" s="589" t="s">
        <v>1038</v>
      </c>
      <c r="C876" s="614">
        <f t="shared" ref="C876:I882" si="259">C786/C696*100</f>
        <v>18.844604454145507</v>
      </c>
      <c r="D876" s="615">
        <f t="shared" si="259"/>
        <v>17.173505116588679</v>
      </c>
      <c r="E876" s="615">
        <f t="shared" si="259"/>
        <v>14.743419673726944</v>
      </c>
      <c r="F876" s="615">
        <f t="shared" si="259"/>
        <v>13.726564793544505</v>
      </c>
      <c r="G876" s="615">
        <f t="shared" si="259"/>
        <v>12.028986568369028</v>
      </c>
      <c r="H876" s="615">
        <f t="shared" si="259"/>
        <v>10.213290569744018</v>
      </c>
      <c r="I876" s="615">
        <f t="shared" si="259"/>
        <v>5.3613096011541659</v>
      </c>
      <c r="J876" s="616">
        <f t="shared" ref="J876" si="260">J786/J696*100</f>
        <v>4.5542239165961949</v>
      </c>
      <c r="K876" s="615">
        <f t="shared" ref="K876:K892" si="261">IF(ISNUMBER(K786/C696*100),K786/C696*100,"0")</f>
        <v>0</v>
      </c>
      <c r="L876" s="615">
        <f t="shared" ref="L876:L892" si="262">IF(ISNUMBER(L786/D696*100),L786/D696*100,"0")</f>
        <v>0</v>
      </c>
      <c r="M876" s="615">
        <f t="shared" ref="M876:M892" si="263">IF(ISNUMBER(M786/E696*100),M786/E696*100,"0")</f>
        <v>7.3001594323287766E-3</v>
      </c>
      <c r="N876" s="615">
        <f t="shared" ref="N876:N892" si="264">IF(ISNUMBER(N786/F696*100),N786/F696*100,"0")</f>
        <v>4.6506926262351228E-2</v>
      </c>
      <c r="O876" s="615">
        <f t="shared" ref="O876:O892" si="265">IF(ISNUMBER(O786/G696*100),O786/G696*100,"0")</f>
        <v>7.4577736748561843E-2</v>
      </c>
      <c r="P876" s="615">
        <f t="shared" ref="P876:P892" si="266">IF(ISNUMBER(P786/H696*100),P786/H696*100,"0")</f>
        <v>0.19542583891811083</v>
      </c>
      <c r="Q876" s="615">
        <f t="shared" ref="Q876:Q892" si="267">IF(ISNUMBER(Q786/I696*100),Q786/I696*100,"0")</f>
        <v>0.50753398714383691</v>
      </c>
      <c r="R876" s="616">
        <f t="shared" ref="R876:R892" si="268">IF(ISNUMBER(R786/J696*100),R786/J696*100,"0")</f>
        <v>0.78695786307858095</v>
      </c>
    </row>
    <row r="877" spans="2:18">
      <c r="B877" s="595" t="s">
        <v>1039</v>
      </c>
      <c r="C877" s="608">
        <f t="shared" si="259"/>
        <v>53.816948320575698</v>
      </c>
      <c r="D877" s="609">
        <f t="shared" si="259"/>
        <v>62.899676067831741</v>
      </c>
      <c r="E877" s="609">
        <f t="shared" si="259"/>
        <v>56.506923445052394</v>
      </c>
      <c r="F877" s="609">
        <f t="shared" si="259"/>
        <v>52.981022620424369</v>
      </c>
      <c r="G877" s="609">
        <f t="shared" si="259"/>
        <v>57.905281995809553</v>
      </c>
      <c r="H877" s="609">
        <f t="shared" si="259"/>
        <v>57.385156638047832</v>
      </c>
      <c r="I877" s="609">
        <f t="shared" si="259"/>
        <v>51.23410748276752</v>
      </c>
      <c r="J877" s="603">
        <f t="shared" ref="J877" si="269">J787/J697*100</f>
        <v>31.786595153135643</v>
      </c>
      <c r="K877" s="609">
        <f t="shared" si="261"/>
        <v>0</v>
      </c>
      <c r="L877" s="609">
        <f t="shared" si="262"/>
        <v>0</v>
      </c>
      <c r="M877" s="609">
        <f t="shared" si="263"/>
        <v>0</v>
      </c>
      <c r="N877" s="609">
        <f t="shared" si="264"/>
        <v>0</v>
      </c>
      <c r="O877" s="609">
        <f t="shared" si="265"/>
        <v>0</v>
      </c>
      <c r="P877" s="609">
        <f t="shared" si="266"/>
        <v>0</v>
      </c>
      <c r="Q877" s="609">
        <f t="shared" si="267"/>
        <v>0</v>
      </c>
      <c r="R877" s="603">
        <f t="shared" si="268"/>
        <v>0</v>
      </c>
    </row>
    <row r="878" spans="2:18">
      <c r="B878" s="595" t="s">
        <v>1040</v>
      </c>
      <c r="C878" s="608">
        <f t="shared" si="259"/>
        <v>98.534423869976266</v>
      </c>
      <c r="D878" s="609">
        <f t="shared" si="259"/>
        <v>98.20962886201491</v>
      </c>
      <c r="E878" s="609">
        <f t="shared" si="259"/>
        <v>97.829912327896153</v>
      </c>
      <c r="F878" s="609">
        <f t="shared" si="259"/>
        <v>97.462835533819032</v>
      </c>
      <c r="G878" s="609">
        <f t="shared" si="259"/>
        <v>96.406192804797129</v>
      </c>
      <c r="H878" s="609">
        <f t="shared" si="259"/>
        <v>95.73740285756999</v>
      </c>
      <c r="I878" s="609">
        <f t="shared" si="259"/>
        <v>93.31386887745029</v>
      </c>
      <c r="J878" s="603">
        <f t="shared" ref="J878" si="270">J788/J698*100</f>
        <v>91.340233148427458</v>
      </c>
      <c r="K878" s="609">
        <f t="shared" si="261"/>
        <v>1.1771638071433645E-2</v>
      </c>
      <c r="L878" s="609">
        <f t="shared" si="262"/>
        <v>0.11023569745633281</v>
      </c>
      <c r="M878" s="609">
        <f t="shared" si="263"/>
        <v>0.28388089115387027</v>
      </c>
      <c r="N878" s="609">
        <f t="shared" si="264"/>
        <v>0.39078614746133672</v>
      </c>
      <c r="O878" s="609">
        <f t="shared" si="265"/>
        <v>0.58646846684817044</v>
      </c>
      <c r="P878" s="609">
        <f t="shared" si="266"/>
        <v>0.66355310663744471</v>
      </c>
      <c r="Q878" s="609">
        <f t="shared" si="267"/>
        <v>1.5690573033700923</v>
      </c>
      <c r="R878" s="603">
        <f t="shared" si="268"/>
        <v>2.1136766107755185</v>
      </c>
    </row>
    <row r="879" spans="2:18">
      <c r="B879" s="595" t="s">
        <v>1041</v>
      </c>
      <c r="C879" s="608">
        <f t="shared" ref="C879" si="271">C789/C699*100</f>
        <v>6.5862578283178079</v>
      </c>
      <c r="D879" s="609">
        <f t="shared" si="259"/>
        <v>5.8476727656541092</v>
      </c>
      <c r="E879" s="609">
        <f t="shared" si="259"/>
        <v>4.7725545349855798</v>
      </c>
      <c r="F879" s="609">
        <f t="shared" si="259"/>
        <v>3.7896514100701135</v>
      </c>
      <c r="G879" s="609">
        <f t="shared" si="259"/>
        <v>3.0636359330502563</v>
      </c>
      <c r="H879" s="609">
        <f t="shared" si="259"/>
        <v>2.4913837323266792</v>
      </c>
      <c r="I879" s="609">
        <f t="shared" si="259"/>
        <v>1.6071278210355033</v>
      </c>
      <c r="J879" s="603">
        <f t="shared" ref="J879" si="272">J789/J699*100</f>
        <v>1.196839448158765</v>
      </c>
      <c r="K879" s="609">
        <f t="shared" si="261"/>
        <v>4.1557879898574956E-3</v>
      </c>
      <c r="L879" s="609">
        <f t="shared" si="262"/>
        <v>2.9262521603594309E-3</v>
      </c>
      <c r="M879" s="609">
        <f t="shared" si="263"/>
        <v>2.7799037719613718E-3</v>
      </c>
      <c r="N879" s="609">
        <f t="shared" si="264"/>
        <v>6.9826639869950404E-3</v>
      </c>
      <c r="O879" s="609">
        <f t="shared" si="265"/>
        <v>1.8377832253836539E-2</v>
      </c>
      <c r="P879" s="609">
        <f t="shared" si="266"/>
        <v>4.1203897998920179E-2</v>
      </c>
      <c r="Q879" s="609">
        <f t="shared" si="267"/>
        <v>7.8695392353670582E-2</v>
      </c>
      <c r="R879" s="603">
        <f t="shared" si="268"/>
        <v>0.13606368022951895</v>
      </c>
    </row>
    <row r="880" spans="2:18">
      <c r="B880" s="595" t="s">
        <v>1042</v>
      </c>
      <c r="C880" s="608">
        <f t="shared" ref="C880" si="273">C790/C700*100</f>
        <v>77.140753861548902</v>
      </c>
      <c r="D880" s="609">
        <f t="shared" si="259"/>
        <v>76.602198368879101</v>
      </c>
      <c r="E880" s="609">
        <f t="shared" si="259"/>
        <v>68.335744254352164</v>
      </c>
      <c r="F880" s="609">
        <f t="shared" si="259"/>
        <v>63.077069092660729</v>
      </c>
      <c r="G880" s="609">
        <f t="shared" si="259"/>
        <v>65.261236125166107</v>
      </c>
      <c r="H880" s="609">
        <f t="shared" si="259"/>
        <v>61.144905620388734</v>
      </c>
      <c r="I880" s="609">
        <f t="shared" si="259"/>
        <v>39.416137206759849</v>
      </c>
      <c r="J880" s="603">
        <f t="shared" ref="J880" si="274">J790/J700*100</f>
        <v>29.748450506393386</v>
      </c>
      <c r="K880" s="609">
        <f t="shared" si="261"/>
        <v>0</v>
      </c>
      <c r="L880" s="609">
        <f t="shared" si="262"/>
        <v>0</v>
      </c>
      <c r="M880" s="609">
        <f t="shared" si="263"/>
        <v>0</v>
      </c>
      <c r="N880" s="609">
        <f t="shared" si="264"/>
        <v>0</v>
      </c>
      <c r="O880" s="609">
        <f t="shared" si="265"/>
        <v>0</v>
      </c>
      <c r="P880" s="609">
        <f t="shared" si="266"/>
        <v>0</v>
      </c>
      <c r="Q880" s="609">
        <f t="shared" si="267"/>
        <v>0</v>
      </c>
      <c r="R880" s="603">
        <f t="shared" si="268"/>
        <v>0</v>
      </c>
    </row>
    <row r="881" spans="2:18">
      <c r="B881" s="595" t="s">
        <v>1043</v>
      </c>
      <c r="C881" s="608">
        <f t="shared" ref="C881" si="275">C791/C701*100</f>
        <v>25.73736485847008</v>
      </c>
      <c r="D881" s="609">
        <f t="shared" si="259"/>
        <v>23.235761172160711</v>
      </c>
      <c r="E881" s="609">
        <f t="shared" si="259"/>
        <v>21.211670224287225</v>
      </c>
      <c r="F881" s="609">
        <f t="shared" si="259"/>
        <v>16.074308260121906</v>
      </c>
      <c r="G881" s="609">
        <f t="shared" si="259"/>
        <v>13.453386157872835</v>
      </c>
      <c r="H881" s="609">
        <f t="shared" si="259"/>
        <v>11.981224690560694</v>
      </c>
      <c r="I881" s="609">
        <f t="shared" si="259"/>
        <v>7.5004283290848042</v>
      </c>
      <c r="J881" s="603">
        <f t="shared" ref="J881" si="276">J791/J701*100</f>
        <v>7.8117528524567961</v>
      </c>
      <c r="K881" s="609">
        <f t="shared" si="261"/>
        <v>0</v>
      </c>
      <c r="L881" s="609">
        <f t="shared" si="262"/>
        <v>0</v>
      </c>
      <c r="M881" s="609">
        <f t="shared" si="263"/>
        <v>0</v>
      </c>
      <c r="N881" s="609">
        <f t="shared" si="264"/>
        <v>0</v>
      </c>
      <c r="O881" s="609">
        <f t="shared" si="265"/>
        <v>0</v>
      </c>
      <c r="P881" s="609">
        <f t="shared" si="266"/>
        <v>0</v>
      </c>
      <c r="Q881" s="609">
        <f t="shared" si="267"/>
        <v>0</v>
      </c>
      <c r="R881" s="603">
        <f t="shared" si="268"/>
        <v>1.8158980079833618</v>
      </c>
    </row>
    <row r="882" spans="2:18">
      <c r="B882" s="595" t="s">
        <v>1044</v>
      </c>
      <c r="C882" s="608">
        <f t="shared" ref="C882" si="277">C792/C702*100</f>
        <v>15.706803380110221</v>
      </c>
      <c r="D882" s="609">
        <f t="shared" si="259"/>
        <v>8.1827275787652543</v>
      </c>
      <c r="E882" s="609">
        <f t="shared" si="259"/>
        <v>6.991804858499548</v>
      </c>
      <c r="F882" s="609">
        <f t="shared" si="259"/>
        <v>5.9281363407372094</v>
      </c>
      <c r="G882" s="609">
        <f t="shared" si="259"/>
        <v>3.9610495878235272</v>
      </c>
      <c r="H882" s="609">
        <f t="shared" si="259"/>
        <v>2.8387673424410749</v>
      </c>
      <c r="I882" s="609">
        <f t="shared" si="259"/>
        <v>2.7188008985234333</v>
      </c>
      <c r="J882" s="603">
        <f t="shared" ref="J882" si="278">J792/J702*100</f>
        <v>2.3943862535742659</v>
      </c>
      <c r="K882" s="609">
        <f t="shared" si="261"/>
        <v>0</v>
      </c>
      <c r="L882" s="609">
        <f t="shared" si="262"/>
        <v>0</v>
      </c>
      <c r="M882" s="609">
        <f t="shared" si="263"/>
        <v>0</v>
      </c>
      <c r="N882" s="609">
        <f t="shared" si="264"/>
        <v>0</v>
      </c>
      <c r="O882" s="609">
        <f t="shared" si="265"/>
        <v>0</v>
      </c>
      <c r="P882" s="609">
        <f t="shared" si="266"/>
        <v>0</v>
      </c>
      <c r="Q882" s="609">
        <f t="shared" si="267"/>
        <v>0</v>
      </c>
      <c r="R882" s="603">
        <f t="shared" si="268"/>
        <v>0</v>
      </c>
    </row>
    <row r="883" spans="2:18">
      <c r="B883" s="595" t="s">
        <v>1061</v>
      </c>
      <c r="C883" s="608" t="str">
        <f t="shared" ref="C883:J884" si="279">IF(ISNUMBER(C793/C703*100),C793/C703*100,"0")</f>
        <v>0</v>
      </c>
      <c r="D883" s="609">
        <f t="shared" si="279"/>
        <v>16.053511705685619</v>
      </c>
      <c r="E883" s="609">
        <f t="shared" si="279"/>
        <v>9.6130848382292644</v>
      </c>
      <c r="F883" s="609">
        <f t="shared" si="279"/>
        <v>8.0859899339881345</v>
      </c>
      <c r="G883" s="609">
        <f t="shared" si="279"/>
        <v>7.3243178834683755</v>
      </c>
      <c r="H883" s="609">
        <f t="shared" si="279"/>
        <v>5.8667831832682138</v>
      </c>
      <c r="I883" s="609">
        <f t="shared" si="279"/>
        <v>2.9932616185939307</v>
      </c>
      <c r="J883" s="603">
        <f t="shared" si="279"/>
        <v>1.3854044115123296</v>
      </c>
      <c r="K883" s="609" t="str">
        <f t="shared" si="261"/>
        <v>0</v>
      </c>
      <c r="L883" s="609">
        <f t="shared" si="262"/>
        <v>0</v>
      </c>
      <c r="M883" s="609">
        <f t="shared" si="263"/>
        <v>9.886321803530139E-2</v>
      </c>
      <c r="N883" s="609">
        <f t="shared" si="264"/>
        <v>9.2301477019688549E-2</v>
      </c>
      <c r="O883" s="609">
        <f t="shared" si="265"/>
        <v>8.903143533966848E-2</v>
      </c>
      <c r="P883" s="609">
        <f t="shared" si="266"/>
        <v>9.1830332438515419E-2</v>
      </c>
      <c r="Q883" s="609">
        <f t="shared" si="267"/>
        <v>0.15290846834537958</v>
      </c>
      <c r="R883" s="603">
        <f t="shared" si="268"/>
        <v>8.3597951258641612E-2</v>
      </c>
    </row>
    <row r="884" spans="2:18">
      <c r="B884" s="595" t="s">
        <v>1047</v>
      </c>
      <c r="C884" s="608">
        <f t="shared" si="279"/>
        <v>47.178066722677485</v>
      </c>
      <c r="D884" s="609">
        <f t="shared" si="279"/>
        <v>36.355661160996071</v>
      </c>
      <c r="E884" s="609">
        <f t="shared" si="279"/>
        <v>32.636427547159904</v>
      </c>
      <c r="F884" s="609">
        <f t="shared" si="279"/>
        <v>31.481513571542035</v>
      </c>
      <c r="G884" s="609">
        <f t="shared" si="279"/>
        <v>29.908942034357789</v>
      </c>
      <c r="H884" s="609">
        <f t="shared" si="279"/>
        <v>27.992440728613321</v>
      </c>
      <c r="I884" s="609">
        <f t="shared" si="279"/>
        <v>20.709220170655808</v>
      </c>
      <c r="J884" s="603">
        <f t="shared" si="279"/>
        <v>20.314816606166001</v>
      </c>
      <c r="K884" s="609">
        <f t="shared" si="261"/>
        <v>0</v>
      </c>
      <c r="L884" s="609">
        <f t="shared" si="262"/>
        <v>0</v>
      </c>
      <c r="M884" s="609">
        <f t="shared" si="263"/>
        <v>0</v>
      </c>
      <c r="N884" s="609">
        <f t="shared" si="264"/>
        <v>0</v>
      </c>
      <c r="O884" s="609">
        <f t="shared" si="265"/>
        <v>0</v>
      </c>
      <c r="P884" s="609">
        <f t="shared" si="266"/>
        <v>0</v>
      </c>
      <c r="Q884" s="609">
        <f t="shared" si="267"/>
        <v>0</v>
      </c>
      <c r="R884" s="603">
        <f t="shared" si="268"/>
        <v>0</v>
      </c>
    </row>
    <row r="885" spans="2:18">
      <c r="B885" s="595" t="s">
        <v>1048</v>
      </c>
      <c r="C885" s="608">
        <f>IFERROR(C795/C705*100,0)</f>
        <v>0</v>
      </c>
      <c r="D885" s="609">
        <f t="shared" ref="D885:I892" si="280">D795/D705*100</f>
        <v>33.098827763504339</v>
      </c>
      <c r="E885" s="609">
        <f t="shared" si="280"/>
        <v>41.422139843014676</v>
      </c>
      <c r="F885" s="609">
        <f t="shared" si="280"/>
        <v>40.653790048923923</v>
      </c>
      <c r="G885" s="609">
        <f t="shared" si="280"/>
        <v>36.98810371869488</v>
      </c>
      <c r="H885" s="609">
        <f t="shared" si="280"/>
        <v>32.335012784729535</v>
      </c>
      <c r="I885" s="609">
        <f t="shared" si="280"/>
        <v>31.55591660238813</v>
      </c>
      <c r="J885" s="603">
        <f t="shared" ref="J885" si="281">J795/J705*100</f>
        <v>30.810608503437916</v>
      </c>
      <c r="K885" s="609" t="str">
        <f t="shared" si="261"/>
        <v>0</v>
      </c>
      <c r="L885" s="609">
        <f t="shared" si="262"/>
        <v>0</v>
      </c>
      <c r="M885" s="609">
        <f t="shared" si="263"/>
        <v>0</v>
      </c>
      <c r="N885" s="609">
        <f t="shared" si="264"/>
        <v>0</v>
      </c>
      <c r="O885" s="609">
        <f t="shared" si="265"/>
        <v>0</v>
      </c>
      <c r="P885" s="609">
        <f t="shared" si="266"/>
        <v>0</v>
      </c>
      <c r="Q885" s="609">
        <f t="shared" si="267"/>
        <v>0</v>
      </c>
      <c r="R885" s="603">
        <f t="shared" si="268"/>
        <v>0</v>
      </c>
    </row>
    <row r="886" spans="2:18">
      <c r="B886" s="595" t="s">
        <v>1049</v>
      </c>
      <c r="C886" s="608">
        <f>C796/C706*100</f>
        <v>99.975901276285455</v>
      </c>
      <c r="D886" s="609">
        <f t="shared" si="280"/>
        <v>99.982324119816695</v>
      </c>
      <c r="E886" s="609">
        <f t="shared" si="280"/>
        <v>99.972636788444788</v>
      </c>
      <c r="F886" s="609">
        <f t="shared" si="280"/>
        <v>99.937850175934145</v>
      </c>
      <c r="G886" s="609">
        <f t="shared" si="280"/>
        <v>99.925899198160621</v>
      </c>
      <c r="H886" s="609">
        <f t="shared" si="280"/>
        <v>99.915684793832682</v>
      </c>
      <c r="I886" s="609">
        <f t="shared" si="280"/>
        <v>99.903796124192638</v>
      </c>
      <c r="J886" s="603">
        <f t="shared" ref="J886" si="282">J796/J706*100</f>
        <v>99.926623352330438</v>
      </c>
      <c r="K886" s="609">
        <f t="shared" si="261"/>
        <v>0</v>
      </c>
      <c r="L886" s="609">
        <f t="shared" si="262"/>
        <v>0</v>
      </c>
      <c r="M886" s="609">
        <f t="shared" si="263"/>
        <v>0</v>
      </c>
      <c r="N886" s="609">
        <f t="shared" si="264"/>
        <v>0</v>
      </c>
      <c r="O886" s="609">
        <f t="shared" si="265"/>
        <v>0</v>
      </c>
      <c r="P886" s="609">
        <f t="shared" si="266"/>
        <v>0</v>
      </c>
      <c r="Q886" s="609">
        <f t="shared" si="267"/>
        <v>0</v>
      </c>
      <c r="R886" s="603">
        <f t="shared" si="268"/>
        <v>0</v>
      </c>
    </row>
    <row r="887" spans="2:18">
      <c r="B887" s="595" t="s">
        <v>1050</v>
      </c>
      <c r="C887" s="608">
        <f>IFERROR(C797/C707*100,0)</f>
        <v>0</v>
      </c>
      <c r="D887" s="609">
        <f>IFERROR(D797/D707*100,0)</f>
        <v>0</v>
      </c>
      <c r="E887" s="609">
        <f t="shared" ref="E887:J887" si="283">IFERROR(E797/E707*100,0)</f>
        <v>0</v>
      </c>
      <c r="F887" s="609">
        <f t="shared" si="283"/>
        <v>0</v>
      </c>
      <c r="G887" s="609">
        <f t="shared" si="283"/>
        <v>0</v>
      </c>
      <c r="H887" s="609">
        <f t="shared" si="283"/>
        <v>0</v>
      </c>
      <c r="I887" s="609">
        <f t="shared" si="283"/>
        <v>0</v>
      </c>
      <c r="J887" s="603">
        <f t="shared" si="283"/>
        <v>0</v>
      </c>
      <c r="K887" s="609" t="str">
        <f t="shared" si="261"/>
        <v>0</v>
      </c>
      <c r="L887" s="609" t="str">
        <f t="shared" si="262"/>
        <v>0</v>
      </c>
      <c r="M887" s="609" t="str">
        <f t="shared" si="263"/>
        <v>0</v>
      </c>
      <c r="N887" s="609" t="str">
        <f t="shared" si="264"/>
        <v>0</v>
      </c>
      <c r="O887" s="609" t="str">
        <f t="shared" si="265"/>
        <v>0</v>
      </c>
      <c r="P887" s="609" t="str">
        <f t="shared" si="266"/>
        <v>0</v>
      </c>
      <c r="Q887" s="609" t="str">
        <f t="shared" si="267"/>
        <v>0</v>
      </c>
      <c r="R887" s="603" t="str">
        <f t="shared" si="268"/>
        <v>0</v>
      </c>
    </row>
    <row r="888" spans="2:18">
      <c r="B888" s="595" t="s">
        <v>1051</v>
      </c>
      <c r="C888" s="608">
        <f t="shared" ref="C888" si="284">C798/C708*100</f>
        <v>71.364574043409746</v>
      </c>
      <c r="D888" s="609">
        <f t="shared" si="280"/>
        <v>64.504576624588452</v>
      </c>
      <c r="E888" s="609">
        <f t="shared" si="280"/>
        <v>58.55443785274224</v>
      </c>
      <c r="F888" s="609">
        <f t="shared" si="280"/>
        <v>52.10172063850235</v>
      </c>
      <c r="G888" s="609">
        <f t="shared" si="280"/>
        <v>46.414887248775472</v>
      </c>
      <c r="H888" s="609">
        <f t="shared" si="280"/>
        <v>41.671297412420145</v>
      </c>
      <c r="I888" s="609">
        <f t="shared" si="280"/>
        <v>33.009068204128326</v>
      </c>
      <c r="J888" s="603">
        <f t="shared" ref="J888" si="285">J798/J708*100</f>
        <v>27.419703793958021</v>
      </c>
      <c r="K888" s="609">
        <f t="shared" si="261"/>
        <v>0</v>
      </c>
      <c r="L888" s="609">
        <f t="shared" si="262"/>
        <v>0</v>
      </c>
      <c r="M888" s="609">
        <f t="shared" si="263"/>
        <v>0</v>
      </c>
      <c r="N888" s="609">
        <f t="shared" si="264"/>
        <v>0</v>
      </c>
      <c r="O888" s="609">
        <f t="shared" si="265"/>
        <v>0</v>
      </c>
      <c r="P888" s="609">
        <f t="shared" si="266"/>
        <v>0</v>
      </c>
      <c r="Q888" s="609">
        <f t="shared" si="267"/>
        <v>0</v>
      </c>
      <c r="R888" s="603">
        <f t="shared" si="268"/>
        <v>0</v>
      </c>
    </row>
    <row r="889" spans="2:18">
      <c r="B889" s="595" t="s">
        <v>1052</v>
      </c>
      <c r="C889" s="608">
        <f t="shared" ref="C889" si="286">C799/C709*100</f>
        <v>0</v>
      </c>
      <c r="D889" s="609">
        <f t="shared" si="280"/>
        <v>0</v>
      </c>
      <c r="E889" s="609">
        <f t="shared" si="280"/>
        <v>0</v>
      </c>
      <c r="F889" s="609">
        <f t="shared" si="280"/>
        <v>0</v>
      </c>
      <c r="G889" s="609">
        <f t="shared" si="280"/>
        <v>0</v>
      </c>
      <c r="H889" s="609">
        <f t="shared" si="280"/>
        <v>0</v>
      </c>
      <c r="I889" s="609">
        <f t="shared" si="280"/>
        <v>0</v>
      </c>
      <c r="J889" s="603">
        <f t="shared" ref="J889" si="287">J799/J709*100</f>
        <v>0</v>
      </c>
      <c r="K889" s="609">
        <f t="shared" si="261"/>
        <v>0</v>
      </c>
      <c r="L889" s="609">
        <f t="shared" si="262"/>
        <v>0</v>
      </c>
      <c r="M889" s="609">
        <f t="shared" si="263"/>
        <v>0</v>
      </c>
      <c r="N889" s="609">
        <f t="shared" si="264"/>
        <v>0</v>
      </c>
      <c r="O889" s="609">
        <f t="shared" si="265"/>
        <v>0</v>
      </c>
      <c r="P889" s="609">
        <f t="shared" si="266"/>
        <v>0</v>
      </c>
      <c r="Q889" s="609">
        <f t="shared" si="267"/>
        <v>0</v>
      </c>
      <c r="R889" s="603">
        <f t="shared" si="268"/>
        <v>0</v>
      </c>
    </row>
    <row r="890" spans="2:18">
      <c r="B890" s="595" t="s">
        <v>1053</v>
      </c>
      <c r="C890" s="608">
        <f>IFERROR(C800/C710*100,0)</f>
        <v>0</v>
      </c>
      <c r="D890" s="609">
        <f t="shared" si="280"/>
        <v>8.5499548950039213</v>
      </c>
      <c r="E890" s="609">
        <f t="shared" si="280"/>
        <v>8.7069665356201078</v>
      </c>
      <c r="F890" s="609">
        <f t="shared" si="280"/>
        <v>9.4589802921388415</v>
      </c>
      <c r="G890" s="609">
        <f t="shared" si="280"/>
        <v>7.4227196398515352</v>
      </c>
      <c r="H890" s="609">
        <f t="shared" si="280"/>
        <v>5.6947290637249299</v>
      </c>
      <c r="I890" s="609">
        <f t="shared" si="280"/>
        <v>4.4330341012944485</v>
      </c>
      <c r="J890" s="603">
        <f t="shared" ref="J890" si="288">J800/J710*100</f>
        <v>3.0183518728079326</v>
      </c>
      <c r="K890" s="609" t="str">
        <f t="shared" si="261"/>
        <v>0</v>
      </c>
      <c r="L890" s="609">
        <f t="shared" si="262"/>
        <v>2.1016594452633124E-3</v>
      </c>
      <c r="M890" s="609">
        <f t="shared" si="263"/>
        <v>3.1178238908400298E-3</v>
      </c>
      <c r="N890" s="609">
        <f t="shared" si="264"/>
        <v>7.5150404690888292E-3</v>
      </c>
      <c r="O890" s="609">
        <f t="shared" si="265"/>
        <v>8.0227261895275265E-3</v>
      </c>
      <c r="P890" s="609">
        <f t="shared" si="266"/>
        <v>1.0436094082619002E-2</v>
      </c>
      <c r="Q890" s="609">
        <f t="shared" si="267"/>
        <v>8.9605091799708173E-2</v>
      </c>
      <c r="R890" s="603">
        <f t="shared" si="268"/>
        <v>3.2527177671468205E-2</v>
      </c>
    </row>
    <row r="891" spans="2:18">
      <c r="B891" s="595" t="s">
        <v>1054</v>
      </c>
      <c r="C891" s="608">
        <f t="shared" ref="C891" si="289">C801/C711*100</f>
        <v>11.158893851478153</v>
      </c>
      <c r="D891" s="609">
        <f t="shared" si="280"/>
        <v>9.6665411420209963</v>
      </c>
      <c r="E891" s="609">
        <f t="shared" si="280"/>
        <v>8.8848480607001825</v>
      </c>
      <c r="F891" s="609">
        <f t="shared" si="280"/>
        <v>7.052095670460055</v>
      </c>
      <c r="G891" s="609">
        <f t="shared" si="280"/>
        <v>5.5397026661680702</v>
      </c>
      <c r="H891" s="609">
        <f t="shared" si="280"/>
        <v>3.9791949926557444</v>
      </c>
      <c r="I891" s="609">
        <f t="shared" si="280"/>
        <v>2.1584375213035614</v>
      </c>
      <c r="J891" s="603">
        <f t="shared" ref="J891" si="290">J801/J711*100</f>
        <v>1.8649993277761245</v>
      </c>
      <c r="K891" s="609">
        <f t="shared" si="261"/>
        <v>0</v>
      </c>
      <c r="L891" s="609">
        <f t="shared" si="262"/>
        <v>0</v>
      </c>
      <c r="M891" s="609">
        <f t="shared" si="263"/>
        <v>7.9141432051411903E-6</v>
      </c>
      <c r="N891" s="609">
        <f t="shared" si="264"/>
        <v>9.9735365978220649E-5</v>
      </c>
      <c r="O891" s="609">
        <f t="shared" si="265"/>
        <v>8.5719791506448943E-4</v>
      </c>
      <c r="P891" s="609">
        <f t="shared" si="266"/>
        <v>3.2885347466148954E-3</v>
      </c>
      <c r="Q891" s="609">
        <f t="shared" si="267"/>
        <v>2.6066544844079815E-3</v>
      </c>
      <c r="R891" s="603">
        <f t="shared" si="268"/>
        <v>2.358854243862377E-3</v>
      </c>
    </row>
    <row r="892" spans="2:18">
      <c r="B892" s="604" t="s">
        <v>1055</v>
      </c>
      <c r="C892" s="610">
        <f t="shared" ref="C892" si="291">C802/C712*100</f>
        <v>64.285783589644993</v>
      </c>
      <c r="D892" s="617">
        <f t="shared" si="280"/>
        <v>63.36323396921172</v>
      </c>
      <c r="E892" s="617">
        <f t="shared" si="280"/>
        <v>62.731870818640559</v>
      </c>
      <c r="F892" s="617">
        <f t="shared" si="280"/>
        <v>61.361815407611054</v>
      </c>
      <c r="G892" s="617">
        <f t="shared" si="280"/>
        <v>58.15774257386358</v>
      </c>
      <c r="H892" s="617">
        <f t="shared" si="280"/>
        <v>57.093980055935987</v>
      </c>
      <c r="I892" s="617">
        <f t="shared" si="280"/>
        <v>51.883835765721187</v>
      </c>
      <c r="J892" s="618">
        <f t="shared" ref="J892" si="292">J802/J712*100</f>
        <v>45.548135094377038</v>
      </c>
      <c r="K892" s="617">
        <f t="shared" si="261"/>
        <v>0.43766443433508201</v>
      </c>
      <c r="L892" s="617">
        <f t="shared" si="262"/>
        <v>0.4902026767600845</v>
      </c>
      <c r="M892" s="617">
        <f t="shared" si="263"/>
        <v>0.59532059366652745</v>
      </c>
      <c r="N892" s="617">
        <f t="shared" si="264"/>
        <v>0.66653950615322122</v>
      </c>
      <c r="O892" s="617">
        <f t="shared" si="265"/>
        <v>0.6469916828840796</v>
      </c>
      <c r="P892" s="617">
        <f t="shared" si="266"/>
        <v>0.71989840267100669</v>
      </c>
      <c r="Q892" s="617">
        <f t="shared" si="267"/>
        <v>0.66207216167286542</v>
      </c>
      <c r="R892" s="618">
        <f t="shared" si="268"/>
        <v>0.72774014289141331</v>
      </c>
    </row>
    <row r="893" spans="2:18">
      <c r="B893" s="57"/>
      <c r="C893" s="582"/>
      <c r="D893" s="582"/>
      <c r="E893" s="582"/>
      <c r="F893" s="582"/>
      <c r="G893" s="582"/>
      <c r="H893" s="582"/>
      <c r="I893" s="582"/>
      <c r="J893" s="582"/>
      <c r="K893" s="582"/>
      <c r="L893" s="582"/>
      <c r="M893" s="582"/>
      <c r="N893" s="582"/>
      <c r="O893" s="582"/>
      <c r="P893" s="582"/>
      <c r="Q893" s="582"/>
    </row>
    <row r="894" spans="2:18">
      <c r="B894" s="2157" t="s">
        <v>1140</v>
      </c>
      <c r="C894" s="2157"/>
      <c r="D894" s="2157"/>
      <c r="E894" s="2157"/>
      <c r="F894" s="2157"/>
      <c r="G894" s="2157"/>
      <c r="H894" s="2157"/>
      <c r="I894" s="2157"/>
      <c r="J894" s="2157"/>
      <c r="K894" s="2157"/>
      <c r="L894" s="2157"/>
      <c r="M894" s="2157"/>
      <c r="N894" s="2157"/>
      <c r="O894" s="2157"/>
      <c r="P894" s="2157"/>
      <c r="Q894" s="2157"/>
      <c r="R894" s="2157"/>
    </row>
    <row r="895" spans="2:18">
      <c r="B895" s="619"/>
      <c r="C895" s="621"/>
      <c r="D895" s="621"/>
      <c r="E895" s="621"/>
      <c r="F895" s="621"/>
      <c r="G895" s="621"/>
      <c r="H895" s="621"/>
      <c r="I895" s="621"/>
      <c r="J895" s="621"/>
      <c r="K895" s="622"/>
      <c r="L895" s="622"/>
      <c r="M895" s="622"/>
      <c r="N895" s="622"/>
      <c r="O895" s="622"/>
      <c r="P895" s="622"/>
      <c r="Q895" s="622"/>
    </row>
    <row r="896" spans="2:18">
      <c r="B896" s="583"/>
      <c r="C896" s="2161" t="s">
        <v>1112</v>
      </c>
      <c r="D896" s="2162"/>
      <c r="E896" s="2162"/>
      <c r="F896" s="2162"/>
      <c r="G896" s="2162"/>
      <c r="H896" s="2162"/>
      <c r="I896" s="2162"/>
      <c r="J896" s="842"/>
      <c r="K896" s="2196" t="s">
        <v>1113</v>
      </c>
      <c r="L896" s="2197"/>
      <c r="M896" s="2197"/>
      <c r="N896" s="2197"/>
      <c r="O896" s="2197"/>
      <c r="P896" s="2197"/>
      <c r="Q896" s="2197"/>
      <c r="R896" s="2198"/>
    </row>
    <row r="897" spans="2:18">
      <c r="B897" s="57"/>
      <c r="C897" s="585">
        <v>2014</v>
      </c>
      <c r="D897" s="586">
        <v>2015</v>
      </c>
      <c r="E897" s="586">
        <v>2016</v>
      </c>
      <c r="F897" s="586">
        <v>2017</v>
      </c>
      <c r="G897" s="586">
        <v>2018</v>
      </c>
      <c r="H897" s="586">
        <v>2019</v>
      </c>
      <c r="I897" s="586">
        <v>2020</v>
      </c>
      <c r="J897" s="586">
        <v>2021</v>
      </c>
      <c r="K897" s="638">
        <v>2014</v>
      </c>
      <c r="L897" s="639">
        <v>2015</v>
      </c>
      <c r="M897" s="639">
        <v>2016</v>
      </c>
      <c r="N897" s="639">
        <v>2017</v>
      </c>
      <c r="O897" s="639">
        <v>2018</v>
      </c>
      <c r="P897" s="639">
        <v>2019</v>
      </c>
      <c r="Q897" s="639">
        <v>2020</v>
      </c>
      <c r="R897" s="640">
        <v>2021</v>
      </c>
    </row>
    <row r="898" spans="2:18">
      <c r="B898" s="589" t="s">
        <v>1038</v>
      </c>
      <c r="C898" s="614">
        <f t="shared" ref="C898:J907" si="293">IF(ISNUMBER(C808/C696*100),C808/C696*100,"0")</f>
        <v>4.7760133978098658</v>
      </c>
      <c r="D898" s="615">
        <f t="shared" si="293"/>
        <v>5.2423512827552301</v>
      </c>
      <c r="E898" s="615">
        <f t="shared" si="293"/>
        <v>5.5014788035799667</v>
      </c>
      <c r="F898" s="615">
        <f t="shared" si="293"/>
        <v>5.5935124600349422</v>
      </c>
      <c r="G898" s="615">
        <f t="shared" si="293"/>
        <v>5.4844486345993957</v>
      </c>
      <c r="H898" s="615">
        <f t="shared" si="293"/>
        <v>5.4541782585757996</v>
      </c>
      <c r="I898" s="615">
        <f t="shared" si="293"/>
        <v>5.3471910564895389</v>
      </c>
      <c r="J898" s="615">
        <f t="shared" si="293"/>
        <v>5.326277142801505</v>
      </c>
      <c r="K898" s="614">
        <f t="shared" ref="K898:K914" si="294">IF(ISNUMBER(K808/C696*100),K808/C696*100,"0")</f>
        <v>1.5932331609097103</v>
      </c>
      <c r="L898" s="615">
        <f t="shared" ref="L898:L914" si="295">IF(ISNUMBER(L808/D696*100),L808/D696*100,"0")</f>
        <v>1.6958058124015289</v>
      </c>
      <c r="M898" s="615">
        <f t="shared" ref="M898:M914" si="296">IF(ISNUMBER(M808/E696*100),M808/E696*100,"0")</f>
        <v>1.6774031844276183</v>
      </c>
      <c r="N898" s="615">
        <f t="shared" ref="N898:N914" si="297">IF(ISNUMBER(N808/F696*100),N808/F696*100,"0")</f>
        <v>1.7756740387172949</v>
      </c>
      <c r="O898" s="615">
        <f t="shared" ref="O898:O914" si="298">IF(ISNUMBER(O808/G696*100),O808/G696*100,"0")</f>
        <v>1.7972748378990981</v>
      </c>
      <c r="P898" s="615">
        <f t="shared" ref="P898:P914" si="299">IF(ISNUMBER(P808/H696*100),P808/H696*100,"0")</f>
        <v>1.8777063957621754</v>
      </c>
      <c r="Q898" s="615">
        <f t="shared" ref="Q898:Q914" si="300">IF(ISNUMBER(Q808/I696*100),Q808/I696*100,"0")</f>
        <v>2.3348930680198801</v>
      </c>
      <c r="R898" s="616">
        <f t="shared" ref="R898:R914" si="301">IF(ISNUMBER(R808/J696*100),R808/J696*100,"0")</f>
        <v>2.5141619522564493</v>
      </c>
    </row>
    <row r="899" spans="2:18">
      <c r="B899" s="595" t="s">
        <v>1039</v>
      </c>
      <c r="C899" s="608">
        <f t="shared" si="293"/>
        <v>21.503238184759617</v>
      </c>
      <c r="D899" s="609">
        <f t="shared" si="293"/>
        <v>5.0692396523949963</v>
      </c>
      <c r="E899" s="609">
        <f t="shared" si="293"/>
        <v>5.715270753973015</v>
      </c>
      <c r="F899" s="609">
        <f t="shared" si="293"/>
        <v>5.063891125588091</v>
      </c>
      <c r="G899" s="609">
        <f t="shared" si="293"/>
        <v>4.0555433494734183</v>
      </c>
      <c r="H899" s="609">
        <f t="shared" si="293"/>
        <v>4.7099101595572659</v>
      </c>
      <c r="I899" s="609">
        <f t="shared" si="293"/>
        <v>5.3766321089156817</v>
      </c>
      <c r="J899" s="609">
        <f t="shared" si="293"/>
        <v>6.9143994370348656</v>
      </c>
      <c r="K899" s="608">
        <f t="shared" si="294"/>
        <v>21.503238184759617</v>
      </c>
      <c r="L899" s="609">
        <f t="shared" si="295"/>
        <v>5.0692396523949963</v>
      </c>
      <c r="M899" s="609">
        <f t="shared" si="296"/>
        <v>5.715270753973015</v>
      </c>
      <c r="N899" s="609">
        <f t="shared" si="297"/>
        <v>5.063891125588091</v>
      </c>
      <c r="O899" s="609">
        <f t="shared" si="298"/>
        <v>4.0555433494734183</v>
      </c>
      <c r="P899" s="609">
        <f t="shared" si="299"/>
        <v>4.7099101595572659</v>
      </c>
      <c r="Q899" s="609">
        <f t="shared" si="300"/>
        <v>5.3766321089156817</v>
      </c>
      <c r="R899" s="603">
        <f t="shared" si="301"/>
        <v>6.9143994370348656</v>
      </c>
    </row>
    <row r="900" spans="2:18">
      <c r="B900" s="595" t="s">
        <v>1040</v>
      </c>
      <c r="C900" s="608">
        <f t="shared" si="293"/>
        <v>1.4538044919522997</v>
      </c>
      <c r="D900" s="609">
        <f t="shared" si="293"/>
        <v>1.6801354405287332</v>
      </c>
      <c r="E900" s="609">
        <f t="shared" si="293"/>
        <v>1.8862067809499845</v>
      </c>
      <c r="F900" s="609">
        <f t="shared" si="293"/>
        <v>2.1463783187196492</v>
      </c>
      <c r="G900" s="609">
        <f t="shared" si="293"/>
        <v>3.0073387283546955</v>
      </c>
      <c r="H900" s="609">
        <f t="shared" si="293"/>
        <v>3.5990440357925508</v>
      </c>
      <c r="I900" s="609">
        <f t="shared" si="293"/>
        <v>5.1170738191796286</v>
      </c>
      <c r="J900" s="609">
        <f t="shared" si="293"/>
        <v>6.5460902407970201</v>
      </c>
      <c r="K900" s="608">
        <f t="shared" si="294"/>
        <v>0.58544704696479277</v>
      </c>
      <c r="L900" s="609">
        <f t="shared" si="295"/>
        <v>0.71765838692151329</v>
      </c>
      <c r="M900" s="609">
        <f t="shared" si="296"/>
        <v>0.8481045125762553</v>
      </c>
      <c r="N900" s="609">
        <f t="shared" si="297"/>
        <v>1.0759609314499774</v>
      </c>
      <c r="O900" s="609">
        <f t="shared" si="298"/>
        <v>1.5657620426060597</v>
      </c>
      <c r="P900" s="609">
        <f t="shared" si="299"/>
        <v>1.8477869033323295</v>
      </c>
      <c r="Q900" s="609">
        <f t="shared" si="300"/>
        <v>3.1367739528558771</v>
      </c>
      <c r="R900" s="603">
        <f t="shared" si="301"/>
        <v>4.0449995437165995</v>
      </c>
    </row>
    <row r="901" spans="2:18">
      <c r="B901" s="595" t="s">
        <v>1041</v>
      </c>
      <c r="C901" s="608">
        <f t="shared" si="293"/>
        <v>2.2792257319152123</v>
      </c>
      <c r="D901" s="609">
        <f t="shared" si="293"/>
        <v>2.4083944585146435</v>
      </c>
      <c r="E901" s="609">
        <f t="shared" si="293"/>
        <v>2.4656700934449622</v>
      </c>
      <c r="F901" s="609">
        <f t="shared" si="293"/>
        <v>2.5147609106882212</v>
      </c>
      <c r="G901" s="609">
        <f t="shared" si="293"/>
        <v>2.6264765164769766</v>
      </c>
      <c r="H901" s="609">
        <f t="shared" si="293"/>
        <v>2.8828000220337016</v>
      </c>
      <c r="I901" s="609">
        <f t="shared" si="293"/>
        <v>2.8432657439318079</v>
      </c>
      <c r="J901" s="609">
        <f t="shared" si="293"/>
        <v>2.8370768411345977</v>
      </c>
      <c r="K901" s="608">
        <f t="shared" si="294"/>
        <v>0.82008057002374113</v>
      </c>
      <c r="L901" s="609">
        <f t="shared" si="295"/>
        <v>0.88373966800515857</v>
      </c>
      <c r="M901" s="609">
        <f t="shared" si="296"/>
        <v>0.93966899486868982</v>
      </c>
      <c r="N901" s="609">
        <f t="shared" si="297"/>
        <v>0.99438147202068428</v>
      </c>
      <c r="O901" s="609">
        <f t="shared" si="298"/>
        <v>1.0283228805910345</v>
      </c>
      <c r="P901" s="609">
        <f t="shared" si="299"/>
        <v>1.0929907959880472</v>
      </c>
      <c r="Q901" s="609">
        <f t="shared" si="300"/>
        <v>1.1819964869510626</v>
      </c>
      <c r="R901" s="603">
        <f t="shared" si="301"/>
        <v>1.0396879729329334</v>
      </c>
    </row>
    <row r="902" spans="2:18">
      <c r="B902" s="595" t="s">
        <v>1042</v>
      </c>
      <c r="C902" s="608">
        <f t="shared" si="293"/>
        <v>5.0257785604517551</v>
      </c>
      <c r="D902" s="609">
        <f t="shared" si="293"/>
        <v>4.8609354943786842</v>
      </c>
      <c r="E902" s="609">
        <f t="shared" si="293"/>
        <v>6.0890022289869172</v>
      </c>
      <c r="F902" s="609">
        <f t="shared" si="293"/>
        <v>7.0814906218330087</v>
      </c>
      <c r="G902" s="609">
        <f t="shared" si="293"/>
        <v>8.1847344764550183</v>
      </c>
      <c r="H902" s="609">
        <f t="shared" si="293"/>
        <v>9.5362367984503464</v>
      </c>
      <c r="I902" s="609">
        <f t="shared" si="293"/>
        <v>15.633085665440527</v>
      </c>
      <c r="J902" s="609">
        <f t="shared" si="293"/>
        <v>22.314544290346035</v>
      </c>
      <c r="K902" s="608">
        <f t="shared" si="294"/>
        <v>2.4708472386122033</v>
      </c>
      <c r="L902" s="609">
        <f t="shared" si="295"/>
        <v>2.36309377420003</v>
      </c>
      <c r="M902" s="609">
        <f t="shared" si="296"/>
        <v>2.9751902669858747</v>
      </c>
      <c r="N902" s="609">
        <f t="shared" si="297"/>
        <v>3.5699384799728957</v>
      </c>
      <c r="O902" s="609">
        <f t="shared" si="298"/>
        <v>4.2149991150547201</v>
      </c>
      <c r="P902" s="609">
        <f t="shared" si="299"/>
        <v>5.1600696675932776</v>
      </c>
      <c r="Q902" s="609">
        <f t="shared" si="300"/>
        <v>8.6705308776902825</v>
      </c>
      <c r="R902" s="603">
        <f t="shared" si="301"/>
        <v>14.122060534767694</v>
      </c>
    </row>
    <row r="903" spans="2:18">
      <c r="B903" s="595" t="s">
        <v>1043</v>
      </c>
      <c r="C903" s="608">
        <f t="shared" si="293"/>
        <v>5.5456961760088506</v>
      </c>
      <c r="D903" s="609">
        <f t="shared" si="293"/>
        <v>5.8424677641872131</v>
      </c>
      <c r="E903" s="609">
        <f t="shared" si="293"/>
        <v>6.4875152531555154</v>
      </c>
      <c r="F903" s="609">
        <f t="shared" si="293"/>
        <v>6.8917158847863442</v>
      </c>
      <c r="G903" s="609">
        <f t="shared" si="293"/>
        <v>7.1756585995936133</v>
      </c>
      <c r="H903" s="609">
        <f t="shared" si="293"/>
        <v>7.5368518654211476</v>
      </c>
      <c r="I903" s="609">
        <f t="shared" si="293"/>
        <v>6.6156217239078972</v>
      </c>
      <c r="J903" s="609">
        <f t="shared" si="293"/>
        <v>7.3584107162226795</v>
      </c>
      <c r="K903" s="608">
        <f t="shared" si="294"/>
        <v>2.2741014083183781</v>
      </c>
      <c r="L903" s="609">
        <f t="shared" si="295"/>
        <v>2.462347370007318</v>
      </c>
      <c r="M903" s="609">
        <f t="shared" si="296"/>
        <v>2.7734038818820133</v>
      </c>
      <c r="N903" s="609">
        <f t="shared" si="297"/>
        <v>2.9770075720921096</v>
      </c>
      <c r="O903" s="609">
        <f t="shared" si="298"/>
        <v>3.1345579096343701</v>
      </c>
      <c r="P903" s="609">
        <f t="shared" si="299"/>
        <v>3.3580199097969028</v>
      </c>
      <c r="Q903" s="609">
        <f t="shared" si="300"/>
        <v>3.3825310409894174</v>
      </c>
      <c r="R903" s="603">
        <f t="shared" si="301"/>
        <v>3.8971770577853544</v>
      </c>
    </row>
    <row r="904" spans="2:18">
      <c r="B904" s="595" t="s">
        <v>1044</v>
      </c>
      <c r="C904" s="608">
        <f t="shared" si="293"/>
        <v>6.3142888132808492</v>
      </c>
      <c r="D904" s="609">
        <f t="shared" si="293"/>
        <v>3.9515326735537455</v>
      </c>
      <c r="E904" s="609">
        <f t="shared" si="293"/>
        <v>4.2594279198828318</v>
      </c>
      <c r="F904" s="609">
        <f t="shared" si="293"/>
        <v>3.6270620627818482</v>
      </c>
      <c r="G904" s="609">
        <f t="shared" si="293"/>
        <v>3.5248049408380897</v>
      </c>
      <c r="H904" s="609">
        <f t="shared" si="293"/>
        <v>3.874788884820255</v>
      </c>
      <c r="I904" s="609">
        <f t="shared" si="293"/>
        <v>3.2788355161028266</v>
      </c>
      <c r="J904" s="609">
        <f t="shared" si="293"/>
        <v>3.6348719950553678</v>
      </c>
      <c r="K904" s="608">
        <f t="shared" si="294"/>
        <v>3.1660309881325932</v>
      </c>
      <c r="L904" s="609">
        <f t="shared" si="295"/>
        <v>2.0923619221482768</v>
      </c>
      <c r="M904" s="609">
        <f t="shared" si="296"/>
        <v>2.2132603022749553</v>
      </c>
      <c r="N904" s="609">
        <f t="shared" si="297"/>
        <v>1.6932603306511886</v>
      </c>
      <c r="O904" s="609">
        <f t="shared" si="298"/>
        <v>1.6407992186399503</v>
      </c>
      <c r="P904" s="609">
        <f t="shared" si="299"/>
        <v>1.7186635471935399</v>
      </c>
      <c r="Q904" s="609">
        <f t="shared" si="300"/>
        <v>1.7871792612998441</v>
      </c>
      <c r="R904" s="603">
        <f t="shared" si="301"/>
        <v>2.1475792171376988</v>
      </c>
    </row>
    <row r="905" spans="2:18">
      <c r="B905" s="595" t="s">
        <v>1061</v>
      </c>
      <c r="C905" s="608" t="str">
        <f t="shared" si="293"/>
        <v>0</v>
      </c>
      <c r="D905" s="609">
        <f t="shared" si="293"/>
        <v>3.0100334448160537</v>
      </c>
      <c r="E905" s="609">
        <f t="shared" si="293"/>
        <v>2.694912793396353</v>
      </c>
      <c r="F905" s="609">
        <f t="shared" si="293"/>
        <v>3.014140633714038</v>
      </c>
      <c r="G905" s="609">
        <f t="shared" si="293"/>
        <v>2.8760655032443081</v>
      </c>
      <c r="H905" s="609">
        <f t="shared" si="293"/>
        <v>3.6720504796556028</v>
      </c>
      <c r="I905" s="609">
        <f t="shared" si="293"/>
        <v>3.6650056049464133</v>
      </c>
      <c r="J905" s="609">
        <f t="shared" si="293"/>
        <v>2.632633102225038</v>
      </c>
      <c r="K905" s="608" t="str">
        <f t="shared" si="294"/>
        <v>0</v>
      </c>
      <c r="L905" s="609">
        <f t="shared" si="295"/>
        <v>2.3411371237458192</v>
      </c>
      <c r="M905" s="609">
        <f t="shared" si="296"/>
        <v>1.9143066643851216</v>
      </c>
      <c r="N905" s="609">
        <f t="shared" si="297"/>
        <v>2.1502172942149484</v>
      </c>
      <c r="O905" s="609">
        <f t="shared" si="298"/>
        <v>2.0226735884010956</v>
      </c>
      <c r="P905" s="609">
        <f t="shared" si="299"/>
        <v>2.661574753524337</v>
      </c>
      <c r="Q905" s="609">
        <f t="shared" si="300"/>
        <v>2.9049436534752933</v>
      </c>
      <c r="R905" s="603">
        <f t="shared" si="301"/>
        <v>1.903852997336293</v>
      </c>
    </row>
    <row r="906" spans="2:18">
      <c r="B906" s="595" t="s">
        <v>1047</v>
      </c>
      <c r="C906" s="608">
        <f t="shared" si="293"/>
        <v>0</v>
      </c>
      <c r="D906" s="609">
        <f t="shared" si="293"/>
        <v>6.2652372383609682</v>
      </c>
      <c r="E906" s="609">
        <f t="shared" si="293"/>
        <v>6.3836397488210102</v>
      </c>
      <c r="F906" s="609">
        <f t="shared" si="293"/>
        <v>6.7822810739899504</v>
      </c>
      <c r="G906" s="609">
        <f t="shared" si="293"/>
        <v>7.4007975280760503</v>
      </c>
      <c r="H906" s="609">
        <f t="shared" si="293"/>
        <v>8.1528572685295018</v>
      </c>
      <c r="I906" s="609">
        <f t="shared" si="293"/>
        <v>8.021625255335179</v>
      </c>
      <c r="J906" s="609">
        <f t="shared" si="293"/>
        <v>6.9218313315035678</v>
      </c>
      <c r="K906" s="608">
        <f t="shared" si="294"/>
        <v>0</v>
      </c>
      <c r="L906" s="609">
        <f t="shared" si="295"/>
        <v>0.57189873141885827</v>
      </c>
      <c r="M906" s="609">
        <f t="shared" si="296"/>
        <v>0.70082381731204346</v>
      </c>
      <c r="N906" s="609">
        <f t="shared" si="297"/>
        <v>0.7867533229890934</v>
      </c>
      <c r="O906" s="609">
        <f t="shared" si="298"/>
        <v>0.85799776376565495</v>
      </c>
      <c r="P906" s="609">
        <f t="shared" si="299"/>
        <v>0.96066164454457226</v>
      </c>
      <c r="Q906" s="609">
        <f t="shared" si="300"/>
        <v>1.1786776454344383</v>
      </c>
      <c r="R906" s="603">
        <f t="shared" si="301"/>
        <v>1.699686770119899</v>
      </c>
    </row>
    <row r="907" spans="2:18">
      <c r="B907" s="595" t="s">
        <v>1048</v>
      </c>
      <c r="C907" s="608" t="str">
        <f t="shared" si="293"/>
        <v>0</v>
      </c>
      <c r="D907" s="609">
        <f t="shared" si="293"/>
        <v>1.7185622838148642</v>
      </c>
      <c r="E907" s="609">
        <f t="shared" si="293"/>
        <v>2.8945038223858832</v>
      </c>
      <c r="F907" s="609">
        <f t="shared" si="293"/>
        <v>3.2365628747009545</v>
      </c>
      <c r="G907" s="609">
        <f t="shared" si="293"/>
        <v>3.2337968298867379</v>
      </c>
      <c r="H907" s="609">
        <f t="shared" si="293"/>
        <v>3.2495039034387987</v>
      </c>
      <c r="I907" s="609">
        <f t="shared" si="293"/>
        <v>3.9323210850178341</v>
      </c>
      <c r="J907" s="609">
        <f t="shared" si="293"/>
        <v>4.1184289832909062</v>
      </c>
      <c r="K907" s="608" t="str">
        <f t="shared" si="294"/>
        <v>0</v>
      </c>
      <c r="L907" s="609">
        <f t="shared" si="295"/>
        <v>0.47871262369647039</v>
      </c>
      <c r="M907" s="609">
        <f t="shared" si="296"/>
        <v>0.7969368379774463</v>
      </c>
      <c r="N907" s="609">
        <f t="shared" si="297"/>
        <v>0.84777780345897169</v>
      </c>
      <c r="O907" s="609">
        <f t="shared" si="298"/>
        <v>0.86641340836446978</v>
      </c>
      <c r="P907" s="609">
        <f t="shared" si="299"/>
        <v>0.87539360866606253</v>
      </c>
      <c r="Q907" s="609">
        <f t="shared" si="300"/>
        <v>1.2812608637034897</v>
      </c>
      <c r="R907" s="603">
        <f t="shared" si="301"/>
        <v>1.2251203759512046</v>
      </c>
    </row>
    <row r="908" spans="2:18">
      <c r="B908" s="595" t="s">
        <v>1049</v>
      </c>
      <c r="C908" s="608">
        <f t="shared" ref="C908:J914" si="302">IF(ISNUMBER(C818/C706*100),C818/C706*100,"0")</f>
        <v>5.6534447177808396E-3</v>
      </c>
      <c r="D908" s="609">
        <f t="shared" si="302"/>
        <v>6.719113077073827E-3</v>
      </c>
      <c r="E908" s="609">
        <f t="shared" si="302"/>
        <v>1.0654816453441756E-2</v>
      </c>
      <c r="F908" s="609">
        <f t="shared" si="302"/>
        <v>1.7088982713045441E-2</v>
      </c>
      <c r="G908" s="609">
        <f t="shared" si="302"/>
        <v>1.9859703668802894E-2</v>
      </c>
      <c r="H908" s="609">
        <f t="shared" si="302"/>
        <v>2.3570695250598159E-2</v>
      </c>
      <c r="I908" s="609">
        <f t="shared" si="302"/>
        <v>2.4868685556727308E-2</v>
      </c>
      <c r="J908" s="609">
        <f t="shared" si="302"/>
        <v>1.6762106759188485E-2</v>
      </c>
      <c r="K908" s="608">
        <f t="shared" si="294"/>
        <v>0</v>
      </c>
      <c r="L908" s="609">
        <f t="shared" si="295"/>
        <v>0</v>
      </c>
      <c r="M908" s="609">
        <f t="shared" si="296"/>
        <v>0</v>
      </c>
      <c r="N908" s="609">
        <f t="shared" si="297"/>
        <v>0</v>
      </c>
      <c r="O908" s="609">
        <f t="shared" si="298"/>
        <v>1.9625519879875972E-2</v>
      </c>
      <c r="P908" s="609">
        <f t="shared" si="299"/>
        <v>2.3256869934889665E-2</v>
      </c>
      <c r="Q908" s="609">
        <f t="shared" si="300"/>
        <v>2.4580516580619011E-2</v>
      </c>
      <c r="R908" s="603">
        <f t="shared" si="301"/>
        <v>1.6597772379196442E-2</v>
      </c>
    </row>
    <row r="909" spans="2:18">
      <c r="B909" s="595" t="s">
        <v>1050</v>
      </c>
      <c r="C909" s="608" t="str">
        <f t="shared" si="302"/>
        <v>0</v>
      </c>
      <c r="D909" s="609" t="str">
        <f t="shared" si="302"/>
        <v>0</v>
      </c>
      <c r="E909" s="609" t="str">
        <f t="shared" si="302"/>
        <v>0</v>
      </c>
      <c r="F909" s="609" t="str">
        <f t="shared" si="302"/>
        <v>0</v>
      </c>
      <c r="G909" s="609" t="str">
        <f t="shared" si="302"/>
        <v>0</v>
      </c>
      <c r="H909" s="609" t="str">
        <f t="shared" si="302"/>
        <v>0</v>
      </c>
      <c r="I909" s="609" t="str">
        <f t="shared" si="302"/>
        <v>0</v>
      </c>
      <c r="J909" s="609" t="str">
        <f t="shared" si="302"/>
        <v>0</v>
      </c>
      <c r="K909" s="608" t="str">
        <f t="shared" si="294"/>
        <v>0</v>
      </c>
      <c r="L909" s="609" t="str">
        <f t="shared" si="295"/>
        <v>0</v>
      </c>
      <c r="M909" s="609" t="str">
        <f t="shared" si="296"/>
        <v>0</v>
      </c>
      <c r="N909" s="609" t="str">
        <f t="shared" si="297"/>
        <v>0</v>
      </c>
      <c r="O909" s="609" t="str">
        <f t="shared" si="298"/>
        <v>0</v>
      </c>
      <c r="P909" s="609" t="str">
        <f t="shared" si="299"/>
        <v>0</v>
      </c>
      <c r="Q909" s="609" t="str">
        <f t="shared" si="300"/>
        <v>0</v>
      </c>
      <c r="R909" s="603" t="str">
        <f t="shared" si="301"/>
        <v>0</v>
      </c>
    </row>
    <row r="910" spans="2:18">
      <c r="B910" s="595" t="s">
        <v>1051</v>
      </c>
      <c r="C910" s="608">
        <f t="shared" si="302"/>
        <v>23.565811422545956</v>
      </c>
      <c r="D910" s="609">
        <f t="shared" si="302"/>
        <v>29.276080690295416</v>
      </c>
      <c r="E910" s="609">
        <f t="shared" si="302"/>
        <v>34.414211909878873</v>
      </c>
      <c r="F910" s="609">
        <f t="shared" si="302"/>
        <v>40.256097627939511</v>
      </c>
      <c r="G910" s="609">
        <f t="shared" si="302"/>
        <v>45.37704878569815</v>
      </c>
      <c r="H910" s="609">
        <f t="shared" si="302"/>
        <v>49.454742923893704</v>
      </c>
      <c r="I910" s="609">
        <f t="shared" si="302"/>
        <v>55.388705105635118</v>
      </c>
      <c r="J910" s="609">
        <f t="shared" si="302"/>
        <v>59.062148480335829</v>
      </c>
      <c r="K910" s="608">
        <f t="shared" si="294"/>
        <v>17.243336536890158</v>
      </c>
      <c r="L910" s="609">
        <f t="shared" si="295"/>
        <v>22.167717968082144</v>
      </c>
      <c r="M910" s="609">
        <f t="shared" si="296"/>
        <v>26.012158407465861</v>
      </c>
      <c r="N910" s="609">
        <f t="shared" si="297"/>
        <v>29.764654353312451</v>
      </c>
      <c r="O910" s="609">
        <f t="shared" si="298"/>
        <v>32.60221361272724</v>
      </c>
      <c r="P910" s="609">
        <f t="shared" si="299"/>
        <v>36.192837253873613</v>
      </c>
      <c r="Q910" s="609">
        <f t="shared" si="300"/>
        <v>40.993796685448281</v>
      </c>
      <c r="R910" s="603">
        <f t="shared" si="301"/>
        <v>42.364641899313476</v>
      </c>
    </row>
    <row r="911" spans="2:18">
      <c r="B911" s="595" t="s">
        <v>1052</v>
      </c>
      <c r="C911" s="608">
        <f t="shared" si="302"/>
        <v>4.734672967871882</v>
      </c>
      <c r="D911" s="609">
        <f t="shared" si="302"/>
        <v>5.4459566971814413</v>
      </c>
      <c r="E911" s="609">
        <f t="shared" si="302"/>
        <v>5.7146622381240775</v>
      </c>
      <c r="F911" s="609">
        <f t="shared" si="302"/>
        <v>6.2622490687148327</v>
      </c>
      <c r="G911" s="609">
        <f t="shared" si="302"/>
        <v>7.3774249043176265</v>
      </c>
      <c r="H911" s="609">
        <f t="shared" si="302"/>
        <v>7.5096643992802665</v>
      </c>
      <c r="I911" s="609">
        <f t="shared" si="302"/>
        <v>6.980314236324868</v>
      </c>
      <c r="J911" s="609">
        <f t="shared" si="302"/>
        <v>7.8197013848998003</v>
      </c>
      <c r="K911" s="608">
        <f t="shared" si="294"/>
        <v>0.82277747596808426</v>
      </c>
      <c r="L911" s="609">
        <f t="shared" si="295"/>
        <v>1.0365664794618239</v>
      </c>
      <c r="M911" s="609">
        <f t="shared" si="296"/>
        <v>1.0576425801616911</v>
      </c>
      <c r="N911" s="609">
        <f t="shared" si="297"/>
        <v>1.2110228569312469</v>
      </c>
      <c r="O911" s="609">
        <f t="shared" si="298"/>
        <v>1.6161064970775654</v>
      </c>
      <c r="P911" s="609">
        <f t="shared" si="299"/>
        <v>1.7773443466008534</v>
      </c>
      <c r="Q911" s="609">
        <f t="shared" si="300"/>
        <v>2.0158270664237761</v>
      </c>
      <c r="R911" s="603">
        <f t="shared" si="301"/>
        <v>2.3608136033754676</v>
      </c>
    </row>
    <row r="912" spans="2:18">
      <c r="B912" s="595" t="s">
        <v>1053</v>
      </c>
      <c r="C912" s="608" t="str">
        <f t="shared" si="302"/>
        <v>0</v>
      </c>
      <c r="D912" s="609">
        <f t="shared" si="302"/>
        <v>0.3787321691652395</v>
      </c>
      <c r="E912" s="609">
        <f t="shared" si="302"/>
        <v>0.48597280458104969</v>
      </c>
      <c r="F912" s="609">
        <f t="shared" si="302"/>
        <v>0.59150807270437189</v>
      </c>
      <c r="G912" s="609">
        <f t="shared" si="302"/>
        <v>0.6558694651476954</v>
      </c>
      <c r="H912" s="609">
        <f t="shared" si="302"/>
        <v>0.68237932880351704</v>
      </c>
      <c r="I912" s="609">
        <f t="shared" si="302"/>
        <v>0.53719012534396449</v>
      </c>
      <c r="J912" s="609">
        <f t="shared" si="302"/>
        <v>0.33844334510804147</v>
      </c>
      <c r="K912" s="608" t="str">
        <f t="shared" si="294"/>
        <v>0</v>
      </c>
      <c r="L912" s="609">
        <f t="shared" si="295"/>
        <v>0.13740334625468553</v>
      </c>
      <c r="M912" s="609">
        <f t="shared" si="296"/>
        <v>0.19281217520280497</v>
      </c>
      <c r="N912" s="609">
        <f t="shared" si="297"/>
        <v>0.2518793497730113</v>
      </c>
      <c r="O912" s="609">
        <f t="shared" si="298"/>
        <v>0.26117064777658616</v>
      </c>
      <c r="P912" s="609">
        <f t="shared" si="299"/>
        <v>0.2921417170823799</v>
      </c>
      <c r="Q912" s="609">
        <f t="shared" si="300"/>
        <v>0.28498715521181633</v>
      </c>
      <c r="R912" s="603">
        <f t="shared" si="301"/>
        <v>0.21186239782254288</v>
      </c>
    </row>
    <row r="913" spans="2:18">
      <c r="B913" s="595" t="s">
        <v>1054</v>
      </c>
      <c r="C913" s="608">
        <f t="shared" si="302"/>
        <v>2.1048845055487742</v>
      </c>
      <c r="D913" s="609">
        <f t="shared" si="302"/>
        <v>2.3791331611262825</v>
      </c>
      <c r="E913" s="609">
        <f t="shared" si="302"/>
        <v>2.7647268952424953</v>
      </c>
      <c r="F913" s="609">
        <f t="shared" si="302"/>
        <v>2.4887395018127463</v>
      </c>
      <c r="G913" s="609">
        <f t="shared" si="302"/>
        <v>2.3638464306170457</v>
      </c>
      <c r="H913" s="609">
        <f t="shared" si="302"/>
        <v>2.2248267334608971</v>
      </c>
      <c r="I913" s="609">
        <f t="shared" si="302"/>
        <v>1.7820322065483203</v>
      </c>
      <c r="J913" s="609">
        <f t="shared" si="302"/>
        <v>2.0645036987947276</v>
      </c>
      <c r="K913" s="608">
        <f t="shared" si="294"/>
        <v>0.55202706813254399</v>
      </c>
      <c r="L913" s="609">
        <f t="shared" si="295"/>
        <v>0.62990531817237305</v>
      </c>
      <c r="M913" s="609">
        <f t="shared" si="296"/>
        <v>0.73410439209275924</v>
      </c>
      <c r="N913" s="609">
        <f t="shared" si="297"/>
        <v>0.68400758934124795</v>
      </c>
      <c r="O913" s="609">
        <f t="shared" si="298"/>
        <v>0.67979500685878547</v>
      </c>
      <c r="P913" s="609">
        <f t="shared" si="299"/>
        <v>0.66054881746467375</v>
      </c>
      <c r="Q913" s="609">
        <f t="shared" si="300"/>
        <v>0.73418886125594751</v>
      </c>
      <c r="R913" s="603">
        <f t="shared" si="301"/>
        <v>0.98453070557006672</v>
      </c>
    </row>
    <row r="914" spans="2:18">
      <c r="B914" s="604" t="s">
        <v>1055</v>
      </c>
      <c r="C914" s="610">
        <f t="shared" si="302"/>
        <v>3.4107546069352521</v>
      </c>
      <c r="D914" s="617">
        <f t="shared" si="302"/>
        <v>3.8871083362784846</v>
      </c>
      <c r="E914" s="617">
        <f t="shared" si="302"/>
        <v>4.5884551952808179</v>
      </c>
      <c r="F914" s="617">
        <f t="shared" si="302"/>
        <v>4.7221698895342685</v>
      </c>
      <c r="G914" s="617">
        <f t="shared" si="302"/>
        <v>4.5581278149731723</v>
      </c>
      <c r="H914" s="617">
        <f t="shared" si="302"/>
        <v>4.8932881960382524</v>
      </c>
      <c r="I914" s="617">
        <f t="shared" si="302"/>
        <v>5.373173479541701</v>
      </c>
      <c r="J914" s="617">
        <f t="shared" si="302"/>
        <v>5.449195928729182</v>
      </c>
      <c r="K914" s="610">
        <f t="shared" si="294"/>
        <v>1.8671440568628195</v>
      </c>
      <c r="L914" s="617">
        <f t="shared" si="295"/>
        <v>2.0988644710939455</v>
      </c>
      <c r="M914" s="617">
        <f t="shared" si="296"/>
        <v>2.4649644565891733</v>
      </c>
      <c r="N914" s="617">
        <f t="shared" si="297"/>
        <v>2.516411037436094</v>
      </c>
      <c r="O914" s="617">
        <f t="shared" si="298"/>
        <v>2.4936310234956669</v>
      </c>
      <c r="P914" s="617">
        <f t="shared" si="299"/>
        <v>2.663385732876034</v>
      </c>
      <c r="Q914" s="617">
        <f t="shared" si="300"/>
        <v>3.0082520302891753</v>
      </c>
      <c r="R914" s="618">
        <f t="shared" si="301"/>
        <v>3.1620436935125307</v>
      </c>
    </row>
    <row r="915" spans="2:18">
      <c r="B915" s="57"/>
      <c r="C915" s="582"/>
      <c r="D915" s="582"/>
      <c r="E915" s="582"/>
      <c r="F915" s="582"/>
      <c r="G915" s="582"/>
      <c r="H915" s="582"/>
      <c r="I915" s="582"/>
      <c r="J915" s="582"/>
      <c r="K915" s="582"/>
      <c r="L915" s="582"/>
      <c r="M915" s="582"/>
      <c r="N915" s="582"/>
      <c r="O915" s="582"/>
      <c r="P915" s="582"/>
      <c r="Q915" s="582"/>
    </row>
    <row r="916" spans="2:18">
      <c r="B916" s="2157" t="s">
        <v>1140</v>
      </c>
      <c r="C916" s="2157"/>
      <c r="D916" s="2157"/>
      <c r="E916" s="2157"/>
      <c r="F916" s="2157"/>
      <c r="G916" s="2157"/>
      <c r="H916" s="2157"/>
      <c r="I916" s="2157"/>
      <c r="J916" s="2157"/>
      <c r="K916" s="2157"/>
      <c r="L916" s="2157"/>
      <c r="M916" s="2157"/>
      <c r="N916" s="2157"/>
      <c r="O916" s="2157"/>
      <c r="P916" s="2157"/>
      <c r="Q916" s="2157"/>
      <c r="R916" s="2157"/>
    </row>
    <row r="917" spans="2:18">
      <c r="B917" s="619"/>
      <c r="C917" s="621"/>
      <c r="D917" s="621"/>
      <c r="E917" s="621"/>
      <c r="F917" s="621"/>
      <c r="G917" s="621"/>
      <c r="H917" s="621"/>
      <c r="I917" s="621"/>
      <c r="J917" s="621"/>
      <c r="K917" s="622"/>
      <c r="L917" s="622"/>
      <c r="M917" s="622"/>
      <c r="N917" s="622"/>
      <c r="O917" s="622"/>
      <c r="P917" s="622"/>
      <c r="Q917" s="622"/>
    </row>
    <row r="918" spans="2:18">
      <c r="B918" s="583"/>
      <c r="C918" s="2196" t="s">
        <v>1114</v>
      </c>
      <c r="D918" s="2197"/>
      <c r="E918" s="2197"/>
      <c r="F918" s="2197"/>
      <c r="G918" s="2197"/>
      <c r="H918" s="2197"/>
      <c r="I918" s="2197"/>
      <c r="J918" s="2198"/>
      <c r="K918" s="2196" t="s">
        <v>1115</v>
      </c>
      <c r="L918" s="2197"/>
      <c r="M918" s="2197"/>
      <c r="N918" s="2197"/>
      <c r="O918" s="2197"/>
      <c r="P918" s="2197"/>
      <c r="Q918" s="2197"/>
      <c r="R918" s="2198"/>
    </row>
    <row r="919" spans="2:18">
      <c r="B919" s="57"/>
      <c r="C919" s="585">
        <v>2014</v>
      </c>
      <c r="D919" s="586">
        <v>2015</v>
      </c>
      <c r="E919" s="586">
        <v>2016</v>
      </c>
      <c r="F919" s="586">
        <v>2017</v>
      </c>
      <c r="G919" s="586">
        <v>2018</v>
      </c>
      <c r="H919" s="586">
        <v>2019</v>
      </c>
      <c r="I919" s="586">
        <v>2020</v>
      </c>
      <c r="J919" s="586">
        <v>2021</v>
      </c>
      <c r="K919" s="587">
        <v>2014</v>
      </c>
      <c r="L919" s="588">
        <v>2015</v>
      </c>
      <c r="M919" s="588">
        <v>2016</v>
      </c>
      <c r="N919" s="588">
        <v>2017</v>
      </c>
      <c r="O919" s="588">
        <v>2018</v>
      </c>
      <c r="P919" s="588">
        <v>2019</v>
      </c>
      <c r="Q919" s="588">
        <v>2020</v>
      </c>
      <c r="R919" s="848">
        <v>2021</v>
      </c>
    </row>
    <row r="920" spans="2:18">
      <c r="B920" s="589" t="s">
        <v>1038</v>
      </c>
      <c r="C920" s="614">
        <f>C830/C696*100</f>
        <v>0</v>
      </c>
      <c r="D920" s="615">
        <f t="shared" ref="D920:J920" si="303">D830/D696*100</f>
        <v>0</v>
      </c>
      <c r="E920" s="615">
        <f t="shared" si="303"/>
        <v>0</v>
      </c>
      <c r="F920" s="615">
        <f t="shared" si="303"/>
        <v>0</v>
      </c>
      <c r="G920" s="615">
        <f t="shared" si="303"/>
        <v>0</v>
      </c>
      <c r="H920" s="615">
        <f t="shared" si="303"/>
        <v>0</v>
      </c>
      <c r="I920" s="615">
        <f t="shared" si="303"/>
        <v>0</v>
      </c>
      <c r="J920" s="616">
        <f t="shared" si="303"/>
        <v>0</v>
      </c>
      <c r="K920" s="615">
        <f t="shared" ref="K920:K936" si="304">IF(ISNUMBER(K830/C696*100),K830/C696*100,"0")</f>
        <v>3.1827802369001552</v>
      </c>
      <c r="L920" s="615">
        <f t="shared" ref="L920:L936" si="305">IF(ISNUMBER(L830/D696*100),L830/D696*100,"0")</f>
        <v>3.5465454703537005</v>
      </c>
      <c r="M920" s="615">
        <f t="shared" ref="M920:M936" si="306">IF(ISNUMBER(M830/E696*100),M830/E696*100,"0")</f>
        <v>3.7409076150065319</v>
      </c>
      <c r="N920" s="615">
        <f t="shared" ref="N920:N936" si="307">IF(ISNUMBER(N830/F696*100),N830/F696*100,"0")</f>
        <v>3.6946362674306834</v>
      </c>
      <c r="O920" s="615">
        <f t="shared" ref="O920:O936" si="308">IF(ISNUMBER(O830/G696*100),O830/G696*100,"0")</f>
        <v>3.5138663376083743</v>
      </c>
      <c r="P920" s="615">
        <f t="shared" ref="P920:P936" si="309">IF(ISNUMBER(P830/H696*100),P830/H696*100,"0")</f>
        <v>3.5516715906782133</v>
      </c>
      <c r="Q920" s="615">
        <f t="shared" ref="Q920:Q936" si="310">IF(ISNUMBER(Q830/I696*100),Q830/I696*100,"0")</f>
        <v>3.0122979884696579</v>
      </c>
      <c r="R920" s="616">
        <f t="shared" ref="R920:R936" si="311">IF(ISNUMBER(R830/J696*100),R830/J696*100,"0")</f>
        <v>2.8121151905450548</v>
      </c>
    </row>
    <row r="921" spans="2:18">
      <c r="B921" s="595" t="s">
        <v>1039</v>
      </c>
      <c r="C921" s="608">
        <f t="shared" ref="C921:J921" si="312">C831/C697*100</f>
        <v>0</v>
      </c>
      <c r="D921" s="609">
        <f t="shared" si="312"/>
        <v>0</v>
      </c>
      <c r="E921" s="609">
        <f t="shared" si="312"/>
        <v>0</v>
      </c>
      <c r="F921" s="609">
        <f t="shared" si="312"/>
        <v>0</v>
      </c>
      <c r="G921" s="609">
        <f t="shared" si="312"/>
        <v>0</v>
      </c>
      <c r="H921" s="609">
        <f t="shared" si="312"/>
        <v>0</v>
      </c>
      <c r="I921" s="609">
        <f t="shared" si="312"/>
        <v>0</v>
      </c>
      <c r="J921" s="603">
        <f t="shared" si="312"/>
        <v>0</v>
      </c>
      <c r="K921" s="609">
        <f t="shared" si="304"/>
        <v>1.5628143786811151</v>
      </c>
      <c r="L921" s="609">
        <f t="shared" si="305"/>
        <v>2.4510303081198268</v>
      </c>
      <c r="M921" s="609">
        <f t="shared" si="306"/>
        <v>2.4181517716959058</v>
      </c>
      <c r="N921" s="609">
        <f t="shared" si="307"/>
        <v>2.4526045633000324</v>
      </c>
      <c r="O921" s="609">
        <f t="shared" si="308"/>
        <v>1.9948696724200365</v>
      </c>
      <c r="P921" s="609">
        <f t="shared" si="309"/>
        <v>2.2041817687277923</v>
      </c>
      <c r="Q921" s="609">
        <f t="shared" si="310"/>
        <v>1.8861955585821586</v>
      </c>
      <c r="R921" s="603">
        <f t="shared" si="311"/>
        <v>3.2835266336979982</v>
      </c>
    </row>
    <row r="922" spans="2:18">
      <c r="B922" s="595" t="s">
        <v>1040</v>
      </c>
      <c r="C922" s="608">
        <f t="shared" ref="C922:J922" si="313">C832/C698*100</f>
        <v>0</v>
      </c>
      <c r="D922" s="609">
        <f t="shared" si="313"/>
        <v>0</v>
      </c>
      <c r="E922" s="609">
        <f t="shared" si="313"/>
        <v>0</v>
      </c>
      <c r="F922" s="609">
        <f t="shared" si="313"/>
        <v>0</v>
      </c>
      <c r="G922" s="609">
        <f t="shared" si="313"/>
        <v>0</v>
      </c>
      <c r="H922" s="609">
        <f t="shared" si="313"/>
        <v>0</v>
      </c>
      <c r="I922" s="609">
        <f t="shared" si="313"/>
        <v>0</v>
      </c>
      <c r="J922" s="603">
        <f t="shared" si="313"/>
        <v>0</v>
      </c>
      <c r="K922" s="609">
        <f t="shared" si="304"/>
        <v>0.86835744498750655</v>
      </c>
      <c r="L922" s="609">
        <f t="shared" si="305"/>
        <v>0.96247705360722013</v>
      </c>
      <c r="M922" s="609">
        <f t="shared" si="306"/>
        <v>1.0381022683737295</v>
      </c>
      <c r="N922" s="609">
        <f t="shared" si="307"/>
        <v>1.0704173872696716</v>
      </c>
      <c r="O922" s="609">
        <f t="shared" si="308"/>
        <v>1.4415766857486356</v>
      </c>
      <c r="P922" s="609">
        <f t="shared" si="309"/>
        <v>1.7512571324602217</v>
      </c>
      <c r="Q922" s="609">
        <f t="shared" si="310"/>
        <v>1.9802998663237519</v>
      </c>
      <c r="R922" s="603">
        <f t="shared" si="311"/>
        <v>2.501090697080421</v>
      </c>
    </row>
    <row r="923" spans="2:18">
      <c r="B923" s="595" t="s">
        <v>1041</v>
      </c>
      <c r="C923" s="608">
        <f t="shared" ref="C923:J923" si="314">C833/C699*100</f>
        <v>0</v>
      </c>
      <c r="D923" s="609">
        <f t="shared" si="314"/>
        <v>0</v>
      </c>
      <c r="E923" s="609">
        <f t="shared" si="314"/>
        <v>0</v>
      </c>
      <c r="F923" s="609">
        <f t="shared" si="314"/>
        <v>0</v>
      </c>
      <c r="G923" s="609">
        <f t="shared" si="314"/>
        <v>0</v>
      </c>
      <c r="H923" s="609">
        <f t="shared" si="314"/>
        <v>0</v>
      </c>
      <c r="I923" s="609">
        <f t="shared" si="314"/>
        <v>0</v>
      </c>
      <c r="J923" s="603">
        <f t="shared" si="314"/>
        <v>0</v>
      </c>
      <c r="K923" s="609">
        <f t="shared" si="304"/>
        <v>1.4591451618914717</v>
      </c>
      <c r="L923" s="609">
        <f t="shared" si="305"/>
        <v>1.5246547905094854</v>
      </c>
      <c r="M923" s="609">
        <f t="shared" si="306"/>
        <v>1.526001098576272</v>
      </c>
      <c r="N923" s="609">
        <f t="shared" si="307"/>
        <v>1.5203794386675371</v>
      </c>
      <c r="O923" s="609">
        <f t="shared" si="308"/>
        <v>1.5981536358859425</v>
      </c>
      <c r="P923" s="609">
        <f t="shared" si="309"/>
        <v>1.7898092260456546</v>
      </c>
      <c r="Q923" s="609">
        <f t="shared" si="310"/>
        <v>1.6612692569807452</v>
      </c>
      <c r="R923" s="603">
        <f t="shared" si="311"/>
        <v>1.7973888682016648</v>
      </c>
    </row>
    <row r="924" spans="2:18">
      <c r="B924" s="595" t="s">
        <v>1042</v>
      </c>
      <c r="C924" s="608">
        <f t="shared" ref="C924:J924" si="315">C834/C700*100</f>
        <v>0</v>
      </c>
      <c r="D924" s="609">
        <f t="shared" si="315"/>
        <v>0</v>
      </c>
      <c r="E924" s="609">
        <f t="shared" si="315"/>
        <v>0</v>
      </c>
      <c r="F924" s="609">
        <f t="shared" si="315"/>
        <v>0</v>
      </c>
      <c r="G924" s="609">
        <f t="shared" si="315"/>
        <v>0</v>
      </c>
      <c r="H924" s="609">
        <f t="shared" si="315"/>
        <v>0</v>
      </c>
      <c r="I924" s="609">
        <f t="shared" si="315"/>
        <v>0</v>
      </c>
      <c r="J924" s="603">
        <f t="shared" si="315"/>
        <v>0</v>
      </c>
      <c r="K924" s="609">
        <f t="shared" si="304"/>
        <v>2.5549313218395509</v>
      </c>
      <c r="L924" s="609">
        <f t="shared" si="305"/>
        <v>2.4978417201786538</v>
      </c>
      <c r="M924" s="609">
        <f t="shared" si="306"/>
        <v>3.1138119620010429</v>
      </c>
      <c r="N924" s="609">
        <f t="shared" si="307"/>
        <v>3.511552141860113</v>
      </c>
      <c r="O924" s="609">
        <f t="shared" si="308"/>
        <v>3.9697353614002999</v>
      </c>
      <c r="P924" s="609">
        <f t="shared" si="309"/>
        <v>4.3761671308570698</v>
      </c>
      <c r="Q924" s="609">
        <f t="shared" si="310"/>
        <v>6.9625548812690123</v>
      </c>
      <c r="R924" s="603">
        <f t="shared" si="311"/>
        <v>8.1924837550289489</v>
      </c>
    </row>
    <row r="925" spans="2:18">
      <c r="B925" s="595" t="s">
        <v>1043</v>
      </c>
      <c r="C925" s="608">
        <f t="shared" ref="C925:J925" si="316">C835/C701*100</f>
        <v>0</v>
      </c>
      <c r="D925" s="609">
        <f t="shared" si="316"/>
        <v>0</v>
      </c>
      <c r="E925" s="609">
        <f t="shared" si="316"/>
        <v>0</v>
      </c>
      <c r="F925" s="609">
        <f t="shared" si="316"/>
        <v>0</v>
      </c>
      <c r="G925" s="609">
        <f t="shared" si="316"/>
        <v>0</v>
      </c>
      <c r="H925" s="609">
        <f t="shared" si="316"/>
        <v>0</v>
      </c>
      <c r="I925" s="609">
        <f t="shared" si="316"/>
        <v>0</v>
      </c>
      <c r="J925" s="603">
        <f t="shared" si="316"/>
        <v>0</v>
      </c>
      <c r="K925" s="609">
        <f t="shared" si="304"/>
        <v>3.2715947676904729</v>
      </c>
      <c r="L925" s="609">
        <f t="shared" si="305"/>
        <v>3.3801203941798952</v>
      </c>
      <c r="M925" s="609">
        <f t="shared" si="306"/>
        <v>3.7141113712734999</v>
      </c>
      <c r="N925" s="609">
        <f t="shared" si="307"/>
        <v>3.9147083126942332</v>
      </c>
      <c r="O925" s="609">
        <f t="shared" si="308"/>
        <v>4.0411006899592428</v>
      </c>
      <c r="P925" s="609">
        <f t="shared" si="309"/>
        <v>4.1788319556242444</v>
      </c>
      <c r="Q925" s="609">
        <f t="shared" si="310"/>
        <v>3.2330906829184798</v>
      </c>
      <c r="R925" s="603">
        <f t="shared" si="311"/>
        <v>3.4612336584372994</v>
      </c>
    </row>
    <row r="926" spans="2:18">
      <c r="B926" s="595" t="s">
        <v>1044</v>
      </c>
      <c r="C926" s="608">
        <f t="shared" ref="C926:J926" si="317">C836/C702*100</f>
        <v>0</v>
      </c>
      <c r="D926" s="609">
        <f t="shared" si="317"/>
        <v>0</v>
      </c>
      <c r="E926" s="609">
        <f t="shared" si="317"/>
        <v>0</v>
      </c>
      <c r="F926" s="609">
        <f t="shared" si="317"/>
        <v>0</v>
      </c>
      <c r="G926" s="609">
        <f t="shared" si="317"/>
        <v>0</v>
      </c>
      <c r="H926" s="609">
        <f t="shared" si="317"/>
        <v>0</v>
      </c>
      <c r="I926" s="609">
        <f t="shared" si="317"/>
        <v>0</v>
      </c>
      <c r="J926" s="603">
        <f t="shared" si="317"/>
        <v>0</v>
      </c>
      <c r="K926" s="609">
        <f t="shared" si="304"/>
        <v>3.148257825148256</v>
      </c>
      <c r="L926" s="609">
        <f t="shared" si="305"/>
        <v>1.8591707514054683</v>
      </c>
      <c r="M926" s="609">
        <f t="shared" si="306"/>
        <v>2.0461676176078769</v>
      </c>
      <c r="N926" s="609">
        <f t="shared" si="307"/>
        <v>1.9338017321306602</v>
      </c>
      <c r="O926" s="609">
        <f t="shared" si="308"/>
        <v>1.8840057221981388</v>
      </c>
      <c r="P926" s="609">
        <f t="shared" si="309"/>
        <v>2.1561253376267153</v>
      </c>
      <c r="Q926" s="609">
        <f t="shared" si="310"/>
        <v>1.4916562548029821</v>
      </c>
      <c r="R926" s="603">
        <f t="shared" si="311"/>
        <v>1.487292777917669</v>
      </c>
    </row>
    <row r="927" spans="2:18">
      <c r="B927" s="595" t="s">
        <v>1061</v>
      </c>
      <c r="C927" s="608">
        <f>IFERROR(C837/C703*100,0)</f>
        <v>0</v>
      </c>
      <c r="D927" s="609">
        <f t="shared" ref="D927:I927" si="318">D837/D703*100</f>
        <v>0</v>
      </c>
      <c r="E927" s="609">
        <f t="shared" si="318"/>
        <v>0</v>
      </c>
      <c r="F927" s="609">
        <f t="shared" si="318"/>
        <v>0</v>
      </c>
      <c r="G927" s="609">
        <f t="shared" si="318"/>
        <v>0</v>
      </c>
      <c r="H927" s="609">
        <f t="shared" si="318"/>
        <v>0</v>
      </c>
      <c r="I927" s="609">
        <f t="shared" si="318"/>
        <v>0</v>
      </c>
      <c r="J927" s="603">
        <f>IFERROR(J837/J703*100,0)</f>
        <v>0</v>
      </c>
      <c r="K927" s="609" t="str">
        <f t="shared" si="304"/>
        <v>0</v>
      </c>
      <c r="L927" s="609">
        <f t="shared" si="305"/>
        <v>1.0033444816053512</v>
      </c>
      <c r="M927" s="609">
        <f t="shared" si="306"/>
        <v>0.78060612901123128</v>
      </c>
      <c r="N927" s="609">
        <f t="shared" si="307"/>
        <v>0.8639233394990895</v>
      </c>
      <c r="O927" s="609">
        <f t="shared" si="308"/>
        <v>0.85339191484321186</v>
      </c>
      <c r="P927" s="609">
        <f t="shared" si="309"/>
        <v>1.0104757261312654</v>
      </c>
      <c r="Q927" s="609">
        <f t="shared" si="310"/>
        <v>0.76006195147111999</v>
      </c>
      <c r="R927" s="603">
        <f t="shared" si="311"/>
        <v>0.72878010488874478</v>
      </c>
    </row>
    <row r="928" spans="2:18">
      <c r="B928" s="595" t="s">
        <v>1047</v>
      </c>
      <c r="C928" s="608">
        <f t="shared" ref="C928:J928" si="319">C838/C704*100</f>
        <v>0</v>
      </c>
      <c r="D928" s="609">
        <f t="shared" si="319"/>
        <v>0</v>
      </c>
      <c r="E928" s="609">
        <f t="shared" si="319"/>
        <v>0</v>
      </c>
      <c r="F928" s="609">
        <f t="shared" si="319"/>
        <v>0</v>
      </c>
      <c r="G928" s="609">
        <f t="shared" si="319"/>
        <v>0</v>
      </c>
      <c r="H928" s="609">
        <f t="shared" si="319"/>
        <v>0</v>
      </c>
      <c r="I928" s="609">
        <f t="shared" si="319"/>
        <v>0</v>
      </c>
      <c r="J928" s="603">
        <f t="shared" si="319"/>
        <v>0</v>
      </c>
      <c r="K928" s="609">
        <f t="shared" si="304"/>
        <v>0</v>
      </c>
      <c r="L928" s="609">
        <f t="shared" si="305"/>
        <v>5.6933385069421094</v>
      </c>
      <c r="M928" s="609">
        <f t="shared" si="306"/>
        <v>5.6828159315089657</v>
      </c>
      <c r="N928" s="609">
        <f t="shared" si="307"/>
        <v>5.9955277510008571</v>
      </c>
      <c r="O928" s="609">
        <f t="shared" si="308"/>
        <v>6.5427997643103959</v>
      </c>
      <c r="P928" s="609">
        <f t="shared" si="309"/>
        <v>7.1921956239849285</v>
      </c>
      <c r="Q928" s="609">
        <f t="shared" si="310"/>
        <v>6.842947609900742</v>
      </c>
      <c r="R928" s="603">
        <f t="shared" si="311"/>
        <v>5.2221445613836703</v>
      </c>
    </row>
    <row r="929" spans="2:18">
      <c r="B929" s="595" t="s">
        <v>1048</v>
      </c>
      <c r="C929" s="608">
        <f>IFERROR(C839/C705*100,0)</f>
        <v>0</v>
      </c>
      <c r="D929" s="609">
        <f t="shared" ref="D929:J929" si="320">D839/D705*100</f>
        <v>0</v>
      </c>
      <c r="E929" s="609">
        <f t="shared" si="320"/>
        <v>0</v>
      </c>
      <c r="F929" s="609">
        <f t="shared" si="320"/>
        <v>0</v>
      </c>
      <c r="G929" s="609">
        <f t="shared" si="320"/>
        <v>0</v>
      </c>
      <c r="H929" s="609">
        <f t="shared" si="320"/>
        <v>0</v>
      </c>
      <c r="I929" s="609">
        <f t="shared" si="320"/>
        <v>0</v>
      </c>
      <c r="J929" s="603">
        <f t="shared" si="320"/>
        <v>0</v>
      </c>
      <c r="K929" s="609" t="str">
        <f t="shared" si="304"/>
        <v>0</v>
      </c>
      <c r="L929" s="609">
        <f t="shared" si="305"/>
        <v>1.2398496601183937</v>
      </c>
      <c r="M929" s="609">
        <f t="shared" si="306"/>
        <v>2.0975669844084375</v>
      </c>
      <c r="N929" s="609">
        <f t="shared" si="307"/>
        <v>2.3887850712419829</v>
      </c>
      <c r="O929" s="609">
        <f t="shared" si="308"/>
        <v>2.367383421522268</v>
      </c>
      <c r="P929" s="609">
        <f t="shared" si="309"/>
        <v>2.3741102947727368</v>
      </c>
      <c r="Q929" s="609">
        <f t="shared" si="310"/>
        <v>2.6510602213143439</v>
      </c>
      <c r="R929" s="603">
        <f t="shared" si="311"/>
        <v>2.8933086073397014</v>
      </c>
    </row>
    <row r="930" spans="2:18">
      <c r="B930" s="595" t="s">
        <v>1049</v>
      </c>
      <c r="C930" s="608">
        <f t="shared" ref="C930:J930" si="321">C840/C706*100</f>
        <v>0</v>
      </c>
      <c r="D930" s="609">
        <f t="shared" si="321"/>
        <v>0</v>
      </c>
      <c r="E930" s="609">
        <f t="shared" si="321"/>
        <v>0</v>
      </c>
      <c r="F930" s="609">
        <f t="shared" si="321"/>
        <v>0</v>
      </c>
      <c r="G930" s="609">
        <f t="shared" si="321"/>
        <v>0</v>
      </c>
      <c r="H930" s="609">
        <f t="shared" si="321"/>
        <v>0</v>
      </c>
      <c r="I930" s="609">
        <f t="shared" si="321"/>
        <v>0</v>
      </c>
      <c r="J930" s="603">
        <f t="shared" si="321"/>
        <v>0</v>
      </c>
      <c r="K930" s="609">
        <f t="shared" si="304"/>
        <v>0</v>
      </c>
      <c r="L930" s="609">
        <f t="shared" si="305"/>
        <v>0</v>
      </c>
      <c r="M930" s="609">
        <f t="shared" si="306"/>
        <v>0</v>
      </c>
      <c r="N930" s="609">
        <f t="shared" si="307"/>
        <v>0</v>
      </c>
      <c r="O930" s="609">
        <f t="shared" si="308"/>
        <v>2.3418378892692434E-4</v>
      </c>
      <c r="P930" s="609">
        <f t="shared" si="309"/>
        <v>3.1382531570849667E-4</v>
      </c>
      <c r="Q930" s="609">
        <f t="shared" si="310"/>
        <v>2.881689761082964E-4</v>
      </c>
      <c r="R930" s="603">
        <f t="shared" si="311"/>
        <v>1.6433437999204396E-4</v>
      </c>
    </row>
    <row r="931" spans="2:18">
      <c r="B931" s="595" t="s">
        <v>1050</v>
      </c>
      <c r="C931" s="608">
        <f>IFERROR(C841/C707*100,0)</f>
        <v>0</v>
      </c>
      <c r="D931" s="609">
        <f t="shared" ref="D931:J931" si="322">IFERROR(D841/D707*100,0)</f>
        <v>0</v>
      </c>
      <c r="E931" s="609">
        <f t="shared" si="322"/>
        <v>0</v>
      </c>
      <c r="F931" s="609">
        <f t="shared" si="322"/>
        <v>0</v>
      </c>
      <c r="G931" s="609">
        <f t="shared" si="322"/>
        <v>0</v>
      </c>
      <c r="H931" s="609">
        <f t="shared" si="322"/>
        <v>0</v>
      </c>
      <c r="I931" s="609">
        <f t="shared" si="322"/>
        <v>0</v>
      </c>
      <c r="J931" s="603">
        <f t="shared" si="322"/>
        <v>0</v>
      </c>
      <c r="K931" s="609" t="str">
        <f t="shared" si="304"/>
        <v>0</v>
      </c>
      <c r="L931" s="609" t="str">
        <f t="shared" si="305"/>
        <v>0</v>
      </c>
      <c r="M931" s="609" t="str">
        <f t="shared" si="306"/>
        <v>0</v>
      </c>
      <c r="N931" s="609" t="str">
        <f t="shared" si="307"/>
        <v>0</v>
      </c>
      <c r="O931" s="609" t="str">
        <f t="shared" si="308"/>
        <v>0</v>
      </c>
      <c r="P931" s="609" t="str">
        <f t="shared" si="309"/>
        <v>0</v>
      </c>
      <c r="Q931" s="609" t="str">
        <f t="shared" si="310"/>
        <v>0</v>
      </c>
      <c r="R931" s="603" t="str">
        <f t="shared" si="311"/>
        <v>0</v>
      </c>
    </row>
    <row r="932" spans="2:18">
      <c r="B932" s="595" t="s">
        <v>1051</v>
      </c>
      <c r="C932" s="608">
        <f t="shared" ref="C932:J932" si="323">C842/C708*100</f>
        <v>0</v>
      </c>
      <c r="D932" s="609">
        <f t="shared" si="323"/>
        <v>0</v>
      </c>
      <c r="E932" s="609">
        <f t="shared" si="323"/>
        <v>0</v>
      </c>
      <c r="F932" s="609">
        <f t="shared" si="323"/>
        <v>0</v>
      </c>
      <c r="G932" s="609">
        <f t="shared" si="323"/>
        <v>0</v>
      </c>
      <c r="H932" s="609">
        <f t="shared" si="323"/>
        <v>0</v>
      </c>
      <c r="I932" s="609">
        <f t="shared" si="323"/>
        <v>0</v>
      </c>
      <c r="J932" s="603">
        <f t="shared" si="323"/>
        <v>0</v>
      </c>
      <c r="K932" s="609">
        <f t="shared" si="304"/>
        <v>6.3224748856558017</v>
      </c>
      <c r="L932" s="609">
        <f t="shared" si="305"/>
        <v>7.1083627222132728</v>
      </c>
      <c r="M932" s="609">
        <f t="shared" si="306"/>
        <v>8.4020535024130059</v>
      </c>
      <c r="N932" s="609">
        <f t="shared" si="307"/>
        <v>10.491443274627057</v>
      </c>
      <c r="O932" s="609">
        <f t="shared" si="308"/>
        <v>12.774835172970919</v>
      </c>
      <c r="P932" s="609">
        <f t="shared" si="309"/>
        <v>13.261905670020097</v>
      </c>
      <c r="Q932" s="609">
        <f t="shared" si="310"/>
        <v>14.394908420186834</v>
      </c>
      <c r="R932" s="603">
        <f t="shared" si="311"/>
        <v>16.697506581022356</v>
      </c>
    </row>
    <row r="933" spans="2:18">
      <c r="B933" s="595" t="s">
        <v>1052</v>
      </c>
      <c r="C933" s="608">
        <f t="shared" ref="C933:J933" si="324">C843/C709*100</f>
        <v>0</v>
      </c>
      <c r="D933" s="609">
        <f t="shared" si="324"/>
        <v>0</v>
      </c>
      <c r="E933" s="609">
        <f t="shared" si="324"/>
        <v>0</v>
      </c>
      <c r="F933" s="609">
        <f t="shared" si="324"/>
        <v>0</v>
      </c>
      <c r="G933" s="609">
        <f t="shared" si="324"/>
        <v>0</v>
      </c>
      <c r="H933" s="609">
        <f t="shared" si="324"/>
        <v>0</v>
      </c>
      <c r="I933" s="609">
        <f t="shared" si="324"/>
        <v>0</v>
      </c>
      <c r="J933" s="603">
        <f t="shared" si="324"/>
        <v>0</v>
      </c>
      <c r="K933" s="609">
        <f t="shared" si="304"/>
        <v>3.8789645800686863</v>
      </c>
      <c r="L933" s="609">
        <f t="shared" si="305"/>
        <v>4.3979818920042995</v>
      </c>
      <c r="M933" s="609">
        <f t="shared" si="306"/>
        <v>4.6459896858899254</v>
      </c>
      <c r="N933" s="609">
        <f t="shared" si="307"/>
        <v>5.0450346960713253</v>
      </c>
      <c r="O933" s="609">
        <f t="shared" si="308"/>
        <v>5.7554185531011202</v>
      </c>
      <c r="P933" s="609">
        <f t="shared" si="309"/>
        <v>5.7274160294476557</v>
      </c>
      <c r="Q933" s="609">
        <f t="shared" si="310"/>
        <v>4.9607115921675602</v>
      </c>
      <c r="R933" s="603">
        <f t="shared" si="311"/>
        <v>5.4546532150548517</v>
      </c>
    </row>
    <row r="934" spans="2:18">
      <c r="B934" s="595" t="s">
        <v>1053</v>
      </c>
      <c r="C934" s="608">
        <f>IFERROR(C844/C710*100,0)</f>
        <v>0</v>
      </c>
      <c r="D934" s="609">
        <f t="shared" ref="D934:J934" si="325">D844/D710*100</f>
        <v>0</v>
      </c>
      <c r="E934" s="609">
        <f t="shared" si="325"/>
        <v>0</v>
      </c>
      <c r="F934" s="609">
        <f t="shared" si="325"/>
        <v>0</v>
      </c>
      <c r="G934" s="609">
        <f t="shared" si="325"/>
        <v>0</v>
      </c>
      <c r="H934" s="609">
        <f t="shared" si="325"/>
        <v>0</v>
      </c>
      <c r="I934" s="609">
        <f t="shared" si="325"/>
        <v>0</v>
      </c>
      <c r="J934" s="603">
        <f t="shared" si="325"/>
        <v>0</v>
      </c>
      <c r="K934" s="609" t="str">
        <f t="shared" si="304"/>
        <v>0</v>
      </c>
      <c r="L934" s="609">
        <f t="shared" si="305"/>
        <v>0.24132882291055402</v>
      </c>
      <c r="M934" s="609">
        <f t="shared" si="306"/>
        <v>0.29316062937824461</v>
      </c>
      <c r="N934" s="609">
        <f t="shared" si="307"/>
        <v>0.33962872293136059</v>
      </c>
      <c r="O934" s="609">
        <f t="shared" si="308"/>
        <v>0.39469881737110923</v>
      </c>
      <c r="P934" s="609">
        <f t="shared" si="309"/>
        <v>0.39023761172113702</v>
      </c>
      <c r="Q934" s="609">
        <f t="shared" si="310"/>
        <v>0.25220297013214815</v>
      </c>
      <c r="R934" s="603">
        <f t="shared" si="311"/>
        <v>0.12658094728549865</v>
      </c>
    </row>
    <row r="935" spans="2:18">
      <c r="B935" s="595" t="s">
        <v>1054</v>
      </c>
      <c r="C935" s="608">
        <f t="shared" ref="C935:J935" si="326">C845/C711*100</f>
        <v>0.57436605104766791</v>
      </c>
      <c r="D935" s="609">
        <f t="shared" si="326"/>
        <v>0.74487695279098975</v>
      </c>
      <c r="E935" s="609">
        <f t="shared" si="326"/>
        <v>0.82003812775752138</v>
      </c>
      <c r="F935" s="609">
        <f t="shared" si="326"/>
        <v>0.80499181361629313</v>
      </c>
      <c r="G935" s="609">
        <f t="shared" si="326"/>
        <v>0.82066783761780626</v>
      </c>
      <c r="H935" s="609">
        <f t="shared" si="326"/>
        <v>0.6905198923486513</v>
      </c>
      <c r="I935" s="609">
        <f t="shared" si="326"/>
        <v>1.1680823433922698</v>
      </c>
      <c r="J935" s="603">
        <f t="shared" si="326"/>
        <v>0</v>
      </c>
      <c r="K935" s="609">
        <f t="shared" si="304"/>
        <v>1.5528574374162298</v>
      </c>
      <c r="L935" s="609">
        <f t="shared" si="305"/>
        <v>1.7492278429539094</v>
      </c>
      <c r="M935" s="609">
        <f t="shared" si="306"/>
        <v>2.0306225031497354</v>
      </c>
      <c r="N935" s="609">
        <f t="shared" si="307"/>
        <v>1.8047319124714984</v>
      </c>
      <c r="O935" s="609">
        <f t="shared" si="308"/>
        <v>1.6840514237582604</v>
      </c>
      <c r="P935" s="609">
        <f t="shared" si="309"/>
        <v>1.5642779159962235</v>
      </c>
      <c r="Q935" s="609">
        <f t="shared" si="310"/>
        <v>1.047843345292373</v>
      </c>
      <c r="R935" s="603">
        <f t="shared" si="311"/>
        <v>1.0799729932246611</v>
      </c>
    </row>
    <row r="936" spans="2:18">
      <c r="B936" s="604" t="s">
        <v>1055</v>
      </c>
      <c r="C936" s="610">
        <f t="shared" ref="C936:J936" si="327">C846/C712*100</f>
        <v>0</v>
      </c>
      <c r="D936" s="617">
        <f t="shared" si="327"/>
        <v>0</v>
      </c>
      <c r="E936" s="617">
        <f t="shared" si="327"/>
        <v>0</v>
      </c>
      <c r="F936" s="617">
        <f t="shared" si="327"/>
        <v>0</v>
      </c>
      <c r="G936" s="617">
        <f t="shared" si="327"/>
        <v>0</v>
      </c>
      <c r="H936" s="617">
        <f t="shared" si="327"/>
        <v>0</v>
      </c>
      <c r="I936" s="617">
        <f t="shared" si="327"/>
        <v>0</v>
      </c>
      <c r="J936" s="618">
        <f t="shared" si="327"/>
        <v>0</v>
      </c>
      <c r="K936" s="617">
        <f t="shared" si="304"/>
        <v>1.5436105500724324</v>
      </c>
      <c r="L936" s="617">
        <f t="shared" si="305"/>
        <v>1.7882438651845391</v>
      </c>
      <c r="M936" s="617">
        <f t="shared" si="306"/>
        <v>2.1234907386916446</v>
      </c>
      <c r="N936" s="617">
        <f t="shared" si="307"/>
        <v>2.2057588520981741</v>
      </c>
      <c r="O936" s="617">
        <f t="shared" si="308"/>
        <v>2.0644967914775063</v>
      </c>
      <c r="P936" s="617">
        <f t="shared" si="309"/>
        <v>2.2299024631622184</v>
      </c>
      <c r="Q936" s="617">
        <f t="shared" si="310"/>
        <v>2.3649214492525243</v>
      </c>
      <c r="R936" s="618">
        <f t="shared" si="311"/>
        <v>2.2871522352166518</v>
      </c>
    </row>
    <row r="937" spans="2:18">
      <c r="B937" s="57"/>
      <c r="C937" s="582"/>
      <c r="D937" s="582"/>
      <c r="E937" s="582"/>
      <c r="F937" s="582"/>
      <c r="G937" s="582"/>
      <c r="H937" s="582"/>
      <c r="I937" s="582"/>
      <c r="J937" s="582"/>
      <c r="K937" s="582"/>
      <c r="L937" s="582"/>
      <c r="M937" s="582"/>
      <c r="N937" s="582"/>
      <c r="O937" s="582"/>
      <c r="P937" s="582"/>
      <c r="Q937" s="582"/>
    </row>
    <row r="938" spans="2:18">
      <c r="B938" s="2157" t="s">
        <v>1141</v>
      </c>
      <c r="C938" s="2157"/>
      <c r="D938" s="2157"/>
      <c r="E938" s="2157"/>
      <c r="F938" s="2157"/>
      <c r="G938" s="2157"/>
      <c r="H938" s="2157"/>
      <c r="I938" s="2157"/>
      <c r="J938" s="2157"/>
      <c r="K938" s="2157"/>
      <c r="L938" s="2157"/>
      <c r="M938" s="2157"/>
      <c r="N938" s="2157"/>
      <c r="O938" s="2157"/>
      <c r="P938" s="2157"/>
      <c r="Q938" s="2157"/>
      <c r="R938" s="2157"/>
    </row>
    <row r="939" spans="2:18" ht="15" customHeight="1">
      <c r="B939" s="2178" t="s">
        <v>1142</v>
      </c>
      <c r="C939" s="2178"/>
      <c r="D939" s="2178"/>
      <c r="E939" s="2178"/>
      <c r="F939" s="2178"/>
      <c r="G939" s="2178"/>
      <c r="H939" s="2178"/>
      <c r="I939" s="2178"/>
      <c r="J939" s="2178"/>
      <c r="K939" s="2178"/>
      <c r="L939" s="2178"/>
      <c r="M939" s="2178"/>
      <c r="N939" s="2178"/>
      <c r="O939" s="2178"/>
      <c r="P939" s="2178"/>
      <c r="Q939" s="2178"/>
      <c r="R939" s="2178"/>
    </row>
    <row r="940" spans="2:18">
      <c r="B940" s="2209" t="s">
        <v>1143</v>
      </c>
      <c r="C940" s="2209"/>
      <c r="D940" s="2209"/>
      <c r="E940" s="2209"/>
      <c r="F940" s="2209"/>
      <c r="G940" s="2209"/>
      <c r="H940" s="2209"/>
      <c r="I940" s="2209"/>
      <c r="J940" s="2209"/>
      <c r="K940" s="2209"/>
      <c r="L940" s="2209"/>
      <c r="M940" s="2209"/>
      <c r="N940" s="2209"/>
      <c r="O940" s="2209"/>
      <c r="P940" s="2209"/>
      <c r="Q940" s="2209"/>
      <c r="R940" s="2209"/>
    </row>
    <row r="941" spans="2:18">
      <c r="B941" s="57"/>
      <c r="C941" s="582"/>
      <c r="D941" s="582"/>
      <c r="E941" s="582"/>
      <c r="F941" s="582"/>
      <c r="G941" s="582"/>
      <c r="H941" s="582"/>
      <c r="I941" s="582"/>
      <c r="J941" s="582"/>
      <c r="K941" s="582"/>
      <c r="L941" s="582"/>
      <c r="M941" s="582"/>
      <c r="N941" s="582"/>
      <c r="O941" s="582"/>
      <c r="P941" s="582"/>
      <c r="Q941" s="582"/>
    </row>
    <row r="942" spans="2:18">
      <c r="B942" s="641">
        <v>100</v>
      </c>
      <c r="C942" s="2161" t="s">
        <v>361</v>
      </c>
      <c r="D942" s="2162"/>
      <c r="E942" s="2162"/>
      <c r="F942" s="2162"/>
      <c r="G942" s="2162"/>
      <c r="H942" s="2162"/>
      <c r="I942" s="2162"/>
      <c r="J942" s="2163"/>
      <c r="K942" s="2161" t="s">
        <v>358</v>
      </c>
      <c r="L942" s="2162"/>
      <c r="M942" s="2162"/>
      <c r="N942" s="2162"/>
      <c r="O942" s="2162"/>
      <c r="P942" s="2162"/>
      <c r="Q942" s="2162"/>
      <c r="R942" s="2163"/>
    </row>
    <row r="943" spans="2:18">
      <c r="B943" s="57"/>
      <c r="C943" s="585">
        <v>2014</v>
      </c>
      <c r="D943" s="586">
        <v>2015</v>
      </c>
      <c r="E943" s="586">
        <v>2016</v>
      </c>
      <c r="F943" s="586">
        <v>2017</v>
      </c>
      <c r="G943" s="586">
        <v>2018</v>
      </c>
      <c r="H943" s="586">
        <v>2019</v>
      </c>
      <c r="I943" s="586">
        <v>2020</v>
      </c>
      <c r="J943" s="586">
        <v>2021</v>
      </c>
      <c r="K943" s="638">
        <v>2014</v>
      </c>
      <c r="L943" s="639">
        <v>2015</v>
      </c>
      <c r="M943" s="639">
        <v>2016</v>
      </c>
      <c r="N943" s="639">
        <v>2017</v>
      </c>
      <c r="O943" s="639">
        <v>2018</v>
      </c>
      <c r="P943" s="639">
        <v>2019</v>
      </c>
      <c r="Q943" s="639">
        <v>2020</v>
      </c>
      <c r="R943" s="640">
        <v>2021</v>
      </c>
    </row>
    <row r="944" spans="2:18">
      <c r="B944" s="589" t="s">
        <v>1038</v>
      </c>
      <c r="C944" s="614">
        <v>-45.764422547465493</v>
      </c>
      <c r="D944" s="615">
        <f t="shared" ref="D944:J950" si="328">IF(ISNUMBER((D764/C764-1)*100-L30),(D764/C764-1)*100-L30,"0")</f>
        <v>-42.081954327890443</v>
      </c>
      <c r="E944" s="615">
        <f t="shared" si="328"/>
        <v>-21.331766308703134</v>
      </c>
      <c r="F944" s="615">
        <f t="shared" si="328"/>
        <v>-13.856105750979298</v>
      </c>
      <c r="G944" s="615">
        <f t="shared" si="328"/>
        <v>-73.275806500229962</v>
      </c>
      <c r="H944" s="615">
        <f t="shared" si="328"/>
        <v>-50.293843935842133</v>
      </c>
      <c r="I944" s="615">
        <f t="shared" si="328"/>
        <v>-25.700023561487313</v>
      </c>
      <c r="J944" s="616">
        <f t="shared" si="328"/>
        <v>4.5752794740035796</v>
      </c>
      <c r="K944" s="614">
        <v>-62.368575445985954</v>
      </c>
      <c r="L944" s="615">
        <f t="shared" ref="L944:R950" si="329">IF(ISNUMBER((L764/K764-1)*100-L30),(L764/K764-1)*100-L30,"0")</f>
        <v>-34.477838023788763</v>
      </c>
      <c r="M944" s="615">
        <f t="shared" si="329"/>
        <v>-16.809448999340702</v>
      </c>
      <c r="N944" s="615">
        <f t="shared" si="329"/>
        <v>4.9323204150890518</v>
      </c>
      <c r="O944" s="615">
        <f t="shared" si="329"/>
        <v>-67.817887769073877</v>
      </c>
      <c r="P944" s="615">
        <f t="shared" si="329"/>
        <v>-47.004091433320539</v>
      </c>
      <c r="Q944" s="615">
        <f t="shared" si="329"/>
        <v>-29.299327613197431</v>
      </c>
      <c r="R944" s="616">
        <f t="shared" si="329"/>
        <v>-6.1072962385321929</v>
      </c>
    </row>
    <row r="945" spans="2:18">
      <c r="B945" s="595" t="s">
        <v>1039</v>
      </c>
      <c r="C945" s="1844">
        <v>0</v>
      </c>
      <c r="D945" s="609">
        <f t="shared" si="328"/>
        <v>-96.846925024288822</v>
      </c>
      <c r="E945" s="609">
        <f t="shared" si="328"/>
        <v>-72.871518795762256</v>
      </c>
      <c r="F945" s="609">
        <f t="shared" si="328"/>
        <v>-60.164390340749563</v>
      </c>
      <c r="G945" s="609">
        <f t="shared" si="328"/>
        <v>-89.502319758976682</v>
      </c>
      <c r="H945" s="609">
        <f t="shared" si="328"/>
        <v>-111.87964737394141</v>
      </c>
      <c r="I945" s="609">
        <f t="shared" si="328"/>
        <v>-113.80702625076458</v>
      </c>
      <c r="J945" s="603">
        <f t="shared" si="328"/>
        <v>-86.766824203036919</v>
      </c>
      <c r="K945" s="1844">
        <v>0</v>
      </c>
      <c r="L945" s="609">
        <f t="shared" si="329"/>
        <v>885.84700408004653</v>
      </c>
      <c r="M945" s="609">
        <f t="shared" si="329"/>
        <v>-99.715972281754532</v>
      </c>
      <c r="N945" s="609">
        <f t="shared" si="329"/>
        <v>-95.682254593658669</v>
      </c>
      <c r="O945" s="609">
        <f t="shared" si="329"/>
        <v>-61.069967683241458</v>
      </c>
      <c r="P945" s="609">
        <f t="shared" si="329"/>
        <v>-104.69601027854327</v>
      </c>
      <c r="Q945" s="609">
        <f t="shared" si="329"/>
        <v>-126.28750929671929</v>
      </c>
      <c r="R945" s="603">
        <f t="shared" si="329"/>
        <v>-98.0590361966768</v>
      </c>
    </row>
    <row r="946" spans="2:18">
      <c r="B946" s="595" t="s">
        <v>1040</v>
      </c>
      <c r="C946" s="1844">
        <v>0</v>
      </c>
      <c r="D946" s="609" t="str">
        <f t="shared" si="328"/>
        <v>0</v>
      </c>
      <c r="E946" s="609" t="str">
        <f t="shared" si="328"/>
        <v>0</v>
      </c>
      <c r="F946" s="609" t="str">
        <f t="shared" si="328"/>
        <v>0</v>
      </c>
      <c r="G946" s="609" t="str">
        <f t="shared" si="328"/>
        <v>0</v>
      </c>
      <c r="H946" s="609" t="str">
        <f t="shared" si="328"/>
        <v>0</v>
      </c>
      <c r="I946" s="609" t="str">
        <f t="shared" si="328"/>
        <v>0</v>
      </c>
      <c r="J946" s="603" t="str">
        <f t="shared" si="328"/>
        <v>0</v>
      </c>
      <c r="K946" s="1844">
        <v>0</v>
      </c>
      <c r="L946" s="609" t="str">
        <f t="shared" si="329"/>
        <v>0</v>
      </c>
      <c r="M946" s="609" t="str">
        <f t="shared" si="329"/>
        <v>0</v>
      </c>
      <c r="N946" s="609" t="str">
        <f t="shared" si="329"/>
        <v>0</v>
      </c>
      <c r="O946" s="609" t="str">
        <f t="shared" si="329"/>
        <v>0</v>
      </c>
      <c r="P946" s="609" t="str">
        <f t="shared" si="329"/>
        <v>0</v>
      </c>
      <c r="Q946" s="609" t="str">
        <f t="shared" si="329"/>
        <v>0</v>
      </c>
      <c r="R946" s="603" t="str">
        <f t="shared" si="329"/>
        <v>0</v>
      </c>
    </row>
    <row r="947" spans="2:18">
      <c r="B947" s="595" t="s">
        <v>1041</v>
      </c>
      <c r="C947" s="1844">
        <v>-8.5316628770959824</v>
      </c>
      <c r="D947" s="609">
        <f t="shared" si="328"/>
        <v>-35.090698370696856</v>
      </c>
      <c r="E947" s="609">
        <f t="shared" si="328"/>
        <v>-10.855362982244902</v>
      </c>
      <c r="F947" s="609">
        <f t="shared" si="328"/>
        <v>16.694586006199426</v>
      </c>
      <c r="G947" s="609">
        <f t="shared" si="328"/>
        <v>-4.9029439507593882</v>
      </c>
      <c r="H947" s="609">
        <f t="shared" si="328"/>
        <v>4.74097724007511</v>
      </c>
      <c r="I947" s="609">
        <f t="shared" si="328"/>
        <v>-15.337859041899048</v>
      </c>
      <c r="J947" s="603">
        <f t="shared" si="328"/>
        <v>13.353484749173086</v>
      </c>
      <c r="K947" s="1844">
        <v>-23.620401421483702</v>
      </c>
      <c r="L947" s="609">
        <f t="shared" si="329"/>
        <v>-50.14392031942544</v>
      </c>
      <c r="M947" s="609">
        <f t="shared" si="329"/>
        <v>38.499361550456435</v>
      </c>
      <c r="N947" s="609">
        <f t="shared" si="329"/>
        <v>17.843783763464302</v>
      </c>
      <c r="O947" s="609">
        <f t="shared" si="329"/>
        <v>-21.114511458051378</v>
      </c>
      <c r="P947" s="609">
        <f t="shared" si="329"/>
        <v>-34.012565682192616</v>
      </c>
      <c r="Q947" s="609">
        <f t="shared" si="329"/>
        <v>-41.783456355662807</v>
      </c>
      <c r="R947" s="603">
        <f t="shared" si="329"/>
        <v>-2.2278644384593687</v>
      </c>
    </row>
    <row r="948" spans="2:18">
      <c r="B948" s="595" t="s">
        <v>1042</v>
      </c>
      <c r="C948" s="1844">
        <v>5.1968284804077038</v>
      </c>
      <c r="D948" s="609">
        <f t="shared" si="328"/>
        <v>10.836841150287981</v>
      </c>
      <c r="E948" s="609">
        <f t="shared" si="328"/>
        <v>21.735314056821579</v>
      </c>
      <c r="F948" s="609">
        <f t="shared" si="328"/>
        <v>20.368470272685382</v>
      </c>
      <c r="G948" s="609">
        <f t="shared" si="328"/>
        <v>-9.4708570536079506</v>
      </c>
      <c r="H948" s="609">
        <f t="shared" si="328"/>
        <v>-4.1545064275391681</v>
      </c>
      <c r="I948" s="609">
        <f t="shared" si="328"/>
        <v>-0.3508729883770183</v>
      </c>
      <c r="J948" s="603">
        <f t="shared" si="328"/>
        <v>11.174765877932305</v>
      </c>
      <c r="K948" s="1844">
        <v>0</v>
      </c>
      <c r="L948" s="609" t="str">
        <f t="shared" si="329"/>
        <v>0</v>
      </c>
      <c r="M948" s="609" t="str">
        <f t="shared" si="329"/>
        <v>0</v>
      </c>
      <c r="N948" s="609" t="str">
        <f t="shared" si="329"/>
        <v>0</v>
      </c>
      <c r="O948" s="609" t="str">
        <f t="shared" si="329"/>
        <v>0</v>
      </c>
      <c r="P948" s="609" t="str">
        <f t="shared" si="329"/>
        <v>0</v>
      </c>
      <c r="Q948" s="609" t="str">
        <f t="shared" si="329"/>
        <v>0</v>
      </c>
      <c r="R948" s="603" t="str">
        <f t="shared" si="329"/>
        <v>0</v>
      </c>
    </row>
    <row r="949" spans="2:18">
      <c r="B949" s="595" t="s">
        <v>1043</v>
      </c>
      <c r="C949" s="1844">
        <v>2.3410204223713738</v>
      </c>
      <c r="D949" s="609">
        <f t="shared" si="328"/>
        <v>-23.890451098875367</v>
      </c>
      <c r="E949" s="609">
        <f t="shared" si="328"/>
        <v>-13.238128033605419</v>
      </c>
      <c r="F949" s="609">
        <f t="shared" si="328"/>
        <v>9.0663176841897517</v>
      </c>
      <c r="G949" s="609">
        <f t="shared" si="328"/>
        <v>7.7445669168583589</v>
      </c>
      <c r="H949" s="609">
        <f t="shared" si="328"/>
        <v>-2.6751409885415187</v>
      </c>
      <c r="I949" s="609">
        <f t="shared" si="328"/>
        <v>1.6887827737986241</v>
      </c>
      <c r="J949" s="603">
        <f t="shared" si="328"/>
        <v>1.5515786730861403</v>
      </c>
      <c r="K949" s="1844">
        <v>18.739002025131242</v>
      </c>
      <c r="L949" s="609">
        <f t="shared" si="329"/>
        <v>-22.859300251003035</v>
      </c>
      <c r="M949" s="609">
        <f t="shared" si="329"/>
        <v>2.9877257586964063</v>
      </c>
      <c r="N949" s="609">
        <f t="shared" si="329"/>
        <v>15.922025713285162</v>
      </c>
      <c r="O949" s="609">
        <f t="shared" si="329"/>
        <v>16.228140160523136</v>
      </c>
      <c r="P949" s="609">
        <f t="shared" si="329"/>
        <v>-9.4257572054075975</v>
      </c>
      <c r="Q949" s="609">
        <f t="shared" si="329"/>
        <v>-16.870406506709426</v>
      </c>
      <c r="R949" s="603">
        <f t="shared" si="329"/>
        <v>-23.566083524623249</v>
      </c>
    </row>
    <row r="950" spans="2:18">
      <c r="B950" s="595" t="s">
        <v>1044</v>
      </c>
      <c r="C950" s="1844">
        <v>3.1408902999071673</v>
      </c>
      <c r="D950" s="609" t="str">
        <f t="shared" si="328"/>
        <v>0</v>
      </c>
      <c r="E950" s="609" t="str">
        <f t="shared" si="328"/>
        <v>0</v>
      </c>
      <c r="F950" s="609" t="str">
        <f t="shared" si="328"/>
        <v>0</v>
      </c>
      <c r="G950" s="609">
        <f t="shared" si="328"/>
        <v>1.8406097891477056</v>
      </c>
      <c r="H950" s="609">
        <f t="shared" si="328"/>
        <v>18.720987712274582</v>
      </c>
      <c r="I950" s="609">
        <f t="shared" si="328"/>
        <v>-4.2007180836658531</v>
      </c>
      <c r="J950" s="603">
        <f t="shared" si="328"/>
        <v>-11.220404073291753</v>
      </c>
      <c r="K950" s="1844">
        <v>39.994100131425199</v>
      </c>
      <c r="L950" s="609" t="str">
        <f t="shared" si="329"/>
        <v>0</v>
      </c>
      <c r="M950" s="609" t="str">
        <f t="shared" si="329"/>
        <v>0</v>
      </c>
      <c r="N950" s="609" t="str">
        <f t="shared" si="329"/>
        <v>0</v>
      </c>
      <c r="O950" s="609">
        <f t="shared" si="329"/>
        <v>22.354281762375901</v>
      </c>
      <c r="P950" s="609">
        <f t="shared" si="329"/>
        <v>-12.569413421261311</v>
      </c>
      <c r="Q950" s="609">
        <f t="shared" si="329"/>
        <v>-0.30557990180742711</v>
      </c>
      <c r="R950" s="603">
        <f t="shared" si="329"/>
        <v>17.277549855827402</v>
      </c>
    </row>
    <row r="951" spans="2:18">
      <c r="B951" s="595" t="s">
        <v>1061</v>
      </c>
      <c r="C951" s="1844" t="str">
        <f>IF(ISNUMBER((C771/B771-1)*100-K39),(C771/B771-1)*100-K39,"0")</f>
        <v>0</v>
      </c>
      <c r="D951" s="609" t="str">
        <f t="shared" ref="D951:J951" si="330">IF(ISNUMBER((D771/C771-1)*100-L39),(D771/C771-1)*100-L39,"0")</f>
        <v>0</v>
      </c>
      <c r="E951" s="609">
        <f t="shared" si="330"/>
        <v>40.606089725565255</v>
      </c>
      <c r="F951" s="609">
        <f t="shared" si="330"/>
        <v>1.0208354527825896</v>
      </c>
      <c r="G951" s="609">
        <f t="shared" si="330"/>
        <v>7.6372857420118461</v>
      </c>
      <c r="H951" s="609">
        <f t="shared" si="330"/>
        <v>-12.108001777252261</v>
      </c>
      <c r="I951" s="609">
        <f t="shared" si="330"/>
        <v>-14.243354191669589</v>
      </c>
      <c r="J951" s="603">
        <f t="shared" si="330"/>
        <v>62.272885693199271</v>
      </c>
      <c r="K951" s="1844">
        <f>IF(ISNUMBER((K771/J771-1)*100-K39),(K771/J771-1)*100-K39,"0")</f>
        <v>-103.4</v>
      </c>
      <c r="L951" s="609" t="str">
        <f t="shared" ref="L951:R951" si="331">IF(ISNUMBER((L771/K771-1)*100-L39),(L771/K771-1)*100-L39,"0")</f>
        <v>0</v>
      </c>
      <c r="M951" s="609" t="str">
        <f t="shared" si="331"/>
        <v>0</v>
      </c>
      <c r="N951" s="609">
        <f t="shared" si="331"/>
        <v>0.33453187886015856</v>
      </c>
      <c r="O951" s="609">
        <f t="shared" si="331"/>
        <v>28.760230814322671</v>
      </c>
      <c r="P951" s="609">
        <f t="shared" si="331"/>
        <v>-36.057523771740293</v>
      </c>
      <c r="Q951" s="609">
        <f t="shared" si="331"/>
        <v>-1.3222333097732366</v>
      </c>
      <c r="R951" s="603">
        <f t="shared" si="331"/>
        <v>-7.179227406302358</v>
      </c>
    </row>
    <row r="952" spans="2:18">
      <c r="B952" s="595" t="s">
        <v>1047</v>
      </c>
      <c r="C952" s="1844" t="str">
        <f>IF(ISNUMBER((C772/B772-1)*100-#REF!),(C772/B772-1)*100-#REF!,"0")</f>
        <v>0</v>
      </c>
      <c r="D952" s="609">
        <f t="shared" ref="D952:D960" si="332">IF(ISNUMBER((D772/C772-1)*100-L40),(D772/C772-1)*100-L40,"0")</f>
        <v>27.012804468065639</v>
      </c>
      <c r="E952" s="609">
        <f t="shared" ref="E952:E960" si="333">IF(ISNUMBER((E772/D772-1)*100-M40),(E772/D772-1)*100-M40,"0")</f>
        <v>3.8267765261347488</v>
      </c>
      <c r="F952" s="609">
        <f t="shared" ref="F952:F960" si="334">IF(ISNUMBER((F772/E772-1)*100-N40),(F772/E772-1)*100-N40,"0")</f>
        <v>8.1903665589918457</v>
      </c>
      <c r="G952" s="609">
        <f t="shared" ref="G952:G960" si="335">IF(ISNUMBER((G772/F772-1)*100-O40),(G772/F772-1)*100-O40,"0")</f>
        <v>8.6373962541753002</v>
      </c>
      <c r="H952" s="609">
        <f t="shared" ref="H952:H960" si="336">IF(ISNUMBER((H772/G772-1)*100-P40),(H772/G772-1)*100-P40,"0")</f>
        <v>5.3408328396750697</v>
      </c>
      <c r="I952" s="609">
        <f t="shared" ref="I952:I960" si="337">IF(ISNUMBER((I772/H772-1)*100-Q40),(I772/H772-1)*100-Q40,"0")</f>
        <v>-1.5820276352444647</v>
      </c>
      <c r="J952" s="603">
        <f t="shared" ref="J952:J960" si="338">IF(ISNUMBER((J772/I772-1)*100-R40),(J772/I772-1)*100-R40,"0")</f>
        <v>21.842743009660875</v>
      </c>
      <c r="K952" s="1844">
        <v>0</v>
      </c>
      <c r="L952" s="609">
        <f t="shared" ref="L952:R953" si="339">IF(ISNUMBER((L772/K772-1)*100-L40),(L772/K772-1)*100-L40,"0")</f>
        <v>14.858883190687195</v>
      </c>
      <c r="M952" s="609">
        <f t="shared" si="339"/>
        <v>-12.081115718737021</v>
      </c>
      <c r="N952" s="609">
        <f t="shared" si="339"/>
        <v>3.2471589314530087</v>
      </c>
      <c r="O952" s="609">
        <f t="shared" si="339"/>
        <v>8.2375540257735089</v>
      </c>
      <c r="P952" s="609">
        <f t="shared" si="339"/>
        <v>0.75197010497506378</v>
      </c>
      <c r="Q952" s="609">
        <f t="shared" si="339"/>
        <v>-7.1262837431391386</v>
      </c>
      <c r="R952" s="603">
        <f t="shared" si="339"/>
        <v>-1.6551720467040592</v>
      </c>
    </row>
    <row r="953" spans="2:18">
      <c r="B953" s="595" t="s">
        <v>1048</v>
      </c>
      <c r="C953" s="1844">
        <v>0</v>
      </c>
      <c r="D953" s="609" t="str">
        <f t="shared" si="332"/>
        <v>0</v>
      </c>
      <c r="E953" s="609">
        <f t="shared" si="333"/>
        <v>71.36902955237673</v>
      </c>
      <c r="F953" s="609">
        <f t="shared" si="334"/>
        <v>3.3271070831449467</v>
      </c>
      <c r="G953" s="609">
        <f t="shared" si="335"/>
        <v>12.902389699416009</v>
      </c>
      <c r="H953" s="609">
        <f t="shared" si="336"/>
        <v>27.492066518353443</v>
      </c>
      <c r="I953" s="609">
        <f t="shared" si="337"/>
        <v>2.2817054049880312</v>
      </c>
      <c r="J953" s="603">
        <f t="shared" si="338"/>
        <v>6.3699858110783669</v>
      </c>
      <c r="K953" s="1844">
        <v>0</v>
      </c>
      <c r="L953" s="609" t="str">
        <f t="shared" si="339"/>
        <v>0</v>
      </c>
      <c r="M953" s="609">
        <f t="shared" si="339"/>
        <v>13.88727126493311</v>
      </c>
      <c r="N953" s="609">
        <f t="shared" si="339"/>
        <v>-10.52383899197264</v>
      </c>
      <c r="O953" s="609">
        <f t="shared" si="339"/>
        <v>16.223229673839082</v>
      </c>
      <c r="P953" s="609">
        <f t="shared" si="339"/>
        <v>8.5062440794954224</v>
      </c>
      <c r="Q953" s="609">
        <f t="shared" si="339"/>
        <v>-15.213641281749203</v>
      </c>
      <c r="R953" s="603">
        <f t="shared" si="339"/>
        <v>-68.704767672855837</v>
      </c>
    </row>
    <row r="954" spans="2:18">
      <c r="B954" s="595" t="s">
        <v>1049</v>
      </c>
      <c r="C954" s="1844">
        <v>76.625531894017215</v>
      </c>
      <c r="D954" s="609">
        <f t="shared" si="332"/>
        <v>-45.451371841155229</v>
      </c>
      <c r="E954" s="609">
        <f t="shared" si="333"/>
        <v>10.069401470961203</v>
      </c>
      <c r="F954" s="609">
        <f t="shared" si="334"/>
        <v>114.82482338611449</v>
      </c>
      <c r="G954" s="609">
        <f t="shared" si="335"/>
        <v>15.568181818181813</v>
      </c>
      <c r="H954" s="609">
        <f t="shared" si="336"/>
        <v>2.8100529100529101</v>
      </c>
      <c r="I954" s="609">
        <f t="shared" si="337"/>
        <v>-7.7841763700671622</v>
      </c>
      <c r="J954" s="603">
        <f t="shared" si="338"/>
        <v>-16.741259370314857</v>
      </c>
      <c r="K954" s="1844">
        <v>0</v>
      </c>
      <c r="L954" s="609" t="str">
        <f t="shared" ref="L954:R960" si="340">IF(ISNUMBER((L774/K774-1)*100-L42),(L774/K774-1)*100-L42,"0")</f>
        <v>0</v>
      </c>
      <c r="M954" s="609" t="str">
        <f t="shared" si="340"/>
        <v>0</v>
      </c>
      <c r="N954" s="609" t="str">
        <f t="shared" si="340"/>
        <v>0</v>
      </c>
      <c r="O954" s="609" t="str">
        <f t="shared" si="340"/>
        <v>0</v>
      </c>
      <c r="P954" s="609" t="str">
        <f t="shared" si="340"/>
        <v>0</v>
      </c>
      <c r="Q954" s="609" t="str">
        <f t="shared" si="340"/>
        <v>0</v>
      </c>
      <c r="R954" s="603" t="str">
        <f t="shared" si="340"/>
        <v>0</v>
      </c>
    </row>
    <row r="955" spans="2:18">
      <c r="B955" s="595" t="s">
        <v>1050</v>
      </c>
      <c r="C955" s="1844">
        <v>0</v>
      </c>
      <c r="D955" s="609" t="str">
        <f t="shared" si="332"/>
        <v>0</v>
      </c>
      <c r="E955" s="609" t="str">
        <f t="shared" si="333"/>
        <v>0</v>
      </c>
      <c r="F955" s="609" t="str">
        <f t="shared" si="334"/>
        <v>0</v>
      </c>
      <c r="G955" s="609" t="str">
        <f t="shared" si="335"/>
        <v>0</v>
      </c>
      <c r="H955" s="609" t="str">
        <f t="shared" si="336"/>
        <v>0</v>
      </c>
      <c r="I955" s="609" t="str">
        <f t="shared" si="337"/>
        <v>0</v>
      </c>
      <c r="J955" s="603" t="str">
        <f t="shared" si="338"/>
        <v>0</v>
      </c>
      <c r="K955" s="1844">
        <v>0</v>
      </c>
      <c r="L955" s="609" t="str">
        <f t="shared" si="340"/>
        <v>0</v>
      </c>
      <c r="M955" s="609" t="str">
        <f t="shared" si="340"/>
        <v>0</v>
      </c>
      <c r="N955" s="609" t="str">
        <f t="shared" si="340"/>
        <v>0</v>
      </c>
      <c r="O955" s="609" t="str">
        <f t="shared" si="340"/>
        <v>0</v>
      </c>
      <c r="P955" s="609" t="str">
        <f t="shared" si="340"/>
        <v>0</v>
      </c>
      <c r="Q955" s="609" t="str">
        <f t="shared" si="340"/>
        <v>0</v>
      </c>
      <c r="R955" s="603" t="str">
        <f t="shared" si="340"/>
        <v>0</v>
      </c>
    </row>
    <row r="956" spans="2:18">
      <c r="B956" s="595" t="s">
        <v>1051</v>
      </c>
      <c r="C956" s="1844">
        <v>15.329152280571618</v>
      </c>
      <c r="D956" s="609">
        <f t="shared" si="332"/>
        <v>13.21828371365196</v>
      </c>
      <c r="E956" s="609">
        <f t="shared" si="333"/>
        <v>9.1903431623952123</v>
      </c>
      <c r="F956" s="609">
        <f t="shared" si="334"/>
        <v>12.691112797632403</v>
      </c>
      <c r="G956" s="609">
        <f t="shared" si="335"/>
        <v>16.480237386030574</v>
      </c>
      <c r="H956" s="609">
        <f t="shared" si="336"/>
        <v>10.368617819532837</v>
      </c>
      <c r="I956" s="609">
        <f t="shared" si="337"/>
        <v>8.5590039623203253</v>
      </c>
      <c r="J956" s="603">
        <f t="shared" si="338"/>
        <v>9.4333345797488164</v>
      </c>
      <c r="K956" s="1844">
        <v>4.6909030008062977</v>
      </c>
      <c r="L956" s="609">
        <f t="shared" si="340"/>
        <v>-17.642247762439141</v>
      </c>
      <c r="M956" s="609">
        <f t="shared" si="340"/>
        <v>-6.1459232983991017</v>
      </c>
      <c r="N956" s="609">
        <f t="shared" si="340"/>
        <v>2.537659127977725</v>
      </c>
      <c r="O956" s="609">
        <f t="shared" si="340"/>
        <v>-2.2942693735403119</v>
      </c>
      <c r="P956" s="609">
        <f t="shared" si="340"/>
        <v>-29.580427664871795</v>
      </c>
      <c r="Q956" s="609">
        <f t="shared" si="340"/>
        <v>-7.0117733220285325</v>
      </c>
      <c r="R956" s="603">
        <f t="shared" si="340"/>
        <v>-6.3107941323491206</v>
      </c>
    </row>
    <row r="957" spans="2:18">
      <c r="B957" s="595" t="s">
        <v>1052</v>
      </c>
      <c r="C957" s="1844">
        <v>3.7776500960453125</v>
      </c>
      <c r="D957" s="609">
        <f t="shared" si="332"/>
        <v>-2.6239906277226854</v>
      </c>
      <c r="E957" s="609">
        <f t="shared" si="333"/>
        <v>10.144509698515215</v>
      </c>
      <c r="F957" s="609">
        <f t="shared" si="334"/>
        <v>1.2024159189655714</v>
      </c>
      <c r="G957" s="609">
        <f t="shared" si="335"/>
        <v>-19.071956431194259</v>
      </c>
      <c r="H957" s="609">
        <f t="shared" si="336"/>
        <v>6.3671724973959778</v>
      </c>
      <c r="I957" s="609">
        <f t="shared" si="337"/>
        <v>-3.0568210601450874</v>
      </c>
      <c r="J957" s="603">
        <f t="shared" si="338"/>
        <v>15.891554762918659</v>
      </c>
      <c r="K957" s="1844">
        <v>0</v>
      </c>
      <c r="L957" s="609">
        <f t="shared" si="340"/>
        <v>-5.6018410650716017</v>
      </c>
      <c r="M957" s="609">
        <f t="shared" si="340"/>
        <v>-45.454998379634787</v>
      </c>
      <c r="N957" s="609">
        <f t="shared" si="340"/>
        <v>-32.433952563105862</v>
      </c>
      <c r="O957" s="609">
        <f t="shared" si="340"/>
        <v>25.527053361657369</v>
      </c>
      <c r="P957" s="609">
        <f t="shared" si="340"/>
        <v>1.3864321817515401</v>
      </c>
      <c r="Q957" s="609">
        <f t="shared" si="340"/>
        <v>0.97792119142103839</v>
      </c>
      <c r="R957" s="603">
        <f t="shared" si="340"/>
        <v>36.69556233093077</v>
      </c>
    </row>
    <row r="958" spans="2:18">
      <c r="B958" s="595" t="s">
        <v>1053</v>
      </c>
      <c r="C958" s="1844">
        <v>0</v>
      </c>
      <c r="D958" s="609" t="str">
        <f t="shared" si="332"/>
        <v>0</v>
      </c>
      <c r="E958" s="609">
        <f t="shared" si="333"/>
        <v>-13.81637996152234</v>
      </c>
      <c r="F958" s="609">
        <f t="shared" si="334"/>
        <v>-5.2805141951788483</v>
      </c>
      <c r="G958" s="609">
        <f t="shared" si="335"/>
        <v>9.8033341120550954</v>
      </c>
      <c r="H958" s="609">
        <f t="shared" si="336"/>
        <v>-0.50086781790544066</v>
      </c>
      <c r="I958" s="609">
        <f t="shared" si="337"/>
        <v>8.4230342070578494</v>
      </c>
      <c r="J958" s="603">
        <f t="shared" si="338"/>
        <v>38.446632762787814</v>
      </c>
      <c r="K958" s="1844">
        <v>0</v>
      </c>
      <c r="L958" s="609" t="str">
        <f t="shared" si="340"/>
        <v>0</v>
      </c>
      <c r="M958" s="609" t="str">
        <f t="shared" si="340"/>
        <v>0</v>
      </c>
      <c r="N958" s="609" t="str">
        <f t="shared" si="340"/>
        <v>0</v>
      </c>
      <c r="O958" s="609" t="str">
        <f t="shared" si="340"/>
        <v>0</v>
      </c>
      <c r="P958" s="609" t="str">
        <f t="shared" si="340"/>
        <v>0</v>
      </c>
      <c r="Q958" s="609" t="str">
        <f t="shared" si="340"/>
        <v>0</v>
      </c>
      <c r="R958" s="603" t="str">
        <f t="shared" si="340"/>
        <v>0</v>
      </c>
    </row>
    <row r="959" spans="2:18">
      <c r="B959" s="595" t="s">
        <v>1054</v>
      </c>
      <c r="C959" s="1844">
        <v>1.5576024456389148</v>
      </c>
      <c r="D959" s="609">
        <f t="shared" si="332"/>
        <v>-11.93217071964779</v>
      </c>
      <c r="E959" s="609">
        <f t="shared" si="333"/>
        <v>-1.2999176639053847</v>
      </c>
      <c r="F959" s="609">
        <f t="shared" si="334"/>
        <v>21.43564363574048</v>
      </c>
      <c r="G959" s="609">
        <f t="shared" si="335"/>
        <v>18.394161574359099</v>
      </c>
      <c r="H959" s="609">
        <f t="shared" si="336"/>
        <v>24.637212065043901</v>
      </c>
      <c r="I959" s="609">
        <f t="shared" si="337"/>
        <v>-5.6306203455545898</v>
      </c>
      <c r="J959" s="603">
        <f t="shared" si="338"/>
        <v>12.246961740589697</v>
      </c>
      <c r="K959" s="1844">
        <v>6.2349687481936442</v>
      </c>
      <c r="L959" s="609">
        <f t="shared" si="340"/>
        <v>-12.771830642096266</v>
      </c>
      <c r="M959" s="609">
        <f t="shared" si="340"/>
        <v>-5.2179123446778917</v>
      </c>
      <c r="N959" s="609">
        <f t="shared" si="340"/>
        <v>1.4490667700685675</v>
      </c>
      <c r="O959" s="609">
        <f t="shared" si="340"/>
        <v>5.7391889760245309</v>
      </c>
      <c r="P959" s="609">
        <f t="shared" si="340"/>
        <v>20.753939232720533</v>
      </c>
      <c r="Q959" s="609">
        <f t="shared" si="340"/>
        <v>-16.249647813102793</v>
      </c>
      <c r="R959" s="603">
        <f t="shared" si="340"/>
        <v>0.37790053757229103</v>
      </c>
    </row>
    <row r="960" spans="2:18">
      <c r="B960" s="604" t="s">
        <v>1055</v>
      </c>
      <c r="C960" s="610">
        <v>9.5658827499345449</v>
      </c>
      <c r="D960" s="617">
        <f t="shared" si="332"/>
        <v>-4.9569227319616154</v>
      </c>
      <c r="E960" s="617">
        <f t="shared" si="333"/>
        <v>-15.895944633912833</v>
      </c>
      <c r="F960" s="617">
        <f t="shared" si="334"/>
        <v>-1.4360180346074536</v>
      </c>
      <c r="G960" s="617">
        <f t="shared" si="335"/>
        <v>13.180826108656813</v>
      </c>
      <c r="H960" s="617">
        <f t="shared" si="336"/>
        <v>-2.3898651670108073E-2</v>
      </c>
      <c r="I960" s="617">
        <f t="shared" si="337"/>
        <v>1.1367468655798163</v>
      </c>
      <c r="J960" s="618">
        <f t="shared" si="338"/>
        <v>13.835713234415707</v>
      </c>
      <c r="K960" s="610">
        <v>-8.5029071487747228</v>
      </c>
      <c r="L960" s="617">
        <f t="shared" si="340"/>
        <v>14.793818367356778</v>
      </c>
      <c r="M960" s="617">
        <f t="shared" si="340"/>
        <v>-19.616585481022291</v>
      </c>
      <c r="N960" s="617">
        <f t="shared" si="340"/>
        <v>8.7503137625038505</v>
      </c>
      <c r="O960" s="617">
        <f t="shared" si="340"/>
        <v>51.831455843581423</v>
      </c>
      <c r="P960" s="617">
        <f t="shared" si="340"/>
        <v>-19.649076441628321</v>
      </c>
      <c r="Q960" s="617">
        <f t="shared" si="340"/>
        <v>155.11033144118272</v>
      </c>
      <c r="R960" s="618">
        <f t="shared" si="340"/>
        <v>175.28082706566386</v>
      </c>
    </row>
    <row r="961" spans="2:18">
      <c r="B961" s="57"/>
      <c r="C961" s="582"/>
      <c r="D961" s="582"/>
      <c r="E961" s="582"/>
      <c r="F961" s="582"/>
      <c r="G961" s="582"/>
      <c r="H961" s="582"/>
      <c r="I961" s="582"/>
      <c r="J961" s="582"/>
      <c r="K961" s="582"/>
      <c r="L961" s="582"/>
      <c r="M961" s="582"/>
      <c r="N961" s="582"/>
      <c r="O961" s="582"/>
      <c r="P961" s="582"/>
      <c r="Q961" s="582"/>
    </row>
    <row r="962" spans="2:18">
      <c r="B962" s="2157" t="s">
        <v>1144</v>
      </c>
      <c r="C962" s="2157"/>
      <c r="D962" s="2157"/>
      <c r="E962" s="2157"/>
      <c r="F962" s="2157"/>
      <c r="G962" s="2157"/>
      <c r="H962" s="2157"/>
      <c r="I962" s="2157"/>
      <c r="J962" s="2157"/>
      <c r="K962" s="2157"/>
      <c r="L962" s="2157"/>
      <c r="M962" s="2157"/>
      <c r="N962" s="2157"/>
      <c r="O962" s="2157"/>
      <c r="P962" s="2157"/>
      <c r="Q962" s="2157"/>
      <c r="R962" s="2157"/>
    </row>
    <row r="963" spans="2:18">
      <c r="B963" s="619"/>
      <c r="C963" s="621"/>
      <c r="D963" s="621"/>
      <c r="E963" s="621"/>
      <c r="F963" s="621"/>
      <c r="G963" s="621"/>
      <c r="H963" s="621"/>
      <c r="I963" s="621"/>
      <c r="J963" s="621"/>
      <c r="K963" s="622"/>
      <c r="L963" s="622"/>
      <c r="M963" s="622"/>
      <c r="N963" s="622"/>
      <c r="O963" s="622"/>
      <c r="P963" s="622"/>
      <c r="Q963" s="622"/>
    </row>
    <row r="964" spans="2:18">
      <c r="B964" s="583"/>
      <c r="C964" s="2161" t="s">
        <v>353</v>
      </c>
      <c r="D964" s="2162"/>
      <c r="E964" s="2162"/>
      <c r="F964" s="2162"/>
      <c r="G964" s="2162"/>
      <c r="H964" s="2162"/>
      <c r="I964" s="2162"/>
      <c r="J964" s="2163"/>
      <c r="K964" s="2161" t="s">
        <v>338</v>
      </c>
      <c r="L964" s="2162"/>
      <c r="M964" s="2162"/>
      <c r="N964" s="2162"/>
      <c r="O964" s="2162"/>
      <c r="P964" s="2162"/>
      <c r="Q964" s="2162"/>
      <c r="R964" s="2163"/>
    </row>
    <row r="965" spans="2:18">
      <c r="B965" s="57"/>
      <c r="C965" s="585">
        <v>2014</v>
      </c>
      <c r="D965" s="586">
        <v>2015</v>
      </c>
      <c r="E965" s="586">
        <v>2016</v>
      </c>
      <c r="F965" s="586">
        <v>2017</v>
      </c>
      <c r="G965" s="586">
        <v>2018</v>
      </c>
      <c r="H965" s="586">
        <v>2019</v>
      </c>
      <c r="I965" s="586">
        <v>2020</v>
      </c>
      <c r="J965" s="586">
        <v>2021</v>
      </c>
      <c r="K965" s="587">
        <v>2014</v>
      </c>
      <c r="L965" s="588">
        <v>2015</v>
      </c>
      <c r="M965" s="588">
        <v>2016</v>
      </c>
      <c r="N965" s="588">
        <v>2017</v>
      </c>
      <c r="O965" s="588">
        <v>2018</v>
      </c>
      <c r="P965" s="588">
        <v>2019</v>
      </c>
      <c r="Q965" s="588">
        <v>2020</v>
      </c>
      <c r="R965" s="848">
        <v>2021</v>
      </c>
    </row>
    <row r="966" spans="2:18">
      <c r="B966" s="589" t="s">
        <v>1038</v>
      </c>
      <c r="C966" s="614">
        <v>-55.981208779171297</v>
      </c>
      <c r="D966" s="615">
        <f t="shared" ref="D966:J972" si="341">IF(ISNUMBER((D786/C786-1)*100-L30),(D786/C786-1)*100-L30,"0")</f>
        <v>-50.751366379888438</v>
      </c>
      <c r="E966" s="615">
        <f t="shared" si="341"/>
        <v>-41.020818862201054</v>
      </c>
      <c r="F966" s="615">
        <f t="shared" si="341"/>
        <v>-22.595149611914124</v>
      </c>
      <c r="G966" s="615">
        <f t="shared" si="341"/>
        <v>-83.526483846848876</v>
      </c>
      <c r="H966" s="615">
        <f t="shared" si="341"/>
        <v>-66.980292605630865</v>
      </c>
      <c r="I966" s="615">
        <f t="shared" si="341"/>
        <v>-77.196300769851206</v>
      </c>
      <c r="J966" s="616">
        <f t="shared" si="341"/>
        <v>-17.485741155797289</v>
      </c>
      <c r="K966" s="614">
        <v>0</v>
      </c>
      <c r="L966" s="615" t="str">
        <f t="shared" ref="L966:R972" si="342">IF(ISNUMBER((L786/K786-1)*100-L30),(L786/K786-1)*100-L30,"0")</f>
        <v>0</v>
      </c>
      <c r="M966" s="615" t="str">
        <f t="shared" si="342"/>
        <v>0</v>
      </c>
      <c r="N966" s="615">
        <f t="shared" si="342"/>
        <v>582.14310878992376</v>
      </c>
      <c r="O966" s="615">
        <f t="shared" si="342"/>
        <v>-32.095438404034226</v>
      </c>
      <c r="P966" s="615">
        <f t="shared" si="342"/>
        <v>107.47431373035411</v>
      </c>
      <c r="Q966" s="615">
        <f t="shared" si="342"/>
        <v>133.21528086198589</v>
      </c>
      <c r="R966" s="616">
        <f t="shared" si="342"/>
        <v>91.222799024905882</v>
      </c>
    </row>
    <row r="967" spans="2:18">
      <c r="B967" s="595" t="s">
        <v>1039</v>
      </c>
      <c r="C967" s="1844">
        <v>0</v>
      </c>
      <c r="D967" s="609">
        <f t="shared" si="341"/>
        <v>-101.63869678301508</v>
      </c>
      <c r="E967" s="609">
        <f t="shared" si="341"/>
        <v>-105.83221652200567</v>
      </c>
      <c r="F967" s="609">
        <f t="shared" si="341"/>
        <v>-84.288578580419298</v>
      </c>
      <c r="G967" s="609">
        <f t="shared" si="341"/>
        <v>-65.566301305406768</v>
      </c>
      <c r="H967" s="609">
        <f t="shared" si="341"/>
        <v>-111.56969123561849</v>
      </c>
      <c r="I967" s="609">
        <f t="shared" si="341"/>
        <v>-136.07595757698527</v>
      </c>
      <c r="J967" s="603">
        <f t="shared" si="341"/>
        <v>-156.22292194410244</v>
      </c>
      <c r="K967" s="1844">
        <v>0</v>
      </c>
      <c r="L967" s="609" t="str">
        <f t="shared" si="342"/>
        <v>0</v>
      </c>
      <c r="M967" s="609" t="str">
        <f t="shared" si="342"/>
        <v>0</v>
      </c>
      <c r="N967" s="609" t="str">
        <f t="shared" si="342"/>
        <v>0</v>
      </c>
      <c r="O967" s="609" t="str">
        <f t="shared" si="342"/>
        <v>0</v>
      </c>
      <c r="P967" s="609" t="str">
        <f t="shared" si="342"/>
        <v>0</v>
      </c>
      <c r="Q967" s="609" t="str">
        <f t="shared" si="342"/>
        <v>0</v>
      </c>
      <c r="R967" s="603" t="str">
        <f t="shared" si="342"/>
        <v>0</v>
      </c>
    </row>
    <row r="968" spans="2:18">
      <c r="B968" s="595" t="s">
        <v>1040</v>
      </c>
      <c r="C968" s="1844">
        <v>13.185711454959488</v>
      </c>
      <c r="D968" s="609">
        <f t="shared" si="341"/>
        <v>-8.6583198501846255</v>
      </c>
      <c r="E968" s="609">
        <f t="shared" si="341"/>
        <v>-8.8939781278737371</v>
      </c>
      <c r="F968" s="609">
        <f t="shared" si="341"/>
        <v>4.1827118568900978</v>
      </c>
      <c r="G968" s="609">
        <f t="shared" si="341"/>
        <v>-13.638086049453591</v>
      </c>
      <c r="H968" s="609">
        <f t="shared" si="341"/>
        <v>3.4314363366364287</v>
      </c>
      <c r="I968" s="609">
        <f t="shared" si="341"/>
        <v>-38.43598236718266</v>
      </c>
      <c r="J968" s="603">
        <f t="shared" si="341"/>
        <v>5.1754244540714645</v>
      </c>
      <c r="K968" s="1844">
        <v>0</v>
      </c>
      <c r="L968" s="609">
        <f t="shared" si="342"/>
        <v>782.99260545109485</v>
      </c>
      <c r="M968" s="609">
        <f t="shared" si="342"/>
        <v>141.87397231318241</v>
      </c>
      <c r="N968" s="609">
        <f t="shared" si="342"/>
        <v>44.992878171666085</v>
      </c>
      <c r="O968" s="609">
        <f t="shared" si="342"/>
        <v>31.806762795290108</v>
      </c>
      <c r="P968" s="609">
        <f t="shared" si="342"/>
        <v>18.048535247573216</v>
      </c>
      <c r="Q968" s="609">
        <f t="shared" si="342"/>
        <v>50.31310011807755</v>
      </c>
      <c r="R968" s="603">
        <f t="shared" si="342"/>
        <v>45.082117607576187</v>
      </c>
    </row>
    <row r="969" spans="2:18">
      <c r="B969" s="595" t="s">
        <v>1041</v>
      </c>
      <c r="C969" s="1844">
        <v>-18.295722090354193</v>
      </c>
      <c r="D969" s="609">
        <f t="shared" si="341"/>
        <v>-45.734423809697624</v>
      </c>
      <c r="E969" s="609">
        <f t="shared" si="341"/>
        <v>-25.009394818397983</v>
      </c>
      <c r="F969" s="609">
        <f t="shared" si="341"/>
        <v>-8.7502817036998053</v>
      </c>
      <c r="G969" s="609">
        <f t="shared" si="341"/>
        <v>-26.363065381960752</v>
      </c>
      <c r="H969" s="609">
        <f t="shared" si="341"/>
        <v>-20.067339510242739</v>
      </c>
      <c r="I969" s="609">
        <f t="shared" si="341"/>
        <v>-49.040336816362299</v>
      </c>
      <c r="J969" s="603">
        <f t="shared" si="341"/>
        <v>-19.246571899910066</v>
      </c>
      <c r="K969" s="1844">
        <v>-57.294069944635922</v>
      </c>
      <c r="L969" s="609">
        <f t="shared" si="342"/>
        <v>-59.171245190817842</v>
      </c>
      <c r="M969" s="609">
        <f t="shared" si="342"/>
        <v>-11.679986175857376</v>
      </c>
      <c r="N969" s="609">
        <f t="shared" si="342"/>
        <v>195.03377753609897</v>
      </c>
      <c r="O969" s="609">
        <f t="shared" si="342"/>
        <v>148.19334557147172</v>
      </c>
      <c r="P969" s="609">
        <f t="shared" si="342"/>
        <v>127.94903888372681</v>
      </c>
      <c r="Q969" s="609">
        <f t="shared" si="342"/>
        <v>59.741211843997931</v>
      </c>
      <c r="R969" s="603">
        <f t="shared" si="342"/>
        <v>100.78218227523395</v>
      </c>
    </row>
    <row r="970" spans="2:18">
      <c r="B970" s="595" t="s">
        <v>1042</v>
      </c>
      <c r="C970" s="1844">
        <v>-23.594496236652109</v>
      </c>
      <c r="D970" s="609">
        <f t="shared" si="341"/>
        <v>5.6926692073365333</v>
      </c>
      <c r="E970" s="609">
        <f t="shared" si="341"/>
        <v>-22.628400748456862</v>
      </c>
      <c r="F970" s="609">
        <f t="shared" si="341"/>
        <v>-5.2377890999588317</v>
      </c>
      <c r="G970" s="609">
        <f t="shared" si="341"/>
        <v>5.6541423529112942</v>
      </c>
      <c r="H970" s="609">
        <f t="shared" si="341"/>
        <v>-19.055613363292164</v>
      </c>
      <c r="I970" s="609">
        <f t="shared" si="341"/>
        <v>-59.869230891291082</v>
      </c>
      <c r="J970" s="603">
        <f t="shared" si="341"/>
        <v>-22.635573508146543</v>
      </c>
      <c r="K970" s="1844">
        <v>0</v>
      </c>
      <c r="L970" s="609" t="str">
        <f t="shared" si="342"/>
        <v>0</v>
      </c>
      <c r="M970" s="609" t="str">
        <f t="shared" si="342"/>
        <v>0</v>
      </c>
      <c r="N970" s="609" t="str">
        <f t="shared" si="342"/>
        <v>0</v>
      </c>
      <c r="O970" s="609" t="str">
        <f t="shared" si="342"/>
        <v>0</v>
      </c>
      <c r="P970" s="609" t="str">
        <f t="shared" si="342"/>
        <v>0</v>
      </c>
      <c r="Q970" s="609" t="str">
        <f t="shared" si="342"/>
        <v>0</v>
      </c>
      <c r="R970" s="603" t="str">
        <f t="shared" si="342"/>
        <v>0</v>
      </c>
    </row>
    <row r="971" spans="2:18">
      <c r="B971" s="595" t="s">
        <v>1043</v>
      </c>
      <c r="C971" s="1844">
        <v>-11.412763895960882</v>
      </c>
      <c r="D971" s="609">
        <f t="shared" si="341"/>
        <v>-34.045849332408181</v>
      </c>
      <c r="E971" s="609">
        <f t="shared" si="341"/>
        <v>-23.049588828234207</v>
      </c>
      <c r="F971" s="609">
        <f t="shared" si="341"/>
        <v>-23.658009635640475</v>
      </c>
      <c r="G971" s="609">
        <f t="shared" si="341"/>
        <v>-13.06112406946523</v>
      </c>
      <c r="H971" s="609">
        <f t="shared" si="341"/>
        <v>-14.973484350536886</v>
      </c>
      <c r="I971" s="609">
        <f t="shared" si="341"/>
        <v>-41.4338241141227</v>
      </c>
      <c r="J971" s="603">
        <f t="shared" si="341"/>
        <v>7.1898388782691942</v>
      </c>
      <c r="K971" s="1844">
        <v>0</v>
      </c>
      <c r="L971" s="609" t="str">
        <f t="shared" si="342"/>
        <v>0</v>
      </c>
      <c r="M971" s="609" t="str">
        <f t="shared" si="342"/>
        <v>0</v>
      </c>
      <c r="N971" s="609" t="str">
        <f t="shared" si="342"/>
        <v>0</v>
      </c>
      <c r="O971" s="609" t="str">
        <f t="shared" si="342"/>
        <v>0</v>
      </c>
      <c r="P971" s="609" t="str">
        <f t="shared" si="342"/>
        <v>0</v>
      </c>
      <c r="Q971" s="609" t="str">
        <f t="shared" si="342"/>
        <v>0</v>
      </c>
      <c r="R971" s="603" t="str">
        <f t="shared" si="342"/>
        <v>0</v>
      </c>
    </row>
    <row r="972" spans="2:18">
      <c r="B972" s="595" t="s">
        <v>1044</v>
      </c>
      <c r="C972" s="1844">
        <v>-26.927408618990125</v>
      </c>
      <c r="D972" s="609">
        <f t="shared" si="341"/>
        <v>-3.6282494548636515</v>
      </c>
      <c r="E972" s="609">
        <f t="shared" si="341"/>
        <v>-10.532659538774109</v>
      </c>
      <c r="F972" s="609">
        <f t="shared" si="341"/>
        <v>-5.554747559902145</v>
      </c>
      <c r="G972" s="609">
        <f t="shared" si="341"/>
        <v>-31.833632234488388</v>
      </c>
      <c r="H972" s="609">
        <f t="shared" si="341"/>
        <v>-21.620157104674178</v>
      </c>
      <c r="I972" s="609">
        <f t="shared" si="341"/>
        <v>-8.3199874624660044</v>
      </c>
      <c r="J972" s="603">
        <f t="shared" si="341"/>
        <v>-17.149613702062712</v>
      </c>
      <c r="K972" s="1844">
        <v>0</v>
      </c>
      <c r="L972" s="609" t="str">
        <f t="shared" si="342"/>
        <v>0</v>
      </c>
      <c r="M972" s="609" t="str">
        <f t="shared" si="342"/>
        <v>0</v>
      </c>
      <c r="N972" s="609" t="str">
        <f t="shared" si="342"/>
        <v>0</v>
      </c>
      <c r="O972" s="609" t="str">
        <f t="shared" si="342"/>
        <v>0</v>
      </c>
      <c r="P972" s="609" t="str">
        <f t="shared" si="342"/>
        <v>0</v>
      </c>
      <c r="Q972" s="609" t="str">
        <f t="shared" si="342"/>
        <v>0</v>
      </c>
      <c r="R972" s="603" t="str">
        <f t="shared" si="342"/>
        <v>0</v>
      </c>
    </row>
    <row r="973" spans="2:18">
      <c r="B973" s="595" t="s">
        <v>1061</v>
      </c>
      <c r="C973" s="1844" t="str">
        <f>IF(ISNUMBER((C793/B793-1)*100-K39),(C793/B793-1)*100-K39,"0")</f>
        <v>0</v>
      </c>
      <c r="D973" s="609" t="str">
        <f>IF(ISNUMBER((D793/C793-1)*100-L39),(D793/C793-1)*100-L39,"0")</f>
        <v>0</v>
      </c>
      <c r="E973" s="609">
        <f t="shared" ref="E973:J973" si="343">IF(ISNUMBER((E793/D793-1)*100-M39),(E793/D793-1)*100-M39,"0")</f>
        <v>-22.299225326117313</v>
      </c>
      <c r="F973" s="609">
        <f t="shared" si="343"/>
        <v>-16.196682512165271</v>
      </c>
      <c r="G973" s="609">
        <f t="shared" si="343"/>
        <v>-3.4347771923459831</v>
      </c>
      <c r="H973" s="609">
        <f t="shared" si="343"/>
        <v>-30.182106105284774</v>
      </c>
      <c r="I973" s="609">
        <f t="shared" si="343"/>
        <v>-57.570571402271405</v>
      </c>
      <c r="J973" s="603">
        <f t="shared" si="343"/>
        <v>-27.141329800605586</v>
      </c>
      <c r="K973" s="1844">
        <v>0</v>
      </c>
      <c r="L973" s="609" t="str">
        <f>IF(ISNUMBER((L793/K793-1)*100-L39),(L793/K793-1)*100-L39,"0")</f>
        <v>0</v>
      </c>
      <c r="M973" s="609" t="str">
        <f t="shared" ref="M973:R973" si="344">IF(ISNUMBER((M793/L793-1)*100-M39),(M793/L793-1)*100-M39,"0")</f>
        <v>0</v>
      </c>
      <c r="N973" s="609">
        <f t="shared" si="344"/>
        <v>-6.9785343145027792</v>
      </c>
      <c r="O973" s="609">
        <f t="shared" si="344"/>
        <v>2.8340232189094321</v>
      </c>
      <c r="P973" s="609">
        <f t="shared" si="344"/>
        <v>-10.089005171579986</v>
      </c>
      <c r="Q973" s="609">
        <f t="shared" si="344"/>
        <v>38.546336840867866</v>
      </c>
      <c r="R973" s="603">
        <f t="shared" si="344"/>
        <v>-13.925640362792302</v>
      </c>
    </row>
    <row r="974" spans="2:18">
      <c r="B974" s="595" t="s">
        <v>1047</v>
      </c>
      <c r="C974" s="1844" t="str">
        <f>IF(ISNUMBER((C794/B794-1)*100-#REF!),(C794/B794-1)*100-#REF!,"0")</f>
        <v>0</v>
      </c>
      <c r="D974" s="609">
        <f t="shared" ref="D974:D982" si="345">IF(ISNUMBER((D794/C794-1)*100-L40),(D794/C794-1)*100-L40,"0")</f>
        <v>-11.893495272811752</v>
      </c>
      <c r="E974" s="609">
        <f t="shared" ref="E974:E982" si="346">IF(ISNUMBER((E794/D794-1)*100-M40),(E794/D794-1)*100-M40,"0")</f>
        <v>-13.921909240118666</v>
      </c>
      <c r="F974" s="609">
        <f t="shared" ref="F974:F982" si="347">IF(ISNUMBER((F794/E794-1)*100-N40),(F794/E794-1)*100-N40,"0")</f>
        <v>2.6544549329505891</v>
      </c>
      <c r="G974" s="609">
        <f t="shared" ref="G974:G982" si="348">IF(ISNUMBER((G794/F794-1)*100-O40),(G794/F794-1)*100-O40,"0")</f>
        <v>1.5895016780629103</v>
      </c>
      <c r="H974" s="609">
        <f t="shared" ref="H974:H982" si="349">IF(ISNUMBER((H794/G794-1)*100-P40),(H794/G794-1)*100-P40,"0")</f>
        <v>-3.5764451650705298</v>
      </c>
      <c r="I974" s="609">
        <f t="shared" ref="I974:I982" si="350">IF(ISNUMBER((I794/H794-1)*100-Q40),(I794/H794-1)*100-Q40,"0")</f>
        <v>-34.762782513372741</v>
      </c>
      <c r="J974" s="603">
        <f t="shared" ref="J974:J982" si="351">IF(ISNUMBER((J794/I794-1)*100-R40),(J794/I794-1)*100-R40,"0")</f>
        <v>15.166316922124055</v>
      </c>
      <c r="K974" s="1844">
        <v>0</v>
      </c>
      <c r="L974" s="609" t="str">
        <f t="shared" ref="L974:R975" si="352">IF(ISNUMBER((L794/K794-1)*100-L40),(L794/K794-1)*100-L40,"0")</f>
        <v>0</v>
      </c>
      <c r="M974" s="609" t="str">
        <f t="shared" si="352"/>
        <v>0</v>
      </c>
      <c r="N974" s="609" t="str">
        <f t="shared" si="352"/>
        <v>0</v>
      </c>
      <c r="O974" s="609" t="str">
        <f t="shared" si="352"/>
        <v>0</v>
      </c>
      <c r="P974" s="609" t="str">
        <f t="shared" si="352"/>
        <v>0</v>
      </c>
      <c r="Q974" s="609" t="str">
        <f t="shared" si="352"/>
        <v>0</v>
      </c>
      <c r="R974" s="603" t="str">
        <f t="shared" si="352"/>
        <v>0</v>
      </c>
    </row>
    <row r="975" spans="2:18">
      <c r="B975" s="595" t="s">
        <v>1048</v>
      </c>
      <c r="C975" s="1844">
        <v>0</v>
      </c>
      <c r="D975" s="609" t="str">
        <f t="shared" si="345"/>
        <v>0</v>
      </c>
      <c r="E975" s="609">
        <f t="shared" si="346"/>
        <v>-1.8626689186493022</v>
      </c>
      <c r="F975" s="609">
        <f t="shared" si="347"/>
        <v>-1.8490714255585303</v>
      </c>
      <c r="G975" s="609">
        <f t="shared" si="348"/>
        <v>-3.6213189335337548</v>
      </c>
      <c r="H975" s="609">
        <f t="shared" si="349"/>
        <v>-0.12561220202653228</v>
      </c>
      <c r="I975" s="609">
        <f t="shared" si="350"/>
        <v>-24.27632408900995</v>
      </c>
      <c r="J975" s="603">
        <f t="shared" si="351"/>
        <v>2.0011138420995729</v>
      </c>
      <c r="K975" s="1844">
        <v>0</v>
      </c>
      <c r="L975" s="609" t="str">
        <f t="shared" si="352"/>
        <v>0</v>
      </c>
      <c r="M975" s="609" t="str">
        <f t="shared" si="352"/>
        <v>0</v>
      </c>
      <c r="N975" s="609" t="str">
        <f t="shared" si="352"/>
        <v>0</v>
      </c>
      <c r="O975" s="609" t="str">
        <f t="shared" si="352"/>
        <v>0</v>
      </c>
      <c r="P975" s="609" t="str">
        <f t="shared" si="352"/>
        <v>0</v>
      </c>
      <c r="Q975" s="609" t="str">
        <f t="shared" si="352"/>
        <v>0</v>
      </c>
      <c r="R975" s="603" t="str">
        <f t="shared" si="352"/>
        <v>0</v>
      </c>
    </row>
    <row r="976" spans="2:18">
      <c r="B976" s="595" t="s">
        <v>1049</v>
      </c>
      <c r="C976" s="1844">
        <v>6.2302538783113057</v>
      </c>
      <c r="D976" s="609">
        <f t="shared" si="345"/>
        <v>-6.529939819794004</v>
      </c>
      <c r="E976" s="609">
        <f t="shared" si="346"/>
        <v>-29.359554212671934</v>
      </c>
      <c r="F976" s="609">
        <f t="shared" si="347"/>
        <v>-23.153109256306578</v>
      </c>
      <c r="G976" s="609">
        <f t="shared" si="348"/>
        <v>-4.6381661777181744</v>
      </c>
      <c r="H976" s="609">
        <f t="shared" si="349"/>
        <v>-8.6028199843489155</v>
      </c>
      <c r="I976" s="609">
        <f t="shared" si="350"/>
        <v>-21.961106637638473</v>
      </c>
      <c r="J976" s="603">
        <f t="shared" si="351"/>
        <v>6.0401530527613296</v>
      </c>
      <c r="K976" s="1844">
        <v>0</v>
      </c>
      <c r="L976" s="609" t="str">
        <f t="shared" ref="L976:R982" si="353">IF(ISNUMBER((L796/K796-1)*100-L42),(L796/K796-1)*100-L42,"0")</f>
        <v>0</v>
      </c>
      <c r="M976" s="609" t="str">
        <f t="shared" si="353"/>
        <v>0</v>
      </c>
      <c r="N976" s="609" t="str">
        <f t="shared" si="353"/>
        <v>0</v>
      </c>
      <c r="O976" s="609" t="str">
        <f t="shared" si="353"/>
        <v>0</v>
      </c>
      <c r="P976" s="609" t="str">
        <f t="shared" si="353"/>
        <v>0</v>
      </c>
      <c r="Q976" s="609" t="str">
        <f t="shared" si="353"/>
        <v>0</v>
      </c>
      <c r="R976" s="603" t="str">
        <f t="shared" si="353"/>
        <v>0</v>
      </c>
    </row>
    <row r="977" spans="2:18">
      <c r="B977" s="595" t="s">
        <v>1050</v>
      </c>
      <c r="C977" s="1844">
        <v>0</v>
      </c>
      <c r="D977" s="609" t="str">
        <f t="shared" si="345"/>
        <v>0</v>
      </c>
      <c r="E977" s="609" t="str">
        <f t="shared" si="346"/>
        <v>0</v>
      </c>
      <c r="F977" s="609" t="str">
        <f t="shared" si="347"/>
        <v>0</v>
      </c>
      <c r="G977" s="609" t="str">
        <f t="shared" si="348"/>
        <v>0</v>
      </c>
      <c r="H977" s="609" t="str">
        <f t="shared" si="349"/>
        <v>0</v>
      </c>
      <c r="I977" s="609" t="str">
        <f t="shared" si="350"/>
        <v>0</v>
      </c>
      <c r="J977" s="603" t="str">
        <f t="shared" si="351"/>
        <v>0</v>
      </c>
      <c r="K977" s="1844">
        <v>0</v>
      </c>
      <c r="L977" s="609" t="str">
        <f t="shared" si="353"/>
        <v>0</v>
      </c>
      <c r="M977" s="609" t="str">
        <f t="shared" si="353"/>
        <v>0</v>
      </c>
      <c r="N977" s="609" t="str">
        <f t="shared" si="353"/>
        <v>0</v>
      </c>
      <c r="O977" s="609" t="str">
        <f t="shared" si="353"/>
        <v>0</v>
      </c>
      <c r="P977" s="609" t="str">
        <f t="shared" si="353"/>
        <v>0</v>
      </c>
      <c r="Q977" s="609" t="str">
        <f t="shared" si="353"/>
        <v>0</v>
      </c>
      <c r="R977" s="603" t="str">
        <f t="shared" si="353"/>
        <v>0</v>
      </c>
    </row>
    <row r="978" spans="2:18">
      <c r="B978" s="595" t="s">
        <v>1051</v>
      </c>
      <c r="C978" s="1844">
        <v>-25.663129567874392</v>
      </c>
      <c r="D978" s="609">
        <f t="shared" si="345"/>
        <v>-19.032134554335219</v>
      </c>
      <c r="E978" s="609">
        <f t="shared" si="346"/>
        <v>-13.26168412726336</v>
      </c>
      <c r="F978" s="609">
        <f t="shared" si="347"/>
        <v>-9.0354204496330972</v>
      </c>
      <c r="G978" s="609">
        <f t="shared" si="348"/>
        <v>-4.3987473782105191</v>
      </c>
      <c r="H978" s="609">
        <f t="shared" si="349"/>
        <v>-10.487830232308522</v>
      </c>
      <c r="I978" s="609">
        <f t="shared" si="350"/>
        <v>-36.47996013716422</v>
      </c>
      <c r="J978" s="603">
        <f t="shared" si="351"/>
        <v>-24.290416843423127</v>
      </c>
      <c r="K978" s="1844">
        <v>0</v>
      </c>
      <c r="L978" s="609" t="str">
        <f t="shared" si="353"/>
        <v>0</v>
      </c>
      <c r="M978" s="609" t="str">
        <f t="shared" si="353"/>
        <v>0</v>
      </c>
      <c r="N978" s="609" t="str">
        <f t="shared" si="353"/>
        <v>0</v>
      </c>
      <c r="O978" s="609" t="str">
        <f t="shared" si="353"/>
        <v>0</v>
      </c>
      <c r="P978" s="609" t="str">
        <f t="shared" si="353"/>
        <v>0</v>
      </c>
      <c r="Q978" s="609" t="str">
        <f t="shared" si="353"/>
        <v>0</v>
      </c>
      <c r="R978" s="603" t="str">
        <f t="shared" si="353"/>
        <v>0</v>
      </c>
    </row>
    <row r="979" spans="2:18">
      <c r="B979" s="595" t="s">
        <v>1052</v>
      </c>
      <c r="C979" s="1844">
        <v>-4.464742388224427</v>
      </c>
      <c r="D979" s="609" t="str">
        <f t="shared" si="345"/>
        <v>0</v>
      </c>
      <c r="E979" s="609" t="str">
        <f t="shared" si="346"/>
        <v>0</v>
      </c>
      <c r="F979" s="609" t="str">
        <f t="shared" si="347"/>
        <v>0</v>
      </c>
      <c r="G979" s="609" t="str">
        <f t="shared" si="348"/>
        <v>0</v>
      </c>
      <c r="H979" s="609" t="str">
        <f t="shared" si="349"/>
        <v>0</v>
      </c>
      <c r="I979" s="609" t="str">
        <f t="shared" si="350"/>
        <v>0</v>
      </c>
      <c r="J979" s="603" t="str">
        <f t="shared" si="351"/>
        <v>0</v>
      </c>
      <c r="K979" s="1844">
        <v>0</v>
      </c>
      <c r="L979" s="609" t="str">
        <f t="shared" si="353"/>
        <v>0</v>
      </c>
      <c r="M979" s="609" t="str">
        <f t="shared" si="353"/>
        <v>0</v>
      </c>
      <c r="N979" s="609" t="str">
        <f t="shared" si="353"/>
        <v>0</v>
      </c>
      <c r="O979" s="609" t="str">
        <f t="shared" si="353"/>
        <v>0</v>
      </c>
      <c r="P979" s="609" t="str">
        <f t="shared" si="353"/>
        <v>0</v>
      </c>
      <c r="Q979" s="609" t="str">
        <f t="shared" si="353"/>
        <v>0</v>
      </c>
      <c r="R979" s="603" t="str">
        <f t="shared" si="353"/>
        <v>0</v>
      </c>
    </row>
    <row r="980" spans="2:18">
      <c r="B980" s="595" t="s">
        <v>1053</v>
      </c>
      <c r="C980" s="1844">
        <v>-9.1247887943406525</v>
      </c>
      <c r="D980" s="609" t="str">
        <f t="shared" si="345"/>
        <v>0</v>
      </c>
      <c r="E980" s="609">
        <f t="shared" si="346"/>
        <v>-11.893624383393641</v>
      </c>
      <c r="F980" s="609">
        <f t="shared" si="347"/>
        <v>4.3234088028042681</v>
      </c>
      <c r="G980" s="609">
        <f t="shared" si="348"/>
        <v>-16.425175794470515</v>
      </c>
      <c r="H980" s="609">
        <f t="shared" si="349"/>
        <v>-25.742824792950895</v>
      </c>
      <c r="I980" s="609">
        <f t="shared" si="350"/>
        <v>-17.282828193721095</v>
      </c>
      <c r="J980" s="603">
        <f t="shared" si="351"/>
        <v>-9.6236773590819809</v>
      </c>
      <c r="K980" s="1844">
        <v>0</v>
      </c>
      <c r="L980" s="609" t="str">
        <f t="shared" si="353"/>
        <v>0</v>
      </c>
      <c r="M980" s="609">
        <f t="shared" si="353"/>
        <v>30.140496678246279</v>
      </c>
      <c r="N980" s="609">
        <f t="shared" si="353"/>
        <v>136.96662939121609</v>
      </c>
      <c r="O980" s="609">
        <f t="shared" si="353"/>
        <v>14.849907858219158</v>
      </c>
      <c r="P980" s="609">
        <f t="shared" si="353"/>
        <v>27.859920267943458</v>
      </c>
      <c r="Q980" s="609">
        <f t="shared" si="353"/>
        <v>834.09409785395871</v>
      </c>
      <c r="R980" s="603">
        <f t="shared" si="353"/>
        <v>-55.003385872442209</v>
      </c>
    </row>
    <row r="981" spans="2:18">
      <c r="B981" s="595" t="s">
        <v>1054</v>
      </c>
      <c r="C981" s="1844">
        <v>-9.9386956109700524</v>
      </c>
      <c r="D981" s="609">
        <f t="shared" si="345"/>
        <v>-25.409505314025267</v>
      </c>
      <c r="E981" s="609">
        <f t="shared" si="346"/>
        <v>-9.9726904892162338</v>
      </c>
      <c r="F981" s="609">
        <f t="shared" si="347"/>
        <v>-6.2077302459118755</v>
      </c>
      <c r="G981" s="609">
        <f t="shared" si="348"/>
        <v>-9.1713626293555546</v>
      </c>
      <c r="H981" s="609">
        <f t="shared" si="349"/>
        <v>-12.657687691740424</v>
      </c>
      <c r="I981" s="609">
        <f t="shared" si="350"/>
        <v>-50.956496939324289</v>
      </c>
      <c r="J981" s="603">
        <f t="shared" si="351"/>
        <v>-3.9163371730457186</v>
      </c>
      <c r="K981" s="1844">
        <v>0</v>
      </c>
      <c r="L981" s="609" t="str">
        <f t="shared" si="353"/>
        <v>0</v>
      </c>
      <c r="M981" s="609" t="str">
        <f t="shared" si="353"/>
        <v>0</v>
      </c>
      <c r="N981" s="609">
        <f t="shared" si="353"/>
        <v>1409.4749067203641</v>
      </c>
      <c r="O981" s="609">
        <f t="shared" si="353"/>
        <v>915.56756039948982</v>
      </c>
      <c r="P981" s="609">
        <f t="shared" si="353"/>
        <v>374.7325960011114</v>
      </c>
      <c r="Q981" s="609">
        <f t="shared" si="353"/>
        <v>-27.422925178155328</v>
      </c>
      <c r="R981" s="603">
        <f t="shared" si="353"/>
        <v>0.93439104675856033</v>
      </c>
    </row>
    <row r="982" spans="2:18">
      <c r="B982" s="604" t="s">
        <v>1055</v>
      </c>
      <c r="C982" s="610">
        <v>-6.0473904259083211</v>
      </c>
      <c r="D982" s="617">
        <f t="shared" si="345"/>
        <v>-7.5296218767601886</v>
      </c>
      <c r="E982" s="617">
        <f t="shared" si="346"/>
        <v>-16.306823904530926</v>
      </c>
      <c r="F982" s="617">
        <f t="shared" si="347"/>
        <v>-7.039387420977592</v>
      </c>
      <c r="G982" s="617">
        <f t="shared" si="348"/>
        <v>-2.6647208789533012</v>
      </c>
      <c r="H982" s="617">
        <f t="shared" si="349"/>
        <v>-3.7093941717891945</v>
      </c>
      <c r="I982" s="617">
        <f t="shared" si="350"/>
        <v>-18.161292548289147</v>
      </c>
      <c r="J982" s="618">
        <f t="shared" si="351"/>
        <v>-12.114100486119412</v>
      </c>
      <c r="K982" s="610">
        <v>3.6304671410636269</v>
      </c>
      <c r="L982" s="617">
        <f t="shared" si="353"/>
        <v>5.7153733261149764</v>
      </c>
      <c r="M982" s="617">
        <f t="shared" si="353"/>
        <v>3.3589468948734109</v>
      </c>
      <c r="N982" s="617">
        <f t="shared" si="353"/>
        <v>6.676914146588433</v>
      </c>
      <c r="O982" s="617">
        <f t="shared" si="353"/>
        <v>-0.28949557558456807</v>
      </c>
      <c r="P982" s="617">
        <f t="shared" si="353"/>
        <v>9.2708736980580007</v>
      </c>
      <c r="Q982" s="617">
        <f t="shared" si="353"/>
        <v>-17.169777087044238</v>
      </c>
      <c r="R982" s="618">
        <f t="shared" si="353"/>
        <v>10.559835446481895</v>
      </c>
    </row>
    <row r="983" spans="2:18">
      <c r="B983" s="57"/>
      <c r="C983" s="582"/>
      <c r="D983" s="582"/>
      <c r="E983" s="582"/>
      <c r="F983" s="582"/>
      <c r="G983" s="582"/>
      <c r="H983" s="582"/>
      <c r="I983" s="582"/>
      <c r="J983" s="582"/>
      <c r="K983" s="582"/>
      <c r="L983" s="582"/>
      <c r="M983" s="582"/>
      <c r="N983" s="582"/>
      <c r="O983" s="582"/>
      <c r="P983" s="582"/>
      <c r="Q983" s="582"/>
    </row>
    <row r="984" spans="2:18">
      <c r="B984" s="2157" t="s">
        <v>1144</v>
      </c>
      <c r="C984" s="2157"/>
      <c r="D984" s="2157"/>
      <c r="E984" s="2157"/>
      <c r="F984" s="2157"/>
      <c r="G984" s="2157"/>
      <c r="H984" s="2157"/>
      <c r="I984" s="2157"/>
      <c r="J984" s="2157"/>
      <c r="K984" s="2157"/>
      <c r="L984" s="2157"/>
      <c r="M984" s="2157"/>
      <c r="N984" s="2157"/>
      <c r="O984" s="2157"/>
      <c r="P984" s="2157"/>
      <c r="Q984" s="2157"/>
      <c r="R984" s="2157"/>
    </row>
    <row r="985" spans="2:18">
      <c r="B985" s="619"/>
      <c r="C985" s="621"/>
      <c r="D985" s="621"/>
      <c r="E985" s="621"/>
      <c r="F985" s="621"/>
      <c r="G985" s="621"/>
      <c r="H985" s="621"/>
      <c r="I985" s="621"/>
      <c r="J985" s="621"/>
      <c r="K985" s="622"/>
      <c r="L985" s="622"/>
      <c r="M985" s="622"/>
      <c r="N985" s="622"/>
      <c r="O985" s="622"/>
      <c r="P985" s="622"/>
      <c r="Q985" s="622"/>
    </row>
    <row r="986" spans="2:18">
      <c r="B986" s="583"/>
      <c r="C986" s="2161" t="s">
        <v>1112</v>
      </c>
      <c r="D986" s="2162"/>
      <c r="E986" s="2162"/>
      <c r="F986" s="2162"/>
      <c r="G986" s="2162"/>
      <c r="H986" s="2162"/>
      <c r="I986" s="2162"/>
      <c r="J986" s="2163"/>
      <c r="K986" s="2206" t="s">
        <v>1113</v>
      </c>
      <c r="L986" s="2207"/>
      <c r="M986" s="2207"/>
      <c r="N986" s="2207"/>
      <c r="O986" s="2207"/>
      <c r="P986" s="2207"/>
      <c r="Q986" s="2207"/>
      <c r="R986" s="2208"/>
    </row>
    <row r="987" spans="2:18">
      <c r="B987" s="57"/>
      <c r="C987" s="585">
        <v>2014</v>
      </c>
      <c r="D987" s="586">
        <v>2015</v>
      </c>
      <c r="E987" s="586">
        <v>2016</v>
      </c>
      <c r="F987" s="586">
        <v>2017</v>
      </c>
      <c r="G987" s="586">
        <v>2018</v>
      </c>
      <c r="H987" s="586">
        <v>2019</v>
      </c>
      <c r="I987" s="586">
        <v>2020</v>
      </c>
      <c r="J987" s="586">
        <v>2021</v>
      </c>
      <c r="K987" s="587">
        <v>2014</v>
      </c>
      <c r="L987" s="588">
        <v>2015</v>
      </c>
      <c r="M987" s="588">
        <v>2016</v>
      </c>
      <c r="N987" s="588">
        <v>2017</v>
      </c>
      <c r="O987" s="588">
        <v>2018</v>
      </c>
      <c r="P987" s="588">
        <v>2019</v>
      </c>
      <c r="Q987" s="588">
        <v>2020</v>
      </c>
      <c r="R987" s="848">
        <v>2021</v>
      </c>
    </row>
    <row r="988" spans="2:18">
      <c r="B988" s="589" t="s">
        <v>1038</v>
      </c>
      <c r="C988" s="614">
        <v>-41.840170535808369</v>
      </c>
      <c r="D988" s="615">
        <f t="shared" ref="D988:J994" si="354">IF(ISNUMBER((D808/C808-1)*100-L30),(D808/C808-1)*100-L30,"0")</f>
        <v>-35.182801686521103</v>
      </c>
      <c r="E988" s="615">
        <f t="shared" si="354"/>
        <v>-18.785252109960279</v>
      </c>
      <c r="F988" s="615">
        <f t="shared" si="354"/>
        <v>-13.067786789031079</v>
      </c>
      <c r="G988" s="615">
        <f t="shared" si="354"/>
        <v>-76.159443126027583</v>
      </c>
      <c r="H988" s="615">
        <f t="shared" si="354"/>
        <v>-52.658139387365168</v>
      </c>
      <c r="I988" s="615">
        <f t="shared" si="354"/>
        <v>-30.948335858065008</v>
      </c>
      <c r="J988" s="616">
        <f t="shared" si="354"/>
        <v>5.2498029690966064</v>
      </c>
      <c r="K988" s="614">
        <v>-46.308879521976529</v>
      </c>
      <c r="L988" s="615">
        <f t="shared" ref="L988:R994" si="355">IF(ISNUMBER((L808/K808-1)*100-L30),(L808/K808-1)*100-L30,"0")</f>
        <v>-37.962077686760701</v>
      </c>
      <c r="M988" s="615">
        <f t="shared" si="355"/>
        <v>-25.805528940335261</v>
      </c>
      <c r="N988" s="615">
        <f t="shared" si="355"/>
        <v>-8.4145296346496714</v>
      </c>
      <c r="O988" s="615">
        <f t="shared" si="355"/>
        <v>-73.920244492289441</v>
      </c>
      <c r="P988" s="615">
        <f t="shared" si="355"/>
        <v>-47.707152315459922</v>
      </c>
      <c r="Q988" s="615">
        <f t="shared" si="355"/>
        <v>-4.2325352721839522</v>
      </c>
      <c r="R988" s="616">
        <f t="shared" si="355"/>
        <v>17.761198668215485</v>
      </c>
    </row>
    <row r="989" spans="2:18">
      <c r="B989" s="595" t="s">
        <v>1039</v>
      </c>
      <c r="C989" s="1844">
        <v>0</v>
      </c>
      <c r="D989" s="609">
        <f t="shared" si="354"/>
        <v>-181.76493480838144</v>
      </c>
      <c r="E989" s="609">
        <f t="shared" si="354"/>
        <v>-81.39696066396354</v>
      </c>
      <c r="F989" s="609">
        <f t="shared" si="354"/>
        <v>-90.829465476331222</v>
      </c>
      <c r="G989" s="609">
        <f t="shared" si="354"/>
        <v>-102.97167045714517</v>
      </c>
      <c r="H989" s="609">
        <f t="shared" si="354"/>
        <v>-94.966279785422728</v>
      </c>
      <c r="I989" s="609">
        <f t="shared" si="354"/>
        <v>-115.97869248117803</v>
      </c>
      <c r="J989" s="603">
        <f t="shared" si="354"/>
        <v>-97.082090643901182</v>
      </c>
      <c r="K989" s="1844">
        <v>0</v>
      </c>
      <c r="L989" s="609">
        <f t="shared" si="355"/>
        <v>-181.76493480838144</v>
      </c>
      <c r="M989" s="609">
        <f t="shared" si="355"/>
        <v>-81.39696066396354</v>
      </c>
      <c r="N989" s="609">
        <f t="shared" si="355"/>
        <v>-90.829465476331222</v>
      </c>
      <c r="O989" s="609">
        <f t="shared" si="355"/>
        <v>-102.97167045714517</v>
      </c>
      <c r="P989" s="609">
        <f t="shared" si="355"/>
        <v>-94.966279785422728</v>
      </c>
      <c r="Q989" s="609">
        <f t="shared" si="355"/>
        <v>-115.97869248117803</v>
      </c>
      <c r="R989" s="603">
        <f t="shared" si="355"/>
        <v>-97.082090643901182</v>
      </c>
    </row>
    <row r="990" spans="2:18">
      <c r="B990" s="595" t="s">
        <v>1040</v>
      </c>
      <c r="C990" s="1844">
        <v>8.5933418821165191</v>
      </c>
      <c r="D990" s="609">
        <f t="shared" si="354"/>
        <v>6.3820687939472496</v>
      </c>
      <c r="E990" s="609">
        <f t="shared" si="354"/>
        <v>3.185723391643247</v>
      </c>
      <c r="F990" s="609">
        <f t="shared" si="354"/>
        <v>19.385610199839043</v>
      </c>
      <c r="G990" s="609">
        <f t="shared" si="354"/>
        <v>22.957511823007803</v>
      </c>
      <c r="H990" s="609">
        <f t="shared" si="354"/>
        <v>24.947985354884452</v>
      </c>
      <c r="I990" s="609">
        <f t="shared" si="354"/>
        <v>-9.8881890601728344</v>
      </c>
      <c r="J990" s="603">
        <f t="shared" si="354"/>
        <v>37.730911288811072</v>
      </c>
      <c r="K990" s="1844">
        <v>24.339582417232837</v>
      </c>
      <c r="L990" s="609">
        <f t="shared" si="355"/>
        <v>13.018526629753113</v>
      </c>
      <c r="M990" s="609">
        <f t="shared" si="355"/>
        <v>8.8298834465043932</v>
      </c>
      <c r="N990" s="609">
        <f t="shared" si="355"/>
        <v>33.413127322228874</v>
      </c>
      <c r="O990" s="609">
        <f t="shared" si="355"/>
        <v>27.763292867699608</v>
      </c>
      <c r="P990" s="609">
        <f t="shared" si="355"/>
        <v>23.190889643506264</v>
      </c>
      <c r="Q990" s="609">
        <f t="shared" si="355"/>
        <v>7.7216994270258956</v>
      </c>
      <c r="R990" s="603">
        <f t="shared" si="355"/>
        <v>38.84460484573988</v>
      </c>
    </row>
    <row r="991" spans="2:18">
      <c r="B991" s="595" t="s">
        <v>1041</v>
      </c>
      <c r="C991" s="1844">
        <v>-2.0072507766702081</v>
      </c>
      <c r="D991" s="609">
        <f t="shared" si="354"/>
        <v>-33.387948072318892</v>
      </c>
      <c r="E991" s="609">
        <f t="shared" si="354"/>
        <v>-4.3307954129348891</v>
      </c>
      <c r="F991" s="609">
        <f t="shared" si="354"/>
        <v>18.043760227981384</v>
      </c>
      <c r="G991" s="609">
        <f t="shared" si="354"/>
        <v>-3.771509859482105</v>
      </c>
      <c r="H991" s="609">
        <f t="shared" si="354"/>
        <v>9.3923913933129732</v>
      </c>
      <c r="I991" s="609">
        <f t="shared" si="354"/>
        <v>-19.694396753811759</v>
      </c>
      <c r="J991" s="603">
        <f t="shared" si="354"/>
        <v>11.619730773694227</v>
      </c>
      <c r="K991" s="1844">
        <v>1.9764706117295709</v>
      </c>
      <c r="L991" s="609">
        <f t="shared" si="355"/>
        <v>-31.855487851189935</v>
      </c>
      <c r="M991" s="609">
        <f t="shared" si="355"/>
        <v>-0.39641822555727568</v>
      </c>
      <c r="N991" s="609">
        <f t="shared" si="355"/>
        <v>22.589202901215785</v>
      </c>
      <c r="O991" s="609">
        <f t="shared" si="355"/>
        <v>-4.7566028203799648</v>
      </c>
      <c r="P991" s="609">
        <f t="shared" si="355"/>
        <v>5.7971724060244112</v>
      </c>
      <c r="Q991" s="609">
        <f t="shared" si="355"/>
        <v>-11.511272651020775</v>
      </c>
      <c r="R991" s="603">
        <f t="shared" si="355"/>
        <v>-2.7966322372806145</v>
      </c>
    </row>
    <row r="992" spans="2:18">
      <c r="B992" s="595" t="s">
        <v>1042</v>
      </c>
      <c r="C992" s="1844">
        <v>4.476547806571566</v>
      </c>
      <c r="D992" s="609">
        <f t="shared" si="354"/>
        <v>2.8318164265964691</v>
      </c>
      <c r="E992" s="609">
        <f t="shared" si="354"/>
        <v>10.175462202323212</v>
      </c>
      <c r="F992" s="609">
        <f t="shared" si="354"/>
        <v>19.968005643699161</v>
      </c>
      <c r="G992" s="609">
        <f t="shared" si="354"/>
        <v>18.311341003661973</v>
      </c>
      <c r="H992" s="609">
        <f t="shared" si="354"/>
        <v>1.2823962985980035</v>
      </c>
      <c r="I992" s="609">
        <f t="shared" si="354"/>
        <v>6.7606019996236038</v>
      </c>
      <c r="J992" s="603">
        <f t="shared" si="354"/>
        <v>50.327552768539498</v>
      </c>
      <c r="K992" s="1844">
        <v>2.0215064238447686</v>
      </c>
      <c r="L992" s="609">
        <f t="shared" si="355"/>
        <v>1.6339327545054534</v>
      </c>
      <c r="M992" s="609">
        <f t="shared" si="355"/>
        <v>10.756232182680977</v>
      </c>
      <c r="N992" s="609">
        <f t="shared" si="355"/>
        <v>23.844796190617725</v>
      </c>
      <c r="O992" s="609">
        <f t="shared" si="355"/>
        <v>20.912418800313169</v>
      </c>
      <c r="P992" s="609">
        <f t="shared" si="355"/>
        <v>6.5488412082027985</v>
      </c>
      <c r="Q992" s="609">
        <f t="shared" si="355"/>
        <v>9.5054983988389168</v>
      </c>
      <c r="R992" s="603">
        <f t="shared" si="355"/>
        <v>72.167764869194002</v>
      </c>
    </row>
    <row r="993" spans="2:18">
      <c r="B993" s="595" t="s">
        <v>1043</v>
      </c>
      <c r="C993" s="1844">
        <v>4.8563541932790777</v>
      </c>
      <c r="D993" s="609">
        <f t="shared" si="354"/>
        <v>-22.203677753254915</v>
      </c>
      <c r="E993" s="609">
        <f t="shared" si="354"/>
        <v>-4.7723483753069633</v>
      </c>
      <c r="F993" s="609">
        <f t="shared" si="354"/>
        <v>8.7539773119123865</v>
      </c>
      <c r="G993" s="609">
        <f t="shared" si="354"/>
        <v>8.9466855638687015</v>
      </c>
      <c r="H993" s="609">
        <f t="shared" si="354"/>
        <v>0.91075859394275671</v>
      </c>
      <c r="I993" s="609">
        <f t="shared" si="354"/>
        <v>-16.861824440943732</v>
      </c>
      <c r="J993" s="603">
        <f t="shared" si="354"/>
        <v>14.710828545562213</v>
      </c>
      <c r="K993" s="1844">
        <v>9.3684554659737067</v>
      </c>
      <c r="L993" s="609">
        <f t="shared" si="355"/>
        <v>-19.904226533205417</v>
      </c>
      <c r="M993" s="609">
        <f t="shared" si="355"/>
        <v>-3.2993337848160902</v>
      </c>
      <c r="N993" s="609">
        <f t="shared" si="355"/>
        <v>9.9364094006092483</v>
      </c>
      <c r="O993" s="609">
        <f t="shared" si="355"/>
        <v>10.209696262124263</v>
      </c>
      <c r="P993" s="609">
        <f t="shared" si="355"/>
        <v>2.9940774971215669</v>
      </c>
      <c r="Q993" s="609">
        <f t="shared" si="355"/>
        <v>-4.2193777818900999</v>
      </c>
      <c r="R993" s="603">
        <f t="shared" si="355"/>
        <v>18.947950984650088</v>
      </c>
    </row>
    <row r="994" spans="2:18">
      <c r="B994" s="595" t="s">
        <v>1044</v>
      </c>
      <c r="C994" s="1844">
        <v>10.789780566675125</v>
      </c>
      <c r="D994" s="609">
        <f t="shared" si="354"/>
        <v>15.602878442034807</v>
      </c>
      <c r="E994" s="609">
        <f t="shared" si="354"/>
        <v>13.066301482389369</v>
      </c>
      <c r="F994" s="609">
        <f t="shared" si="354"/>
        <v>-5.1350319944420235</v>
      </c>
      <c r="G994" s="609">
        <f t="shared" si="354"/>
        <v>6.4570487948033328E-2</v>
      </c>
      <c r="H994" s="609">
        <f t="shared" si="354"/>
        <v>21.037349751016531</v>
      </c>
      <c r="I994" s="609">
        <f t="shared" si="354"/>
        <v>-19.101111993498321</v>
      </c>
      <c r="J994" s="603">
        <f t="shared" si="354"/>
        <v>5.1450951597526027</v>
      </c>
      <c r="K994" s="1844">
        <v>11.487939424188102</v>
      </c>
      <c r="L994" s="609">
        <f t="shared" si="355"/>
        <v>22.035911375202087</v>
      </c>
      <c r="M994" s="609">
        <f t="shared" si="355"/>
        <v>10.939669695431125</v>
      </c>
      <c r="N994" s="609">
        <f t="shared" si="355"/>
        <v>-15.030840430883003</v>
      </c>
      <c r="O994" s="609">
        <f t="shared" si="355"/>
        <v>-0.22848262484858184</v>
      </c>
      <c r="P994" s="609">
        <f t="shared" si="355"/>
        <v>15.258214144876124</v>
      </c>
      <c r="Q994" s="609">
        <f t="shared" si="355"/>
        <v>-0.38215330303091688</v>
      </c>
      <c r="R994" s="603">
        <f t="shared" si="355"/>
        <v>14.249693138912324</v>
      </c>
    </row>
    <row r="995" spans="2:18">
      <c r="B995" s="595" t="s">
        <v>1061</v>
      </c>
      <c r="C995" s="1844">
        <v>0</v>
      </c>
      <c r="D995" s="609" t="str">
        <f>IF(ISNUMBER((D815/C815-1)*100-L39),(D815/C815-1)*100-L39,"0")</f>
        <v>0</v>
      </c>
      <c r="E995" s="609">
        <f t="shared" ref="E995:J995" si="356">IF(ISNUMBER((E815/D815-1)*100-M39),(E815/D815-1)*100-M39,"0")</f>
        <v>16.1732175116015</v>
      </c>
      <c r="F995" s="609">
        <f t="shared" si="356"/>
        <v>11.443781436628511</v>
      </c>
      <c r="G995" s="609">
        <f t="shared" si="356"/>
        <v>1.726661313452305</v>
      </c>
      <c r="H995" s="609">
        <f t="shared" si="356"/>
        <v>11.302269952805158</v>
      </c>
      <c r="I995" s="609">
        <f t="shared" si="356"/>
        <v>-16.967402767359165</v>
      </c>
      <c r="J995" s="603">
        <f t="shared" si="356"/>
        <v>13.111026361927435</v>
      </c>
      <c r="K995" s="1844">
        <v>0</v>
      </c>
      <c r="L995" s="609" t="str">
        <f>IF(ISNUMBER((L815/K815-1)*100-L39),(L815/K815-1)*100-L39,"0")</f>
        <v>0</v>
      </c>
      <c r="M995" s="609">
        <f t="shared" ref="M995:R995" si="357">IF(ISNUMBER((M815/L815-1)*100-M39),(M815/L815-1)*100-M39,"0")</f>
        <v>6.1004637782841264</v>
      </c>
      <c r="N995" s="609">
        <f t="shared" si="357"/>
        <v>11.920200756503567</v>
      </c>
      <c r="O995" s="609">
        <f t="shared" si="357"/>
        <v>0.28582461050109581</v>
      </c>
      <c r="P995" s="609">
        <f t="shared" si="357"/>
        <v>14.712311674503745</v>
      </c>
      <c r="Q995" s="609">
        <f t="shared" si="357"/>
        <v>-9.1978811132048222</v>
      </c>
      <c r="R995" s="603">
        <f t="shared" si="357"/>
        <v>3.1954653246336058</v>
      </c>
    </row>
    <row r="996" spans="2:18">
      <c r="B996" s="595" t="s">
        <v>1047</v>
      </c>
      <c r="C996" s="1844" t="str">
        <f>IF(ISNUMBER((C816/B816-1)*100-#REF!),(C816/B816-1)*100-#REF!,"0")</f>
        <v>0</v>
      </c>
      <c r="D996" s="609" t="str">
        <f t="shared" ref="D996:D1004" si="358">IF(ISNUMBER((D816/C816-1)*100-L40),(D816/C816-1)*100-L40,"0")</f>
        <v>0</v>
      </c>
      <c r="E996" s="609">
        <f t="shared" ref="E996:E1004" si="359">IF(ISNUMBER((E816/D816-1)*100-M40),(E816/D816-1)*100-M40,"0")</f>
        <v>-2.1491875634352695</v>
      </c>
      <c r="F996" s="609">
        <f t="shared" ref="F996:F1004" si="360">IF(ISNUMBER((F816/E816-1)*100-N40),(F816/E816-1)*100-N40,"0")</f>
        <v>13.046101078334138</v>
      </c>
      <c r="G996" s="609">
        <f t="shared" ref="G996:G1004" si="361">IF(ISNUMBER((G816/F816-1)*100-O40),(G816/F816-1)*100-O40,"0")</f>
        <v>16.722151326596979</v>
      </c>
      <c r="H996" s="609">
        <f t="shared" ref="H996:H1004" si="362">IF(ISNUMBER((H816/G816-1)*100-P40),(H816/G816-1)*100-P40,"0")</f>
        <v>13.482913145304019</v>
      </c>
      <c r="I996" s="609">
        <f t="shared" ref="I996:I1004" si="363">IF(ISNUMBER((I816/H816-1)*100-Q40),(I816/H816-1)*100-Q40,"0")</f>
        <v>-13.546736994728258</v>
      </c>
      <c r="J996" s="603">
        <f t="shared" ref="J996:J1004" si="364">IF(ISNUMBER((J816/I816-1)*100-R40),(J816/I816-1)*100-R40,"0")</f>
        <v>1.0724709590664712</v>
      </c>
      <c r="K996" s="1844">
        <v>0</v>
      </c>
      <c r="L996" s="609" t="str">
        <f t="shared" ref="L996:R997" si="365">IF(ISNUMBER((L816/K816-1)*100-L40),(L816/K816-1)*100-L40,"0")</f>
        <v>0</v>
      </c>
      <c r="M996" s="609">
        <f t="shared" si="365"/>
        <v>17.912581112537932</v>
      </c>
      <c r="N996" s="609">
        <f t="shared" si="365"/>
        <v>19.436593030965199</v>
      </c>
      <c r="O996" s="609">
        <f t="shared" si="365"/>
        <v>16.653435263089843</v>
      </c>
      <c r="P996" s="609">
        <f t="shared" si="365"/>
        <v>15.339861922240628</v>
      </c>
      <c r="Q996" s="609">
        <f t="shared" si="365"/>
        <v>7.5781487032893891</v>
      </c>
      <c r="R996" s="603">
        <f t="shared" si="365"/>
        <v>70.209199971590621</v>
      </c>
    </row>
    <row r="997" spans="2:18">
      <c r="B997" s="595" t="s">
        <v>1048</v>
      </c>
      <c r="C997" s="1844">
        <v>0</v>
      </c>
      <c r="D997" s="609" t="str">
        <f t="shared" si="358"/>
        <v>0</v>
      </c>
      <c r="E997" s="609">
        <f t="shared" si="359"/>
        <v>32.286155127437567</v>
      </c>
      <c r="F997" s="609">
        <f t="shared" si="360"/>
        <v>11.965488448369404</v>
      </c>
      <c r="G997" s="609">
        <f t="shared" si="361"/>
        <v>5.9467084196951703</v>
      </c>
      <c r="H997" s="609">
        <f t="shared" si="362"/>
        <v>14.812989663458291</v>
      </c>
      <c r="I997" s="609">
        <f t="shared" si="363"/>
        <v>-6.1237103753578062</v>
      </c>
      <c r="J997" s="603">
        <f t="shared" si="364"/>
        <v>9.6649179032449251</v>
      </c>
      <c r="K997" s="1844">
        <v>0</v>
      </c>
      <c r="L997" s="609" t="str">
        <f t="shared" si="365"/>
        <v>0</v>
      </c>
      <c r="M997" s="609">
        <f t="shared" si="365"/>
        <v>30.746827663433162</v>
      </c>
      <c r="N997" s="609">
        <f t="shared" si="365"/>
        <v>6.4709824319610076</v>
      </c>
      <c r="O997" s="609">
        <f t="shared" si="365"/>
        <v>8.393125111425018</v>
      </c>
      <c r="P997" s="609">
        <f t="shared" si="365"/>
        <v>15.442703384522888</v>
      </c>
      <c r="Q997" s="609">
        <f t="shared" si="365"/>
        <v>13.523579004380602</v>
      </c>
      <c r="R997" s="603">
        <f t="shared" si="365"/>
        <v>-0.18071795231802623</v>
      </c>
    </row>
    <row r="998" spans="2:18">
      <c r="B998" s="595" t="s">
        <v>1049</v>
      </c>
      <c r="C998" s="1844">
        <v>28.236797281110789</v>
      </c>
      <c r="D998" s="609">
        <f t="shared" si="358"/>
        <v>11.532261484098917</v>
      </c>
      <c r="E998" s="609">
        <f t="shared" si="359"/>
        <v>14.636021505376352</v>
      </c>
      <c r="F998" s="609">
        <f t="shared" si="360"/>
        <v>25.967220003472825</v>
      </c>
      <c r="G998" s="609">
        <f t="shared" si="361"/>
        <v>11.445099214276198</v>
      </c>
      <c r="H998" s="609">
        <f t="shared" si="362"/>
        <v>9.1786127167630056</v>
      </c>
      <c r="I998" s="609">
        <f t="shared" si="363"/>
        <v>-17.476693977877922</v>
      </c>
      <c r="J998" s="603">
        <f t="shared" si="364"/>
        <v>-29.931962728467326</v>
      </c>
      <c r="K998" s="1844">
        <v>0</v>
      </c>
      <c r="L998" s="609" t="str">
        <f t="shared" ref="L998:R1004" si="366">IF(ISNUMBER((L818/K818-1)*100-L42),(L818/K818-1)*100-L42,"0")</f>
        <v>0</v>
      </c>
      <c r="M998" s="609" t="str">
        <f t="shared" si="366"/>
        <v>0</v>
      </c>
      <c r="N998" s="609" t="str">
        <f t="shared" si="366"/>
        <v>0</v>
      </c>
      <c r="O998" s="609" t="str">
        <f t="shared" si="366"/>
        <v>0</v>
      </c>
      <c r="P998" s="609">
        <f t="shared" si="366"/>
        <v>9.004726251754807</v>
      </c>
      <c r="Q998" s="609">
        <f t="shared" si="366"/>
        <v>-17.326670126634856</v>
      </c>
      <c r="R998" s="603">
        <f t="shared" si="366"/>
        <v>-29.797829344935934</v>
      </c>
    </row>
    <row r="999" spans="2:18">
      <c r="B999" s="595" t="s">
        <v>1050</v>
      </c>
      <c r="C999" s="1844">
        <v>0</v>
      </c>
      <c r="D999" s="609" t="str">
        <f t="shared" si="358"/>
        <v>0</v>
      </c>
      <c r="E999" s="609" t="str">
        <f t="shared" si="359"/>
        <v>0</v>
      </c>
      <c r="F999" s="609" t="str">
        <f t="shared" si="360"/>
        <v>0</v>
      </c>
      <c r="G999" s="609" t="str">
        <f t="shared" si="361"/>
        <v>0</v>
      </c>
      <c r="H999" s="609" t="str">
        <f t="shared" si="362"/>
        <v>0</v>
      </c>
      <c r="I999" s="609" t="str">
        <f t="shared" si="363"/>
        <v>0</v>
      </c>
      <c r="J999" s="603" t="str">
        <f t="shared" si="364"/>
        <v>0</v>
      </c>
      <c r="K999" s="1844">
        <v>0</v>
      </c>
      <c r="L999" s="609" t="str">
        <f t="shared" si="366"/>
        <v>0</v>
      </c>
      <c r="M999" s="609" t="str">
        <f t="shared" si="366"/>
        <v>0</v>
      </c>
      <c r="N999" s="609" t="str">
        <f t="shared" si="366"/>
        <v>0</v>
      </c>
      <c r="O999" s="609" t="str">
        <f t="shared" si="366"/>
        <v>0</v>
      </c>
      <c r="P999" s="609" t="str">
        <f t="shared" si="366"/>
        <v>0</v>
      </c>
      <c r="Q999" s="609" t="str">
        <f t="shared" si="366"/>
        <v>0</v>
      </c>
      <c r="R999" s="603" t="str">
        <f t="shared" si="366"/>
        <v>0</v>
      </c>
    </row>
    <row r="1000" spans="2:18">
      <c r="B1000" s="595" t="s">
        <v>1051</v>
      </c>
      <c r="C1000" s="1844">
        <v>-2.6398395493925961</v>
      </c>
      <c r="D1000" s="609">
        <f t="shared" si="358"/>
        <v>12.670070445707086</v>
      </c>
      <c r="E1000" s="609">
        <f t="shared" si="359"/>
        <v>12.823884425736601</v>
      </c>
      <c r="F1000" s="609">
        <f t="shared" si="360"/>
        <v>21.220275137530891</v>
      </c>
      <c r="G1000" s="609">
        <f t="shared" si="361"/>
        <v>21.602650244122383</v>
      </c>
      <c r="H1000" s="609">
        <f t="shared" si="362"/>
        <v>9.9914626684560233</v>
      </c>
      <c r="I1000" s="609">
        <f t="shared" si="363"/>
        <v>-8.0407199957214317</v>
      </c>
      <c r="J1000" s="603">
        <f t="shared" si="364"/>
        <v>-0.73906033268367466</v>
      </c>
      <c r="K1000" s="1844">
        <v>-4.086649343723705</v>
      </c>
      <c r="L1000" s="609">
        <f t="shared" si="366"/>
        <v>16.723277460832858</v>
      </c>
      <c r="M1000" s="609">
        <f t="shared" si="366"/>
        <v>12.621148687047704</v>
      </c>
      <c r="N1000" s="609">
        <f t="shared" si="366"/>
        <v>18.465153422322008</v>
      </c>
      <c r="O1000" s="609">
        <f t="shared" si="366"/>
        <v>18.096002123177104</v>
      </c>
      <c r="P1000" s="609">
        <f t="shared" si="366"/>
        <v>12.153020348499759</v>
      </c>
      <c r="Q1000" s="609">
        <f t="shared" si="366"/>
        <v>-6.9424114666737111</v>
      </c>
      <c r="R1000" s="603">
        <f t="shared" si="366"/>
        <v>-4.0252517089200106</v>
      </c>
    </row>
    <row r="1001" spans="2:18">
      <c r="B1001" s="595" t="s">
        <v>1052</v>
      </c>
      <c r="C1001" s="1844">
        <v>16.162570050707565</v>
      </c>
      <c r="D1001" s="609">
        <f t="shared" si="358"/>
        <v>12.819692439047955</v>
      </c>
      <c r="E1001" s="609">
        <f t="shared" si="359"/>
        <v>7.5324376694309905</v>
      </c>
      <c r="F1001" s="609">
        <f t="shared" si="360"/>
        <v>8.1431527335808589</v>
      </c>
      <c r="G1001" s="609">
        <f t="shared" si="361"/>
        <v>3.6200625874274417</v>
      </c>
      <c r="H1001" s="609">
        <f t="shared" si="362"/>
        <v>3.035452984135012</v>
      </c>
      <c r="I1001" s="609">
        <f t="shared" si="363"/>
        <v>-19.30001810837949</v>
      </c>
      <c r="J1001" s="603">
        <f t="shared" si="364"/>
        <v>30.457308398902459</v>
      </c>
      <c r="K1001" s="1844">
        <v>28.726515030579783</v>
      </c>
      <c r="L1001" s="609">
        <f t="shared" si="366"/>
        <v>23.793679765250339</v>
      </c>
      <c r="M1001" s="609">
        <f t="shared" si="366"/>
        <v>4.5129659138923639</v>
      </c>
      <c r="N1001" s="609">
        <f t="shared" si="366"/>
        <v>13.187258771181853</v>
      </c>
      <c r="O1001" s="609">
        <f t="shared" si="366"/>
        <v>17.533510844427159</v>
      </c>
      <c r="P1001" s="609">
        <f t="shared" si="366"/>
        <v>11.613811594725743</v>
      </c>
      <c r="Q1001" s="609">
        <f t="shared" si="366"/>
        <v>-0.30788255168392453</v>
      </c>
      <c r="R1001" s="603">
        <f t="shared" si="366"/>
        <v>36.769365998229929</v>
      </c>
    </row>
    <row r="1002" spans="2:18">
      <c r="B1002" s="595" t="s">
        <v>1053</v>
      </c>
      <c r="C1002" s="1844">
        <v>3.0737723342334524</v>
      </c>
      <c r="D1002" s="609" t="str">
        <f t="shared" si="358"/>
        <v>0</v>
      </c>
      <c r="E1002" s="609">
        <f t="shared" si="359"/>
        <v>12.035289685672513</v>
      </c>
      <c r="F1002" s="609">
        <f t="shared" si="360"/>
        <v>17.427016656696441</v>
      </c>
      <c r="G1002" s="609">
        <f t="shared" si="361"/>
        <v>19.411651441096865</v>
      </c>
      <c r="H1002" s="609">
        <f t="shared" si="362"/>
        <v>1.7024422211148824</v>
      </c>
      <c r="I1002" s="609">
        <f t="shared" si="363"/>
        <v>-16.324785560372916</v>
      </c>
      <c r="J1002" s="603">
        <f t="shared" si="364"/>
        <v>-16.883366339501521</v>
      </c>
      <c r="K1002" s="1844">
        <v>9.5846687032378419E-2</v>
      </c>
      <c r="L1002" s="609" t="str">
        <f t="shared" si="366"/>
        <v>0</v>
      </c>
      <c r="M1002" s="609">
        <f t="shared" si="366"/>
        <v>22.888522229932807</v>
      </c>
      <c r="N1002" s="609">
        <f t="shared" si="366"/>
        <v>26.361818811965559</v>
      </c>
      <c r="O1002" s="609">
        <f t="shared" si="366"/>
        <v>11.45864590430714</v>
      </c>
      <c r="P1002" s="609">
        <f t="shared" si="366"/>
        <v>9.5544111086014425</v>
      </c>
      <c r="Q1002" s="609">
        <f t="shared" si="366"/>
        <v>4.2059517781796112</v>
      </c>
      <c r="R1002" s="603">
        <f t="shared" si="366"/>
        <v>-0.69636813348387872</v>
      </c>
    </row>
    <row r="1003" spans="2:18">
      <c r="B1003" s="595" t="s">
        <v>1054</v>
      </c>
      <c r="C1003" s="1844">
        <v>13.820057884543544</v>
      </c>
      <c r="D1003" s="609">
        <f t="shared" si="358"/>
        <v>-1.3346469879618361</v>
      </c>
      <c r="E1003" s="609">
        <f t="shared" si="359"/>
        <v>14.677714190384101</v>
      </c>
      <c r="F1003" s="609">
        <f t="shared" si="360"/>
        <v>6.5547445476017581</v>
      </c>
      <c r="G1003" s="609">
        <f t="shared" si="361"/>
        <v>10.281780023201733</v>
      </c>
      <c r="H1003" s="609">
        <f t="shared" si="362"/>
        <v>15.033537851552126</v>
      </c>
      <c r="I1003" s="609">
        <f t="shared" si="363"/>
        <v>-26.639799537948768</v>
      </c>
      <c r="J1003" s="603">
        <f t="shared" si="364"/>
        <v>31.019475521734318</v>
      </c>
      <c r="K1003" s="1844">
        <v>25.32582976584272</v>
      </c>
      <c r="L1003" s="609">
        <f t="shared" si="366"/>
        <v>-0.35120978371163236</v>
      </c>
      <c r="M1003" s="609">
        <f t="shared" si="366"/>
        <v>15.01732696131188</v>
      </c>
      <c r="N1003" s="609">
        <f t="shared" si="366"/>
        <v>10.341072672275345</v>
      </c>
      <c r="O1003" s="609">
        <f t="shared" si="366"/>
        <v>15.495032680353223</v>
      </c>
      <c r="P1003" s="609">
        <f t="shared" si="366"/>
        <v>18.822748297224656</v>
      </c>
      <c r="Q1003" s="609">
        <f t="shared" si="366"/>
        <v>2.5640667697279502</v>
      </c>
      <c r="R1003" s="603">
        <f t="shared" si="366"/>
        <v>52.667960010381002</v>
      </c>
    </row>
    <row r="1004" spans="2:18">
      <c r="B1004" s="604" t="s">
        <v>1055</v>
      </c>
      <c r="C1004" s="610">
        <v>-3.4619992519922249</v>
      </c>
      <c r="D1004" s="617">
        <f t="shared" si="358"/>
        <v>7.6490037558680957</v>
      </c>
      <c r="E1004" s="617">
        <f t="shared" si="359"/>
        <v>0.3785451973090832</v>
      </c>
      <c r="F1004" s="617">
        <f t="shared" si="360"/>
        <v>-2.0964934922430767</v>
      </c>
      <c r="G1004" s="617">
        <f t="shared" si="361"/>
        <v>-0.85104859372588226</v>
      </c>
      <c r="H1004" s="617">
        <f t="shared" si="362"/>
        <v>5.3904269191304408</v>
      </c>
      <c r="I1004" s="617">
        <f t="shared" si="363"/>
        <v>-0.98663926300798444</v>
      </c>
      <c r="J1004" s="618">
        <f t="shared" si="364"/>
        <v>1.8470701995100525</v>
      </c>
      <c r="K1004" s="610">
        <v>-7.2328610503598671</v>
      </c>
      <c r="L1004" s="617">
        <f t="shared" si="366"/>
        <v>6.1156908781497563</v>
      </c>
      <c r="M1004" s="617">
        <f t="shared" si="366"/>
        <v>-0.14738725998085167</v>
      </c>
      <c r="N1004" s="617">
        <f t="shared" si="366"/>
        <v>-2.8983510844517091</v>
      </c>
      <c r="O1004" s="617">
        <f t="shared" si="366"/>
        <v>1.8144687682090614</v>
      </c>
      <c r="P1004" s="617">
        <f t="shared" si="366"/>
        <v>4.8498204380325358</v>
      </c>
      <c r="Q1004" s="617">
        <f t="shared" si="366"/>
        <v>1.8630835820645819</v>
      </c>
      <c r="R1004" s="618">
        <f t="shared" si="366"/>
        <v>5.6354471897556646</v>
      </c>
    </row>
    <row r="1005" spans="2:18">
      <c r="B1005" s="57"/>
      <c r="C1005" s="582"/>
      <c r="D1005" s="582"/>
      <c r="E1005" s="582"/>
      <c r="F1005" s="582"/>
      <c r="G1005" s="582"/>
      <c r="H1005" s="582"/>
      <c r="I1005" s="582"/>
      <c r="J1005" s="582"/>
      <c r="K1005" s="582"/>
      <c r="L1005" s="582"/>
      <c r="M1005" s="582"/>
      <c r="N1005" s="582"/>
      <c r="O1005" s="582"/>
      <c r="P1005" s="582"/>
      <c r="Q1005" s="582"/>
    </row>
    <row r="1006" spans="2:18">
      <c r="B1006" s="2157" t="s">
        <v>1144</v>
      </c>
      <c r="C1006" s="2157"/>
      <c r="D1006" s="2157"/>
      <c r="E1006" s="2157"/>
      <c r="F1006" s="2157"/>
      <c r="G1006" s="2157"/>
      <c r="H1006" s="2157"/>
      <c r="I1006" s="2157"/>
      <c r="J1006" s="2157"/>
      <c r="K1006" s="2157"/>
      <c r="L1006" s="2157"/>
      <c r="M1006" s="2157"/>
      <c r="N1006" s="2157"/>
      <c r="O1006" s="2157"/>
      <c r="P1006" s="2157"/>
      <c r="Q1006" s="2157"/>
      <c r="R1006" s="2157"/>
    </row>
    <row r="1007" spans="2:18">
      <c r="B1007" s="619"/>
      <c r="C1007" s="621"/>
      <c r="D1007" s="621"/>
      <c r="E1007" s="621"/>
      <c r="F1007" s="621"/>
      <c r="G1007" s="621"/>
      <c r="H1007" s="621"/>
      <c r="I1007" s="621"/>
      <c r="J1007" s="621"/>
      <c r="K1007" s="622"/>
      <c r="L1007" s="622"/>
      <c r="M1007" s="622"/>
      <c r="N1007" s="622"/>
      <c r="O1007" s="622"/>
      <c r="P1007" s="622"/>
      <c r="Q1007" s="622"/>
    </row>
    <row r="1008" spans="2:18">
      <c r="B1008" s="583"/>
      <c r="C1008" s="2196" t="s">
        <v>1114</v>
      </c>
      <c r="D1008" s="2197"/>
      <c r="E1008" s="2197"/>
      <c r="F1008" s="2197"/>
      <c r="G1008" s="2197"/>
      <c r="H1008" s="2197"/>
      <c r="I1008" s="2197"/>
      <c r="J1008" s="844"/>
      <c r="K1008" s="2196" t="s">
        <v>1115</v>
      </c>
      <c r="L1008" s="2197"/>
      <c r="M1008" s="2197"/>
      <c r="N1008" s="2197"/>
      <c r="O1008" s="2197"/>
      <c r="P1008" s="2197"/>
      <c r="Q1008" s="2197"/>
      <c r="R1008" s="2198"/>
    </row>
    <row r="1009" spans="2:18">
      <c r="B1009" s="57"/>
      <c r="C1009" s="585">
        <v>2014</v>
      </c>
      <c r="D1009" s="586">
        <v>2015</v>
      </c>
      <c r="E1009" s="586">
        <v>2016</v>
      </c>
      <c r="F1009" s="586">
        <v>2017</v>
      </c>
      <c r="G1009" s="586">
        <v>2018</v>
      </c>
      <c r="H1009" s="586">
        <v>2019</v>
      </c>
      <c r="I1009" s="586">
        <v>2020</v>
      </c>
      <c r="J1009" s="586">
        <v>2021</v>
      </c>
      <c r="K1009" s="638">
        <v>2014</v>
      </c>
      <c r="L1009" s="639">
        <v>2015</v>
      </c>
      <c r="M1009" s="639">
        <v>2016</v>
      </c>
      <c r="N1009" s="639">
        <v>2017</v>
      </c>
      <c r="O1009" s="639">
        <v>2018</v>
      </c>
      <c r="P1009" s="639">
        <v>2019</v>
      </c>
      <c r="Q1009" s="639">
        <v>2020</v>
      </c>
      <c r="R1009" s="640">
        <v>2021</v>
      </c>
    </row>
    <row r="1010" spans="2:18">
      <c r="B1010" s="589" t="s">
        <v>1038</v>
      </c>
      <c r="C1010" s="614">
        <f t="shared" ref="C1010:I1010" si="367">IFERROR((C830/B830-1)*100-K30,0)</f>
        <v>0</v>
      </c>
      <c r="D1010" s="615">
        <f t="shared" si="367"/>
        <v>0</v>
      </c>
      <c r="E1010" s="615">
        <f t="shared" si="367"/>
        <v>0</v>
      </c>
      <c r="F1010" s="615">
        <f t="shared" si="367"/>
        <v>0</v>
      </c>
      <c r="G1010" s="615">
        <f t="shared" si="367"/>
        <v>0</v>
      </c>
      <c r="H1010" s="615">
        <f t="shared" si="367"/>
        <v>0</v>
      </c>
      <c r="I1010" s="615">
        <f t="shared" si="367"/>
        <v>0</v>
      </c>
      <c r="J1010" s="616">
        <f t="shared" ref="J1010:J1016" si="368">IFERROR((J830/I830-1)*100-R30,0)</f>
        <v>0</v>
      </c>
      <c r="K1010" s="614">
        <v>-39.443891638218929</v>
      </c>
      <c r="L1010" s="615">
        <f t="shared" ref="L1010:R1016" si="369">IF(ISNUMBER((L830/K830-1)*100-L30),(L830/K830-1)*100-L30,"0")</f>
        <v>-33.79155429986055</v>
      </c>
      <c r="M1010" s="615">
        <f t="shared" si="369"/>
        <v>-18.159452906070602</v>
      </c>
      <c r="N1010" s="615">
        <f t="shared" si="369"/>
        <v>-16.302671962328652</v>
      </c>
      <c r="O1010" s="615">
        <f t="shared" si="369"/>
        <v>-78.240674136275373</v>
      </c>
      <c r="P1010" s="615">
        <f t="shared" si="369"/>
        <v>-51.054975108921276</v>
      </c>
      <c r="Q1010" s="615">
        <f t="shared" si="369"/>
        <v>-44.377370623257058</v>
      </c>
      <c r="R1010" s="616">
        <f t="shared" si="369"/>
        <v>-4.448032769912551</v>
      </c>
    </row>
    <row r="1011" spans="2:18">
      <c r="B1011" s="595" t="s">
        <v>1039</v>
      </c>
      <c r="C1011" s="1844">
        <f t="shared" ref="C1011:I1016" si="370">IFERROR((C831/B831-1)*100-K31,0)</f>
        <v>0</v>
      </c>
      <c r="D1011" s="609">
        <f t="shared" si="370"/>
        <v>0</v>
      </c>
      <c r="E1011" s="609">
        <f t="shared" si="370"/>
        <v>0</v>
      </c>
      <c r="F1011" s="609">
        <f t="shared" si="370"/>
        <v>0</v>
      </c>
      <c r="G1011" s="609">
        <f t="shared" si="370"/>
        <v>0</v>
      </c>
      <c r="H1011" s="609">
        <f t="shared" si="370"/>
        <v>0</v>
      </c>
      <c r="I1011" s="609">
        <f t="shared" si="370"/>
        <v>0</v>
      </c>
      <c r="J1011" s="603">
        <f t="shared" si="368"/>
        <v>0</v>
      </c>
      <c r="K1011" s="1844">
        <v>0</v>
      </c>
      <c r="L1011" s="609">
        <f t="shared" si="369"/>
        <v>-67.324294661895493</v>
      </c>
      <c r="M1011" s="609">
        <f t="shared" si="369"/>
        <v>-96.421884408579174</v>
      </c>
      <c r="N1011" s="609">
        <f t="shared" si="369"/>
        <v>-74.568044149636989</v>
      </c>
      <c r="O1011" s="609">
        <f t="shared" si="369"/>
        <v>-101.37169673585633</v>
      </c>
      <c r="P1011" s="609">
        <f t="shared" si="369"/>
        <v>-100.4664540021751</v>
      </c>
      <c r="Q1011" s="609">
        <f t="shared" si="369"/>
        <v>-139.07149582304714</v>
      </c>
      <c r="R1011" s="603">
        <f t="shared" si="369"/>
        <v>-56.670071119679079</v>
      </c>
    </row>
    <row r="1012" spans="2:18">
      <c r="B1012" s="595" t="s">
        <v>1040</v>
      </c>
      <c r="C1012" s="1844">
        <f t="shared" si="370"/>
        <v>0</v>
      </c>
      <c r="D1012" s="609">
        <f t="shared" si="370"/>
        <v>0</v>
      </c>
      <c r="E1012" s="609">
        <f t="shared" si="370"/>
        <v>0</v>
      </c>
      <c r="F1012" s="609">
        <f t="shared" si="370"/>
        <v>0</v>
      </c>
      <c r="G1012" s="609">
        <f t="shared" si="370"/>
        <v>0</v>
      </c>
      <c r="H1012" s="609">
        <f t="shared" si="370"/>
        <v>0</v>
      </c>
      <c r="I1012" s="609">
        <f t="shared" si="370"/>
        <v>0</v>
      </c>
      <c r="J1012" s="603">
        <f t="shared" si="368"/>
        <v>0</v>
      </c>
      <c r="K1012" s="1844">
        <v>-3.3970628454886409E-2</v>
      </c>
      <c r="L1012" s="609">
        <f t="shared" si="369"/>
        <v>1.9077654241698605</v>
      </c>
      <c r="M1012" s="609">
        <f t="shared" si="369"/>
        <v>-1.022770499528014</v>
      </c>
      <c r="N1012" s="609">
        <f t="shared" si="369"/>
        <v>7.9254670769684621</v>
      </c>
      <c r="O1012" s="609">
        <f t="shared" si="369"/>
        <v>18.12684230036432</v>
      </c>
      <c r="P1012" s="609">
        <f t="shared" si="369"/>
        <v>26.856446970072966</v>
      </c>
      <c r="Q1012" s="609">
        <f t="shared" si="369"/>
        <v>-28.468739404642463</v>
      </c>
      <c r="R1012" s="603">
        <f t="shared" si="369"/>
        <v>35.966832524657619</v>
      </c>
    </row>
    <row r="1013" spans="2:18">
      <c r="B1013" s="595" t="s">
        <v>1041</v>
      </c>
      <c r="C1013" s="1844">
        <f t="shared" si="370"/>
        <v>0</v>
      </c>
      <c r="D1013" s="609">
        <f t="shared" si="370"/>
        <v>0</v>
      </c>
      <c r="E1013" s="609">
        <f t="shared" si="370"/>
        <v>0</v>
      </c>
      <c r="F1013" s="609">
        <f t="shared" si="370"/>
        <v>0</v>
      </c>
      <c r="G1013" s="609">
        <f t="shared" si="370"/>
        <v>0</v>
      </c>
      <c r="H1013" s="609">
        <f t="shared" si="370"/>
        <v>0</v>
      </c>
      <c r="I1013" s="609">
        <f t="shared" si="370"/>
        <v>0</v>
      </c>
      <c r="J1013" s="603">
        <f t="shared" si="368"/>
        <v>0</v>
      </c>
      <c r="K1013" s="1844">
        <v>-4.1202723342348726</v>
      </c>
      <c r="L1013" s="609">
        <f t="shared" si="369"/>
        <v>-34.249233765137177</v>
      </c>
      <c r="M1013" s="609">
        <f t="shared" si="369"/>
        <v>-6.6112888144729087</v>
      </c>
      <c r="N1013" s="609">
        <f t="shared" si="369"/>
        <v>15.244803168267381</v>
      </c>
      <c r="O1013" s="609">
        <f t="shared" si="369"/>
        <v>-3.1272245162171997</v>
      </c>
      <c r="P1013" s="609">
        <f t="shared" si="369"/>
        <v>11.70571463229852</v>
      </c>
      <c r="Q1013" s="609">
        <f t="shared" si="369"/>
        <v>-24.6916217075233</v>
      </c>
      <c r="R1013" s="603">
        <f t="shared" si="369"/>
        <v>21.877002652999835</v>
      </c>
    </row>
    <row r="1014" spans="2:18">
      <c r="B1014" s="595" t="s">
        <v>1042</v>
      </c>
      <c r="C1014" s="1844">
        <f t="shared" si="370"/>
        <v>0</v>
      </c>
      <c r="D1014" s="609">
        <f t="shared" si="370"/>
        <v>0</v>
      </c>
      <c r="E1014" s="609">
        <f t="shared" si="370"/>
        <v>0</v>
      </c>
      <c r="F1014" s="609">
        <f t="shared" si="370"/>
        <v>0</v>
      </c>
      <c r="G1014" s="609">
        <f t="shared" si="370"/>
        <v>0</v>
      </c>
      <c r="H1014" s="609">
        <f t="shared" si="370"/>
        <v>0</v>
      </c>
      <c r="I1014" s="609">
        <f t="shared" si="370"/>
        <v>0</v>
      </c>
      <c r="J1014" s="603">
        <f t="shared" si="368"/>
        <v>0</v>
      </c>
      <c r="K1014" s="1844">
        <v>6.9606586292527153</v>
      </c>
      <c r="L1014" s="609">
        <f t="shared" si="369"/>
        <v>3.9902771406142863</v>
      </c>
      <c r="M1014" s="609">
        <f t="shared" si="369"/>
        <v>9.6260222943663951</v>
      </c>
      <c r="N1014" s="609">
        <f t="shared" si="369"/>
        <v>16.263803320922211</v>
      </c>
      <c r="O1014" s="609">
        <f t="shared" si="369"/>
        <v>15.667015263777216</v>
      </c>
      <c r="P1014" s="609">
        <f t="shared" si="369"/>
        <v>-4.3094274912977859</v>
      </c>
      <c r="Q1014" s="609">
        <f t="shared" si="369"/>
        <v>3.524013916397803</v>
      </c>
      <c r="R1014" s="603">
        <f t="shared" si="369"/>
        <v>23.129742315031169</v>
      </c>
    </row>
    <row r="1015" spans="2:18">
      <c r="B1015" s="595" t="s">
        <v>1043</v>
      </c>
      <c r="C1015" s="1844">
        <f t="shared" si="370"/>
        <v>0</v>
      </c>
      <c r="D1015" s="609">
        <f t="shared" si="370"/>
        <v>0</v>
      </c>
      <c r="E1015" s="609">
        <f t="shared" si="370"/>
        <v>0</v>
      </c>
      <c r="F1015" s="609">
        <f t="shared" si="370"/>
        <v>0</v>
      </c>
      <c r="G1015" s="609">
        <f t="shared" si="370"/>
        <v>0</v>
      </c>
      <c r="H1015" s="609">
        <f t="shared" si="370"/>
        <v>0</v>
      </c>
      <c r="I1015" s="609">
        <f t="shared" si="370"/>
        <v>0</v>
      </c>
      <c r="J1015" s="603">
        <f t="shared" si="368"/>
        <v>0</v>
      </c>
      <c r="K1015" s="1844">
        <v>1.9278396227522991</v>
      </c>
      <c r="L1015" s="609">
        <f t="shared" si="369"/>
        <v>-23.802037461344764</v>
      </c>
      <c r="M1015" s="609">
        <f t="shared" si="369"/>
        <v>-5.8454088524198715</v>
      </c>
      <c r="N1015" s="609">
        <f t="shared" si="369"/>
        <v>7.8710307825708981</v>
      </c>
      <c r="O1015" s="609">
        <f t="shared" si="369"/>
        <v>7.9862072569287736</v>
      </c>
      <c r="P1015" s="609">
        <f t="shared" si="369"/>
        <v>-0.7052080070566733</v>
      </c>
      <c r="Q1015" s="609">
        <f t="shared" si="369"/>
        <v>-27.021023959007518</v>
      </c>
      <c r="R1015" s="603">
        <f t="shared" si="369"/>
        <v>10.277857255764433</v>
      </c>
    </row>
    <row r="1016" spans="2:18">
      <c r="B1016" s="595" t="s">
        <v>1044</v>
      </c>
      <c r="C1016" s="1844">
        <f t="shared" si="370"/>
        <v>0</v>
      </c>
      <c r="D1016" s="609">
        <f t="shared" si="370"/>
        <v>0</v>
      </c>
      <c r="E1016" s="609">
        <f t="shared" si="370"/>
        <v>0</v>
      </c>
      <c r="F1016" s="609">
        <f t="shared" si="370"/>
        <v>0</v>
      </c>
      <c r="G1016" s="609">
        <f t="shared" si="370"/>
        <v>0</v>
      </c>
      <c r="H1016" s="609">
        <f t="shared" si="370"/>
        <v>0</v>
      </c>
      <c r="I1016" s="609">
        <f t="shared" si="370"/>
        <v>0</v>
      </c>
      <c r="J1016" s="603">
        <f t="shared" si="368"/>
        <v>0</v>
      </c>
      <c r="K1016" s="1844">
        <v>10.095976334959571</v>
      </c>
      <c r="L1016" s="609">
        <f t="shared" si="369"/>
        <v>9.1335284887392962</v>
      </c>
      <c r="M1016" s="609">
        <f t="shared" si="369"/>
        <v>15.459671413633096</v>
      </c>
      <c r="N1016" s="609">
        <f t="shared" si="369"/>
        <v>5.5688809122129754</v>
      </c>
      <c r="O1016" s="609">
        <f t="shared" si="369"/>
        <v>0.32117135991309587</v>
      </c>
      <c r="P1016" s="609">
        <f t="shared" si="369"/>
        <v>26.070456113297691</v>
      </c>
      <c r="Q1016" s="609">
        <f t="shared" si="369"/>
        <v>-34.022133226030171</v>
      </c>
      <c r="R1016" s="603">
        <f t="shared" si="369"/>
        <v>-5.7632817792599402</v>
      </c>
    </row>
    <row r="1017" spans="2:18">
      <c r="B1017" s="595" t="s">
        <v>1061</v>
      </c>
      <c r="C1017" s="1844">
        <f>IFERROR((C837/B837-1)*100-K39,0)</f>
        <v>0</v>
      </c>
      <c r="D1017" s="609">
        <f t="shared" ref="D1017:J1017" si="371">IFERROR((D837/C837-1)*100-L39,0)</f>
        <v>0</v>
      </c>
      <c r="E1017" s="609">
        <f t="shared" si="371"/>
        <v>0</v>
      </c>
      <c r="F1017" s="609">
        <f t="shared" si="371"/>
        <v>0</v>
      </c>
      <c r="G1017" s="609">
        <f t="shared" si="371"/>
        <v>0</v>
      </c>
      <c r="H1017" s="609">
        <f t="shared" si="371"/>
        <v>0</v>
      </c>
      <c r="I1017" s="609">
        <f t="shared" si="371"/>
        <v>0</v>
      </c>
      <c r="J1017" s="603">
        <f t="shared" si="371"/>
        <v>0</v>
      </c>
      <c r="K1017" s="1844">
        <v>0</v>
      </c>
      <c r="L1017" s="609" t="str">
        <f>IF(ISNUMBER((L837/K837-1)*100-L39),(L837/K837-1)*100-L39,"0")</f>
        <v>0</v>
      </c>
      <c r="M1017" s="609">
        <f t="shared" ref="M1017:R1017" si="372">IF(ISNUMBER((M837/L837-1)*100-M39),(M837/L837-1)*100-M39,"0")</f>
        <v>0.95190371880822244</v>
      </c>
      <c r="N1017" s="609">
        <f t="shared" si="372"/>
        <v>10.275442315036136</v>
      </c>
      <c r="O1017" s="609">
        <f t="shared" si="372"/>
        <v>5.3127572726395904</v>
      </c>
      <c r="P1017" s="609">
        <f t="shared" si="372"/>
        <v>3.2199326282328729</v>
      </c>
      <c r="Q1017" s="609">
        <f t="shared" si="372"/>
        <v>-37.432182026164959</v>
      </c>
      <c r="R1017" s="603">
        <f t="shared" si="372"/>
        <v>51.008129420674685</v>
      </c>
    </row>
    <row r="1018" spans="2:18">
      <c r="B1018" s="595" t="s">
        <v>1047</v>
      </c>
      <c r="C1018" s="1844">
        <f t="shared" ref="C1018:D1026" si="373">IFERROR((C838/B838-1)*100-K40,0)</f>
        <v>0</v>
      </c>
      <c r="D1018" s="609">
        <f t="shared" si="373"/>
        <v>0</v>
      </c>
      <c r="E1018" s="609">
        <f t="shared" ref="E1018:E1026" si="374">IFERROR((E838/D838-1)*100-M40,0)</f>
        <v>0</v>
      </c>
      <c r="F1018" s="609">
        <f t="shared" ref="F1018:F1026" si="375">IFERROR((F838/E838-1)*100-N40,0)</f>
        <v>0</v>
      </c>
      <c r="G1018" s="609">
        <f t="shared" ref="G1018:G1026" si="376">IFERROR((G838/F838-1)*100-O40,0)</f>
        <v>0</v>
      </c>
      <c r="H1018" s="609">
        <f t="shared" ref="H1018:H1026" si="377">IFERROR((H838/G838-1)*100-P40,0)</f>
        <v>0</v>
      </c>
      <c r="I1018" s="609">
        <f t="shared" ref="I1018:I1026" si="378">IFERROR((I838/H838-1)*100-Q40,0)</f>
        <v>0</v>
      </c>
      <c r="J1018" s="603">
        <f t="shared" ref="J1018:J1026" si="379">IFERROR((J838/I838-1)*100-R40,0)</f>
        <v>0</v>
      </c>
      <c r="K1018" s="1844">
        <v>0</v>
      </c>
      <c r="L1018" s="609" t="str">
        <f t="shared" ref="L1018:R1019" si="380">IF(ISNUMBER((L838/K838-1)*100-L40),(L838/K838-1)*100-L40,"0")</f>
        <v>0</v>
      </c>
      <c r="M1018" s="609">
        <f t="shared" si="380"/>
        <v>-4.1644023696193546</v>
      </c>
      <c r="N1018" s="609">
        <f t="shared" si="380"/>
        <v>12.258004293444024</v>
      </c>
      <c r="O1018" s="609">
        <f t="shared" si="380"/>
        <v>16.731168479640402</v>
      </c>
      <c r="P1018" s="609">
        <f t="shared" si="380"/>
        <v>13.239399977328159</v>
      </c>
      <c r="Q1018" s="609">
        <f t="shared" si="380"/>
        <v>-16.368388197845782</v>
      </c>
      <c r="R1018" s="603">
        <f t="shared" si="380"/>
        <v>-10.836127734224258</v>
      </c>
    </row>
    <row r="1019" spans="2:18">
      <c r="B1019" s="595" t="s">
        <v>1048</v>
      </c>
      <c r="C1019" s="1844">
        <f t="shared" si="373"/>
        <v>0</v>
      </c>
      <c r="D1019" s="609">
        <f t="shared" si="373"/>
        <v>0</v>
      </c>
      <c r="E1019" s="609">
        <f t="shared" si="374"/>
        <v>0</v>
      </c>
      <c r="F1019" s="609">
        <f t="shared" si="375"/>
        <v>0</v>
      </c>
      <c r="G1019" s="609">
        <f t="shared" si="376"/>
        <v>0</v>
      </c>
      <c r="H1019" s="609">
        <f t="shared" si="377"/>
        <v>0</v>
      </c>
      <c r="I1019" s="609">
        <f t="shared" si="378"/>
        <v>0</v>
      </c>
      <c r="J1019" s="603">
        <f t="shared" si="379"/>
        <v>0</v>
      </c>
      <c r="K1019" s="1844">
        <v>0</v>
      </c>
      <c r="L1019" s="609" t="str">
        <f t="shared" si="380"/>
        <v>0</v>
      </c>
      <c r="M1019" s="609">
        <f t="shared" si="380"/>
        <v>32.88049774229237</v>
      </c>
      <c r="N1019" s="609">
        <f t="shared" si="380"/>
        <v>14.053037634408621</v>
      </c>
      <c r="O1019" s="609">
        <f t="shared" si="380"/>
        <v>5.0784772028189895</v>
      </c>
      <c r="P1019" s="609">
        <f t="shared" si="380"/>
        <v>14.582527455097221</v>
      </c>
      <c r="Q1019" s="609">
        <f t="shared" si="380"/>
        <v>-13.368155415887019</v>
      </c>
      <c r="R1019" s="603">
        <f t="shared" si="380"/>
        <v>14.423326557483078</v>
      </c>
    </row>
    <row r="1020" spans="2:18">
      <c r="B1020" s="595" t="s">
        <v>1049</v>
      </c>
      <c r="C1020" s="1844">
        <f t="shared" si="373"/>
        <v>0</v>
      </c>
      <c r="D1020" s="609">
        <f t="shared" si="373"/>
        <v>0</v>
      </c>
      <c r="E1020" s="609">
        <f t="shared" si="374"/>
        <v>0</v>
      </c>
      <c r="F1020" s="609">
        <f t="shared" si="375"/>
        <v>0</v>
      </c>
      <c r="G1020" s="609">
        <f t="shared" si="376"/>
        <v>0</v>
      </c>
      <c r="H1020" s="609">
        <f t="shared" si="377"/>
        <v>0</v>
      </c>
      <c r="I1020" s="609">
        <f t="shared" si="378"/>
        <v>0</v>
      </c>
      <c r="J1020" s="603">
        <f t="shared" si="379"/>
        <v>0</v>
      </c>
      <c r="K1020" s="1844">
        <v>0</v>
      </c>
      <c r="L1020" s="609" t="str">
        <f t="shared" ref="L1020:R1026" si="381">IF(ISNUMBER((L840/K840-1)*100-L42),(L840/K840-1)*100-L42,"0")</f>
        <v>0</v>
      </c>
      <c r="M1020" s="609" t="str">
        <f t="shared" si="381"/>
        <v>0</v>
      </c>
      <c r="N1020" s="609" t="str">
        <f t="shared" si="381"/>
        <v>0</v>
      </c>
      <c r="O1020" s="609" t="str">
        <f t="shared" si="381"/>
        <v>0</v>
      </c>
      <c r="P1020" s="609">
        <f t="shared" si="381"/>
        <v>23.750980392156876</v>
      </c>
      <c r="Q1020" s="609">
        <f t="shared" si="381"/>
        <v>-28.594615384615395</v>
      </c>
      <c r="R1020" s="603">
        <f t="shared" si="381"/>
        <v>-41.373402061855671</v>
      </c>
    </row>
    <row r="1021" spans="2:18">
      <c r="B1021" s="595" t="s">
        <v>1050</v>
      </c>
      <c r="C1021" s="1844">
        <f t="shared" si="373"/>
        <v>0</v>
      </c>
      <c r="D1021" s="609">
        <f t="shared" si="373"/>
        <v>0</v>
      </c>
      <c r="E1021" s="609">
        <f t="shared" si="374"/>
        <v>0</v>
      </c>
      <c r="F1021" s="609">
        <f t="shared" si="375"/>
        <v>0</v>
      </c>
      <c r="G1021" s="609">
        <f t="shared" si="376"/>
        <v>0</v>
      </c>
      <c r="H1021" s="609">
        <f t="shared" si="377"/>
        <v>0</v>
      </c>
      <c r="I1021" s="609">
        <f t="shared" si="378"/>
        <v>0</v>
      </c>
      <c r="J1021" s="603">
        <f t="shared" si="379"/>
        <v>0</v>
      </c>
      <c r="K1021" s="1844">
        <v>0</v>
      </c>
      <c r="L1021" s="609" t="str">
        <f t="shared" si="381"/>
        <v>0</v>
      </c>
      <c r="M1021" s="609" t="str">
        <f t="shared" si="381"/>
        <v>0</v>
      </c>
      <c r="N1021" s="609" t="str">
        <f t="shared" si="381"/>
        <v>0</v>
      </c>
      <c r="O1021" s="609" t="str">
        <f t="shared" si="381"/>
        <v>0</v>
      </c>
      <c r="P1021" s="609" t="str">
        <f t="shared" si="381"/>
        <v>0</v>
      </c>
      <c r="Q1021" s="609" t="str">
        <f t="shared" si="381"/>
        <v>0</v>
      </c>
      <c r="R1021" s="603" t="str">
        <f t="shared" si="381"/>
        <v>0</v>
      </c>
    </row>
    <row r="1022" spans="2:18">
      <c r="B1022" s="595" t="s">
        <v>1051</v>
      </c>
      <c r="C1022" s="1844">
        <f t="shared" si="373"/>
        <v>0</v>
      </c>
      <c r="D1022" s="609">
        <f t="shared" si="373"/>
        <v>0</v>
      </c>
      <c r="E1022" s="609">
        <f t="shared" si="374"/>
        <v>0</v>
      </c>
      <c r="F1022" s="609">
        <f t="shared" si="375"/>
        <v>0</v>
      </c>
      <c r="G1022" s="609">
        <f t="shared" si="376"/>
        <v>0</v>
      </c>
      <c r="H1022" s="609">
        <f t="shared" si="377"/>
        <v>0</v>
      </c>
      <c r="I1022" s="609">
        <f t="shared" si="378"/>
        <v>0</v>
      </c>
      <c r="J1022" s="603">
        <f t="shared" si="379"/>
        <v>0</v>
      </c>
      <c r="K1022" s="1844">
        <v>1.5223785395159366</v>
      </c>
      <c r="L1022" s="609">
        <f t="shared" si="381"/>
        <v>1.6157263985581736</v>
      </c>
      <c r="M1022" s="609">
        <f t="shared" si="381"/>
        <v>13.456124064164401</v>
      </c>
      <c r="N1022" s="609">
        <f t="shared" si="381"/>
        <v>29.749935472028941</v>
      </c>
      <c r="O1022" s="609">
        <f t="shared" si="381"/>
        <v>31.551154613492876</v>
      </c>
      <c r="P1022" s="609">
        <f t="shared" si="381"/>
        <v>4.4750263100346181</v>
      </c>
      <c r="Q1022" s="609">
        <f t="shared" si="381"/>
        <v>-11.038094795048099</v>
      </c>
      <c r="R1022" s="603">
        <f t="shared" si="381"/>
        <v>8.6193501006879476</v>
      </c>
    </row>
    <row r="1023" spans="2:18">
      <c r="B1023" s="595" t="s">
        <v>1052</v>
      </c>
      <c r="C1023" s="1844">
        <f t="shared" si="373"/>
        <v>0</v>
      </c>
      <c r="D1023" s="609">
        <f t="shared" si="373"/>
        <v>0</v>
      </c>
      <c r="E1023" s="609">
        <f t="shared" si="374"/>
        <v>0</v>
      </c>
      <c r="F1023" s="609">
        <f t="shared" si="375"/>
        <v>0</v>
      </c>
      <c r="G1023" s="609">
        <f t="shared" si="376"/>
        <v>0</v>
      </c>
      <c r="H1023" s="609">
        <f t="shared" si="377"/>
        <v>0</v>
      </c>
      <c r="I1023" s="609">
        <f t="shared" si="378"/>
        <v>0</v>
      </c>
      <c r="J1023" s="603">
        <f t="shared" si="379"/>
        <v>0</v>
      </c>
      <c r="K1023" s="1844">
        <v>13.790933568802354</v>
      </c>
      <c r="L1023" s="609">
        <f t="shared" si="381"/>
        <v>11.17517483398057</v>
      </c>
      <c r="M1023" s="609">
        <f t="shared" si="381"/>
        <v>8.2663786410908546</v>
      </c>
      <c r="N1023" s="609">
        <f t="shared" si="381"/>
        <v>7.1249739572560644</v>
      </c>
      <c r="O1023" s="609">
        <f t="shared" si="381"/>
        <v>0.30482562874247776</v>
      </c>
      <c r="P1023" s="609">
        <f t="shared" si="381"/>
        <v>0.6467334585713358</v>
      </c>
      <c r="Q1023" s="609">
        <f t="shared" si="381"/>
        <v>-25.181017183107368</v>
      </c>
      <c r="R1023" s="603">
        <f t="shared" si="381"/>
        <v>27.892226116973976</v>
      </c>
    </row>
    <row r="1024" spans="2:18">
      <c r="B1024" s="595" t="s">
        <v>1053</v>
      </c>
      <c r="C1024" s="1844">
        <f t="shared" si="373"/>
        <v>0</v>
      </c>
      <c r="D1024" s="609">
        <f t="shared" si="373"/>
        <v>0</v>
      </c>
      <c r="E1024" s="609">
        <f t="shared" si="374"/>
        <v>0</v>
      </c>
      <c r="F1024" s="609">
        <f t="shared" si="375"/>
        <v>0</v>
      </c>
      <c r="G1024" s="609">
        <f t="shared" si="376"/>
        <v>0</v>
      </c>
      <c r="H1024" s="609">
        <f t="shared" si="377"/>
        <v>0</v>
      </c>
      <c r="I1024" s="609">
        <f t="shared" si="378"/>
        <v>0</v>
      </c>
      <c r="J1024" s="603">
        <f t="shared" si="379"/>
        <v>0</v>
      </c>
      <c r="K1024" s="1844">
        <v>4.2003108818899042</v>
      </c>
      <c r="L1024" s="609" t="str">
        <f t="shared" si="381"/>
        <v>0</v>
      </c>
      <c r="M1024" s="609">
        <f t="shared" si="381"/>
        <v>5.8558766703678664</v>
      </c>
      <c r="N1024" s="609">
        <f t="shared" si="381"/>
        <v>11.550584196383333</v>
      </c>
      <c r="O1024" s="609">
        <f t="shared" si="381"/>
        <v>25.309850645386824</v>
      </c>
      <c r="P1024" s="609">
        <f t="shared" si="381"/>
        <v>-3.4931745641726666</v>
      </c>
      <c r="Q1024" s="609">
        <f t="shared" si="381"/>
        <v>-31.694613272772237</v>
      </c>
      <c r="R1024" s="603">
        <f t="shared" si="381"/>
        <v>-35.174533044376538</v>
      </c>
    </row>
    <row r="1025" spans="2:18">
      <c r="B1025" s="595" t="s">
        <v>1054</v>
      </c>
      <c r="C1025" s="1844">
        <f t="shared" si="373"/>
        <v>0</v>
      </c>
      <c r="D1025" s="609">
        <f t="shared" si="373"/>
        <v>13.854280370012599</v>
      </c>
      <c r="E1025" s="609">
        <f t="shared" si="374"/>
        <v>8.4710466056197653</v>
      </c>
      <c r="F1025" s="609">
        <f t="shared" si="375"/>
        <v>16.322699950506873</v>
      </c>
      <c r="G1025" s="609">
        <f t="shared" si="376"/>
        <v>18.530316722518887</v>
      </c>
      <c r="H1025" s="609">
        <f t="shared" si="377"/>
        <v>2.6372074200262903</v>
      </c>
      <c r="I1025" s="609">
        <f t="shared" si="378"/>
        <v>57.125114944327471</v>
      </c>
      <c r="J1025" s="603">
        <f t="shared" si="379"/>
        <v>-106.43038716340723</v>
      </c>
      <c r="K1025" s="1844">
        <v>10.210220680829348</v>
      </c>
      <c r="L1025" s="609">
        <f t="shared" si="381"/>
        <v>-1.6842502055359931</v>
      </c>
      <c r="M1025" s="609">
        <f t="shared" si="381"/>
        <v>14.55541800616291</v>
      </c>
      <c r="N1025" s="609">
        <f t="shared" si="381"/>
        <v>5.185922867591934</v>
      </c>
      <c r="O1025" s="609">
        <f t="shared" si="381"/>
        <v>8.3059162630481822</v>
      </c>
      <c r="P1025" s="609">
        <f t="shared" si="381"/>
        <v>13.503960841868647</v>
      </c>
      <c r="Q1025" s="609">
        <f t="shared" si="381"/>
        <v>-38.971738228425586</v>
      </c>
      <c r="R1025" s="603">
        <f t="shared" si="381"/>
        <v>15.851104938437086</v>
      </c>
    </row>
    <row r="1026" spans="2:18">
      <c r="B1026" s="604" t="s">
        <v>1055</v>
      </c>
      <c r="C1026" s="610">
        <f t="shared" si="373"/>
        <v>0</v>
      </c>
      <c r="D1026" s="617">
        <f t="shared" si="373"/>
        <v>0</v>
      </c>
      <c r="E1026" s="617">
        <f t="shared" si="374"/>
        <v>0</v>
      </c>
      <c r="F1026" s="617">
        <f t="shared" si="375"/>
        <v>0</v>
      </c>
      <c r="G1026" s="617">
        <f t="shared" si="376"/>
        <v>0</v>
      </c>
      <c r="H1026" s="617">
        <f t="shared" si="377"/>
        <v>0</v>
      </c>
      <c r="I1026" s="617">
        <f t="shared" si="378"/>
        <v>0</v>
      </c>
      <c r="J1026" s="618">
        <f t="shared" si="379"/>
        <v>0</v>
      </c>
      <c r="K1026" s="610">
        <v>1.5286201969559832</v>
      </c>
      <c r="L1026" s="617">
        <f t="shared" si="381"/>
        <v>9.5036917967140369</v>
      </c>
      <c r="M1026" s="617">
        <f t="shared" si="381"/>
        <v>0.99583290078856868</v>
      </c>
      <c r="N1026" s="617">
        <f t="shared" si="381"/>
        <v>-1.1656910036679546</v>
      </c>
      <c r="O1026" s="617">
        <f t="shared" si="381"/>
        <v>-3.8919690931132607</v>
      </c>
      <c r="P1026" s="617">
        <f t="shared" si="381"/>
        <v>6.0434059396517901</v>
      </c>
      <c r="Q1026" s="617">
        <f t="shared" si="381"/>
        <v>-4.3903357446262632</v>
      </c>
      <c r="R1026" s="618">
        <f t="shared" si="381"/>
        <v>-2.9718605840088297</v>
      </c>
    </row>
    <row r="1027" spans="2:18">
      <c r="B1027" s="57"/>
      <c r="C1027" s="582"/>
      <c r="D1027" s="582"/>
      <c r="E1027" s="582"/>
      <c r="F1027" s="582"/>
      <c r="G1027" s="582"/>
      <c r="H1027" s="582"/>
      <c r="I1027" s="582"/>
      <c r="J1027" s="582"/>
      <c r="K1027" s="582"/>
      <c r="L1027" s="582"/>
      <c r="M1027" s="582"/>
      <c r="N1027" s="582"/>
      <c r="O1027" s="582"/>
      <c r="P1027" s="582"/>
      <c r="Q1027" s="582"/>
    </row>
    <row r="1028" spans="2:18">
      <c r="B1028" s="2157" t="s">
        <v>1145</v>
      </c>
      <c r="C1028" s="2157"/>
      <c r="D1028" s="2157"/>
      <c r="E1028" s="2157"/>
      <c r="F1028" s="2157"/>
      <c r="G1028" s="2157"/>
      <c r="H1028" s="2157"/>
      <c r="I1028" s="2157"/>
      <c r="J1028" s="2157"/>
      <c r="K1028" s="2157"/>
      <c r="L1028" s="2157"/>
      <c r="M1028" s="2157"/>
      <c r="N1028" s="2157"/>
      <c r="O1028" s="2157"/>
      <c r="P1028" s="2157"/>
      <c r="Q1028" s="2157"/>
      <c r="R1028" s="2157"/>
    </row>
    <row r="1029" spans="2:18" ht="15" customHeight="1">
      <c r="B1029" s="2178" t="s">
        <v>1146</v>
      </c>
      <c r="C1029" s="2178"/>
      <c r="D1029" s="2178"/>
      <c r="E1029" s="2178"/>
      <c r="F1029" s="2178"/>
      <c r="G1029" s="2178"/>
      <c r="H1029" s="2178"/>
      <c r="I1029" s="2178"/>
      <c r="J1029" s="2178"/>
      <c r="K1029" s="2178"/>
      <c r="L1029" s="2178"/>
      <c r="M1029" s="2178"/>
      <c r="N1029" s="2178"/>
      <c r="O1029" s="2178"/>
      <c r="P1029" s="2178"/>
      <c r="Q1029" s="2178"/>
      <c r="R1029" s="2178"/>
    </row>
    <row r="1030" spans="2:18">
      <c r="B1030" s="2160" t="s">
        <v>1147</v>
      </c>
      <c r="C1030" s="2160"/>
      <c r="D1030" s="2160"/>
      <c r="E1030" s="2160"/>
      <c r="F1030" s="2160"/>
      <c r="G1030" s="2160"/>
      <c r="H1030" s="2160"/>
      <c r="I1030" s="2160"/>
      <c r="J1030" s="2160"/>
      <c r="K1030" s="2160"/>
      <c r="L1030" s="2160"/>
      <c r="M1030" s="2160"/>
      <c r="N1030" s="2160"/>
      <c r="O1030" s="2160"/>
      <c r="P1030" s="2160"/>
      <c r="Q1030" s="2160"/>
      <c r="R1030" s="2160"/>
    </row>
    <row r="1031" spans="2:18">
      <c r="B1031" s="57"/>
      <c r="C1031" s="582"/>
      <c r="D1031" s="582"/>
      <c r="E1031" s="582"/>
      <c r="F1031" s="582"/>
      <c r="G1031" s="582"/>
      <c r="H1031" s="582"/>
      <c r="I1031" s="582"/>
      <c r="J1031" s="582"/>
      <c r="K1031" s="582"/>
      <c r="L1031" s="582"/>
      <c r="M1031" s="582"/>
      <c r="N1031" s="582"/>
      <c r="O1031" s="582"/>
      <c r="P1031" s="582"/>
      <c r="Q1031" s="582"/>
    </row>
    <row r="1032" spans="2:18">
      <c r="B1032" s="641">
        <v>100</v>
      </c>
      <c r="C1032" s="2161" t="s">
        <v>361</v>
      </c>
      <c r="D1032" s="2162"/>
      <c r="E1032" s="2162"/>
      <c r="F1032" s="2162"/>
      <c r="G1032" s="2162"/>
      <c r="H1032" s="2162"/>
      <c r="I1032" s="2162"/>
      <c r="J1032" s="842"/>
      <c r="K1032" s="2161" t="s">
        <v>358</v>
      </c>
      <c r="L1032" s="2162"/>
      <c r="M1032" s="2162"/>
      <c r="N1032" s="2162"/>
      <c r="O1032" s="2162"/>
      <c r="P1032" s="2162"/>
      <c r="Q1032" s="2162"/>
      <c r="R1032" s="2163"/>
    </row>
    <row r="1033" spans="2:18">
      <c r="B1033" s="57"/>
      <c r="C1033" s="585">
        <v>2014</v>
      </c>
      <c r="D1033" s="586">
        <v>2015</v>
      </c>
      <c r="E1033" s="586">
        <v>2016</v>
      </c>
      <c r="F1033" s="586">
        <v>2017</v>
      </c>
      <c r="G1033" s="586">
        <v>2018</v>
      </c>
      <c r="H1033" s="586">
        <v>2019</v>
      </c>
      <c r="I1033" s="586">
        <v>2020</v>
      </c>
      <c r="J1033" s="586">
        <v>2021</v>
      </c>
      <c r="K1033" s="587">
        <v>2014</v>
      </c>
      <c r="L1033" s="588">
        <v>2015</v>
      </c>
      <c r="M1033" s="588">
        <v>2016</v>
      </c>
      <c r="N1033" s="588">
        <v>2017</v>
      </c>
      <c r="O1033" s="588">
        <v>2018</v>
      </c>
      <c r="P1033" s="588">
        <v>2019</v>
      </c>
      <c r="Q1033" s="588">
        <v>2020</v>
      </c>
      <c r="R1033" s="848">
        <v>2021</v>
      </c>
    </row>
    <row r="1034" spans="2:18">
      <c r="B1034" s="589" t="s">
        <v>1038</v>
      </c>
      <c r="C1034" s="614">
        <f t="shared" ref="C1034:R1034" si="382">IF(ISNUMBER(C764/C336*1000000),C764/C336*1000000,"0")</f>
        <v>7785.3483422756181</v>
      </c>
      <c r="D1034" s="615">
        <f t="shared" si="382"/>
        <v>5690.1404078695832</v>
      </c>
      <c r="E1034" s="615">
        <f t="shared" si="382"/>
        <v>5669.8203079476243</v>
      </c>
      <c r="F1034" s="615">
        <f t="shared" si="382"/>
        <v>5161.6581687735497</v>
      </c>
      <c r="G1034" s="615">
        <f t="shared" si="382"/>
        <v>2869.7797869966739</v>
      </c>
      <c r="H1034" s="615">
        <f t="shared" si="382"/>
        <v>2108.8731425201518</v>
      </c>
      <c r="I1034" s="615">
        <f t="shared" si="382"/>
        <v>866.08478401827597</v>
      </c>
      <c r="J1034" s="615">
        <f t="shared" si="382"/>
        <v>680.86641161432078</v>
      </c>
      <c r="K1034" s="614">
        <f t="shared" si="382"/>
        <v>173.05671071814902</v>
      </c>
      <c r="L1034" s="615">
        <f t="shared" si="382"/>
        <v>146.18709519328539</v>
      </c>
      <c r="M1034" s="615">
        <f t="shared" si="382"/>
        <v>161.1413705442863</v>
      </c>
      <c r="N1034" s="615">
        <f t="shared" si="382"/>
        <v>172.33943658558292</v>
      </c>
      <c r="O1034" s="615">
        <f t="shared" si="382"/>
        <v>108.23899234940247</v>
      </c>
      <c r="P1034" s="615">
        <f t="shared" si="382"/>
        <v>95.462481245439804</v>
      </c>
      <c r="Q1034" s="615">
        <f t="shared" si="382"/>
        <v>84.319880228650817</v>
      </c>
      <c r="R1034" s="616">
        <f t="shared" si="382"/>
        <v>107.64802015474822</v>
      </c>
    </row>
    <row r="1035" spans="2:18">
      <c r="B1035" s="595" t="s">
        <v>1039</v>
      </c>
      <c r="C1035" s="608">
        <f t="shared" ref="C1035:R1035" si="383">IF(ISNUMBER(C765/C337*1000000),C765/C337*1000000,"0")</f>
        <v>4392.0740286793116</v>
      </c>
      <c r="D1035" s="609">
        <f t="shared" si="383"/>
        <v>4130.5401649285395</v>
      </c>
      <c r="E1035" s="609">
        <f t="shared" si="383"/>
        <v>4324.0805710470213</v>
      </c>
      <c r="F1035" s="609">
        <f t="shared" si="383"/>
        <v>5582.5818610787937</v>
      </c>
      <c r="G1035" s="609">
        <f t="shared" si="383"/>
        <v>6000.5006430277417</v>
      </c>
      <c r="H1035" s="609">
        <f t="shared" si="383"/>
        <v>5333.5368443610869</v>
      </c>
      <c r="I1035" s="609">
        <f t="shared" si="383"/>
        <v>5782.6290776387013</v>
      </c>
      <c r="J1035" s="609">
        <f t="shared" si="383"/>
        <v>5161.8287096800786</v>
      </c>
      <c r="K1035" s="608">
        <f t="shared" si="383"/>
        <v>800.79867233689447</v>
      </c>
      <c r="L1035" s="609">
        <f t="shared" si="383"/>
        <v>5087.4839100477011</v>
      </c>
      <c r="M1035" s="609">
        <f t="shared" si="383"/>
        <v>3334.2387336078741</v>
      </c>
      <c r="N1035" s="609">
        <f t="shared" si="383"/>
        <v>3777.6478312610288</v>
      </c>
      <c r="O1035" s="609">
        <f t="shared" si="383"/>
        <v>7864.9024246008266</v>
      </c>
      <c r="P1035" s="609">
        <f t="shared" si="383"/>
        <v>10704.1905687895</v>
      </c>
      <c r="Q1035" s="609">
        <f t="shared" si="383"/>
        <v>8836.6711083241898</v>
      </c>
      <c r="R1035" s="603">
        <f t="shared" si="383"/>
        <v>7662.7219822414218</v>
      </c>
    </row>
    <row r="1036" spans="2:18">
      <c r="B1036" s="595" t="s">
        <v>1040</v>
      </c>
      <c r="C1036" s="608" t="str">
        <f t="shared" ref="C1036:R1036" si="384">IF(ISNUMBER(C766/C338*1000000),C766/C338*1000000,"0")</f>
        <v>0</v>
      </c>
      <c r="D1036" s="609">
        <f t="shared" si="384"/>
        <v>0</v>
      </c>
      <c r="E1036" s="609">
        <f t="shared" si="384"/>
        <v>0</v>
      </c>
      <c r="F1036" s="609">
        <f t="shared" si="384"/>
        <v>0</v>
      </c>
      <c r="G1036" s="609">
        <f t="shared" si="384"/>
        <v>0</v>
      </c>
      <c r="H1036" s="609">
        <f t="shared" si="384"/>
        <v>0</v>
      </c>
      <c r="I1036" s="609">
        <f t="shared" si="384"/>
        <v>0</v>
      </c>
      <c r="J1036" s="609">
        <f t="shared" si="384"/>
        <v>0</v>
      </c>
      <c r="K1036" s="608" t="str">
        <f t="shared" si="384"/>
        <v>0</v>
      </c>
      <c r="L1036" s="609" t="str">
        <f t="shared" si="384"/>
        <v>0</v>
      </c>
      <c r="M1036" s="609" t="str">
        <f t="shared" si="384"/>
        <v>0</v>
      </c>
      <c r="N1036" s="609" t="str">
        <f t="shared" si="384"/>
        <v>0</v>
      </c>
      <c r="O1036" s="609" t="str">
        <f t="shared" si="384"/>
        <v>0</v>
      </c>
      <c r="P1036" s="609" t="str">
        <f t="shared" si="384"/>
        <v>0</v>
      </c>
      <c r="Q1036" s="609" t="str">
        <f t="shared" si="384"/>
        <v>0</v>
      </c>
      <c r="R1036" s="603" t="str">
        <f t="shared" si="384"/>
        <v>0</v>
      </c>
    </row>
    <row r="1037" spans="2:18">
      <c r="B1037" s="595" t="s">
        <v>1041</v>
      </c>
      <c r="C1037" s="608">
        <f t="shared" ref="C1037:R1037" si="385">IF(ISNUMBER(C767/C339*1000000),C767/C339*1000000,"0")</f>
        <v>1436.7046744788317</v>
      </c>
      <c r="D1037" s="609">
        <f t="shared" si="385"/>
        <v>1076.9195591624655</v>
      </c>
      <c r="E1037" s="609">
        <f t="shared" si="385"/>
        <v>1038.6921546261506</v>
      </c>
      <c r="F1037" s="609">
        <f t="shared" si="385"/>
        <v>1177.0664317151791</v>
      </c>
      <c r="G1037" s="609">
        <f t="shared" si="385"/>
        <v>1123.0427645477789</v>
      </c>
      <c r="H1037" s="609">
        <f t="shared" si="385"/>
        <v>1122.4823413890854</v>
      </c>
      <c r="I1037" s="609">
        <f t="shared" si="385"/>
        <v>810.55972014110421</v>
      </c>
      <c r="J1037" s="609">
        <f t="shared" si="385"/>
        <v>629.86059934934042</v>
      </c>
      <c r="K1037" s="608">
        <f t="shared" si="385"/>
        <v>384.10421479409865</v>
      </c>
      <c r="L1037" s="609">
        <f t="shared" si="385"/>
        <v>238.05477425354803</v>
      </c>
      <c r="M1037" s="609">
        <f t="shared" si="385"/>
        <v>350.57520036460886</v>
      </c>
      <c r="N1037" s="609">
        <f t="shared" si="385"/>
        <v>421.62353121358672</v>
      </c>
      <c r="O1037" s="609">
        <f t="shared" si="385"/>
        <v>290.44771557214369</v>
      </c>
      <c r="P1037" s="609">
        <f t="shared" si="385"/>
        <v>218.27393246972085</v>
      </c>
      <c r="Q1037" s="609">
        <f t="shared" si="385"/>
        <v>134.93626309258536</v>
      </c>
      <c r="R1037" s="603">
        <f t="shared" si="385"/>
        <v>132.30579087114543</v>
      </c>
    </row>
    <row r="1038" spans="2:18">
      <c r="B1038" s="595" t="s">
        <v>1042</v>
      </c>
      <c r="C1038" s="608">
        <f t="shared" ref="C1038:R1038" si="386">IF(ISNUMBER(C768/C340*1000000),C768/C340*1000000,"0")</f>
        <v>1264.9876295265221</v>
      </c>
      <c r="D1038" s="609">
        <f t="shared" si="386"/>
        <v>1235.3184857062538</v>
      </c>
      <c r="E1038" s="609">
        <f t="shared" si="386"/>
        <v>1404.8284642588501</v>
      </c>
      <c r="F1038" s="609">
        <f t="shared" si="386"/>
        <v>1586.225758115103</v>
      </c>
      <c r="G1038" s="609">
        <f t="shared" si="386"/>
        <v>1244.0718933250712</v>
      </c>
      <c r="H1038" s="609">
        <f t="shared" si="386"/>
        <v>1018.3406341356643</v>
      </c>
      <c r="I1038" s="609">
        <f t="shared" si="386"/>
        <v>949.58175988411654</v>
      </c>
      <c r="J1038" s="609">
        <f t="shared" si="386"/>
        <v>966.89220468900714</v>
      </c>
      <c r="K1038" s="608" t="str">
        <f t="shared" si="386"/>
        <v>0</v>
      </c>
      <c r="L1038" s="609" t="str">
        <f t="shared" si="386"/>
        <v>0</v>
      </c>
      <c r="M1038" s="609" t="str">
        <f t="shared" si="386"/>
        <v>0</v>
      </c>
      <c r="N1038" s="609" t="str">
        <f t="shared" si="386"/>
        <v>0</v>
      </c>
      <c r="O1038" s="609" t="str">
        <f t="shared" si="386"/>
        <v>0</v>
      </c>
      <c r="P1038" s="609" t="str">
        <f t="shared" si="386"/>
        <v>0</v>
      </c>
      <c r="Q1038" s="609" t="str">
        <f t="shared" si="386"/>
        <v>0</v>
      </c>
      <c r="R1038" s="603" t="str">
        <f t="shared" si="386"/>
        <v>0</v>
      </c>
    </row>
    <row r="1039" spans="2:18">
      <c r="B1039" s="595" t="s">
        <v>1043</v>
      </c>
      <c r="C1039" s="608">
        <f t="shared" ref="C1039:R1039" si="387">IF(ISNUMBER(C769/C341*1000000),C769/C341*1000000,"0")</f>
        <v>2761.1963844829424</v>
      </c>
      <c r="D1039" s="609">
        <f t="shared" si="387"/>
        <v>2078.710267836469</v>
      </c>
      <c r="E1039" s="609">
        <f t="shared" si="387"/>
        <v>1840.1728083554876</v>
      </c>
      <c r="F1039" s="609">
        <f t="shared" si="387"/>
        <v>1921.7029958261749</v>
      </c>
      <c r="G1039" s="609">
        <f t="shared" si="387"/>
        <v>1943.1468411392909</v>
      </c>
      <c r="H1039" s="609">
        <f t="shared" si="387"/>
        <v>1778.8852652640276</v>
      </c>
      <c r="I1039" s="609">
        <f t="shared" si="387"/>
        <v>1571.3867736101481</v>
      </c>
      <c r="J1039" s="609">
        <f t="shared" si="387"/>
        <v>1387.8503863990202</v>
      </c>
      <c r="K1039" s="608">
        <f t="shared" si="387"/>
        <v>187.54988354287258</v>
      </c>
      <c r="L1039" s="609">
        <f t="shared" si="387"/>
        <v>143.30823599306774</v>
      </c>
      <c r="M1039" s="609">
        <f t="shared" si="387"/>
        <v>128.80374325245197</v>
      </c>
      <c r="N1039" s="609">
        <f t="shared" si="387"/>
        <v>122.07981849135356</v>
      </c>
      <c r="O1039" s="609">
        <f t="shared" si="387"/>
        <v>98.191203837575586</v>
      </c>
      <c r="P1039" s="609">
        <f t="shared" si="387"/>
        <v>68.529512035148556</v>
      </c>
      <c r="Q1039" s="609">
        <f t="shared" si="387"/>
        <v>81.064033934293889</v>
      </c>
      <c r="R1039" s="603">
        <f t="shared" si="387"/>
        <v>80.579236666915065</v>
      </c>
    </row>
    <row r="1040" spans="2:18">
      <c r="B1040" s="595" t="s">
        <v>1044</v>
      </c>
      <c r="C1040" s="608" t="str">
        <f t="shared" ref="C1040:R1040" si="388">IF(ISNUMBER(C770/C342*1000000),C770/C342*1000000,"0")</f>
        <v>0</v>
      </c>
      <c r="D1040" s="609" t="str">
        <f t="shared" si="388"/>
        <v>0</v>
      </c>
      <c r="E1040" s="609" t="str">
        <f t="shared" si="388"/>
        <v>0</v>
      </c>
      <c r="F1040" s="609">
        <f t="shared" si="388"/>
        <v>2147.768209704519</v>
      </c>
      <c r="G1040" s="609">
        <f t="shared" si="388"/>
        <v>2082.5501853418477</v>
      </c>
      <c r="H1040" s="609">
        <f t="shared" si="388"/>
        <v>1954.5935413771538</v>
      </c>
      <c r="I1040" s="609">
        <f t="shared" si="388"/>
        <v>1316.6207161613004</v>
      </c>
      <c r="J1040" s="609">
        <f t="shared" si="388"/>
        <v>794.85593356665368</v>
      </c>
      <c r="K1040" s="608" t="str">
        <f t="shared" si="388"/>
        <v>0</v>
      </c>
      <c r="L1040" s="609" t="str">
        <f t="shared" si="388"/>
        <v>0</v>
      </c>
      <c r="M1040" s="609" t="str">
        <f t="shared" si="388"/>
        <v>0</v>
      </c>
      <c r="N1040" s="609">
        <f t="shared" si="388"/>
        <v>2086.5213762720036</v>
      </c>
      <c r="O1040" s="609">
        <f t="shared" si="388"/>
        <v>2851.0164029755415</v>
      </c>
      <c r="P1040" s="609">
        <f t="shared" si="388"/>
        <v>4615.7504860822028</v>
      </c>
      <c r="Q1040" s="609">
        <f t="shared" si="388"/>
        <v>3871.0065394380044</v>
      </c>
      <c r="R1040" s="603">
        <f t="shared" si="388"/>
        <v>2831.5745317878923</v>
      </c>
    </row>
    <row r="1041" spans="2:18">
      <c r="B1041" s="595" t="s">
        <v>1061</v>
      </c>
      <c r="C1041" s="608" t="str">
        <f t="shared" ref="C1041:R1041" si="389">IF(ISNUMBER(C771/C343*1000000),C771/C343*1000000,"0")</f>
        <v>0</v>
      </c>
      <c r="D1041" s="609">
        <f t="shared" si="389"/>
        <v>2311.2406855082336</v>
      </c>
      <c r="E1041" s="609">
        <f t="shared" si="389"/>
        <v>2573.1818898551278</v>
      </c>
      <c r="F1041" s="609">
        <f t="shared" si="389"/>
        <v>2373.1079636978343</v>
      </c>
      <c r="G1041" s="609">
        <f t="shared" si="389"/>
        <v>2334.9250263126896</v>
      </c>
      <c r="H1041" s="609">
        <f t="shared" si="389"/>
        <v>2063.2858849601644</v>
      </c>
      <c r="I1041" s="609">
        <f t="shared" si="389"/>
        <v>1852.9671346627729</v>
      </c>
      <c r="J1041" s="609">
        <f t="shared" si="389"/>
        <v>3189.8396226239138</v>
      </c>
      <c r="K1041" s="608" t="str">
        <f t="shared" si="389"/>
        <v>0</v>
      </c>
      <c r="L1041" s="609" t="str">
        <f t="shared" si="389"/>
        <v>0</v>
      </c>
      <c r="M1041" s="609" t="str">
        <f t="shared" si="389"/>
        <v>0</v>
      </c>
      <c r="N1041" s="609" t="str">
        <f t="shared" si="389"/>
        <v>0</v>
      </c>
      <c r="O1041" s="609" t="str">
        <f t="shared" si="389"/>
        <v>0</v>
      </c>
      <c r="P1041" s="609" t="str">
        <f t="shared" si="389"/>
        <v>0</v>
      </c>
      <c r="Q1041" s="609" t="str">
        <f t="shared" si="389"/>
        <v>0</v>
      </c>
      <c r="R1041" s="603" t="str">
        <f t="shared" si="389"/>
        <v>0</v>
      </c>
    </row>
    <row r="1042" spans="2:18">
      <c r="B1042" s="595" t="s">
        <v>1047</v>
      </c>
      <c r="C1042" s="608">
        <f t="shared" ref="C1042:R1042" si="390">IF(ISNUMBER(C772/C344*1000000),C772/C344*1000000,"0")</f>
        <v>1427.4216972893059</v>
      </c>
      <c r="D1042" s="609">
        <f t="shared" si="390"/>
        <v>1720.2143636833662</v>
      </c>
      <c r="E1042" s="609">
        <f t="shared" si="390"/>
        <v>1621.5838428723673</v>
      </c>
      <c r="F1042" s="609">
        <f t="shared" si="390"/>
        <v>1599.5668188583945</v>
      </c>
      <c r="G1042" s="609">
        <f t="shared" si="390"/>
        <v>1563.9498613450721</v>
      </c>
      <c r="H1042" s="609">
        <f t="shared" si="390"/>
        <v>1506.2530777560853</v>
      </c>
      <c r="I1042" s="609">
        <f t="shared" si="390"/>
        <v>1355.8325254899676</v>
      </c>
      <c r="J1042" s="609">
        <f t="shared" si="390"/>
        <v>1356.8026781869419</v>
      </c>
      <c r="K1042" s="608">
        <f t="shared" si="390"/>
        <v>1382.4872002639586</v>
      </c>
      <c r="L1042" s="609">
        <f t="shared" si="390"/>
        <v>1390.0583990859755</v>
      </c>
      <c r="M1042" s="609">
        <f t="shared" si="390"/>
        <v>1165.3791215337012</v>
      </c>
      <c r="N1042" s="609">
        <f t="shared" si="390"/>
        <v>1171.8557182117831</v>
      </c>
      <c r="O1042" s="609">
        <f t="shared" si="390"/>
        <v>1214.0448402527534</v>
      </c>
      <c r="P1042" s="609">
        <f t="shared" si="390"/>
        <v>1120.33919499026</v>
      </c>
      <c r="Q1042" s="609">
        <f t="shared" si="390"/>
        <v>1056.3485807817026</v>
      </c>
      <c r="R1042" s="603">
        <f t="shared" si="390"/>
        <v>979.96928358086041</v>
      </c>
    </row>
    <row r="1043" spans="2:18">
      <c r="B1043" s="595" t="s">
        <v>1048</v>
      </c>
      <c r="C1043" s="608" t="str">
        <f t="shared" ref="C1043:R1043" si="391">IF(ISNUMBER(C773/C345*1000000),C773/C345*1000000,"0")</f>
        <v>0</v>
      </c>
      <c r="D1043" s="609">
        <f t="shared" si="391"/>
        <v>1455.7164542976284</v>
      </c>
      <c r="E1043" s="609">
        <f t="shared" si="391"/>
        <v>1801.0936557771424</v>
      </c>
      <c r="F1043" s="609">
        <f t="shared" si="391"/>
        <v>2096.792034128277</v>
      </c>
      <c r="G1043" s="609">
        <f t="shared" si="391"/>
        <v>2221.0874901091765</v>
      </c>
      <c r="H1043" s="609">
        <f t="shared" si="391"/>
        <v>1786.284383277394</v>
      </c>
      <c r="I1043" s="609">
        <f t="shared" si="391"/>
        <v>1579.9668808090553</v>
      </c>
      <c r="J1043" s="609">
        <f t="shared" si="391"/>
        <v>1342.5319371659891</v>
      </c>
      <c r="K1043" s="608" t="str">
        <f t="shared" si="391"/>
        <v>0</v>
      </c>
      <c r="L1043" s="609">
        <f t="shared" si="391"/>
        <v>210.95638610463078</v>
      </c>
      <c r="M1043" s="609">
        <f t="shared" si="391"/>
        <v>229.74556562941035</v>
      </c>
      <c r="N1043" s="609">
        <f t="shared" si="391"/>
        <v>208.9779217084965</v>
      </c>
      <c r="O1043" s="609">
        <f t="shared" si="391"/>
        <v>395.41901215832297</v>
      </c>
      <c r="P1043" s="609">
        <f t="shared" si="391"/>
        <v>275.56864299601716</v>
      </c>
      <c r="Q1043" s="609">
        <f t="shared" si="391"/>
        <v>201.18792923973388</v>
      </c>
      <c r="R1043" s="603">
        <f t="shared" si="391"/>
        <v>96.760832864378173</v>
      </c>
    </row>
    <row r="1044" spans="2:18">
      <c r="B1044" s="595" t="s">
        <v>1049</v>
      </c>
      <c r="C1044" s="608">
        <f t="shared" ref="C1044:R1044" si="392">IF(ISNUMBER(C774/C346*1000000),C774/C346*1000000,"0")</f>
        <v>187.618531563262</v>
      </c>
      <c r="D1044" s="609">
        <f t="shared" si="392"/>
        <v>103.58052906717104</v>
      </c>
      <c r="E1044" s="609">
        <f t="shared" si="392"/>
        <v>107.828973290509</v>
      </c>
      <c r="F1044" s="609">
        <f t="shared" si="392"/>
        <v>218.55510789778685</v>
      </c>
      <c r="G1044" s="609">
        <f t="shared" si="392"/>
        <v>209.5492363094499</v>
      </c>
      <c r="H1044" s="609">
        <f t="shared" si="392"/>
        <v>223.04658068519257</v>
      </c>
      <c r="I1044" s="609">
        <f t="shared" si="392"/>
        <v>240.06718521925177</v>
      </c>
      <c r="J1044" s="609">
        <f t="shared" si="392"/>
        <v>259.93864878905572</v>
      </c>
      <c r="K1044" s="608" t="str">
        <f t="shared" si="392"/>
        <v>0</v>
      </c>
      <c r="L1044" s="609" t="str">
        <f t="shared" si="392"/>
        <v>0</v>
      </c>
      <c r="M1044" s="609" t="str">
        <f t="shared" si="392"/>
        <v>0</v>
      </c>
      <c r="N1044" s="609" t="str">
        <f t="shared" si="392"/>
        <v>0</v>
      </c>
      <c r="O1044" s="609" t="str">
        <f t="shared" si="392"/>
        <v>0</v>
      </c>
      <c r="P1044" s="609" t="str">
        <f t="shared" si="392"/>
        <v>0</v>
      </c>
      <c r="Q1044" s="609" t="str">
        <f t="shared" si="392"/>
        <v>0</v>
      </c>
      <c r="R1044" s="603" t="str">
        <f t="shared" si="392"/>
        <v>0</v>
      </c>
    </row>
    <row r="1045" spans="2:18">
      <c r="B1045" s="595" t="s">
        <v>1050</v>
      </c>
      <c r="C1045" s="608" t="str">
        <f t="shared" ref="C1045:R1045" si="393">IF(ISNUMBER(C775/C347*1000000),C775/C347*1000000,"0")</f>
        <v>0</v>
      </c>
      <c r="D1045" s="609" t="str">
        <f t="shared" si="393"/>
        <v>0</v>
      </c>
      <c r="E1045" s="609" t="str">
        <f t="shared" si="393"/>
        <v>0</v>
      </c>
      <c r="F1045" s="609" t="str">
        <f t="shared" si="393"/>
        <v>0</v>
      </c>
      <c r="G1045" s="609" t="str">
        <f t="shared" si="393"/>
        <v>0</v>
      </c>
      <c r="H1045" s="609" t="str">
        <f t="shared" si="393"/>
        <v>0</v>
      </c>
      <c r="I1045" s="609" t="str">
        <f t="shared" si="393"/>
        <v>0</v>
      </c>
      <c r="J1045" s="609" t="str">
        <f t="shared" si="393"/>
        <v>0</v>
      </c>
      <c r="K1045" s="608" t="str">
        <f t="shared" si="393"/>
        <v>0</v>
      </c>
      <c r="L1045" s="609" t="str">
        <f t="shared" si="393"/>
        <v>0</v>
      </c>
      <c r="M1045" s="609" t="str">
        <f t="shared" si="393"/>
        <v>0</v>
      </c>
      <c r="N1045" s="609" t="str">
        <f t="shared" si="393"/>
        <v>0</v>
      </c>
      <c r="O1045" s="609" t="str">
        <f t="shared" si="393"/>
        <v>0</v>
      </c>
      <c r="P1045" s="609" t="str">
        <f t="shared" si="393"/>
        <v>0</v>
      </c>
      <c r="Q1045" s="609" t="str">
        <f t="shared" si="393"/>
        <v>0</v>
      </c>
      <c r="R1045" s="603" t="str">
        <f t="shared" si="393"/>
        <v>0</v>
      </c>
    </row>
    <row r="1046" spans="2:18">
      <c r="B1046" s="595" t="s">
        <v>1051</v>
      </c>
      <c r="C1046" s="608">
        <f t="shared" ref="C1046:R1046" si="394">IF(ISNUMBER(C776/C348*1000000),C776/C348*1000000,"0")</f>
        <v>704.02415094205685</v>
      </c>
      <c r="D1046" s="609">
        <f t="shared" si="394"/>
        <v>703.67144552828756</v>
      </c>
      <c r="E1046" s="609">
        <f t="shared" si="394"/>
        <v>598.29605565800307</v>
      </c>
      <c r="F1046" s="609">
        <f t="shared" si="394"/>
        <v>589.5679915297942</v>
      </c>
      <c r="G1046" s="609">
        <f t="shared" si="394"/>
        <v>562.46277930224642</v>
      </c>
      <c r="H1046" s="609">
        <f t="shared" si="394"/>
        <v>543.78755083254543</v>
      </c>
      <c r="I1046" s="609">
        <f t="shared" si="394"/>
        <v>458.47910771740516</v>
      </c>
      <c r="J1046" s="609">
        <f t="shared" si="394"/>
        <v>417.98413644820619</v>
      </c>
      <c r="K1046" s="608">
        <f t="shared" si="394"/>
        <v>191.15306788751354</v>
      </c>
      <c r="L1046" s="609">
        <f t="shared" si="394"/>
        <v>169.4129965309242</v>
      </c>
      <c r="M1046" s="609">
        <f t="shared" si="394"/>
        <v>141.66420571615612</v>
      </c>
      <c r="N1046" s="609">
        <f t="shared" si="394"/>
        <v>149.53270137349315</v>
      </c>
      <c r="O1046" s="609">
        <f t="shared" si="394"/>
        <v>143.28729383009124</v>
      </c>
      <c r="P1046" s="609">
        <f t="shared" si="394"/>
        <v>102.04539378537322</v>
      </c>
      <c r="Q1046" s="609">
        <f t="shared" si="394"/>
        <v>103.00694509369414</v>
      </c>
      <c r="R1046" s="603">
        <f t="shared" si="394"/>
        <v>100.92558956469314</v>
      </c>
    </row>
    <row r="1047" spans="2:18">
      <c r="B1047" s="595" t="s">
        <v>1052</v>
      </c>
      <c r="C1047" s="608">
        <f t="shared" ref="C1047:R1047" si="395">IF(ISNUMBER(C777/C349*1000000),C777/C349*1000000,"0")</f>
        <v>1704.5735797181367</v>
      </c>
      <c r="D1047" s="609">
        <f t="shared" si="395"/>
        <v>1492.799410268959</v>
      </c>
      <c r="E1047" s="609">
        <f t="shared" si="395"/>
        <v>1507.5830243976616</v>
      </c>
      <c r="F1047" s="609">
        <f t="shared" si="395"/>
        <v>1456.5886353170256</v>
      </c>
      <c r="G1047" s="609">
        <f t="shared" si="395"/>
        <v>1192.4370532500952</v>
      </c>
      <c r="H1047" s="609">
        <f t="shared" si="395"/>
        <v>1046.2917292924662</v>
      </c>
      <c r="I1047" s="609">
        <f t="shared" si="395"/>
        <v>924.0416309087251</v>
      </c>
      <c r="J1047" s="609">
        <f t="shared" si="395"/>
        <v>866.76757080608274</v>
      </c>
      <c r="K1047" s="608">
        <f t="shared" si="395"/>
        <v>1034.8343276080345</v>
      </c>
      <c r="L1047" s="609">
        <f t="shared" si="395"/>
        <v>1045.4668979872624</v>
      </c>
      <c r="M1047" s="609">
        <f t="shared" si="395"/>
        <v>617.17674149523691</v>
      </c>
      <c r="N1047" s="609">
        <f t="shared" si="395"/>
        <v>395.54503138831996</v>
      </c>
      <c r="O1047" s="609">
        <f t="shared" si="395"/>
        <v>235.0879101458037</v>
      </c>
      <c r="P1047" s="609">
        <f t="shared" si="395"/>
        <v>216.32594178970461</v>
      </c>
      <c r="Q1047" s="609">
        <f t="shared" si="395"/>
        <v>253.6443663559171</v>
      </c>
      <c r="R1047" s="603">
        <f t="shared" si="395"/>
        <v>322.62382855712445</v>
      </c>
    </row>
    <row r="1048" spans="2:18">
      <c r="B1048" s="595" t="s">
        <v>1053</v>
      </c>
      <c r="C1048" s="608">
        <f t="shared" ref="C1048:R1048" si="396">IF(ISNUMBER(C778/C350*1000000),C778/C350*1000000,"0")</f>
        <v>0</v>
      </c>
      <c r="D1048" s="609">
        <f t="shared" si="396"/>
        <v>15022.603628750847</v>
      </c>
      <c r="E1048" s="609">
        <f t="shared" si="396"/>
        <v>11800.096978293122</v>
      </c>
      <c r="F1048" s="609">
        <f t="shared" si="396"/>
        <v>8621.2692949484954</v>
      </c>
      <c r="G1048" s="609">
        <f t="shared" si="396"/>
        <v>7976.9570785590431</v>
      </c>
      <c r="H1048" s="609">
        <f t="shared" si="396"/>
        <v>6249.8295784839675</v>
      </c>
      <c r="I1048" s="609">
        <f t="shared" si="396"/>
        <v>4027.0671430665088</v>
      </c>
      <c r="J1048" s="609">
        <f t="shared" si="396"/>
        <v>5050.0452207817007</v>
      </c>
      <c r="K1048" s="608" t="str">
        <f t="shared" si="396"/>
        <v>0</v>
      </c>
      <c r="L1048" s="609" t="str">
        <f t="shared" si="396"/>
        <v>0</v>
      </c>
      <c r="M1048" s="609" t="str">
        <f t="shared" si="396"/>
        <v>0</v>
      </c>
      <c r="N1048" s="609" t="str">
        <f t="shared" si="396"/>
        <v>0</v>
      </c>
      <c r="O1048" s="609" t="str">
        <f t="shared" si="396"/>
        <v>0</v>
      </c>
      <c r="P1048" s="609" t="str">
        <f t="shared" si="396"/>
        <v>0</v>
      </c>
      <c r="Q1048" s="609" t="str">
        <f t="shared" si="396"/>
        <v>0</v>
      </c>
      <c r="R1048" s="603" t="str">
        <f t="shared" si="396"/>
        <v>0</v>
      </c>
    </row>
    <row r="1049" spans="2:18">
      <c r="B1049" s="595" t="s">
        <v>1054</v>
      </c>
      <c r="C1049" s="608">
        <f t="shared" ref="C1049:R1049" si="397">IF(ISNUMBER(C779/C351*1000000),C779/C351*1000000,"0")</f>
        <v>3085.8676593654664</v>
      </c>
      <c r="D1049" s="609">
        <f t="shared" si="397"/>
        <v>2559.6449841685449</v>
      </c>
      <c r="E1049" s="609">
        <f t="shared" si="397"/>
        <v>3121.2750088512166</v>
      </c>
      <c r="F1049" s="609">
        <f t="shared" si="397"/>
        <v>3264.4640556339059</v>
      </c>
      <c r="G1049" s="609">
        <f t="shared" si="397"/>
        <v>3158.7756765111949</v>
      </c>
      <c r="H1049" s="609">
        <f t="shared" si="397"/>
        <v>2910.1023573287011</v>
      </c>
      <c r="I1049" s="609">
        <f t="shared" si="397"/>
        <v>1634.7400150879837</v>
      </c>
      <c r="J1049" s="609">
        <f t="shared" si="397"/>
        <v>995.07401258448567</v>
      </c>
      <c r="K1049" s="608">
        <f t="shared" si="397"/>
        <v>65.488311959997773</v>
      </c>
      <c r="L1049" s="609">
        <f t="shared" si="397"/>
        <v>61.374532380815104</v>
      </c>
      <c r="M1049" s="609">
        <f t="shared" si="397"/>
        <v>62.512791540703873</v>
      </c>
      <c r="N1049" s="609">
        <f t="shared" si="397"/>
        <v>83.602300606669317</v>
      </c>
      <c r="O1049" s="609">
        <f t="shared" si="397"/>
        <v>89.97363709785435</v>
      </c>
      <c r="P1049" s="609">
        <f t="shared" si="397"/>
        <v>40.190593756706996</v>
      </c>
      <c r="Q1049" s="609">
        <f t="shared" si="397"/>
        <v>36.058122414628784</v>
      </c>
      <c r="R1049" s="603">
        <f t="shared" si="397"/>
        <v>39.345197968786465</v>
      </c>
    </row>
    <row r="1050" spans="2:18">
      <c r="B1050" s="604" t="s">
        <v>1055</v>
      </c>
      <c r="C1050" s="610">
        <f t="shared" ref="C1050:R1050" si="398">IF(ISNUMBER(C780/C352*1000000),C780/C352*1000000,"0")</f>
        <v>3923.7986262148943</v>
      </c>
      <c r="D1050" s="617">
        <f t="shared" si="398"/>
        <v>3660.3960772745027</v>
      </c>
      <c r="E1050" s="617">
        <f t="shared" si="398"/>
        <v>3098.1254568152081</v>
      </c>
      <c r="F1050" s="617">
        <f t="shared" si="398"/>
        <v>2907.8410827460089</v>
      </c>
      <c r="G1050" s="617">
        <f t="shared" si="398"/>
        <v>2937.1659582722323</v>
      </c>
      <c r="H1050" s="617">
        <f t="shared" si="398"/>
        <v>2630.4227873237151</v>
      </c>
      <c r="I1050" s="617">
        <f t="shared" si="398"/>
        <v>2259.8676033596516</v>
      </c>
      <c r="J1050" s="617">
        <f t="shared" si="398"/>
        <v>1965.9218783874703</v>
      </c>
      <c r="K1050" s="610">
        <f t="shared" si="398"/>
        <v>396.58399757663994</v>
      </c>
      <c r="L1050" s="617">
        <f t="shared" si="398"/>
        <v>419.35302483006274</v>
      </c>
      <c r="M1050" s="617">
        <f t="shared" si="398"/>
        <v>314.51017339844867</v>
      </c>
      <c r="N1050" s="617">
        <f t="shared" si="398"/>
        <v>316.49252749003591</v>
      </c>
      <c r="O1050" s="617">
        <f t="shared" si="398"/>
        <v>448.64301628956434</v>
      </c>
      <c r="P1050" s="617">
        <f t="shared" si="398"/>
        <v>336.87638531765219</v>
      </c>
      <c r="Q1050" s="617">
        <f t="shared" si="398"/>
        <v>796.32058774165</v>
      </c>
      <c r="R1050" s="618">
        <f t="shared" si="398"/>
        <v>1831.4689016327084</v>
      </c>
    </row>
    <row r="1051" spans="2:18">
      <c r="B1051" s="57"/>
      <c r="C1051" s="582"/>
      <c r="D1051" s="582"/>
      <c r="E1051" s="582"/>
      <c r="F1051" s="582"/>
      <c r="G1051" s="582"/>
      <c r="H1051" s="582"/>
      <c r="I1051" s="582"/>
      <c r="J1051" s="582"/>
      <c r="K1051" s="582"/>
      <c r="L1051" s="582"/>
      <c r="M1051" s="582"/>
      <c r="N1051" s="582"/>
      <c r="O1051" s="582"/>
      <c r="P1051" s="582"/>
      <c r="Q1051" s="582"/>
    </row>
    <row r="1052" spans="2:18">
      <c r="B1052" s="2157" t="s">
        <v>1148</v>
      </c>
      <c r="C1052" s="2157"/>
      <c r="D1052" s="2157"/>
      <c r="E1052" s="2157"/>
      <c r="F1052" s="2157"/>
      <c r="G1052" s="2157"/>
      <c r="H1052" s="2157"/>
      <c r="I1052" s="2157"/>
      <c r="J1052" s="2157"/>
      <c r="K1052" s="2157"/>
      <c r="L1052" s="2157"/>
      <c r="M1052" s="2157"/>
      <c r="N1052" s="2157"/>
      <c r="O1052" s="2157"/>
      <c r="P1052" s="2157"/>
      <c r="Q1052" s="2157"/>
      <c r="R1052" s="2157"/>
    </row>
    <row r="1053" spans="2:18">
      <c r="B1053" s="619"/>
      <c r="C1053" s="621"/>
      <c r="D1053" s="621"/>
      <c r="E1053" s="621"/>
      <c r="F1053" s="621"/>
      <c r="G1053" s="621"/>
      <c r="H1053" s="621"/>
      <c r="I1053" s="621"/>
      <c r="J1053" s="621"/>
      <c r="K1053" s="622"/>
      <c r="L1053" s="622"/>
      <c r="M1053" s="622"/>
      <c r="N1053" s="622"/>
      <c r="O1053" s="622"/>
      <c r="P1053" s="622"/>
      <c r="Q1053" s="622"/>
    </row>
    <row r="1054" spans="2:18">
      <c r="B1054" s="583"/>
      <c r="C1054" s="2161" t="s">
        <v>353</v>
      </c>
      <c r="D1054" s="2162"/>
      <c r="E1054" s="2162"/>
      <c r="F1054" s="2162"/>
      <c r="G1054" s="2162"/>
      <c r="H1054" s="2162"/>
      <c r="I1054" s="2162"/>
      <c r="J1054" s="2163"/>
      <c r="K1054" s="2164" t="s">
        <v>338</v>
      </c>
      <c r="L1054" s="2165"/>
      <c r="M1054" s="2165"/>
      <c r="N1054" s="2165"/>
      <c r="O1054" s="2165"/>
      <c r="P1054" s="2165"/>
      <c r="Q1054" s="2165"/>
      <c r="R1054" s="2166"/>
    </row>
    <row r="1055" spans="2:18">
      <c r="B1055" s="57"/>
      <c r="C1055" s="585">
        <v>2014</v>
      </c>
      <c r="D1055" s="586">
        <v>2015</v>
      </c>
      <c r="E1055" s="586">
        <v>2016</v>
      </c>
      <c r="F1055" s="586">
        <v>2017</v>
      </c>
      <c r="G1055" s="586">
        <v>2018</v>
      </c>
      <c r="H1055" s="586">
        <v>2019</v>
      </c>
      <c r="I1055" s="586">
        <v>2020</v>
      </c>
      <c r="J1055" s="586">
        <v>2021</v>
      </c>
      <c r="K1055" s="587">
        <v>2014</v>
      </c>
      <c r="L1055" s="588">
        <v>2015</v>
      </c>
      <c r="M1055" s="588">
        <v>2016</v>
      </c>
      <c r="N1055" s="588">
        <v>2017</v>
      </c>
      <c r="O1055" s="588">
        <v>2018</v>
      </c>
      <c r="P1055" s="588">
        <v>2019</v>
      </c>
      <c r="Q1055" s="588">
        <v>2020</v>
      </c>
      <c r="R1055" s="848">
        <v>2021</v>
      </c>
    </row>
    <row r="1056" spans="2:18">
      <c r="B1056" s="589" t="s">
        <v>1038</v>
      </c>
      <c r="C1056" s="614">
        <f t="shared" ref="C1056:R1056" si="399">IF(ISNUMBER(C786/C358*1000000),C786/C358*1000000,"0")</f>
        <v>2603.8547768021849</v>
      </c>
      <c r="D1056" s="615">
        <f t="shared" si="399"/>
        <v>2034.2718857332909</v>
      </c>
      <c r="E1056" s="615">
        <f t="shared" si="399"/>
        <v>2098.5076539364113</v>
      </c>
      <c r="F1056" s="615">
        <f t="shared" si="399"/>
        <v>2194.5654551778766</v>
      </c>
      <c r="G1056" s="615">
        <f t="shared" si="399"/>
        <v>1394.0771060759237</v>
      </c>
      <c r="H1056" s="615">
        <f t="shared" si="399"/>
        <v>1253.714591211077</v>
      </c>
      <c r="I1056" s="615">
        <f t="shared" si="399"/>
        <v>916.84817754889218</v>
      </c>
      <c r="J1056" s="615">
        <f t="shared" si="399"/>
        <v>1199.3629559459573</v>
      </c>
      <c r="K1056" s="614" t="str">
        <f t="shared" si="399"/>
        <v>0</v>
      </c>
      <c r="L1056" s="615" t="str">
        <f t="shared" si="399"/>
        <v>0</v>
      </c>
      <c r="M1056" s="615">
        <f t="shared" si="399"/>
        <v>45.957304178800776</v>
      </c>
      <c r="N1056" s="615">
        <f t="shared" si="399"/>
        <v>30.463945830385651</v>
      </c>
      <c r="O1056" s="615">
        <f t="shared" si="399"/>
        <v>18.460747544839808</v>
      </c>
      <c r="P1056" s="615">
        <f t="shared" si="399"/>
        <v>19.6565575975043</v>
      </c>
      <c r="Q1056" s="615">
        <f t="shared" si="399"/>
        <v>18.125062258244785</v>
      </c>
      <c r="R1056" s="616" t="str">
        <f t="shared" si="399"/>
        <v>0</v>
      </c>
    </row>
    <row r="1057" spans="2:18">
      <c r="B1057" s="595" t="s">
        <v>1039</v>
      </c>
      <c r="C1057" s="608">
        <f t="shared" ref="C1057:R1057" si="400">IF(ISNUMBER(C787/C359*1000000),C787/C359*1000000,"0")</f>
        <v>3027.0349047861755</v>
      </c>
      <c r="D1057" s="609">
        <f t="shared" si="400"/>
        <v>3097.062318415657</v>
      </c>
      <c r="E1057" s="609">
        <f t="shared" si="400"/>
        <v>1841.9024337773362</v>
      </c>
      <c r="F1057" s="609">
        <f t="shared" si="400"/>
        <v>2902.2785578211856</v>
      </c>
      <c r="G1057" s="609">
        <f t="shared" si="400"/>
        <v>4478.3392539515935</v>
      </c>
      <c r="H1057" s="609">
        <f t="shared" si="400"/>
        <v>4167.6361649531045</v>
      </c>
      <c r="I1057" s="609">
        <f t="shared" si="400"/>
        <v>4805.4990570567779</v>
      </c>
      <c r="J1057" s="609">
        <f t="shared" si="400"/>
        <v>3057.9685327264833</v>
      </c>
      <c r="K1057" s="608" t="str">
        <f t="shared" si="400"/>
        <v>0</v>
      </c>
      <c r="L1057" s="609" t="str">
        <f t="shared" si="400"/>
        <v>0</v>
      </c>
      <c r="M1057" s="609" t="str">
        <f t="shared" si="400"/>
        <v>0</v>
      </c>
      <c r="N1057" s="609" t="str">
        <f t="shared" si="400"/>
        <v>0</v>
      </c>
      <c r="O1057" s="609" t="str">
        <f t="shared" si="400"/>
        <v>0</v>
      </c>
      <c r="P1057" s="609" t="str">
        <f t="shared" si="400"/>
        <v>0</v>
      </c>
      <c r="Q1057" s="609" t="str">
        <f t="shared" si="400"/>
        <v>0</v>
      </c>
      <c r="R1057" s="603" t="str">
        <f t="shared" si="400"/>
        <v>0</v>
      </c>
    </row>
    <row r="1058" spans="2:18">
      <c r="B1058" s="595" t="s">
        <v>1040</v>
      </c>
      <c r="C1058" s="608">
        <f t="shared" ref="C1058:R1058" si="401">IF(ISNUMBER(C788/C360*1000000),C788/C360*1000000,"0")</f>
        <v>16900.989089958381</v>
      </c>
      <c r="D1058" s="609">
        <f t="shared" si="401"/>
        <v>16577.881815196833</v>
      </c>
      <c r="E1058" s="609">
        <f t="shared" si="401"/>
        <v>5278.8742380509002</v>
      </c>
      <c r="F1058" s="609">
        <f t="shared" si="401"/>
        <v>18462.462334508331</v>
      </c>
      <c r="G1058" s="609">
        <f t="shared" si="401"/>
        <v>5379.5609565612958</v>
      </c>
      <c r="H1058" s="609">
        <f t="shared" si="401"/>
        <v>6062.5370160660259</v>
      </c>
      <c r="I1058" s="609">
        <f t="shared" si="401"/>
        <v>6739.1935682030989</v>
      </c>
      <c r="J1058" s="609">
        <f t="shared" si="401"/>
        <v>6720.2538884960077</v>
      </c>
      <c r="K1058" s="608">
        <f t="shared" si="401"/>
        <v>3.4257245161679584</v>
      </c>
      <c r="L1058" s="609">
        <f t="shared" si="401"/>
        <v>1.6578174890462267</v>
      </c>
      <c r="M1058" s="609">
        <f t="shared" si="401"/>
        <v>1.615098779268064</v>
      </c>
      <c r="N1058" s="609">
        <f t="shared" si="401"/>
        <v>1.9873761076686192</v>
      </c>
      <c r="O1058" s="609">
        <f t="shared" si="401"/>
        <v>2.5542580650908135</v>
      </c>
      <c r="P1058" s="609">
        <f t="shared" si="401"/>
        <v>3.6376997727603668</v>
      </c>
      <c r="Q1058" s="609">
        <f t="shared" si="401"/>
        <v>7.0723146341329528</v>
      </c>
      <c r="R1058" s="603">
        <f t="shared" si="401"/>
        <v>8.9360662951623979</v>
      </c>
    </row>
    <row r="1059" spans="2:18">
      <c r="B1059" s="595" t="s">
        <v>1041</v>
      </c>
      <c r="C1059" s="608">
        <f t="shared" ref="C1059:R1059" si="402">IF(ISNUMBER(C789/C361*1000000),C789/C361*1000000,"0")</f>
        <v>1021.3121118218577</v>
      </c>
      <c r="D1059" s="609">
        <f t="shared" si="402"/>
        <v>743.02102947294998</v>
      </c>
      <c r="E1059" s="609">
        <f t="shared" si="402"/>
        <v>726.67161396390588</v>
      </c>
      <c r="F1059" s="609">
        <f t="shared" si="402"/>
        <v>809.18102970411474</v>
      </c>
      <c r="G1059" s="609">
        <f t="shared" si="402"/>
        <v>723.22430872248663</v>
      </c>
      <c r="H1059" s="609">
        <f t="shared" si="402"/>
        <v>700.45892755501836</v>
      </c>
      <c r="I1059" s="609">
        <f t="shared" si="402"/>
        <v>561.27536255839971</v>
      </c>
      <c r="J1059" s="609">
        <f t="shared" si="402"/>
        <v>621.59800491055921</v>
      </c>
      <c r="K1059" s="608">
        <f t="shared" si="402"/>
        <v>27.025400472801838</v>
      </c>
      <c r="L1059" s="609">
        <f t="shared" si="402"/>
        <v>15.864658541181946</v>
      </c>
      <c r="M1059" s="609">
        <f t="shared" si="402"/>
        <v>15.629494108122618</v>
      </c>
      <c r="N1059" s="609">
        <f t="shared" si="402"/>
        <v>38.395154055616189</v>
      </c>
      <c r="O1059" s="609">
        <f t="shared" si="402"/>
        <v>31.081878993767635</v>
      </c>
      <c r="P1059" s="609">
        <f t="shared" si="402"/>
        <v>13.913793570405996</v>
      </c>
      <c r="Q1059" s="609">
        <f t="shared" si="402"/>
        <v>8.1941650190773956</v>
      </c>
      <c r="R1059" s="603">
        <f t="shared" si="402"/>
        <v>5.5604755626350624</v>
      </c>
    </row>
    <row r="1060" spans="2:18">
      <c r="B1060" s="595" t="s">
        <v>1042</v>
      </c>
      <c r="C1060" s="608">
        <f t="shared" ref="C1060:R1060" si="403">IF(ISNUMBER(C790/C362*1000000),C790/C362*1000000,"0")</f>
        <v>3057.6645591158904</v>
      </c>
      <c r="D1060" s="609">
        <f t="shared" si="403"/>
        <v>3652.3911704923089</v>
      </c>
      <c r="E1060" s="609">
        <f t="shared" si="403"/>
        <v>3245.1843871567289</v>
      </c>
      <c r="F1060" s="609">
        <f t="shared" si="403"/>
        <v>3602.011926348363</v>
      </c>
      <c r="G1060" s="609">
        <f t="shared" si="403"/>
        <v>4378.9467827545404</v>
      </c>
      <c r="H1060" s="609">
        <f t="shared" si="403"/>
        <v>4220.4548794549964</v>
      </c>
      <c r="I1060" s="609">
        <f t="shared" si="403"/>
        <v>3355.0288239328916</v>
      </c>
      <c r="J1060" s="609">
        <f t="shared" si="403"/>
        <v>3657.0966235152814</v>
      </c>
      <c r="K1060" s="608" t="str">
        <f t="shared" si="403"/>
        <v>0</v>
      </c>
      <c r="L1060" s="609" t="str">
        <f t="shared" si="403"/>
        <v>0</v>
      </c>
      <c r="M1060" s="609" t="str">
        <f t="shared" si="403"/>
        <v>0</v>
      </c>
      <c r="N1060" s="609" t="str">
        <f t="shared" si="403"/>
        <v>0</v>
      </c>
      <c r="O1060" s="609" t="str">
        <f t="shared" si="403"/>
        <v>0</v>
      </c>
      <c r="P1060" s="609" t="str">
        <f t="shared" si="403"/>
        <v>0</v>
      </c>
      <c r="Q1060" s="609" t="str">
        <f t="shared" si="403"/>
        <v>0</v>
      </c>
      <c r="R1060" s="603" t="str">
        <f t="shared" si="403"/>
        <v>0</v>
      </c>
    </row>
    <row r="1061" spans="2:18">
      <c r="B1061" s="595" t="s">
        <v>1043</v>
      </c>
      <c r="C1061" s="608">
        <f t="shared" ref="C1061:R1061" si="404">IF(ISNUMBER(C791/C363*1000000),C791/C363*1000000,"0")</f>
        <v>6140.4635772811453</v>
      </c>
      <c r="D1061" s="609">
        <f t="shared" si="404"/>
        <v>4971.5665465873444</v>
      </c>
      <c r="E1061" s="609">
        <f t="shared" si="404"/>
        <v>4851.0327403082638</v>
      </c>
      <c r="F1061" s="609">
        <f t="shared" si="404"/>
        <v>5255.4097887199887</v>
      </c>
      <c r="G1061" s="609">
        <f t="shared" si="404"/>
        <v>5560.7469929968747</v>
      </c>
      <c r="H1061" s="609">
        <f t="shared" si="404"/>
        <v>5690.4083564722068</v>
      </c>
      <c r="I1061" s="609">
        <f t="shared" si="404"/>
        <v>6433.0341384951298</v>
      </c>
      <c r="J1061" s="609">
        <f t="shared" si="404"/>
        <v>6838.9771051409316</v>
      </c>
      <c r="K1061" s="608" t="str">
        <f t="shared" si="404"/>
        <v>0</v>
      </c>
      <c r="L1061" s="609" t="str">
        <f t="shared" si="404"/>
        <v>0</v>
      </c>
      <c r="M1061" s="609" t="str">
        <f t="shared" si="404"/>
        <v>0</v>
      </c>
      <c r="N1061" s="609" t="str">
        <f t="shared" si="404"/>
        <v>0</v>
      </c>
      <c r="O1061" s="609" t="str">
        <f t="shared" si="404"/>
        <v>0</v>
      </c>
      <c r="P1061" s="609" t="str">
        <f t="shared" si="404"/>
        <v>0</v>
      </c>
      <c r="Q1061" s="609" t="str">
        <f t="shared" si="404"/>
        <v>0</v>
      </c>
      <c r="R1061" s="603">
        <f t="shared" si="404"/>
        <v>20.99815358479238</v>
      </c>
    </row>
    <row r="1062" spans="2:18">
      <c r="B1062" s="595" t="s">
        <v>1044</v>
      </c>
      <c r="C1062" s="608">
        <f t="shared" ref="C1062:R1062" si="405">IF(ISNUMBER(C792/C364*1000000),C792/C364*1000000,"0")</f>
        <v>1890.045802179023</v>
      </c>
      <c r="D1062" s="609">
        <f t="shared" si="405"/>
        <v>2029.5215948733119</v>
      </c>
      <c r="E1062" s="609">
        <f t="shared" si="405"/>
        <v>1983.4115945023862</v>
      </c>
      <c r="F1062" s="609">
        <f t="shared" si="405"/>
        <v>2912.2344519948624</v>
      </c>
      <c r="G1062" s="609">
        <f t="shared" si="405"/>
        <v>2018.0550939144066</v>
      </c>
      <c r="H1062" s="609">
        <f t="shared" si="405"/>
        <v>1922.281855365211</v>
      </c>
      <c r="I1062" s="609">
        <f t="shared" si="405"/>
        <v>2438.9238912708615</v>
      </c>
      <c r="J1062" s="609">
        <f t="shared" si="405"/>
        <v>2606.1305605425996</v>
      </c>
      <c r="K1062" s="608" t="str">
        <f t="shared" si="405"/>
        <v>0</v>
      </c>
      <c r="L1062" s="609" t="str">
        <f t="shared" si="405"/>
        <v>0</v>
      </c>
      <c r="M1062" s="609" t="str">
        <f t="shared" si="405"/>
        <v>0</v>
      </c>
      <c r="N1062" s="609" t="str">
        <f t="shared" si="405"/>
        <v>0</v>
      </c>
      <c r="O1062" s="609" t="str">
        <f t="shared" si="405"/>
        <v>0</v>
      </c>
      <c r="P1062" s="609" t="str">
        <f t="shared" si="405"/>
        <v>0</v>
      </c>
      <c r="Q1062" s="609" t="str">
        <f t="shared" si="405"/>
        <v>0</v>
      </c>
      <c r="R1062" s="603" t="str">
        <f t="shared" si="405"/>
        <v>0</v>
      </c>
    </row>
    <row r="1063" spans="2:18">
      <c r="B1063" s="595" t="s">
        <v>1061</v>
      </c>
      <c r="C1063" s="608" t="str">
        <f t="shared" ref="C1063:R1063" si="406">IF(ISNUMBER(C793/C365*1000000),C793/C365*1000000,"0")</f>
        <v>0</v>
      </c>
      <c r="D1063" s="609">
        <f t="shared" si="406"/>
        <v>3207.0555221487271</v>
      </c>
      <c r="E1063" s="609">
        <f t="shared" si="406"/>
        <v>2553.24491104969</v>
      </c>
      <c r="F1063" s="609">
        <f t="shared" si="406"/>
        <v>2350.0454768129562</v>
      </c>
      <c r="G1063" s="609">
        <f t="shared" si="406"/>
        <v>2403.7821582414326</v>
      </c>
      <c r="H1063" s="609">
        <f t="shared" si="406"/>
        <v>2507.5125214289005</v>
      </c>
      <c r="I1063" s="609">
        <f t="shared" si="406"/>
        <v>2006.1165927126187</v>
      </c>
      <c r="J1063" s="609">
        <f t="shared" si="406"/>
        <v>2311.3609843962199</v>
      </c>
      <c r="K1063" s="608" t="str">
        <f t="shared" si="406"/>
        <v>0</v>
      </c>
      <c r="L1063" s="609">
        <f t="shared" si="406"/>
        <v>0</v>
      </c>
      <c r="M1063" s="609">
        <f t="shared" si="406"/>
        <v>62.184207918828221</v>
      </c>
      <c r="N1063" s="609">
        <f t="shared" si="406"/>
        <v>57.74852126397699</v>
      </c>
      <c r="O1063" s="609">
        <f t="shared" si="406"/>
        <v>57.283713797924761</v>
      </c>
      <c r="P1063" s="609">
        <f t="shared" si="406"/>
        <v>51.750433308937126</v>
      </c>
      <c r="Q1063" s="609">
        <f t="shared" si="406"/>
        <v>59.981378318908234</v>
      </c>
      <c r="R1063" s="603">
        <f t="shared" si="406"/>
        <v>56.519324835989956</v>
      </c>
    </row>
    <row r="1064" spans="2:18">
      <c r="B1064" s="595" t="s">
        <v>1047</v>
      </c>
      <c r="C1064" s="608">
        <f t="shared" ref="C1064:R1064" si="407">IF(ISNUMBER(C794/C366*1000000),C794/C366*1000000,"0")</f>
        <v>1727.8599182380581</v>
      </c>
      <c r="D1064" s="609">
        <f t="shared" si="407"/>
        <v>1758.1338939968475</v>
      </c>
      <c r="E1064" s="609">
        <f t="shared" si="407"/>
        <v>1720.5577657778808</v>
      </c>
      <c r="F1064" s="609">
        <f t="shared" si="407"/>
        <v>1773.8667354961474</v>
      </c>
      <c r="G1064" s="609">
        <f t="shared" si="407"/>
        <v>1837.4686414049713</v>
      </c>
      <c r="H1064" s="609">
        <f t="shared" si="407"/>
        <v>1867.5410046194015</v>
      </c>
      <c r="I1064" s="609">
        <f t="shared" si="407"/>
        <v>1904.7617924605593</v>
      </c>
      <c r="J1064" s="609">
        <f t="shared" si="407"/>
        <v>2062.794708521903</v>
      </c>
      <c r="K1064" s="608" t="str">
        <f t="shared" si="407"/>
        <v>0</v>
      </c>
      <c r="L1064" s="609" t="str">
        <f t="shared" si="407"/>
        <v>0</v>
      </c>
      <c r="M1064" s="609" t="str">
        <f t="shared" si="407"/>
        <v>0</v>
      </c>
      <c r="N1064" s="609" t="str">
        <f t="shared" si="407"/>
        <v>0</v>
      </c>
      <c r="O1064" s="609" t="str">
        <f t="shared" si="407"/>
        <v>0</v>
      </c>
      <c r="P1064" s="609" t="str">
        <f t="shared" si="407"/>
        <v>0</v>
      </c>
      <c r="Q1064" s="609" t="str">
        <f t="shared" si="407"/>
        <v>0</v>
      </c>
      <c r="R1064" s="603" t="str">
        <f t="shared" si="407"/>
        <v>0</v>
      </c>
    </row>
    <row r="1065" spans="2:18">
      <c r="B1065" s="595" t="s">
        <v>1048</v>
      </c>
      <c r="C1065" s="608" t="str">
        <f t="shared" ref="C1065:R1065" si="408">IF(ISNUMBER(C795/C367*1000000),C795/C367*1000000,"0")</f>
        <v>0</v>
      </c>
      <c r="D1065" s="609">
        <f t="shared" si="408"/>
        <v>2394.2365617697869</v>
      </c>
      <c r="E1065" s="609">
        <f t="shared" si="408"/>
        <v>2101.8392154963103</v>
      </c>
      <c r="F1065" s="609">
        <f t="shared" si="408"/>
        <v>2230.4782401939665</v>
      </c>
      <c r="G1065" s="609">
        <f t="shared" si="408"/>
        <v>2325.0792693112021</v>
      </c>
      <c r="H1065" s="609">
        <f t="shared" si="408"/>
        <v>2440.6480618181167</v>
      </c>
      <c r="I1065" s="609">
        <f t="shared" si="408"/>
        <v>2782.8160020182358</v>
      </c>
      <c r="J1065" s="609">
        <f t="shared" si="408"/>
        <v>3017.5604382669649</v>
      </c>
      <c r="K1065" s="608" t="str">
        <f t="shared" si="408"/>
        <v>0</v>
      </c>
      <c r="L1065" s="609" t="str">
        <f t="shared" si="408"/>
        <v>0</v>
      </c>
      <c r="M1065" s="609" t="str">
        <f t="shared" si="408"/>
        <v>0</v>
      </c>
      <c r="N1065" s="609" t="str">
        <f t="shared" si="408"/>
        <v>0</v>
      </c>
      <c r="O1065" s="609" t="str">
        <f t="shared" si="408"/>
        <v>0</v>
      </c>
      <c r="P1065" s="609" t="str">
        <f t="shared" si="408"/>
        <v>0</v>
      </c>
      <c r="Q1065" s="609" t="str">
        <f t="shared" si="408"/>
        <v>0</v>
      </c>
      <c r="R1065" s="603" t="str">
        <f t="shared" si="408"/>
        <v>0</v>
      </c>
    </row>
    <row r="1066" spans="2:18">
      <c r="B1066" s="595" t="s">
        <v>1049</v>
      </c>
      <c r="C1066" s="608">
        <f t="shared" ref="C1066:R1066" si="409">IF(ISNUMBER(C796/C368*1000000),C796/C368*1000000,"0")</f>
        <v>3569.0039295767433</v>
      </c>
      <c r="D1066" s="609">
        <f t="shared" si="409"/>
        <v>3577.9182362297051</v>
      </c>
      <c r="E1066" s="609">
        <f t="shared" si="409"/>
        <v>2847.9747111778652</v>
      </c>
      <c r="F1066" s="609">
        <f t="shared" si="409"/>
        <v>2510.1815667095348</v>
      </c>
      <c r="G1066" s="609">
        <f t="shared" si="409"/>
        <v>2615.9697249272185</v>
      </c>
      <c r="H1066" s="609">
        <f t="shared" si="409"/>
        <v>2627.4263049832266</v>
      </c>
      <c r="I1066" s="609">
        <f t="shared" si="409"/>
        <v>2869.9540888223746</v>
      </c>
      <c r="J1066" s="609">
        <f t="shared" si="409"/>
        <v>3352.5049596078316</v>
      </c>
      <c r="K1066" s="608" t="str">
        <f t="shared" si="409"/>
        <v>0</v>
      </c>
      <c r="L1066" s="609" t="str">
        <f t="shared" si="409"/>
        <v>0</v>
      </c>
      <c r="M1066" s="609" t="str">
        <f t="shared" si="409"/>
        <v>0</v>
      </c>
      <c r="N1066" s="609" t="str">
        <f t="shared" si="409"/>
        <v>0</v>
      </c>
      <c r="O1066" s="609" t="str">
        <f t="shared" si="409"/>
        <v>0</v>
      </c>
      <c r="P1066" s="609" t="str">
        <f t="shared" si="409"/>
        <v>0</v>
      </c>
      <c r="Q1066" s="609" t="str">
        <f t="shared" si="409"/>
        <v>0</v>
      </c>
      <c r="R1066" s="603" t="str">
        <f t="shared" si="409"/>
        <v>0</v>
      </c>
    </row>
    <row r="1067" spans="2:18">
      <c r="B1067" s="595" t="s">
        <v>1050</v>
      </c>
      <c r="C1067" s="608">
        <f t="shared" ref="C1067:R1067" si="410">IF(ISNUMBER(C797/C369*1000000),C797/C369*1000000,"0")</f>
        <v>0</v>
      </c>
      <c r="D1067" s="609">
        <f t="shared" si="410"/>
        <v>0</v>
      </c>
      <c r="E1067" s="609">
        <f t="shared" si="410"/>
        <v>0</v>
      </c>
      <c r="F1067" s="609">
        <f t="shared" si="410"/>
        <v>0</v>
      </c>
      <c r="G1067" s="609">
        <f t="shared" si="410"/>
        <v>0</v>
      </c>
      <c r="H1067" s="609">
        <f t="shared" si="410"/>
        <v>0</v>
      </c>
      <c r="I1067" s="609">
        <f t="shared" si="410"/>
        <v>0</v>
      </c>
      <c r="J1067" s="609">
        <f t="shared" si="410"/>
        <v>0</v>
      </c>
      <c r="K1067" s="608" t="str">
        <f t="shared" si="410"/>
        <v>0</v>
      </c>
      <c r="L1067" s="609" t="str">
        <f t="shared" si="410"/>
        <v>0</v>
      </c>
      <c r="M1067" s="609" t="str">
        <f t="shared" si="410"/>
        <v>0</v>
      </c>
      <c r="N1067" s="609" t="str">
        <f t="shared" si="410"/>
        <v>0</v>
      </c>
      <c r="O1067" s="609" t="str">
        <f t="shared" si="410"/>
        <v>0</v>
      </c>
      <c r="P1067" s="609" t="str">
        <f t="shared" si="410"/>
        <v>0</v>
      </c>
      <c r="Q1067" s="609" t="str">
        <f t="shared" si="410"/>
        <v>0</v>
      </c>
      <c r="R1067" s="603" t="str">
        <f t="shared" si="410"/>
        <v>0</v>
      </c>
    </row>
    <row r="1068" spans="2:18">
      <c r="B1068" s="595" t="s">
        <v>1051</v>
      </c>
      <c r="C1068" s="608">
        <f t="shared" ref="C1068:R1068" si="411">IF(ISNUMBER(C798/C370*1000000),C798/C370*1000000,"0")</f>
        <v>1128.1864922897562</v>
      </c>
      <c r="D1068" s="609">
        <f t="shared" si="411"/>
        <v>1067.6586962837478</v>
      </c>
      <c r="E1068" s="609">
        <f t="shared" si="411"/>
        <v>962.35770235588245</v>
      </c>
      <c r="F1068" s="609">
        <f t="shared" si="411"/>
        <v>986.37227900594996</v>
      </c>
      <c r="G1068" s="609">
        <f t="shared" si="411"/>
        <v>1006.9223661122329</v>
      </c>
      <c r="H1068" s="609">
        <f t="shared" si="411"/>
        <v>1023.7668303115545</v>
      </c>
      <c r="I1068" s="609">
        <f t="shared" si="411"/>
        <v>971.88356063117294</v>
      </c>
      <c r="J1068" s="609">
        <f t="shared" si="411"/>
        <v>1038.6332877377358</v>
      </c>
      <c r="K1068" s="608" t="str">
        <f t="shared" si="411"/>
        <v>0</v>
      </c>
      <c r="L1068" s="609" t="str">
        <f t="shared" si="411"/>
        <v>0</v>
      </c>
      <c r="M1068" s="609" t="str">
        <f t="shared" si="411"/>
        <v>0</v>
      </c>
      <c r="N1068" s="609" t="str">
        <f t="shared" si="411"/>
        <v>0</v>
      </c>
      <c r="O1068" s="609" t="str">
        <f t="shared" si="411"/>
        <v>0</v>
      </c>
      <c r="P1068" s="609" t="str">
        <f t="shared" si="411"/>
        <v>0</v>
      </c>
      <c r="Q1068" s="609" t="str">
        <f t="shared" si="411"/>
        <v>0</v>
      </c>
      <c r="R1068" s="603" t="str">
        <f t="shared" si="411"/>
        <v>0</v>
      </c>
    </row>
    <row r="1069" spans="2:18">
      <c r="B1069" s="595" t="s">
        <v>1052</v>
      </c>
      <c r="C1069" s="608">
        <f t="shared" ref="C1069:R1069" si="412">IF(ISNUMBER(C799/C371*1000000),C799/C371*1000000,"0")</f>
        <v>0</v>
      </c>
      <c r="D1069" s="609">
        <f t="shared" si="412"/>
        <v>0</v>
      </c>
      <c r="E1069" s="609">
        <f t="shared" si="412"/>
        <v>0</v>
      </c>
      <c r="F1069" s="609">
        <f t="shared" si="412"/>
        <v>0</v>
      </c>
      <c r="G1069" s="609">
        <f t="shared" si="412"/>
        <v>0</v>
      </c>
      <c r="H1069" s="609">
        <f t="shared" si="412"/>
        <v>0</v>
      </c>
      <c r="I1069" s="609">
        <f t="shared" si="412"/>
        <v>0</v>
      </c>
      <c r="J1069" s="609">
        <f t="shared" si="412"/>
        <v>0</v>
      </c>
      <c r="K1069" s="608" t="str">
        <f t="shared" si="412"/>
        <v>0</v>
      </c>
      <c r="L1069" s="609" t="str">
        <f t="shared" si="412"/>
        <v>0</v>
      </c>
      <c r="M1069" s="609" t="str">
        <f t="shared" si="412"/>
        <v>0</v>
      </c>
      <c r="N1069" s="609" t="str">
        <f t="shared" si="412"/>
        <v>0</v>
      </c>
      <c r="O1069" s="609" t="str">
        <f t="shared" si="412"/>
        <v>0</v>
      </c>
      <c r="P1069" s="609" t="str">
        <f t="shared" si="412"/>
        <v>0</v>
      </c>
      <c r="Q1069" s="609" t="str">
        <f t="shared" si="412"/>
        <v>0</v>
      </c>
      <c r="R1069" s="603" t="str">
        <f t="shared" si="412"/>
        <v>0</v>
      </c>
    </row>
    <row r="1070" spans="2:18">
      <c r="B1070" s="595" t="s">
        <v>1053</v>
      </c>
      <c r="C1070" s="608">
        <f t="shared" ref="C1070:R1070" si="413">IF(ISNUMBER(C800/C372*1000000),C800/C372*1000000,"0")</f>
        <v>0</v>
      </c>
      <c r="D1070" s="609">
        <f t="shared" si="413"/>
        <v>1443.0423874077694</v>
      </c>
      <c r="E1070" s="609">
        <f t="shared" si="413"/>
        <v>1398.7177229879985</v>
      </c>
      <c r="F1070" s="609">
        <f t="shared" si="413"/>
        <v>1547.2118608858495</v>
      </c>
      <c r="G1070" s="609">
        <f t="shared" si="413"/>
        <v>1388.168345395206</v>
      </c>
      <c r="H1070" s="609">
        <f t="shared" si="413"/>
        <v>1161.9300499567616</v>
      </c>
      <c r="I1070" s="609">
        <f t="shared" si="413"/>
        <v>1314.6532467885554</v>
      </c>
      <c r="J1070" s="609">
        <f t="shared" si="413"/>
        <v>1304.7345791176544</v>
      </c>
      <c r="K1070" s="608" t="str">
        <f t="shared" si="413"/>
        <v>0</v>
      </c>
      <c r="L1070" s="609">
        <f t="shared" si="413"/>
        <v>27.973330711383309</v>
      </c>
      <c r="M1070" s="609">
        <f t="shared" si="413"/>
        <v>19.554989063977946</v>
      </c>
      <c r="N1070" s="609">
        <f t="shared" si="413"/>
        <v>11.573163832684328</v>
      </c>
      <c r="O1070" s="609">
        <f t="shared" si="413"/>
        <v>9.8275783447940395</v>
      </c>
      <c r="P1070" s="609">
        <f t="shared" si="413"/>
        <v>6.1877200635019163</v>
      </c>
      <c r="Q1070" s="609">
        <f t="shared" si="413"/>
        <v>14.691280819962804</v>
      </c>
      <c r="R1070" s="603">
        <f t="shared" si="413"/>
        <v>3.9991181956501043</v>
      </c>
    </row>
    <row r="1071" spans="2:18">
      <c r="B1071" s="595" t="s">
        <v>1054</v>
      </c>
      <c r="C1071" s="608">
        <f t="shared" ref="C1071:R1071" si="414">IF(ISNUMBER(C801/C373*1000000),C801/C373*1000000,"0")</f>
        <v>2401.0347362219163</v>
      </c>
      <c r="D1071" s="609">
        <f t="shared" si="414"/>
        <v>2102.2450336385687</v>
      </c>
      <c r="E1071" s="609">
        <f t="shared" si="414"/>
        <v>2151.7996795031859</v>
      </c>
      <c r="F1071" s="609">
        <f t="shared" si="414"/>
        <v>2334.8183152422166</v>
      </c>
      <c r="G1071" s="609">
        <f t="shared" si="414"/>
        <v>2392.805283623934</v>
      </c>
      <c r="H1071" s="609">
        <f t="shared" si="414"/>
        <v>2513.6706909105969</v>
      </c>
      <c r="I1071" s="609">
        <f t="shared" si="414"/>
        <v>2865.0871526657343</v>
      </c>
      <c r="J1071" s="609">
        <f t="shared" si="414"/>
        <v>3815.2624993514587</v>
      </c>
      <c r="K1071" s="608" t="str">
        <f t="shared" si="414"/>
        <v>0</v>
      </c>
      <c r="L1071" s="609" t="str">
        <f t="shared" si="414"/>
        <v>0</v>
      </c>
      <c r="M1071" s="609">
        <f t="shared" si="414"/>
        <v>1.5628737261814158</v>
      </c>
      <c r="N1071" s="609">
        <f t="shared" si="414"/>
        <v>3.3305987692730357</v>
      </c>
      <c r="O1071" s="609">
        <f t="shared" si="414"/>
        <v>14.804530310926618</v>
      </c>
      <c r="P1071" s="609">
        <f t="shared" si="414"/>
        <v>55.303657081688662</v>
      </c>
      <c r="Q1071" s="609">
        <f t="shared" si="414"/>
        <v>38.147098018771942</v>
      </c>
      <c r="R1071" s="603">
        <f t="shared" si="414"/>
        <v>44.271453168028501</v>
      </c>
    </row>
    <row r="1072" spans="2:18">
      <c r="B1072" s="604" t="s">
        <v>1055</v>
      </c>
      <c r="C1072" s="610">
        <f t="shared" ref="C1072:R1072" si="415">IF(ISNUMBER(C802/C374*1000000),C802/C374*1000000,"0")</f>
        <v>3619.5013997349993</v>
      </c>
      <c r="D1072" s="617">
        <f t="shared" si="415"/>
        <v>3583.675785151037</v>
      </c>
      <c r="E1072" s="617">
        <f t="shared" si="415"/>
        <v>3301.9869018222057</v>
      </c>
      <c r="F1072" s="617">
        <f t="shared" si="415"/>
        <v>3288.4168380284532</v>
      </c>
      <c r="G1072" s="617">
        <f t="shared" si="415"/>
        <v>3473.8158492237749</v>
      </c>
      <c r="H1072" s="617">
        <f t="shared" si="415"/>
        <v>3579.3016240166608</v>
      </c>
      <c r="I1072" s="617">
        <f t="shared" si="415"/>
        <v>4031.7227995197877</v>
      </c>
      <c r="J1072" s="617">
        <f t="shared" si="415"/>
        <v>4190.3169349301943</v>
      </c>
      <c r="K1072" s="610">
        <f t="shared" si="415"/>
        <v>91.97783985553923</v>
      </c>
      <c r="L1072" s="617">
        <f t="shared" si="415"/>
        <v>92.925514188235482</v>
      </c>
      <c r="M1072" s="617">
        <f t="shared" si="415"/>
        <v>91.6372343512665</v>
      </c>
      <c r="N1072" s="617">
        <f t="shared" si="415"/>
        <v>99.864731346989913</v>
      </c>
      <c r="O1072" s="617">
        <f t="shared" si="415"/>
        <v>90.068679199380654</v>
      </c>
      <c r="P1072" s="617">
        <f t="shared" si="415"/>
        <v>84.501463185397725</v>
      </c>
      <c r="Q1072" s="617">
        <f t="shared" si="415"/>
        <v>81.000484352736564</v>
      </c>
      <c r="R1072" s="618">
        <f t="shared" si="415"/>
        <v>84.4779528275063</v>
      </c>
    </row>
    <row r="1073" spans="2:18">
      <c r="B1073" s="57"/>
      <c r="C1073" s="582"/>
      <c r="D1073" s="582"/>
      <c r="E1073" s="582"/>
      <c r="F1073" s="582"/>
      <c r="G1073" s="582"/>
      <c r="H1073" s="582"/>
      <c r="I1073" s="582"/>
      <c r="J1073" s="582"/>
      <c r="K1073" s="582"/>
      <c r="L1073" s="582"/>
      <c r="M1073" s="582"/>
      <c r="N1073" s="582"/>
      <c r="O1073" s="582"/>
      <c r="P1073" s="582"/>
      <c r="Q1073" s="582"/>
    </row>
    <row r="1074" spans="2:18">
      <c r="B1074" s="2157" t="s">
        <v>1148</v>
      </c>
      <c r="C1074" s="2157"/>
      <c r="D1074" s="2157"/>
      <c r="E1074" s="2157"/>
      <c r="F1074" s="2157"/>
      <c r="G1074" s="2157"/>
      <c r="H1074" s="2157"/>
      <c r="I1074" s="2157"/>
      <c r="J1074" s="2157"/>
      <c r="K1074" s="2157"/>
      <c r="L1074" s="2157"/>
      <c r="M1074" s="2157"/>
      <c r="N1074" s="2157"/>
      <c r="O1074" s="2157"/>
      <c r="P1074" s="2157"/>
      <c r="Q1074" s="2157"/>
      <c r="R1074" s="2157"/>
    </row>
    <row r="1075" spans="2:18">
      <c r="B1075" s="619"/>
      <c r="C1075" s="621"/>
      <c r="D1075" s="621"/>
      <c r="E1075" s="621"/>
      <c r="F1075" s="621"/>
      <c r="G1075" s="621"/>
      <c r="H1075" s="621"/>
      <c r="I1075" s="621"/>
      <c r="J1075" s="621"/>
      <c r="K1075" s="622"/>
      <c r="L1075" s="622"/>
      <c r="M1075" s="622"/>
      <c r="N1075" s="622"/>
      <c r="O1075" s="622"/>
      <c r="P1075" s="622"/>
      <c r="Q1075" s="622"/>
    </row>
    <row r="1076" spans="2:18">
      <c r="B1076" s="583"/>
      <c r="C1076" s="2161" t="s">
        <v>1112</v>
      </c>
      <c r="D1076" s="2162"/>
      <c r="E1076" s="2162"/>
      <c r="F1076" s="2162"/>
      <c r="G1076" s="2162"/>
      <c r="H1076" s="2162"/>
      <c r="I1076" s="2162"/>
      <c r="J1076" s="2163"/>
      <c r="K1076" s="2206" t="s">
        <v>1113</v>
      </c>
      <c r="L1076" s="2207"/>
      <c r="M1076" s="2207"/>
      <c r="N1076" s="2207"/>
      <c r="O1076" s="2207"/>
      <c r="P1076" s="2207"/>
      <c r="Q1076" s="2207"/>
      <c r="R1076" s="2208"/>
    </row>
    <row r="1077" spans="2:18">
      <c r="B1077" s="57"/>
      <c r="C1077" s="585">
        <v>2014</v>
      </c>
      <c r="D1077" s="586">
        <v>2015</v>
      </c>
      <c r="E1077" s="586">
        <v>2016</v>
      </c>
      <c r="F1077" s="586">
        <v>2017</v>
      </c>
      <c r="G1077" s="586">
        <v>2018</v>
      </c>
      <c r="H1077" s="586">
        <v>2019</v>
      </c>
      <c r="I1077" s="586">
        <v>2020</v>
      </c>
      <c r="J1077" s="586">
        <v>2021</v>
      </c>
      <c r="K1077" s="587">
        <v>2014</v>
      </c>
      <c r="L1077" s="588">
        <v>2015</v>
      </c>
      <c r="M1077" s="588">
        <v>2016</v>
      </c>
      <c r="N1077" s="588">
        <v>2017</v>
      </c>
      <c r="O1077" s="588">
        <v>2018</v>
      </c>
      <c r="P1077" s="588">
        <v>2019</v>
      </c>
      <c r="Q1077" s="588">
        <v>2020</v>
      </c>
      <c r="R1077" s="848">
        <v>2021</v>
      </c>
    </row>
    <row r="1078" spans="2:18">
      <c r="B1078" s="589" t="s">
        <v>1038</v>
      </c>
      <c r="C1078" s="614">
        <f t="shared" ref="C1078:R1078" si="416">IF(ISNUMBER(C808/C380*1000000),C808/C380*1000000,"0")</f>
        <v>53.45378888973886</v>
      </c>
      <c r="D1078" s="615">
        <f t="shared" si="416"/>
        <v>43.564249324392911</v>
      </c>
      <c r="E1078" s="615">
        <f t="shared" si="416"/>
        <v>44.968495057306654</v>
      </c>
      <c r="F1078" s="615">
        <f t="shared" si="416"/>
        <v>47.082798137688307</v>
      </c>
      <c r="G1078" s="615">
        <f t="shared" si="416"/>
        <v>29.165131956936587</v>
      </c>
      <c r="H1078" s="615">
        <f t="shared" si="416"/>
        <v>24.724568688445409</v>
      </c>
      <c r="I1078" s="615">
        <f t="shared" si="416"/>
        <v>24.713465827812453</v>
      </c>
      <c r="J1078" s="615">
        <f t="shared" si="416"/>
        <v>29.361543321650093</v>
      </c>
      <c r="K1078" s="614">
        <f t="shared" si="416"/>
        <v>38.9930062390739</v>
      </c>
      <c r="L1078" s="615">
        <f t="shared" si="416"/>
        <v>30.459812966890613</v>
      </c>
      <c r="M1078" s="615">
        <f t="shared" si="416"/>
        <v>30.175985849101441</v>
      </c>
      <c r="N1078" s="615">
        <f t="shared" si="416"/>
        <v>32.358484797747053</v>
      </c>
      <c r="O1078" s="615">
        <f t="shared" si="416"/>
        <v>20.039630293070502</v>
      </c>
      <c r="P1078" s="615">
        <f t="shared" si="416"/>
        <v>16.933604085330071</v>
      </c>
      <c r="Q1078" s="615">
        <f t="shared" si="416"/>
        <v>18.334350743274445</v>
      </c>
      <c r="R1078" s="616">
        <f t="shared" si="416"/>
        <v>22.08182712023449</v>
      </c>
    </row>
    <row r="1079" spans="2:18">
      <c r="B1079" s="595" t="s">
        <v>1039</v>
      </c>
      <c r="C1079" s="608">
        <f t="shared" ref="C1079:R1079" si="417">IF(ISNUMBER(C809/C381*1000000),C809/C381*1000000,"0")</f>
        <v>954.6226918493004</v>
      </c>
      <c r="D1079" s="609">
        <f t="shared" si="417"/>
        <v>124.48821323671514</v>
      </c>
      <c r="E1079" s="609">
        <f t="shared" si="417"/>
        <v>118.98552155311559</v>
      </c>
      <c r="F1079" s="609">
        <f t="shared" si="417"/>
        <v>112.64107540250217</v>
      </c>
      <c r="G1079" s="609">
        <f t="shared" si="417"/>
        <v>97.581126821857055</v>
      </c>
      <c r="H1079" s="609">
        <f t="shared" si="417"/>
        <v>103.68704650849782</v>
      </c>
      <c r="I1079" s="609">
        <f t="shared" si="417"/>
        <v>117.7264747473165</v>
      </c>
      <c r="J1079" s="609">
        <f t="shared" si="417"/>
        <v>94.708390984203916</v>
      </c>
      <c r="K1079" s="608">
        <f t="shared" si="417"/>
        <v>1117.2563169875161</v>
      </c>
      <c r="L1079" s="609">
        <f t="shared" si="417"/>
        <v>145.40277556248236</v>
      </c>
      <c r="M1079" s="609">
        <f t="shared" si="417"/>
        <v>152.23586100551591</v>
      </c>
      <c r="N1079" s="609">
        <f t="shared" si="417"/>
        <v>143.92331311379104</v>
      </c>
      <c r="O1079" s="609">
        <f t="shared" si="417"/>
        <v>119.72511815178409</v>
      </c>
      <c r="P1079" s="609">
        <f t="shared" si="417"/>
        <v>126.55669563388825</v>
      </c>
      <c r="Q1079" s="609">
        <f t="shared" si="417"/>
        <v>140.76472196314285</v>
      </c>
      <c r="R1079" s="603">
        <f t="shared" si="417"/>
        <v>113.64594361280606</v>
      </c>
    </row>
    <row r="1080" spans="2:18">
      <c r="B1080" s="595" t="s">
        <v>1040</v>
      </c>
      <c r="C1080" s="608">
        <f t="shared" ref="C1080:R1080" si="418">IF(ISNUMBER(C810/C382*1000000),C810/C382*1000000,"0")</f>
        <v>56.863252442945551</v>
      </c>
      <c r="D1080" s="609">
        <f t="shared" si="418"/>
        <v>53.766662714162152</v>
      </c>
      <c r="E1080" s="609">
        <f t="shared" si="418"/>
        <v>50.875496950351668</v>
      </c>
      <c r="F1080" s="609">
        <f t="shared" si="418"/>
        <v>46.504246025381875</v>
      </c>
      <c r="G1080" s="609">
        <f t="shared" si="418"/>
        <v>41.893227993085759</v>
      </c>
      <c r="H1080" s="609">
        <f t="shared" si="418"/>
        <v>36.716391603603697</v>
      </c>
      <c r="I1080" s="609">
        <f t="shared" si="418"/>
        <v>33.572543558500477</v>
      </c>
      <c r="J1080" s="609">
        <f t="shared" si="418"/>
        <v>30.154803007768201</v>
      </c>
      <c r="K1080" s="608">
        <f t="shared" si="418"/>
        <v>40.15152513229436</v>
      </c>
      <c r="L1080" s="609">
        <f t="shared" si="418"/>
        <v>38.499685372749035</v>
      </c>
      <c r="M1080" s="609">
        <f t="shared" si="418"/>
        <v>37.797961390738053</v>
      </c>
      <c r="N1080" s="609">
        <f t="shared" si="418"/>
        <v>36.397116588328188</v>
      </c>
      <c r="O1080" s="609">
        <f t="shared" si="418"/>
        <v>33.493219375575634</v>
      </c>
      <c r="P1080" s="609">
        <f t="shared" si="418"/>
        <v>29.472150663634711</v>
      </c>
      <c r="Q1080" s="609">
        <f t="shared" si="418"/>
        <v>27.802413183926721</v>
      </c>
      <c r="R1080" s="603">
        <f t="shared" si="418"/>
        <v>24.935949190692533</v>
      </c>
    </row>
    <row r="1081" spans="2:18">
      <c r="B1081" s="595" t="s">
        <v>1041</v>
      </c>
      <c r="C1081" s="608">
        <f t="shared" ref="C1081:R1081" si="419">IF(ISNUMBER(C811/C383*1000000),C811/C383*1000000,"0")</f>
        <v>37.471836951792703</v>
      </c>
      <c r="D1081" s="609">
        <f t="shared" si="419"/>
        <v>26.909908927865807</v>
      </c>
      <c r="E1081" s="609">
        <f t="shared" si="419"/>
        <v>25.322654009975835</v>
      </c>
      <c r="F1081" s="609">
        <f t="shared" si="419"/>
        <v>27.172633670722735</v>
      </c>
      <c r="G1081" s="609">
        <f t="shared" si="419"/>
        <v>23.662072067370701</v>
      </c>
      <c r="H1081" s="609">
        <f t="shared" si="419"/>
        <v>21.721362421380508</v>
      </c>
      <c r="I1081" s="609">
        <f t="shared" si="419"/>
        <v>18.039091194343648</v>
      </c>
      <c r="J1081" s="609">
        <f t="shared" si="419"/>
        <v>17.56531433363924</v>
      </c>
      <c r="K1081" s="608">
        <f t="shared" si="419"/>
        <v>26.301334674888722</v>
      </c>
      <c r="L1081" s="609">
        <f t="shared" si="419"/>
        <v>18.796105123053724</v>
      </c>
      <c r="M1081" s="609">
        <f t="shared" si="419"/>
        <v>18.077434987204771</v>
      </c>
      <c r="N1081" s="609">
        <f t="shared" si="419"/>
        <v>19.556741096427317</v>
      </c>
      <c r="O1081" s="609">
        <f t="shared" si="419"/>
        <v>17.009185041584235</v>
      </c>
      <c r="P1081" s="609">
        <f t="shared" si="419"/>
        <v>15.546332367415383</v>
      </c>
      <c r="Q1081" s="609">
        <f t="shared" si="419"/>
        <v>13.716274641315684</v>
      </c>
      <c r="R1081" s="603">
        <f t="shared" si="419"/>
        <v>12.484201248235559</v>
      </c>
    </row>
    <row r="1082" spans="2:18">
      <c r="B1082" s="595" t="s">
        <v>1042</v>
      </c>
      <c r="C1082" s="608">
        <f t="shared" ref="C1082:R1082" si="420">IF(ISNUMBER(C812/C384*1000000),C812/C384*1000000,"0")</f>
        <v>48.956458410684178</v>
      </c>
      <c r="D1082" s="609">
        <f t="shared" si="420"/>
        <v>41.527916437479092</v>
      </c>
      <c r="E1082" s="609">
        <f t="shared" si="420"/>
        <v>39.083122504016977</v>
      </c>
      <c r="F1082" s="609">
        <f t="shared" si="420"/>
        <v>39.674051576429655</v>
      </c>
      <c r="G1082" s="609">
        <f t="shared" si="420"/>
        <v>38.887407963440282</v>
      </c>
      <c r="H1082" s="609">
        <f t="shared" si="420"/>
        <v>33.28430693519929</v>
      </c>
      <c r="I1082" s="609">
        <f t="shared" si="420"/>
        <v>34.076766278159702</v>
      </c>
      <c r="J1082" s="609">
        <f t="shared" si="420"/>
        <v>35.463921433293351</v>
      </c>
      <c r="K1082" s="608">
        <f t="shared" si="420"/>
        <v>33.739426021819774</v>
      </c>
      <c r="L1082" s="609">
        <f t="shared" si="420"/>
        <v>28.187522931833293</v>
      </c>
      <c r="M1082" s="609">
        <f t="shared" si="420"/>
        <v>26.866056980197349</v>
      </c>
      <c r="N1082" s="609">
        <f t="shared" si="420"/>
        <v>27.874758012946963</v>
      </c>
      <c r="O1082" s="609">
        <f t="shared" si="420"/>
        <v>27.182990846102676</v>
      </c>
      <c r="P1082" s="609">
        <f t="shared" si="420"/>
        <v>23.684945903472112</v>
      </c>
      <c r="Q1082" s="609">
        <f t="shared" si="420"/>
        <v>25.55358595918181</v>
      </c>
      <c r="R1082" s="603">
        <f t="shared" si="420"/>
        <v>28.145555589519478</v>
      </c>
    </row>
    <row r="1083" spans="2:18">
      <c r="B1083" s="595" t="s">
        <v>1043</v>
      </c>
      <c r="C1083" s="608">
        <f t="shared" ref="C1083:R1083" si="421">IF(ISNUMBER(C813/C385*1000000),C813/C385*1000000,"0")</f>
        <v>79.578114466421624</v>
      </c>
      <c r="D1083" s="609">
        <f t="shared" si="421"/>
        <v>59.640287469951772</v>
      </c>
      <c r="E1083" s="609">
        <f t="shared" si="421"/>
        <v>52.889854711181876</v>
      </c>
      <c r="F1083" s="609">
        <f t="shared" si="421"/>
        <v>53.421102717819906</v>
      </c>
      <c r="G1083" s="609">
        <f t="shared" si="421"/>
        <v>52.358546910555887</v>
      </c>
      <c r="H1083" s="609">
        <f t="shared" si="421"/>
        <v>45.958387002849257</v>
      </c>
      <c r="I1083" s="609">
        <f t="shared" si="421"/>
        <v>42.719904511927815</v>
      </c>
      <c r="J1083" s="609">
        <f t="shared" si="421"/>
        <v>37.07959305084713</v>
      </c>
      <c r="K1083" s="608">
        <f t="shared" si="421"/>
        <v>59.94734305150471</v>
      </c>
      <c r="L1083" s="609">
        <f t="shared" si="421"/>
        <v>45.668730100081397</v>
      </c>
      <c r="M1083" s="609">
        <f t="shared" si="421"/>
        <v>42.167910676782178</v>
      </c>
      <c r="N1083" s="609">
        <f t="shared" si="421"/>
        <v>42.773053946004438</v>
      </c>
      <c r="O1083" s="609">
        <f t="shared" si="421"/>
        <v>41.944382614531122</v>
      </c>
      <c r="P1083" s="609">
        <f t="shared" si="421"/>
        <v>36.628239035493998</v>
      </c>
      <c r="Q1083" s="609">
        <f t="shared" si="421"/>
        <v>35.46154438714612</v>
      </c>
      <c r="R1083" s="603">
        <f t="shared" si="421"/>
        <v>29.778898839737181</v>
      </c>
    </row>
    <row r="1084" spans="2:18">
      <c r="B1084" s="595" t="s">
        <v>1044</v>
      </c>
      <c r="C1084" s="608">
        <f t="shared" ref="C1084:R1084" si="422">IF(ISNUMBER(C814/C386*1000000),C814/C386*1000000,"0")</f>
        <v>40.371881442214473</v>
      </c>
      <c r="D1084" s="609">
        <f t="shared" si="422"/>
        <v>39.380059412328961</v>
      </c>
      <c r="E1084" s="609">
        <f t="shared" si="422"/>
        <v>38.049553336192069</v>
      </c>
      <c r="F1084" s="609">
        <f t="shared" si="422"/>
        <v>34.528050360172728</v>
      </c>
      <c r="G1084" s="609">
        <f t="shared" si="422"/>
        <v>32.936500755808538</v>
      </c>
      <c r="H1084" s="609">
        <f t="shared" si="422"/>
        <v>31.50024154129942</v>
      </c>
      <c r="I1084" s="609">
        <f t="shared" si="422"/>
        <v>29.269535636548426</v>
      </c>
      <c r="J1084" s="609">
        <f t="shared" si="422"/>
        <v>23.696791477371551</v>
      </c>
      <c r="K1084" s="608">
        <f t="shared" si="422"/>
        <v>31.296231320572193</v>
      </c>
      <c r="L1084" s="609">
        <f t="shared" si="422"/>
        <v>31.256744434976444</v>
      </c>
      <c r="M1084" s="609">
        <f t="shared" si="422"/>
        <v>28.488063205733603</v>
      </c>
      <c r="N1084" s="609">
        <f t="shared" si="422"/>
        <v>24.852196853905415</v>
      </c>
      <c r="O1084" s="609">
        <f t="shared" si="422"/>
        <v>23.630305182439148</v>
      </c>
      <c r="P1084" s="609">
        <f t="shared" si="422"/>
        <v>21.214810246589899</v>
      </c>
      <c r="Q1084" s="609">
        <f t="shared" si="422"/>
        <v>22.313762548335987</v>
      </c>
      <c r="R1084" s="603">
        <f t="shared" si="422"/>
        <v>18.821815496907664</v>
      </c>
    </row>
    <row r="1085" spans="2:18">
      <c r="B1085" s="595" t="s">
        <v>1061</v>
      </c>
      <c r="C1085" s="608" t="str">
        <f t="shared" ref="C1085:R1085" si="423">IF(ISNUMBER(C815/C387*1000000),C815/C387*1000000,"0")</f>
        <v>0</v>
      </c>
      <c r="D1085" s="609">
        <f t="shared" si="423"/>
        <v>67.034612204768408</v>
      </c>
      <c r="E1085" s="609">
        <f t="shared" si="423"/>
        <v>72.024140166325637</v>
      </c>
      <c r="F1085" s="609">
        <f t="shared" si="423"/>
        <v>65.210989850249774</v>
      </c>
      <c r="G1085" s="609">
        <f t="shared" si="423"/>
        <v>61.668940406945261</v>
      </c>
      <c r="H1085" s="609">
        <f t="shared" si="423"/>
        <v>58.292064494026306</v>
      </c>
      <c r="I1085" s="609">
        <f t="shared" si="423"/>
        <v>52.918027434394126</v>
      </c>
      <c r="J1085" s="609">
        <f t="shared" si="423"/>
        <v>53.88668347611123</v>
      </c>
      <c r="K1085" s="608" t="str">
        <f t="shared" si="423"/>
        <v>0</v>
      </c>
      <c r="L1085" s="609">
        <f t="shared" si="423"/>
        <v>60.225933286873328</v>
      </c>
      <c r="M1085" s="609">
        <f t="shared" si="423"/>
        <v>60.594567125464785</v>
      </c>
      <c r="N1085" s="609">
        <f t="shared" si="423"/>
        <v>54.447545756330257</v>
      </c>
      <c r="O1085" s="609">
        <f t="shared" si="423"/>
        <v>51.063757139562355</v>
      </c>
      <c r="P1085" s="609">
        <f t="shared" si="423"/>
        <v>50.20658355417018</v>
      </c>
      <c r="Q1085" s="609">
        <f t="shared" si="423"/>
        <v>46.156975095610193</v>
      </c>
      <c r="R1085" s="603">
        <f t="shared" si="423"/>
        <v>45.597929676699088</v>
      </c>
    </row>
    <row r="1086" spans="2:18">
      <c r="B1086" s="595" t="s">
        <v>1047</v>
      </c>
      <c r="C1086" s="608" t="str">
        <f t="shared" ref="C1086:R1086" si="424">IF(ISNUMBER(C816/C388*1000000),C816/C388*1000000,"0")</f>
        <v>0</v>
      </c>
      <c r="D1086" s="609">
        <f t="shared" si="424"/>
        <v>68.51536818830661</v>
      </c>
      <c r="E1086" s="609">
        <f t="shared" si="424"/>
        <v>63.552154218736092</v>
      </c>
      <c r="F1086" s="609">
        <f t="shared" si="424"/>
        <v>61.15607329979764</v>
      </c>
      <c r="G1086" s="609">
        <f t="shared" si="424"/>
        <v>59.418785814474283</v>
      </c>
      <c r="H1086" s="609">
        <f t="shared" si="424"/>
        <v>59.591468083053179</v>
      </c>
      <c r="I1086" s="609">
        <f t="shared" si="424"/>
        <v>59.384058496014553</v>
      </c>
      <c r="J1086" s="609">
        <f t="shared" si="424"/>
        <v>50.938711643306057</v>
      </c>
      <c r="K1086" s="608" t="str">
        <f t="shared" si="424"/>
        <v>0</v>
      </c>
      <c r="L1086" s="609">
        <f t="shared" si="424"/>
        <v>41.158745160879974</v>
      </c>
      <c r="M1086" s="609">
        <f t="shared" si="424"/>
        <v>38.279903512572879</v>
      </c>
      <c r="N1086" s="609">
        <f t="shared" si="424"/>
        <v>36.94735845583071</v>
      </c>
      <c r="O1086" s="609">
        <f t="shared" si="424"/>
        <v>34.490639122471158</v>
      </c>
      <c r="P1086" s="609">
        <f t="shared" si="424"/>
        <v>31.205409322342462</v>
      </c>
      <c r="Q1086" s="609">
        <f t="shared" si="424"/>
        <v>32.563815377882023</v>
      </c>
      <c r="R1086" s="603">
        <f t="shared" si="424"/>
        <v>27.853764066505363</v>
      </c>
    </row>
    <row r="1087" spans="2:18">
      <c r="B1087" s="595" t="s">
        <v>1048</v>
      </c>
      <c r="C1087" s="608" t="str">
        <f t="shared" ref="C1087:R1087" si="425">IF(ISNUMBER(C817/C389*1000000),C817/C389*1000000,"0")</f>
        <v>0</v>
      </c>
      <c r="D1087" s="609">
        <f t="shared" si="425"/>
        <v>46.443771664802973</v>
      </c>
      <c r="E1087" s="609">
        <f t="shared" si="425"/>
        <v>47.736071740205226</v>
      </c>
      <c r="F1087" s="609">
        <f t="shared" si="425"/>
        <v>48.491819292840191</v>
      </c>
      <c r="G1087" s="609">
        <f t="shared" si="425"/>
        <v>47.887504574248922</v>
      </c>
      <c r="H1087" s="609">
        <f t="shared" si="425"/>
        <v>48.279903282240831</v>
      </c>
      <c r="I1087" s="609">
        <f t="shared" si="425"/>
        <v>49.261174994031613</v>
      </c>
      <c r="J1087" s="609">
        <f t="shared" si="425"/>
        <v>52.528478956070963</v>
      </c>
      <c r="K1087" s="608" t="str">
        <f t="shared" si="425"/>
        <v>0</v>
      </c>
      <c r="L1087" s="609">
        <f t="shared" si="425"/>
        <v>28.416667230631344</v>
      </c>
      <c r="M1087" s="609">
        <f t="shared" si="425"/>
        <v>27.986426123359571</v>
      </c>
      <c r="N1087" s="609">
        <f t="shared" si="425"/>
        <v>27.715127756632601</v>
      </c>
      <c r="O1087" s="609">
        <f t="shared" si="425"/>
        <v>27.946622979283504</v>
      </c>
      <c r="P1087" s="609">
        <f t="shared" si="425"/>
        <v>27.557693991386429</v>
      </c>
      <c r="Q1087" s="609">
        <f t="shared" si="425"/>
        <v>30.978421706426744</v>
      </c>
      <c r="R1087" s="603">
        <f t="shared" si="425"/>
        <v>29.91965602945281</v>
      </c>
    </row>
    <row r="1088" spans="2:18">
      <c r="B1088" s="595" t="s">
        <v>1049</v>
      </c>
      <c r="C1088" s="608">
        <f t="shared" ref="C1088:R1088" si="426">IF(ISNUMBER(C818/C390*1000000),C818/C390*1000000,"0")</f>
        <v>43.589427638469601</v>
      </c>
      <c r="D1088" s="609">
        <f t="shared" si="426"/>
        <v>42.429612992094896</v>
      </c>
      <c r="E1088" s="609">
        <f t="shared" si="426"/>
        <v>40.68412054763553</v>
      </c>
      <c r="F1088" s="609">
        <f t="shared" si="426"/>
        <v>41.186053016964777</v>
      </c>
      <c r="G1088" s="609">
        <f t="shared" si="426"/>
        <v>39.462578982184809</v>
      </c>
      <c r="H1088" s="609">
        <f t="shared" si="426"/>
        <v>38.346588119783995</v>
      </c>
      <c r="I1088" s="609">
        <f t="shared" si="426"/>
        <v>36.16498248130403</v>
      </c>
      <c r="J1088" s="609">
        <f t="shared" si="426"/>
        <v>36.761317310078347</v>
      </c>
      <c r="K1088" s="608">
        <f t="shared" si="426"/>
        <v>0</v>
      </c>
      <c r="L1088" s="609">
        <f t="shared" si="426"/>
        <v>0</v>
      </c>
      <c r="M1088" s="609">
        <f t="shared" si="426"/>
        <v>0</v>
      </c>
      <c r="N1088" s="609">
        <f t="shared" si="426"/>
        <v>0</v>
      </c>
      <c r="O1088" s="609">
        <f t="shared" si="426"/>
        <v>39.393701984893241</v>
      </c>
      <c r="P1088" s="609">
        <f t="shared" si="426"/>
        <v>38.282873639495655</v>
      </c>
      <c r="Q1088" s="609">
        <f t="shared" si="426"/>
        <v>36.414528842472166</v>
      </c>
      <c r="R1088" s="603">
        <f t="shared" si="426"/>
        <v>36.9794605236306</v>
      </c>
    </row>
    <row r="1089" spans="2:18">
      <c r="B1089" s="595" t="s">
        <v>1050</v>
      </c>
      <c r="C1089" s="608" t="str">
        <f t="shared" ref="C1089:R1089" si="427">IF(ISNUMBER(C819/C391*1000000),C819/C391*1000000,"0")</f>
        <v>0</v>
      </c>
      <c r="D1089" s="609" t="str">
        <f t="shared" si="427"/>
        <v>0</v>
      </c>
      <c r="E1089" s="609" t="str">
        <f t="shared" si="427"/>
        <v>0</v>
      </c>
      <c r="F1089" s="609" t="str">
        <f t="shared" si="427"/>
        <v>0</v>
      </c>
      <c r="G1089" s="609" t="str">
        <f t="shared" si="427"/>
        <v>0</v>
      </c>
      <c r="H1089" s="609" t="str">
        <f t="shared" si="427"/>
        <v>0</v>
      </c>
      <c r="I1089" s="609" t="str">
        <f t="shared" si="427"/>
        <v>0</v>
      </c>
      <c r="J1089" s="609" t="str">
        <f t="shared" si="427"/>
        <v>0</v>
      </c>
      <c r="K1089" s="608" t="str">
        <f t="shared" si="427"/>
        <v>0</v>
      </c>
      <c r="L1089" s="609" t="str">
        <f t="shared" si="427"/>
        <v>0</v>
      </c>
      <c r="M1089" s="609" t="str">
        <f t="shared" si="427"/>
        <v>0</v>
      </c>
      <c r="N1089" s="609" t="str">
        <f t="shared" si="427"/>
        <v>0</v>
      </c>
      <c r="O1089" s="609" t="str">
        <f t="shared" si="427"/>
        <v>0</v>
      </c>
      <c r="P1089" s="609" t="str">
        <f t="shared" si="427"/>
        <v>0</v>
      </c>
      <c r="Q1089" s="609" t="str">
        <f t="shared" si="427"/>
        <v>0</v>
      </c>
      <c r="R1089" s="603" t="str">
        <f t="shared" si="427"/>
        <v>0</v>
      </c>
    </row>
    <row r="1090" spans="2:18">
      <c r="B1090" s="595" t="s">
        <v>1051</v>
      </c>
      <c r="C1090" s="608">
        <f t="shared" ref="C1090:R1090" si="428">IF(ISNUMBER(C820/C392*1000000),C820/C392*1000000,"0")</f>
        <v>77.682748817213891</v>
      </c>
      <c r="D1090" s="609">
        <f t="shared" si="428"/>
        <v>84.485299631204938</v>
      </c>
      <c r="E1090" s="609">
        <f t="shared" si="428"/>
        <v>85.839004902096377</v>
      </c>
      <c r="F1090" s="609">
        <f t="shared" si="428"/>
        <v>102.4947238280032</v>
      </c>
      <c r="G1090" s="609">
        <f t="shared" si="428"/>
        <v>112.72086907530955</v>
      </c>
      <c r="H1090" s="609">
        <f t="shared" si="428"/>
        <v>125.69313082243404</v>
      </c>
      <c r="I1090" s="609">
        <f t="shared" si="428"/>
        <v>135.32326855197698</v>
      </c>
      <c r="J1090" s="609">
        <f t="shared" si="428"/>
        <v>141.5035584545991</v>
      </c>
      <c r="K1090" s="608">
        <f t="shared" si="428"/>
        <v>72.029801979330429</v>
      </c>
      <c r="L1090" s="609">
        <f t="shared" si="428"/>
        <v>77.126378238986575</v>
      </c>
      <c r="M1090" s="609">
        <f t="shared" si="428"/>
        <v>77.53056925960459</v>
      </c>
      <c r="N1090" s="609">
        <f t="shared" si="428"/>
        <v>91.351883420444537</v>
      </c>
      <c r="O1090" s="609">
        <f t="shared" si="428"/>
        <v>98.136204443452186</v>
      </c>
      <c r="P1090" s="609">
        <f t="shared" si="428"/>
        <v>111.93301346748729</v>
      </c>
      <c r="Q1090" s="609">
        <f t="shared" si="428"/>
        <v>123.32604124179387</v>
      </c>
      <c r="R1090" s="603">
        <f t="shared" si="428"/>
        <v>135.56621392904881</v>
      </c>
    </row>
    <row r="1091" spans="2:18">
      <c r="B1091" s="595" t="s">
        <v>1052</v>
      </c>
      <c r="C1091" s="608">
        <f t="shared" ref="C1091:R1091" si="429">IF(ISNUMBER(C821/C393*1000000),C821/C393*1000000,"0")</f>
        <v>52.355863005428546</v>
      </c>
      <c r="D1091" s="609">
        <f t="shared" si="429"/>
        <v>49.679372691900589</v>
      </c>
      <c r="E1091" s="609">
        <f t="shared" si="429"/>
        <v>47.060055441616129</v>
      </c>
      <c r="F1091" s="609">
        <f t="shared" si="429"/>
        <v>45.155371359984663</v>
      </c>
      <c r="G1091" s="609">
        <f t="shared" si="429"/>
        <v>42.946024160424422</v>
      </c>
      <c r="H1091" s="609">
        <f t="shared" si="429"/>
        <v>40.640260267659684</v>
      </c>
      <c r="I1091" s="609">
        <f t="shared" si="429"/>
        <v>39.167196499460566</v>
      </c>
      <c r="J1091" s="609">
        <f t="shared" si="429"/>
        <v>41.165488661522957</v>
      </c>
      <c r="K1091" s="608">
        <f t="shared" si="429"/>
        <v>31.572792036221909</v>
      </c>
      <c r="L1091" s="609">
        <f t="shared" si="429"/>
        <v>31.079754025376715</v>
      </c>
      <c r="M1091" s="609">
        <f t="shared" si="429"/>
        <v>28.596827492994507</v>
      </c>
      <c r="N1091" s="609">
        <f t="shared" si="429"/>
        <v>27.014778702024575</v>
      </c>
      <c r="O1091" s="609">
        <f t="shared" si="429"/>
        <v>26.130436837403643</v>
      </c>
      <c r="P1091" s="609">
        <f t="shared" si="429"/>
        <v>24.711010639312814</v>
      </c>
      <c r="Q1091" s="609">
        <f t="shared" si="429"/>
        <v>25.247584857242838</v>
      </c>
      <c r="R1091" s="603">
        <f t="shared" si="429"/>
        <v>26.755105647465431</v>
      </c>
    </row>
    <row r="1092" spans="2:18">
      <c r="B1092" s="595" t="s">
        <v>1054</v>
      </c>
      <c r="C1092" s="608">
        <f t="shared" ref="C1092:R1092" si="430">IF(ISNUMBER(C822/C394*1000000),C822/C394*1000000,"0")</f>
        <v>0</v>
      </c>
      <c r="D1092" s="609">
        <f t="shared" si="430"/>
        <v>38.956040066155992</v>
      </c>
      <c r="E1092" s="609">
        <f t="shared" si="430"/>
        <v>38.503848902390565</v>
      </c>
      <c r="F1092" s="609">
        <f t="shared" si="430"/>
        <v>39.374763183139748</v>
      </c>
      <c r="G1092" s="609">
        <f t="shared" si="430"/>
        <v>37.633509512657398</v>
      </c>
      <c r="H1092" s="609">
        <f t="shared" si="430"/>
        <v>33.033324706724045</v>
      </c>
      <c r="I1092" s="609">
        <f t="shared" si="430"/>
        <v>30.65338504794186</v>
      </c>
      <c r="J1092" s="609">
        <f t="shared" si="430"/>
        <v>23.451449153639672</v>
      </c>
      <c r="K1092" s="608">
        <f t="shared" si="430"/>
        <v>0</v>
      </c>
      <c r="L1092" s="609">
        <f t="shared" si="430"/>
        <v>31.995006648123589</v>
      </c>
      <c r="M1092" s="609">
        <f t="shared" si="430"/>
        <v>32.079788539732426</v>
      </c>
      <c r="N1092" s="609">
        <f t="shared" si="430"/>
        <v>32.307233933825607</v>
      </c>
      <c r="O1092" s="609">
        <f t="shared" si="430"/>
        <v>28.638432301421783</v>
      </c>
      <c r="P1092" s="609">
        <f t="shared" si="430"/>
        <v>25.352516056764703</v>
      </c>
      <c r="Q1092" s="609">
        <f t="shared" si="430"/>
        <v>25.300530975069876</v>
      </c>
      <c r="R1092" s="603">
        <f t="shared" si="430"/>
        <v>19.682721408253293</v>
      </c>
    </row>
    <row r="1093" spans="2:18">
      <c r="B1093" s="595" t="s">
        <v>1053</v>
      </c>
      <c r="C1093" s="608">
        <f t="shared" ref="C1093:R1093" si="431">IF(ISNUMBER(C823/C395*1000000),C823/C395*1000000,"0")</f>
        <v>65.672484987278764</v>
      </c>
      <c r="D1093" s="609">
        <f t="shared" si="431"/>
        <v>58.408610697739313</v>
      </c>
      <c r="E1093" s="609">
        <f t="shared" si="431"/>
        <v>57.295270311631178</v>
      </c>
      <c r="F1093" s="609">
        <f t="shared" si="431"/>
        <v>55.146945222917203</v>
      </c>
      <c r="G1093" s="609">
        <f t="shared" si="431"/>
        <v>50.646907101105128</v>
      </c>
      <c r="H1093" s="609">
        <f t="shared" si="431"/>
        <v>49.200045177974097</v>
      </c>
      <c r="I1093" s="609">
        <f t="shared" si="431"/>
        <v>44.120057371296191</v>
      </c>
      <c r="J1093" s="609">
        <f t="shared" si="431"/>
        <v>37.857077966185699</v>
      </c>
      <c r="K1093" s="608">
        <f t="shared" si="431"/>
        <v>33.405701049644236</v>
      </c>
      <c r="L1093" s="609">
        <f t="shared" si="431"/>
        <v>29.363080888632357</v>
      </c>
      <c r="M1093" s="609">
        <f t="shared" si="431"/>
        <v>28.95714895454897</v>
      </c>
      <c r="N1093" s="609">
        <f t="shared" si="431"/>
        <v>27.959057716072937</v>
      </c>
      <c r="O1093" s="609">
        <f t="shared" si="431"/>
        <v>25.85183707135721</v>
      </c>
      <c r="P1093" s="609">
        <f t="shared" si="431"/>
        <v>24.961917158064281</v>
      </c>
      <c r="Q1093" s="609">
        <f t="shared" si="431"/>
        <v>26.84382452624823</v>
      </c>
      <c r="R1093" s="603">
        <f t="shared" si="431"/>
        <v>24.959903875920524</v>
      </c>
    </row>
    <row r="1094" spans="2:18">
      <c r="B1094" s="604" t="s">
        <v>1055</v>
      </c>
      <c r="C1094" s="610">
        <f t="shared" ref="C1094:R1094" si="432">IF(ISNUMBER(C824/C396*1000000),C824/C396*1000000,"0")</f>
        <v>62.249597442683694</v>
      </c>
      <c r="D1094" s="617">
        <f t="shared" si="432"/>
        <v>64.354433802188908</v>
      </c>
      <c r="E1094" s="617">
        <f t="shared" si="432"/>
        <v>60.310510449590943</v>
      </c>
      <c r="F1094" s="617">
        <f t="shared" si="432"/>
        <v>58.873052156388958</v>
      </c>
      <c r="G1094" s="617">
        <f t="shared" si="432"/>
        <v>56.163096364824845</v>
      </c>
      <c r="H1094" s="617">
        <f t="shared" si="432"/>
        <v>55.841227430657135</v>
      </c>
      <c r="I1094" s="617">
        <f t="shared" si="432"/>
        <v>60.336163854899866</v>
      </c>
      <c r="J1094" s="617">
        <f t="shared" si="432"/>
        <v>59.992019625883849</v>
      </c>
      <c r="K1094" s="610">
        <f t="shared" si="432"/>
        <v>48.586325558295812</v>
      </c>
      <c r="L1094" s="617">
        <f t="shared" si="432"/>
        <v>49.77615122421399</v>
      </c>
      <c r="M1094" s="617">
        <f t="shared" si="432"/>
        <v>46.790580896944526</v>
      </c>
      <c r="N1094" s="617">
        <f t="shared" si="432"/>
        <v>45.771852671024888</v>
      </c>
      <c r="O1094" s="617">
        <f t="shared" si="432"/>
        <v>44.745459877259663</v>
      </c>
      <c r="P1094" s="617">
        <f t="shared" si="432"/>
        <v>43.935347565664102</v>
      </c>
      <c r="Q1094" s="617">
        <f t="shared" si="432"/>
        <v>48.149566255635754</v>
      </c>
      <c r="R1094" s="618">
        <f t="shared" si="432"/>
        <v>49.215903705507465</v>
      </c>
    </row>
    <row r="1095" spans="2:18">
      <c r="B1095" s="57"/>
      <c r="C1095" s="582"/>
      <c r="D1095" s="582"/>
      <c r="E1095" s="582"/>
      <c r="F1095" s="582"/>
      <c r="G1095" s="582"/>
      <c r="H1095" s="582"/>
      <c r="I1095" s="582"/>
      <c r="J1095" s="582"/>
      <c r="K1095" s="582"/>
      <c r="L1095" s="582"/>
      <c r="M1095" s="582"/>
      <c r="N1095" s="582"/>
      <c r="O1095" s="582"/>
      <c r="P1095" s="582"/>
      <c r="Q1095" s="582"/>
    </row>
    <row r="1096" spans="2:18">
      <c r="B1096" s="2157" t="s">
        <v>1148</v>
      </c>
      <c r="C1096" s="2157"/>
      <c r="D1096" s="2157"/>
      <c r="E1096" s="2157"/>
      <c r="F1096" s="2157"/>
      <c r="G1096" s="2157"/>
      <c r="H1096" s="2157"/>
      <c r="I1096" s="2157"/>
      <c r="J1096" s="2157"/>
      <c r="K1096" s="2157"/>
      <c r="L1096" s="2157"/>
      <c r="M1096" s="2157"/>
      <c r="N1096" s="2157"/>
      <c r="O1096" s="2157"/>
      <c r="P1096" s="2157"/>
      <c r="Q1096" s="2157"/>
      <c r="R1096" s="2157"/>
    </row>
    <row r="1097" spans="2:18">
      <c r="B1097" s="619"/>
      <c r="C1097" s="621"/>
      <c r="D1097" s="621"/>
      <c r="E1097" s="621"/>
      <c r="F1097" s="621"/>
      <c r="G1097" s="621"/>
      <c r="H1097" s="621"/>
      <c r="I1097" s="621"/>
      <c r="J1097" s="621"/>
      <c r="K1097" s="622"/>
      <c r="L1097" s="622"/>
      <c r="M1097" s="622"/>
      <c r="N1097" s="622"/>
      <c r="O1097" s="622"/>
      <c r="P1097" s="622"/>
      <c r="Q1097" s="622"/>
    </row>
    <row r="1098" spans="2:18">
      <c r="B1098" s="583"/>
      <c r="C1098" s="2196" t="s">
        <v>1114</v>
      </c>
      <c r="D1098" s="2197"/>
      <c r="E1098" s="2197"/>
      <c r="F1098" s="2197"/>
      <c r="G1098" s="2197"/>
      <c r="H1098" s="2197"/>
      <c r="I1098" s="2197"/>
      <c r="J1098" s="2198"/>
      <c r="K1098" s="2206" t="s">
        <v>1115</v>
      </c>
      <c r="L1098" s="2207"/>
      <c r="M1098" s="2207"/>
      <c r="N1098" s="2207"/>
      <c r="O1098" s="2207"/>
      <c r="P1098" s="2207"/>
      <c r="Q1098" s="2207"/>
      <c r="R1098" s="2208"/>
    </row>
    <row r="1099" spans="2:18">
      <c r="B1099" s="57"/>
      <c r="C1099" s="585">
        <v>2014</v>
      </c>
      <c r="D1099" s="586">
        <v>2015</v>
      </c>
      <c r="E1099" s="586">
        <v>2016</v>
      </c>
      <c r="F1099" s="586">
        <v>2017</v>
      </c>
      <c r="G1099" s="586">
        <v>2018</v>
      </c>
      <c r="H1099" s="586">
        <v>2019</v>
      </c>
      <c r="I1099" s="586">
        <v>2020</v>
      </c>
      <c r="J1099" s="586">
        <v>2021</v>
      </c>
      <c r="K1099" s="587">
        <v>2014</v>
      </c>
      <c r="L1099" s="588">
        <v>2015</v>
      </c>
      <c r="M1099" s="588">
        <v>2016</v>
      </c>
      <c r="N1099" s="588">
        <v>2017</v>
      </c>
      <c r="O1099" s="588">
        <v>2018</v>
      </c>
      <c r="P1099" s="588">
        <v>2019</v>
      </c>
      <c r="Q1099" s="588">
        <v>2020</v>
      </c>
      <c r="R1099" s="848">
        <v>2021</v>
      </c>
    </row>
    <row r="1100" spans="2:18">
      <c r="B1100" s="589" t="s">
        <v>1038</v>
      </c>
      <c r="C1100" s="614">
        <f>IFERROR(C830/C402*1000000,0)</f>
        <v>0</v>
      </c>
      <c r="D1100" s="615">
        <f t="shared" ref="D1100:J1100" si="433">IFERROR(D830/D402*1000000,0)</f>
        <v>0</v>
      </c>
      <c r="E1100" s="615">
        <f t="shared" si="433"/>
        <v>0</v>
      </c>
      <c r="F1100" s="615">
        <f t="shared" si="433"/>
        <v>0</v>
      </c>
      <c r="G1100" s="615">
        <f t="shared" si="433"/>
        <v>0</v>
      </c>
      <c r="H1100" s="615">
        <f t="shared" si="433"/>
        <v>0</v>
      </c>
      <c r="I1100" s="615">
        <f t="shared" si="433"/>
        <v>0</v>
      </c>
      <c r="J1100" s="616">
        <f t="shared" si="433"/>
        <v>0</v>
      </c>
      <c r="K1100" s="615">
        <f t="shared" ref="K1100:R1109" si="434">IF(ISNUMBER(K830/K402*1000000),K830/K402*1000000,"0")</f>
        <v>65.639229530289853</v>
      </c>
      <c r="L1100" s="615">
        <f t="shared" si="434"/>
        <v>54.846986500273033</v>
      </c>
      <c r="M1100" s="615">
        <f t="shared" si="434"/>
        <v>57.238606199712386</v>
      </c>
      <c r="N1100" s="615">
        <f t="shared" si="434"/>
        <v>59.653713987927347</v>
      </c>
      <c r="O1100" s="615">
        <f t="shared" si="434"/>
        <v>37.239762179368363</v>
      </c>
      <c r="P1100" s="615">
        <f t="shared" si="434"/>
        <v>32.499114561081406</v>
      </c>
      <c r="Q1100" s="615">
        <f t="shared" si="434"/>
        <v>33.839667253483697</v>
      </c>
      <c r="R1100" s="616">
        <f t="shared" si="434"/>
        <v>41.63224578234307</v>
      </c>
    </row>
    <row r="1101" spans="2:18">
      <c r="B1101" s="595" t="s">
        <v>1039</v>
      </c>
      <c r="C1101" s="608">
        <f t="shared" ref="C1101:J1101" si="435">IFERROR(C831/C403*1000000,0)</f>
        <v>0</v>
      </c>
      <c r="D1101" s="609">
        <f t="shared" si="435"/>
        <v>0</v>
      </c>
      <c r="E1101" s="609">
        <f t="shared" si="435"/>
        <v>0</v>
      </c>
      <c r="F1101" s="609">
        <f t="shared" si="435"/>
        <v>0</v>
      </c>
      <c r="G1101" s="609">
        <f t="shared" si="435"/>
        <v>0</v>
      </c>
      <c r="H1101" s="609">
        <f t="shared" si="435"/>
        <v>0</v>
      </c>
      <c r="I1101" s="609">
        <f t="shared" si="435"/>
        <v>0</v>
      </c>
      <c r="J1101" s="603">
        <f t="shared" si="435"/>
        <v>0</v>
      </c>
      <c r="K1101" s="609">
        <f t="shared" si="434"/>
        <v>476.62603633681681</v>
      </c>
      <c r="L1101" s="609">
        <f t="shared" si="434"/>
        <v>418.46390931666264</v>
      </c>
      <c r="M1101" s="609">
        <f t="shared" si="434"/>
        <v>230.4951273625972</v>
      </c>
      <c r="N1101" s="609">
        <f t="shared" si="434"/>
        <v>250.99975432117353</v>
      </c>
      <c r="O1101" s="609">
        <f t="shared" si="434"/>
        <v>259.51393348513801</v>
      </c>
      <c r="P1101" s="609">
        <f t="shared" si="434"/>
        <v>268.52511553967435</v>
      </c>
      <c r="Q1101" s="609">
        <f t="shared" si="434"/>
        <v>252.345130579944</v>
      </c>
      <c r="R1101" s="603">
        <f t="shared" si="434"/>
        <v>269.90108056232197</v>
      </c>
    </row>
    <row r="1102" spans="2:18">
      <c r="B1102" s="595" t="s">
        <v>1040</v>
      </c>
      <c r="C1102" s="608">
        <f t="shared" ref="C1102:J1102" si="436">IFERROR(C832/C404*1000000,0)</f>
        <v>0</v>
      </c>
      <c r="D1102" s="609">
        <f t="shared" si="436"/>
        <v>0</v>
      </c>
      <c r="E1102" s="609">
        <f t="shared" si="436"/>
        <v>0</v>
      </c>
      <c r="F1102" s="609">
        <f t="shared" si="436"/>
        <v>0</v>
      </c>
      <c r="G1102" s="609">
        <f t="shared" si="436"/>
        <v>0</v>
      </c>
      <c r="H1102" s="609">
        <f t="shared" si="436"/>
        <v>0</v>
      </c>
      <c r="I1102" s="609">
        <f t="shared" si="436"/>
        <v>0</v>
      </c>
      <c r="J1102" s="603">
        <f t="shared" si="436"/>
        <v>0</v>
      </c>
      <c r="K1102" s="609">
        <f t="shared" si="434"/>
        <v>79.044078961904574</v>
      </c>
      <c r="L1102" s="609">
        <f t="shared" si="434"/>
        <v>76.338497945664329</v>
      </c>
      <c r="M1102" s="609">
        <f t="shared" si="434"/>
        <v>70.922586616032575</v>
      </c>
      <c r="N1102" s="609">
        <f t="shared" si="434"/>
        <v>64.511145988512922</v>
      </c>
      <c r="O1102" s="609">
        <f t="shared" si="434"/>
        <v>57.577464597271472</v>
      </c>
      <c r="P1102" s="609">
        <f t="shared" si="434"/>
        <v>49.573072392964491</v>
      </c>
      <c r="Q1102" s="609">
        <f t="shared" si="434"/>
        <v>50.014377936622097</v>
      </c>
      <c r="R1102" s="603">
        <f t="shared" si="434"/>
        <v>45.584395916530255</v>
      </c>
    </row>
    <row r="1103" spans="2:18">
      <c r="B1103" s="595" t="s">
        <v>1041</v>
      </c>
      <c r="C1103" s="608">
        <f t="shared" ref="C1103:J1103" si="437">IFERROR(C833/C405*1000000,0)</f>
        <v>0</v>
      </c>
      <c r="D1103" s="609">
        <f t="shared" si="437"/>
        <v>0</v>
      </c>
      <c r="E1103" s="609">
        <f t="shared" si="437"/>
        <v>0</v>
      </c>
      <c r="F1103" s="609">
        <f t="shared" si="437"/>
        <v>0</v>
      </c>
      <c r="G1103" s="609">
        <f t="shared" si="437"/>
        <v>0</v>
      </c>
      <c r="H1103" s="609">
        <f t="shared" si="437"/>
        <v>0</v>
      </c>
      <c r="I1103" s="609">
        <f t="shared" si="437"/>
        <v>0</v>
      </c>
      <c r="J1103" s="603">
        <f t="shared" si="437"/>
        <v>0</v>
      </c>
      <c r="K1103" s="609">
        <f t="shared" si="434"/>
        <v>49.220873451969474</v>
      </c>
      <c r="L1103" s="609">
        <f t="shared" si="434"/>
        <v>35.890060140055759</v>
      </c>
      <c r="M1103" s="609">
        <f t="shared" si="434"/>
        <v>33.619829301309544</v>
      </c>
      <c r="N1103" s="609">
        <f t="shared" si="434"/>
        <v>36.458549576768512</v>
      </c>
      <c r="O1103" s="609">
        <f t="shared" si="434"/>
        <v>31.61998723150575</v>
      </c>
      <c r="P1103" s="609">
        <f t="shared" si="434"/>
        <v>28.677373444650861</v>
      </c>
      <c r="Q1103" s="609">
        <f t="shared" si="434"/>
        <v>23.253345917267492</v>
      </c>
      <c r="R1103" s="603">
        <f t="shared" si="434"/>
        <v>22.974064282178752</v>
      </c>
    </row>
    <row r="1104" spans="2:18">
      <c r="B1104" s="595" t="s">
        <v>1042</v>
      </c>
      <c r="C1104" s="608">
        <f t="shared" ref="C1104:J1104" si="438">IFERROR(C834/C406*1000000,0)</f>
        <v>0</v>
      </c>
      <c r="D1104" s="609">
        <f t="shared" si="438"/>
        <v>0</v>
      </c>
      <c r="E1104" s="609">
        <f t="shared" si="438"/>
        <v>0</v>
      </c>
      <c r="F1104" s="609">
        <f t="shared" si="438"/>
        <v>0</v>
      </c>
      <c r="G1104" s="609">
        <f t="shared" si="438"/>
        <v>0</v>
      </c>
      <c r="H1104" s="609">
        <f t="shared" si="438"/>
        <v>0</v>
      </c>
      <c r="I1104" s="609">
        <f t="shared" si="438"/>
        <v>0</v>
      </c>
      <c r="J1104" s="603">
        <f t="shared" si="438"/>
        <v>0</v>
      </c>
      <c r="K1104" s="609">
        <f t="shared" si="434"/>
        <v>86.828889928419784</v>
      </c>
      <c r="L1104" s="609">
        <f t="shared" si="434"/>
        <v>75.19657714609626</v>
      </c>
      <c r="M1104" s="609">
        <f t="shared" si="434"/>
        <v>69.111962868842795</v>
      </c>
      <c r="N1104" s="609">
        <f t="shared" si="434"/>
        <v>69.64451149818882</v>
      </c>
      <c r="O1104" s="609">
        <f t="shared" si="434"/>
        <v>71.639775633966238</v>
      </c>
      <c r="P1104" s="609">
        <f t="shared" si="434"/>
        <v>63.750096841430036</v>
      </c>
      <c r="Q1104" s="609">
        <f t="shared" si="434"/>
        <v>58.286963347085923</v>
      </c>
      <c r="R1104" s="603">
        <f t="shared" si="434"/>
        <v>64.165254472511734</v>
      </c>
    </row>
    <row r="1105" spans="2:18">
      <c r="B1105" s="595" t="s">
        <v>1043</v>
      </c>
      <c r="C1105" s="608">
        <f t="shared" ref="C1105:J1105" si="439">IFERROR(C835/C407*1000000,0)</f>
        <v>0</v>
      </c>
      <c r="D1105" s="609">
        <f t="shared" si="439"/>
        <v>0</v>
      </c>
      <c r="E1105" s="609">
        <f t="shared" si="439"/>
        <v>0</v>
      </c>
      <c r="F1105" s="609">
        <f t="shared" si="439"/>
        <v>0</v>
      </c>
      <c r="G1105" s="609">
        <f t="shared" si="439"/>
        <v>0</v>
      </c>
      <c r="H1105" s="609">
        <f t="shared" si="439"/>
        <v>0</v>
      </c>
      <c r="I1105" s="609">
        <f t="shared" si="439"/>
        <v>0</v>
      </c>
      <c r="J1105" s="603">
        <f t="shared" si="439"/>
        <v>0</v>
      </c>
      <c r="K1105" s="609">
        <f t="shared" si="434"/>
        <v>103.03025749369918</v>
      </c>
      <c r="L1105" s="609">
        <f t="shared" si="434"/>
        <v>76.743851845979947</v>
      </c>
      <c r="M1105" s="609">
        <f t="shared" si="434"/>
        <v>65.285402903019943</v>
      </c>
      <c r="N1105" s="609">
        <f t="shared" si="434"/>
        <v>65.896084260910953</v>
      </c>
      <c r="O1105" s="609">
        <f t="shared" si="434"/>
        <v>64.847302263352361</v>
      </c>
      <c r="P1105" s="609">
        <f t="shared" si="434"/>
        <v>57.786903322270504</v>
      </c>
      <c r="Q1105" s="609">
        <f t="shared" si="434"/>
        <v>54.360943947241466</v>
      </c>
      <c r="R1105" s="603">
        <f t="shared" si="434"/>
        <v>51.217859737840513</v>
      </c>
    </row>
    <row r="1106" spans="2:18">
      <c r="B1106" s="595" t="s">
        <v>1044</v>
      </c>
      <c r="C1106" s="608">
        <f t="shared" ref="C1106:J1106" si="440">IFERROR(C836/C408*1000000,0)</f>
        <v>0</v>
      </c>
      <c r="D1106" s="609">
        <f t="shared" si="440"/>
        <v>0</v>
      </c>
      <c r="E1106" s="609">
        <f t="shared" si="440"/>
        <v>0</v>
      </c>
      <c r="F1106" s="609">
        <f t="shared" si="440"/>
        <v>0</v>
      </c>
      <c r="G1106" s="609">
        <f t="shared" si="440"/>
        <v>0</v>
      </c>
      <c r="H1106" s="609">
        <f t="shared" si="440"/>
        <v>0</v>
      </c>
      <c r="I1106" s="609">
        <f t="shared" si="440"/>
        <v>0</v>
      </c>
      <c r="J1106" s="603">
        <f t="shared" si="440"/>
        <v>0</v>
      </c>
      <c r="K1106" s="609">
        <f t="shared" si="434"/>
        <v>56.992587921210387</v>
      </c>
      <c r="L1106" s="609">
        <f t="shared" si="434"/>
        <v>55.659876523652663</v>
      </c>
      <c r="M1106" s="609">
        <f t="shared" si="434"/>
        <v>53.562777995733917</v>
      </c>
      <c r="N1106" s="609">
        <f t="shared" si="434"/>
        <v>52.387243620499447</v>
      </c>
      <c r="O1106" s="609">
        <f t="shared" si="434"/>
        <v>50.130572347798136</v>
      </c>
      <c r="P1106" s="609">
        <f t="shared" si="434"/>
        <v>51.341467004640585</v>
      </c>
      <c r="Q1106" s="609">
        <f t="shared" si="434"/>
        <v>46.717935419917708</v>
      </c>
      <c r="R1106" s="603">
        <f t="shared" si="434"/>
        <v>37.853887558099402</v>
      </c>
    </row>
    <row r="1107" spans="2:18">
      <c r="B1107" s="595" t="s">
        <v>1061</v>
      </c>
      <c r="C1107" s="608">
        <f t="shared" ref="C1107:J1107" si="441">IFERROR(C837/C409*1000000,0)</f>
        <v>0</v>
      </c>
      <c r="D1107" s="609">
        <f t="shared" si="441"/>
        <v>0</v>
      </c>
      <c r="E1107" s="609">
        <f t="shared" si="441"/>
        <v>0</v>
      </c>
      <c r="F1107" s="609">
        <f t="shared" si="441"/>
        <v>0</v>
      </c>
      <c r="G1107" s="609">
        <f t="shared" si="441"/>
        <v>0</v>
      </c>
      <c r="H1107" s="609">
        <f t="shared" si="441"/>
        <v>0</v>
      </c>
      <c r="I1107" s="609">
        <f t="shared" si="441"/>
        <v>0</v>
      </c>
      <c r="J1107" s="603">
        <f t="shared" si="441"/>
        <v>0</v>
      </c>
      <c r="K1107" s="609" t="str">
        <f t="shared" si="434"/>
        <v>0</v>
      </c>
      <c r="L1107" s="609">
        <f t="shared" si="434"/>
        <v>170.16449234259784</v>
      </c>
      <c r="M1107" s="609">
        <f t="shared" si="434"/>
        <v>134.01543157661067</v>
      </c>
      <c r="N1107" s="609">
        <f t="shared" si="434"/>
        <v>128.37238213866235</v>
      </c>
      <c r="O1107" s="609">
        <f t="shared" si="434"/>
        <v>121.45450094194084</v>
      </c>
      <c r="P1107" s="609">
        <f t="shared" si="434"/>
        <v>101.23447274931306</v>
      </c>
      <c r="Q1107" s="609">
        <f t="shared" si="434"/>
        <v>120.22514365660649</v>
      </c>
      <c r="R1107" s="603">
        <f t="shared" si="434"/>
        <v>102.6172352530922</v>
      </c>
    </row>
    <row r="1108" spans="2:18">
      <c r="B1108" s="595" t="s">
        <v>1047</v>
      </c>
      <c r="C1108" s="608">
        <f t="shared" ref="C1108:J1108" si="442">IFERROR(C838/C410*1000000,0)</f>
        <v>0</v>
      </c>
      <c r="D1108" s="609">
        <f t="shared" si="442"/>
        <v>0</v>
      </c>
      <c r="E1108" s="609">
        <f t="shared" si="442"/>
        <v>0</v>
      </c>
      <c r="F1108" s="609">
        <f t="shared" si="442"/>
        <v>0</v>
      </c>
      <c r="G1108" s="609">
        <f t="shared" si="442"/>
        <v>0</v>
      </c>
      <c r="H1108" s="609">
        <f t="shared" si="442"/>
        <v>0</v>
      </c>
      <c r="I1108" s="609">
        <f t="shared" si="442"/>
        <v>0</v>
      </c>
      <c r="J1108" s="603">
        <f t="shared" si="442"/>
        <v>0</v>
      </c>
      <c r="K1108" s="609" t="str">
        <f t="shared" si="434"/>
        <v>0</v>
      </c>
      <c r="L1108" s="609">
        <f t="shared" si="434"/>
        <v>73.417102018821154</v>
      </c>
      <c r="M1108" s="609">
        <f t="shared" si="434"/>
        <v>69.18503437388911</v>
      </c>
      <c r="N1108" s="609">
        <f t="shared" si="434"/>
        <v>66.908930547976752</v>
      </c>
      <c r="O1108" s="609">
        <f t="shared" si="434"/>
        <v>65.640074296508288</v>
      </c>
      <c r="P1108" s="609">
        <f t="shared" si="434"/>
        <v>67.833372710064495</v>
      </c>
      <c r="Q1108" s="609">
        <f t="shared" si="434"/>
        <v>69.201406334158406</v>
      </c>
      <c r="R1108" s="603">
        <f t="shared" si="434"/>
        <v>69.755378959603959</v>
      </c>
    </row>
    <row r="1109" spans="2:18">
      <c r="B1109" s="595" t="s">
        <v>1048</v>
      </c>
      <c r="C1109" s="608">
        <f t="shared" ref="C1109:J1109" si="443">IFERROR(C839/C411*1000000,0)</f>
        <v>0</v>
      </c>
      <c r="D1109" s="609">
        <f t="shared" si="443"/>
        <v>0</v>
      </c>
      <c r="E1109" s="609">
        <f t="shared" si="443"/>
        <v>0</v>
      </c>
      <c r="F1109" s="609">
        <f t="shared" si="443"/>
        <v>0</v>
      </c>
      <c r="G1109" s="609">
        <f t="shared" si="443"/>
        <v>0</v>
      </c>
      <c r="H1109" s="609">
        <f t="shared" si="443"/>
        <v>0</v>
      </c>
      <c r="I1109" s="609">
        <f t="shared" si="443"/>
        <v>0</v>
      </c>
      <c r="J1109" s="603">
        <f t="shared" si="443"/>
        <v>0</v>
      </c>
      <c r="K1109" s="609" t="str">
        <f t="shared" si="434"/>
        <v>0</v>
      </c>
      <c r="L1109" s="609">
        <f t="shared" si="434"/>
        <v>61.509993925517932</v>
      </c>
      <c r="M1109" s="609">
        <f t="shared" si="434"/>
        <v>65.223394509487633</v>
      </c>
      <c r="N1109" s="609">
        <f t="shared" si="434"/>
        <v>66.069716245965168</v>
      </c>
      <c r="O1109" s="609">
        <f t="shared" si="434"/>
        <v>64.812594687600367</v>
      </c>
      <c r="P1109" s="609">
        <f t="shared" si="434"/>
        <v>66.801703775163219</v>
      </c>
      <c r="Q1109" s="609">
        <f t="shared" si="434"/>
        <v>68.919239470118981</v>
      </c>
      <c r="R1109" s="603">
        <f t="shared" si="434"/>
        <v>77.244028848231991</v>
      </c>
    </row>
    <row r="1110" spans="2:18">
      <c r="B1110" s="595" t="s">
        <v>1049</v>
      </c>
      <c r="C1110" s="608">
        <f t="shared" ref="C1110:J1110" si="444">IFERROR(C840/C412*1000000,0)</f>
        <v>0</v>
      </c>
      <c r="D1110" s="609">
        <f t="shared" si="444"/>
        <v>0</v>
      </c>
      <c r="E1110" s="609">
        <f t="shared" si="444"/>
        <v>0</v>
      </c>
      <c r="F1110" s="609">
        <f t="shared" si="444"/>
        <v>0</v>
      </c>
      <c r="G1110" s="609">
        <f t="shared" si="444"/>
        <v>0</v>
      </c>
      <c r="H1110" s="609">
        <f t="shared" si="444"/>
        <v>0</v>
      </c>
      <c r="I1110" s="609">
        <f t="shared" si="444"/>
        <v>0</v>
      </c>
      <c r="J1110" s="603">
        <f t="shared" si="444"/>
        <v>0</v>
      </c>
      <c r="K1110" s="609">
        <f t="shared" ref="K1110:R1116" si="445">IF(ISNUMBER(K840/K412*1000000),K840/K412*1000000,"0")</f>
        <v>0</v>
      </c>
      <c r="L1110" s="609">
        <f t="shared" si="445"/>
        <v>0</v>
      </c>
      <c r="M1110" s="609">
        <f t="shared" si="445"/>
        <v>0</v>
      </c>
      <c r="N1110" s="609">
        <f t="shared" si="445"/>
        <v>0</v>
      </c>
      <c r="O1110" s="609">
        <f t="shared" si="445"/>
        <v>46.237533998186763</v>
      </c>
      <c r="P1110" s="609">
        <f t="shared" si="445"/>
        <v>43.741588156123825</v>
      </c>
      <c r="Q1110" s="609">
        <f t="shared" si="445"/>
        <v>22.823529411764707</v>
      </c>
      <c r="R1110" s="603">
        <f t="shared" si="445"/>
        <v>23.036253776435046</v>
      </c>
    </row>
    <row r="1111" spans="2:18">
      <c r="B1111" s="595" t="s">
        <v>1050</v>
      </c>
      <c r="C1111" s="608">
        <f t="shared" ref="C1111:J1111" si="446">IFERROR(C841/C413*1000000,0)</f>
        <v>0</v>
      </c>
      <c r="D1111" s="609">
        <f t="shared" si="446"/>
        <v>0</v>
      </c>
      <c r="E1111" s="609">
        <f t="shared" si="446"/>
        <v>0</v>
      </c>
      <c r="F1111" s="609">
        <f t="shared" si="446"/>
        <v>0</v>
      </c>
      <c r="G1111" s="609">
        <f t="shared" si="446"/>
        <v>0</v>
      </c>
      <c r="H1111" s="609">
        <f t="shared" si="446"/>
        <v>0</v>
      </c>
      <c r="I1111" s="609">
        <f t="shared" si="446"/>
        <v>0</v>
      </c>
      <c r="J1111" s="603">
        <f t="shared" si="446"/>
        <v>0</v>
      </c>
      <c r="K1111" s="609" t="str">
        <f t="shared" si="445"/>
        <v>0</v>
      </c>
      <c r="L1111" s="609" t="str">
        <f t="shared" si="445"/>
        <v>0</v>
      </c>
      <c r="M1111" s="609" t="str">
        <f t="shared" si="445"/>
        <v>0</v>
      </c>
      <c r="N1111" s="609" t="str">
        <f t="shared" si="445"/>
        <v>0</v>
      </c>
      <c r="O1111" s="609" t="str">
        <f t="shared" si="445"/>
        <v>0</v>
      </c>
      <c r="P1111" s="609" t="str">
        <f t="shared" si="445"/>
        <v>0</v>
      </c>
      <c r="Q1111" s="609" t="str">
        <f t="shared" si="445"/>
        <v>0</v>
      </c>
      <c r="R1111" s="603" t="str">
        <f t="shared" si="445"/>
        <v>0</v>
      </c>
    </row>
    <row r="1112" spans="2:18">
      <c r="B1112" s="595" t="s">
        <v>1051</v>
      </c>
      <c r="C1112" s="608">
        <f t="shared" ref="C1112:J1112" si="447">IFERROR(C842/C414*1000000,0)</f>
        <v>0</v>
      </c>
      <c r="D1112" s="609">
        <f t="shared" si="447"/>
        <v>0</v>
      </c>
      <c r="E1112" s="609">
        <f t="shared" si="447"/>
        <v>0</v>
      </c>
      <c r="F1112" s="609">
        <f t="shared" si="447"/>
        <v>0</v>
      </c>
      <c r="G1112" s="609">
        <f t="shared" si="447"/>
        <v>0</v>
      </c>
      <c r="H1112" s="609">
        <f t="shared" si="447"/>
        <v>0</v>
      </c>
      <c r="I1112" s="609">
        <f t="shared" si="447"/>
        <v>0</v>
      </c>
      <c r="J1112" s="603">
        <f t="shared" si="447"/>
        <v>0</v>
      </c>
      <c r="K1112" s="609">
        <f t="shared" si="445"/>
        <v>98.838163278602238</v>
      </c>
      <c r="L1112" s="609">
        <f t="shared" si="445"/>
        <v>120.27264618740705</v>
      </c>
      <c r="M1112" s="609">
        <f t="shared" si="445"/>
        <v>128.45729296167769</v>
      </c>
      <c r="N1112" s="609">
        <f t="shared" si="445"/>
        <v>156.73272877522061</v>
      </c>
      <c r="O1112" s="609">
        <f t="shared" si="445"/>
        <v>181.59671899344798</v>
      </c>
      <c r="P1112" s="609">
        <f t="shared" si="445"/>
        <v>189.15183423231849</v>
      </c>
      <c r="Q1112" s="609">
        <f t="shared" si="445"/>
        <v>187.17828839803906</v>
      </c>
      <c r="R1112" s="603">
        <f t="shared" si="445"/>
        <v>159.19311658299111</v>
      </c>
    </row>
    <row r="1113" spans="2:18">
      <c r="B1113" s="595" t="s">
        <v>1052</v>
      </c>
      <c r="C1113" s="608">
        <f t="shared" ref="C1113:J1113" si="448">IFERROR(C843/C415*1000000,0)</f>
        <v>0</v>
      </c>
      <c r="D1113" s="609">
        <f t="shared" si="448"/>
        <v>0</v>
      </c>
      <c r="E1113" s="609">
        <f t="shared" si="448"/>
        <v>0</v>
      </c>
      <c r="F1113" s="609">
        <f t="shared" si="448"/>
        <v>0</v>
      </c>
      <c r="G1113" s="609">
        <f t="shared" si="448"/>
        <v>0</v>
      </c>
      <c r="H1113" s="609">
        <f t="shared" si="448"/>
        <v>0</v>
      </c>
      <c r="I1113" s="609">
        <f t="shared" si="448"/>
        <v>0</v>
      </c>
      <c r="J1113" s="603">
        <f t="shared" si="448"/>
        <v>0</v>
      </c>
      <c r="K1113" s="609">
        <f t="shared" si="445"/>
        <v>61.139075316776996</v>
      </c>
      <c r="L1113" s="609">
        <f t="shared" si="445"/>
        <v>57.957938684689289</v>
      </c>
      <c r="M1113" s="609">
        <f t="shared" si="445"/>
        <v>55.284244783051015</v>
      </c>
      <c r="N1113" s="609">
        <f t="shared" si="445"/>
        <v>53.907681776057927</v>
      </c>
      <c r="O1113" s="609">
        <f t="shared" si="445"/>
        <v>52.472892721255661</v>
      </c>
      <c r="P1113" s="609">
        <f t="shared" si="445"/>
        <v>50.852522550808999</v>
      </c>
      <c r="Q1113" s="609">
        <f t="shared" si="445"/>
        <v>50.524438464890558</v>
      </c>
      <c r="R1113" s="603">
        <f t="shared" si="445"/>
        <v>53.720790094331051</v>
      </c>
    </row>
    <row r="1114" spans="2:18">
      <c r="B1114" s="595" t="s">
        <v>1053</v>
      </c>
      <c r="C1114" s="608">
        <f t="shared" ref="C1114:J1114" si="449">IFERROR(C844/C416*1000000,0)</f>
        <v>0</v>
      </c>
      <c r="D1114" s="609">
        <f t="shared" si="449"/>
        <v>0</v>
      </c>
      <c r="E1114" s="609">
        <f t="shared" si="449"/>
        <v>0</v>
      </c>
      <c r="F1114" s="609">
        <f t="shared" si="449"/>
        <v>0</v>
      </c>
      <c r="G1114" s="609">
        <f t="shared" si="449"/>
        <v>0</v>
      </c>
      <c r="H1114" s="609">
        <f t="shared" si="449"/>
        <v>0</v>
      </c>
      <c r="I1114" s="609">
        <f t="shared" si="449"/>
        <v>0</v>
      </c>
      <c r="J1114" s="603">
        <f t="shared" si="449"/>
        <v>0</v>
      </c>
      <c r="K1114" s="609">
        <f t="shared" si="445"/>
        <v>0</v>
      </c>
      <c r="L1114" s="609">
        <f t="shared" si="445"/>
        <v>44.46396215745245</v>
      </c>
      <c r="M1114" s="609">
        <f t="shared" si="445"/>
        <v>44.344274239020812</v>
      </c>
      <c r="N1114" s="609">
        <f t="shared" si="445"/>
        <v>47.000010717410625</v>
      </c>
      <c r="O1114" s="609">
        <f t="shared" si="445"/>
        <v>47.50703128901975</v>
      </c>
      <c r="P1114" s="609">
        <f t="shared" si="445"/>
        <v>42.723082214401089</v>
      </c>
      <c r="Q1114" s="609">
        <f t="shared" si="445"/>
        <v>40.28427468655223</v>
      </c>
      <c r="R1114" s="603">
        <f t="shared" si="445"/>
        <v>34.51157021408109</v>
      </c>
    </row>
    <row r="1115" spans="2:18">
      <c r="B1115" s="595" t="s">
        <v>1054</v>
      </c>
      <c r="C1115" s="608">
        <f t="shared" ref="C1115:J1115" si="450">IFERROR(C845/C417*1000000,0)</f>
        <v>0</v>
      </c>
      <c r="D1115" s="609">
        <f t="shared" si="450"/>
        <v>0</v>
      </c>
      <c r="E1115" s="609">
        <f t="shared" si="450"/>
        <v>0</v>
      </c>
      <c r="F1115" s="609">
        <f t="shared" si="450"/>
        <v>0</v>
      </c>
      <c r="G1115" s="609">
        <f t="shared" si="450"/>
        <v>0</v>
      </c>
      <c r="H1115" s="609">
        <f t="shared" si="450"/>
        <v>0</v>
      </c>
      <c r="I1115" s="609">
        <f t="shared" si="450"/>
        <v>0</v>
      </c>
      <c r="J1115" s="603">
        <f t="shared" si="450"/>
        <v>0</v>
      </c>
      <c r="K1115" s="609">
        <f t="shared" si="445"/>
        <v>100.01462911665351</v>
      </c>
      <c r="L1115" s="609">
        <f t="shared" si="445"/>
        <v>90.726239104304511</v>
      </c>
      <c r="M1115" s="609">
        <f t="shared" si="445"/>
        <v>88.663359750152722</v>
      </c>
      <c r="N1115" s="609">
        <f t="shared" si="445"/>
        <v>87.334383679905599</v>
      </c>
      <c r="O1115" s="609">
        <f t="shared" si="445"/>
        <v>82.643682296579172</v>
      </c>
      <c r="P1115" s="609">
        <f t="shared" si="445"/>
        <v>83.393681643638402</v>
      </c>
      <c r="Q1115" s="609">
        <f t="shared" si="445"/>
        <v>80.355215265857879</v>
      </c>
      <c r="R1115" s="603">
        <f t="shared" si="445"/>
        <v>71.570388154006281</v>
      </c>
    </row>
    <row r="1116" spans="2:18">
      <c r="B1116" s="604" t="s">
        <v>1055</v>
      </c>
      <c r="C1116" s="610">
        <f t="shared" ref="C1116:J1116" si="451">IFERROR(C846/C418*1000000,0)</f>
        <v>0</v>
      </c>
      <c r="D1116" s="617">
        <f t="shared" si="451"/>
        <v>0</v>
      </c>
      <c r="E1116" s="617">
        <f t="shared" si="451"/>
        <v>0</v>
      </c>
      <c r="F1116" s="617">
        <f t="shared" si="451"/>
        <v>0</v>
      </c>
      <c r="G1116" s="617">
        <f t="shared" si="451"/>
        <v>0</v>
      </c>
      <c r="H1116" s="617">
        <f t="shared" si="451"/>
        <v>0</v>
      </c>
      <c r="I1116" s="617">
        <f t="shared" si="451"/>
        <v>0</v>
      </c>
      <c r="J1116" s="618">
        <f t="shared" si="451"/>
        <v>0</v>
      </c>
      <c r="K1116" s="617">
        <f t="shared" si="445"/>
        <v>94.340162348521531</v>
      </c>
      <c r="L1116" s="617">
        <f t="shared" si="445"/>
        <v>98.063898687944459</v>
      </c>
      <c r="M1116" s="617">
        <f t="shared" si="445"/>
        <v>90.748476116892661</v>
      </c>
      <c r="N1116" s="617">
        <f t="shared" si="445"/>
        <v>87.418754534528276</v>
      </c>
      <c r="O1116" s="617">
        <f t="shared" si="445"/>
        <v>81.185055293633795</v>
      </c>
      <c r="P1116" s="617">
        <f t="shared" si="445"/>
        <v>82.56444043100899</v>
      </c>
      <c r="Q1116" s="617">
        <f t="shared" si="445"/>
        <v>88.984748146572386</v>
      </c>
      <c r="R1116" s="618">
        <f t="shared" si="445"/>
        <v>86.036209507696782</v>
      </c>
    </row>
    <row r="1117" spans="2:18">
      <c r="B1117" s="57"/>
      <c r="C1117" s="582"/>
      <c r="D1117" s="582"/>
      <c r="E1117" s="582"/>
      <c r="F1117" s="582"/>
      <c r="G1117" s="582"/>
      <c r="H1117" s="582"/>
      <c r="I1117" s="582"/>
      <c r="J1117" s="582"/>
      <c r="K1117" s="582"/>
      <c r="L1117" s="582"/>
      <c r="M1117" s="582"/>
      <c r="N1117" s="582"/>
      <c r="O1117" s="582"/>
      <c r="P1117" s="582"/>
      <c r="Q1117" s="582"/>
    </row>
    <row r="1118" spans="2:18">
      <c r="B1118" s="2157" t="s">
        <v>1149</v>
      </c>
      <c r="C1118" s="2157"/>
      <c r="D1118" s="2157"/>
      <c r="E1118" s="2157"/>
      <c r="F1118" s="2157"/>
      <c r="G1118" s="2157"/>
      <c r="H1118" s="2157"/>
      <c r="I1118" s="2157"/>
      <c r="J1118" s="2157"/>
      <c r="K1118" s="2157"/>
      <c r="L1118" s="2157"/>
      <c r="M1118" s="2157"/>
      <c r="N1118" s="2157"/>
      <c r="O1118" s="2157"/>
      <c r="P1118" s="2157"/>
      <c r="Q1118" s="2157"/>
      <c r="R1118" s="2157"/>
    </row>
    <row r="1119" spans="2:18" ht="15" customHeight="1">
      <c r="B1119" s="2178" t="s">
        <v>1150</v>
      </c>
      <c r="C1119" s="2178"/>
      <c r="D1119" s="2178"/>
      <c r="E1119" s="2178"/>
      <c r="F1119" s="2178"/>
      <c r="G1119" s="2178"/>
      <c r="H1119" s="2178"/>
      <c r="I1119" s="2178"/>
      <c r="J1119" s="2178"/>
      <c r="K1119" s="2178"/>
      <c r="L1119" s="2178"/>
      <c r="M1119" s="2178"/>
      <c r="N1119" s="2178"/>
      <c r="O1119" s="2178"/>
      <c r="P1119" s="2178"/>
      <c r="Q1119" s="2178"/>
      <c r="R1119" s="2178"/>
    </row>
    <row r="1120" spans="2:18">
      <c r="B1120" s="2160" t="s">
        <v>1151</v>
      </c>
      <c r="C1120" s="2160"/>
      <c r="D1120" s="2160"/>
      <c r="E1120" s="2160"/>
      <c r="F1120" s="2160"/>
      <c r="G1120" s="2160"/>
      <c r="H1120" s="2160"/>
      <c r="I1120" s="2160"/>
      <c r="J1120" s="2160"/>
      <c r="K1120" s="2160"/>
      <c r="L1120" s="2160"/>
      <c r="M1120" s="2160"/>
      <c r="N1120" s="2160"/>
      <c r="O1120" s="2160"/>
      <c r="P1120" s="2160"/>
      <c r="Q1120" s="2160"/>
      <c r="R1120" s="2160"/>
    </row>
    <row r="1121" spans="2:18">
      <c r="B1121" s="57"/>
      <c r="C1121" s="582"/>
      <c r="D1121" s="582"/>
      <c r="E1121" s="582"/>
      <c r="F1121" s="582"/>
      <c r="G1121" s="582"/>
      <c r="H1121" s="582"/>
      <c r="I1121" s="582"/>
      <c r="J1121" s="582"/>
      <c r="K1121" s="582"/>
      <c r="L1121" s="582"/>
      <c r="M1121" s="582"/>
      <c r="N1121" s="582"/>
      <c r="O1121" s="582"/>
      <c r="P1121" s="582"/>
      <c r="Q1121" s="582"/>
    </row>
    <row r="1122" spans="2:18">
      <c r="B1122" s="641">
        <v>100</v>
      </c>
      <c r="C1122" s="2161" t="s">
        <v>361</v>
      </c>
      <c r="D1122" s="2162"/>
      <c r="E1122" s="2162"/>
      <c r="F1122" s="2162"/>
      <c r="G1122" s="2162"/>
      <c r="H1122" s="2162"/>
      <c r="I1122" s="2162"/>
      <c r="J1122" s="2163"/>
      <c r="K1122" s="2161" t="s">
        <v>358</v>
      </c>
      <c r="L1122" s="2162"/>
      <c r="M1122" s="2162"/>
      <c r="N1122" s="2162"/>
      <c r="O1122" s="2162"/>
      <c r="P1122" s="2162"/>
      <c r="Q1122" s="2162"/>
      <c r="R1122" s="2163"/>
    </row>
    <row r="1123" spans="2:18">
      <c r="B1123" s="57"/>
      <c r="C1123" s="585">
        <v>2014</v>
      </c>
      <c r="D1123" s="586">
        <v>2015</v>
      </c>
      <c r="E1123" s="586">
        <v>2016</v>
      </c>
      <c r="F1123" s="586">
        <v>2017</v>
      </c>
      <c r="G1123" s="586">
        <v>2018</v>
      </c>
      <c r="H1123" s="586">
        <v>2019</v>
      </c>
      <c r="I1123" s="586">
        <v>2020</v>
      </c>
      <c r="J1123" s="586">
        <v>2021</v>
      </c>
      <c r="K1123" s="587">
        <v>2014</v>
      </c>
      <c r="L1123" s="588">
        <v>2015</v>
      </c>
      <c r="M1123" s="588">
        <v>2016</v>
      </c>
      <c r="N1123" s="588">
        <v>2017</v>
      </c>
      <c r="O1123" s="588">
        <v>2018</v>
      </c>
      <c r="P1123" s="588">
        <v>2019</v>
      </c>
      <c r="Q1123" s="588">
        <v>2020</v>
      </c>
      <c r="R1123" s="848">
        <v>2021</v>
      </c>
    </row>
    <row r="1124" spans="2:18">
      <c r="B1124" s="589" t="s">
        <v>1038</v>
      </c>
      <c r="C1124" s="623">
        <f t="shared" ref="C1124:J1130" si="452">IF(ISNUMBER(C764/K6*1000),C764/K6*1000,"0")</f>
        <v>22423.649507989932</v>
      </c>
      <c r="D1124" s="624">
        <f t="shared" si="452"/>
        <v>18815.374101226105</v>
      </c>
      <c r="E1124" s="624">
        <f t="shared" si="452"/>
        <v>22279.24438236346</v>
      </c>
      <c r="F1124" s="624">
        <f t="shared" si="452"/>
        <v>24749.07478363219</v>
      </c>
      <c r="G1124" s="624">
        <f t="shared" si="452"/>
        <v>17694.164857350257</v>
      </c>
      <c r="H1124" s="624">
        <f t="shared" si="452"/>
        <v>17572.897929519957</v>
      </c>
      <c r="I1124" s="624">
        <f t="shared" si="452"/>
        <v>18238.512377396302</v>
      </c>
      <c r="J1124" s="624">
        <f t="shared" si="452"/>
        <v>27781.227156193767</v>
      </c>
      <c r="K1124" s="623">
        <f t="shared" ref="K1124:R1130" si="453">IF(ISNUMBER(K764/K6*1000),K764/K6*1000,"0")</f>
        <v>173.45535417900976</v>
      </c>
      <c r="L1124" s="624">
        <f t="shared" si="453"/>
        <v>158.59231302491119</v>
      </c>
      <c r="M1124" s="624">
        <f t="shared" si="453"/>
        <v>194.88544536611661</v>
      </c>
      <c r="N1124" s="624">
        <f t="shared" si="453"/>
        <v>252.72815245580693</v>
      </c>
      <c r="O1124" s="624">
        <f t="shared" si="453"/>
        <v>194.34038051459211</v>
      </c>
      <c r="P1124" s="624">
        <f t="shared" si="453"/>
        <v>199.33858994934891</v>
      </c>
      <c r="Q1124" s="624">
        <f t="shared" si="453"/>
        <v>199.78350156624077</v>
      </c>
      <c r="R1124" s="625">
        <f t="shared" si="453"/>
        <v>283.17349354337199</v>
      </c>
    </row>
    <row r="1125" spans="2:18">
      <c r="B1125" s="595"/>
      <c r="C1125" s="1866">
        <f t="shared" si="452"/>
        <v>17.470641123742894</v>
      </c>
      <c r="D1125" s="627">
        <f t="shared" si="452"/>
        <v>18.186287770173397</v>
      </c>
      <c r="E1125" s="627">
        <f t="shared" si="452"/>
        <v>23.182909392738566</v>
      </c>
      <c r="F1125" s="627">
        <f t="shared" si="452"/>
        <v>32.818867924528305</v>
      </c>
      <c r="G1125" s="627">
        <f t="shared" si="452"/>
        <v>37.686769642295182</v>
      </c>
      <c r="H1125" s="627">
        <f t="shared" si="452"/>
        <v>35.910146883271921</v>
      </c>
      <c r="I1125" s="627">
        <f t="shared" si="452"/>
        <v>33.545931023856596</v>
      </c>
      <c r="J1125" s="627">
        <f t="shared" si="452"/>
        <v>41.358198221092756</v>
      </c>
      <c r="K1125" s="1866">
        <f t="shared" si="453"/>
        <v>8.4395496283340615E-2</v>
      </c>
      <c r="L1125" s="627">
        <f t="shared" si="453"/>
        <v>0.90878891984743138</v>
      </c>
      <c r="M1125" s="627">
        <f t="shared" si="453"/>
        <v>0.91700492663596433</v>
      </c>
      <c r="N1125" s="627">
        <f t="shared" si="453"/>
        <v>0.9758055967776128</v>
      </c>
      <c r="O1125" s="627">
        <f t="shared" si="453"/>
        <v>1.3951064722542745</v>
      </c>
      <c r="P1125" s="627">
        <f t="shared" si="453"/>
        <v>1.428512482483002</v>
      </c>
      <c r="Q1125" s="627">
        <f t="shared" si="453"/>
        <v>1.1580416527567343</v>
      </c>
      <c r="R1125" s="628">
        <f t="shared" si="453"/>
        <v>1.2983202033036849</v>
      </c>
    </row>
    <row r="1126" spans="2:18">
      <c r="B1126" s="595" t="s">
        <v>1040</v>
      </c>
      <c r="C1126" s="1866">
        <f t="shared" si="452"/>
        <v>0</v>
      </c>
      <c r="D1126" s="627">
        <f t="shared" si="452"/>
        <v>0</v>
      </c>
      <c r="E1126" s="627">
        <f t="shared" si="452"/>
        <v>0</v>
      </c>
      <c r="F1126" s="627">
        <f t="shared" si="452"/>
        <v>0</v>
      </c>
      <c r="G1126" s="627">
        <f t="shared" si="452"/>
        <v>0</v>
      </c>
      <c r="H1126" s="627">
        <f t="shared" si="452"/>
        <v>0</v>
      </c>
      <c r="I1126" s="627">
        <f t="shared" si="452"/>
        <v>0</v>
      </c>
      <c r="J1126" s="627">
        <f t="shared" si="452"/>
        <v>0</v>
      </c>
      <c r="K1126" s="1866">
        <f t="shared" si="453"/>
        <v>0</v>
      </c>
      <c r="L1126" s="627">
        <f t="shared" si="453"/>
        <v>0</v>
      </c>
      <c r="M1126" s="627">
        <f t="shared" si="453"/>
        <v>0</v>
      </c>
      <c r="N1126" s="627">
        <f t="shared" si="453"/>
        <v>0</v>
      </c>
      <c r="O1126" s="627">
        <f t="shared" si="453"/>
        <v>0</v>
      </c>
      <c r="P1126" s="627">
        <f t="shared" si="453"/>
        <v>0</v>
      </c>
      <c r="Q1126" s="627">
        <f t="shared" si="453"/>
        <v>0</v>
      </c>
      <c r="R1126" s="628">
        <f t="shared" si="453"/>
        <v>0</v>
      </c>
    </row>
    <row r="1127" spans="2:18">
      <c r="B1127" s="595" t="s">
        <v>1041</v>
      </c>
      <c r="C1127" s="1866">
        <f t="shared" si="452"/>
        <v>71.019591238783917</v>
      </c>
      <c r="D1127" s="627">
        <f t="shared" si="452"/>
        <v>53.212319907284417</v>
      </c>
      <c r="E1127" s="627">
        <f t="shared" si="452"/>
        <v>50.366905479135617</v>
      </c>
      <c r="F1127" s="627">
        <f t="shared" si="452"/>
        <v>59.781016427500816</v>
      </c>
      <c r="G1127" s="627">
        <f t="shared" si="452"/>
        <v>58.612748733063469</v>
      </c>
      <c r="H1127" s="627">
        <f t="shared" si="452"/>
        <v>63.415239039634265</v>
      </c>
      <c r="I1127" s="627">
        <f t="shared" si="452"/>
        <v>56.125456674389433</v>
      </c>
      <c r="J1127" s="627">
        <f t="shared" si="452"/>
        <v>68.759085657923038</v>
      </c>
      <c r="K1127" s="1866">
        <f t="shared" si="453"/>
        <v>10.581588270776725</v>
      </c>
      <c r="L1127" s="627">
        <f t="shared" si="453"/>
        <v>6.3492810982685155</v>
      </c>
      <c r="M1127" s="627">
        <f t="shared" si="453"/>
        <v>9.1177621185060787</v>
      </c>
      <c r="N1127" s="627">
        <f t="shared" si="453"/>
        <v>10.925914998439278</v>
      </c>
      <c r="O1127" s="627">
        <f t="shared" si="453"/>
        <v>8.9554924284672346</v>
      </c>
      <c r="P1127" s="627">
        <f t="shared" si="453"/>
        <v>6.2459848858659699</v>
      </c>
      <c r="Q1127" s="627">
        <f t="shared" si="453"/>
        <v>3.8887486842704098</v>
      </c>
      <c r="R1127" s="628">
        <f t="shared" si="453"/>
        <v>4.1626095210060488</v>
      </c>
    </row>
    <row r="1128" spans="2:18">
      <c r="B1128" s="595" t="s">
        <v>1042</v>
      </c>
      <c r="C1128" s="1866">
        <f t="shared" si="452"/>
        <v>6.6424479897325845</v>
      </c>
      <c r="D1128" s="627">
        <f t="shared" si="452"/>
        <v>7.5724457467471424</v>
      </c>
      <c r="E1128" s="627">
        <f t="shared" si="452"/>
        <v>9.403080255467529</v>
      </c>
      <c r="F1128" s="627">
        <f t="shared" si="452"/>
        <v>11.367502648619737</v>
      </c>
      <c r="G1128" s="627">
        <f t="shared" si="452"/>
        <v>10.379360014854752</v>
      </c>
      <c r="H1128" s="627">
        <f t="shared" si="452"/>
        <v>10.023456133145116</v>
      </c>
      <c r="I1128" s="627">
        <f t="shared" si="452"/>
        <v>10.108263187814188</v>
      </c>
      <c r="J1128" s="627">
        <f t="shared" si="452"/>
        <v>11.561956224589157</v>
      </c>
      <c r="K1128" s="1866">
        <f t="shared" si="453"/>
        <v>0</v>
      </c>
      <c r="L1128" s="627">
        <f t="shared" si="453"/>
        <v>0</v>
      </c>
      <c r="M1128" s="627">
        <f t="shared" si="453"/>
        <v>0</v>
      </c>
      <c r="N1128" s="627">
        <f t="shared" si="453"/>
        <v>0</v>
      </c>
      <c r="O1128" s="627">
        <f t="shared" si="453"/>
        <v>0</v>
      </c>
      <c r="P1128" s="627">
        <f t="shared" si="453"/>
        <v>0</v>
      </c>
      <c r="Q1128" s="627">
        <f t="shared" si="453"/>
        <v>0</v>
      </c>
      <c r="R1128" s="628">
        <f t="shared" si="453"/>
        <v>0</v>
      </c>
    </row>
    <row r="1129" spans="2:18">
      <c r="B1129" s="595" t="s">
        <v>1043</v>
      </c>
      <c r="C1129" s="1866">
        <f t="shared" si="452"/>
        <v>8.1809387193107863</v>
      </c>
      <c r="D1129" s="627">
        <f t="shared" si="452"/>
        <v>6.5596545442698098</v>
      </c>
      <c r="E1129" s="627">
        <f t="shared" si="452"/>
        <v>6.1157363945117345</v>
      </c>
      <c r="F1129" s="627">
        <f t="shared" si="452"/>
        <v>6.8579773081655659</v>
      </c>
      <c r="G1129" s="627">
        <f t="shared" si="452"/>
        <v>7.5285205780342954</v>
      </c>
      <c r="H1129" s="627">
        <f t="shared" si="452"/>
        <v>7.5105399266830002</v>
      </c>
      <c r="I1129" s="627">
        <f t="shared" si="452"/>
        <v>7.8280682550876515</v>
      </c>
      <c r="J1129" s="627">
        <f t="shared" si="452"/>
        <v>8.1139992894284507</v>
      </c>
      <c r="K1129" s="1866">
        <f t="shared" si="453"/>
        <v>2.4283033481131391E-2</v>
      </c>
      <c r="L1129" s="627">
        <f t="shared" si="453"/>
        <v>1.9718245481191426E-2</v>
      </c>
      <c r="M1129" s="627">
        <f t="shared" si="453"/>
        <v>2.1547562166743507E-2</v>
      </c>
      <c r="N1129" s="627">
        <f t="shared" si="453"/>
        <v>2.5623635721909534E-2</v>
      </c>
      <c r="O1129" s="627">
        <f t="shared" si="453"/>
        <v>3.027913367157457E-2</v>
      </c>
      <c r="P1129" s="627">
        <f t="shared" si="453"/>
        <v>2.8184709813875122E-2</v>
      </c>
      <c r="Q1129" s="627">
        <f t="shared" si="453"/>
        <v>2.4145227487188503E-2</v>
      </c>
      <c r="R1129" s="628">
        <f t="shared" si="453"/>
        <v>1.9042885556343786E-2</v>
      </c>
    </row>
    <row r="1130" spans="2:18">
      <c r="B1130" s="595" t="s">
        <v>1044</v>
      </c>
      <c r="C1130" s="1866">
        <f t="shared" si="452"/>
        <v>0</v>
      </c>
      <c r="D1130" s="627">
        <f t="shared" si="452"/>
        <v>0</v>
      </c>
      <c r="E1130" s="627">
        <f t="shared" si="452"/>
        <v>0</v>
      </c>
      <c r="F1130" s="627">
        <f t="shared" si="452"/>
        <v>51.140239243619277</v>
      </c>
      <c r="G1130" s="627">
        <f t="shared" si="452"/>
        <v>52.525981639279088</v>
      </c>
      <c r="H1130" s="627">
        <f t="shared" si="452"/>
        <v>62.475921142213558</v>
      </c>
      <c r="I1130" s="627">
        <f t="shared" si="452"/>
        <v>59.778404479107394</v>
      </c>
      <c r="J1130" s="627">
        <f t="shared" si="452"/>
        <v>54.491649554376608</v>
      </c>
      <c r="K1130" s="1866">
        <f t="shared" si="453"/>
        <v>0</v>
      </c>
      <c r="L1130" s="627">
        <f t="shared" si="453"/>
        <v>0</v>
      </c>
      <c r="M1130" s="627">
        <f t="shared" si="453"/>
        <v>0</v>
      </c>
      <c r="N1130" s="627">
        <f t="shared" si="453"/>
        <v>13.90616738356583</v>
      </c>
      <c r="O1130" s="627">
        <f t="shared" si="453"/>
        <v>17.103764028124601</v>
      </c>
      <c r="P1130" s="627">
        <f t="shared" si="453"/>
        <v>15.049652357775059</v>
      </c>
      <c r="Q1130" s="627">
        <f t="shared" si="453"/>
        <v>14.979954724341061</v>
      </c>
      <c r="R1130" s="628">
        <f t="shared" si="453"/>
        <v>17.881303984700036</v>
      </c>
    </row>
    <row r="1131" spans="2:18">
      <c r="B1131" s="595" t="s">
        <v>1061</v>
      </c>
      <c r="C1131" s="1866">
        <f t="shared" ref="C1131:C1140" si="454">IF(ISNUMBER(C771/K15*1000),C771/K15*1000,"0")</f>
        <v>0</v>
      </c>
      <c r="D1131" s="627">
        <f t="shared" ref="D1131:J1131" si="455">IF(ISNUMBER(D771/L15*1000),D771/L15*1000,"0")</f>
        <v>121.47177419354838</v>
      </c>
      <c r="E1131" s="627">
        <f t="shared" si="455"/>
        <v>168.6881104333992</v>
      </c>
      <c r="F1131" s="627">
        <f t="shared" si="455"/>
        <v>170.69179344065438</v>
      </c>
      <c r="G1131" s="627">
        <f t="shared" si="455"/>
        <v>184.54108688034228</v>
      </c>
      <c r="H1131" s="627">
        <f t="shared" si="455"/>
        <v>163.53781258964162</v>
      </c>
      <c r="I1131" s="627">
        <f t="shared" si="455"/>
        <v>141.73380075863787</v>
      </c>
      <c r="J1131" s="627">
        <f t="shared" si="455"/>
        <v>298.90104281081727</v>
      </c>
      <c r="K1131" s="1866">
        <f t="shared" ref="K1131:K1140" si="456">IF(ISNUMBER(K771/K15*1000),K771/K15*1000,"0")</f>
        <v>0</v>
      </c>
      <c r="L1131" s="627">
        <f t="shared" ref="L1131:R1131" si="457">IF(ISNUMBER(L771/L15*1000),L771/L15*1000,"0")</f>
        <v>0</v>
      </c>
      <c r="M1131" s="627">
        <f t="shared" si="457"/>
        <v>0.48728570577169955</v>
      </c>
      <c r="N1131" s="627">
        <f t="shared" si="457"/>
        <v>0.48972510833733857</v>
      </c>
      <c r="O1131" s="627">
        <f t="shared" si="457"/>
        <v>0.63330769288615252</v>
      </c>
      <c r="P1131" s="627">
        <f t="shared" si="457"/>
        <v>0.40834579557231721</v>
      </c>
      <c r="Q1131" s="627">
        <f t="shared" si="457"/>
        <v>0.40720551400206384</v>
      </c>
      <c r="R1131" s="628">
        <f t="shared" si="457"/>
        <v>0.49135905032000771</v>
      </c>
    </row>
    <row r="1132" spans="2:18">
      <c r="B1132" s="595" t="s">
        <v>1047</v>
      </c>
      <c r="C1132" s="1866">
        <f t="shared" si="454"/>
        <v>4178.1177258226589</v>
      </c>
      <c r="D1132" s="627">
        <f t="shared" ref="D1132:D1140" si="458">IF(ISNUMBER(D772/L16*1000),D772/L16*1000,"0")</f>
        <v>5363.8425200978654</v>
      </c>
      <c r="E1132" s="627">
        <f t="shared" ref="E1132:E1140" si="459">IF(ISNUMBER(E772/M16*1000),E772/M16*1000,"0")</f>
        <v>5544.0652778882586</v>
      </c>
      <c r="F1132" s="627">
        <f t="shared" ref="F1132:F1140" si="460">IF(ISNUMBER(F772/N16*1000),F772/N16*1000,"0")</f>
        <v>5898.6468476817972</v>
      </c>
      <c r="G1132" s="627">
        <f t="shared" ref="G1132:G1140" si="461">IF(ISNUMBER(G772/O16*1000),G772/O16*1000,"0")</f>
        <v>6330.8452824704664</v>
      </c>
      <c r="H1132" s="627">
        <f t="shared" ref="H1132:H1140" si="462">IF(ISNUMBER(H772/P16*1000),H772/P16*1000,"0")</f>
        <v>6570.4305864702455</v>
      </c>
      <c r="I1132" s="627">
        <f t="shared" ref="I1132:I1140" si="463">IF(ISNUMBER(I772/Q16*1000),I772/Q16*1000,"0")</f>
        <v>6316.4221321175928</v>
      </c>
      <c r="J1132" s="627">
        <f t="shared" ref="J1132:J1140" si="464">IF(ISNUMBER(J772/R16*1000),J772/R16*1000,"0")</f>
        <v>7653.4993346956262</v>
      </c>
      <c r="K1132" s="1866">
        <f t="shared" si="456"/>
        <v>557.10112810346948</v>
      </c>
      <c r="L1132" s="627">
        <f t="shared" ref="L1132:R1140" si="465">IF(ISNUMBER(L772/L16*1000),L772/L16*1000,"0")</f>
        <v>648.53903261742676</v>
      </c>
      <c r="M1132" s="627">
        <f t="shared" si="465"/>
        <v>568.72050576662582</v>
      </c>
      <c r="N1132" s="627">
        <f t="shared" si="465"/>
        <v>577.39709121792328</v>
      </c>
      <c r="O1132" s="627">
        <f t="shared" si="465"/>
        <v>617.42816747386894</v>
      </c>
      <c r="P1132" s="627">
        <f t="shared" si="465"/>
        <v>612.86256369503656</v>
      </c>
      <c r="Q1132" s="627">
        <f t="shared" si="465"/>
        <v>555.66190229679171</v>
      </c>
      <c r="R1132" s="628">
        <f t="shared" si="465"/>
        <v>545.47475383870096</v>
      </c>
    </row>
    <row r="1133" spans="2:18">
      <c r="B1133" s="595" t="s">
        <v>1048</v>
      </c>
      <c r="C1133" s="1866">
        <f t="shared" si="454"/>
        <v>0</v>
      </c>
      <c r="D1133" s="627">
        <f t="shared" si="458"/>
        <v>3118.3697633556826</v>
      </c>
      <c r="E1133" s="627">
        <f t="shared" si="459"/>
        <v>5346.6619397248023</v>
      </c>
      <c r="F1133" s="627">
        <f t="shared" si="460"/>
        <v>5565.7509842547843</v>
      </c>
      <c r="G1133" s="627">
        <f t="shared" si="461"/>
        <v>6332.5568678498894</v>
      </c>
      <c r="H1133" s="627">
        <f t="shared" si="462"/>
        <v>8066.5387651619103</v>
      </c>
      <c r="I1133" s="627">
        <f t="shared" si="463"/>
        <v>8235.1345922517958</v>
      </c>
      <c r="J1133" s="627">
        <f t="shared" si="464"/>
        <v>9038.624180542316</v>
      </c>
      <c r="K1133" s="1866">
        <f t="shared" si="456"/>
        <v>0</v>
      </c>
      <c r="L1133" s="627">
        <f t="shared" si="465"/>
        <v>88.352515479078662</v>
      </c>
      <c r="M1133" s="627">
        <f t="shared" si="465"/>
        <v>100.85363664755981</v>
      </c>
      <c r="N1133" s="627">
        <f t="shared" si="465"/>
        <v>91.049724529418313</v>
      </c>
      <c r="O1133" s="627">
        <f t="shared" si="465"/>
        <v>106.61175583966751</v>
      </c>
      <c r="P1133" s="627">
        <f t="shared" si="465"/>
        <v>115.59276646520729</v>
      </c>
      <c r="Q1133" s="627">
        <f t="shared" si="465"/>
        <v>97.805488529897431</v>
      </c>
      <c r="R1133" s="628">
        <f t="shared" si="465"/>
        <v>33.976569082634214</v>
      </c>
    </row>
    <row r="1134" spans="2:18">
      <c r="B1134" s="595" t="s">
        <v>1049</v>
      </c>
      <c r="C1134" s="1866">
        <f t="shared" si="454"/>
        <v>9.0485522447073473E-4</v>
      </c>
      <c r="D1134" s="627">
        <f t="shared" si="458"/>
        <v>5.0657080663146542E-4</v>
      </c>
      <c r="E1134" s="627">
        <f t="shared" si="459"/>
        <v>5.7058231491771705E-4</v>
      </c>
      <c r="F1134" s="627">
        <f t="shared" si="460"/>
        <v>1.2307755041859423E-3</v>
      </c>
      <c r="G1134" s="627">
        <f t="shared" si="461"/>
        <v>1.4452237267502499E-3</v>
      </c>
      <c r="H1134" s="627">
        <f t="shared" si="462"/>
        <v>1.515475824959561E-3</v>
      </c>
      <c r="I1134" s="627">
        <f t="shared" si="463"/>
        <v>1.424340117139696E-3</v>
      </c>
      <c r="J1134" s="627">
        <f t="shared" si="464"/>
        <v>1.2282473392650013E-3</v>
      </c>
      <c r="K1134" s="1866">
        <f t="shared" si="456"/>
        <v>0</v>
      </c>
      <c r="L1134" s="627">
        <f t="shared" si="465"/>
        <v>0</v>
      </c>
      <c r="M1134" s="627">
        <f t="shared" si="465"/>
        <v>0</v>
      </c>
      <c r="N1134" s="627">
        <f t="shared" si="465"/>
        <v>0</v>
      </c>
      <c r="O1134" s="627">
        <f t="shared" si="465"/>
        <v>0</v>
      </c>
      <c r="P1134" s="627">
        <f t="shared" si="465"/>
        <v>0</v>
      </c>
      <c r="Q1134" s="627">
        <f t="shared" si="465"/>
        <v>0</v>
      </c>
      <c r="R1134" s="628">
        <f t="shared" si="465"/>
        <v>0</v>
      </c>
    </row>
    <row r="1135" spans="2:18">
      <c r="B1135" s="595" t="s">
        <v>1050</v>
      </c>
      <c r="C1135" s="1866">
        <f t="shared" si="454"/>
        <v>0</v>
      </c>
      <c r="D1135" s="627">
        <f t="shared" si="458"/>
        <v>0</v>
      </c>
      <c r="E1135" s="627">
        <f t="shared" si="459"/>
        <v>0</v>
      </c>
      <c r="F1135" s="627">
        <f t="shared" si="460"/>
        <v>0</v>
      </c>
      <c r="G1135" s="627">
        <f t="shared" si="461"/>
        <v>0</v>
      </c>
      <c r="H1135" s="627">
        <f t="shared" si="462"/>
        <v>0</v>
      </c>
      <c r="I1135" s="627">
        <f t="shared" si="463"/>
        <v>0</v>
      </c>
      <c r="J1135" s="627">
        <f t="shared" si="464"/>
        <v>0</v>
      </c>
      <c r="K1135" s="1866">
        <f t="shared" si="456"/>
        <v>0</v>
      </c>
      <c r="L1135" s="627">
        <f t="shared" si="465"/>
        <v>0</v>
      </c>
      <c r="M1135" s="627">
        <f t="shared" si="465"/>
        <v>0</v>
      </c>
      <c r="N1135" s="627">
        <f t="shared" si="465"/>
        <v>0</v>
      </c>
      <c r="O1135" s="627">
        <f t="shared" si="465"/>
        <v>0</v>
      </c>
      <c r="P1135" s="627">
        <f t="shared" si="465"/>
        <v>0</v>
      </c>
      <c r="Q1135" s="627">
        <f t="shared" si="465"/>
        <v>0</v>
      </c>
      <c r="R1135" s="628">
        <f t="shared" si="465"/>
        <v>0</v>
      </c>
    </row>
    <row r="1136" spans="2:18">
      <c r="B1136" s="595" t="s">
        <v>1051</v>
      </c>
      <c r="C1136" s="1866">
        <f t="shared" si="454"/>
        <v>0.46278764972849695</v>
      </c>
      <c r="D1136" s="627">
        <f t="shared" si="458"/>
        <v>0.54032471810754767</v>
      </c>
      <c r="E1136" s="627">
        <f t="shared" si="459"/>
        <v>0.59868493015627278</v>
      </c>
      <c r="F1136" s="627">
        <f t="shared" si="460"/>
        <v>0.70470418479531816</v>
      </c>
      <c r="G1136" s="627">
        <f t="shared" si="461"/>
        <v>0.83618953554596698</v>
      </c>
      <c r="H1136" s="627">
        <f t="shared" si="462"/>
        <v>0.9737833304087381</v>
      </c>
      <c r="I1136" s="627">
        <f t="shared" si="463"/>
        <v>1.1067470193212747</v>
      </c>
      <c r="J1136" s="627">
        <f t="shared" si="464"/>
        <v>1.2905885396265668</v>
      </c>
      <c r="K1136" s="1866">
        <f t="shared" si="456"/>
        <v>3.2110662200860098E-2</v>
      </c>
      <c r="L1136" s="627">
        <f t="shared" si="465"/>
        <v>2.7594968571937838E-2</v>
      </c>
      <c r="M1136" s="627">
        <f t="shared" si="465"/>
        <v>2.6346861449830863E-2</v>
      </c>
      <c r="N1136" s="627">
        <f t="shared" si="465"/>
        <v>2.8341568380147234E-2</v>
      </c>
      <c r="O1136" s="627">
        <f t="shared" si="465"/>
        <v>2.8318551389196985E-2</v>
      </c>
      <c r="P1136" s="627">
        <f t="shared" si="465"/>
        <v>2.1678206040326383E-2</v>
      </c>
      <c r="Q1136" s="627">
        <f t="shared" si="465"/>
        <v>2.1265603879935372E-2</v>
      </c>
      <c r="R1136" s="628">
        <f t="shared" si="465"/>
        <v>2.1453733600713846E-2</v>
      </c>
    </row>
    <row r="1137" spans="2:18">
      <c r="B1137" s="595" t="s">
        <v>1052</v>
      </c>
      <c r="C1137" s="1866">
        <f t="shared" si="454"/>
        <v>7668.3129973439054</v>
      </c>
      <c r="D1137" s="627">
        <f t="shared" si="458"/>
        <v>7572.4036588978724</v>
      </c>
      <c r="E1137" s="627">
        <f t="shared" si="459"/>
        <v>8389.2751012860735</v>
      </c>
      <c r="F1137" s="627">
        <f t="shared" si="460"/>
        <v>8761.0069996071543</v>
      </c>
      <c r="G1137" s="627">
        <f t="shared" si="461"/>
        <v>7124.72343391902</v>
      </c>
      <c r="H1137" s="627">
        <f t="shared" si="462"/>
        <v>7769.1143715990411</v>
      </c>
      <c r="I1137" s="627">
        <f t="shared" si="463"/>
        <v>7894.3677389765062</v>
      </c>
      <c r="J1137" s="627">
        <f t="shared" si="464"/>
        <v>9738.465808110197</v>
      </c>
      <c r="K1137" s="1866">
        <f t="shared" si="456"/>
        <v>887.5467307527872</v>
      </c>
      <c r="L1137" s="627">
        <f t="shared" si="465"/>
        <v>850.27240048837075</v>
      </c>
      <c r="M1137" s="627">
        <f t="shared" si="465"/>
        <v>473.69643977855679</v>
      </c>
      <c r="N1137" s="627">
        <f t="shared" si="465"/>
        <v>336.82664116360291</v>
      </c>
      <c r="O1137" s="627">
        <f t="shared" si="465"/>
        <v>422.72021534237689</v>
      </c>
      <c r="P1137" s="627">
        <f t="shared" si="465"/>
        <v>440.08562097857009</v>
      </c>
      <c r="Q1137" s="627">
        <f t="shared" si="465"/>
        <v>464.78373375728643</v>
      </c>
      <c r="R1137" s="628">
        <f t="shared" si="465"/>
        <v>669.25050849157219</v>
      </c>
    </row>
    <row r="1138" spans="2:18">
      <c r="B1138" s="595" t="s">
        <v>1054</v>
      </c>
      <c r="C1138" s="1866">
        <f t="shared" si="454"/>
        <v>0</v>
      </c>
      <c r="D1138" s="627">
        <f t="shared" si="458"/>
        <v>50.57375842931738</v>
      </c>
      <c r="E1138" s="627">
        <f t="shared" si="459"/>
        <v>44.912881966263576</v>
      </c>
      <c r="F1138" s="627">
        <f t="shared" si="460"/>
        <v>43.933749021962875</v>
      </c>
      <c r="G1138" s="627">
        <f t="shared" si="461"/>
        <v>48.947358843042579</v>
      </c>
      <c r="H1138" s="627">
        <f t="shared" si="462"/>
        <v>49.37949607523425</v>
      </c>
      <c r="I1138" s="627">
        <f t="shared" si="463"/>
        <v>53.856459031026866</v>
      </c>
      <c r="J1138" s="627">
        <f t="shared" si="464"/>
        <v>77.171068661345387</v>
      </c>
      <c r="K1138" s="1866">
        <f t="shared" si="456"/>
        <v>0</v>
      </c>
      <c r="L1138" s="627">
        <f t="shared" si="465"/>
        <v>0</v>
      </c>
      <c r="M1138" s="627">
        <f t="shared" si="465"/>
        <v>0</v>
      </c>
      <c r="N1138" s="627">
        <f t="shared" si="465"/>
        <v>0</v>
      </c>
      <c r="O1138" s="627">
        <f t="shared" si="465"/>
        <v>0</v>
      </c>
      <c r="P1138" s="627">
        <f t="shared" si="465"/>
        <v>0</v>
      </c>
      <c r="Q1138" s="627">
        <f t="shared" si="465"/>
        <v>0</v>
      </c>
      <c r="R1138" s="628">
        <f t="shared" si="465"/>
        <v>0</v>
      </c>
    </row>
    <row r="1139" spans="2:18">
      <c r="B1139" s="595" t="s">
        <v>1053</v>
      </c>
      <c r="C1139" s="1866">
        <f t="shared" si="454"/>
        <v>20.562682687636066</v>
      </c>
      <c r="D1139" s="627">
        <f t="shared" si="458"/>
        <v>18.807466401937869</v>
      </c>
      <c r="E1139" s="627">
        <f t="shared" si="459"/>
        <v>18.966217647430035</v>
      </c>
      <c r="F1139" s="627">
        <f t="shared" si="460"/>
        <v>23.043702314796182</v>
      </c>
      <c r="G1139" s="627">
        <f t="shared" si="461"/>
        <v>27.497194360941219</v>
      </c>
      <c r="H1139" s="627">
        <f t="shared" si="462"/>
        <v>34.437303190227048</v>
      </c>
      <c r="I1139" s="627">
        <f t="shared" si="463"/>
        <v>32.845408454136951</v>
      </c>
      <c r="J1139" s="627">
        <f t="shared" si="464"/>
        <v>38.5982933543238</v>
      </c>
      <c r="K1139" s="1866">
        <f t="shared" si="456"/>
        <v>5.6163729561106004E-2</v>
      </c>
      <c r="L1139" s="627">
        <f t="shared" si="465"/>
        <v>5.0903157066266053E-2</v>
      </c>
      <c r="M1139" s="627">
        <f t="shared" si="465"/>
        <v>4.9359783950221052E-2</v>
      </c>
      <c r="N1139" s="627">
        <f t="shared" si="465"/>
        <v>5.0210734221096072E-2</v>
      </c>
      <c r="O1139" s="627">
        <f t="shared" si="465"/>
        <v>5.3626865145700232E-2</v>
      </c>
      <c r="P1139" s="627">
        <f t="shared" si="465"/>
        <v>6.5100812695832844E-2</v>
      </c>
      <c r="Q1139" s="627">
        <f t="shared" si="465"/>
        <v>5.5247655013419252E-2</v>
      </c>
      <c r="R1139" s="628">
        <f t="shared" si="465"/>
        <v>5.8431145604951294E-2</v>
      </c>
    </row>
    <row r="1140" spans="2:18">
      <c r="B1140" s="604" t="s">
        <v>1055</v>
      </c>
      <c r="C1140" s="629">
        <f t="shared" si="454"/>
        <v>19.574990709481089</v>
      </c>
      <c r="D1140" s="630">
        <f t="shared" si="458"/>
        <v>19.456187329983461</v>
      </c>
      <c r="E1140" s="630">
        <f t="shared" si="459"/>
        <v>16.907781782602168</v>
      </c>
      <c r="F1140" s="630">
        <f t="shared" si="460"/>
        <v>16.948022862581997</v>
      </c>
      <c r="G1140" s="630">
        <f t="shared" si="461"/>
        <v>19.318120056959494</v>
      </c>
      <c r="H1140" s="630">
        <f t="shared" si="462"/>
        <v>19.438216636696268</v>
      </c>
      <c r="I1140" s="630">
        <f t="shared" si="463"/>
        <v>19.735758736096418</v>
      </c>
      <c r="J1140" s="630">
        <f t="shared" si="464"/>
        <v>22.859176913502377</v>
      </c>
      <c r="K1140" s="629">
        <f t="shared" si="456"/>
        <v>5.8777335181289372E-2</v>
      </c>
      <c r="L1140" s="630">
        <f t="shared" si="465"/>
        <v>6.9992374300026416E-2</v>
      </c>
      <c r="M1140" s="630">
        <f t="shared" si="465"/>
        <v>5.8228617857535879E-2</v>
      </c>
      <c r="N1140" s="630">
        <f t="shared" si="465"/>
        <v>6.4286593249765614E-2</v>
      </c>
      <c r="O1140" s="630">
        <f t="shared" si="465"/>
        <v>9.807712964467484E-2</v>
      </c>
      <c r="P1140" s="630">
        <f t="shared" si="465"/>
        <v>7.9506664996988469E-2</v>
      </c>
      <c r="Q1140" s="630">
        <f t="shared" si="465"/>
        <v>0.20289751576289161</v>
      </c>
      <c r="R1140" s="631">
        <f t="shared" si="465"/>
        <v>0.56237705563926232</v>
      </c>
    </row>
    <row r="1141" spans="2:18">
      <c r="B1141" s="57"/>
      <c r="C1141" s="582"/>
      <c r="D1141" s="582"/>
      <c r="E1141" s="582"/>
      <c r="F1141" s="582"/>
      <c r="G1141" s="582"/>
      <c r="H1141" s="582"/>
      <c r="I1141" s="582"/>
      <c r="J1141" s="582"/>
      <c r="K1141" s="582"/>
      <c r="L1141" s="582"/>
      <c r="M1141" s="582"/>
      <c r="N1141" s="582"/>
      <c r="O1141" s="582"/>
      <c r="P1141" s="582"/>
      <c r="Q1141" s="582"/>
    </row>
    <row r="1142" spans="2:18">
      <c r="B1142" s="2157" t="s">
        <v>1152</v>
      </c>
      <c r="C1142" s="2157"/>
      <c r="D1142" s="2157"/>
      <c r="E1142" s="2157"/>
      <c r="F1142" s="2157"/>
      <c r="G1142" s="2157"/>
      <c r="H1142" s="2157"/>
      <c r="I1142" s="2157"/>
      <c r="J1142" s="2157"/>
      <c r="K1142" s="2157"/>
      <c r="L1142" s="2157"/>
      <c r="M1142" s="2157"/>
      <c r="N1142" s="2157"/>
      <c r="O1142" s="2157"/>
      <c r="P1142" s="2157"/>
      <c r="Q1142" s="2157"/>
      <c r="R1142" s="2157"/>
    </row>
    <row r="1143" spans="2:18">
      <c r="B1143" s="619"/>
      <c r="C1143" s="621"/>
      <c r="D1143" s="621"/>
      <c r="E1143" s="621"/>
      <c r="F1143" s="621"/>
      <c r="G1143" s="621"/>
      <c r="H1143" s="621"/>
      <c r="I1143" s="621"/>
      <c r="J1143" s="621"/>
      <c r="K1143" s="622"/>
      <c r="L1143" s="622"/>
      <c r="M1143" s="622"/>
      <c r="N1143" s="622"/>
      <c r="O1143" s="622"/>
      <c r="P1143" s="622"/>
      <c r="Q1143" s="622"/>
    </row>
    <row r="1144" spans="2:18">
      <c r="B1144" s="583"/>
      <c r="C1144" s="2161" t="s">
        <v>353</v>
      </c>
      <c r="D1144" s="2162"/>
      <c r="E1144" s="2162"/>
      <c r="F1144" s="2162"/>
      <c r="G1144" s="2162"/>
      <c r="H1144" s="2162"/>
      <c r="I1144" s="2162"/>
      <c r="J1144" s="842"/>
      <c r="K1144" s="2161" t="s">
        <v>338</v>
      </c>
      <c r="L1144" s="2162"/>
      <c r="M1144" s="2162"/>
      <c r="N1144" s="2162"/>
      <c r="O1144" s="2162"/>
      <c r="P1144" s="2162"/>
      <c r="Q1144" s="2162"/>
      <c r="R1144" s="2163"/>
    </row>
    <row r="1145" spans="2:18">
      <c r="B1145" s="57"/>
      <c r="C1145" s="585">
        <v>2014</v>
      </c>
      <c r="D1145" s="586">
        <v>2015</v>
      </c>
      <c r="E1145" s="586">
        <v>2016</v>
      </c>
      <c r="F1145" s="586">
        <v>2017</v>
      </c>
      <c r="G1145" s="586">
        <v>2018</v>
      </c>
      <c r="H1145" s="586">
        <v>2019</v>
      </c>
      <c r="I1145" s="586">
        <v>2020</v>
      </c>
      <c r="J1145" s="586">
        <v>2021</v>
      </c>
      <c r="K1145" s="587">
        <v>2014</v>
      </c>
      <c r="L1145" s="588">
        <v>2015</v>
      </c>
      <c r="M1145" s="588">
        <v>2016</v>
      </c>
      <c r="N1145" s="588">
        <v>2017</v>
      </c>
      <c r="O1145" s="588">
        <v>2018</v>
      </c>
      <c r="P1145" s="588">
        <v>2019</v>
      </c>
      <c r="Q1145" s="588">
        <v>2020</v>
      </c>
      <c r="R1145" s="848">
        <v>2021</v>
      </c>
    </row>
    <row r="1146" spans="2:18">
      <c r="B1146" s="589" t="s">
        <v>1038</v>
      </c>
      <c r="C1146" s="614">
        <f t="shared" ref="C1146:J1152" si="466">IF(ISNUMBER(C786/K6*1000),C786/K6*1000,"0")</f>
        <v>5575.2415240939945</v>
      </c>
      <c r="D1146" s="615">
        <f t="shared" si="466"/>
        <v>4199.9498115793604</v>
      </c>
      <c r="E1146" s="615">
        <f t="shared" si="466"/>
        <v>4154.9174044651509</v>
      </c>
      <c r="F1146" s="615">
        <f t="shared" si="466"/>
        <v>4256.1691699379526</v>
      </c>
      <c r="G1146" s="615">
        <f t="shared" si="466"/>
        <v>2611.0393626772984</v>
      </c>
      <c r="H1146" s="615">
        <f t="shared" si="466"/>
        <v>2161.7615702042845</v>
      </c>
      <c r="I1146" s="615">
        <f t="shared" si="466"/>
        <v>1141.1690449207038</v>
      </c>
      <c r="J1146" s="616">
        <f t="shared" si="466"/>
        <v>1488.8750880000628</v>
      </c>
      <c r="K1146" s="614">
        <f t="shared" ref="K1146:R1152" si="467">IF(ISNUMBER(K786/K6*1000),K786/K6*1000,"0")</f>
        <v>0</v>
      </c>
      <c r="L1146" s="615">
        <f t="shared" si="467"/>
        <v>0</v>
      </c>
      <c r="M1146" s="615">
        <f t="shared" si="467"/>
        <v>2.057294722119638</v>
      </c>
      <c r="N1146" s="615">
        <f t="shared" si="467"/>
        <v>14.420311907862573</v>
      </c>
      <c r="O1146" s="615">
        <f t="shared" si="467"/>
        <v>16.188014270622176</v>
      </c>
      <c r="P1146" s="615">
        <f t="shared" si="467"/>
        <v>41.364148558508454</v>
      </c>
      <c r="Q1146" s="615">
        <f t="shared" si="467"/>
        <v>108.02996253919838</v>
      </c>
      <c r="R1146" s="616">
        <f t="shared" si="467"/>
        <v>257.27368243219206</v>
      </c>
    </row>
    <row r="1147" spans="2:18">
      <c r="B1147" s="595" t="s">
        <v>1039</v>
      </c>
      <c r="C1147" s="1844">
        <f t="shared" si="466"/>
        <v>40.868561434193261</v>
      </c>
      <c r="D1147" s="609">
        <f t="shared" si="466"/>
        <v>40.60419022371304</v>
      </c>
      <c r="E1147" s="609">
        <f t="shared" si="466"/>
        <v>38.513160008568057</v>
      </c>
      <c r="F1147" s="609">
        <f t="shared" si="466"/>
        <v>45.325667797328805</v>
      </c>
      <c r="G1147" s="609">
        <f t="shared" si="466"/>
        <v>62.78514895625721</v>
      </c>
      <c r="H1147" s="609">
        <f t="shared" si="466"/>
        <v>60.017919240151549</v>
      </c>
      <c r="I1147" s="609">
        <f t="shared" si="466"/>
        <v>42.840861816594327</v>
      </c>
      <c r="J1147" s="603">
        <f t="shared" si="466"/>
        <v>23.371443456162645</v>
      </c>
      <c r="K1147" s="1844">
        <f t="shared" si="467"/>
        <v>0</v>
      </c>
      <c r="L1147" s="609">
        <f t="shared" si="467"/>
        <v>0</v>
      </c>
      <c r="M1147" s="609">
        <f t="shared" si="467"/>
        <v>0</v>
      </c>
      <c r="N1147" s="609">
        <f t="shared" si="467"/>
        <v>0</v>
      </c>
      <c r="O1147" s="609">
        <f t="shared" si="467"/>
        <v>0</v>
      </c>
      <c r="P1147" s="609">
        <f t="shared" si="467"/>
        <v>0</v>
      </c>
      <c r="Q1147" s="609">
        <f t="shared" si="467"/>
        <v>0</v>
      </c>
      <c r="R1147" s="603">
        <f t="shared" si="467"/>
        <v>0</v>
      </c>
    </row>
    <row r="1148" spans="2:18">
      <c r="B1148" s="595" t="s">
        <v>1040</v>
      </c>
      <c r="C1148" s="1844">
        <f t="shared" si="466"/>
        <v>3.4448801005462206</v>
      </c>
      <c r="D1148" s="609">
        <f t="shared" si="466"/>
        <v>3.1920939335179441</v>
      </c>
      <c r="E1148" s="609">
        <f t="shared" si="466"/>
        <v>2.9833952115461821</v>
      </c>
      <c r="F1148" s="609">
        <f t="shared" si="466"/>
        <v>3.1339462043526773</v>
      </c>
      <c r="G1148" s="609">
        <f t="shared" si="466"/>
        <v>2.7060811321674048</v>
      </c>
      <c r="H1148" s="609">
        <f t="shared" si="466"/>
        <v>2.7895360453986147</v>
      </c>
      <c r="I1148" s="609">
        <f t="shared" si="466"/>
        <v>1.6846238150895572</v>
      </c>
      <c r="J1148" s="603">
        <f t="shared" si="466"/>
        <v>1.7621569176166942</v>
      </c>
      <c r="K1148" s="1844">
        <f t="shared" si="467"/>
        <v>4.1155040188417172E-4</v>
      </c>
      <c r="L1148" s="609">
        <f t="shared" si="467"/>
        <v>3.5829755715895903E-3</v>
      </c>
      <c r="M1148" s="609">
        <f t="shared" si="467"/>
        <v>8.6571568057760406E-3</v>
      </c>
      <c r="N1148" s="609">
        <f t="shared" si="467"/>
        <v>1.2565843758209735E-2</v>
      </c>
      <c r="O1148" s="609">
        <f t="shared" si="467"/>
        <v>1.6461922274665419E-2</v>
      </c>
      <c r="P1148" s="609">
        <f t="shared" si="467"/>
        <v>1.9334191797067565E-2</v>
      </c>
      <c r="Q1148" s="609">
        <f t="shared" si="467"/>
        <v>2.8326671397248388E-2</v>
      </c>
      <c r="R1148" s="603">
        <f t="shared" si="467"/>
        <v>4.0777538362861215E-2</v>
      </c>
    </row>
    <row r="1149" spans="2:18">
      <c r="B1149" s="595" t="s">
        <v>1041</v>
      </c>
      <c r="C1149" s="1844">
        <f t="shared" si="466"/>
        <v>5.8975560230522355</v>
      </c>
      <c r="D1149" s="609">
        <f t="shared" si="466"/>
        <v>3.796522027356013</v>
      </c>
      <c r="E1149" s="609">
        <f t="shared" si="466"/>
        <v>3.0605529811261492</v>
      </c>
      <c r="F1149" s="609">
        <f t="shared" si="466"/>
        <v>2.8600556314870471</v>
      </c>
      <c r="G1149" s="609">
        <f t="shared" si="466"/>
        <v>2.1953672411660792</v>
      </c>
      <c r="H1149" s="609">
        <f t="shared" si="466"/>
        <v>1.8348950823424974</v>
      </c>
      <c r="I1149" s="609">
        <f t="shared" si="466"/>
        <v>1.0102605917955816</v>
      </c>
      <c r="J1149" s="603">
        <f t="shared" si="466"/>
        <v>0.91073299774950078</v>
      </c>
      <c r="K1149" s="1844">
        <f t="shared" si="467"/>
        <v>3.7212318632190633E-3</v>
      </c>
      <c r="L1149" s="609">
        <f t="shared" si="467"/>
        <v>1.8998294243915349E-3</v>
      </c>
      <c r="M1149" s="609">
        <f t="shared" si="467"/>
        <v>1.7827020548746668E-3</v>
      </c>
      <c r="N1149" s="609">
        <f t="shared" si="467"/>
        <v>5.2698270362596424E-3</v>
      </c>
      <c r="O1149" s="609">
        <f t="shared" si="467"/>
        <v>1.316934902690876E-2</v>
      </c>
      <c r="P1149" s="609">
        <f t="shared" si="467"/>
        <v>3.0346521425245833E-2</v>
      </c>
      <c r="Q1149" s="609">
        <f t="shared" si="467"/>
        <v>4.9468905092800587E-2</v>
      </c>
      <c r="R1149" s="603">
        <f t="shared" si="467"/>
        <v>0.10353743233555347</v>
      </c>
    </row>
    <row r="1150" spans="2:18">
      <c r="B1150" s="595" t="s">
        <v>1042</v>
      </c>
      <c r="C1150" s="1844">
        <f t="shared" si="466"/>
        <v>28.732687189015284</v>
      </c>
      <c r="D1150" s="609">
        <f t="shared" si="466"/>
        <v>31.292559753676048</v>
      </c>
      <c r="E1150" s="609">
        <f t="shared" si="466"/>
        <v>25.124540295257678</v>
      </c>
      <c r="F1150" s="609">
        <f t="shared" si="466"/>
        <v>24.027953849340367</v>
      </c>
      <c r="G1150" s="609">
        <f t="shared" si="466"/>
        <v>25.50911782898369</v>
      </c>
      <c r="H1150" s="609">
        <f t="shared" si="466"/>
        <v>20.904064135332408</v>
      </c>
      <c r="I1150" s="609">
        <f t="shared" si="466"/>
        <v>8.8636663077069979</v>
      </c>
      <c r="J1150" s="603">
        <f t="shared" si="466"/>
        <v>7.1750473573781504</v>
      </c>
      <c r="K1150" s="1844">
        <f t="shared" si="467"/>
        <v>0</v>
      </c>
      <c r="L1150" s="609">
        <f t="shared" si="467"/>
        <v>0</v>
      </c>
      <c r="M1150" s="609">
        <f t="shared" si="467"/>
        <v>0</v>
      </c>
      <c r="N1150" s="609">
        <f t="shared" si="467"/>
        <v>0</v>
      </c>
      <c r="O1150" s="609">
        <f t="shared" si="467"/>
        <v>0</v>
      </c>
      <c r="P1150" s="609">
        <f t="shared" si="467"/>
        <v>0</v>
      </c>
      <c r="Q1150" s="609">
        <f t="shared" si="467"/>
        <v>0</v>
      </c>
      <c r="R1150" s="603">
        <f t="shared" si="467"/>
        <v>0</v>
      </c>
    </row>
    <row r="1151" spans="2:18">
      <c r="B1151" s="595" t="s">
        <v>1043</v>
      </c>
      <c r="C1151" s="1844">
        <f t="shared" si="466"/>
        <v>3.0731983871141519</v>
      </c>
      <c r="D1151" s="609">
        <f t="shared" si="466"/>
        <v>2.1555684878210468</v>
      </c>
      <c r="E1151" s="609">
        <f t="shared" si="466"/>
        <v>1.8005612277197351</v>
      </c>
      <c r="F1151" s="609">
        <f t="shared" si="466"/>
        <v>1.4363678141169158</v>
      </c>
      <c r="G1151" s="609">
        <f t="shared" si="466"/>
        <v>1.2812174315007134</v>
      </c>
      <c r="H1151" s="609">
        <f t="shared" si="466"/>
        <v>1.1222787662742901</v>
      </c>
      <c r="I1151" s="609">
        <f t="shared" si="466"/>
        <v>0.68575053298160771</v>
      </c>
      <c r="J1151" s="603">
        <f t="shared" si="466"/>
        <v>0.74895011097924691</v>
      </c>
      <c r="K1151" s="1844">
        <f t="shared" si="467"/>
        <v>0</v>
      </c>
      <c r="L1151" s="609">
        <f t="shared" si="467"/>
        <v>0</v>
      </c>
      <c r="M1151" s="609">
        <f t="shared" si="467"/>
        <v>0</v>
      </c>
      <c r="N1151" s="609">
        <f t="shared" si="467"/>
        <v>0</v>
      </c>
      <c r="O1151" s="609">
        <f t="shared" si="467"/>
        <v>0</v>
      </c>
      <c r="P1151" s="609">
        <f t="shared" si="467"/>
        <v>0</v>
      </c>
      <c r="Q1151" s="609">
        <f t="shared" si="467"/>
        <v>0</v>
      </c>
      <c r="R1151" s="603">
        <f t="shared" si="467"/>
        <v>0.17409882779105162</v>
      </c>
    </row>
    <row r="1152" spans="2:18">
      <c r="B1152" s="595" t="s">
        <v>1044</v>
      </c>
      <c r="C1152" s="1844">
        <f t="shared" si="466"/>
        <v>5.3306597396626731</v>
      </c>
      <c r="D1152" s="609">
        <f t="shared" si="466"/>
        <v>5.0317608668861089</v>
      </c>
      <c r="E1152" s="609">
        <f t="shared" si="466"/>
        <v>4.4865417305440163</v>
      </c>
      <c r="F1152" s="609">
        <f t="shared" si="466"/>
        <v>4.3023871805549962</v>
      </c>
      <c r="G1152" s="609">
        <f t="shared" si="466"/>
        <v>2.9863648990648088</v>
      </c>
      <c r="H1152" s="609">
        <f t="shared" si="466"/>
        <v>2.3603410157041522</v>
      </c>
      <c r="I1152" s="609">
        <f t="shared" si="466"/>
        <v>2.1622125914937986</v>
      </c>
      <c r="J1152" s="603">
        <f t="shared" si="466"/>
        <v>1.8440719084991906</v>
      </c>
      <c r="K1152" s="1844">
        <f t="shared" si="467"/>
        <v>0</v>
      </c>
      <c r="L1152" s="609">
        <f t="shared" si="467"/>
        <v>0</v>
      </c>
      <c r="M1152" s="609">
        <f t="shared" si="467"/>
        <v>0</v>
      </c>
      <c r="N1152" s="609">
        <f t="shared" si="467"/>
        <v>0</v>
      </c>
      <c r="O1152" s="609">
        <f t="shared" si="467"/>
        <v>0</v>
      </c>
      <c r="P1152" s="609">
        <f t="shared" si="467"/>
        <v>0</v>
      </c>
      <c r="Q1152" s="609">
        <f t="shared" si="467"/>
        <v>0</v>
      </c>
      <c r="R1152" s="603">
        <f t="shared" si="467"/>
        <v>0</v>
      </c>
    </row>
    <row r="1153" spans="2:18">
      <c r="B1153" s="595" t="s">
        <v>1061</v>
      </c>
      <c r="C1153" s="1844">
        <f t="shared" ref="C1153:C1162" si="468">IF(ISNUMBER(C793/K15*1000),C793/K15*1000,"0")</f>
        <v>0</v>
      </c>
      <c r="D1153" s="609">
        <f t="shared" ref="D1153:J1153" si="469">IF(ISNUMBER(D793/L15*1000),D793/L15*1000,"0")</f>
        <v>24.193548387096772</v>
      </c>
      <c r="E1153" s="609">
        <f t="shared" si="469"/>
        <v>18.5664933509875</v>
      </c>
      <c r="F1153" s="609">
        <f t="shared" si="469"/>
        <v>15.586194597390548</v>
      </c>
      <c r="G1153" s="609">
        <f t="shared" si="469"/>
        <v>15.118351162717884</v>
      </c>
      <c r="H1153" s="609">
        <f t="shared" si="469"/>
        <v>10.643395287605518</v>
      </c>
      <c r="I1153" s="609">
        <f t="shared" si="469"/>
        <v>4.5656249197594558</v>
      </c>
      <c r="J1153" s="603">
        <f t="shared" si="469"/>
        <v>4.3251994580188331</v>
      </c>
      <c r="K1153" s="1844">
        <f t="shared" ref="K1153:K1162" si="470">IF(ISNUMBER(K793/K15*1000),K793/K15*1000,"0")</f>
        <v>0</v>
      </c>
      <c r="L1153" s="609">
        <f t="shared" ref="L1153:R1153" si="471">IF(ISNUMBER(L793/L15*1000),L793/L15*1000,"0")</f>
        <v>0</v>
      </c>
      <c r="M1153" s="609">
        <f t="shared" si="471"/>
        <v>0.19094217009404429</v>
      </c>
      <c r="N1153" s="609">
        <f t="shared" si="471"/>
        <v>0.17791622228076204</v>
      </c>
      <c r="O1153" s="609">
        <f t="shared" si="471"/>
        <v>0.18377254037867166</v>
      </c>
      <c r="P1153" s="609">
        <f t="shared" si="471"/>
        <v>0.1665966675439452</v>
      </c>
      <c r="Q1153" s="609">
        <f t="shared" si="471"/>
        <v>0.23323143863644452</v>
      </c>
      <c r="R1153" s="603">
        <f t="shared" si="471"/>
        <v>0.26099080562379423</v>
      </c>
    </row>
    <row r="1154" spans="2:18">
      <c r="B1154" s="595" t="s">
        <v>1047</v>
      </c>
      <c r="C1154" s="1844">
        <f t="shared" si="468"/>
        <v>4229.2747950767762</v>
      </c>
      <c r="D1154" s="609">
        <f t="shared" ref="D1154:D1162" si="472">IF(ISNUMBER(D794/L16*1000),D794/L16*1000,"0")</f>
        <v>3809.472445603632</v>
      </c>
      <c r="E1154" s="609">
        <f t="shared" ref="E1154:E1162" si="473">IF(ISNUMBER(E794/M16*1000),E794/M16*1000,"0")</f>
        <v>3271.5596999406489</v>
      </c>
      <c r="F1154" s="609">
        <f t="shared" ref="F1154:F1162" si="474">IF(ISNUMBER(F794/N16*1000),F794/N16*1000,"0")</f>
        <v>3302.3679376111681</v>
      </c>
      <c r="G1154" s="609">
        <f t="shared" ref="G1154:G1162" si="475">IF(ISNUMBER(G794/O16*1000),G794/O16*1000,"0")</f>
        <v>3314.956843419367</v>
      </c>
      <c r="H1154" s="609">
        <f t="shared" ref="H1154:H1162" si="476">IF(ISNUMBER(H794/P16*1000),H794/P16*1000,"0")</f>
        <v>3148.9914044741522</v>
      </c>
      <c r="I1154" s="609">
        <f t="shared" ref="I1154:I1162" si="477">IF(ISNUMBER(I794/Q16*1000),I794/Q16*1000,"0")</f>
        <v>1996.8737127665727</v>
      </c>
      <c r="J1154" s="603">
        <f t="shared" ref="J1154:J1162" si="478">IF(ISNUMBER(J794/R16*1000),J794/R16*1000,"0")</f>
        <v>2289.0734174066497</v>
      </c>
      <c r="K1154" s="1844">
        <f t="shared" si="470"/>
        <v>0</v>
      </c>
      <c r="L1154" s="609">
        <f t="shared" ref="L1154:R1162" si="479">IF(ISNUMBER(L794/L16*1000),L794/L16*1000,"0")</f>
        <v>0</v>
      </c>
      <c r="M1154" s="609">
        <f t="shared" si="479"/>
        <v>0</v>
      </c>
      <c r="N1154" s="609">
        <f t="shared" si="479"/>
        <v>0</v>
      </c>
      <c r="O1154" s="609">
        <f t="shared" si="479"/>
        <v>0</v>
      </c>
      <c r="P1154" s="609">
        <f t="shared" si="479"/>
        <v>0</v>
      </c>
      <c r="Q1154" s="609">
        <f t="shared" si="479"/>
        <v>0</v>
      </c>
      <c r="R1154" s="603">
        <f t="shared" si="479"/>
        <v>0</v>
      </c>
    </row>
    <row r="1155" spans="2:18">
      <c r="B1155" s="595" t="s">
        <v>1048</v>
      </c>
      <c r="C1155" s="1844">
        <f t="shared" si="468"/>
        <v>0</v>
      </c>
      <c r="D1155" s="609">
        <f t="shared" si="472"/>
        <v>5704.4708854021819</v>
      </c>
      <c r="E1155" s="609">
        <f t="shared" si="473"/>
        <v>5615.8724273563148</v>
      </c>
      <c r="F1155" s="609">
        <f t="shared" si="474"/>
        <v>5555.9839099884748</v>
      </c>
      <c r="G1155" s="609">
        <f t="shared" si="475"/>
        <v>5405.1224519054485</v>
      </c>
      <c r="H1155" s="609">
        <f t="shared" si="476"/>
        <v>5394.5735028516547</v>
      </c>
      <c r="I1155" s="609">
        <f t="shared" si="477"/>
        <v>4076.0560991605485</v>
      </c>
      <c r="J1155" s="603">
        <f t="shared" si="478"/>
        <v>4295.8078228469622</v>
      </c>
      <c r="K1155" s="1844">
        <f t="shared" si="470"/>
        <v>0</v>
      </c>
      <c r="L1155" s="609">
        <f t="shared" si="479"/>
        <v>0</v>
      </c>
      <c r="M1155" s="609">
        <f t="shared" si="479"/>
        <v>0</v>
      </c>
      <c r="N1155" s="609">
        <f t="shared" si="479"/>
        <v>0</v>
      </c>
      <c r="O1155" s="609">
        <f t="shared" si="479"/>
        <v>0</v>
      </c>
      <c r="P1155" s="609">
        <f t="shared" si="479"/>
        <v>0</v>
      </c>
      <c r="Q1155" s="609">
        <f t="shared" si="479"/>
        <v>0</v>
      </c>
      <c r="R1155" s="603">
        <f t="shared" si="479"/>
        <v>0</v>
      </c>
    </row>
    <row r="1156" spans="2:18">
      <c r="B1156" s="595" t="s">
        <v>1049</v>
      </c>
      <c r="C1156" s="1844">
        <f t="shared" si="468"/>
        <v>4.9044374230873053</v>
      </c>
      <c r="D1156" s="609">
        <f t="shared" si="472"/>
        <v>4.6225429533309272</v>
      </c>
      <c r="E1156" s="609">
        <f t="shared" si="473"/>
        <v>3.4140094353629613</v>
      </c>
      <c r="F1156" s="609">
        <f t="shared" si="474"/>
        <v>2.7296662522227</v>
      </c>
      <c r="G1156" s="609">
        <f t="shared" si="475"/>
        <v>2.6624697011827889</v>
      </c>
      <c r="H1156" s="609">
        <f t="shared" si="476"/>
        <v>2.4927323070711891</v>
      </c>
      <c r="I1156" s="609">
        <f t="shared" si="477"/>
        <v>1.9947656153191429</v>
      </c>
      <c r="J1156" s="603">
        <f t="shared" si="478"/>
        <v>2.1678990464399646</v>
      </c>
      <c r="K1156" s="1844">
        <f t="shared" si="470"/>
        <v>0</v>
      </c>
      <c r="L1156" s="609">
        <f t="shared" si="479"/>
        <v>0</v>
      </c>
      <c r="M1156" s="609">
        <f t="shared" si="479"/>
        <v>0</v>
      </c>
      <c r="N1156" s="609">
        <f t="shared" si="479"/>
        <v>0</v>
      </c>
      <c r="O1156" s="609">
        <f t="shared" si="479"/>
        <v>0</v>
      </c>
      <c r="P1156" s="609">
        <f t="shared" si="479"/>
        <v>0</v>
      </c>
      <c r="Q1156" s="609">
        <f t="shared" si="479"/>
        <v>0</v>
      </c>
      <c r="R1156" s="603">
        <f t="shared" si="479"/>
        <v>0</v>
      </c>
    </row>
    <row r="1157" spans="2:18">
      <c r="B1157" s="595" t="s">
        <v>1050</v>
      </c>
      <c r="C1157" s="1844">
        <f t="shared" si="468"/>
        <v>0</v>
      </c>
      <c r="D1157" s="609">
        <f t="shared" si="472"/>
        <v>0</v>
      </c>
      <c r="E1157" s="609">
        <f t="shared" si="473"/>
        <v>0</v>
      </c>
      <c r="F1157" s="609">
        <f t="shared" si="474"/>
        <v>0</v>
      </c>
      <c r="G1157" s="609">
        <f t="shared" si="475"/>
        <v>0</v>
      </c>
      <c r="H1157" s="609">
        <f t="shared" si="476"/>
        <v>0</v>
      </c>
      <c r="I1157" s="609">
        <f t="shared" si="477"/>
        <v>0</v>
      </c>
      <c r="J1157" s="603">
        <f t="shared" si="478"/>
        <v>0</v>
      </c>
      <c r="K1157" s="1844">
        <f t="shared" si="470"/>
        <v>0</v>
      </c>
      <c r="L1157" s="609">
        <f t="shared" si="479"/>
        <v>0</v>
      </c>
      <c r="M1157" s="609">
        <f t="shared" si="479"/>
        <v>0</v>
      </c>
      <c r="N1157" s="609">
        <f t="shared" si="479"/>
        <v>0</v>
      </c>
      <c r="O1157" s="609">
        <f t="shared" si="479"/>
        <v>0</v>
      </c>
      <c r="P1157" s="609">
        <f t="shared" si="479"/>
        <v>0</v>
      </c>
      <c r="Q1157" s="609">
        <f t="shared" si="479"/>
        <v>0</v>
      </c>
      <c r="R1157" s="603">
        <f t="shared" si="479"/>
        <v>0</v>
      </c>
    </row>
    <row r="1158" spans="2:18">
      <c r="B1158" s="595" t="s">
        <v>1051</v>
      </c>
      <c r="C1158" s="1844">
        <f t="shared" si="468"/>
        <v>6.966645489211551</v>
      </c>
      <c r="D1158" s="609">
        <f t="shared" si="472"/>
        <v>5.8902396604867535</v>
      </c>
      <c r="E1158" s="609">
        <f t="shared" si="473"/>
        <v>5.2050294697353374</v>
      </c>
      <c r="F1158" s="609">
        <f t="shared" si="474"/>
        <v>4.9976494120097641</v>
      </c>
      <c r="G1158" s="609">
        <f t="shared" si="475"/>
        <v>4.8886126557100962</v>
      </c>
      <c r="H1158" s="609">
        <f t="shared" si="476"/>
        <v>4.6745957070039728</v>
      </c>
      <c r="I1158" s="609">
        <f t="shared" si="477"/>
        <v>3.2092672043462116</v>
      </c>
      <c r="J1158" s="603">
        <f t="shared" si="478"/>
        <v>2.661297333556405</v>
      </c>
      <c r="K1158" s="1844">
        <f t="shared" si="470"/>
        <v>0</v>
      </c>
      <c r="L1158" s="609">
        <f t="shared" si="479"/>
        <v>0</v>
      </c>
      <c r="M1158" s="609">
        <f t="shared" si="479"/>
        <v>0</v>
      </c>
      <c r="N1158" s="609">
        <f t="shared" si="479"/>
        <v>0</v>
      </c>
      <c r="O1158" s="609">
        <f t="shared" si="479"/>
        <v>0</v>
      </c>
      <c r="P1158" s="609">
        <f t="shared" si="479"/>
        <v>0</v>
      </c>
      <c r="Q1158" s="609">
        <f t="shared" si="479"/>
        <v>0</v>
      </c>
      <c r="R1158" s="603">
        <f t="shared" si="479"/>
        <v>0</v>
      </c>
    </row>
    <row r="1159" spans="2:18">
      <c r="B1159" s="595" t="s">
        <v>1052</v>
      </c>
      <c r="C1159" s="1844">
        <f t="shared" si="468"/>
        <v>0</v>
      </c>
      <c r="D1159" s="609">
        <f t="shared" si="472"/>
        <v>0</v>
      </c>
      <c r="E1159" s="609">
        <f t="shared" si="473"/>
        <v>0</v>
      </c>
      <c r="F1159" s="609">
        <f t="shared" si="474"/>
        <v>0</v>
      </c>
      <c r="G1159" s="609">
        <f t="shared" si="475"/>
        <v>0</v>
      </c>
      <c r="H1159" s="609">
        <f t="shared" si="476"/>
        <v>0</v>
      </c>
      <c r="I1159" s="609">
        <f t="shared" si="477"/>
        <v>0</v>
      </c>
      <c r="J1159" s="603">
        <f t="shared" si="478"/>
        <v>0</v>
      </c>
      <c r="K1159" s="1844">
        <f t="shared" si="470"/>
        <v>0</v>
      </c>
      <c r="L1159" s="609">
        <f t="shared" si="479"/>
        <v>0</v>
      </c>
      <c r="M1159" s="609">
        <f t="shared" si="479"/>
        <v>0</v>
      </c>
      <c r="N1159" s="609">
        <f t="shared" si="479"/>
        <v>0</v>
      </c>
      <c r="O1159" s="609">
        <f t="shared" si="479"/>
        <v>0</v>
      </c>
      <c r="P1159" s="609">
        <f t="shared" si="479"/>
        <v>0</v>
      </c>
      <c r="Q1159" s="609">
        <f t="shared" si="479"/>
        <v>0</v>
      </c>
      <c r="R1159" s="603">
        <f t="shared" si="479"/>
        <v>0</v>
      </c>
    </row>
    <row r="1160" spans="2:18">
      <c r="B1160" s="595" t="s">
        <v>1053</v>
      </c>
      <c r="C1160" s="1844">
        <f t="shared" si="468"/>
        <v>0</v>
      </c>
      <c r="D1160" s="609">
        <f t="shared" si="472"/>
        <v>4.7480739909911902</v>
      </c>
      <c r="E1160" s="609">
        <f t="shared" si="473"/>
        <v>4.3065856843373975</v>
      </c>
      <c r="F1160" s="609">
        <f t="shared" si="474"/>
        <v>4.6204051710262579</v>
      </c>
      <c r="G1160" s="609">
        <f t="shared" si="475"/>
        <v>3.9528792164186393</v>
      </c>
      <c r="H1160" s="609">
        <f t="shared" si="476"/>
        <v>3.0039042337855193</v>
      </c>
      <c r="I1160" s="609">
        <f t="shared" si="477"/>
        <v>2.5147155070985781</v>
      </c>
      <c r="J1160" s="603">
        <f t="shared" si="478"/>
        <v>2.4110113436356087</v>
      </c>
      <c r="K1160" s="1844">
        <f t="shared" si="470"/>
        <v>0</v>
      </c>
      <c r="L1160" s="609">
        <f t="shared" si="479"/>
        <v>1.1671213091202081E-3</v>
      </c>
      <c r="M1160" s="609">
        <f t="shared" si="479"/>
        <v>1.5421186792950639E-3</v>
      </c>
      <c r="N1160" s="609">
        <f t="shared" si="479"/>
        <v>3.6708535985328968E-3</v>
      </c>
      <c r="O1160" s="609">
        <f t="shared" si="479"/>
        <v>4.272405419078331E-3</v>
      </c>
      <c r="P1160" s="609">
        <f t="shared" si="479"/>
        <v>5.5049198738276383E-3</v>
      </c>
      <c r="Q1160" s="609">
        <f t="shared" si="479"/>
        <v>5.0830042971679583E-2</v>
      </c>
      <c r="R1160" s="603">
        <f t="shared" si="479"/>
        <v>2.5982190827010664E-2</v>
      </c>
    </row>
    <row r="1161" spans="2:18">
      <c r="B1161" s="595" t="s">
        <v>1054</v>
      </c>
      <c r="C1161" s="1844">
        <f t="shared" si="468"/>
        <v>2.6526809002185088</v>
      </c>
      <c r="D1161" s="609">
        <f t="shared" si="472"/>
        <v>2.0726121628384324</v>
      </c>
      <c r="E1161" s="609">
        <f t="shared" si="473"/>
        <v>1.9122775166512358</v>
      </c>
      <c r="F1161" s="609">
        <f t="shared" si="474"/>
        <v>1.8003777074267864</v>
      </c>
      <c r="G1161" s="609">
        <f t="shared" si="475"/>
        <v>1.6572275790919899</v>
      </c>
      <c r="H1161" s="609">
        <f t="shared" si="476"/>
        <v>1.4637792521449426</v>
      </c>
      <c r="I1161" s="609">
        <f t="shared" si="477"/>
        <v>0.73929091154483717</v>
      </c>
      <c r="J1161" s="603">
        <f t="shared" si="478"/>
        <v>0.75045448592904773</v>
      </c>
      <c r="K1161" s="1844">
        <f t="shared" si="470"/>
        <v>0</v>
      </c>
      <c r="L1161" s="609">
        <f t="shared" si="479"/>
        <v>0</v>
      </c>
      <c r="M1161" s="609">
        <f t="shared" si="479"/>
        <v>1.7033536208335556E-6</v>
      </c>
      <c r="N1161" s="609">
        <f t="shared" si="479"/>
        <v>2.5462123309159021E-5</v>
      </c>
      <c r="O1161" s="609">
        <f t="shared" si="479"/>
        <v>2.5643470619112933E-4</v>
      </c>
      <c r="P1161" s="609">
        <f t="shared" si="479"/>
        <v>1.2097142615370849E-3</v>
      </c>
      <c r="Q1161" s="609">
        <f t="shared" si="479"/>
        <v>8.9281063308081342E-4</v>
      </c>
      <c r="R1161" s="603">
        <f t="shared" si="479"/>
        <v>9.4917607883008854E-4</v>
      </c>
    </row>
    <row r="1162" spans="2:18">
      <c r="B1162" s="604" t="s">
        <v>1055</v>
      </c>
      <c r="C1162" s="610">
        <f t="shared" si="468"/>
        <v>39.608993584857807</v>
      </c>
      <c r="D1162" s="617">
        <f t="shared" si="472"/>
        <v>38.352845466441885</v>
      </c>
      <c r="E1162" s="617">
        <f t="shared" si="473"/>
        <v>33.17223070485997</v>
      </c>
      <c r="F1162" s="617">
        <f t="shared" si="474"/>
        <v>31.396170505255547</v>
      </c>
      <c r="G1162" s="617">
        <f t="shared" si="475"/>
        <v>30.821244824102369</v>
      </c>
      <c r="H1162" s="617">
        <f t="shared" si="476"/>
        <v>29.880928987203269</v>
      </c>
      <c r="I1162" s="617">
        <f t="shared" si="477"/>
        <v>24.583445441496206</v>
      </c>
      <c r="J1162" s="618">
        <f t="shared" si="478"/>
        <v>22.098595069399689</v>
      </c>
      <c r="K1162" s="610">
        <f t="shared" si="470"/>
        <v>0.26966223018382923</v>
      </c>
      <c r="L1162" s="617">
        <f t="shared" si="479"/>
        <v>0.29671256233782117</v>
      </c>
      <c r="M1162" s="617">
        <f t="shared" si="479"/>
        <v>0.3148018992379894</v>
      </c>
      <c r="N1162" s="617">
        <f t="shared" si="479"/>
        <v>0.3410392577967909</v>
      </c>
      <c r="O1162" s="617">
        <f t="shared" si="479"/>
        <v>0.34287935148105042</v>
      </c>
      <c r="P1162" s="617">
        <f t="shared" si="479"/>
        <v>0.376768847208383</v>
      </c>
      <c r="Q1162" s="617">
        <f t="shared" si="479"/>
        <v>0.31370107133774494</v>
      </c>
      <c r="R1162" s="618">
        <f t="shared" si="479"/>
        <v>0.35307778683324748</v>
      </c>
    </row>
    <row r="1163" spans="2:18">
      <c r="B1163" s="57"/>
      <c r="C1163" s="582"/>
      <c r="D1163" s="582"/>
      <c r="E1163" s="582"/>
      <c r="F1163" s="582"/>
      <c r="G1163" s="582"/>
      <c r="H1163" s="582"/>
      <c r="I1163" s="582"/>
      <c r="J1163" s="582"/>
      <c r="K1163" s="582"/>
      <c r="L1163" s="582"/>
      <c r="M1163" s="582"/>
      <c r="N1163" s="582"/>
      <c r="O1163" s="582"/>
      <c r="P1163" s="582"/>
      <c r="Q1163" s="582"/>
    </row>
    <row r="1164" spans="2:18">
      <c r="B1164" s="2157" t="s">
        <v>1152</v>
      </c>
      <c r="C1164" s="2157"/>
      <c r="D1164" s="2157"/>
      <c r="E1164" s="2157"/>
      <c r="F1164" s="2157"/>
      <c r="G1164" s="2157"/>
      <c r="H1164" s="2157"/>
      <c r="I1164" s="2157"/>
      <c r="J1164" s="2157"/>
      <c r="K1164" s="2157"/>
      <c r="L1164" s="2157"/>
      <c r="M1164" s="2157"/>
      <c r="N1164" s="2157"/>
      <c r="O1164" s="2157"/>
      <c r="P1164" s="2157"/>
      <c r="Q1164" s="2157"/>
      <c r="R1164" s="2157"/>
    </row>
    <row r="1165" spans="2:18">
      <c r="B1165" s="619"/>
      <c r="C1165" s="621"/>
      <c r="D1165" s="621"/>
      <c r="E1165" s="621"/>
      <c r="F1165" s="621"/>
      <c r="G1165" s="621"/>
      <c r="H1165" s="621"/>
      <c r="I1165" s="621"/>
      <c r="J1165" s="621"/>
      <c r="K1165" s="622"/>
      <c r="L1165" s="622"/>
      <c r="M1165" s="622"/>
      <c r="N1165" s="622"/>
      <c r="O1165" s="622"/>
      <c r="P1165" s="622"/>
      <c r="Q1165" s="622"/>
    </row>
    <row r="1166" spans="2:18">
      <c r="B1166" s="583"/>
      <c r="C1166" s="2161" t="s">
        <v>1112</v>
      </c>
      <c r="D1166" s="2162"/>
      <c r="E1166" s="2162"/>
      <c r="F1166" s="2162"/>
      <c r="G1166" s="2162"/>
      <c r="H1166" s="2162"/>
      <c r="I1166" s="2162"/>
      <c r="J1166" s="842"/>
      <c r="K1166" s="2196" t="s">
        <v>1113</v>
      </c>
      <c r="L1166" s="2197"/>
      <c r="M1166" s="2197"/>
      <c r="N1166" s="2197"/>
      <c r="O1166" s="2197"/>
      <c r="P1166" s="2197"/>
      <c r="Q1166" s="2197"/>
      <c r="R1166" s="2198"/>
    </row>
    <row r="1167" spans="2:18">
      <c r="B1167" s="57"/>
      <c r="C1167" s="585">
        <v>2014</v>
      </c>
      <c r="D1167" s="586">
        <v>2015</v>
      </c>
      <c r="E1167" s="586">
        <v>2016</v>
      </c>
      <c r="F1167" s="586">
        <v>2017</v>
      </c>
      <c r="G1167" s="586">
        <v>2018</v>
      </c>
      <c r="H1167" s="586">
        <v>2019</v>
      </c>
      <c r="I1167" s="586">
        <v>2020</v>
      </c>
      <c r="J1167" s="586">
        <v>2021</v>
      </c>
      <c r="K1167" s="587">
        <v>2014</v>
      </c>
      <c r="L1167" s="588">
        <v>2015</v>
      </c>
      <c r="M1167" s="588">
        <v>2016</v>
      </c>
      <c r="N1167" s="588">
        <v>2017</v>
      </c>
      <c r="O1167" s="588">
        <v>2018</v>
      </c>
      <c r="P1167" s="588">
        <v>2019</v>
      </c>
      <c r="Q1167" s="588">
        <v>2020</v>
      </c>
      <c r="R1167" s="848">
        <v>2021</v>
      </c>
    </row>
    <row r="1168" spans="2:18">
      <c r="B1168" s="589" t="s">
        <v>1038</v>
      </c>
      <c r="C1168" s="614">
        <f t="shared" ref="C1168:J1174" si="480">IF(ISNUMBER(C808/K6*1000),C808/K6*1000,"0")</f>
        <v>1413.00011257287</v>
      </c>
      <c r="D1168" s="615">
        <f t="shared" si="480"/>
        <v>1282.0686361209293</v>
      </c>
      <c r="E1168" s="615">
        <f t="shared" si="480"/>
        <v>1550.3994688575713</v>
      </c>
      <c r="F1168" s="615">
        <f t="shared" si="480"/>
        <v>1734.369497549797</v>
      </c>
      <c r="G1168" s="615">
        <f t="shared" si="480"/>
        <v>1190.4669762601959</v>
      </c>
      <c r="H1168" s="615">
        <f t="shared" si="480"/>
        <v>1154.4401753692991</v>
      </c>
      <c r="I1168" s="615">
        <f t="shared" si="480"/>
        <v>1138.1638750407299</v>
      </c>
      <c r="J1168" s="616">
        <f t="shared" si="480"/>
        <v>1741.2761196924803</v>
      </c>
      <c r="K1168" s="614">
        <f t="shared" ref="K1168:R1174" si="481">IF(ISNUMBER(K808/K6*1000),K808/K6*1000,"0")</f>
        <v>471.36355118949194</v>
      </c>
      <c r="L1168" s="615">
        <f t="shared" si="481"/>
        <v>414.72601276900832</v>
      </c>
      <c r="M1168" s="615">
        <f t="shared" si="481"/>
        <v>472.71744544471653</v>
      </c>
      <c r="N1168" s="615">
        <f t="shared" si="481"/>
        <v>550.57978548296558</v>
      </c>
      <c r="O1168" s="615">
        <f t="shared" si="481"/>
        <v>390.12059084377893</v>
      </c>
      <c r="P1168" s="615">
        <f t="shared" si="481"/>
        <v>397.43836707342456</v>
      </c>
      <c r="Q1168" s="615">
        <f t="shared" si="481"/>
        <v>496.98821568719165</v>
      </c>
      <c r="R1168" s="616">
        <f t="shared" si="481"/>
        <v>821.93435510960444</v>
      </c>
    </row>
    <row r="1169" spans="2:18">
      <c r="B1169" s="595" t="s">
        <v>1039</v>
      </c>
      <c r="C1169" s="1844">
        <f t="shared" si="480"/>
        <v>16.329547442063841</v>
      </c>
      <c r="D1169" s="609">
        <f t="shared" si="480"/>
        <v>3.2723915925014202</v>
      </c>
      <c r="E1169" s="609">
        <f t="shared" si="480"/>
        <v>3.8953304059119631</v>
      </c>
      <c r="F1169" s="609">
        <f t="shared" si="480"/>
        <v>4.3321973712105146</v>
      </c>
      <c r="G1169" s="609">
        <f t="shared" si="480"/>
        <v>4.3973172138885985</v>
      </c>
      <c r="H1169" s="609">
        <f t="shared" si="480"/>
        <v>4.9259952249961074</v>
      </c>
      <c r="I1169" s="609">
        <f t="shared" si="480"/>
        <v>4.4958244523766728</v>
      </c>
      <c r="J1169" s="603">
        <f t="shared" si="480"/>
        <v>5.0838881829733165</v>
      </c>
      <c r="K1169" s="1844">
        <f t="shared" si="481"/>
        <v>16.329547442063841</v>
      </c>
      <c r="L1169" s="609">
        <f t="shared" si="481"/>
        <v>3.2723915925014202</v>
      </c>
      <c r="M1169" s="609">
        <f t="shared" si="481"/>
        <v>3.8953304059119631</v>
      </c>
      <c r="N1169" s="609">
        <f t="shared" si="481"/>
        <v>4.3321973712105146</v>
      </c>
      <c r="O1169" s="609">
        <f t="shared" si="481"/>
        <v>4.3973172138885985</v>
      </c>
      <c r="P1169" s="609">
        <f t="shared" si="481"/>
        <v>4.9259952249961074</v>
      </c>
      <c r="Q1169" s="609">
        <f t="shared" si="481"/>
        <v>4.4958244523766728</v>
      </c>
      <c r="R1169" s="603">
        <f t="shared" si="481"/>
        <v>5.0838881829733165</v>
      </c>
    </row>
    <row r="1170" spans="2:18">
      <c r="B1170" s="595" t="s">
        <v>1040</v>
      </c>
      <c r="C1170" s="1844">
        <f t="shared" si="480"/>
        <v>5.082672600816001E-2</v>
      </c>
      <c r="D1170" s="609">
        <f t="shared" si="480"/>
        <v>5.4609208988413191E-2</v>
      </c>
      <c r="E1170" s="609">
        <f t="shared" si="480"/>
        <v>5.7521264655856184E-2</v>
      </c>
      <c r="F1170" s="609">
        <f t="shared" si="480"/>
        <v>6.9017427496476061E-2</v>
      </c>
      <c r="G1170" s="609">
        <f t="shared" si="480"/>
        <v>8.4414728494827659E-2</v>
      </c>
      <c r="H1170" s="609">
        <f t="shared" si="480"/>
        <v>0.10486667454052816</v>
      </c>
      <c r="I1170" s="609">
        <f t="shared" si="480"/>
        <v>9.2380098725543494E-2</v>
      </c>
      <c r="J1170" s="603">
        <f t="shared" si="480"/>
        <v>0.12628868794782788</v>
      </c>
      <c r="K1170" s="1844">
        <f t="shared" si="481"/>
        <v>2.0467921796283896E-2</v>
      </c>
      <c r="L1170" s="609">
        <f t="shared" si="481"/>
        <v>2.3325950925332069E-2</v>
      </c>
      <c r="M1170" s="609">
        <f t="shared" si="481"/>
        <v>2.5863571595874921E-2</v>
      </c>
      <c r="N1170" s="609">
        <f t="shared" si="481"/>
        <v>3.4597840896793554E-2</v>
      </c>
      <c r="O1170" s="609">
        <f t="shared" si="481"/>
        <v>4.395027951720254E-2</v>
      </c>
      <c r="P1170" s="609">
        <f t="shared" si="481"/>
        <v>5.3839649052621584E-2</v>
      </c>
      <c r="Q1170" s="609">
        <f t="shared" si="481"/>
        <v>5.6629139559881539E-2</v>
      </c>
      <c r="R1170" s="603">
        <f t="shared" si="481"/>
        <v>7.803706736913768E-2</v>
      </c>
    </row>
    <row r="1171" spans="2:18">
      <c r="B1171" s="595" t="s">
        <v>1041</v>
      </c>
      <c r="C1171" s="1844">
        <f t="shared" si="480"/>
        <v>2.0408951173090317</v>
      </c>
      <c r="D1171" s="609">
        <f t="shared" si="480"/>
        <v>1.5636173532173061</v>
      </c>
      <c r="E1171" s="609">
        <f t="shared" si="480"/>
        <v>1.5811896751829093</v>
      </c>
      <c r="F1171" s="609">
        <f t="shared" si="480"/>
        <v>1.8978938499053855</v>
      </c>
      <c r="G1171" s="609">
        <f t="shared" si="480"/>
        <v>1.8821036931188675</v>
      </c>
      <c r="H1171" s="609">
        <f t="shared" si="480"/>
        <v>2.1231717600028408</v>
      </c>
      <c r="I1171" s="609">
        <f t="shared" si="480"/>
        <v>1.7873123067746315</v>
      </c>
      <c r="J1171" s="603">
        <f t="shared" si="480"/>
        <v>2.158868927947839</v>
      </c>
      <c r="K1171" s="1844">
        <f t="shared" si="481"/>
        <v>0.73432763053050798</v>
      </c>
      <c r="L1171" s="609">
        <f t="shared" si="481"/>
        <v>0.57375596249777072</v>
      </c>
      <c r="M1171" s="609">
        <f t="shared" si="481"/>
        <v>0.60259274617715197</v>
      </c>
      <c r="N1171" s="609">
        <f t="shared" si="481"/>
        <v>0.75046119580864556</v>
      </c>
      <c r="O1171" s="609">
        <f t="shared" si="481"/>
        <v>0.73688467387291912</v>
      </c>
      <c r="P1171" s="609">
        <f t="shared" si="481"/>
        <v>0.80498375685031087</v>
      </c>
      <c r="Q1171" s="609">
        <f t="shared" si="481"/>
        <v>0.7430177331122807</v>
      </c>
      <c r="R1171" s="603">
        <f t="shared" si="481"/>
        <v>0.79114884270400931</v>
      </c>
    </row>
    <row r="1172" spans="2:18">
      <c r="B1172" s="595" t="s">
        <v>1042</v>
      </c>
      <c r="C1172" s="1844">
        <f t="shared" si="480"/>
        <v>1.8719563399379557</v>
      </c>
      <c r="D1172" s="609">
        <f t="shared" si="480"/>
        <v>1.9857277944441789</v>
      </c>
      <c r="E1172" s="609">
        <f t="shared" si="480"/>
        <v>2.2387022125738012</v>
      </c>
      <c r="F1172" s="609">
        <f t="shared" si="480"/>
        <v>2.6975528871828667</v>
      </c>
      <c r="G1172" s="609">
        <f t="shared" si="480"/>
        <v>3.1992246631430912</v>
      </c>
      <c r="H1172" s="609">
        <f t="shared" si="480"/>
        <v>3.2602242757907076</v>
      </c>
      <c r="I1172" s="609">
        <f t="shared" si="480"/>
        <v>3.5154752473943169</v>
      </c>
      <c r="J1172" s="603">
        <f t="shared" si="480"/>
        <v>5.3820588741970088</v>
      </c>
      <c r="K1172" s="1844">
        <f t="shared" si="481"/>
        <v>0.92031873225280869</v>
      </c>
      <c r="L1172" s="609">
        <f t="shared" si="481"/>
        <v>0.96534113520606957</v>
      </c>
      <c r="M1172" s="609">
        <f t="shared" si="481"/>
        <v>1.0938680563822842</v>
      </c>
      <c r="N1172" s="609">
        <f t="shared" si="481"/>
        <v>1.3598970002199056</v>
      </c>
      <c r="O1172" s="609">
        <f t="shared" si="481"/>
        <v>1.6475463147644938</v>
      </c>
      <c r="P1172" s="609">
        <f t="shared" si="481"/>
        <v>1.7641114362630606</v>
      </c>
      <c r="Q1172" s="609">
        <f t="shared" si="481"/>
        <v>1.9497773718256781</v>
      </c>
      <c r="R1172" s="603">
        <f t="shared" si="481"/>
        <v>3.4061086004779524</v>
      </c>
    </row>
    <row r="1173" spans="2:18">
      <c r="B1173" s="595" t="s">
        <v>1043</v>
      </c>
      <c r="C1173" s="1844">
        <f t="shared" si="480"/>
        <v>0.66218995756773125</v>
      </c>
      <c r="D1173" s="609">
        <f t="shared" si="480"/>
        <v>0.54200244658570551</v>
      </c>
      <c r="E1173" s="609">
        <f t="shared" si="480"/>
        <v>0.55069536276767772</v>
      </c>
      <c r="F1173" s="609">
        <f t="shared" si="480"/>
        <v>0.61582985225582043</v>
      </c>
      <c r="G1173" s="609">
        <f t="shared" si="480"/>
        <v>0.68336541985879984</v>
      </c>
      <c r="H1173" s="609">
        <f t="shared" si="480"/>
        <v>0.70597530983463186</v>
      </c>
      <c r="I1173" s="609">
        <f t="shared" si="480"/>
        <v>0.60485427286632076</v>
      </c>
      <c r="J1173" s="603">
        <f t="shared" si="480"/>
        <v>0.70548603196177917</v>
      </c>
      <c r="K1173" s="1844">
        <f t="shared" si="481"/>
        <v>0.27154158238845816</v>
      </c>
      <c r="L1173" s="609">
        <f t="shared" si="481"/>
        <v>0.22843057980885736</v>
      </c>
      <c r="M1173" s="609">
        <f t="shared" si="481"/>
        <v>0.23542151305022749</v>
      </c>
      <c r="N1173" s="609">
        <f t="shared" si="481"/>
        <v>0.26601940125434803</v>
      </c>
      <c r="O1173" s="609">
        <f t="shared" si="481"/>
        <v>0.29851594139530641</v>
      </c>
      <c r="P1173" s="609">
        <f t="shared" si="481"/>
        <v>0.31454501011574032</v>
      </c>
      <c r="Q1173" s="609">
        <f t="shared" si="481"/>
        <v>0.30925866662715751</v>
      </c>
      <c r="R1173" s="603">
        <f t="shared" si="481"/>
        <v>0.3736410054263502</v>
      </c>
    </row>
    <row r="1174" spans="2:18">
      <c r="B1174" s="595" t="s">
        <v>1044</v>
      </c>
      <c r="C1174" s="1844">
        <f t="shared" si="480"/>
        <v>2.1429774313073766</v>
      </c>
      <c r="D1174" s="609">
        <f t="shared" si="480"/>
        <v>2.4298948339191657</v>
      </c>
      <c r="E1174" s="609">
        <f t="shared" si="480"/>
        <v>2.7332143126917416</v>
      </c>
      <c r="F1174" s="609">
        <f t="shared" si="480"/>
        <v>2.6323661307778523</v>
      </c>
      <c r="G1174" s="609">
        <f t="shared" si="480"/>
        <v>2.6574657847575653</v>
      </c>
      <c r="H1174" s="609">
        <f t="shared" si="480"/>
        <v>3.2217586116695442</v>
      </c>
      <c r="I1174" s="609">
        <f t="shared" si="480"/>
        <v>2.607597872357954</v>
      </c>
      <c r="J1174" s="603">
        <f t="shared" si="480"/>
        <v>2.7994503088488889</v>
      </c>
      <c r="K1174" s="1844">
        <f t="shared" si="481"/>
        <v>1.0745046916633914</v>
      </c>
      <c r="L1174" s="609">
        <f t="shared" si="481"/>
        <v>1.2866449161218412</v>
      </c>
      <c r="M1174" s="609">
        <f t="shared" si="481"/>
        <v>1.4202176559092383</v>
      </c>
      <c r="N1174" s="609">
        <f t="shared" si="481"/>
        <v>1.2288957475343818</v>
      </c>
      <c r="O1174" s="609">
        <f t="shared" si="481"/>
        <v>1.2370522217197799</v>
      </c>
      <c r="P1174" s="609">
        <f t="shared" si="481"/>
        <v>1.4290118115661341</v>
      </c>
      <c r="Q1174" s="609">
        <f t="shared" si="481"/>
        <v>1.4213109551853425</v>
      </c>
      <c r="R1174" s="603">
        <f t="shared" si="481"/>
        <v>1.6539898271168718</v>
      </c>
    </row>
    <row r="1175" spans="2:18">
      <c r="B1175" s="595" t="s">
        <v>1061</v>
      </c>
      <c r="C1175" s="1844">
        <f t="shared" ref="C1175:C1184" si="482">IF(ISNUMBER(C815/K15*1000),C815/K15*1000,"0")</f>
        <v>0</v>
      </c>
      <c r="D1175" s="609">
        <f t="shared" ref="D1175:J1175" si="483">IF(ISNUMBER(D815/L15*1000),D815/L15*1000,"0")</f>
        <v>4.5362903225806459</v>
      </c>
      <c r="E1175" s="609">
        <f t="shared" si="483"/>
        <v>5.204893257688239</v>
      </c>
      <c r="F1175" s="609">
        <f t="shared" si="483"/>
        <v>5.8099234409754343</v>
      </c>
      <c r="G1175" s="609">
        <f t="shared" si="483"/>
        <v>5.9365757926984051</v>
      </c>
      <c r="H1175" s="609">
        <f t="shared" si="483"/>
        <v>6.661757141882986</v>
      </c>
      <c r="I1175" s="609">
        <f t="shared" si="483"/>
        <v>5.5902366893214257</v>
      </c>
      <c r="J1175" s="603">
        <f t="shared" si="483"/>
        <v>8.2190176184557604</v>
      </c>
      <c r="K1175" s="1844">
        <f t="shared" ref="K1175:K1184" si="484">IF(ISNUMBER(K815/K15*1000),K815/K15*1000,"0")</f>
        <v>0</v>
      </c>
      <c r="L1175" s="609">
        <f t="shared" ref="L1175:R1175" si="485">IF(ISNUMBER(L815/L15*1000),L815/L15*1000,"0")</f>
        <v>3.5282258064516125</v>
      </c>
      <c r="M1175" s="609">
        <f t="shared" si="485"/>
        <v>3.6972483395459421</v>
      </c>
      <c r="N1175" s="609">
        <f t="shared" si="485"/>
        <v>4.1446632320724737</v>
      </c>
      <c r="O1175" s="609">
        <f t="shared" si="485"/>
        <v>4.1750631367356448</v>
      </c>
      <c r="P1175" s="609">
        <f t="shared" si="485"/>
        <v>4.8285732239196095</v>
      </c>
      <c r="Q1175" s="609">
        <f t="shared" si="485"/>
        <v>4.4309134398462797</v>
      </c>
      <c r="R1175" s="603">
        <f t="shared" si="485"/>
        <v>5.9437835507088534</v>
      </c>
    </row>
    <row r="1176" spans="2:18">
      <c r="B1176" s="595" t="s">
        <v>1047</v>
      </c>
      <c r="C1176" s="1844">
        <f t="shared" si="482"/>
        <v>0</v>
      </c>
      <c r="D1176" s="609">
        <f t="shared" ref="D1176:D1184" si="486">IF(ISNUMBER(D816/L16*1000),D816/L16*1000,"0")</f>
        <v>656.49331802860218</v>
      </c>
      <c r="E1176" s="609">
        <f t="shared" ref="E1176:E1184" si="487">IF(ISNUMBER(E816/M16*1000),E816/M16*1000,"0")</f>
        <v>639.91251833564968</v>
      </c>
      <c r="F1176" s="609">
        <f t="shared" ref="F1176:F1184" si="488">IF(ISNUMBER(F816/N16*1000),F816/N16*1000,"0")</f>
        <v>711.4520561952246</v>
      </c>
      <c r="G1176" s="609">
        <f t="shared" ref="G1176:G1184" si="489">IF(ISNUMBER(G816/O16*1000),G816/O16*1000,"0")</f>
        <v>820.26720919363402</v>
      </c>
      <c r="H1176" s="609">
        <f t="shared" ref="H1176:H1184" si="490">IF(ISNUMBER(H816/P16*1000),H816/P16*1000,"0")</f>
        <v>917.15037318133159</v>
      </c>
      <c r="I1176" s="609">
        <f t="shared" ref="I1176:I1184" si="491">IF(ISNUMBER(I816/Q16*1000),I816/Q16*1000,"0")</f>
        <v>773.48024088035993</v>
      </c>
      <c r="J1176" s="603">
        <f t="shared" ref="J1176:J1184" si="492">IF(ISNUMBER(J816/R16*1000),J816/R16*1000,"0")</f>
        <v>779.95191430416889</v>
      </c>
      <c r="K1176" s="1844">
        <f t="shared" si="484"/>
        <v>0</v>
      </c>
      <c r="L1176" s="609">
        <f t="shared" ref="L1176:R1184" si="493">IF(ISNUMBER(L816/L16*1000),L816/L16*1000,"0")</f>
        <v>59.925535375853478</v>
      </c>
      <c r="M1176" s="609">
        <f t="shared" si="493"/>
        <v>70.252387586342081</v>
      </c>
      <c r="N1176" s="609">
        <f t="shared" si="493"/>
        <v>82.529353067599729</v>
      </c>
      <c r="O1176" s="609">
        <f t="shared" si="493"/>
        <v>95.096160718964157</v>
      </c>
      <c r="P1176" s="609">
        <f t="shared" si="493"/>
        <v>108.06900657957448</v>
      </c>
      <c r="Q1176" s="609">
        <f t="shared" si="493"/>
        <v>113.65326104015695</v>
      </c>
      <c r="R1176" s="603">
        <f t="shared" si="493"/>
        <v>191.52069540309364</v>
      </c>
    </row>
    <row r="1177" spans="2:18">
      <c r="B1177" s="595" t="s">
        <v>1048</v>
      </c>
      <c r="C1177" s="1844">
        <f t="shared" si="482"/>
        <v>0</v>
      </c>
      <c r="D1177" s="609">
        <f t="shared" si="486"/>
        <v>296.18839019978111</v>
      </c>
      <c r="E1177" s="609">
        <f t="shared" si="487"/>
        <v>392.42695497189703</v>
      </c>
      <c r="F1177" s="609">
        <f t="shared" si="488"/>
        <v>442.32754766195598</v>
      </c>
      <c r="G1177" s="609">
        <f t="shared" si="489"/>
        <v>472.55917694658763</v>
      </c>
      <c r="H1177" s="609">
        <f t="shared" si="490"/>
        <v>542.12712923937659</v>
      </c>
      <c r="I1177" s="609">
        <f t="shared" si="491"/>
        <v>507.93521685348719</v>
      </c>
      <c r="J1177" s="603">
        <f t="shared" si="492"/>
        <v>574.21713830438057</v>
      </c>
      <c r="K1177" s="1844">
        <f t="shared" si="484"/>
        <v>0</v>
      </c>
      <c r="L1177" s="609">
        <f t="shared" si="493"/>
        <v>82.50449967179992</v>
      </c>
      <c r="M1177" s="609">
        <f t="shared" si="493"/>
        <v>108.04597810986348</v>
      </c>
      <c r="N1177" s="609">
        <f t="shared" si="493"/>
        <v>115.86225612900991</v>
      </c>
      <c r="O1177" s="609">
        <f t="shared" si="493"/>
        <v>126.6101826089494</v>
      </c>
      <c r="P1177" s="609">
        <f t="shared" si="493"/>
        <v>146.04525432894863</v>
      </c>
      <c r="Q1177" s="609">
        <f t="shared" si="493"/>
        <v>165.49958677857225</v>
      </c>
      <c r="R1177" s="603">
        <f t="shared" si="493"/>
        <v>170.81394852533185</v>
      </c>
    </row>
    <row r="1178" spans="2:18">
      <c r="B1178" s="595" t="s">
        <v>1049</v>
      </c>
      <c r="C1178" s="1844">
        <f t="shared" si="482"/>
        <v>2.7733649298760071E-4</v>
      </c>
      <c r="D1178" s="609">
        <f t="shared" si="486"/>
        <v>3.1064879797993485E-4</v>
      </c>
      <c r="E1178" s="609">
        <f t="shared" si="487"/>
        <v>3.6385600172861613E-4</v>
      </c>
      <c r="F1178" s="609">
        <f t="shared" si="488"/>
        <v>4.6676228590566867E-4</v>
      </c>
      <c r="G1178" s="609">
        <f t="shared" si="489"/>
        <v>5.2915069783659942E-4</v>
      </c>
      <c r="H1178" s="609">
        <f t="shared" si="490"/>
        <v>5.8805015121031479E-4</v>
      </c>
      <c r="I1178" s="609">
        <f t="shared" si="491"/>
        <v>4.9654968851309321E-4</v>
      </c>
      <c r="J1178" s="603">
        <f t="shared" si="492"/>
        <v>3.6365238852756787E-4</v>
      </c>
      <c r="K1178" s="1844">
        <f t="shared" si="484"/>
        <v>0</v>
      </c>
      <c r="L1178" s="609">
        <f t="shared" si="493"/>
        <v>0</v>
      </c>
      <c r="M1178" s="609">
        <f t="shared" si="493"/>
        <v>0</v>
      </c>
      <c r="N1178" s="609">
        <f t="shared" si="493"/>
        <v>0</v>
      </c>
      <c r="O1178" s="609">
        <f t="shared" si="493"/>
        <v>5.2291100174650315E-4</v>
      </c>
      <c r="P1178" s="609">
        <f t="shared" si="493"/>
        <v>5.8022072478084526E-4</v>
      </c>
      <c r="Q1178" s="609">
        <f t="shared" si="493"/>
        <v>4.9079585745518252E-4</v>
      </c>
      <c r="R1178" s="603">
        <f t="shared" si="493"/>
        <v>3.6008716903219952E-4</v>
      </c>
    </row>
    <row r="1179" spans="2:18">
      <c r="B1179" s="595" t="s">
        <v>1050</v>
      </c>
      <c r="C1179" s="1844">
        <f t="shared" si="482"/>
        <v>0</v>
      </c>
      <c r="D1179" s="609">
        <f t="shared" si="486"/>
        <v>0</v>
      </c>
      <c r="E1179" s="609">
        <f t="shared" si="487"/>
        <v>0</v>
      </c>
      <c r="F1179" s="609">
        <f t="shared" si="488"/>
        <v>0</v>
      </c>
      <c r="G1179" s="609">
        <f t="shared" si="489"/>
        <v>0</v>
      </c>
      <c r="H1179" s="609">
        <f t="shared" si="490"/>
        <v>0</v>
      </c>
      <c r="I1179" s="609">
        <f t="shared" si="491"/>
        <v>0</v>
      </c>
      <c r="J1179" s="603">
        <f t="shared" si="492"/>
        <v>0</v>
      </c>
      <c r="K1179" s="1844">
        <f t="shared" si="484"/>
        <v>0</v>
      </c>
      <c r="L1179" s="609">
        <f t="shared" si="493"/>
        <v>0</v>
      </c>
      <c r="M1179" s="609">
        <f t="shared" si="493"/>
        <v>0</v>
      </c>
      <c r="N1179" s="609">
        <f t="shared" si="493"/>
        <v>0</v>
      </c>
      <c r="O1179" s="609">
        <f t="shared" si="493"/>
        <v>0</v>
      </c>
      <c r="P1179" s="609">
        <f t="shared" si="493"/>
        <v>0</v>
      </c>
      <c r="Q1179" s="609">
        <f t="shared" si="493"/>
        <v>0</v>
      </c>
      <c r="R1179" s="603">
        <f t="shared" si="493"/>
        <v>0</v>
      </c>
    </row>
    <row r="1180" spans="2:18">
      <c r="B1180" s="595" t="s">
        <v>1051</v>
      </c>
      <c r="C1180" s="1844">
        <f t="shared" si="482"/>
        <v>2.3005063233002061</v>
      </c>
      <c r="D1180" s="609">
        <f t="shared" si="486"/>
        <v>2.673347235331748</v>
      </c>
      <c r="E1180" s="609">
        <f t="shared" si="487"/>
        <v>3.059153050348129</v>
      </c>
      <c r="F1180" s="609">
        <f t="shared" si="488"/>
        <v>3.8614053465905385</v>
      </c>
      <c r="G1180" s="609">
        <f t="shared" si="489"/>
        <v>4.7793031098743173</v>
      </c>
      <c r="H1180" s="609">
        <f t="shared" si="490"/>
        <v>5.5477257325353895</v>
      </c>
      <c r="I1180" s="609">
        <f t="shared" si="491"/>
        <v>5.385100654385842</v>
      </c>
      <c r="J1180" s="603">
        <f t="shared" si="492"/>
        <v>5.7324447939319292</v>
      </c>
      <c r="K1180" s="1844">
        <f t="shared" si="484"/>
        <v>1.6833031558572857</v>
      </c>
      <c r="L1180" s="609">
        <f t="shared" si="493"/>
        <v>2.0242466254450098</v>
      </c>
      <c r="M1180" s="609">
        <f t="shared" si="493"/>
        <v>2.3122765079358167</v>
      </c>
      <c r="N1180" s="609">
        <f t="shared" si="493"/>
        <v>2.8550555625523719</v>
      </c>
      <c r="O1180" s="609">
        <f t="shared" si="493"/>
        <v>3.4338033229962681</v>
      </c>
      <c r="P1180" s="609">
        <f t="shared" si="493"/>
        <v>4.0600339359922311</v>
      </c>
      <c r="Q1180" s="609">
        <f t="shared" si="493"/>
        <v>3.9855728877494285</v>
      </c>
      <c r="R1180" s="603">
        <f t="shared" si="493"/>
        <v>4.1118208048825986</v>
      </c>
    </row>
    <row r="1181" spans="2:18">
      <c r="B1181" s="595" t="s">
        <v>1052</v>
      </c>
      <c r="C1181" s="1844">
        <f t="shared" si="482"/>
        <v>599.73964139601583</v>
      </c>
      <c r="D1181" s="609">
        <f t="shared" si="486"/>
        <v>683.96249474256979</v>
      </c>
      <c r="E1181" s="609">
        <f t="shared" si="487"/>
        <v>740.04731895202269</v>
      </c>
      <c r="F1181" s="609">
        <f t="shared" si="488"/>
        <v>823.72838968677581</v>
      </c>
      <c r="G1181" s="609">
        <f t="shared" si="489"/>
        <v>855.03644845657732</v>
      </c>
      <c r="H1181" s="609">
        <f t="shared" si="490"/>
        <v>904.13573136536138</v>
      </c>
      <c r="I1181" s="609">
        <f t="shared" si="491"/>
        <v>773.1191502764292</v>
      </c>
      <c r="J1181" s="603">
        <f t="shared" si="492"/>
        <v>1065.3975480668676</v>
      </c>
      <c r="K1181" s="1844">
        <f t="shared" si="484"/>
        <v>104.2209824700126</v>
      </c>
      <c r="L1181" s="609">
        <f t="shared" si="493"/>
        <v>130.18329646766401</v>
      </c>
      <c r="M1181" s="609">
        <f t="shared" si="493"/>
        <v>136.96444745876951</v>
      </c>
      <c r="N1181" s="609">
        <f t="shared" si="493"/>
        <v>159.29642798742549</v>
      </c>
      <c r="O1181" s="609">
        <f t="shared" si="493"/>
        <v>187.30518812602043</v>
      </c>
      <c r="P1181" s="609">
        <f t="shared" si="493"/>
        <v>213.98566503931463</v>
      </c>
      <c r="Q1181" s="609">
        <f t="shared" si="493"/>
        <v>223.2670988632043</v>
      </c>
      <c r="R1181" s="603">
        <f t="shared" si="493"/>
        <v>321.64975370237346</v>
      </c>
    </row>
    <row r="1182" spans="2:18">
      <c r="B1182" s="595" t="s">
        <v>1053</v>
      </c>
      <c r="C1182" s="1844">
        <f t="shared" si="482"/>
        <v>0</v>
      </c>
      <c r="D1182" s="609">
        <f t="shared" si="486"/>
        <v>0.21032255538750705</v>
      </c>
      <c r="E1182" s="609">
        <f t="shared" si="487"/>
        <v>0.24036884885500362</v>
      </c>
      <c r="F1182" s="609">
        <f t="shared" si="488"/>
        <v>0.28893251422654931</v>
      </c>
      <c r="G1182" s="609">
        <f t="shared" si="489"/>
        <v>0.34927531999818184</v>
      </c>
      <c r="H1182" s="609">
        <f t="shared" si="490"/>
        <v>0.35994726560350659</v>
      </c>
      <c r="I1182" s="609">
        <f t="shared" si="491"/>
        <v>0.30473041884975316</v>
      </c>
      <c r="J1182" s="603">
        <f t="shared" si="492"/>
        <v>0.27034314706136758</v>
      </c>
      <c r="K1182" s="1844">
        <f t="shared" si="484"/>
        <v>0</v>
      </c>
      <c r="L1182" s="609">
        <f t="shared" si="493"/>
        <v>7.6304642847677837E-2</v>
      </c>
      <c r="M1182" s="609">
        <f t="shared" si="493"/>
        <v>9.53675599989217E-2</v>
      </c>
      <c r="N1182" s="609">
        <f t="shared" si="493"/>
        <v>0.1230348953293781</v>
      </c>
      <c r="O1182" s="609">
        <f t="shared" si="493"/>
        <v>0.13908325729992266</v>
      </c>
      <c r="P1182" s="609">
        <f t="shared" si="493"/>
        <v>0.15410140341867562</v>
      </c>
      <c r="Q1182" s="609">
        <f t="shared" si="493"/>
        <v>0.16166390832089433</v>
      </c>
      <c r="R1182" s="603">
        <f t="shared" si="493"/>
        <v>0.16923230490181321</v>
      </c>
    </row>
    <row r="1183" spans="2:18">
      <c r="B1183" s="595" t="s">
        <v>1054</v>
      </c>
      <c r="C1183" s="1844">
        <f t="shared" si="482"/>
        <v>0.5003710044517975</v>
      </c>
      <c r="D1183" s="609">
        <f t="shared" si="486"/>
        <v>0.51011217500820027</v>
      </c>
      <c r="E1183" s="609">
        <f t="shared" si="487"/>
        <v>0.59504957713779483</v>
      </c>
      <c r="F1183" s="609">
        <f t="shared" si="488"/>
        <v>0.63536731888434672</v>
      </c>
      <c r="G1183" s="609">
        <f t="shared" si="489"/>
        <v>0.70715555213480408</v>
      </c>
      <c r="H1183" s="609">
        <f t="shared" si="490"/>
        <v>0.81842061473945293</v>
      </c>
      <c r="I1183" s="609">
        <f t="shared" si="491"/>
        <v>0.61036754660645165</v>
      </c>
      <c r="J1183" s="603">
        <f t="shared" si="492"/>
        <v>0.83073277234102894</v>
      </c>
      <c r="K1183" s="1844">
        <f t="shared" si="484"/>
        <v>0.13122731334565446</v>
      </c>
      <c r="L1183" s="609">
        <f t="shared" si="493"/>
        <v>0.13505859073059512</v>
      </c>
      <c r="M1183" s="609">
        <f t="shared" si="493"/>
        <v>0.15800059992959264</v>
      </c>
      <c r="N1183" s="609">
        <f t="shared" si="493"/>
        <v>0.17462497293097295</v>
      </c>
      <c r="O1183" s="609">
        <f t="shared" si="493"/>
        <v>0.20336380874294896</v>
      </c>
      <c r="P1183" s="609">
        <f t="shared" si="493"/>
        <v>0.24298825662432583</v>
      </c>
      <c r="Q1183" s="609">
        <f t="shared" si="493"/>
        <v>0.25146854941447216</v>
      </c>
      <c r="R1183" s="603">
        <f t="shared" si="493"/>
        <v>0.39616394146960177</v>
      </c>
    </row>
    <row r="1184" spans="2:18">
      <c r="B1184" s="604" t="s">
        <v>1055</v>
      </c>
      <c r="C1184" s="610">
        <f t="shared" si="482"/>
        <v>2.1014997376089171</v>
      </c>
      <c r="D1184" s="617">
        <f t="shared" si="486"/>
        <v>2.3528102338502115</v>
      </c>
      <c r="E1184" s="617">
        <f t="shared" si="487"/>
        <v>2.4263471235667362</v>
      </c>
      <c r="F1184" s="617">
        <f t="shared" si="488"/>
        <v>2.4161288257487303</v>
      </c>
      <c r="G1184" s="617">
        <f t="shared" si="489"/>
        <v>2.4156228750868789</v>
      </c>
      <c r="H1184" s="617">
        <f t="shared" si="490"/>
        <v>2.5609704728324876</v>
      </c>
      <c r="I1184" s="617">
        <f t="shared" si="491"/>
        <v>2.5459011488367671</v>
      </c>
      <c r="J1184" s="618">
        <f t="shared" si="492"/>
        <v>2.6437871503036248</v>
      </c>
      <c r="K1184" s="610">
        <f t="shared" si="484"/>
        <v>1.1504207126472268</v>
      </c>
      <c r="L1184" s="617">
        <f t="shared" si="493"/>
        <v>1.270412188146602</v>
      </c>
      <c r="M1184" s="617">
        <f t="shared" si="493"/>
        <v>1.3034581715193907</v>
      </c>
      <c r="N1184" s="617">
        <f t="shared" si="493"/>
        <v>1.2875380147708453</v>
      </c>
      <c r="O1184" s="617">
        <f t="shared" si="493"/>
        <v>1.3215233066951397</v>
      </c>
      <c r="P1184" s="617">
        <f t="shared" si="493"/>
        <v>1.393919987214568</v>
      </c>
      <c r="Q1184" s="617">
        <f t="shared" si="493"/>
        <v>1.4253610699643728</v>
      </c>
      <c r="R1184" s="618">
        <f t="shared" si="493"/>
        <v>1.5341291806985256</v>
      </c>
    </row>
    <row r="1185" spans="2:18">
      <c r="B1185" s="57"/>
      <c r="C1185" s="582"/>
      <c r="D1185" s="582"/>
      <c r="E1185" s="582"/>
      <c r="F1185" s="582"/>
      <c r="G1185" s="582"/>
      <c r="H1185" s="582"/>
      <c r="I1185" s="582"/>
      <c r="J1185" s="582"/>
      <c r="K1185" s="582"/>
      <c r="L1185" s="582"/>
      <c r="M1185" s="582"/>
      <c r="N1185" s="582"/>
      <c r="O1185" s="582"/>
      <c r="P1185" s="582"/>
      <c r="Q1185" s="582"/>
    </row>
    <row r="1186" spans="2:18">
      <c r="B1186" s="2157" t="s">
        <v>1152</v>
      </c>
      <c r="C1186" s="2157"/>
      <c r="D1186" s="2157"/>
      <c r="E1186" s="2157"/>
      <c r="F1186" s="2157"/>
      <c r="G1186" s="2157"/>
      <c r="H1186" s="2157"/>
      <c r="I1186" s="2157"/>
      <c r="J1186" s="2157"/>
      <c r="K1186" s="2157"/>
      <c r="L1186" s="2157"/>
      <c r="M1186" s="2157"/>
      <c r="N1186" s="2157"/>
      <c r="O1186" s="2157"/>
      <c r="P1186" s="2157"/>
      <c r="Q1186" s="2157"/>
      <c r="R1186" s="2157"/>
    </row>
    <row r="1187" spans="2:18">
      <c r="B1187" s="619"/>
      <c r="C1187" s="621"/>
      <c r="D1187" s="621"/>
      <c r="E1187" s="621"/>
      <c r="F1187" s="621"/>
      <c r="G1187" s="621"/>
      <c r="H1187" s="621"/>
      <c r="I1187" s="621"/>
      <c r="J1187" s="621"/>
      <c r="K1187" s="622"/>
      <c r="L1187" s="622"/>
      <c r="M1187" s="622"/>
      <c r="N1187" s="622"/>
      <c r="O1187" s="622"/>
      <c r="P1187" s="622"/>
      <c r="Q1187" s="622"/>
    </row>
    <row r="1188" spans="2:18">
      <c r="B1188" s="583"/>
      <c r="C1188" s="2196" t="s">
        <v>1114</v>
      </c>
      <c r="D1188" s="2197"/>
      <c r="E1188" s="2197"/>
      <c r="F1188" s="2197"/>
      <c r="G1188" s="2197"/>
      <c r="H1188" s="2197"/>
      <c r="I1188" s="2197"/>
      <c r="J1188" s="2198"/>
      <c r="K1188" s="2196" t="s">
        <v>1115</v>
      </c>
      <c r="L1188" s="2197"/>
      <c r="M1188" s="2197"/>
      <c r="N1188" s="2197"/>
      <c r="O1188" s="2197"/>
      <c r="P1188" s="2197"/>
      <c r="Q1188" s="2197"/>
      <c r="R1188" s="2198"/>
    </row>
    <row r="1189" spans="2:18">
      <c r="B1189" s="57"/>
      <c r="C1189" s="585">
        <v>2014</v>
      </c>
      <c r="D1189" s="586">
        <v>2015</v>
      </c>
      <c r="E1189" s="586">
        <v>2016</v>
      </c>
      <c r="F1189" s="586">
        <v>2017</v>
      </c>
      <c r="G1189" s="586">
        <v>2018</v>
      </c>
      <c r="H1189" s="586">
        <v>2019</v>
      </c>
      <c r="I1189" s="586">
        <v>2020</v>
      </c>
      <c r="J1189" s="586">
        <v>2021</v>
      </c>
      <c r="K1189" s="587">
        <v>2014</v>
      </c>
      <c r="L1189" s="588">
        <v>2015</v>
      </c>
      <c r="M1189" s="588">
        <v>2016</v>
      </c>
      <c r="N1189" s="588">
        <v>2017</v>
      </c>
      <c r="O1189" s="588">
        <v>2018</v>
      </c>
      <c r="P1189" s="588">
        <v>2019</v>
      </c>
      <c r="Q1189" s="588">
        <v>2020</v>
      </c>
      <c r="R1189" s="848">
        <v>2021</v>
      </c>
    </row>
    <row r="1190" spans="2:18">
      <c r="B1190" s="589" t="s">
        <v>1038</v>
      </c>
      <c r="C1190" s="614">
        <f t="shared" ref="C1190:J1196" si="494">C830/K6*1000</f>
        <v>0</v>
      </c>
      <c r="D1190" s="615">
        <f t="shared" si="494"/>
        <v>0</v>
      </c>
      <c r="E1190" s="615">
        <f t="shared" si="494"/>
        <v>0</v>
      </c>
      <c r="F1190" s="615">
        <f t="shared" si="494"/>
        <v>0</v>
      </c>
      <c r="G1190" s="615">
        <f t="shared" si="494"/>
        <v>0</v>
      </c>
      <c r="H1190" s="615">
        <f t="shared" si="494"/>
        <v>0</v>
      </c>
      <c r="I1190" s="615">
        <f t="shared" si="494"/>
        <v>0</v>
      </c>
      <c r="J1190" s="615">
        <f t="shared" si="494"/>
        <v>0</v>
      </c>
      <c r="K1190" s="614">
        <f t="shared" ref="K1190:R1196" si="495">IF(ISNUMBER(K830/K6*1000),K830/K6*1000,"0")</f>
        <v>941.63656138337797</v>
      </c>
      <c r="L1190" s="615">
        <f t="shared" si="495"/>
        <v>867.34262335192091</v>
      </c>
      <c r="M1190" s="615">
        <f t="shared" si="495"/>
        <v>1054.2440290012955</v>
      </c>
      <c r="N1190" s="615">
        <f t="shared" si="495"/>
        <v>1145.5886605342403</v>
      </c>
      <c r="O1190" s="615">
        <f t="shared" si="495"/>
        <v>762.72787159044685</v>
      </c>
      <c r="P1190" s="615">
        <f t="shared" si="495"/>
        <v>751.75254265843523</v>
      </c>
      <c r="Q1190" s="615">
        <f t="shared" si="495"/>
        <v>641.17565935353821</v>
      </c>
      <c r="R1190" s="616">
        <f t="shared" si="495"/>
        <v>919.34176458287561</v>
      </c>
    </row>
    <row r="1191" spans="2:18">
      <c r="B1191" s="595" t="s">
        <v>1039</v>
      </c>
      <c r="C1191" s="1844">
        <f t="shared" si="494"/>
        <v>0</v>
      </c>
      <c r="D1191" s="609">
        <f t="shared" si="494"/>
        <v>0</v>
      </c>
      <c r="E1191" s="609">
        <f t="shared" si="494"/>
        <v>0</v>
      </c>
      <c r="F1191" s="609">
        <f t="shared" si="494"/>
        <v>0</v>
      </c>
      <c r="G1191" s="609">
        <f t="shared" si="494"/>
        <v>0</v>
      </c>
      <c r="H1191" s="609">
        <f t="shared" si="494"/>
        <v>0</v>
      </c>
      <c r="I1191" s="609">
        <f t="shared" si="494"/>
        <v>0</v>
      </c>
      <c r="J1191" s="609">
        <f t="shared" si="494"/>
        <v>0</v>
      </c>
      <c r="K1191" s="1844">
        <f t="shared" si="495"/>
        <v>1.18680039352864</v>
      </c>
      <c r="L1191" s="609">
        <f t="shared" si="495"/>
        <v>1.5822355073443883</v>
      </c>
      <c r="M1191" s="609">
        <f t="shared" si="495"/>
        <v>1.6481284138374208</v>
      </c>
      <c r="N1191" s="609">
        <f t="shared" si="495"/>
        <v>2.0982218571125713</v>
      </c>
      <c r="O1191" s="609">
        <f t="shared" si="495"/>
        <v>2.1629838455890065</v>
      </c>
      <c r="P1191" s="609">
        <f t="shared" si="495"/>
        <v>2.305307001608969</v>
      </c>
      <c r="Q1191" s="609">
        <f t="shared" si="495"/>
        <v>1.5771962712821963</v>
      </c>
      <c r="R1191" s="603">
        <f t="shared" si="495"/>
        <v>2.414249047013977</v>
      </c>
    </row>
    <row r="1192" spans="2:18">
      <c r="B1192" s="595" t="s">
        <v>1040</v>
      </c>
      <c r="C1192" s="1844">
        <f t="shared" si="494"/>
        <v>0</v>
      </c>
      <c r="D1192" s="609">
        <f t="shared" si="494"/>
        <v>0</v>
      </c>
      <c r="E1192" s="609">
        <f t="shared" si="494"/>
        <v>0</v>
      </c>
      <c r="F1192" s="609">
        <f t="shared" si="494"/>
        <v>0</v>
      </c>
      <c r="G1192" s="609">
        <f t="shared" si="494"/>
        <v>0</v>
      </c>
      <c r="H1192" s="609">
        <f t="shared" si="494"/>
        <v>0</v>
      </c>
      <c r="I1192" s="609">
        <f t="shared" si="494"/>
        <v>0</v>
      </c>
      <c r="J1192" s="609">
        <f t="shared" si="494"/>
        <v>0</v>
      </c>
      <c r="K1192" s="1844">
        <f t="shared" si="495"/>
        <v>3.0358804211876107E-2</v>
      </c>
      <c r="L1192" s="609">
        <f t="shared" si="495"/>
        <v>3.1283258063081125E-2</v>
      </c>
      <c r="M1192" s="609">
        <f t="shared" si="495"/>
        <v>3.1657693059981271E-2</v>
      </c>
      <c r="N1192" s="609">
        <f t="shared" si="495"/>
        <v>3.4419586599682507E-2</v>
      </c>
      <c r="O1192" s="609">
        <f t="shared" si="495"/>
        <v>4.0464448977625106E-2</v>
      </c>
      <c r="P1192" s="609">
        <f t="shared" si="495"/>
        <v>5.1027025487906587E-2</v>
      </c>
      <c r="Q1192" s="609">
        <f t="shared" si="495"/>
        <v>3.5750959165661955E-2</v>
      </c>
      <c r="R1192" s="603">
        <f t="shared" si="495"/>
        <v>4.8251620578690202E-2</v>
      </c>
    </row>
    <row r="1193" spans="2:18">
      <c r="B1193" s="595" t="s">
        <v>1041</v>
      </c>
      <c r="C1193" s="1844">
        <f t="shared" si="494"/>
        <v>0</v>
      </c>
      <c r="D1193" s="609">
        <f t="shared" si="494"/>
        <v>0</v>
      </c>
      <c r="E1193" s="609">
        <f t="shared" si="494"/>
        <v>0</v>
      </c>
      <c r="F1193" s="609">
        <f t="shared" si="494"/>
        <v>0</v>
      </c>
      <c r="G1193" s="609">
        <f t="shared" si="494"/>
        <v>0</v>
      </c>
      <c r="H1193" s="609">
        <f t="shared" si="494"/>
        <v>0</v>
      </c>
      <c r="I1193" s="609">
        <f t="shared" si="494"/>
        <v>0</v>
      </c>
      <c r="J1193" s="609">
        <f t="shared" si="494"/>
        <v>0</v>
      </c>
      <c r="K1193" s="1844">
        <f t="shared" si="495"/>
        <v>1.306567486778524</v>
      </c>
      <c r="L1193" s="609">
        <f t="shared" si="495"/>
        <v>0.98986139071953561</v>
      </c>
      <c r="M1193" s="609">
        <f t="shared" si="495"/>
        <v>0.97859692900575723</v>
      </c>
      <c r="N1193" s="609">
        <f t="shared" si="495"/>
        <v>1.1474326540967401</v>
      </c>
      <c r="O1193" s="609">
        <f t="shared" si="495"/>
        <v>1.1452190192459482</v>
      </c>
      <c r="P1193" s="609">
        <f t="shared" si="495"/>
        <v>1.3181880031525302</v>
      </c>
      <c r="Q1193" s="609">
        <f t="shared" si="495"/>
        <v>1.0442945736623508</v>
      </c>
      <c r="R1193" s="603">
        <f t="shared" si="495"/>
        <v>1.36772008524383</v>
      </c>
    </row>
    <row r="1194" spans="2:18">
      <c r="B1194" s="595" t="s">
        <v>1042</v>
      </c>
      <c r="C1194" s="1844">
        <f t="shared" si="494"/>
        <v>0</v>
      </c>
      <c r="D1194" s="609">
        <f t="shared" si="494"/>
        <v>0</v>
      </c>
      <c r="E1194" s="609">
        <f t="shared" si="494"/>
        <v>0</v>
      </c>
      <c r="F1194" s="609">
        <f t="shared" si="494"/>
        <v>0</v>
      </c>
      <c r="G1194" s="609">
        <f t="shared" si="494"/>
        <v>0</v>
      </c>
      <c r="H1194" s="609">
        <f t="shared" si="494"/>
        <v>0</v>
      </c>
      <c r="I1194" s="609">
        <f t="shared" si="494"/>
        <v>0</v>
      </c>
      <c r="J1194" s="609">
        <f t="shared" si="494"/>
        <v>0</v>
      </c>
      <c r="K1194" s="1844">
        <f t="shared" si="495"/>
        <v>0.95163760768514682</v>
      </c>
      <c r="L1194" s="609">
        <f t="shared" si="495"/>
        <v>1.020386659238109</v>
      </c>
      <c r="M1194" s="609">
        <f t="shared" si="495"/>
        <v>1.144834156191517</v>
      </c>
      <c r="N1194" s="609">
        <f t="shared" si="495"/>
        <v>1.3376558869629618</v>
      </c>
      <c r="O1194" s="609">
        <f t="shared" si="495"/>
        <v>1.5516783483785979</v>
      </c>
      <c r="P1194" s="609">
        <f t="shared" si="495"/>
        <v>1.4961128395276473</v>
      </c>
      <c r="Q1194" s="609">
        <f t="shared" si="495"/>
        <v>1.5656978965985826</v>
      </c>
      <c r="R1194" s="603">
        <f t="shared" si="495"/>
        <v>1.9759502735865473</v>
      </c>
    </row>
    <row r="1195" spans="2:18">
      <c r="B1195" s="595" t="s">
        <v>1043</v>
      </c>
      <c r="C1195" s="1844">
        <f t="shared" si="494"/>
        <v>0</v>
      </c>
      <c r="D1195" s="609">
        <f t="shared" si="494"/>
        <v>0</v>
      </c>
      <c r="E1195" s="609">
        <f t="shared" si="494"/>
        <v>0</v>
      </c>
      <c r="F1195" s="609">
        <f t="shared" si="494"/>
        <v>0</v>
      </c>
      <c r="G1195" s="609">
        <f t="shared" si="494"/>
        <v>0</v>
      </c>
      <c r="H1195" s="609">
        <f t="shared" si="494"/>
        <v>0</v>
      </c>
      <c r="I1195" s="609">
        <f t="shared" si="494"/>
        <v>0</v>
      </c>
      <c r="J1195" s="609">
        <f t="shared" si="494"/>
        <v>0</v>
      </c>
      <c r="K1195" s="1844">
        <f t="shared" si="495"/>
        <v>0.3906483751792732</v>
      </c>
      <c r="L1195" s="609">
        <f t="shared" si="495"/>
        <v>0.31357186677684806</v>
      </c>
      <c r="M1195" s="609">
        <f t="shared" si="495"/>
        <v>0.31527384971745015</v>
      </c>
      <c r="N1195" s="609">
        <f t="shared" si="495"/>
        <v>0.34981045100147234</v>
      </c>
      <c r="O1195" s="609">
        <f t="shared" si="495"/>
        <v>0.38484947846349343</v>
      </c>
      <c r="P1195" s="609">
        <f t="shared" si="495"/>
        <v>0.39143029971889154</v>
      </c>
      <c r="Q1195" s="609">
        <f t="shared" si="495"/>
        <v>0.29559560623916337</v>
      </c>
      <c r="R1195" s="603">
        <f t="shared" si="495"/>
        <v>0.33184502653542663</v>
      </c>
    </row>
    <row r="1196" spans="2:18">
      <c r="B1196" s="595" t="s">
        <v>1044</v>
      </c>
      <c r="C1196" s="1844">
        <f t="shared" si="494"/>
        <v>0</v>
      </c>
      <c r="D1196" s="609">
        <f t="shared" si="494"/>
        <v>0</v>
      </c>
      <c r="E1196" s="609">
        <f t="shared" si="494"/>
        <v>0</v>
      </c>
      <c r="F1196" s="609">
        <f t="shared" si="494"/>
        <v>0</v>
      </c>
      <c r="G1196" s="609">
        <f t="shared" si="494"/>
        <v>0</v>
      </c>
      <c r="H1196" s="609">
        <f t="shared" si="494"/>
        <v>0</v>
      </c>
      <c r="I1196" s="609">
        <f t="shared" si="494"/>
        <v>0</v>
      </c>
      <c r="J1196" s="609">
        <f t="shared" si="494"/>
        <v>0</v>
      </c>
      <c r="K1196" s="1844">
        <f t="shared" si="495"/>
        <v>1.0684727396439853</v>
      </c>
      <c r="L1196" s="609">
        <f t="shared" si="495"/>
        <v>1.1432499177973245</v>
      </c>
      <c r="M1196" s="609">
        <f t="shared" si="495"/>
        <v>1.3129966567825038</v>
      </c>
      <c r="N1196" s="609">
        <f t="shared" si="495"/>
        <v>1.4034703832434707</v>
      </c>
      <c r="O1196" s="609">
        <f t="shared" si="495"/>
        <v>1.4204135630377854</v>
      </c>
      <c r="P1196" s="609">
        <f t="shared" si="495"/>
        <v>1.7927468001034104</v>
      </c>
      <c r="Q1196" s="609">
        <f t="shared" si="495"/>
        <v>1.1862869171726114</v>
      </c>
      <c r="R1196" s="603">
        <f t="shared" si="495"/>
        <v>1.1454604817320173</v>
      </c>
    </row>
    <row r="1197" spans="2:18">
      <c r="B1197" s="595" t="s">
        <v>1061</v>
      </c>
      <c r="C1197" s="1844">
        <f t="shared" ref="C1197:C1206" si="496">C837/K15*1000</f>
        <v>0</v>
      </c>
      <c r="D1197" s="609">
        <f t="shared" ref="D1197:J1197" si="497">D837/L15*1000</f>
        <v>0</v>
      </c>
      <c r="E1197" s="609">
        <f t="shared" si="497"/>
        <v>0</v>
      </c>
      <c r="F1197" s="609">
        <f t="shared" si="497"/>
        <v>0</v>
      </c>
      <c r="G1197" s="609">
        <f t="shared" si="497"/>
        <v>0</v>
      </c>
      <c r="H1197" s="609">
        <f t="shared" si="497"/>
        <v>0</v>
      </c>
      <c r="I1197" s="609">
        <f t="shared" si="497"/>
        <v>0</v>
      </c>
      <c r="J1197" s="609">
        <f t="shared" si="497"/>
        <v>0</v>
      </c>
      <c r="K1197" s="1844">
        <f t="shared" ref="K1197:K1206" si="498">IF(ISNUMBER(K837/K15*1000),K837/K15*1000,"0")</f>
        <v>0</v>
      </c>
      <c r="L1197" s="609">
        <f t="shared" ref="L1197:R1197" si="499">IF(ISNUMBER(L837/L15*1000),L837/L15*1000,"0")</f>
        <v>1.5120967741935483</v>
      </c>
      <c r="M1197" s="609">
        <f t="shared" si="499"/>
        <v>1.5076449181422971</v>
      </c>
      <c r="N1197" s="609">
        <f t="shared" si="499"/>
        <v>1.6652602089029598</v>
      </c>
      <c r="O1197" s="609">
        <f t="shared" si="499"/>
        <v>1.761512655962759</v>
      </c>
      <c r="P1197" s="609">
        <f t="shared" si="499"/>
        <v>1.8331839179633764</v>
      </c>
      <c r="Q1197" s="609">
        <f t="shared" si="499"/>
        <v>1.1593232494751449</v>
      </c>
      <c r="R1197" s="603">
        <f t="shared" si="499"/>
        <v>2.2752340677469065</v>
      </c>
    </row>
    <row r="1198" spans="2:18">
      <c r="B1198" s="595" t="s">
        <v>1047</v>
      </c>
      <c r="C1198" s="1844">
        <f t="shared" si="496"/>
        <v>0</v>
      </c>
      <c r="D1198" s="609">
        <f t="shared" ref="D1198:D1206" si="500">D838/L16*1000</f>
        <v>0</v>
      </c>
      <c r="E1198" s="609">
        <f t="shared" ref="E1198:E1206" si="501">E838/M16*1000</f>
        <v>0</v>
      </c>
      <c r="F1198" s="609">
        <f t="shared" ref="F1198:F1206" si="502">F838/N16*1000</f>
        <v>0</v>
      </c>
      <c r="G1198" s="609">
        <f t="shared" ref="G1198:G1206" si="503">G838/O16*1000</f>
        <v>0</v>
      </c>
      <c r="H1198" s="609">
        <f t="shared" ref="H1198:H1206" si="504">H838/P16*1000</f>
        <v>0</v>
      </c>
      <c r="I1198" s="609">
        <f t="shared" ref="I1198:I1206" si="505">I838/Q16*1000</f>
        <v>0</v>
      </c>
      <c r="J1198" s="609">
        <f t="shared" ref="J1198:J1206" si="506">J838/R16*1000</f>
        <v>0</v>
      </c>
      <c r="K1198" s="1844">
        <f t="shared" si="498"/>
        <v>0</v>
      </c>
      <c r="L1198" s="609">
        <f t="shared" ref="L1198:R1206" si="507">IF(ISNUMBER(L838/L16*1000),L838/L16*1000,"0")</f>
        <v>596.56778265274875</v>
      </c>
      <c r="M1198" s="609">
        <f t="shared" si="507"/>
        <v>569.66013074930754</v>
      </c>
      <c r="N1198" s="609">
        <f t="shared" si="507"/>
        <v>628.92270312762503</v>
      </c>
      <c r="O1198" s="609">
        <f t="shared" si="507"/>
        <v>725.17104847466999</v>
      </c>
      <c r="P1198" s="609">
        <f t="shared" si="507"/>
        <v>809.08136660175717</v>
      </c>
      <c r="Q1198" s="609">
        <f t="shared" si="507"/>
        <v>659.82697984020308</v>
      </c>
      <c r="R1198" s="603">
        <f t="shared" si="507"/>
        <v>588.43121890107534</v>
      </c>
    </row>
    <row r="1199" spans="2:18">
      <c r="B1199" s="595" t="s">
        <v>1048</v>
      </c>
      <c r="C1199" s="1844">
        <f t="shared" si="496"/>
        <v>0</v>
      </c>
      <c r="D1199" s="609">
        <f t="shared" si="500"/>
        <v>0</v>
      </c>
      <c r="E1199" s="609">
        <f t="shared" si="501"/>
        <v>0</v>
      </c>
      <c r="F1199" s="609">
        <f t="shared" si="502"/>
        <v>0</v>
      </c>
      <c r="G1199" s="609">
        <f t="shared" si="503"/>
        <v>0</v>
      </c>
      <c r="H1199" s="609">
        <f t="shared" si="504"/>
        <v>0</v>
      </c>
      <c r="I1199" s="609">
        <f t="shared" si="505"/>
        <v>0</v>
      </c>
      <c r="J1199" s="609">
        <f t="shared" si="506"/>
        <v>0</v>
      </c>
      <c r="K1199" s="1844">
        <f t="shared" si="498"/>
        <v>0</v>
      </c>
      <c r="L1199" s="609">
        <f t="shared" si="507"/>
        <v>213.68389052798119</v>
      </c>
      <c r="M1199" s="609">
        <f t="shared" si="507"/>
        <v>284.38097686203361</v>
      </c>
      <c r="N1199" s="609">
        <f t="shared" si="507"/>
        <v>326.46529153294608</v>
      </c>
      <c r="O1199" s="609">
        <f t="shared" si="507"/>
        <v>345.94899433763823</v>
      </c>
      <c r="P1199" s="609">
        <f t="shared" si="507"/>
        <v>396.08187491042804</v>
      </c>
      <c r="Q1199" s="609">
        <f t="shared" si="507"/>
        <v>342.43563007491491</v>
      </c>
      <c r="R1199" s="603">
        <f t="shared" si="507"/>
        <v>403.40318977904877</v>
      </c>
    </row>
    <row r="1200" spans="2:18">
      <c r="B1200" s="595" t="s">
        <v>1049</v>
      </c>
      <c r="C1200" s="1844">
        <f t="shared" si="496"/>
        <v>0</v>
      </c>
      <c r="D1200" s="609">
        <f t="shared" si="500"/>
        <v>0</v>
      </c>
      <c r="E1200" s="609">
        <f t="shared" si="501"/>
        <v>0</v>
      </c>
      <c r="F1200" s="609">
        <f t="shared" si="502"/>
        <v>0</v>
      </c>
      <c r="G1200" s="609">
        <f t="shared" si="503"/>
        <v>0</v>
      </c>
      <c r="H1200" s="609">
        <f t="shared" si="504"/>
        <v>0</v>
      </c>
      <c r="I1200" s="609">
        <f t="shared" si="505"/>
        <v>0</v>
      </c>
      <c r="J1200" s="609">
        <f t="shared" si="506"/>
        <v>0</v>
      </c>
      <c r="K1200" s="1844">
        <f t="shared" si="498"/>
        <v>0</v>
      </c>
      <c r="L1200" s="609">
        <f t="shared" si="507"/>
        <v>0</v>
      </c>
      <c r="M1200" s="609">
        <f t="shared" si="507"/>
        <v>0</v>
      </c>
      <c r="N1200" s="609">
        <f t="shared" si="507"/>
        <v>0</v>
      </c>
      <c r="O1200" s="609">
        <f t="shared" si="507"/>
        <v>6.2396960900963167E-6</v>
      </c>
      <c r="P1200" s="609">
        <f t="shared" si="507"/>
        <v>7.8294264294695747E-6</v>
      </c>
      <c r="Q1200" s="609">
        <f t="shared" si="507"/>
        <v>5.7538310579106487E-6</v>
      </c>
      <c r="R1200" s="603">
        <f t="shared" si="507"/>
        <v>3.5652194953683122E-6</v>
      </c>
    </row>
    <row r="1201" spans="2:18">
      <c r="B1201" s="595" t="s">
        <v>1050</v>
      </c>
      <c r="C1201" s="1844">
        <f t="shared" si="496"/>
        <v>0</v>
      </c>
      <c r="D1201" s="609">
        <f t="shared" si="500"/>
        <v>0</v>
      </c>
      <c r="E1201" s="609">
        <f t="shared" si="501"/>
        <v>0</v>
      </c>
      <c r="F1201" s="609">
        <f t="shared" si="502"/>
        <v>0</v>
      </c>
      <c r="G1201" s="609">
        <f t="shared" si="503"/>
        <v>0</v>
      </c>
      <c r="H1201" s="609">
        <f t="shared" si="504"/>
        <v>0</v>
      </c>
      <c r="I1201" s="609">
        <f t="shared" si="505"/>
        <v>0</v>
      </c>
      <c r="J1201" s="609">
        <f t="shared" si="506"/>
        <v>0</v>
      </c>
      <c r="K1201" s="1844">
        <f t="shared" si="498"/>
        <v>0</v>
      </c>
      <c r="L1201" s="609">
        <f t="shared" si="507"/>
        <v>0</v>
      </c>
      <c r="M1201" s="609">
        <f t="shared" si="507"/>
        <v>0</v>
      </c>
      <c r="N1201" s="609">
        <f t="shared" si="507"/>
        <v>0</v>
      </c>
      <c r="O1201" s="609">
        <f t="shared" si="507"/>
        <v>0</v>
      </c>
      <c r="P1201" s="609">
        <f t="shared" si="507"/>
        <v>0</v>
      </c>
      <c r="Q1201" s="609">
        <f t="shared" si="507"/>
        <v>0</v>
      </c>
      <c r="R1201" s="603">
        <f t="shared" si="507"/>
        <v>0</v>
      </c>
    </row>
    <row r="1202" spans="2:18">
      <c r="B1202" s="595" t="s">
        <v>1051</v>
      </c>
      <c r="C1202" s="1844">
        <f t="shared" si="496"/>
        <v>0</v>
      </c>
      <c r="D1202" s="609">
        <f t="shared" si="500"/>
        <v>0</v>
      </c>
      <c r="E1202" s="609">
        <f t="shared" si="501"/>
        <v>0</v>
      </c>
      <c r="F1202" s="609">
        <f t="shared" si="502"/>
        <v>0</v>
      </c>
      <c r="G1202" s="609">
        <f t="shared" si="503"/>
        <v>0</v>
      </c>
      <c r="H1202" s="609">
        <f t="shared" si="504"/>
        <v>0</v>
      </c>
      <c r="I1202" s="609">
        <f t="shared" si="505"/>
        <v>0</v>
      </c>
      <c r="J1202" s="609">
        <f t="shared" si="506"/>
        <v>0</v>
      </c>
      <c r="K1202" s="1844">
        <f t="shared" si="498"/>
        <v>0.61720316744292025</v>
      </c>
      <c r="L1202" s="609">
        <f t="shared" si="507"/>
        <v>0.64910060988673812</v>
      </c>
      <c r="M1202" s="609">
        <f t="shared" si="507"/>
        <v>0.74687654241231161</v>
      </c>
      <c r="N1202" s="609">
        <f t="shared" si="507"/>
        <v>1.0063497840381663</v>
      </c>
      <c r="O1202" s="609">
        <f t="shared" si="507"/>
        <v>1.3454997868780496</v>
      </c>
      <c r="P1202" s="609">
        <f t="shared" si="507"/>
        <v>1.4876917965431584</v>
      </c>
      <c r="Q1202" s="609">
        <f t="shared" si="507"/>
        <v>1.3995277666364125</v>
      </c>
      <c r="R1202" s="603">
        <f t="shared" si="507"/>
        <v>1.620623989049331</v>
      </c>
    </row>
    <row r="1203" spans="2:18">
      <c r="B1203" s="595" t="s">
        <v>1052</v>
      </c>
      <c r="C1203" s="1844">
        <f t="shared" si="496"/>
        <v>0</v>
      </c>
      <c r="D1203" s="609">
        <f t="shared" si="500"/>
        <v>0</v>
      </c>
      <c r="E1203" s="609">
        <f t="shared" si="501"/>
        <v>0</v>
      </c>
      <c r="F1203" s="609">
        <f t="shared" si="502"/>
        <v>0</v>
      </c>
      <c r="G1203" s="609">
        <f t="shared" si="503"/>
        <v>0</v>
      </c>
      <c r="H1203" s="609">
        <f t="shared" si="504"/>
        <v>0</v>
      </c>
      <c r="I1203" s="609">
        <f t="shared" si="505"/>
        <v>0</v>
      </c>
      <c r="J1203" s="609">
        <f t="shared" si="506"/>
        <v>0</v>
      </c>
      <c r="K1203" s="1844">
        <f t="shared" si="498"/>
        <v>491.34730994607349</v>
      </c>
      <c r="L1203" s="609">
        <f t="shared" si="507"/>
        <v>552.34641660752243</v>
      </c>
      <c r="M1203" s="609">
        <f t="shared" si="507"/>
        <v>601.65449289094761</v>
      </c>
      <c r="N1203" s="609">
        <f t="shared" si="507"/>
        <v>663.6175374866724</v>
      </c>
      <c r="O1203" s="609">
        <f t="shared" si="507"/>
        <v>667.04747291220986</v>
      </c>
      <c r="P1203" s="609">
        <f t="shared" si="507"/>
        <v>689.55964012381833</v>
      </c>
      <c r="Q1203" s="609">
        <f t="shared" si="507"/>
        <v>549.43387948710154</v>
      </c>
      <c r="R1203" s="603">
        <f t="shared" si="507"/>
        <v>743.17085459254531</v>
      </c>
    </row>
    <row r="1204" spans="2:18">
      <c r="B1204" s="595" t="s">
        <v>1053</v>
      </c>
      <c r="C1204" s="1844">
        <f t="shared" si="496"/>
        <v>0</v>
      </c>
      <c r="D1204" s="609">
        <f t="shared" si="500"/>
        <v>0</v>
      </c>
      <c r="E1204" s="609">
        <f t="shared" si="501"/>
        <v>0</v>
      </c>
      <c r="F1204" s="609">
        <f t="shared" si="502"/>
        <v>0</v>
      </c>
      <c r="G1204" s="609">
        <f t="shared" si="503"/>
        <v>0</v>
      </c>
      <c r="H1204" s="609">
        <f t="shared" si="504"/>
        <v>0</v>
      </c>
      <c r="I1204" s="609">
        <f t="shared" si="505"/>
        <v>0</v>
      </c>
      <c r="J1204" s="609">
        <f t="shared" si="506"/>
        <v>0</v>
      </c>
      <c r="K1204" s="1844">
        <f t="shared" si="498"/>
        <v>0</v>
      </c>
      <c r="L1204" s="609">
        <f t="shared" si="507"/>
        <v>0.13401791253982923</v>
      </c>
      <c r="M1204" s="609">
        <f t="shared" si="507"/>
        <v>0.14500128885608188</v>
      </c>
      <c r="N1204" s="609">
        <f t="shared" si="507"/>
        <v>0.1658976188971712</v>
      </c>
      <c r="O1204" s="609">
        <f t="shared" si="507"/>
        <v>0.21019206269825921</v>
      </c>
      <c r="P1204" s="609">
        <f t="shared" si="507"/>
        <v>0.20584586218483092</v>
      </c>
      <c r="Q1204" s="609">
        <f t="shared" si="507"/>
        <v>0.14306651052885885</v>
      </c>
      <c r="R1204" s="603">
        <f t="shared" si="507"/>
        <v>0.10111084215955439</v>
      </c>
    </row>
    <row r="1205" spans="2:18">
      <c r="B1205" s="595" t="s">
        <v>1054</v>
      </c>
      <c r="C1205" s="1844">
        <f t="shared" si="496"/>
        <v>0.13653771365037709</v>
      </c>
      <c r="D1205" s="609">
        <f t="shared" si="500"/>
        <v>0.15970976686391691</v>
      </c>
      <c r="E1205" s="609">
        <f t="shared" si="501"/>
        <v>0.17649603727538618</v>
      </c>
      <c r="F1205" s="609">
        <f t="shared" si="502"/>
        <v>0.20551186251863282</v>
      </c>
      <c r="G1205" s="609">
        <f t="shared" si="503"/>
        <v>0.24550656519527236</v>
      </c>
      <c r="H1205" s="609">
        <f t="shared" si="504"/>
        <v>0.25401336036028743</v>
      </c>
      <c r="I1205" s="609">
        <f t="shared" si="505"/>
        <v>0.40008230578032616</v>
      </c>
      <c r="J1205" s="609">
        <f t="shared" si="506"/>
        <v>0</v>
      </c>
      <c r="K1205" s="1844">
        <f t="shared" si="498"/>
        <v>0.36914369110614309</v>
      </c>
      <c r="L1205" s="609">
        <f t="shared" si="507"/>
        <v>0.3750535842776051</v>
      </c>
      <c r="M1205" s="609">
        <f t="shared" si="507"/>
        <v>0.43704897720820213</v>
      </c>
      <c r="N1205" s="609">
        <f t="shared" si="507"/>
        <v>0.46074234595337371</v>
      </c>
      <c r="O1205" s="609">
        <f t="shared" si="507"/>
        <v>0.50379174339185517</v>
      </c>
      <c r="P1205" s="609">
        <f t="shared" si="507"/>
        <v>0.57543235811512716</v>
      </c>
      <c r="Q1205" s="609">
        <f t="shared" si="507"/>
        <v>0.35889899719197949</v>
      </c>
      <c r="R1205" s="603">
        <f t="shared" si="507"/>
        <v>0.43456883087142717</v>
      </c>
    </row>
    <row r="1206" spans="2:18">
      <c r="B1206" s="604" t="s">
        <v>1055</v>
      </c>
      <c r="C1206" s="610">
        <f t="shared" si="496"/>
        <v>0</v>
      </c>
      <c r="D1206" s="617">
        <f t="shared" si="500"/>
        <v>0</v>
      </c>
      <c r="E1206" s="617">
        <f t="shared" si="501"/>
        <v>0</v>
      </c>
      <c r="F1206" s="617">
        <f t="shared" si="502"/>
        <v>0</v>
      </c>
      <c r="G1206" s="617">
        <f t="shared" si="503"/>
        <v>0</v>
      </c>
      <c r="H1206" s="617">
        <f t="shared" si="504"/>
        <v>0</v>
      </c>
      <c r="I1206" s="617">
        <f t="shared" si="505"/>
        <v>0</v>
      </c>
      <c r="J1206" s="617">
        <f t="shared" si="506"/>
        <v>0</v>
      </c>
      <c r="K1206" s="610">
        <f t="shared" si="498"/>
        <v>0.9510790249616905</v>
      </c>
      <c r="L1206" s="617">
        <f t="shared" si="507"/>
        <v>1.08239804570361</v>
      </c>
      <c r="M1206" s="617">
        <f t="shared" si="507"/>
        <v>1.1228889520473457</v>
      </c>
      <c r="N1206" s="617">
        <f t="shared" si="507"/>
        <v>1.1285908109778848</v>
      </c>
      <c r="O1206" s="617">
        <f t="shared" si="507"/>
        <v>1.0940995683917396</v>
      </c>
      <c r="P1206" s="617">
        <f t="shared" si="507"/>
        <v>1.1670504856179194</v>
      </c>
      <c r="Q1206" s="617">
        <f t="shared" si="507"/>
        <v>1.1205400788723943</v>
      </c>
      <c r="R1206" s="618">
        <f t="shared" si="507"/>
        <v>1.1096579696050992</v>
      </c>
    </row>
    <row r="1207" spans="2:18">
      <c r="B1207" s="57"/>
      <c r="C1207" s="582"/>
      <c r="D1207" s="582"/>
      <c r="E1207" s="582"/>
      <c r="F1207" s="582"/>
      <c r="G1207" s="582"/>
      <c r="H1207" s="582"/>
      <c r="I1207" s="582"/>
      <c r="J1207" s="582"/>
      <c r="K1207" s="582"/>
      <c r="L1207" s="582"/>
      <c r="M1207" s="582"/>
      <c r="N1207" s="582"/>
      <c r="O1207" s="582"/>
      <c r="P1207" s="582"/>
      <c r="Q1207" s="582"/>
    </row>
    <row r="1208" spans="2:18">
      <c r="B1208" s="2157" t="s">
        <v>1153</v>
      </c>
      <c r="C1208" s="2157"/>
      <c r="D1208" s="2157"/>
      <c r="E1208" s="2157"/>
      <c r="F1208" s="2157"/>
      <c r="G1208" s="2157"/>
      <c r="H1208" s="2157"/>
      <c r="I1208" s="2157"/>
      <c r="J1208" s="2157"/>
      <c r="K1208" s="2157"/>
      <c r="L1208" s="2157"/>
      <c r="M1208" s="2157"/>
      <c r="N1208" s="2157"/>
      <c r="O1208" s="2157"/>
      <c r="P1208" s="2157"/>
      <c r="Q1208" s="2157"/>
      <c r="R1208" s="2157"/>
    </row>
    <row r="1209" spans="2:18" ht="15" customHeight="1">
      <c r="B1209" s="2178" t="s">
        <v>1154</v>
      </c>
      <c r="C1209" s="2178"/>
      <c r="D1209" s="2178"/>
      <c r="E1209" s="2178"/>
      <c r="F1209" s="2178"/>
      <c r="G1209" s="2178"/>
      <c r="H1209" s="2178"/>
      <c r="I1209" s="2178"/>
      <c r="J1209" s="2178"/>
      <c r="K1209" s="2178"/>
      <c r="L1209" s="2178"/>
      <c r="M1209" s="2178"/>
      <c r="N1209" s="2178"/>
      <c r="O1209" s="2178"/>
      <c r="P1209" s="2178"/>
      <c r="Q1209" s="2178"/>
      <c r="R1209" s="2178"/>
    </row>
    <row r="1210" spans="2:18">
      <c r="B1210" s="2160" t="s">
        <v>1155</v>
      </c>
      <c r="C1210" s="2160"/>
      <c r="D1210" s="2160"/>
      <c r="E1210" s="2160"/>
      <c r="F1210" s="2160"/>
      <c r="G1210" s="2160"/>
      <c r="H1210" s="2160"/>
      <c r="I1210" s="2160"/>
      <c r="J1210" s="2160"/>
      <c r="K1210" s="2160"/>
      <c r="L1210" s="2160"/>
      <c r="M1210" s="2160"/>
      <c r="N1210" s="2160"/>
      <c r="O1210" s="2160"/>
      <c r="P1210" s="2160"/>
      <c r="Q1210" s="2160"/>
      <c r="R1210" s="2160"/>
    </row>
    <row r="1211" spans="2:18">
      <c r="B1211" s="57"/>
      <c r="C1211" s="582"/>
      <c r="D1211" s="582"/>
      <c r="E1211" s="582"/>
      <c r="F1211" s="582"/>
      <c r="G1211" s="582"/>
      <c r="H1211" s="582"/>
      <c r="I1211" s="582"/>
      <c r="J1211" s="582"/>
      <c r="K1211" s="582"/>
      <c r="L1211" s="582"/>
      <c r="M1211" s="582"/>
      <c r="N1211" s="582"/>
      <c r="O1211" s="582"/>
      <c r="P1211" s="582"/>
      <c r="Q1211" s="582"/>
    </row>
    <row r="1212" spans="2:18">
      <c r="B1212" s="641">
        <v>100</v>
      </c>
      <c r="C1212" s="2161" t="s">
        <v>361</v>
      </c>
      <c r="D1212" s="2162"/>
      <c r="E1212" s="2162"/>
      <c r="F1212" s="2162"/>
      <c r="G1212" s="2162"/>
      <c r="H1212" s="2162"/>
      <c r="I1212" s="2162"/>
      <c r="J1212" s="842"/>
      <c r="K1212" s="2161" t="s">
        <v>358</v>
      </c>
      <c r="L1212" s="2162"/>
      <c r="M1212" s="2162"/>
      <c r="N1212" s="2162"/>
      <c r="O1212" s="2162"/>
      <c r="P1212" s="2162"/>
      <c r="Q1212" s="2162"/>
      <c r="R1212" s="2163"/>
    </row>
    <row r="1213" spans="2:18">
      <c r="B1213" s="57"/>
      <c r="C1213" s="585">
        <v>2014</v>
      </c>
      <c r="D1213" s="586">
        <v>2015</v>
      </c>
      <c r="E1213" s="586">
        <v>2016</v>
      </c>
      <c r="F1213" s="586">
        <v>2017</v>
      </c>
      <c r="G1213" s="586">
        <v>2018</v>
      </c>
      <c r="H1213" s="586">
        <v>2019</v>
      </c>
      <c r="I1213" s="586">
        <v>2020</v>
      </c>
      <c r="J1213" s="586">
        <v>2021</v>
      </c>
      <c r="K1213" s="587">
        <v>2014</v>
      </c>
      <c r="L1213" s="588">
        <v>2015</v>
      </c>
      <c r="M1213" s="588">
        <v>2016</v>
      </c>
      <c r="N1213" s="588">
        <v>2017</v>
      </c>
      <c r="O1213" s="588">
        <v>2018</v>
      </c>
      <c r="P1213" s="588">
        <v>2019</v>
      </c>
      <c r="Q1213" s="588">
        <v>2020</v>
      </c>
      <c r="R1213" s="848">
        <v>2021</v>
      </c>
    </row>
    <row r="1214" spans="2:18">
      <c r="B1214" s="589" t="s">
        <v>1038</v>
      </c>
      <c r="C1214" s="623">
        <f t="shared" ref="C1214:J1220" si="508">IF(ISNUMBER(C764/C6*100000),C764/C6*100000,"0")</f>
        <v>163.3070481736072</v>
      </c>
      <c r="D1214" s="624">
        <f t="shared" si="508"/>
        <v>161.0791391595387</v>
      </c>
      <c r="E1214" s="624">
        <f t="shared" si="508"/>
        <v>171.72486899664071</v>
      </c>
      <c r="F1214" s="624">
        <f t="shared" si="508"/>
        <v>174.53690454033074</v>
      </c>
      <c r="G1214" s="624">
        <f t="shared" si="508"/>
        <v>177.39593936100394</v>
      </c>
      <c r="H1214" s="624">
        <f t="shared" si="508"/>
        <v>187.84506164828278</v>
      </c>
      <c r="I1214" s="624">
        <f t="shared" si="508"/>
        <v>213.49234136970927</v>
      </c>
      <c r="J1214" s="625">
        <f t="shared" si="508"/>
        <v>238.16876931187832</v>
      </c>
      <c r="K1214" s="623">
        <f t="shared" ref="K1214:R1220" si="509">IF(ISNUMBER(K764/C6*100000),K764/C6*100000,"0")</f>
        <v>1.263241376957325</v>
      </c>
      <c r="L1214" s="624">
        <f t="shared" si="509"/>
        <v>1.3577148730573523</v>
      </c>
      <c r="M1214" s="624">
        <f t="shared" si="509"/>
        <v>1.5021459884582533</v>
      </c>
      <c r="N1214" s="624">
        <f t="shared" si="509"/>
        <v>1.7823045833214644</v>
      </c>
      <c r="O1214" s="624">
        <f t="shared" si="509"/>
        <v>1.9483934186834384</v>
      </c>
      <c r="P1214" s="624">
        <f t="shared" si="509"/>
        <v>2.1308249708214229</v>
      </c>
      <c r="Q1214" s="624">
        <f t="shared" si="509"/>
        <v>2.3385814935913478</v>
      </c>
      <c r="R1214" s="625">
        <f t="shared" si="509"/>
        <v>2.4276495087775034</v>
      </c>
    </row>
    <row r="1215" spans="2:18">
      <c r="B1215" s="595" t="s">
        <v>1039</v>
      </c>
      <c r="C1215" s="1866">
        <f t="shared" si="508"/>
        <v>57.533181540012244</v>
      </c>
      <c r="D1215" s="627">
        <f t="shared" si="508"/>
        <v>56.676628533371556</v>
      </c>
      <c r="E1215" s="627">
        <f t="shared" si="508"/>
        <v>73.161348926030442</v>
      </c>
      <c r="F1215" s="627">
        <f t="shared" si="508"/>
        <v>100.2179063895902</v>
      </c>
      <c r="G1215" s="627">
        <f t="shared" si="508"/>
        <v>112.66027218990577</v>
      </c>
      <c r="H1215" s="627">
        <f t="shared" si="508"/>
        <v>104.88763568006793</v>
      </c>
      <c r="I1215" s="627">
        <f t="shared" si="508"/>
        <v>134.67829269549975</v>
      </c>
      <c r="J1215" s="628">
        <f t="shared" si="508"/>
        <v>145.19610834537767</v>
      </c>
      <c r="K1215" s="1866">
        <f t="shared" si="509"/>
        <v>0.27792577126606427</v>
      </c>
      <c r="L1215" s="627">
        <f t="shared" si="509"/>
        <v>2.8321938306679364</v>
      </c>
      <c r="M1215" s="627">
        <f t="shared" si="509"/>
        <v>2.8939127642674869</v>
      </c>
      <c r="N1215" s="627">
        <f t="shared" si="509"/>
        <v>2.9797857189098207</v>
      </c>
      <c r="O1215" s="627">
        <f t="shared" si="509"/>
        <v>4.1705106696561565</v>
      </c>
      <c r="P1215" s="627">
        <f t="shared" si="509"/>
        <v>4.1724501243102301</v>
      </c>
      <c r="Q1215" s="627">
        <f t="shared" si="509"/>
        <v>4.6492396515284291</v>
      </c>
      <c r="R1215" s="628">
        <f t="shared" si="509"/>
        <v>4.5580090287814716</v>
      </c>
    </row>
    <row r="1216" spans="2:18">
      <c r="B1216" s="595" t="s">
        <v>1040</v>
      </c>
      <c r="C1216" s="1866">
        <f t="shared" si="508"/>
        <v>0</v>
      </c>
      <c r="D1216" s="627">
        <f t="shared" si="508"/>
        <v>0</v>
      </c>
      <c r="E1216" s="627">
        <f t="shared" si="508"/>
        <v>0</v>
      </c>
      <c r="F1216" s="627">
        <f t="shared" si="508"/>
        <v>0</v>
      </c>
      <c r="G1216" s="627">
        <f t="shared" si="508"/>
        <v>0</v>
      </c>
      <c r="H1216" s="627">
        <f t="shared" si="508"/>
        <v>0</v>
      </c>
      <c r="I1216" s="627">
        <f t="shared" si="508"/>
        <v>0</v>
      </c>
      <c r="J1216" s="628">
        <f t="shared" si="508"/>
        <v>0</v>
      </c>
      <c r="K1216" s="1866">
        <f t="shared" si="509"/>
        <v>0</v>
      </c>
      <c r="L1216" s="627">
        <f t="shared" si="509"/>
        <v>0</v>
      </c>
      <c r="M1216" s="627">
        <f t="shared" si="509"/>
        <v>0</v>
      </c>
      <c r="N1216" s="627">
        <f t="shared" si="509"/>
        <v>0</v>
      </c>
      <c r="O1216" s="627">
        <f t="shared" si="509"/>
        <v>0</v>
      </c>
      <c r="P1216" s="627">
        <f t="shared" si="509"/>
        <v>0</v>
      </c>
      <c r="Q1216" s="627">
        <f t="shared" si="509"/>
        <v>0</v>
      </c>
      <c r="R1216" s="628">
        <f t="shared" si="509"/>
        <v>0</v>
      </c>
    </row>
    <row r="1217" spans="2:18">
      <c r="B1217" s="595" t="s">
        <v>1041</v>
      </c>
      <c r="C1217" s="1866">
        <f t="shared" si="508"/>
        <v>658.46613440557599</v>
      </c>
      <c r="D1217" s="627">
        <f t="shared" si="508"/>
        <v>705.14317499838091</v>
      </c>
      <c r="E1217" s="627">
        <f t="shared" si="508"/>
        <v>537.16465490545716</v>
      </c>
      <c r="F1217" s="627">
        <f t="shared" si="508"/>
        <v>621.01475266525154</v>
      </c>
      <c r="G1217" s="627">
        <f t="shared" si="508"/>
        <v>676.05485459580939</v>
      </c>
      <c r="H1217" s="627">
        <f t="shared" si="508"/>
        <v>726.94942251903046</v>
      </c>
      <c r="I1217" s="627">
        <f t="shared" si="508"/>
        <v>827.06687418422575</v>
      </c>
      <c r="J1217" s="628">
        <f t="shared" si="508"/>
        <v>943.05391663713317</v>
      </c>
      <c r="K1217" s="1866">
        <f t="shared" si="509"/>
        <v>98.108386756311049</v>
      </c>
      <c r="L1217" s="627">
        <f t="shared" si="509"/>
        <v>84.137512523248873</v>
      </c>
      <c r="M1217" s="627">
        <f t="shared" si="509"/>
        <v>97.241224079693481</v>
      </c>
      <c r="N1217" s="627">
        <f t="shared" si="509"/>
        <v>113.50015114958774</v>
      </c>
      <c r="O1217" s="627">
        <f t="shared" si="509"/>
        <v>103.2950042854072</v>
      </c>
      <c r="P1217" s="627">
        <f t="shared" si="509"/>
        <v>71.599747546564572</v>
      </c>
      <c r="Q1217" s="627">
        <f t="shared" si="509"/>
        <v>57.304749205811909</v>
      </c>
      <c r="R1217" s="628">
        <f t="shared" si="509"/>
        <v>57.091585419641724</v>
      </c>
    </row>
    <row r="1218" spans="2:18">
      <c r="B1218" s="595" t="s">
        <v>1042</v>
      </c>
      <c r="C1218" s="1866">
        <f t="shared" si="508"/>
        <v>48.293558358579936</v>
      </c>
      <c r="D1218" s="627">
        <f t="shared" si="508"/>
        <v>60.331056761562877</v>
      </c>
      <c r="E1218" s="627">
        <f t="shared" si="508"/>
        <v>67.236640023153399</v>
      </c>
      <c r="F1218" s="627">
        <f t="shared" si="508"/>
        <v>71.66092092319596</v>
      </c>
      <c r="G1218" s="627">
        <f t="shared" si="508"/>
        <v>70.791723223503581</v>
      </c>
      <c r="H1218" s="627">
        <f t="shared" si="508"/>
        <v>71.865233144668068</v>
      </c>
      <c r="I1218" s="627">
        <f t="shared" si="508"/>
        <v>98.093526064426626</v>
      </c>
      <c r="J1218" s="628">
        <f t="shared" si="508"/>
        <v>70.913005504873297</v>
      </c>
      <c r="K1218" s="1866">
        <f t="shared" si="509"/>
        <v>0</v>
      </c>
      <c r="L1218" s="627">
        <f t="shared" si="509"/>
        <v>0</v>
      </c>
      <c r="M1218" s="627">
        <f t="shared" si="509"/>
        <v>0</v>
      </c>
      <c r="N1218" s="627">
        <f t="shared" si="509"/>
        <v>0</v>
      </c>
      <c r="O1218" s="627">
        <f t="shared" si="509"/>
        <v>0</v>
      </c>
      <c r="P1218" s="627">
        <f t="shared" si="509"/>
        <v>0</v>
      </c>
      <c r="Q1218" s="627">
        <f t="shared" si="509"/>
        <v>0</v>
      </c>
      <c r="R1218" s="628">
        <f t="shared" si="509"/>
        <v>0</v>
      </c>
    </row>
    <row r="1219" spans="2:18">
      <c r="B1219" s="595" t="s">
        <v>1043</v>
      </c>
      <c r="C1219" s="1866">
        <f t="shared" si="508"/>
        <v>122.27813994217206</v>
      </c>
      <c r="D1219" s="627">
        <f t="shared" si="508"/>
        <v>123.756060939881</v>
      </c>
      <c r="E1219" s="627">
        <f t="shared" si="508"/>
        <v>103.56734301798235</v>
      </c>
      <c r="F1219" s="627">
        <f t="shared" si="508"/>
        <v>109.58667423947405</v>
      </c>
      <c r="G1219" s="627">
        <f t="shared" si="508"/>
        <v>123.66332276796683</v>
      </c>
      <c r="H1219" s="627">
        <f t="shared" si="508"/>
        <v>116.77847935420191</v>
      </c>
      <c r="I1219" s="627">
        <f t="shared" si="508"/>
        <v>134.95553625320153</v>
      </c>
      <c r="J1219" s="628">
        <f t="shared" si="508"/>
        <v>140.08018014578542</v>
      </c>
      <c r="K1219" s="1866">
        <f t="shared" si="509"/>
        <v>0.36295152281453397</v>
      </c>
      <c r="L1219" s="627">
        <f t="shared" si="509"/>
        <v>0.3720092838622947</v>
      </c>
      <c r="M1219" s="627">
        <f t="shared" si="509"/>
        <v>0.3648986186074149</v>
      </c>
      <c r="N1219" s="627">
        <f t="shared" si="509"/>
        <v>0.40945148904830103</v>
      </c>
      <c r="O1219" s="627">
        <f t="shared" si="509"/>
        <v>0.49736442127651187</v>
      </c>
      <c r="P1219" s="627">
        <f t="shared" si="509"/>
        <v>0.43823314771424254</v>
      </c>
      <c r="Q1219" s="627">
        <f t="shared" si="509"/>
        <v>0.41626261004702741</v>
      </c>
      <c r="R1219" s="628">
        <f t="shared" si="509"/>
        <v>0.32875660251827721</v>
      </c>
    </row>
    <row r="1220" spans="2:18">
      <c r="B1220" s="595" t="s">
        <v>1044</v>
      </c>
      <c r="C1220" s="1866">
        <f t="shared" si="508"/>
        <v>0</v>
      </c>
      <c r="D1220" s="627">
        <f t="shared" si="508"/>
        <v>0</v>
      </c>
      <c r="E1220" s="627">
        <f t="shared" si="508"/>
        <v>0</v>
      </c>
      <c r="F1220" s="627">
        <f t="shared" si="508"/>
        <v>418.09705679197032</v>
      </c>
      <c r="G1220" s="627">
        <f t="shared" si="508"/>
        <v>421.03156810192036</v>
      </c>
      <c r="H1220" s="627">
        <f t="shared" si="508"/>
        <v>490.55430433930843</v>
      </c>
      <c r="I1220" s="627">
        <f t="shared" si="508"/>
        <v>489.6845495249093</v>
      </c>
      <c r="J1220" s="628">
        <f t="shared" si="508"/>
        <v>435.40354768382139</v>
      </c>
      <c r="K1220" s="1866">
        <f t="shared" si="509"/>
        <v>0</v>
      </c>
      <c r="L1220" s="627">
        <f t="shared" si="509"/>
        <v>0</v>
      </c>
      <c r="M1220" s="627">
        <f t="shared" si="509"/>
        <v>0</v>
      </c>
      <c r="N1220" s="627">
        <f t="shared" si="509"/>
        <v>113.68987983470944</v>
      </c>
      <c r="O1220" s="627">
        <f t="shared" si="509"/>
        <v>137.09833428075183</v>
      </c>
      <c r="P1220" s="627">
        <f t="shared" si="509"/>
        <v>118.16827359954641</v>
      </c>
      <c r="Q1220" s="627">
        <f t="shared" si="509"/>
        <v>122.71074219881925</v>
      </c>
      <c r="R1220" s="628">
        <f t="shared" si="509"/>
        <v>142.8766289114096</v>
      </c>
    </row>
    <row r="1221" spans="2:18">
      <c r="B1221" s="595" t="s">
        <v>1061</v>
      </c>
      <c r="C1221" s="1866">
        <f>IF(ISNUMBER(C771/K15*100000),C771/K15*100000,"0")</f>
        <v>0</v>
      </c>
      <c r="D1221" s="627">
        <f t="shared" ref="D1221:J1221" si="510">IF(ISNUMBER(D771/L15*100000),D771/L15*100000,"0")</f>
        <v>12147.177419354839</v>
      </c>
      <c r="E1221" s="627">
        <f t="shared" si="510"/>
        <v>16868.81104333992</v>
      </c>
      <c r="F1221" s="627">
        <f t="shared" si="510"/>
        <v>17069.179344065436</v>
      </c>
      <c r="G1221" s="627">
        <f t="shared" si="510"/>
        <v>18454.108688034226</v>
      </c>
      <c r="H1221" s="627">
        <f t="shared" si="510"/>
        <v>16353.781258964162</v>
      </c>
      <c r="I1221" s="627">
        <f t="shared" si="510"/>
        <v>14173.380075863786</v>
      </c>
      <c r="J1221" s="628">
        <f t="shared" si="510"/>
        <v>29890.104281081723</v>
      </c>
      <c r="K1221" s="1866">
        <f>IF(ISNUMBER(K771/K15*100000),K771/K15*100000,"0")</f>
        <v>0</v>
      </c>
      <c r="L1221" s="627">
        <f t="shared" ref="L1221:R1221" si="511">IF(ISNUMBER(L771/L15*100000),L771/L15*100000,"0")</f>
        <v>0</v>
      </c>
      <c r="M1221" s="627">
        <f t="shared" si="511"/>
        <v>48.728570577169954</v>
      </c>
      <c r="N1221" s="627">
        <f t="shared" si="511"/>
        <v>48.972510833733857</v>
      </c>
      <c r="O1221" s="627">
        <f t="shared" si="511"/>
        <v>63.330769288615251</v>
      </c>
      <c r="P1221" s="627">
        <f t="shared" si="511"/>
        <v>40.83457955723172</v>
      </c>
      <c r="Q1221" s="627">
        <f t="shared" si="511"/>
        <v>40.720551400206382</v>
      </c>
      <c r="R1221" s="628">
        <f t="shared" si="511"/>
        <v>49.135905032000771</v>
      </c>
    </row>
    <row r="1222" spans="2:18">
      <c r="B1222" s="595" t="s">
        <v>1047</v>
      </c>
      <c r="C1222" s="1866">
        <f t="shared" ref="C1222:J1230" si="512">IF(ISNUMBER(C772/C16*100000),C772/C16*100000,"0")</f>
        <v>65.828227357283012</v>
      </c>
      <c r="D1222" s="627">
        <f t="shared" si="512"/>
        <v>87.941203997043814</v>
      </c>
      <c r="E1222" s="627">
        <f t="shared" si="512"/>
        <v>91.693483120574115</v>
      </c>
      <c r="F1222" s="627">
        <f t="shared" si="512"/>
        <v>94.885321905088091</v>
      </c>
      <c r="G1222" s="627">
        <f t="shared" si="512"/>
        <v>100.19574962235272</v>
      </c>
      <c r="H1222" s="627">
        <f t="shared" si="512"/>
        <v>104.94884086862758</v>
      </c>
      <c r="I1222" s="627">
        <f t="shared" si="512"/>
        <v>111.93891364962214</v>
      </c>
      <c r="J1222" s="628">
        <f t="shared" si="512"/>
        <v>128.95788092018157</v>
      </c>
      <c r="K1222" s="1866">
        <f t="shared" ref="K1222:R1224" si="513">IF(ISNUMBER(K772/C16*100000),K772/C16*100000,"0")</f>
        <v>8.7773926271005749</v>
      </c>
      <c r="L1222" s="627">
        <f t="shared" si="513"/>
        <v>10.632919060124454</v>
      </c>
      <c r="M1222" s="627">
        <f t="shared" si="513"/>
        <v>9.4060876779033347</v>
      </c>
      <c r="N1222" s="627">
        <f t="shared" si="513"/>
        <v>9.2879791386062696</v>
      </c>
      <c r="O1222" s="627">
        <f t="shared" si="513"/>
        <v>9.7717880184648838</v>
      </c>
      <c r="P1222" s="627">
        <f t="shared" si="513"/>
        <v>9.7891933907672524</v>
      </c>
      <c r="Q1222" s="627">
        <f t="shared" si="513"/>
        <v>9.8473769483061133</v>
      </c>
      <c r="R1222" s="628">
        <f t="shared" si="513"/>
        <v>9.1909942464630863</v>
      </c>
    </row>
    <row r="1223" spans="2:18">
      <c r="B1223" s="595" t="s">
        <v>1048</v>
      </c>
      <c r="C1223" s="1866">
        <f t="shared" si="512"/>
        <v>0</v>
      </c>
      <c r="D1223" s="627">
        <f t="shared" si="512"/>
        <v>83.285630661687918</v>
      </c>
      <c r="E1223" s="627">
        <f t="shared" si="512"/>
        <v>138.77294975948095</v>
      </c>
      <c r="F1223" s="627">
        <f t="shared" si="512"/>
        <v>140.23103631462828</v>
      </c>
      <c r="G1223" s="627">
        <f t="shared" si="512"/>
        <v>153.45352669109579</v>
      </c>
      <c r="H1223" s="627">
        <f t="shared" si="512"/>
        <v>189.38491247612157</v>
      </c>
      <c r="I1223" s="627">
        <f t="shared" si="512"/>
        <v>211.27165548078989</v>
      </c>
      <c r="J1223" s="628">
        <f t="shared" si="512"/>
        <v>198.96620864991192</v>
      </c>
      <c r="K1223" s="1866">
        <f t="shared" si="513"/>
        <v>0</v>
      </c>
      <c r="L1223" s="627">
        <f t="shared" si="513"/>
        <v>2.359724962283857</v>
      </c>
      <c r="M1223" s="627">
        <f t="shared" si="513"/>
        <v>2.6176625358649734</v>
      </c>
      <c r="N1223" s="627">
        <f t="shared" si="513"/>
        <v>2.294029550197584</v>
      </c>
      <c r="O1223" s="627">
        <f t="shared" si="513"/>
        <v>2.5834667199572654</v>
      </c>
      <c r="P1223" s="627">
        <f t="shared" si="513"/>
        <v>2.7138685621188654</v>
      </c>
      <c r="Q1223" s="627">
        <f t="shared" si="513"/>
        <v>2.5091912275800037</v>
      </c>
      <c r="R1223" s="628">
        <f t="shared" si="513"/>
        <v>0.74792236055752637</v>
      </c>
    </row>
    <row r="1224" spans="2:18">
      <c r="B1224" s="595" t="s">
        <v>1049</v>
      </c>
      <c r="C1224" s="1866">
        <f t="shared" si="512"/>
        <v>2.3948748648367057E-2</v>
      </c>
      <c r="D1224" s="627">
        <f t="shared" si="512"/>
        <v>1.2682664503976988E-2</v>
      </c>
      <c r="E1224" s="627">
        <f t="shared" si="512"/>
        <v>1.3676089771664426E-2</v>
      </c>
      <c r="F1224" s="627">
        <f t="shared" si="512"/>
        <v>2.7643870604849706E-2</v>
      </c>
      <c r="G1224" s="627">
        <f t="shared" si="512"/>
        <v>3.2217727195832435E-2</v>
      </c>
      <c r="H1224" s="627">
        <f t="shared" si="512"/>
        <v>3.2614043096548834E-2</v>
      </c>
      <c r="I1224" s="627">
        <f t="shared" si="512"/>
        <v>3.0935222324686883E-2</v>
      </c>
      <c r="J1224" s="628">
        <f t="shared" si="512"/>
        <v>2.4444424696073736E-2</v>
      </c>
      <c r="K1224" s="1866">
        <f t="shared" si="513"/>
        <v>0</v>
      </c>
      <c r="L1224" s="627">
        <f t="shared" si="513"/>
        <v>0</v>
      </c>
      <c r="M1224" s="627">
        <f t="shared" si="513"/>
        <v>0</v>
      </c>
      <c r="N1224" s="627">
        <f t="shared" si="513"/>
        <v>0</v>
      </c>
      <c r="O1224" s="627">
        <f t="shared" si="513"/>
        <v>0</v>
      </c>
      <c r="P1224" s="627">
        <f t="shared" si="513"/>
        <v>0</v>
      </c>
      <c r="Q1224" s="627">
        <f t="shared" si="513"/>
        <v>0</v>
      </c>
      <c r="R1224" s="628">
        <f t="shared" si="513"/>
        <v>0</v>
      </c>
    </row>
    <row r="1225" spans="2:18">
      <c r="B1225" s="595" t="s">
        <v>1050</v>
      </c>
      <c r="C1225" s="1866">
        <f t="shared" si="512"/>
        <v>0</v>
      </c>
      <c r="D1225" s="627">
        <f t="shared" si="512"/>
        <v>0</v>
      </c>
      <c r="E1225" s="627">
        <f t="shared" si="512"/>
        <v>0</v>
      </c>
      <c r="F1225" s="627">
        <f t="shared" si="512"/>
        <v>0</v>
      </c>
      <c r="G1225" s="627">
        <f t="shared" si="512"/>
        <v>0</v>
      </c>
      <c r="H1225" s="627">
        <f t="shared" si="512"/>
        <v>0</v>
      </c>
      <c r="I1225" s="627">
        <f t="shared" si="512"/>
        <v>0</v>
      </c>
      <c r="J1225" s="628">
        <f t="shared" si="512"/>
        <v>0</v>
      </c>
      <c r="K1225" s="1866">
        <v>0</v>
      </c>
      <c r="L1225" s="627">
        <v>0</v>
      </c>
      <c r="M1225" s="627">
        <v>0</v>
      </c>
      <c r="N1225" s="627">
        <v>0</v>
      </c>
      <c r="O1225" s="627">
        <v>0</v>
      </c>
      <c r="P1225" s="627">
        <v>0</v>
      </c>
      <c r="Q1225" s="627">
        <v>0</v>
      </c>
      <c r="R1225" s="628">
        <v>0</v>
      </c>
    </row>
    <row r="1226" spans="2:18">
      <c r="B1226" s="595" t="s">
        <v>1051</v>
      </c>
      <c r="C1226" s="1866">
        <f t="shared" si="512"/>
        <v>9.345746638578099</v>
      </c>
      <c r="D1226" s="627">
        <f t="shared" si="512"/>
        <v>10.660953501904936</v>
      </c>
      <c r="E1226" s="627">
        <f t="shared" si="512"/>
        <v>11.884506097660022</v>
      </c>
      <c r="F1226" s="627">
        <f t="shared" si="512"/>
        <v>12.67098421828713</v>
      </c>
      <c r="G1226" s="627">
        <f t="shared" si="512"/>
        <v>14.386727998335919</v>
      </c>
      <c r="H1226" s="627">
        <f t="shared" si="512"/>
        <v>16.724223585854581</v>
      </c>
      <c r="I1226" s="627">
        <f t="shared" si="512"/>
        <v>21.963878233376988</v>
      </c>
      <c r="J1226" s="628">
        <f t="shared" si="512"/>
        <v>24.808557721669089</v>
      </c>
      <c r="K1226" s="1866">
        <f t="shared" ref="K1226:R1230" si="514">IF(ISNUMBER(K776/C20*100000),K776/C20*100000,"0")</f>
        <v>0.64845748044975537</v>
      </c>
      <c r="L1226" s="627">
        <f t="shared" si="514"/>
        <v>0.54446644207271155</v>
      </c>
      <c r="M1226" s="627">
        <f t="shared" si="514"/>
        <v>0.52301205489335789</v>
      </c>
      <c r="N1226" s="627">
        <f t="shared" si="514"/>
        <v>0.50959760622204398</v>
      </c>
      <c r="O1226" s="627">
        <f t="shared" si="514"/>
        <v>0.48722362433926758</v>
      </c>
      <c r="P1226" s="627">
        <f t="shared" si="514"/>
        <v>0.37231194397881473</v>
      </c>
      <c r="Q1226" s="627">
        <f t="shared" si="514"/>
        <v>0.42202520180679493</v>
      </c>
      <c r="R1226" s="628">
        <f t="shared" si="514"/>
        <v>0.41239804324670676</v>
      </c>
    </row>
    <row r="1227" spans="2:18">
      <c r="B1227" s="595" t="s">
        <v>1052</v>
      </c>
      <c r="C1227" s="1866">
        <f t="shared" si="512"/>
        <v>114.50911655291274</v>
      </c>
      <c r="D1227" s="627">
        <f t="shared" si="512"/>
        <v>107.19497593979287</v>
      </c>
      <c r="E1227" s="627">
        <f t="shared" si="512"/>
        <v>112.98695544979171</v>
      </c>
      <c r="F1227" s="627">
        <f t="shared" si="512"/>
        <v>112.91108184670298</v>
      </c>
      <c r="G1227" s="627">
        <f t="shared" si="512"/>
        <v>86.688856232147913</v>
      </c>
      <c r="H1227" s="627">
        <f t="shared" si="512"/>
        <v>93.316171442334436</v>
      </c>
      <c r="I1227" s="627">
        <f t="shared" si="512"/>
        <v>107.55634968301513</v>
      </c>
      <c r="J1227" s="628">
        <f t="shared" si="512"/>
        <v>108.71509710209877</v>
      </c>
      <c r="K1227" s="1866">
        <f t="shared" si="514"/>
        <v>13.253526828277643</v>
      </c>
      <c r="L1227" s="627">
        <f t="shared" si="514"/>
        <v>12.036459441187072</v>
      </c>
      <c r="M1227" s="627">
        <f t="shared" si="514"/>
        <v>6.379754852690418</v>
      </c>
      <c r="N1227" s="627">
        <f t="shared" si="514"/>
        <v>4.3409919031315649</v>
      </c>
      <c r="O1227" s="627">
        <f t="shared" si="514"/>
        <v>5.1433760642244222</v>
      </c>
      <c r="P1227" s="627">
        <f t="shared" si="514"/>
        <v>5.285944226367465</v>
      </c>
      <c r="Q1227" s="627">
        <f t="shared" si="514"/>
        <v>6.3324186873333179</v>
      </c>
      <c r="R1227" s="628">
        <f t="shared" si="514"/>
        <v>7.4711597750538559</v>
      </c>
    </row>
    <row r="1228" spans="2:18">
      <c r="B1228" s="595" t="s">
        <v>1053</v>
      </c>
      <c r="C1228" s="1866">
        <f t="shared" si="512"/>
        <v>0</v>
      </c>
      <c r="D1228" s="627">
        <f t="shared" si="512"/>
        <v>1051.3802824918612</v>
      </c>
      <c r="E1228" s="627">
        <f t="shared" si="512"/>
        <v>866.37806084150031</v>
      </c>
      <c r="F1228" s="627">
        <f t="shared" si="512"/>
        <v>777.95804043954433</v>
      </c>
      <c r="G1228" s="627">
        <f t="shared" si="512"/>
        <v>892.3671214663658</v>
      </c>
      <c r="H1228" s="627">
        <f t="shared" si="512"/>
        <v>961.84740683268717</v>
      </c>
      <c r="I1228" s="627">
        <f t="shared" si="512"/>
        <v>1114.5838299707871</v>
      </c>
      <c r="J1228" s="628">
        <f t="shared" si="512"/>
        <v>1535.4025263379854</v>
      </c>
      <c r="K1228" s="1866">
        <f t="shared" si="514"/>
        <v>0</v>
      </c>
      <c r="L1228" s="627">
        <f t="shared" si="514"/>
        <v>0</v>
      </c>
      <c r="M1228" s="627">
        <f t="shared" si="514"/>
        <v>0</v>
      </c>
      <c r="N1228" s="627">
        <f t="shared" si="514"/>
        <v>0</v>
      </c>
      <c r="O1228" s="627">
        <f t="shared" si="514"/>
        <v>0</v>
      </c>
      <c r="P1228" s="627">
        <f t="shared" si="514"/>
        <v>0</v>
      </c>
      <c r="Q1228" s="627">
        <f t="shared" si="514"/>
        <v>0</v>
      </c>
      <c r="R1228" s="628">
        <f t="shared" si="514"/>
        <v>0</v>
      </c>
    </row>
    <row r="1229" spans="2:18">
      <c r="B1229" s="595" t="s">
        <v>1054</v>
      </c>
      <c r="C1229" s="1866">
        <f t="shared" si="512"/>
        <v>312.2569369141226</v>
      </c>
      <c r="D1229" s="627">
        <f t="shared" si="512"/>
        <v>305.09045346378889</v>
      </c>
      <c r="E1229" s="627">
        <f t="shared" si="512"/>
        <v>305.10832271007024</v>
      </c>
      <c r="F1229" s="627">
        <f t="shared" si="512"/>
        <v>339.71269640024434</v>
      </c>
      <c r="G1229" s="627">
        <f t="shared" si="512"/>
        <v>389.83669758934269</v>
      </c>
      <c r="H1229" s="627">
        <f t="shared" si="512"/>
        <v>481.42546741551854</v>
      </c>
      <c r="I1229" s="627">
        <f t="shared" si="512"/>
        <v>524.50295127489926</v>
      </c>
      <c r="J1229" s="628">
        <f t="shared" si="512"/>
        <v>566.49754137885566</v>
      </c>
      <c r="K1229" s="1866">
        <f t="shared" si="514"/>
        <v>0.85288064912702666</v>
      </c>
      <c r="L1229" s="627">
        <f t="shared" si="514"/>
        <v>0.82573946645388674</v>
      </c>
      <c r="M1229" s="627">
        <f t="shared" si="514"/>
        <v>0.79404766782395675</v>
      </c>
      <c r="N1229" s="627">
        <f t="shared" si="514"/>
        <v>0.74021195368125636</v>
      </c>
      <c r="O1229" s="627">
        <f t="shared" si="514"/>
        <v>0.76028556717643292</v>
      </c>
      <c r="P1229" s="627">
        <f t="shared" si="514"/>
        <v>0.91009417921307367</v>
      </c>
      <c r="Q1229" s="627">
        <f t="shared" si="514"/>
        <v>0.8822407596488907</v>
      </c>
      <c r="R1229" s="628">
        <f t="shared" si="514"/>
        <v>0.85757937588830802</v>
      </c>
    </row>
    <row r="1230" spans="2:18">
      <c r="B1230" s="604" t="s">
        <v>1055</v>
      </c>
      <c r="C1230" s="629">
        <f t="shared" si="512"/>
        <v>88.967941400850862</v>
      </c>
      <c r="D1230" s="630">
        <f t="shared" si="512"/>
        <v>97.42851816316491</v>
      </c>
      <c r="E1230" s="630">
        <f t="shared" si="512"/>
        <v>97.051915588514831</v>
      </c>
      <c r="F1230" s="630">
        <f t="shared" si="512"/>
        <v>96.250599866712818</v>
      </c>
      <c r="G1230" s="630">
        <f t="shared" si="512"/>
        <v>107.73026044313612</v>
      </c>
      <c r="H1230" s="630">
        <f t="shared" si="512"/>
        <v>111.18509922560011</v>
      </c>
      <c r="I1230" s="630">
        <f t="shared" si="512"/>
        <v>128.06833277669662</v>
      </c>
      <c r="J1230" s="631">
        <f t="shared" si="512"/>
        <v>127.77917931316961</v>
      </c>
      <c r="K1230" s="629">
        <f t="shared" si="514"/>
        <v>0.26714181323081432</v>
      </c>
      <c r="L1230" s="630">
        <f t="shared" si="514"/>
        <v>0.35049278643941578</v>
      </c>
      <c r="M1230" s="630">
        <f t="shared" si="514"/>
        <v>0.33423656502122889</v>
      </c>
      <c r="N1230" s="630">
        <f t="shared" si="514"/>
        <v>0.36509410058316621</v>
      </c>
      <c r="O1230" s="630">
        <f t="shared" si="514"/>
        <v>0.54694114587664611</v>
      </c>
      <c r="P1230" s="630">
        <f t="shared" si="514"/>
        <v>0.45477198870694113</v>
      </c>
      <c r="Q1230" s="630">
        <f t="shared" si="514"/>
        <v>1.3166327636931092</v>
      </c>
      <c r="R1230" s="631">
        <f t="shared" si="514"/>
        <v>3.1435986915038754</v>
      </c>
    </row>
    <row r="1231" spans="2:18">
      <c r="B1231" s="57"/>
      <c r="C1231" s="582"/>
      <c r="D1231" s="582"/>
      <c r="E1231" s="582"/>
      <c r="F1231" s="582"/>
      <c r="G1231" s="582"/>
      <c r="H1231" s="582"/>
      <c r="I1231" s="582"/>
      <c r="J1231" s="582"/>
      <c r="K1231" s="582"/>
      <c r="L1231" s="582"/>
      <c r="M1231" s="582"/>
      <c r="N1231" s="582"/>
      <c r="O1231" s="582"/>
      <c r="P1231" s="582"/>
      <c r="Q1231" s="582"/>
    </row>
    <row r="1232" spans="2:18">
      <c r="B1232" s="2157" t="s">
        <v>1156</v>
      </c>
      <c r="C1232" s="2157"/>
      <c r="D1232" s="2157"/>
      <c r="E1232" s="2157"/>
      <c r="F1232" s="2157"/>
      <c r="G1232" s="2157"/>
      <c r="H1232" s="2157"/>
      <c r="I1232" s="2157"/>
      <c r="J1232" s="2157"/>
      <c r="K1232" s="2157"/>
      <c r="L1232" s="2157"/>
      <c r="M1232" s="2157"/>
      <c r="N1232" s="2157"/>
      <c r="O1232" s="2157"/>
      <c r="P1232" s="2157"/>
      <c r="Q1232" s="2157"/>
      <c r="R1232" s="2157"/>
    </row>
    <row r="1233" spans="2:18">
      <c r="B1233" s="619"/>
      <c r="C1233" s="621"/>
      <c r="D1233" s="621"/>
      <c r="E1233" s="621"/>
      <c r="F1233" s="621"/>
      <c r="G1233" s="621"/>
      <c r="H1233" s="621"/>
      <c r="I1233" s="621"/>
      <c r="J1233" s="621"/>
      <c r="K1233" s="622"/>
      <c r="L1233" s="622"/>
      <c r="M1233" s="622"/>
      <c r="N1233" s="622"/>
      <c r="O1233" s="622"/>
      <c r="P1233" s="622"/>
      <c r="Q1233" s="622"/>
    </row>
    <row r="1234" spans="2:18">
      <c r="B1234" s="583"/>
      <c r="C1234" s="2161" t="s">
        <v>353</v>
      </c>
      <c r="D1234" s="2162"/>
      <c r="E1234" s="2162"/>
      <c r="F1234" s="2162"/>
      <c r="G1234" s="2162"/>
      <c r="H1234" s="2162"/>
      <c r="I1234" s="2162"/>
      <c r="J1234" s="2163"/>
      <c r="K1234" s="2161" t="s">
        <v>338</v>
      </c>
      <c r="L1234" s="2162"/>
      <c r="M1234" s="2162"/>
      <c r="N1234" s="2162"/>
      <c r="O1234" s="2162"/>
      <c r="P1234" s="2162"/>
      <c r="Q1234" s="2162"/>
      <c r="R1234" s="2163"/>
    </row>
    <row r="1235" spans="2:18">
      <c r="B1235" s="57"/>
      <c r="C1235" s="585">
        <v>2014</v>
      </c>
      <c r="D1235" s="586">
        <v>2015</v>
      </c>
      <c r="E1235" s="586">
        <v>2016</v>
      </c>
      <c r="F1235" s="586">
        <v>2017</v>
      </c>
      <c r="G1235" s="586">
        <v>2018</v>
      </c>
      <c r="H1235" s="586">
        <v>2019</v>
      </c>
      <c r="I1235" s="586">
        <v>2020</v>
      </c>
      <c r="J1235" s="586">
        <v>2021</v>
      </c>
      <c r="K1235" s="587">
        <v>2014</v>
      </c>
      <c r="L1235" s="588">
        <v>2015</v>
      </c>
      <c r="M1235" s="588">
        <v>2016</v>
      </c>
      <c r="N1235" s="588">
        <v>2017</v>
      </c>
      <c r="O1235" s="588">
        <v>2018</v>
      </c>
      <c r="P1235" s="588">
        <v>2019</v>
      </c>
      <c r="Q1235" s="588">
        <v>2020</v>
      </c>
      <c r="R1235" s="848">
        <v>2021</v>
      </c>
    </row>
    <row r="1236" spans="2:18">
      <c r="B1236" s="589" t="s">
        <v>1038</v>
      </c>
      <c r="C1236" s="614">
        <f t="shared" ref="C1236:J1242" si="515">IF(ISNUMBER(C786/C6*100000),C786/C6*100000,"0")</f>
        <v>40.603392227937512</v>
      </c>
      <c r="D1236" s="615">
        <f t="shared" si="515"/>
        <v>35.955931384770317</v>
      </c>
      <c r="E1236" s="615">
        <f t="shared" si="515"/>
        <v>32.025441919316535</v>
      </c>
      <c r="F1236" s="615">
        <f t="shared" si="515"/>
        <v>30.015610628493032</v>
      </c>
      <c r="G1236" s="615">
        <f t="shared" si="515"/>
        <v>26.177431044917931</v>
      </c>
      <c r="H1236" s="615">
        <f t="shared" si="515"/>
        <v>23.108097312837764</v>
      </c>
      <c r="I1236" s="615">
        <f t="shared" si="515"/>
        <v>13.358044025602503</v>
      </c>
      <c r="J1236" s="616">
        <f t="shared" si="515"/>
        <v>12.764142684353356</v>
      </c>
      <c r="K1236" s="614">
        <f t="shared" ref="K1236:R1242" si="516">IF(ISNUMBER(K786/C6*100000),K786/C6*100000,"0")</f>
        <v>0</v>
      </c>
      <c r="L1236" s="615">
        <f t="shared" si="516"/>
        <v>0</v>
      </c>
      <c r="M1236" s="615">
        <f t="shared" si="516"/>
        <v>1.5857300210914829E-2</v>
      </c>
      <c r="N1236" s="615">
        <f t="shared" si="516"/>
        <v>0.10169578559635457</v>
      </c>
      <c r="O1236" s="615">
        <f t="shared" si="516"/>
        <v>0.16229576366433834</v>
      </c>
      <c r="P1236" s="615">
        <f t="shared" si="516"/>
        <v>0.44216105204533002</v>
      </c>
      <c r="Q1236" s="615">
        <f t="shared" si="516"/>
        <v>1.2645532247004436</v>
      </c>
      <c r="R1236" s="616">
        <f t="shared" si="516"/>
        <v>2.2056101401391537</v>
      </c>
    </row>
    <row r="1237" spans="2:18">
      <c r="B1237" s="595" t="s">
        <v>1039</v>
      </c>
      <c r="C1237" s="1844">
        <f t="shared" si="515"/>
        <v>134.58569422945391</v>
      </c>
      <c r="D1237" s="609">
        <f t="shared" si="515"/>
        <v>126.54086613443042</v>
      </c>
      <c r="E1237" s="609">
        <f t="shared" si="515"/>
        <v>121.54103222753621</v>
      </c>
      <c r="F1237" s="609">
        <f t="shared" si="515"/>
        <v>138.40951317407911</v>
      </c>
      <c r="G1237" s="609">
        <f t="shared" si="515"/>
        <v>187.68899637811822</v>
      </c>
      <c r="H1237" s="609">
        <f t="shared" si="515"/>
        <v>175.30247559274756</v>
      </c>
      <c r="I1237" s="609">
        <f t="shared" si="515"/>
        <v>171.99505129130364</v>
      </c>
      <c r="J1237" s="603">
        <f t="shared" si="515"/>
        <v>82.050059775529505</v>
      </c>
      <c r="K1237" s="1844">
        <f t="shared" si="516"/>
        <v>0</v>
      </c>
      <c r="L1237" s="609">
        <f t="shared" si="516"/>
        <v>0</v>
      </c>
      <c r="M1237" s="609">
        <f t="shared" si="516"/>
        <v>0</v>
      </c>
      <c r="N1237" s="609">
        <f t="shared" si="516"/>
        <v>0</v>
      </c>
      <c r="O1237" s="609">
        <f t="shared" si="516"/>
        <v>0</v>
      </c>
      <c r="P1237" s="609">
        <f t="shared" si="516"/>
        <v>0</v>
      </c>
      <c r="Q1237" s="609">
        <f t="shared" si="516"/>
        <v>0</v>
      </c>
      <c r="R1237" s="603">
        <f t="shared" si="516"/>
        <v>0</v>
      </c>
    </row>
    <row r="1238" spans="2:18">
      <c r="B1238" s="595" t="s">
        <v>1040</v>
      </c>
      <c r="C1238" s="1844">
        <f t="shared" si="515"/>
        <v>107.62447635949817</v>
      </c>
      <c r="D1238" s="609">
        <f t="shared" si="515"/>
        <v>101.47198049916437</v>
      </c>
      <c r="E1238" s="609">
        <f t="shared" si="515"/>
        <v>93.833491297409907</v>
      </c>
      <c r="F1238" s="609">
        <f t="shared" si="515"/>
        <v>90.765299118053875</v>
      </c>
      <c r="G1238" s="609">
        <f t="shared" si="515"/>
        <v>74.253146451537077</v>
      </c>
      <c r="H1238" s="609">
        <f t="shared" si="515"/>
        <v>76.734403298378325</v>
      </c>
      <c r="I1238" s="609">
        <f t="shared" si="515"/>
        <v>51.296052792880538</v>
      </c>
      <c r="J1238" s="603">
        <f t="shared" si="515"/>
        <v>51.267773524802209</v>
      </c>
      <c r="K1238" s="1844">
        <f t="shared" si="516"/>
        <v>1.2857601775835951E-2</v>
      </c>
      <c r="L1238" s="609">
        <f t="shared" si="516"/>
        <v>0.11389753400165019</v>
      </c>
      <c r="M1238" s="609">
        <f t="shared" si="516"/>
        <v>0.27228415620272389</v>
      </c>
      <c r="N1238" s="609">
        <f t="shared" si="516"/>
        <v>0.36393176302789093</v>
      </c>
      <c r="O1238" s="609">
        <f t="shared" si="516"/>
        <v>0.45170468505337269</v>
      </c>
      <c r="P1238" s="609">
        <f t="shared" si="516"/>
        <v>0.53184387893162355</v>
      </c>
      <c r="Q1238" s="609">
        <f t="shared" si="516"/>
        <v>0.86253466110627575</v>
      </c>
      <c r="R1238" s="603">
        <f t="shared" si="516"/>
        <v>1.186371985823822</v>
      </c>
    </row>
    <row r="1239" spans="2:18">
      <c r="B1239" s="595" t="s">
        <v>1041</v>
      </c>
      <c r="C1239" s="1844">
        <f t="shared" si="515"/>
        <v>54.679854519055986</v>
      </c>
      <c r="D1239" s="609">
        <f t="shared" si="515"/>
        <v>50.309620046365097</v>
      </c>
      <c r="E1239" s="609">
        <f t="shared" si="515"/>
        <v>32.640895252290782</v>
      </c>
      <c r="F1239" s="609">
        <f t="shared" si="515"/>
        <v>29.710714985095485</v>
      </c>
      <c r="G1239" s="609">
        <f t="shared" si="515"/>
        <v>25.321942974732139</v>
      </c>
      <c r="H1239" s="609">
        <f t="shared" si="515"/>
        <v>21.033996570733105</v>
      </c>
      <c r="I1239" s="609">
        <f t="shared" si="515"/>
        <v>14.88723868413793</v>
      </c>
      <c r="J1239" s="603">
        <f t="shared" si="515"/>
        <v>12.491008458303684</v>
      </c>
      <c r="K1239" s="1844">
        <f t="shared" si="516"/>
        <v>3.4501820095841379E-2</v>
      </c>
      <c r="L1239" s="609">
        <f t="shared" si="516"/>
        <v>2.5175593821223412E-2</v>
      </c>
      <c r="M1239" s="609">
        <f t="shared" si="516"/>
        <v>1.9012574328249838E-2</v>
      </c>
      <c r="N1239" s="609">
        <f t="shared" si="516"/>
        <v>5.4743805460054661E-2</v>
      </c>
      <c r="O1239" s="609">
        <f t="shared" si="516"/>
        <v>0.15189873421660507</v>
      </c>
      <c r="P1239" s="609">
        <f t="shared" si="516"/>
        <v>0.34787200300161597</v>
      </c>
      <c r="Q1239" s="609">
        <f t="shared" si="516"/>
        <v>0.72897567572199706</v>
      </c>
      <c r="R1239" s="603">
        <f t="shared" si="516"/>
        <v>1.4200506034702449</v>
      </c>
    </row>
    <row r="1240" spans="2:18">
      <c r="B1240" s="595" t="s">
        <v>1042</v>
      </c>
      <c r="C1240" s="1844">
        <f t="shared" si="515"/>
        <v>208.89944606361826</v>
      </c>
      <c r="D1240" s="609">
        <f t="shared" si="515"/>
        <v>249.31353249042547</v>
      </c>
      <c r="E1240" s="609">
        <f t="shared" si="515"/>
        <v>179.65279734767719</v>
      </c>
      <c r="F1240" s="609">
        <f t="shared" si="515"/>
        <v>151.47261047287759</v>
      </c>
      <c r="G1240" s="609">
        <f t="shared" si="515"/>
        <v>173.98321345831312</v>
      </c>
      <c r="H1240" s="609">
        <f t="shared" si="515"/>
        <v>149.87599315061601</v>
      </c>
      <c r="I1240" s="609">
        <f t="shared" si="515"/>
        <v>86.015595936362857</v>
      </c>
      <c r="J1240" s="603">
        <f t="shared" si="515"/>
        <v>44.006754814500553</v>
      </c>
      <c r="K1240" s="1844">
        <f t="shared" si="516"/>
        <v>0</v>
      </c>
      <c r="L1240" s="609">
        <f t="shared" si="516"/>
        <v>0</v>
      </c>
      <c r="M1240" s="609">
        <f t="shared" si="516"/>
        <v>0</v>
      </c>
      <c r="N1240" s="609">
        <f t="shared" si="516"/>
        <v>0</v>
      </c>
      <c r="O1240" s="609">
        <f t="shared" si="516"/>
        <v>0</v>
      </c>
      <c r="P1240" s="609">
        <f t="shared" si="516"/>
        <v>0</v>
      </c>
      <c r="Q1240" s="609">
        <f t="shared" si="516"/>
        <v>0</v>
      </c>
      <c r="R1240" s="603">
        <f t="shared" si="516"/>
        <v>0</v>
      </c>
    </row>
    <row r="1241" spans="2:18">
      <c r="B1241" s="595" t="s">
        <v>1043</v>
      </c>
      <c r="C1241" s="1844">
        <f t="shared" si="515"/>
        <v>45.934213094956441</v>
      </c>
      <c r="D1241" s="609">
        <f t="shared" si="515"/>
        <v>40.667486883421482</v>
      </c>
      <c r="E1241" s="609">
        <f t="shared" si="515"/>
        <v>30.491723361961117</v>
      </c>
      <c r="F1241" s="609">
        <f t="shared" si="515"/>
        <v>22.95236112057076</v>
      </c>
      <c r="G1241" s="609">
        <f t="shared" si="515"/>
        <v>21.045250939459731</v>
      </c>
      <c r="H1241" s="609">
        <f t="shared" si="515"/>
        <v>17.449878306539087</v>
      </c>
      <c r="I1241" s="609">
        <f t="shared" si="515"/>
        <v>11.82230761137064</v>
      </c>
      <c r="J1241" s="603">
        <f t="shared" si="515"/>
        <v>12.929883615206599</v>
      </c>
      <c r="K1241" s="1844">
        <f t="shared" si="516"/>
        <v>0</v>
      </c>
      <c r="L1241" s="609">
        <f t="shared" si="516"/>
        <v>0</v>
      </c>
      <c r="M1241" s="609">
        <f t="shared" si="516"/>
        <v>0</v>
      </c>
      <c r="N1241" s="609">
        <f t="shared" si="516"/>
        <v>0</v>
      </c>
      <c r="O1241" s="609">
        <f t="shared" si="516"/>
        <v>0</v>
      </c>
      <c r="P1241" s="609">
        <f t="shared" si="516"/>
        <v>0</v>
      </c>
      <c r="Q1241" s="609">
        <f t="shared" si="516"/>
        <v>0</v>
      </c>
      <c r="R1241" s="603">
        <f t="shared" si="516"/>
        <v>3.0056442316817678</v>
      </c>
    </row>
    <row r="1242" spans="2:18">
      <c r="B1242" s="595" t="s">
        <v>1044</v>
      </c>
      <c r="C1242" s="1844">
        <f t="shared" si="515"/>
        <v>48.91520216415681</v>
      </c>
      <c r="D1242" s="609">
        <f t="shared" si="515"/>
        <v>43.079053028936471</v>
      </c>
      <c r="E1242" s="609">
        <f t="shared" si="515"/>
        <v>37.284626554226229</v>
      </c>
      <c r="F1242" s="609">
        <f t="shared" si="515"/>
        <v>35.174168990497712</v>
      </c>
      <c r="G1242" s="609">
        <f t="shared" si="515"/>
        <v>23.937751511483153</v>
      </c>
      <c r="H1242" s="609">
        <f t="shared" si="515"/>
        <v>18.533147231661015</v>
      </c>
      <c r="I1242" s="609">
        <f t="shared" si="515"/>
        <v>17.712117077543944</v>
      </c>
      <c r="J1242" s="603">
        <f t="shared" si="515"/>
        <v>14.734651230247719</v>
      </c>
      <c r="K1242" s="1844">
        <f t="shared" si="516"/>
        <v>0</v>
      </c>
      <c r="L1242" s="609">
        <f t="shared" si="516"/>
        <v>0</v>
      </c>
      <c r="M1242" s="609">
        <f t="shared" si="516"/>
        <v>0</v>
      </c>
      <c r="N1242" s="609">
        <f t="shared" si="516"/>
        <v>0</v>
      </c>
      <c r="O1242" s="609">
        <f t="shared" si="516"/>
        <v>0</v>
      </c>
      <c r="P1242" s="609">
        <f t="shared" si="516"/>
        <v>0</v>
      </c>
      <c r="Q1242" s="609">
        <f t="shared" si="516"/>
        <v>0</v>
      </c>
      <c r="R1242" s="603">
        <f t="shared" si="516"/>
        <v>0</v>
      </c>
    </row>
    <row r="1243" spans="2:18">
      <c r="B1243" s="595" t="s">
        <v>1061</v>
      </c>
      <c r="C1243" s="1844">
        <f>IF(ISNUMBER(C793/K15*100000),C793/K15*100000,"0")</f>
        <v>0</v>
      </c>
      <c r="D1243" s="609">
        <f t="shared" ref="D1243:J1243" si="517">IF(ISNUMBER(D793/L15*100000),D793/L15*100000,"0")</f>
        <v>2419.3548387096776</v>
      </c>
      <c r="E1243" s="609">
        <f t="shared" si="517"/>
        <v>1856.64933509875</v>
      </c>
      <c r="F1243" s="609">
        <f t="shared" si="517"/>
        <v>1558.6194597390547</v>
      </c>
      <c r="G1243" s="609">
        <f t="shared" si="517"/>
        <v>1511.8351162717884</v>
      </c>
      <c r="H1243" s="609">
        <f t="shared" si="517"/>
        <v>1064.3395287605517</v>
      </c>
      <c r="I1243" s="609">
        <f t="shared" si="517"/>
        <v>456.56249197594559</v>
      </c>
      <c r="J1243" s="603">
        <f t="shared" si="517"/>
        <v>432.5199458018833</v>
      </c>
      <c r="K1243" s="1844">
        <f>IF(ISNUMBER(K793/K15*100000),K793/K15*100000,"0")</f>
        <v>0</v>
      </c>
      <c r="L1243" s="609">
        <f t="shared" ref="L1243:R1243" si="518">IF(ISNUMBER(L793/L15*100000),L793/L15*100000,"0")</f>
        <v>0</v>
      </c>
      <c r="M1243" s="609">
        <f t="shared" si="518"/>
        <v>19.094217009404431</v>
      </c>
      <c r="N1243" s="609">
        <f t="shared" si="518"/>
        <v>17.791622228076204</v>
      </c>
      <c r="O1243" s="609">
        <f t="shared" si="518"/>
        <v>18.377254037867168</v>
      </c>
      <c r="P1243" s="609">
        <f t="shared" si="518"/>
        <v>16.659666754394522</v>
      </c>
      <c r="Q1243" s="609">
        <f t="shared" si="518"/>
        <v>23.323143863644454</v>
      </c>
      <c r="R1243" s="603">
        <f t="shared" si="518"/>
        <v>26.099080562379424</v>
      </c>
    </row>
    <row r="1244" spans="2:18">
      <c r="B1244" s="595" t="s">
        <v>1047</v>
      </c>
      <c r="C1244" s="1844">
        <f t="shared" ref="C1244:J1252" si="519">IF(ISNUMBER(C794/C16*100000),C794/C16*100000,"0")</f>
        <v>66.634231258269125</v>
      </c>
      <c r="D1244" s="609">
        <f t="shared" si="519"/>
        <v>62.457015135081562</v>
      </c>
      <c r="E1244" s="609">
        <f t="shared" si="519"/>
        <v>54.108436515148938</v>
      </c>
      <c r="F1244" s="609">
        <f t="shared" si="519"/>
        <v>53.121716369988228</v>
      </c>
      <c r="G1244" s="609">
        <f t="shared" si="519"/>
        <v>52.464492666063038</v>
      </c>
      <c r="H1244" s="609">
        <f t="shared" si="519"/>
        <v>50.298529671002171</v>
      </c>
      <c r="I1244" s="609">
        <f t="shared" si="519"/>
        <v>35.388368514192322</v>
      </c>
      <c r="J1244" s="603">
        <f t="shared" si="519"/>
        <v>38.569815488357854</v>
      </c>
      <c r="K1244" s="1844">
        <f t="shared" ref="K1244:K1252" si="520">IF(ISNUMBER(K794/C16*100000),K794/C16*100000,"0")</f>
        <v>0</v>
      </c>
      <c r="L1244" s="609">
        <f t="shared" ref="L1244:L1252" si="521">IF(ISNUMBER(L794/D16*100000),L794/D16*100000,"0")</f>
        <v>0</v>
      </c>
      <c r="M1244" s="609">
        <f t="shared" ref="M1244:M1252" si="522">IF(ISNUMBER(M794/E16*100000),M794/E16*100000,"0")</f>
        <v>0</v>
      </c>
      <c r="N1244" s="609">
        <f t="shared" ref="N1244:N1252" si="523">IF(ISNUMBER(N794/F16*100000),N794/F16*100000,"0")</f>
        <v>0</v>
      </c>
      <c r="O1244" s="609">
        <f t="shared" ref="O1244:O1252" si="524">IF(ISNUMBER(O794/G16*100000),O794/G16*100000,"0")</f>
        <v>0</v>
      </c>
      <c r="P1244" s="609">
        <f t="shared" ref="P1244:P1252" si="525">IF(ISNUMBER(P794/H16*100000),P794/H16*100000,"0")</f>
        <v>0</v>
      </c>
      <c r="Q1244" s="609">
        <f t="shared" ref="Q1244:Q1252" si="526">IF(ISNUMBER(Q794/I16*100000),Q794/I16*100000,"0")</f>
        <v>0</v>
      </c>
      <c r="R1244" s="603">
        <f t="shared" ref="R1244:R1252" si="527">IF(ISNUMBER(R794/J16*100000),R794/J16*100000,"0")</f>
        <v>0</v>
      </c>
    </row>
    <row r="1245" spans="2:18">
      <c r="B1245" s="595" t="s">
        <v>1048</v>
      </c>
      <c r="C1245" s="1844">
        <f t="shared" si="519"/>
        <v>0</v>
      </c>
      <c r="D1245" s="609">
        <f t="shared" si="519"/>
        <v>152.35539443234646</v>
      </c>
      <c r="E1245" s="609">
        <f t="shared" si="519"/>
        <v>145.7603250407272</v>
      </c>
      <c r="F1245" s="609">
        <f t="shared" si="519"/>
        <v>139.98495147360666</v>
      </c>
      <c r="G1245" s="609">
        <f t="shared" si="519"/>
        <v>130.9794952893545</v>
      </c>
      <c r="H1245" s="609">
        <f t="shared" si="519"/>
        <v>126.65293757663592</v>
      </c>
      <c r="I1245" s="609">
        <f t="shared" si="519"/>
        <v>104.57086162410219</v>
      </c>
      <c r="J1245" s="603">
        <f t="shared" si="519"/>
        <v>94.563130242816399</v>
      </c>
      <c r="K1245" s="1844">
        <f t="shared" si="520"/>
        <v>0</v>
      </c>
      <c r="L1245" s="609">
        <f t="shared" si="521"/>
        <v>0</v>
      </c>
      <c r="M1245" s="609">
        <f t="shared" si="522"/>
        <v>0</v>
      </c>
      <c r="N1245" s="609">
        <f t="shared" si="523"/>
        <v>0</v>
      </c>
      <c r="O1245" s="609">
        <f t="shared" si="524"/>
        <v>0</v>
      </c>
      <c r="P1245" s="609">
        <f t="shared" si="525"/>
        <v>0</v>
      </c>
      <c r="Q1245" s="609">
        <f t="shared" si="526"/>
        <v>0</v>
      </c>
      <c r="R1245" s="603">
        <f t="shared" si="527"/>
        <v>0</v>
      </c>
    </row>
    <row r="1246" spans="2:18">
      <c r="B1246" s="595" t="s">
        <v>1049</v>
      </c>
      <c r="C1246" s="1844">
        <f t="shared" si="519"/>
        <v>129.80544945835334</v>
      </c>
      <c r="D1246" s="609">
        <f t="shared" si="519"/>
        <v>115.73142523187315</v>
      </c>
      <c r="E1246" s="609">
        <f t="shared" si="519"/>
        <v>81.829209035450717</v>
      </c>
      <c r="F1246" s="609">
        <f t="shared" si="519"/>
        <v>61.30975179001392</v>
      </c>
      <c r="G1246" s="609">
        <f t="shared" si="519"/>
        <v>59.353248159549537</v>
      </c>
      <c r="H1246" s="609">
        <f t="shared" si="519"/>
        <v>53.645249598850391</v>
      </c>
      <c r="I1246" s="609">
        <f t="shared" si="519"/>
        <v>43.324285437848324</v>
      </c>
      <c r="J1246" s="603">
        <f t="shared" si="519"/>
        <v>43.145255271713822</v>
      </c>
      <c r="K1246" s="1844">
        <f t="shared" si="520"/>
        <v>0</v>
      </c>
      <c r="L1246" s="609">
        <f t="shared" si="521"/>
        <v>0</v>
      </c>
      <c r="M1246" s="609">
        <f t="shared" si="522"/>
        <v>0</v>
      </c>
      <c r="N1246" s="609">
        <f t="shared" si="523"/>
        <v>0</v>
      </c>
      <c r="O1246" s="609">
        <f t="shared" si="524"/>
        <v>0</v>
      </c>
      <c r="P1246" s="609">
        <f t="shared" si="525"/>
        <v>0</v>
      </c>
      <c r="Q1246" s="609">
        <f t="shared" si="526"/>
        <v>0</v>
      </c>
      <c r="R1246" s="603">
        <f t="shared" si="527"/>
        <v>0</v>
      </c>
    </row>
    <row r="1247" spans="2:18">
      <c r="B1247" s="595" t="s">
        <v>1050</v>
      </c>
      <c r="C1247" s="1844">
        <f t="shared" si="519"/>
        <v>0</v>
      </c>
      <c r="D1247" s="609">
        <f t="shared" si="519"/>
        <v>0</v>
      </c>
      <c r="E1247" s="609">
        <f t="shared" si="519"/>
        <v>0</v>
      </c>
      <c r="F1247" s="609">
        <f t="shared" si="519"/>
        <v>0</v>
      </c>
      <c r="G1247" s="609">
        <f t="shared" si="519"/>
        <v>0</v>
      </c>
      <c r="H1247" s="609">
        <f t="shared" si="519"/>
        <v>0</v>
      </c>
      <c r="I1247" s="609">
        <f t="shared" si="519"/>
        <v>0</v>
      </c>
      <c r="J1247" s="603">
        <f t="shared" si="519"/>
        <v>0</v>
      </c>
      <c r="K1247" s="1844">
        <f t="shared" si="520"/>
        <v>0</v>
      </c>
      <c r="L1247" s="609">
        <f t="shared" si="521"/>
        <v>0</v>
      </c>
      <c r="M1247" s="609">
        <f t="shared" si="522"/>
        <v>0</v>
      </c>
      <c r="N1247" s="609">
        <f t="shared" si="523"/>
        <v>0</v>
      </c>
      <c r="O1247" s="609">
        <f t="shared" si="524"/>
        <v>0</v>
      </c>
      <c r="P1247" s="609">
        <f t="shared" si="525"/>
        <v>0</v>
      </c>
      <c r="Q1247" s="609">
        <f t="shared" si="526"/>
        <v>0</v>
      </c>
      <c r="R1247" s="603">
        <f t="shared" si="527"/>
        <v>0</v>
      </c>
    </row>
    <row r="1248" spans="2:18">
      <c r="B1248" s="595" t="s">
        <v>1051</v>
      </c>
      <c r="C1248" s="1844">
        <f t="shared" si="519"/>
        <v>140.68764302841973</v>
      </c>
      <c r="D1248" s="609">
        <f t="shared" si="519"/>
        <v>116.21820921956522</v>
      </c>
      <c r="E1248" s="609">
        <f t="shared" si="519"/>
        <v>103.325140413043</v>
      </c>
      <c r="F1248" s="609">
        <f t="shared" si="519"/>
        <v>89.860594266941234</v>
      </c>
      <c r="G1248" s="609">
        <f t="shared" si="519"/>
        <v>84.109089598930424</v>
      </c>
      <c r="H1248" s="609">
        <f t="shared" si="519"/>
        <v>80.283756494984758</v>
      </c>
      <c r="I1248" s="609">
        <f t="shared" si="519"/>
        <v>63.68931008086917</v>
      </c>
      <c r="J1248" s="603">
        <f t="shared" si="519"/>
        <v>51.157240659491613</v>
      </c>
      <c r="K1248" s="1844">
        <f t="shared" si="520"/>
        <v>0</v>
      </c>
      <c r="L1248" s="609">
        <f t="shared" si="521"/>
        <v>0</v>
      </c>
      <c r="M1248" s="609">
        <f t="shared" si="522"/>
        <v>0</v>
      </c>
      <c r="N1248" s="609">
        <f t="shared" si="523"/>
        <v>0</v>
      </c>
      <c r="O1248" s="609">
        <f t="shared" si="524"/>
        <v>0</v>
      </c>
      <c r="P1248" s="609">
        <f t="shared" si="525"/>
        <v>0</v>
      </c>
      <c r="Q1248" s="609">
        <f t="shared" si="526"/>
        <v>0</v>
      </c>
      <c r="R1248" s="603">
        <f t="shared" si="527"/>
        <v>0</v>
      </c>
    </row>
    <row r="1249" spans="2:18">
      <c r="B1249" s="595" t="s">
        <v>1052</v>
      </c>
      <c r="C1249" s="1844">
        <f t="shared" si="519"/>
        <v>0</v>
      </c>
      <c r="D1249" s="609">
        <f t="shared" si="519"/>
        <v>0</v>
      </c>
      <c r="E1249" s="609">
        <f t="shared" si="519"/>
        <v>0</v>
      </c>
      <c r="F1249" s="609">
        <f t="shared" si="519"/>
        <v>0</v>
      </c>
      <c r="G1249" s="609">
        <f t="shared" si="519"/>
        <v>0</v>
      </c>
      <c r="H1249" s="609">
        <f t="shared" si="519"/>
        <v>0</v>
      </c>
      <c r="I1249" s="609">
        <f t="shared" si="519"/>
        <v>0</v>
      </c>
      <c r="J1249" s="603">
        <f t="shared" si="519"/>
        <v>0</v>
      </c>
      <c r="K1249" s="1844">
        <f t="shared" si="520"/>
        <v>0</v>
      </c>
      <c r="L1249" s="609">
        <f t="shared" si="521"/>
        <v>0</v>
      </c>
      <c r="M1249" s="609">
        <f t="shared" si="522"/>
        <v>0</v>
      </c>
      <c r="N1249" s="609">
        <f t="shared" si="523"/>
        <v>0</v>
      </c>
      <c r="O1249" s="609">
        <f t="shared" si="524"/>
        <v>0</v>
      </c>
      <c r="P1249" s="609">
        <f t="shared" si="525"/>
        <v>0</v>
      </c>
      <c r="Q1249" s="609">
        <f t="shared" si="526"/>
        <v>0</v>
      </c>
      <c r="R1249" s="603">
        <f t="shared" si="527"/>
        <v>0</v>
      </c>
    </row>
    <row r="1250" spans="2:18">
      <c r="B1250" s="595" t="s">
        <v>1053</v>
      </c>
      <c r="C1250" s="1844">
        <f t="shared" si="519"/>
        <v>0</v>
      </c>
      <c r="D1250" s="609">
        <f t="shared" si="519"/>
        <v>98.707937257965753</v>
      </c>
      <c r="E1250" s="609">
        <f t="shared" si="519"/>
        <v>83.074859387706383</v>
      </c>
      <c r="F1250" s="609">
        <f t="shared" si="519"/>
        <v>81.815948625085724</v>
      </c>
      <c r="G1250" s="609">
        <f t="shared" si="519"/>
        <v>72.065572713963007</v>
      </c>
      <c r="H1250" s="609">
        <f t="shared" si="519"/>
        <v>58.512089577386909</v>
      </c>
      <c r="I1250" s="609">
        <f t="shared" si="519"/>
        <v>52.04317720877502</v>
      </c>
      <c r="J1250" s="603">
        <f t="shared" si="519"/>
        <v>47.969698648243607</v>
      </c>
      <c r="K1250" s="1844">
        <f t="shared" si="520"/>
        <v>0</v>
      </c>
      <c r="L1250" s="609">
        <f t="shared" si="521"/>
        <v>2.4263340708602303E-2</v>
      </c>
      <c r="M1250" s="609">
        <f t="shared" si="522"/>
        <v>2.9747763502656014E-2</v>
      </c>
      <c r="N1250" s="609">
        <f t="shared" si="523"/>
        <v>6.5001738659440991E-2</v>
      </c>
      <c r="O1250" s="609">
        <f t="shared" si="524"/>
        <v>7.7890905978927047E-2</v>
      </c>
      <c r="P1250" s="609">
        <f t="shared" si="525"/>
        <v>0.10722857311859918</v>
      </c>
      <c r="Q1250" s="609">
        <f t="shared" si="526"/>
        <v>1.0519507779060555</v>
      </c>
      <c r="R1250" s="603">
        <f t="shared" si="527"/>
        <v>0.51694400670610474</v>
      </c>
    </row>
    <row r="1251" spans="2:18">
      <c r="B1251" s="595" t="s">
        <v>1054</v>
      </c>
      <c r="C1251" s="1844">
        <f t="shared" si="519"/>
        <v>40.282584966935275</v>
      </c>
      <c r="D1251" s="609">
        <f t="shared" si="519"/>
        <v>33.621444329672585</v>
      </c>
      <c r="E1251" s="609">
        <f t="shared" si="519"/>
        <v>30.762685344417957</v>
      </c>
      <c r="F1251" s="609">
        <f t="shared" si="519"/>
        <v>26.541358553140704</v>
      </c>
      <c r="G1251" s="609">
        <f t="shared" si="519"/>
        <v>23.495056190346855</v>
      </c>
      <c r="H1251" s="609">
        <f t="shared" si="519"/>
        <v>20.463292574460475</v>
      </c>
      <c r="I1251" s="609">
        <f t="shared" si="519"/>
        <v>11.80561555498447</v>
      </c>
      <c r="J1251" s="603">
        <f t="shared" si="519"/>
        <v>11.014233642221781</v>
      </c>
      <c r="K1251" s="1844">
        <f t="shared" si="520"/>
        <v>0</v>
      </c>
      <c r="L1251" s="609">
        <f t="shared" si="521"/>
        <v>0</v>
      </c>
      <c r="M1251" s="609">
        <f t="shared" si="522"/>
        <v>2.7401740077841652E-5</v>
      </c>
      <c r="N1251" s="609">
        <f t="shared" si="523"/>
        <v>3.7536531444758121E-4</v>
      </c>
      <c r="O1251" s="609">
        <f t="shared" si="524"/>
        <v>3.6355585117747039E-3</v>
      </c>
      <c r="P1251" s="609">
        <f t="shared" si="525"/>
        <v>1.691152325670453E-2</v>
      </c>
      <c r="Q1251" s="609">
        <f t="shared" si="526"/>
        <v>1.42571468591835E-2</v>
      </c>
      <c r="R1251" s="603">
        <f t="shared" si="527"/>
        <v>1.3930820983633824E-2</v>
      </c>
    </row>
    <row r="1252" spans="2:18">
      <c r="B1252" s="604" t="s">
        <v>1055</v>
      </c>
      <c r="C1252" s="610">
        <f t="shared" si="519"/>
        <v>180.02208391841029</v>
      </c>
      <c r="D1252" s="617">
        <f t="shared" si="519"/>
        <v>192.05514614766338</v>
      </c>
      <c r="E1252" s="617">
        <f t="shared" si="519"/>
        <v>190.41105306691082</v>
      </c>
      <c r="F1252" s="617">
        <f t="shared" si="519"/>
        <v>178.30399859326494</v>
      </c>
      <c r="G1252" s="617">
        <f t="shared" si="519"/>
        <v>171.87908151994412</v>
      </c>
      <c r="H1252" s="617">
        <f t="shared" si="519"/>
        <v>170.91660806595311</v>
      </c>
      <c r="I1252" s="617">
        <f t="shared" si="519"/>
        <v>159.52570730614957</v>
      </c>
      <c r="J1252" s="618">
        <f t="shared" si="519"/>
        <v>123.5276472388659</v>
      </c>
      <c r="K1252" s="610">
        <f t="shared" si="520"/>
        <v>1.2256094446776702</v>
      </c>
      <c r="L1252" s="617">
        <f t="shared" si="521"/>
        <v>1.485813473044628</v>
      </c>
      <c r="M1252" s="617">
        <f t="shared" si="522"/>
        <v>1.8069861407477554</v>
      </c>
      <c r="N1252" s="617">
        <f t="shared" si="523"/>
        <v>1.9368178463761396</v>
      </c>
      <c r="O1252" s="617">
        <f t="shared" si="524"/>
        <v>1.912115761094455</v>
      </c>
      <c r="P1252" s="617">
        <f t="shared" si="525"/>
        <v>2.1550887329290958</v>
      </c>
      <c r="Q1252" s="617">
        <f t="shared" si="526"/>
        <v>2.0356538470957668</v>
      </c>
      <c r="R1252" s="618">
        <f t="shared" si="527"/>
        <v>1.9736489203429566</v>
      </c>
    </row>
    <row r="1253" spans="2:18">
      <c r="B1253" s="57"/>
      <c r="C1253" s="582"/>
      <c r="D1253" s="582"/>
      <c r="E1253" s="582"/>
      <c r="F1253" s="582"/>
      <c r="G1253" s="582"/>
      <c r="H1253" s="582"/>
      <c r="I1253" s="582"/>
      <c r="J1253" s="582"/>
      <c r="K1253" s="582"/>
      <c r="L1253" s="582"/>
      <c r="M1253" s="582"/>
      <c r="N1253" s="582"/>
      <c r="O1253" s="582"/>
      <c r="P1253" s="582"/>
      <c r="Q1253" s="582"/>
    </row>
    <row r="1254" spans="2:18">
      <c r="B1254" s="2157" t="s">
        <v>1156</v>
      </c>
      <c r="C1254" s="2157"/>
      <c r="D1254" s="2157"/>
      <c r="E1254" s="2157"/>
      <c r="F1254" s="2157"/>
      <c r="G1254" s="2157"/>
      <c r="H1254" s="2157"/>
      <c r="I1254" s="2157"/>
      <c r="J1254" s="2157"/>
      <c r="K1254" s="2157"/>
      <c r="L1254" s="2157"/>
      <c r="M1254" s="2157"/>
      <c r="N1254" s="2157"/>
      <c r="O1254" s="2157"/>
      <c r="P1254" s="2157"/>
      <c r="Q1254" s="2157"/>
      <c r="R1254" s="2157"/>
    </row>
    <row r="1255" spans="2:18">
      <c r="B1255" s="619"/>
      <c r="C1255" s="621"/>
      <c r="D1255" s="621"/>
      <c r="E1255" s="621"/>
      <c r="F1255" s="621"/>
      <c r="G1255" s="621"/>
      <c r="H1255" s="621"/>
      <c r="I1255" s="621"/>
      <c r="J1255" s="621"/>
      <c r="K1255" s="622"/>
      <c r="L1255" s="622"/>
      <c r="M1255" s="622"/>
      <c r="N1255" s="622"/>
      <c r="O1255" s="622"/>
      <c r="P1255" s="622"/>
      <c r="Q1255" s="622"/>
    </row>
    <row r="1256" spans="2:18">
      <c r="B1256" s="583"/>
      <c r="C1256" s="2161" t="s">
        <v>1112</v>
      </c>
      <c r="D1256" s="2162"/>
      <c r="E1256" s="2162"/>
      <c r="F1256" s="2162"/>
      <c r="G1256" s="2162"/>
      <c r="H1256" s="2162"/>
      <c r="I1256" s="2162"/>
      <c r="J1256" s="2163"/>
      <c r="K1256" s="2206" t="s">
        <v>1113</v>
      </c>
      <c r="L1256" s="2207"/>
      <c r="M1256" s="2207"/>
      <c r="N1256" s="2207"/>
      <c r="O1256" s="2207"/>
      <c r="P1256" s="2207"/>
      <c r="Q1256" s="2207"/>
      <c r="R1256" s="2208"/>
    </row>
    <row r="1257" spans="2:18">
      <c r="B1257" s="57"/>
      <c r="C1257" s="585">
        <v>2014</v>
      </c>
      <c r="D1257" s="586">
        <v>2015</v>
      </c>
      <c r="E1257" s="586">
        <v>2016</v>
      </c>
      <c r="F1257" s="586">
        <v>2017</v>
      </c>
      <c r="G1257" s="586">
        <v>2018</v>
      </c>
      <c r="H1257" s="586">
        <v>2019</v>
      </c>
      <c r="I1257" s="586">
        <v>2020</v>
      </c>
      <c r="J1257" s="586">
        <v>2021</v>
      </c>
      <c r="K1257" s="587">
        <v>2014</v>
      </c>
      <c r="L1257" s="588">
        <v>2015</v>
      </c>
      <c r="M1257" s="588">
        <v>2016</v>
      </c>
      <c r="N1257" s="588">
        <v>2017</v>
      </c>
      <c r="O1257" s="588">
        <v>2018</v>
      </c>
      <c r="P1257" s="588">
        <v>2019</v>
      </c>
      <c r="Q1257" s="588">
        <v>2020</v>
      </c>
      <c r="R1257" s="848">
        <v>2021</v>
      </c>
    </row>
    <row r="1258" spans="2:18">
      <c r="B1258" s="589" t="s">
        <v>1038</v>
      </c>
      <c r="C1258" s="614">
        <f t="shared" ref="C1258:J1264" si="528">IF(ISNUMBER(C808/C6*100000),C808/C6*100000,"0")</f>
        <v>10.290603113959165</v>
      </c>
      <c r="D1258" s="615">
        <f t="shared" si="528"/>
        <v>10.975838754986309</v>
      </c>
      <c r="E1258" s="615">
        <f t="shared" si="528"/>
        <v>11.950232293012078</v>
      </c>
      <c r="F1258" s="615">
        <f t="shared" si="528"/>
        <v>12.231224240823286</v>
      </c>
      <c r="G1258" s="615">
        <f t="shared" si="528"/>
        <v>11.935234538306249</v>
      </c>
      <c r="H1258" s="615">
        <f t="shared" si="528"/>
        <v>12.340359955497918</v>
      </c>
      <c r="I1258" s="615">
        <f t="shared" si="528"/>
        <v>13.322866773170201</v>
      </c>
      <c r="J1258" s="616">
        <f t="shared" si="528"/>
        <v>14.927979535521008</v>
      </c>
      <c r="K1258" s="614">
        <f t="shared" ref="K1258:R1264" si="529">IF(ISNUMBER(K808/C6*100000),K808/C6*100000,"0")</f>
        <v>3.4328484368236629</v>
      </c>
      <c r="L1258" s="615">
        <f t="shared" si="529"/>
        <v>3.5504852980598702</v>
      </c>
      <c r="M1258" s="615">
        <f t="shared" si="529"/>
        <v>3.6436308161187743</v>
      </c>
      <c r="N1258" s="615">
        <f t="shared" si="529"/>
        <v>3.8828316735391502</v>
      </c>
      <c r="O1258" s="615">
        <f t="shared" si="529"/>
        <v>3.9112221025822285</v>
      </c>
      <c r="P1258" s="615">
        <f t="shared" si="529"/>
        <v>4.2484076823144497</v>
      </c>
      <c r="Q1258" s="615">
        <f t="shared" si="529"/>
        <v>5.8175346544003466</v>
      </c>
      <c r="R1258" s="616">
        <f t="shared" si="529"/>
        <v>7.0464523655126881</v>
      </c>
    </row>
    <row r="1259" spans="2:18">
      <c r="B1259" s="595" t="s">
        <v>1039</v>
      </c>
      <c r="C1259" s="1844">
        <f t="shared" si="528"/>
        <v>53.775405882141179</v>
      </c>
      <c r="D1259" s="609">
        <f t="shared" si="528"/>
        <v>10.198239742368424</v>
      </c>
      <c r="E1259" s="609">
        <f t="shared" si="528"/>
        <v>12.293005255775439</v>
      </c>
      <c r="F1259" s="609">
        <f t="shared" si="528"/>
        <v>13.229089790897907</v>
      </c>
      <c r="G1259" s="609">
        <f t="shared" si="528"/>
        <v>13.145275090547049</v>
      </c>
      <c r="H1259" s="609">
        <f t="shared" si="528"/>
        <v>14.388022254563094</v>
      </c>
      <c r="I1259" s="609">
        <f t="shared" si="528"/>
        <v>18.049579875251304</v>
      </c>
      <c r="J1259" s="603">
        <f t="shared" si="528"/>
        <v>17.847991720643076</v>
      </c>
      <c r="K1259" s="1844">
        <f t="shared" si="529"/>
        <v>53.775405882141179</v>
      </c>
      <c r="L1259" s="609">
        <f t="shared" si="529"/>
        <v>10.198239742368424</v>
      </c>
      <c r="M1259" s="609">
        <f t="shared" si="529"/>
        <v>12.293005255775439</v>
      </c>
      <c r="N1259" s="609">
        <f t="shared" si="529"/>
        <v>13.229089790897907</v>
      </c>
      <c r="O1259" s="609">
        <f t="shared" si="529"/>
        <v>13.145275090547049</v>
      </c>
      <c r="P1259" s="609">
        <f t="shared" si="529"/>
        <v>14.388022254563094</v>
      </c>
      <c r="Q1259" s="609">
        <f t="shared" si="529"/>
        <v>18.049579875251304</v>
      </c>
      <c r="R1259" s="603">
        <f t="shared" si="529"/>
        <v>17.847991720643076</v>
      </c>
    </row>
    <row r="1260" spans="2:18">
      <c r="B1260" s="595" t="s">
        <v>1040</v>
      </c>
      <c r="C1260" s="1844">
        <f t="shared" si="528"/>
        <v>1.5879216727538801</v>
      </c>
      <c r="D1260" s="609">
        <f t="shared" si="528"/>
        <v>1.7359465933510585</v>
      </c>
      <c r="E1260" s="609">
        <f t="shared" si="528"/>
        <v>1.8091539014383589</v>
      </c>
      <c r="F1260" s="609">
        <f t="shared" si="528"/>
        <v>1.9988816152541988</v>
      </c>
      <c r="G1260" s="609">
        <f t="shared" si="528"/>
        <v>2.3162865012006675</v>
      </c>
      <c r="H1260" s="609">
        <f t="shared" si="528"/>
        <v>2.8846666849944933</v>
      </c>
      <c r="I1260" s="609">
        <f t="shared" si="528"/>
        <v>2.8129332963187847</v>
      </c>
      <c r="J1260" s="603">
        <f t="shared" si="528"/>
        <v>3.6742129986984544</v>
      </c>
      <c r="K1260" s="1844">
        <f t="shared" si="529"/>
        <v>0.63945603364916226</v>
      </c>
      <c r="L1260" s="609">
        <f t="shared" si="529"/>
        <v>0.74149773995253754</v>
      </c>
      <c r="M1260" s="609">
        <f t="shared" si="529"/>
        <v>0.81345884409451463</v>
      </c>
      <c r="N1260" s="609">
        <f t="shared" si="529"/>
        <v>1.0020221066573591</v>
      </c>
      <c r="O1260" s="609">
        <f t="shared" si="529"/>
        <v>1.2059677379159031</v>
      </c>
      <c r="P1260" s="609">
        <f t="shared" si="529"/>
        <v>1.4810180892488385</v>
      </c>
      <c r="Q1260" s="609">
        <f t="shared" si="529"/>
        <v>1.7243323443843497</v>
      </c>
      <c r="R1260" s="603">
        <f t="shared" si="529"/>
        <v>2.2703918455977923</v>
      </c>
    </row>
    <row r="1261" spans="2:18">
      <c r="B1261" s="595" t="s">
        <v>1041</v>
      </c>
      <c r="C1261" s="1844">
        <f t="shared" si="528"/>
        <v>18.922388811044129</v>
      </c>
      <c r="D1261" s="609">
        <f t="shared" si="528"/>
        <v>20.72027881609576</v>
      </c>
      <c r="E1261" s="609">
        <f t="shared" si="528"/>
        <v>16.863438365526441</v>
      </c>
      <c r="F1261" s="609">
        <f t="shared" si="528"/>
        <v>19.715624628317613</v>
      </c>
      <c r="G1261" s="609">
        <f t="shared" si="528"/>
        <v>21.708678846995404</v>
      </c>
      <c r="H1261" s="609">
        <f t="shared" si="528"/>
        <v>24.338605486894654</v>
      </c>
      <c r="I1261" s="609">
        <f t="shared" si="528"/>
        <v>26.337902448277468</v>
      </c>
      <c r="J1261" s="603">
        <f t="shared" si="528"/>
        <v>29.609611275754659</v>
      </c>
      <c r="K1261" s="1844">
        <f t="shared" si="529"/>
        <v>6.808401285173451</v>
      </c>
      <c r="L1261" s="609">
        <f t="shared" si="529"/>
        <v>7.603128406633247</v>
      </c>
      <c r="M1261" s="609">
        <f t="shared" si="529"/>
        <v>6.4266708758367148</v>
      </c>
      <c r="N1261" s="609">
        <f t="shared" si="529"/>
        <v>7.7959108384376847</v>
      </c>
      <c r="O1261" s="609">
        <f t="shared" si="529"/>
        <v>8.4994215732458276</v>
      </c>
      <c r="P1261" s="609">
        <f t="shared" si="529"/>
        <v>9.2277895036206736</v>
      </c>
      <c r="Q1261" s="609">
        <f t="shared" si="529"/>
        <v>10.949137706865857</v>
      </c>
      <c r="R1261" s="603">
        <f t="shared" si="529"/>
        <v>10.850871671953064</v>
      </c>
    </row>
    <row r="1262" spans="2:18">
      <c r="B1262" s="595" t="s">
        <v>1042</v>
      </c>
      <c r="C1262" s="1844">
        <f t="shared" si="528"/>
        <v>13.609957185550634</v>
      </c>
      <c r="D1262" s="609">
        <f t="shared" si="528"/>
        <v>15.820655609330336</v>
      </c>
      <c r="E1262" s="609">
        <f t="shared" si="528"/>
        <v>16.00781985225942</v>
      </c>
      <c r="F1262" s="609">
        <f t="shared" si="528"/>
        <v>17.005417118422429</v>
      </c>
      <c r="G1262" s="609">
        <f t="shared" si="528"/>
        <v>21.820095512526795</v>
      </c>
      <c r="H1262" s="609">
        <f t="shared" si="528"/>
        <v>23.374849410358934</v>
      </c>
      <c r="I1262" s="609">
        <f t="shared" si="528"/>
        <v>34.115194312000341</v>
      </c>
      <c r="J1262" s="603">
        <f t="shared" si="528"/>
        <v>33.009809340205017</v>
      </c>
      <c r="K1262" s="1844">
        <f t="shared" si="529"/>
        <v>6.6911274989651259</v>
      </c>
      <c r="L1262" s="609">
        <f t="shared" si="529"/>
        <v>7.6910489385027043</v>
      </c>
      <c r="M1262" s="609">
        <f t="shared" si="529"/>
        <v>7.8216936090741944</v>
      </c>
      <c r="N1262" s="609">
        <f t="shared" si="529"/>
        <v>8.5728127284212921</v>
      </c>
      <c r="O1262" s="609">
        <f t="shared" si="529"/>
        <v>11.236978247771427</v>
      </c>
      <c r="P1262" s="609">
        <f t="shared" si="529"/>
        <v>12.648160272881858</v>
      </c>
      <c r="Q1262" s="609">
        <f t="shared" si="529"/>
        <v>18.921206728528954</v>
      </c>
      <c r="R1262" s="603">
        <f t="shared" si="529"/>
        <v>20.890703376147069</v>
      </c>
    </row>
    <row r="1263" spans="2:18">
      <c r="B1263" s="595" t="s">
        <v>1043</v>
      </c>
      <c r="C1263" s="1844">
        <f t="shared" si="528"/>
        <v>9.8975629909851648</v>
      </c>
      <c r="D1263" s="609">
        <f t="shared" si="528"/>
        <v>10.225551872669808</v>
      </c>
      <c r="E1263" s="609">
        <f t="shared" si="528"/>
        <v>9.3257870933342897</v>
      </c>
      <c r="F1263" s="609">
        <f t="shared" si="528"/>
        <v>9.8406195257817188</v>
      </c>
      <c r="G1263" s="609">
        <f t="shared" si="528"/>
        <v>11.224946204043034</v>
      </c>
      <c r="H1263" s="609">
        <f t="shared" si="528"/>
        <v>10.976936937809521</v>
      </c>
      <c r="I1263" s="609">
        <f t="shared" si="528"/>
        <v>10.427659812069509</v>
      </c>
      <c r="J1263" s="603">
        <f t="shared" si="528"/>
        <v>12.179519238595171</v>
      </c>
      <c r="K1263" s="1844">
        <f t="shared" si="529"/>
        <v>4.0586539944418512</v>
      </c>
      <c r="L1263" s="609">
        <f t="shared" si="529"/>
        <v>4.3096276739225985</v>
      </c>
      <c r="M1263" s="609">
        <f t="shared" si="529"/>
        <v>3.9867612047121139</v>
      </c>
      <c r="N1263" s="609">
        <f t="shared" si="529"/>
        <v>4.2508425089026813</v>
      </c>
      <c r="O1263" s="609">
        <f t="shared" si="529"/>
        <v>4.9034166579630858</v>
      </c>
      <c r="P1263" s="609">
        <f t="shared" si="529"/>
        <v>4.8907386590501467</v>
      </c>
      <c r="Q1263" s="609">
        <f t="shared" si="529"/>
        <v>5.3316051720030373</v>
      </c>
      <c r="R1263" s="603">
        <f t="shared" si="529"/>
        <v>6.4505427574005028</v>
      </c>
    </row>
    <row r="1264" spans="2:18">
      <c r="B1264" s="595" t="s">
        <v>1044</v>
      </c>
      <c r="C1264" s="1844">
        <f t="shared" si="528"/>
        <v>19.664390414132701</v>
      </c>
      <c r="D1264" s="609">
        <f t="shared" si="528"/>
        <v>20.80336708646529</v>
      </c>
      <c r="E1264" s="609">
        <f t="shared" si="528"/>
        <v>22.713903282700763</v>
      </c>
      <c r="F1264" s="609">
        <f t="shared" si="528"/>
        <v>21.520910890427757</v>
      </c>
      <c r="G1264" s="609">
        <f t="shared" si="528"/>
        <v>21.301400785187393</v>
      </c>
      <c r="H1264" s="609">
        <f t="shared" si="528"/>
        <v>25.296906801888785</v>
      </c>
      <c r="I1264" s="609">
        <f t="shared" si="528"/>
        <v>21.360563243436761</v>
      </c>
      <c r="J1264" s="603">
        <f t="shared" si="528"/>
        <v>22.368392331765591</v>
      </c>
      <c r="K1264" s="1844">
        <f t="shared" si="529"/>
        <v>9.8598704074058503</v>
      </c>
      <c r="L1264" s="609">
        <f t="shared" si="529"/>
        <v>11.015516443913487</v>
      </c>
      <c r="M1264" s="609">
        <f t="shared" si="529"/>
        <v>11.802472395564628</v>
      </c>
      <c r="N1264" s="609">
        <f t="shared" si="529"/>
        <v>10.04683792542874</v>
      </c>
      <c r="O1264" s="609">
        <f t="shared" si="529"/>
        <v>9.9158172866046748</v>
      </c>
      <c r="P1264" s="609">
        <f t="shared" si="529"/>
        <v>11.22044913143065</v>
      </c>
      <c r="Q1264" s="609">
        <f t="shared" si="529"/>
        <v>11.642900490393709</v>
      </c>
      <c r="R1264" s="603">
        <f t="shared" si="529"/>
        <v>13.215842141849707</v>
      </c>
    </row>
    <row r="1265" spans="2:18">
      <c r="B1265" s="595" t="s">
        <v>1061</v>
      </c>
      <c r="C1265" s="1844">
        <f>IF(ISNUMBER(C815/K15*100000),C815/K15*100000,"0")</f>
        <v>0</v>
      </c>
      <c r="D1265" s="609">
        <f t="shared" ref="D1265:J1265" si="530">IF(ISNUMBER(D815/L15*100000),D815/L15*100000,"0")</f>
        <v>453.62903225806457</v>
      </c>
      <c r="E1265" s="609">
        <f t="shared" si="530"/>
        <v>520.48932576882396</v>
      </c>
      <c r="F1265" s="609">
        <f t="shared" si="530"/>
        <v>580.99234409754342</v>
      </c>
      <c r="G1265" s="609">
        <f t="shared" si="530"/>
        <v>593.65757926984043</v>
      </c>
      <c r="H1265" s="609">
        <f t="shared" si="530"/>
        <v>666.17571418829857</v>
      </c>
      <c r="I1265" s="609">
        <f t="shared" si="530"/>
        <v>559.02366893214253</v>
      </c>
      <c r="J1265" s="603">
        <f t="shared" si="530"/>
        <v>821.90176184557606</v>
      </c>
      <c r="K1265" s="1844">
        <f>IF(ISNUMBER(K815/K15*100000),K815/K15*100000,"0")</f>
        <v>0</v>
      </c>
      <c r="L1265" s="609">
        <f t="shared" ref="L1265:R1265" si="531">IF(ISNUMBER(L815/L15*100000),L815/L15*100000,"0")</f>
        <v>352.82258064516122</v>
      </c>
      <c r="M1265" s="609">
        <f t="shared" si="531"/>
        <v>369.7248339545942</v>
      </c>
      <c r="N1265" s="609">
        <f t="shared" si="531"/>
        <v>414.4663232072474</v>
      </c>
      <c r="O1265" s="609">
        <f t="shared" si="531"/>
        <v>417.50631367356453</v>
      </c>
      <c r="P1265" s="609">
        <f t="shared" si="531"/>
        <v>482.85732239196096</v>
      </c>
      <c r="Q1265" s="609">
        <f t="shared" si="531"/>
        <v>443.091343984628</v>
      </c>
      <c r="R1265" s="603">
        <f t="shared" si="531"/>
        <v>594.37835507088539</v>
      </c>
    </row>
    <row r="1266" spans="2:18">
      <c r="B1266" s="595" t="s">
        <v>1047</v>
      </c>
      <c r="C1266" s="1844">
        <f t="shared" ref="C1266:J1274" si="532">IF(ISNUMBER(C816/C16*100000),C816/C16*100000,"0")</f>
        <v>0</v>
      </c>
      <c r="D1266" s="609">
        <f t="shared" si="532"/>
        <v>10.763331061105822</v>
      </c>
      <c r="E1266" s="609">
        <f t="shared" si="532"/>
        <v>10.583534781358789</v>
      </c>
      <c r="F1266" s="609">
        <f t="shared" si="532"/>
        <v>11.444380230806852</v>
      </c>
      <c r="G1266" s="609">
        <f t="shared" si="532"/>
        <v>12.982040193488931</v>
      </c>
      <c r="H1266" s="609">
        <f t="shared" si="532"/>
        <v>14.649552613159756</v>
      </c>
      <c r="I1266" s="609">
        <f t="shared" si="532"/>
        <v>13.707528737407008</v>
      </c>
      <c r="J1266" s="603">
        <f t="shared" si="532"/>
        <v>13.141824633385786</v>
      </c>
      <c r="K1266" s="1844">
        <f t="shared" ref="K1266:K1274" si="533">IF(ISNUMBER(K816/C16*100000),K816/C16*100000,"0")</f>
        <v>0</v>
      </c>
      <c r="L1266" s="609">
        <f t="shared" ref="L1266:L1274" si="534">IF(ISNUMBER(L816/D16*100000),L816/D16*100000,"0")</f>
        <v>0.98249039030770158</v>
      </c>
      <c r="M1266" s="609">
        <f t="shared" ref="M1266:M1274" si="535">IF(ISNUMBER(M816/E16*100000),M816/E16*100000,"0")</f>
        <v>1.1619066140905785</v>
      </c>
      <c r="N1266" s="609">
        <f t="shared" ref="N1266:N1274" si="536">IF(ISNUMBER(N816/F16*100000),N816/F16*100000,"0")</f>
        <v>1.3275628181598005</v>
      </c>
      <c r="O1266" s="609">
        <f t="shared" ref="O1266:O1274" si="537">IF(ISNUMBER(O816/G16*100000),O816/G16*100000,"0")</f>
        <v>1.5050488022234805</v>
      </c>
      <c r="P1266" s="609">
        <f t="shared" ref="P1266:P1274" si="538">IF(ISNUMBER(P816/H16*100000),P816/H16*100000,"0")</f>
        <v>1.7261756022056092</v>
      </c>
      <c r="Q1266" s="609">
        <f t="shared" ref="Q1266:Q1274" si="539">IF(ISNUMBER(Q816/I16*100000),Q816/I16*100000,"0")</f>
        <v>2.0141501482116655</v>
      </c>
      <c r="R1266" s="603">
        <f t="shared" ref="R1266:R1274" si="540">IF(ISNUMBER(R816/J16*100000),R816/J16*100000,"0")</f>
        <v>3.2270340600382039</v>
      </c>
    </row>
    <row r="1267" spans="2:18">
      <c r="B1267" s="595" t="s">
        <v>1048</v>
      </c>
      <c r="C1267" s="1844">
        <f t="shared" si="532"/>
        <v>0</v>
      </c>
      <c r="D1267" s="609">
        <f t="shared" si="532"/>
        <v>7.9106195687048171</v>
      </c>
      <c r="E1267" s="609">
        <f t="shared" si="532"/>
        <v>10.18546650611394</v>
      </c>
      <c r="F1267" s="609">
        <f t="shared" si="532"/>
        <v>11.144596762344976</v>
      </c>
      <c r="G1267" s="609">
        <f t="shared" si="532"/>
        <v>11.451278493976949</v>
      </c>
      <c r="H1267" s="609">
        <f t="shared" si="532"/>
        <v>12.727974402769709</v>
      </c>
      <c r="I1267" s="609">
        <f t="shared" si="532"/>
        <v>13.031033426290003</v>
      </c>
      <c r="J1267" s="603">
        <f t="shared" si="532"/>
        <v>12.640176720277106</v>
      </c>
      <c r="K1267" s="1844">
        <f t="shared" si="533"/>
        <v>0</v>
      </c>
      <c r="L1267" s="609">
        <f t="shared" si="534"/>
        <v>2.2035357603642591</v>
      </c>
      <c r="M1267" s="609">
        <f t="shared" si="535"/>
        <v>2.8043402146958654</v>
      </c>
      <c r="N1267" s="609">
        <f t="shared" si="536"/>
        <v>2.9191899337008125</v>
      </c>
      <c r="O1267" s="609">
        <f t="shared" si="537"/>
        <v>3.0680780989091443</v>
      </c>
      <c r="P1267" s="609">
        <f t="shared" si="538"/>
        <v>3.4288272224134899</v>
      </c>
      <c r="Q1267" s="609">
        <f t="shared" si="539"/>
        <v>4.2458773792226205</v>
      </c>
      <c r="R1267" s="603">
        <f t="shared" si="540"/>
        <v>3.7601080699615204</v>
      </c>
    </row>
    <row r="1268" spans="2:18">
      <c r="B1268" s="595" t="s">
        <v>1049</v>
      </c>
      <c r="C1268" s="1844">
        <f t="shared" si="532"/>
        <v>7.3402482319363301E-3</v>
      </c>
      <c r="D1268" s="609">
        <f t="shared" si="532"/>
        <v>7.7775000686320962E-3</v>
      </c>
      <c r="E1268" s="609">
        <f t="shared" si="532"/>
        <v>8.721138411584034E-3</v>
      </c>
      <c r="F1268" s="609">
        <f t="shared" si="532"/>
        <v>1.0483728503627093E-2</v>
      </c>
      <c r="G1268" s="609">
        <f t="shared" si="532"/>
        <v>1.1796120221966161E-2</v>
      </c>
      <c r="H1268" s="609">
        <f t="shared" si="532"/>
        <v>1.2655228581437142E-2</v>
      </c>
      <c r="I1268" s="609">
        <f t="shared" si="532"/>
        <v>1.0784555475593614E-2</v>
      </c>
      <c r="J1268" s="603">
        <f t="shared" si="532"/>
        <v>7.2373642854613738E-3</v>
      </c>
      <c r="K1268" s="1844">
        <f t="shared" si="533"/>
        <v>0</v>
      </c>
      <c r="L1268" s="609">
        <f t="shared" si="534"/>
        <v>0</v>
      </c>
      <c r="M1268" s="609">
        <f t="shared" si="535"/>
        <v>0</v>
      </c>
      <c r="N1268" s="609">
        <f t="shared" si="536"/>
        <v>0</v>
      </c>
      <c r="O1268" s="609">
        <f t="shared" si="537"/>
        <v>1.1657021463279392E-2</v>
      </c>
      <c r="P1268" s="609">
        <f t="shared" si="538"/>
        <v>1.2486734141086177E-2</v>
      </c>
      <c r="Q1268" s="609">
        <f t="shared" si="539"/>
        <v>1.0659588102384609E-2</v>
      </c>
      <c r="R1268" s="603">
        <f t="shared" si="540"/>
        <v>7.1664097336431266E-3</v>
      </c>
    </row>
    <row r="1269" spans="2:18">
      <c r="B1269" s="595" t="s">
        <v>1050</v>
      </c>
      <c r="C1269" s="1844">
        <f t="shared" si="532"/>
        <v>0</v>
      </c>
      <c r="D1269" s="609">
        <f t="shared" si="532"/>
        <v>0</v>
      </c>
      <c r="E1269" s="609">
        <f t="shared" si="532"/>
        <v>0</v>
      </c>
      <c r="F1269" s="609">
        <f t="shared" si="532"/>
        <v>0</v>
      </c>
      <c r="G1269" s="609">
        <f t="shared" si="532"/>
        <v>0</v>
      </c>
      <c r="H1269" s="609">
        <f t="shared" si="532"/>
        <v>0</v>
      </c>
      <c r="I1269" s="609">
        <f t="shared" si="532"/>
        <v>0</v>
      </c>
      <c r="J1269" s="603">
        <f t="shared" si="532"/>
        <v>0</v>
      </c>
      <c r="K1269" s="1844">
        <f t="shared" si="533"/>
        <v>0</v>
      </c>
      <c r="L1269" s="609">
        <f t="shared" si="534"/>
        <v>0</v>
      </c>
      <c r="M1269" s="609">
        <f t="shared" si="535"/>
        <v>0</v>
      </c>
      <c r="N1269" s="609">
        <f t="shared" si="536"/>
        <v>0</v>
      </c>
      <c r="O1269" s="609">
        <f t="shared" si="537"/>
        <v>0</v>
      </c>
      <c r="P1269" s="609">
        <f t="shared" si="538"/>
        <v>0</v>
      </c>
      <c r="Q1269" s="609">
        <f t="shared" si="539"/>
        <v>0</v>
      </c>
      <c r="R1269" s="603">
        <f t="shared" si="540"/>
        <v>0</v>
      </c>
    </row>
    <row r="1270" spans="2:18">
      <c r="B1270" s="595" t="s">
        <v>1051</v>
      </c>
      <c r="C1270" s="1844">
        <f t="shared" si="532"/>
        <v>46.457482715072253</v>
      </c>
      <c r="D1270" s="609">
        <f t="shared" si="532"/>
        <v>52.746856871806244</v>
      </c>
      <c r="E1270" s="609">
        <f t="shared" si="532"/>
        <v>60.727306216055204</v>
      </c>
      <c r="F1270" s="609">
        <f t="shared" si="532"/>
        <v>69.430276224724523</v>
      </c>
      <c r="G1270" s="609">
        <f t="shared" si="532"/>
        <v>82.228407484756175</v>
      </c>
      <c r="H1270" s="609">
        <f t="shared" si="532"/>
        <v>95.279311779732822</v>
      </c>
      <c r="I1270" s="609">
        <f t="shared" si="532"/>
        <v>106.86967570958041</v>
      </c>
      <c r="J1270" s="603">
        <f t="shared" si="532"/>
        <v>110.19289509396341</v>
      </c>
      <c r="K1270" s="1844">
        <f t="shared" si="533"/>
        <v>33.993398094764295</v>
      </c>
      <c r="L1270" s="609">
        <f t="shared" si="534"/>
        <v>39.939685206039023</v>
      </c>
      <c r="M1270" s="609">
        <f t="shared" si="535"/>
        <v>45.901045564761681</v>
      </c>
      <c r="N1270" s="609">
        <f t="shared" si="536"/>
        <v>51.335531640047563</v>
      </c>
      <c r="O1270" s="609">
        <f t="shared" si="537"/>
        <v>59.078943597965718</v>
      </c>
      <c r="P1270" s="609">
        <f t="shared" si="538"/>
        <v>69.728976858938822</v>
      </c>
      <c r="Q1270" s="609">
        <f t="shared" si="539"/>
        <v>79.095435604119558</v>
      </c>
      <c r="R1270" s="603">
        <f t="shared" si="540"/>
        <v>79.040174809398209</v>
      </c>
    </row>
    <row r="1271" spans="2:18">
      <c r="B1271" s="595" t="s">
        <v>1052</v>
      </c>
      <c r="C1271" s="1844">
        <f t="shared" si="532"/>
        <v>8.9557711744168333</v>
      </c>
      <c r="D1271" s="609">
        <f t="shared" si="532"/>
        <v>9.6821757621834781</v>
      </c>
      <c r="E1271" s="609">
        <f t="shared" si="532"/>
        <v>9.9669747919402134</v>
      </c>
      <c r="F1271" s="609">
        <f t="shared" si="532"/>
        <v>10.616138490877464</v>
      </c>
      <c r="G1271" s="609">
        <f t="shared" si="532"/>
        <v>10.403510036701457</v>
      </c>
      <c r="H1271" s="609">
        <f t="shared" si="532"/>
        <v>10.859730064427579</v>
      </c>
      <c r="I1271" s="609">
        <f t="shared" si="532"/>
        <v>10.533316463485132</v>
      </c>
      <c r="J1271" s="603">
        <f t="shared" si="532"/>
        <v>11.893536433014791</v>
      </c>
      <c r="K1271" s="1844">
        <f t="shared" si="533"/>
        <v>1.5563074476813155</v>
      </c>
      <c r="L1271" s="609">
        <f t="shared" si="534"/>
        <v>1.8428752561568076</v>
      </c>
      <c r="M1271" s="609">
        <f t="shared" si="535"/>
        <v>1.844640417246179</v>
      </c>
      <c r="N1271" s="609">
        <f t="shared" si="536"/>
        <v>2.0529982477108097</v>
      </c>
      <c r="O1271" s="609">
        <f t="shared" si="537"/>
        <v>2.2790039045853239</v>
      </c>
      <c r="P1271" s="609">
        <f t="shared" si="538"/>
        <v>2.5702186954548267</v>
      </c>
      <c r="Q1271" s="609">
        <f t="shared" si="539"/>
        <v>3.041889477669109</v>
      </c>
      <c r="R1271" s="603">
        <f t="shared" si="540"/>
        <v>3.5907282415571222</v>
      </c>
    </row>
    <row r="1272" spans="2:18">
      <c r="B1272" s="595" t="s">
        <v>1053</v>
      </c>
      <c r="C1272" s="1844">
        <f t="shared" si="532"/>
        <v>0</v>
      </c>
      <c r="D1272" s="609">
        <f t="shared" si="532"/>
        <v>4.3724056618568374</v>
      </c>
      <c r="E1272" s="609">
        <f t="shared" si="532"/>
        <v>4.6367609478752545</v>
      </c>
      <c r="F1272" s="609">
        <f t="shared" si="532"/>
        <v>5.116280253583386</v>
      </c>
      <c r="G1272" s="609">
        <f t="shared" si="532"/>
        <v>6.3676941774423046</v>
      </c>
      <c r="H1272" s="609">
        <f t="shared" si="532"/>
        <v>7.0112976343411768</v>
      </c>
      <c r="I1272" s="609">
        <f t="shared" si="532"/>
        <v>6.3065341364995424</v>
      </c>
      <c r="J1272" s="603">
        <f t="shared" si="532"/>
        <v>5.3787715808074532</v>
      </c>
      <c r="K1272" s="1844">
        <f t="shared" si="533"/>
        <v>0</v>
      </c>
      <c r="L1272" s="609">
        <f t="shared" si="534"/>
        <v>1.5863008691504707</v>
      </c>
      <c r="M1272" s="609">
        <f t="shared" si="535"/>
        <v>1.8396584249729224</v>
      </c>
      <c r="N1272" s="609">
        <f t="shared" si="536"/>
        <v>2.1786437125654392</v>
      </c>
      <c r="O1272" s="609">
        <f t="shared" si="537"/>
        <v>2.5356490910753089</v>
      </c>
      <c r="P1272" s="609">
        <f t="shared" si="538"/>
        <v>3.0016919379189475</v>
      </c>
      <c r="Q1272" s="609">
        <f t="shared" si="539"/>
        <v>3.3457078565180414</v>
      </c>
      <c r="R1272" s="603">
        <f t="shared" si="540"/>
        <v>3.3670611667244756</v>
      </c>
    </row>
    <row r="1273" spans="2:18">
      <c r="B1273" s="595" t="s">
        <v>1054</v>
      </c>
      <c r="C1273" s="1844">
        <f t="shared" si="532"/>
        <v>7.5984403175519386</v>
      </c>
      <c r="D1273" s="609">
        <f t="shared" si="532"/>
        <v>8.2749239830951229</v>
      </c>
      <c r="E1273" s="609">
        <f t="shared" si="532"/>
        <v>9.5725242525860299</v>
      </c>
      <c r="F1273" s="609">
        <f t="shared" si="532"/>
        <v>9.3666522051972798</v>
      </c>
      <c r="G1273" s="609">
        <f t="shared" si="532"/>
        <v>10.025575028039482</v>
      </c>
      <c r="H1273" s="609">
        <f t="shared" si="532"/>
        <v>11.44132932875106</v>
      </c>
      <c r="I1273" s="609">
        <f t="shared" si="532"/>
        <v>9.7468594432163691</v>
      </c>
      <c r="J1273" s="603">
        <f t="shared" si="532"/>
        <v>12.192458064245365</v>
      </c>
      <c r="K1273" s="1844">
        <f t="shared" si="533"/>
        <v>1.9927671659993216</v>
      </c>
      <c r="L1273" s="609">
        <f t="shared" si="534"/>
        <v>2.190889820541265</v>
      </c>
      <c r="M1273" s="609">
        <f t="shared" si="535"/>
        <v>2.5417454828287842</v>
      </c>
      <c r="N1273" s="609">
        <f t="shared" si="536"/>
        <v>2.5743398175695966</v>
      </c>
      <c r="O1273" s="609">
        <f t="shared" si="537"/>
        <v>2.8831550800744403</v>
      </c>
      <c r="P1273" s="609">
        <f t="shared" si="538"/>
        <v>3.3969191598907185</v>
      </c>
      <c r="Q1273" s="609">
        <f t="shared" si="539"/>
        <v>4.0156601037517587</v>
      </c>
      <c r="R1273" s="603">
        <f t="shared" si="540"/>
        <v>5.8143995322618576</v>
      </c>
    </row>
    <row r="1274" spans="2:18">
      <c r="B1274" s="604" t="s">
        <v>1055</v>
      </c>
      <c r="C1274" s="610">
        <f t="shared" si="532"/>
        <v>9.5512742909725663</v>
      </c>
      <c r="D1274" s="617">
        <f t="shared" si="532"/>
        <v>11.781898000637236</v>
      </c>
      <c r="E1274" s="617">
        <f t="shared" si="532"/>
        <v>13.927411605651391</v>
      </c>
      <c r="F1274" s="617">
        <f t="shared" si="532"/>
        <v>13.721591640462456</v>
      </c>
      <c r="G1274" s="617">
        <f t="shared" si="532"/>
        <v>13.471066578849369</v>
      </c>
      <c r="H1274" s="617">
        <f t="shared" si="532"/>
        <v>14.648553489118179</v>
      </c>
      <c r="I1274" s="617">
        <f t="shared" si="532"/>
        <v>16.520738822645914</v>
      </c>
      <c r="J1274" s="618">
        <f t="shared" si="532"/>
        <v>14.778351540074818</v>
      </c>
      <c r="K1274" s="610">
        <f t="shared" si="533"/>
        <v>5.2286391379767228</v>
      </c>
      <c r="L1274" s="617">
        <f t="shared" si="534"/>
        <v>6.361697430657526</v>
      </c>
      <c r="M1274" s="617">
        <f t="shared" si="535"/>
        <v>7.4819461276481238</v>
      </c>
      <c r="N1274" s="617">
        <f t="shared" si="536"/>
        <v>7.3121394322930771</v>
      </c>
      <c r="O1274" s="617">
        <f t="shared" si="537"/>
        <v>7.3696637971070427</v>
      </c>
      <c r="P1274" s="617">
        <f t="shared" si="538"/>
        <v>7.9731147660128139</v>
      </c>
      <c r="Q1274" s="617">
        <f t="shared" si="539"/>
        <v>9.2493842408640727</v>
      </c>
      <c r="R1274" s="618">
        <f t="shared" si="540"/>
        <v>8.575539198624984</v>
      </c>
    </row>
    <row r="1275" spans="2:18">
      <c r="B1275" s="57"/>
      <c r="C1275" s="582"/>
      <c r="D1275" s="582"/>
      <c r="E1275" s="582"/>
      <c r="F1275" s="582"/>
      <c r="G1275" s="582"/>
      <c r="H1275" s="582"/>
      <c r="I1275" s="582"/>
      <c r="J1275" s="582"/>
      <c r="K1275" s="582"/>
      <c r="L1275" s="582"/>
      <c r="M1275" s="582"/>
      <c r="N1275" s="582"/>
      <c r="O1275" s="582"/>
      <c r="P1275" s="582"/>
      <c r="Q1275" s="582"/>
    </row>
    <row r="1276" spans="2:18">
      <c r="B1276" s="2157" t="s">
        <v>1156</v>
      </c>
      <c r="C1276" s="2157"/>
      <c r="D1276" s="2157"/>
      <c r="E1276" s="2157"/>
      <c r="F1276" s="2157"/>
      <c r="G1276" s="2157"/>
      <c r="H1276" s="2157"/>
      <c r="I1276" s="2157"/>
      <c r="J1276" s="2157"/>
      <c r="K1276" s="2157"/>
      <c r="L1276" s="2157"/>
      <c r="M1276" s="2157"/>
      <c r="N1276" s="2157"/>
      <c r="O1276" s="2157"/>
      <c r="P1276" s="2157"/>
      <c r="Q1276" s="2157"/>
      <c r="R1276" s="2157"/>
    </row>
    <row r="1277" spans="2:18">
      <c r="B1277" s="619"/>
      <c r="C1277" s="621"/>
      <c r="D1277" s="621"/>
      <c r="E1277" s="621"/>
      <c r="F1277" s="621"/>
      <c r="G1277" s="621"/>
      <c r="H1277" s="621"/>
      <c r="I1277" s="621"/>
      <c r="J1277" s="621"/>
      <c r="K1277" s="622"/>
      <c r="L1277" s="622"/>
      <c r="M1277" s="622"/>
      <c r="N1277" s="622"/>
      <c r="O1277" s="622"/>
      <c r="P1277" s="622"/>
      <c r="Q1277" s="622"/>
    </row>
    <row r="1278" spans="2:18">
      <c r="B1278" s="583"/>
      <c r="C1278" s="2196" t="s">
        <v>1114</v>
      </c>
      <c r="D1278" s="2197"/>
      <c r="E1278" s="2197"/>
      <c r="F1278" s="2197"/>
      <c r="G1278" s="2197"/>
      <c r="H1278" s="2197"/>
      <c r="I1278" s="2197"/>
      <c r="J1278" s="844"/>
      <c r="K1278" s="2196" t="s">
        <v>1115</v>
      </c>
      <c r="L1278" s="2197"/>
      <c r="M1278" s="2197"/>
      <c r="N1278" s="2197"/>
      <c r="O1278" s="2197"/>
      <c r="P1278" s="2197"/>
      <c r="Q1278" s="2197"/>
      <c r="R1278" s="2198"/>
    </row>
    <row r="1279" spans="2:18">
      <c r="B1279" s="57"/>
      <c r="C1279" s="585">
        <v>2014</v>
      </c>
      <c r="D1279" s="586">
        <v>2015</v>
      </c>
      <c r="E1279" s="586">
        <v>2016</v>
      </c>
      <c r="F1279" s="586">
        <v>2017</v>
      </c>
      <c r="G1279" s="586">
        <v>2018</v>
      </c>
      <c r="H1279" s="586">
        <v>2019</v>
      </c>
      <c r="I1279" s="586">
        <v>2020</v>
      </c>
      <c r="J1279" s="586">
        <v>2021</v>
      </c>
      <c r="K1279" s="587">
        <v>2014</v>
      </c>
      <c r="L1279" s="588">
        <v>2015</v>
      </c>
      <c r="M1279" s="588">
        <v>2016</v>
      </c>
      <c r="N1279" s="588">
        <v>2017</v>
      </c>
      <c r="O1279" s="588">
        <v>2018</v>
      </c>
      <c r="P1279" s="588">
        <v>2019</v>
      </c>
      <c r="Q1279" s="588">
        <v>2020</v>
      </c>
      <c r="R1279" s="848">
        <v>2021</v>
      </c>
    </row>
    <row r="1280" spans="2:18">
      <c r="B1280" s="589" t="s">
        <v>1038</v>
      </c>
      <c r="C1280" s="614">
        <f t="shared" ref="C1280:J1286" si="541">C830/C6*100000</f>
        <v>0</v>
      </c>
      <c r="D1280" s="615">
        <f t="shared" si="541"/>
        <v>0</v>
      </c>
      <c r="E1280" s="615">
        <f t="shared" si="541"/>
        <v>0</v>
      </c>
      <c r="F1280" s="615">
        <f t="shared" si="541"/>
        <v>0</v>
      </c>
      <c r="G1280" s="615">
        <f t="shared" si="541"/>
        <v>0</v>
      </c>
      <c r="H1280" s="615">
        <f t="shared" si="541"/>
        <v>0</v>
      </c>
      <c r="I1280" s="615">
        <f t="shared" si="541"/>
        <v>0</v>
      </c>
      <c r="J1280" s="616">
        <f t="shared" si="541"/>
        <v>0</v>
      </c>
      <c r="K1280" s="614">
        <f t="shared" ref="K1280:R1286" si="542">IF(ISNUMBER(K830/C6*100000),K830/C6*100000,"0")</f>
        <v>6.8577546771355014</v>
      </c>
      <c r="L1280" s="615">
        <f t="shared" si="542"/>
        <v>7.4253534569264392</v>
      </c>
      <c r="M1280" s="615">
        <f t="shared" si="542"/>
        <v>8.1259451471366635</v>
      </c>
      <c r="N1280" s="615">
        <f t="shared" si="542"/>
        <v>8.0789888282363354</v>
      </c>
      <c r="O1280" s="615">
        <f t="shared" si="542"/>
        <v>7.6468614567813376</v>
      </c>
      <c r="P1280" s="615">
        <f t="shared" si="542"/>
        <v>8.0358403768287658</v>
      </c>
      <c r="Q1280" s="615">
        <f t="shared" si="542"/>
        <v>7.5053321187698554</v>
      </c>
      <c r="R1280" s="616">
        <f t="shared" si="542"/>
        <v>7.8815271700083178</v>
      </c>
    </row>
    <row r="1281" spans="2:18">
      <c r="B1281" s="595" t="s">
        <v>1039</v>
      </c>
      <c r="C1281" s="1844">
        <f t="shared" si="541"/>
        <v>0</v>
      </c>
      <c r="D1281" s="609">
        <f t="shared" si="541"/>
        <v>0</v>
      </c>
      <c r="E1281" s="609">
        <f t="shared" si="541"/>
        <v>0</v>
      </c>
      <c r="F1281" s="609">
        <f t="shared" si="541"/>
        <v>0</v>
      </c>
      <c r="G1281" s="609">
        <f t="shared" si="541"/>
        <v>0</v>
      </c>
      <c r="H1281" s="609">
        <f t="shared" si="541"/>
        <v>0</v>
      </c>
      <c r="I1281" s="609">
        <f t="shared" si="541"/>
        <v>0</v>
      </c>
      <c r="J1281" s="603">
        <f t="shared" si="541"/>
        <v>0</v>
      </c>
      <c r="K1281" s="1844">
        <f t="shared" si="542"/>
        <v>3.9082940350624571</v>
      </c>
      <c r="L1281" s="609">
        <f t="shared" si="542"/>
        <v>4.9309554118648782</v>
      </c>
      <c r="M1281" s="609">
        <f t="shared" si="542"/>
        <v>5.2012150812025748</v>
      </c>
      <c r="N1281" s="609">
        <f t="shared" si="542"/>
        <v>6.4072716385058577</v>
      </c>
      <c r="O1281" s="609">
        <f t="shared" si="542"/>
        <v>6.4659919409209934</v>
      </c>
      <c r="P1281" s="609">
        <f t="shared" si="542"/>
        <v>6.7334227760596699</v>
      </c>
      <c r="Q1281" s="609">
        <f t="shared" si="542"/>
        <v>6.3320377339038103</v>
      </c>
      <c r="R1281" s="603">
        <f t="shared" si="542"/>
        <v>8.4756972324822009</v>
      </c>
    </row>
    <row r="1282" spans="2:18">
      <c r="B1282" s="595" t="s">
        <v>1040</v>
      </c>
      <c r="C1282" s="1844">
        <f t="shared" si="541"/>
        <v>0</v>
      </c>
      <c r="D1282" s="609">
        <f t="shared" si="541"/>
        <v>0</v>
      </c>
      <c r="E1282" s="609">
        <f t="shared" si="541"/>
        <v>0</v>
      </c>
      <c r="F1282" s="609">
        <f t="shared" si="541"/>
        <v>0</v>
      </c>
      <c r="G1282" s="609">
        <f t="shared" si="541"/>
        <v>0</v>
      </c>
      <c r="H1282" s="609">
        <f t="shared" si="541"/>
        <v>0</v>
      </c>
      <c r="I1282" s="609">
        <f t="shared" si="541"/>
        <v>0</v>
      </c>
      <c r="J1282" s="603">
        <f t="shared" si="541"/>
        <v>0</v>
      </c>
      <c r="K1282" s="1844">
        <f t="shared" si="542"/>
        <v>0.94846563910471715</v>
      </c>
      <c r="L1282" s="609">
        <f t="shared" si="542"/>
        <v>0.99444885339852107</v>
      </c>
      <c r="M1282" s="609">
        <f t="shared" si="542"/>
        <v>0.99569505734384434</v>
      </c>
      <c r="N1282" s="609">
        <f t="shared" si="542"/>
        <v>0.99685950859683992</v>
      </c>
      <c r="O1282" s="609">
        <f t="shared" si="542"/>
        <v>1.1103187632847642</v>
      </c>
      <c r="P1282" s="609">
        <f t="shared" si="542"/>
        <v>1.4036485957456555</v>
      </c>
      <c r="Q1282" s="609">
        <f t="shared" si="542"/>
        <v>1.0886009519344353</v>
      </c>
      <c r="R1282" s="603">
        <f t="shared" si="542"/>
        <v>1.4038211531006617</v>
      </c>
    </row>
    <row r="1283" spans="2:18">
      <c r="B1283" s="595" t="s">
        <v>1041</v>
      </c>
      <c r="C1283" s="1844">
        <f t="shared" si="541"/>
        <v>0</v>
      </c>
      <c r="D1283" s="609">
        <f t="shared" si="541"/>
        <v>0</v>
      </c>
      <c r="E1283" s="609">
        <f t="shared" si="541"/>
        <v>0</v>
      </c>
      <c r="F1283" s="609">
        <f t="shared" si="541"/>
        <v>0</v>
      </c>
      <c r="G1283" s="609">
        <f t="shared" si="541"/>
        <v>0</v>
      </c>
      <c r="H1283" s="609">
        <f t="shared" si="541"/>
        <v>0</v>
      </c>
      <c r="I1283" s="609">
        <f t="shared" si="541"/>
        <v>0</v>
      </c>
      <c r="J1283" s="603">
        <f t="shared" si="541"/>
        <v>0</v>
      </c>
      <c r="K1283" s="1844">
        <f t="shared" si="542"/>
        <v>12.113987525870682</v>
      </c>
      <c r="L1283" s="609">
        <f t="shared" si="542"/>
        <v>13.117150409462514</v>
      </c>
      <c r="M1283" s="609">
        <f t="shared" si="542"/>
        <v>10.436767489689723</v>
      </c>
      <c r="N1283" s="609">
        <f t="shared" si="542"/>
        <v>11.91971378987993</v>
      </c>
      <c r="O1283" s="609">
        <f t="shared" si="542"/>
        <v>13.209257273749577</v>
      </c>
      <c r="P1283" s="609">
        <f t="shared" si="542"/>
        <v>15.110815983273982</v>
      </c>
      <c r="Q1283" s="609">
        <f t="shared" si="542"/>
        <v>15.388764741411611</v>
      </c>
      <c r="R1283" s="603">
        <f t="shared" si="542"/>
        <v>18.758739603801601</v>
      </c>
    </row>
    <row r="1284" spans="2:18">
      <c r="B1284" s="595" t="s">
        <v>1042</v>
      </c>
      <c r="C1284" s="1844">
        <f t="shared" si="541"/>
        <v>0</v>
      </c>
      <c r="D1284" s="609">
        <f t="shared" si="541"/>
        <v>0</v>
      </c>
      <c r="E1284" s="609">
        <f t="shared" si="541"/>
        <v>0</v>
      </c>
      <c r="F1284" s="609">
        <f t="shared" si="541"/>
        <v>0</v>
      </c>
      <c r="G1284" s="609">
        <f t="shared" si="541"/>
        <v>0</v>
      </c>
      <c r="H1284" s="609">
        <f t="shared" si="541"/>
        <v>0</v>
      </c>
      <c r="I1284" s="609">
        <f t="shared" si="541"/>
        <v>0</v>
      </c>
      <c r="J1284" s="603">
        <f t="shared" si="541"/>
        <v>0</v>
      </c>
      <c r="K1284" s="1844">
        <f t="shared" si="542"/>
        <v>6.918829686585509</v>
      </c>
      <c r="L1284" s="609">
        <f t="shared" si="542"/>
        <v>8.1296066708276307</v>
      </c>
      <c r="M1284" s="609">
        <f t="shared" si="542"/>
        <v>8.1861262431852264</v>
      </c>
      <c r="N1284" s="609">
        <f t="shared" si="542"/>
        <v>8.4326043900011367</v>
      </c>
      <c r="O1284" s="609">
        <f t="shared" si="542"/>
        <v>10.583117264755369</v>
      </c>
      <c r="P1284" s="609">
        <f t="shared" si="542"/>
        <v>10.726689137477079</v>
      </c>
      <c r="Q1284" s="609">
        <f t="shared" si="542"/>
        <v>15.193987787552075</v>
      </c>
      <c r="R1284" s="603">
        <f t="shared" si="542"/>
        <v>12.11910596324523</v>
      </c>
    </row>
    <row r="1285" spans="2:18">
      <c r="B1285" s="595" t="s">
        <v>1043</v>
      </c>
      <c r="C1285" s="1844">
        <f t="shared" si="541"/>
        <v>0</v>
      </c>
      <c r="D1285" s="609">
        <f t="shared" si="541"/>
        <v>0</v>
      </c>
      <c r="E1285" s="609">
        <f t="shared" si="541"/>
        <v>0</v>
      </c>
      <c r="F1285" s="609">
        <f t="shared" si="541"/>
        <v>0</v>
      </c>
      <c r="G1285" s="609">
        <f t="shared" si="541"/>
        <v>0</v>
      </c>
      <c r="H1285" s="609">
        <f t="shared" si="541"/>
        <v>0</v>
      </c>
      <c r="I1285" s="609">
        <f t="shared" si="541"/>
        <v>0</v>
      </c>
      <c r="J1285" s="603">
        <f t="shared" si="541"/>
        <v>0</v>
      </c>
      <c r="K1285" s="1844">
        <f t="shared" si="542"/>
        <v>5.8389089965433145</v>
      </c>
      <c r="L1285" s="609">
        <f t="shared" si="542"/>
        <v>5.9159241987472084</v>
      </c>
      <c r="M1285" s="609">
        <f t="shared" si="542"/>
        <v>5.3390258886221735</v>
      </c>
      <c r="N1285" s="609">
        <f t="shared" si="542"/>
        <v>5.5897770168790366</v>
      </c>
      <c r="O1285" s="609">
        <f t="shared" si="542"/>
        <v>6.3215295460799474</v>
      </c>
      <c r="P1285" s="609">
        <f t="shared" si="542"/>
        <v>6.0861982787593742</v>
      </c>
      <c r="Q1285" s="609">
        <f t="shared" si="542"/>
        <v>5.0960546400664732</v>
      </c>
      <c r="R1285" s="603">
        <f t="shared" si="542"/>
        <v>5.7289764811946267</v>
      </c>
    </row>
    <row r="1286" spans="2:18">
      <c r="B1286" s="595" t="s">
        <v>1044</v>
      </c>
      <c r="C1286" s="1844">
        <f t="shared" si="541"/>
        <v>0</v>
      </c>
      <c r="D1286" s="609">
        <f t="shared" si="541"/>
        <v>0</v>
      </c>
      <c r="E1286" s="609">
        <f t="shared" si="541"/>
        <v>0</v>
      </c>
      <c r="F1286" s="609">
        <f t="shared" si="541"/>
        <v>0</v>
      </c>
      <c r="G1286" s="609">
        <f t="shared" si="541"/>
        <v>0</v>
      </c>
      <c r="H1286" s="609">
        <f t="shared" si="541"/>
        <v>0</v>
      </c>
      <c r="I1286" s="609">
        <f t="shared" si="541"/>
        <v>0</v>
      </c>
      <c r="J1286" s="603">
        <f t="shared" si="541"/>
        <v>0</v>
      </c>
      <c r="K1286" s="1844">
        <f t="shared" si="542"/>
        <v>9.8045200067268503</v>
      </c>
      <c r="L1286" s="609">
        <f t="shared" si="542"/>
        <v>9.7878506425518026</v>
      </c>
      <c r="M1286" s="609">
        <f t="shared" si="542"/>
        <v>10.911430887136138</v>
      </c>
      <c r="N1286" s="609">
        <f t="shared" si="542"/>
        <v>11.474072964999019</v>
      </c>
      <c r="O1286" s="609">
        <f t="shared" si="542"/>
        <v>11.385583498582715</v>
      </c>
      <c r="P1286" s="609">
        <f t="shared" si="542"/>
        <v>14.076457670458137</v>
      </c>
      <c r="Q1286" s="609">
        <f t="shared" si="542"/>
        <v>9.7176627530430491</v>
      </c>
      <c r="R1286" s="603">
        <f t="shared" si="542"/>
        <v>9.1525501899158836</v>
      </c>
    </row>
    <row r="1287" spans="2:18">
      <c r="B1287" s="595" t="s">
        <v>1061</v>
      </c>
      <c r="C1287" s="1844">
        <f>C837/K15*100000</f>
        <v>0</v>
      </c>
      <c r="D1287" s="609">
        <f t="shared" ref="D1287:J1287" si="543">D837/L15*100000</f>
        <v>0</v>
      </c>
      <c r="E1287" s="609">
        <f t="shared" si="543"/>
        <v>0</v>
      </c>
      <c r="F1287" s="609">
        <f t="shared" si="543"/>
        <v>0</v>
      </c>
      <c r="G1287" s="609">
        <f t="shared" si="543"/>
        <v>0</v>
      </c>
      <c r="H1287" s="609">
        <f t="shared" si="543"/>
        <v>0</v>
      </c>
      <c r="I1287" s="609">
        <f t="shared" si="543"/>
        <v>0</v>
      </c>
      <c r="J1287" s="603">
        <f t="shared" si="543"/>
        <v>0</v>
      </c>
      <c r="K1287" s="1844">
        <f>IF(ISNUMBER(K837/K15*100000),K837/K15*100000,"0")</f>
        <v>0</v>
      </c>
      <c r="L1287" s="609">
        <f t="shared" ref="L1287:R1287" si="544">IF(ISNUMBER(L837/L15*100000),L837/L15*100000,"0")</f>
        <v>151.20967741935485</v>
      </c>
      <c r="M1287" s="609">
        <f t="shared" si="544"/>
        <v>150.7644918142297</v>
      </c>
      <c r="N1287" s="609">
        <f t="shared" si="544"/>
        <v>166.526020890296</v>
      </c>
      <c r="O1287" s="609">
        <f t="shared" si="544"/>
        <v>176.15126559627589</v>
      </c>
      <c r="P1287" s="609">
        <f t="shared" si="544"/>
        <v>183.31839179633764</v>
      </c>
      <c r="Q1287" s="609">
        <f t="shared" si="544"/>
        <v>115.93232494751449</v>
      </c>
      <c r="R1287" s="603">
        <f t="shared" si="544"/>
        <v>227.52340677469067</v>
      </c>
    </row>
    <row r="1288" spans="2:18">
      <c r="B1288" s="595" t="s">
        <v>1047</v>
      </c>
      <c r="C1288" s="1844">
        <f t="shared" ref="C1288:J1288" si="545">C838/C16*100000</f>
        <v>0</v>
      </c>
      <c r="D1288" s="609">
        <f t="shared" si="545"/>
        <v>0</v>
      </c>
      <c r="E1288" s="609">
        <f t="shared" si="545"/>
        <v>0</v>
      </c>
      <c r="F1288" s="609">
        <f t="shared" si="545"/>
        <v>0</v>
      </c>
      <c r="G1288" s="609">
        <f t="shared" si="545"/>
        <v>0</v>
      </c>
      <c r="H1288" s="609">
        <f t="shared" si="545"/>
        <v>0</v>
      </c>
      <c r="I1288" s="609">
        <f t="shared" si="545"/>
        <v>0</v>
      </c>
      <c r="J1288" s="603">
        <f t="shared" si="545"/>
        <v>0</v>
      </c>
      <c r="K1288" s="1844">
        <f t="shared" ref="K1288:K1296" si="546">IF(ISNUMBER(K838/C16*100000),K838/C16*100000,"0")</f>
        <v>0</v>
      </c>
      <c r="L1288" s="609">
        <f t="shared" ref="L1288:L1296" si="547">IF(ISNUMBER(L838/D16*100000),L838/D16*100000,"0")</f>
        <v>9.7808406707981206</v>
      </c>
      <c r="M1288" s="609">
        <f t="shared" ref="M1288:M1296" si="548">IF(ISNUMBER(M838/E16*100000),M838/E16*100000,"0")</f>
        <v>9.4216281672682101</v>
      </c>
      <c r="N1288" s="609">
        <f t="shared" ref="N1288:N1296" si="549">IF(ISNUMBER(N838/F16*100000),N838/F16*100000,"0")</f>
        <v>10.116817412647052</v>
      </c>
      <c r="O1288" s="609">
        <f t="shared" ref="O1288:O1296" si="550">IF(ISNUMBER(O838/G16*100000),O838/G16*100000,"0")</f>
        <v>11.47699139126545</v>
      </c>
      <c r="P1288" s="609">
        <f t="shared" ref="P1288:P1296" si="551">IF(ISNUMBER(P838/H16*100000),P838/H16*100000,"0")</f>
        <v>12.923377010954148</v>
      </c>
      <c r="Q1288" s="609">
        <f t="shared" ref="Q1288:Q1296" si="552">IF(ISNUMBER(Q838/I16*100000),Q838/I16*100000,"0")</f>
        <v>11.693378589195346</v>
      </c>
      <c r="R1288" s="603">
        <f t="shared" ref="R1288:R1296" si="553">IF(ISNUMBER(R838/J16*100000),R838/J16*100000,"0")</f>
        <v>9.914790573347581</v>
      </c>
    </row>
    <row r="1289" spans="2:18">
      <c r="B1289" s="595" t="s">
        <v>1048</v>
      </c>
      <c r="C1289" s="1844">
        <f t="shared" ref="C1289:J1289" si="554">C839/C17*100000</f>
        <v>0</v>
      </c>
      <c r="D1289" s="609">
        <f t="shared" si="554"/>
        <v>0</v>
      </c>
      <c r="E1289" s="609">
        <f t="shared" si="554"/>
        <v>0</v>
      </c>
      <c r="F1289" s="609">
        <f t="shared" si="554"/>
        <v>0</v>
      </c>
      <c r="G1289" s="609">
        <f t="shared" si="554"/>
        <v>0</v>
      </c>
      <c r="H1289" s="609">
        <f t="shared" si="554"/>
        <v>0</v>
      </c>
      <c r="I1289" s="609">
        <f t="shared" si="554"/>
        <v>0</v>
      </c>
      <c r="J1289" s="603">
        <f t="shared" si="554"/>
        <v>0</v>
      </c>
      <c r="K1289" s="1844">
        <f t="shared" si="546"/>
        <v>0</v>
      </c>
      <c r="L1289" s="609">
        <f t="shared" si="547"/>
        <v>5.7070838083405588</v>
      </c>
      <c r="M1289" s="609">
        <f t="shared" si="548"/>
        <v>7.3811262914180755</v>
      </c>
      <c r="N1289" s="609">
        <f t="shared" si="549"/>
        <v>8.2254068286441626</v>
      </c>
      <c r="O1289" s="609">
        <f t="shared" si="550"/>
        <v>8.3832003950678029</v>
      </c>
      <c r="P1289" s="609">
        <f t="shared" si="551"/>
        <v>9.2991471803562238</v>
      </c>
      <c r="Q1289" s="609">
        <f t="shared" si="552"/>
        <v>8.78515604706738</v>
      </c>
      <c r="R1289" s="603">
        <f t="shared" si="553"/>
        <v>8.8800686503155859</v>
      </c>
    </row>
    <row r="1290" spans="2:18">
      <c r="B1290" s="595" t="s">
        <v>1049</v>
      </c>
      <c r="C1290" s="1844">
        <f t="shared" ref="C1290:J1290" si="555">C840/C18*100000</f>
        <v>0</v>
      </c>
      <c r="D1290" s="609">
        <f t="shared" si="555"/>
        <v>0</v>
      </c>
      <c r="E1290" s="609">
        <f t="shared" si="555"/>
        <v>0</v>
      </c>
      <c r="F1290" s="609">
        <f t="shared" si="555"/>
        <v>0</v>
      </c>
      <c r="G1290" s="609">
        <f t="shared" si="555"/>
        <v>0</v>
      </c>
      <c r="H1290" s="609">
        <f t="shared" si="555"/>
        <v>0</v>
      </c>
      <c r="I1290" s="609">
        <f t="shared" si="555"/>
        <v>0</v>
      </c>
      <c r="J1290" s="603">
        <f t="shared" si="555"/>
        <v>0</v>
      </c>
      <c r="K1290" s="1844">
        <f t="shared" si="546"/>
        <v>0</v>
      </c>
      <c r="L1290" s="609">
        <f t="shared" si="547"/>
        <v>0</v>
      </c>
      <c r="M1290" s="609">
        <f t="shared" si="548"/>
        <v>0</v>
      </c>
      <c r="N1290" s="609">
        <f t="shared" si="549"/>
        <v>0</v>
      </c>
      <c r="O1290" s="609">
        <f t="shared" si="550"/>
        <v>1.3909875868676859E-4</v>
      </c>
      <c r="P1290" s="609">
        <f t="shared" si="551"/>
        <v>1.6849444035096564E-4</v>
      </c>
      <c r="Q1290" s="609">
        <f t="shared" si="552"/>
        <v>1.2496737320900499E-4</v>
      </c>
      <c r="R1290" s="603">
        <f t="shared" si="553"/>
        <v>7.0954551818248768E-5</v>
      </c>
    </row>
    <row r="1291" spans="2:18">
      <c r="B1291" s="595" t="s">
        <v>1050</v>
      </c>
      <c r="C1291" s="1844">
        <f t="shared" ref="C1291:J1291" si="556">C841/C19*100000</f>
        <v>0</v>
      </c>
      <c r="D1291" s="609">
        <f t="shared" si="556"/>
        <v>0</v>
      </c>
      <c r="E1291" s="609">
        <f t="shared" si="556"/>
        <v>0</v>
      </c>
      <c r="F1291" s="609">
        <f t="shared" si="556"/>
        <v>0</v>
      </c>
      <c r="G1291" s="609">
        <f t="shared" si="556"/>
        <v>0</v>
      </c>
      <c r="H1291" s="609">
        <f t="shared" si="556"/>
        <v>0</v>
      </c>
      <c r="I1291" s="609">
        <f t="shared" si="556"/>
        <v>0</v>
      </c>
      <c r="J1291" s="603">
        <f t="shared" si="556"/>
        <v>0</v>
      </c>
      <c r="K1291" s="1844">
        <f t="shared" si="546"/>
        <v>0</v>
      </c>
      <c r="L1291" s="609">
        <f t="shared" si="547"/>
        <v>0</v>
      </c>
      <c r="M1291" s="609">
        <f t="shared" si="548"/>
        <v>0</v>
      </c>
      <c r="N1291" s="609">
        <f t="shared" si="549"/>
        <v>0</v>
      </c>
      <c r="O1291" s="609">
        <f t="shared" si="550"/>
        <v>0</v>
      </c>
      <c r="P1291" s="609">
        <f t="shared" si="551"/>
        <v>0</v>
      </c>
      <c r="Q1291" s="609">
        <f t="shared" si="552"/>
        <v>0</v>
      </c>
      <c r="R1291" s="603">
        <f t="shared" si="553"/>
        <v>0</v>
      </c>
    </row>
    <row r="1292" spans="2:18">
      <c r="B1292" s="595" t="s">
        <v>1051</v>
      </c>
      <c r="C1292" s="1844">
        <f t="shared" ref="C1292:J1292" si="557">C842/C20*100000</f>
        <v>0</v>
      </c>
      <c r="D1292" s="609">
        <f t="shared" si="557"/>
        <v>0</v>
      </c>
      <c r="E1292" s="609">
        <f t="shared" si="557"/>
        <v>0</v>
      </c>
      <c r="F1292" s="609">
        <f t="shared" si="557"/>
        <v>0</v>
      </c>
      <c r="G1292" s="609">
        <f t="shared" si="557"/>
        <v>0</v>
      </c>
      <c r="H1292" s="609">
        <f t="shared" si="557"/>
        <v>0</v>
      </c>
      <c r="I1292" s="609">
        <f t="shared" si="557"/>
        <v>0</v>
      </c>
      <c r="J1292" s="603">
        <f t="shared" si="557"/>
        <v>0</v>
      </c>
      <c r="K1292" s="1844">
        <f t="shared" si="546"/>
        <v>12.464084620307965</v>
      </c>
      <c r="L1292" s="609">
        <f t="shared" si="547"/>
        <v>12.807171665767228</v>
      </c>
      <c r="M1292" s="609">
        <f t="shared" si="548"/>
        <v>14.826260651293515</v>
      </c>
      <c r="N1292" s="609">
        <f t="shared" si="549"/>
        <v>18.094744584676945</v>
      </c>
      <c r="O1292" s="609">
        <f t="shared" si="550"/>
        <v>23.149463886790464</v>
      </c>
      <c r="P1292" s="609">
        <f t="shared" si="551"/>
        <v>25.550334920794004</v>
      </c>
      <c r="Q1292" s="609">
        <f t="shared" si="552"/>
        <v>27.774240105460855</v>
      </c>
      <c r="R1292" s="603">
        <f t="shared" si="553"/>
        <v>31.152720284565209</v>
      </c>
    </row>
    <row r="1293" spans="2:18">
      <c r="B1293" s="595" t="s">
        <v>1052</v>
      </c>
      <c r="C1293" s="1844">
        <f t="shared" ref="C1293:J1293" si="558">C843/C21*100000</f>
        <v>0</v>
      </c>
      <c r="D1293" s="609">
        <f t="shared" si="558"/>
        <v>0</v>
      </c>
      <c r="E1293" s="609">
        <f t="shared" si="558"/>
        <v>0</v>
      </c>
      <c r="F1293" s="609">
        <f t="shared" si="558"/>
        <v>0</v>
      </c>
      <c r="G1293" s="609">
        <f t="shared" si="558"/>
        <v>0</v>
      </c>
      <c r="H1293" s="609">
        <f t="shared" si="558"/>
        <v>0</v>
      </c>
      <c r="I1293" s="609">
        <f t="shared" si="558"/>
        <v>0</v>
      </c>
      <c r="J1293" s="603">
        <f t="shared" si="558"/>
        <v>0</v>
      </c>
      <c r="K1293" s="1844">
        <f t="shared" si="546"/>
        <v>7.3371739523495334</v>
      </c>
      <c r="L1293" s="609">
        <f t="shared" si="547"/>
        <v>7.8190180431152205</v>
      </c>
      <c r="M1293" s="609">
        <f t="shared" si="548"/>
        <v>8.1030969379005491</v>
      </c>
      <c r="N1293" s="609">
        <f t="shared" si="549"/>
        <v>8.5526440160845691</v>
      </c>
      <c r="O1293" s="609">
        <f t="shared" si="550"/>
        <v>8.116186265422046</v>
      </c>
      <c r="P1293" s="609">
        <f t="shared" si="551"/>
        <v>8.2824196581192471</v>
      </c>
      <c r="Q1293" s="609">
        <f t="shared" si="552"/>
        <v>7.4857296269646385</v>
      </c>
      <c r="R1293" s="603">
        <f t="shared" si="553"/>
        <v>8.2963675400691042</v>
      </c>
    </row>
    <row r="1294" spans="2:18">
      <c r="B1294" s="595" t="s">
        <v>1053</v>
      </c>
      <c r="C1294" s="1844">
        <f t="shared" ref="C1294:J1294" si="559">C844/C22*100000</f>
        <v>0</v>
      </c>
      <c r="D1294" s="609">
        <f t="shared" si="559"/>
        <v>0</v>
      </c>
      <c r="E1294" s="609">
        <f t="shared" si="559"/>
        <v>0</v>
      </c>
      <c r="F1294" s="609">
        <f t="shared" si="559"/>
        <v>0</v>
      </c>
      <c r="G1294" s="609">
        <f t="shared" si="559"/>
        <v>0</v>
      </c>
      <c r="H1294" s="609">
        <f t="shared" si="559"/>
        <v>0</v>
      </c>
      <c r="I1294" s="609">
        <f t="shared" si="559"/>
        <v>0</v>
      </c>
      <c r="J1294" s="603">
        <f t="shared" si="559"/>
        <v>0</v>
      </c>
      <c r="K1294" s="1844">
        <f t="shared" si="546"/>
        <v>0</v>
      </c>
      <c r="L1294" s="609">
        <f t="shared" si="547"/>
        <v>2.7861047927063676</v>
      </c>
      <c r="M1294" s="609">
        <f t="shared" si="548"/>
        <v>2.7971025229023314</v>
      </c>
      <c r="N1294" s="609">
        <f t="shared" si="549"/>
        <v>2.9376365410179464</v>
      </c>
      <c r="O1294" s="609">
        <f t="shared" si="550"/>
        <v>3.8320450863669966</v>
      </c>
      <c r="P1294" s="609">
        <f t="shared" si="551"/>
        <v>4.009605696422228</v>
      </c>
      <c r="Q1294" s="609">
        <f t="shared" si="552"/>
        <v>2.9608262799815015</v>
      </c>
      <c r="R1294" s="603">
        <f t="shared" si="553"/>
        <v>2.0117104140829785</v>
      </c>
    </row>
    <row r="1295" spans="2:18">
      <c r="B1295" s="595" t="s">
        <v>1054</v>
      </c>
      <c r="C1295" s="1844">
        <f t="shared" ref="C1295:J1295" si="560">C845/C23*100000</f>
        <v>2.0734088487082394</v>
      </c>
      <c r="D1295" s="609">
        <f t="shared" si="560"/>
        <v>2.5907756076112318</v>
      </c>
      <c r="E1295" s="609">
        <f t="shared" si="560"/>
        <v>2.8392803931238224</v>
      </c>
      <c r="F1295" s="609">
        <f t="shared" si="560"/>
        <v>3.0296776101648129</v>
      </c>
      <c r="G1295" s="609">
        <f t="shared" si="560"/>
        <v>3.480626690706186</v>
      </c>
      <c r="H1295" s="609">
        <f t="shared" si="560"/>
        <v>3.5510475389356899</v>
      </c>
      <c r="I1295" s="609">
        <f t="shared" si="560"/>
        <v>6.3888488531862784</v>
      </c>
      <c r="J1295" s="603">
        <f t="shared" si="560"/>
        <v>0</v>
      </c>
      <c r="K1295" s="1844">
        <f t="shared" si="546"/>
        <v>5.6056731515526161</v>
      </c>
      <c r="L1295" s="609">
        <f t="shared" si="547"/>
        <v>6.0840341625538574</v>
      </c>
      <c r="M1295" s="609">
        <f t="shared" si="548"/>
        <v>7.0307787697572444</v>
      </c>
      <c r="N1295" s="609">
        <f t="shared" si="549"/>
        <v>6.7923123876276827</v>
      </c>
      <c r="O1295" s="609">
        <f t="shared" si="550"/>
        <v>7.1424199479650419</v>
      </c>
      <c r="P1295" s="609">
        <f t="shared" si="551"/>
        <v>8.0444101688603418</v>
      </c>
      <c r="Q1295" s="609">
        <f t="shared" si="552"/>
        <v>5.7311993394646104</v>
      </c>
      <c r="R1295" s="603">
        <f t="shared" si="553"/>
        <v>6.3780585319835081</v>
      </c>
    </row>
    <row r="1296" spans="2:18">
      <c r="B1296" s="604" t="s">
        <v>1055</v>
      </c>
      <c r="C1296" s="610">
        <f t="shared" ref="C1296:J1296" si="561">C846/C24*100000</f>
        <v>0</v>
      </c>
      <c r="D1296" s="617">
        <f t="shared" si="561"/>
        <v>0</v>
      </c>
      <c r="E1296" s="617">
        <f t="shared" si="561"/>
        <v>0</v>
      </c>
      <c r="F1296" s="617">
        <f t="shared" si="561"/>
        <v>0</v>
      </c>
      <c r="G1296" s="617">
        <f t="shared" si="561"/>
        <v>0</v>
      </c>
      <c r="H1296" s="617">
        <f t="shared" si="561"/>
        <v>0</v>
      </c>
      <c r="I1296" s="617">
        <f t="shared" si="561"/>
        <v>0</v>
      </c>
      <c r="J1296" s="618">
        <f t="shared" si="561"/>
        <v>0</v>
      </c>
      <c r="K1296" s="610">
        <f t="shared" si="546"/>
        <v>4.3226351529958462</v>
      </c>
      <c r="L1296" s="617">
        <f t="shared" si="547"/>
        <v>5.42020056997971</v>
      </c>
      <c r="M1296" s="617">
        <f t="shared" si="548"/>
        <v>6.4454654780032703</v>
      </c>
      <c r="N1296" s="617">
        <f t="shared" si="549"/>
        <v>6.4094522081693794</v>
      </c>
      <c r="O1296" s="617">
        <f t="shared" si="550"/>
        <v>6.1014027817423271</v>
      </c>
      <c r="P1296" s="617">
        <f t="shared" si="551"/>
        <v>6.675438723105362</v>
      </c>
      <c r="Q1296" s="617">
        <f t="shared" si="552"/>
        <v>7.2713545817818401</v>
      </c>
      <c r="R1296" s="618">
        <f t="shared" si="553"/>
        <v>6.2028123414498344</v>
      </c>
    </row>
    <row r="1297" spans="2:18">
      <c r="B1297" s="57"/>
      <c r="C1297" s="582"/>
      <c r="D1297" s="582"/>
      <c r="E1297" s="582"/>
      <c r="F1297" s="582"/>
      <c r="G1297" s="582"/>
      <c r="H1297" s="582"/>
      <c r="I1297" s="582"/>
      <c r="J1297" s="582"/>
      <c r="K1297" s="582"/>
      <c r="L1297" s="582"/>
      <c r="M1297" s="582"/>
      <c r="N1297" s="582"/>
      <c r="O1297" s="582"/>
      <c r="P1297" s="582"/>
      <c r="Q1297" s="582"/>
    </row>
    <row r="1298" spans="2:18">
      <c r="B1298" s="2157" t="s">
        <v>1157</v>
      </c>
      <c r="C1298" s="2157"/>
      <c r="D1298" s="2157"/>
      <c r="E1298" s="2157"/>
      <c r="F1298" s="2157"/>
      <c r="G1298" s="2157"/>
      <c r="H1298" s="2157"/>
      <c r="I1298" s="2157"/>
      <c r="J1298" s="2157"/>
      <c r="K1298" s="2157"/>
      <c r="L1298" s="2157"/>
      <c r="M1298" s="2157"/>
      <c r="N1298" s="2157"/>
      <c r="O1298" s="2157"/>
      <c r="P1298" s="2157"/>
      <c r="Q1298" s="2157"/>
      <c r="R1298" s="2157"/>
    </row>
    <row r="1299" spans="2:18" ht="15" customHeight="1">
      <c r="B1299" s="2178" t="s">
        <v>1158</v>
      </c>
      <c r="C1299" s="2178"/>
      <c r="D1299" s="2178"/>
      <c r="E1299" s="2178"/>
      <c r="F1299" s="2178"/>
      <c r="G1299" s="2178"/>
      <c r="H1299" s="2178"/>
      <c r="I1299" s="2178"/>
      <c r="J1299" s="2178"/>
      <c r="K1299" s="2178"/>
      <c r="L1299" s="2178"/>
      <c r="M1299" s="2178"/>
      <c r="N1299" s="2178"/>
      <c r="O1299" s="2178"/>
      <c r="P1299" s="2178"/>
      <c r="Q1299" s="2178"/>
      <c r="R1299" s="2178"/>
    </row>
    <row r="1300" spans="2:18">
      <c r="B1300" s="2160" t="s">
        <v>1159</v>
      </c>
      <c r="C1300" s="2160"/>
      <c r="D1300" s="2160"/>
      <c r="E1300" s="2160"/>
      <c r="F1300" s="2160"/>
      <c r="G1300" s="2160"/>
      <c r="H1300" s="2160"/>
      <c r="I1300" s="2160"/>
      <c r="J1300" s="2160"/>
      <c r="K1300" s="2160"/>
      <c r="L1300" s="2160"/>
      <c r="M1300" s="2160"/>
      <c r="N1300" s="2160"/>
      <c r="O1300" s="2160"/>
      <c r="P1300" s="2160"/>
      <c r="Q1300" s="2160"/>
      <c r="R1300" s="2160"/>
    </row>
    <row r="1301" spans="2:18">
      <c r="B1301" s="581"/>
      <c r="C1301" s="621"/>
      <c r="D1301" s="621"/>
      <c r="E1301" s="621"/>
      <c r="F1301" s="621"/>
      <c r="G1301" s="621"/>
      <c r="H1301" s="621"/>
      <c r="I1301" s="621"/>
      <c r="J1301" s="621"/>
      <c r="K1301" s="622"/>
      <c r="L1301" s="622"/>
      <c r="M1301" s="622"/>
      <c r="N1301" s="622"/>
      <c r="O1301" s="622"/>
      <c r="P1301" s="622"/>
      <c r="Q1301" s="622"/>
    </row>
    <row r="1302" spans="2:18">
      <c r="B1302" s="583"/>
      <c r="C1302" s="2161" t="s">
        <v>390</v>
      </c>
      <c r="D1302" s="2162"/>
      <c r="E1302" s="2162"/>
      <c r="F1302" s="2162"/>
      <c r="G1302" s="2162"/>
      <c r="H1302" s="2162"/>
      <c r="I1302" s="2162"/>
      <c r="J1302" s="2163"/>
      <c r="K1302" s="2164" t="s">
        <v>386</v>
      </c>
      <c r="L1302" s="2165"/>
      <c r="M1302" s="2165"/>
      <c r="N1302" s="2165"/>
      <c r="O1302" s="2165"/>
      <c r="P1302" s="2165"/>
      <c r="Q1302" s="2165"/>
      <c r="R1302" s="2166"/>
    </row>
    <row r="1303" spans="2:18">
      <c r="B1303" s="57"/>
      <c r="C1303" s="585">
        <v>2014</v>
      </c>
      <c r="D1303" s="586">
        <v>2015</v>
      </c>
      <c r="E1303" s="586">
        <v>2016</v>
      </c>
      <c r="F1303" s="586">
        <v>2017</v>
      </c>
      <c r="G1303" s="586">
        <v>2018</v>
      </c>
      <c r="H1303" s="586">
        <v>2019</v>
      </c>
      <c r="I1303" s="586">
        <v>2020</v>
      </c>
      <c r="J1303" s="1651">
        <v>2021</v>
      </c>
      <c r="K1303" s="587">
        <v>2014</v>
      </c>
      <c r="L1303" s="588">
        <v>2015</v>
      </c>
      <c r="M1303" s="588">
        <v>2016</v>
      </c>
      <c r="N1303" s="588">
        <v>2017</v>
      </c>
      <c r="O1303" s="588">
        <v>2018</v>
      </c>
      <c r="P1303" s="588">
        <v>2019</v>
      </c>
      <c r="Q1303" s="588">
        <v>2020</v>
      </c>
      <c r="R1303" s="1650">
        <v>2021</v>
      </c>
    </row>
    <row r="1304" spans="2:18">
      <c r="B1304" s="589" t="s">
        <v>1038</v>
      </c>
      <c r="C1304" s="1671">
        <f>ARG!C128/1000000</f>
        <v>36.325291999999997</v>
      </c>
      <c r="D1304" s="1672">
        <f>ARG!D128/1000000</f>
        <v>37.854927000000004</v>
      </c>
      <c r="E1304" s="1672">
        <f>ARG!E128/1000000</f>
        <v>41.100749999999998</v>
      </c>
      <c r="F1304" s="1672">
        <f>ARG!F128/1000000</f>
        <v>45.213411000000001</v>
      </c>
      <c r="G1304" s="1672">
        <f>ARG!G128/1000000</f>
        <v>48.075097999999997</v>
      </c>
      <c r="H1304" s="1672">
        <f>ARG!H128/1000000</f>
        <v>48.551233000000003</v>
      </c>
      <c r="I1304" s="1672">
        <f>ARG!I128/1000000</f>
        <v>57.125155999999997</v>
      </c>
      <c r="J1304" s="1673">
        <f>ARG!J128/1000000</f>
        <v>60.138022999999997</v>
      </c>
      <c r="K1304" s="1671">
        <f>ARG!C132/1000000</f>
        <v>0</v>
      </c>
      <c r="L1304" s="1672">
        <f>ARG!D132/1000000</f>
        <v>0</v>
      </c>
      <c r="M1304" s="1672">
        <f>ARG!E132/1000000</f>
        <v>0</v>
      </c>
      <c r="N1304" s="1672">
        <f>ARG!F132/1000000</f>
        <v>3.0559259999999999</v>
      </c>
      <c r="O1304" s="1672">
        <f>ARG!G132/1000000</f>
        <v>4.4480130000000004</v>
      </c>
      <c r="P1304" s="1672">
        <f>ARG!H132/1000000</f>
        <v>7.2901100000000003</v>
      </c>
      <c r="Q1304" s="1672">
        <f>ARG!I132/1000000</f>
        <v>5.081029</v>
      </c>
      <c r="R1304" s="1673">
        <f>ARG!J132/1000000</f>
        <v>15.869157</v>
      </c>
    </row>
    <row r="1305" spans="2:18">
      <c r="B1305" s="595" t="s">
        <v>1039</v>
      </c>
      <c r="C1305" s="1670">
        <f>BA!C116/1000000</f>
        <v>0</v>
      </c>
      <c r="D1305" s="602">
        <f>BA!D116/1000000</f>
        <v>0</v>
      </c>
      <c r="E1305" s="602">
        <f>BA!E116/1000000</f>
        <v>0</v>
      </c>
      <c r="F1305" s="602">
        <f>BA!F116/1000000</f>
        <v>0</v>
      </c>
      <c r="G1305" s="602">
        <f>BA!G116/1000000</f>
        <v>0</v>
      </c>
      <c r="H1305" s="602">
        <f>BA!H116/1000000</f>
        <v>0</v>
      </c>
      <c r="I1305" s="602">
        <f>BA!I116/1000000</f>
        <v>0</v>
      </c>
      <c r="J1305" s="846">
        <f>BA!J116/1000000</f>
        <v>0</v>
      </c>
      <c r="K1305" s="1670">
        <f>BA!C120/1000000</f>
        <v>0</v>
      </c>
      <c r="L1305" s="602">
        <f>BA!D120/1000000</f>
        <v>0</v>
      </c>
      <c r="M1305" s="602">
        <f>BA!E120/1000000</f>
        <v>0</v>
      </c>
      <c r="N1305" s="602">
        <f>BA!F120/1000000</f>
        <v>0</v>
      </c>
      <c r="O1305" s="602">
        <f>BA!G120/1000000</f>
        <v>0</v>
      </c>
      <c r="P1305" s="602">
        <f>BA!H120/1000000</f>
        <v>0</v>
      </c>
      <c r="Q1305" s="602">
        <f>BA!I120/1000000</f>
        <v>0</v>
      </c>
      <c r="R1305" s="846">
        <f>BA!J120/1000000</f>
        <v>0</v>
      </c>
    </row>
    <row r="1306" spans="2:18">
      <c r="B1306" s="595" t="s">
        <v>1040</v>
      </c>
      <c r="C1306" s="1670">
        <f>BO!C114/1000000</f>
        <v>0</v>
      </c>
      <c r="D1306" s="602">
        <f>BO!D114/1000000</f>
        <v>0</v>
      </c>
      <c r="E1306" s="602">
        <f>BO!E114/1000000</f>
        <v>0</v>
      </c>
      <c r="F1306" s="602">
        <f>BO!F114/1000000</f>
        <v>0</v>
      </c>
      <c r="G1306" s="602">
        <f>BO!G114/1000000</f>
        <v>0</v>
      </c>
      <c r="H1306" s="602">
        <f>BO!H114/1000000</f>
        <v>0</v>
      </c>
      <c r="I1306" s="602">
        <f>BO!I114/1000000</f>
        <v>0</v>
      </c>
      <c r="J1306" s="846">
        <f>BO!J114/1000000</f>
        <v>0</v>
      </c>
      <c r="K1306" s="1670">
        <f>BO!C118/1000000</f>
        <v>0</v>
      </c>
      <c r="L1306" s="602">
        <f>BO!D118/1000000</f>
        <v>0</v>
      </c>
      <c r="M1306" s="602">
        <f>BO!E118/1000000</f>
        <v>0</v>
      </c>
      <c r="N1306" s="602">
        <f>BO!F118/1000000</f>
        <v>0</v>
      </c>
      <c r="O1306" s="602">
        <f>BO!G118/1000000</f>
        <v>0</v>
      </c>
      <c r="P1306" s="602">
        <f>BO!H118/1000000</f>
        <v>0</v>
      </c>
      <c r="Q1306" s="602">
        <f>BO!I118/1000000</f>
        <v>0</v>
      </c>
      <c r="R1306" s="846">
        <f>BO!J118/1000000</f>
        <v>0</v>
      </c>
    </row>
    <row r="1307" spans="2:18">
      <c r="B1307" s="595" t="s">
        <v>1041</v>
      </c>
      <c r="C1307" s="1670">
        <f>BR!C120/1000000</f>
        <v>350.24958600000002</v>
      </c>
      <c r="D1307" s="602">
        <f>BR!D120/1000000</f>
        <v>353.16712100000001</v>
      </c>
      <c r="E1307" s="602">
        <f>BR!E120/1000000</f>
        <v>344.84438499999999</v>
      </c>
      <c r="F1307" s="602">
        <f>BR!F120/1000000</f>
        <v>334.65979800000002</v>
      </c>
      <c r="G1307" s="602">
        <f>BR!G120/1000000</f>
        <v>341.30123700000001</v>
      </c>
      <c r="H1307" s="602">
        <f>BR!H120/1000000</f>
        <v>346.08573799999999</v>
      </c>
      <c r="I1307" s="602">
        <f>BR!I120/1000000</f>
        <v>379.70000399999998</v>
      </c>
      <c r="J1307" s="846">
        <f>BR!J120/1000000</f>
        <v>497.73717599999998</v>
      </c>
      <c r="K1307" s="1670">
        <f>BR!C124/1000000</f>
        <v>2.6725729999999999</v>
      </c>
      <c r="L1307" s="602">
        <f>BR!D124/1000000</f>
        <v>2.435864</v>
      </c>
      <c r="M1307" s="602">
        <f>BR!E124/1000000</f>
        <v>3.4127740000000002</v>
      </c>
      <c r="N1307" s="602">
        <f>BR!F124/1000000</f>
        <v>6.3096990000000002</v>
      </c>
      <c r="O1307" s="602">
        <f>BR!G124/1000000</f>
        <v>19.878931999999999</v>
      </c>
      <c r="P1307" s="602">
        <f>BR!H124/1000000</f>
        <v>36.781038000000002</v>
      </c>
      <c r="Q1307" s="602">
        <f>BR!I124/1000000</f>
        <v>66.274859000000006</v>
      </c>
      <c r="R1307" s="846">
        <f>BR!J124/1000000</f>
        <v>121.03991600000001</v>
      </c>
    </row>
    <row r="1308" spans="2:18">
      <c r="B1308" s="595" t="s">
        <v>1042</v>
      </c>
      <c r="C1308" s="1670">
        <f>CL!C119/1000000</f>
        <v>3.2703120000000001</v>
      </c>
      <c r="D1308" s="602">
        <f>CL!D119/1000000</f>
        <v>3.4400430000000002</v>
      </c>
      <c r="E1308" s="602">
        <f>CL!E119/1000000</f>
        <v>3.5834160000000002</v>
      </c>
      <c r="F1308" s="602">
        <f>CL!F119/1000000</f>
        <v>3.6209799999999999</v>
      </c>
      <c r="G1308" s="602">
        <f>CL!G119/1000000</f>
        <v>3.7647629999999999</v>
      </c>
      <c r="H1308" s="602">
        <f>CL!H119/1000000</f>
        <v>3.9549120000000002</v>
      </c>
      <c r="I1308" s="602">
        <f>CL!I119/1000000</f>
        <v>3.9703100000000003E-3</v>
      </c>
      <c r="J1308" s="846">
        <f>CL!J119/1000000</f>
        <v>3.38273E-3</v>
      </c>
      <c r="K1308" s="1670">
        <f>CL!C123/1000000</f>
        <v>0</v>
      </c>
      <c r="L1308" s="602">
        <f>CL!D123/1000000</f>
        <v>0</v>
      </c>
      <c r="M1308" s="602">
        <f>CL!E123/1000000</f>
        <v>0</v>
      </c>
      <c r="N1308" s="602">
        <f>CL!F123/1000000</f>
        <v>0</v>
      </c>
      <c r="O1308" s="602">
        <f>CL!G123/1000000</f>
        <v>0</v>
      </c>
      <c r="P1308" s="602">
        <f>CL!H123/1000000</f>
        <v>0</v>
      </c>
      <c r="Q1308" s="602">
        <f>CL!I123/1000000</f>
        <v>0</v>
      </c>
      <c r="R1308" s="846">
        <f>CL!J123/1000000</f>
        <v>0</v>
      </c>
    </row>
    <row r="1309" spans="2:18">
      <c r="B1309" s="595" t="s">
        <v>1043</v>
      </c>
      <c r="C1309" s="1670">
        <f>CO!C116/1000000</f>
        <v>20.869340999999999</v>
      </c>
      <c r="D1309" s="602">
        <f>CO!D116/1000000</f>
        <v>22.514108</v>
      </c>
      <c r="E1309" s="602">
        <f>CO!E116/1000000</f>
        <v>25.176566999999999</v>
      </c>
      <c r="F1309" s="602">
        <f>CO!F116/1000000</f>
        <v>27.524422000000001</v>
      </c>
      <c r="G1309" s="602">
        <f>CO!G116/1000000</f>
        <v>29.574650999999999</v>
      </c>
      <c r="H1309" s="602">
        <f>CO!H116/1000000</f>
        <v>33.091473999999998</v>
      </c>
      <c r="I1309" s="602">
        <f>CO!I116/1000000</f>
        <v>36.387824000000002</v>
      </c>
      <c r="J1309" s="846">
        <f>CO!J116/1000000</f>
        <v>40.817659999999997</v>
      </c>
      <c r="K1309" s="1670">
        <f>CO!C120/1000000</f>
        <v>0</v>
      </c>
      <c r="L1309" s="602">
        <f>CO!D120/1000000</f>
        <v>0</v>
      </c>
      <c r="M1309" s="602">
        <f>CO!E120/1000000</f>
        <v>0</v>
      </c>
      <c r="N1309" s="602">
        <f>CO!F120/1000000</f>
        <v>0</v>
      </c>
      <c r="O1309" s="602">
        <f>CO!G120/1000000</f>
        <v>0</v>
      </c>
      <c r="P1309" s="602">
        <f>CO!H120/1000000</f>
        <v>0</v>
      </c>
      <c r="Q1309" s="602">
        <f>CO!I120/1000000</f>
        <v>0</v>
      </c>
      <c r="R1309" s="846">
        <f>CO!J120/1000000</f>
        <v>0</v>
      </c>
    </row>
    <row r="1310" spans="2:18">
      <c r="B1310" s="595" t="s">
        <v>1044</v>
      </c>
      <c r="C1310" s="1670">
        <f>CR!C119/1000000</f>
        <v>5.5831679999999997</v>
      </c>
      <c r="D1310" s="602">
        <f>CR!D119/1000000</f>
        <v>5.757924</v>
      </c>
      <c r="E1310" s="602">
        <f>CR!E119/1000000</f>
        <v>5.7857909999999997</v>
      </c>
      <c r="F1310" s="602">
        <f>CR!F119/1000000</f>
        <v>5.8425260000000003</v>
      </c>
      <c r="G1310" s="602">
        <f>CR!G119/1000000</f>
        <v>6.039142</v>
      </c>
      <c r="H1310" s="602">
        <f>CR!H119/1000000</f>
        <v>5.7099440000000001</v>
      </c>
      <c r="I1310" s="602">
        <f>CR!I119/1000000</f>
        <v>6.1948869999999996</v>
      </c>
      <c r="J1310" s="846">
        <f>CR!J119/1000000</f>
        <v>6.622833</v>
      </c>
      <c r="K1310" s="1670">
        <f>CR!C123/1000000</f>
        <v>0.78840699999999997</v>
      </c>
      <c r="L1310" s="602">
        <f>CR!D123/1000000</f>
        <v>1.4906189999999999</v>
      </c>
      <c r="M1310" s="602">
        <f>CR!E123/1000000</f>
        <v>0.19625100000000001</v>
      </c>
      <c r="N1310" s="602">
        <f>CR!F123/1000000</f>
        <v>0.33596500000000001</v>
      </c>
      <c r="O1310" s="602">
        <f>CR!G123/1000000</f>
        <v>0.18987399999999999</v>
      </c>
      <c r="P1310" s="602">
        <f>CR!H123/1000000</f>
        <v>0.13076699999999999</v>
      </c>
      <c r="Q1310" s="602">
        <f>CR!I123/1000000</f>
        <v>7.1692000000000006E-2</v>
      </c>
      <c r="R1310" s="846">
        <f>CR!J123/1000000</f>
        <v>0.67713000000000001</v>
      </c>
    </row>
    <row r="1311" spans="2:18">
      <c r="B1311" s="595" t="s">
        <v>1061</v>
      </c>
      <c r="C1311" s="1670">
        <v>0</v>
      </c>
      <c r="D1311" s="602">
        <v>0.5</v>
      </c>
      <c r="E1311" s="602">
        <f>CW!E129/1000000</f>
        <v>0.54049599999999998</v>
      </c>
      <c r="F1311" s="602">
        <f>CW!F129/1000000</f>
        <v>0.56913800000000003</v>
      </c>
      <c r="G1311" s="602">
        <f>CW!G129/1000000</f>
        <v>0.57316199999999995</v>
      </c>
      <c r="H1311" s="602">
        <f>CW!H129/1000000</f>
        <v>0.56817399999999996</v>
      </c>
      <c r="I1311" s="602">
        <f>CW!I129/1000000</f>
        <v>0.57007399999999997</v>
      </c>
      <c r="J1311" s="846">
        <f>CW!J129/1000000</f>
        <v>0.53665600000000002</v>
      </c>
      <c r="K1311" s="1670">
        <v>0</v>
      </c>
      <c r="L1311" s="602">
        <v>0.1</v>
      </c>
      <c r="M1311" s="602">
        <f>CW!E133/1000000</f>
        <v>6.7613000000000006E-2</v>
      </c>
      <c r="N1311" s="602">
        <f>CW!F133/1000000</f>
        <v>5.7551999999999999E-2</v>
      </c>
      <c r="O1311" s="602">
        <f>CW!G133/1000000</f>
        <v>5.3173999999999999E-2</v>
      </c>
      <c r="P1311" s="602">
        <f>CW!H133/1000000</f>
        <v>5.5622999999999999E-2</v>
      </c>
      <c r="Q1311" s="602">
        <f>CW!I133/1000000</f>
        <v>6.4003000000000004E-2</v>
      </c>
      <c r="R1311" s="846">
        <f>CW!J133/1000000</f>
        <v>6.6401000000000002E-2</v>
      </c>
    </row>
    <row r="1312" spans="2:18">
      <c r="B1312" s="595" t="s">
        <v>1047</v>
      </c>
      <c r="C1312" s="1670">
        <f>EC!C116/1000000</f>
        <v>0</v>
      </c>
      <c r="D1312" s="602">
        <f>EC!D116/1000000</f>
        <v>0</v>
      </c>
      <c r="E1312" s="602">
        <f>EC!E116/1000000</f>
        <v>0</v>
      </c>
      <c r="F1312" s="602">
        <f>EC!F116/1000000</f>
        <v>0</v>
      </c>
      <c r="G1312" s="602">
        <f>EC!G116/1000000</f>
        <v>0</v>
      </c>
      <c r="H1312" s="602">
        <f>EC!H116/1000000</f>
        <v>0</v>
      </c>
      <c r="I1312" s="602">
        <f>EC!I116/1000000</f>
        <v>0</v>
      </c>
      <c r="J1312" s="846">
        <f>EC!J116/1000000</f>
        <v>0</v>
      </c>
      <c r="K1312" s="1670">
        <f>EC!C120/1000000</f>
        <v>0</v>
      </c>
      <c r="L1312" s="602">
        <f>EC!D120/1000000</f>
        <v>0</v>
      </c>
      <c r="M1312" s="602">
        <f>EC!E120/1000000</f>
        <v>0</v>
      </c>
      <c r="N1312" s="602">
        <f>EC!F120/1000000</f>
        <v>0</v>
      </c>
      <c r="O1312" s="602">
        <f>EC!G120/1000000</f>
        <v>0</v>
      </c>
      <c r="P1312" s="602">
        <f>EC!H120/1000000</f>
        <v>0</v>
      </c>
      <c r="Q1312" s="602">
        <f>EC!I120/1000000</f>
        <v>0</v>
      </c>
      <c r="R1312" s="846">
        <f>EC!J120/1000000</f>
        <v>0</v>
      </c>
    </row>
    <row r="1313" spans="2:18">
      <c r="B1313" s="595" t="s">
        <v>1048</v>
      </c>
      <c r="C1313" s="1670">
        <f>SV!C117/1000000</f>
        <v>0</v>
      </c>
      <c r="D1313" s="602">
        <f>SV!D117/1000000</f>
        <v>0</v>
      </c>
      <c r="E1313" s="602">
        <f>SV!E117/1000000</f>
        <v>0</v>
      </c>
      <c r="F1313" s="602">
        <f>SV!F117/1000000</f>
        <v>0</v>
      </c>
      <c r="G1313" s="602">
        <f>SV!G117/1000000</f>
        <v>0</v>
      </c>
      <c r="H1313" s="602">
        <f>SV!H117/1000000</f>
        <v>0</v>
      </c>
      <c r="I1313" s="602">
        <f>SV!I117/1000000</f>
        <v>0</v>
      </c>
      <c r="J1313" s="846">
        <f>SV!J117/1000000</f>
        <v>0</v>
      </c>
      <c r="K1313" s="1670">
        <f>SV!C121/1000000</f>
        <v>0</v>
      </c>
      <c r="L1313" s="602">
        <f>SV!D121/1000000</f>
        <v>0</v>
      </c>
      <c r="M1313" s="602">
        <f>SV!E121/1000000</f>
        <v>0</v>
      </c>
      <c r="N1313" s="602">
        <f>SV!F121/1000000</f>
        <v>0</v>
      </c>
      <c r="O1313" s="602">
        <f>SV!G121/1000000</f>
        <v>0</v>
      </c>
      <c r="P1313" s="602">
        <f>SV!H121/1000000</f>
        <v>0</v>
      </c>
      <c r="Q1313" s="602">
        <f>SV!I121/1000000</f>
        <v>0</v>
      </c>
      <c r="R1313" s="846">
        <f>SV!J121/1000000</f>
        <v>0</v>
      </c>
    </row>
    <row r="1314" spans="2:18">
      <c r="B1314" s="595" t="s">
        <v>1049</v>
      </c>
      <c r="C1314" s="1670">
        <f>GT!C124/1000000</f>
        <v>0</v>
      </c>
      <c r="D1314" s="602">
        <f>GT!D124/1000000</f>
        <v>0</v>
      </c>
      <c r="E1314" s="602">
        <f>GT!E124/1000000</f>
        <v>0</v>
      </c>
      <c r="F1314" s="602">
        <f>GT!F124/1000000</f>
        <v>0</v>
      </c>
      <c r="G1314" s="602">
        <f>GT!G124/1000000</f>
        <v>0</v>
      </c>
      <c r="H1314" s="602">
        <f>GT!H124/1000000</f>
        <v>0</v>
      </c>
      <c r="I1314" s="602">
        <f>GT!I124/1000000</f>
        <v>0</v>
      </c>
      <c r="J1314" s="846">
        <f>GT!J124/1000000</f>
        <v>0</v>
      </c>
      <c r="K1314" s="1670">
        <f>GT!C128/1000000</f>
        <v>0</v>
      </c>
      <c r="L1314" s="602">
        <f>GT!D128/1000000</f>
        <v>0</v>
      </c>
      <c r="M1314" s="602">
        <f>GT!E128/1000000</f>
        <v>0</v>
      </c>
      <c r="N1314" s="602">
        <f>GT!F128/1000000</f>
        <v>0</v>
      </c>
      <c r="O1314" s="602">
        <f>GT!G128/1000000</f>
        <v>0</v>
      </c>
      <c r="P1314" s="602">
        <f>GT!H128/1000000</f>
        <v>0</v>
      </c>
      <c r="Q1314" s="602">
        <f>GT!I128/1000000</f>
        <v>0</v>
      </c>
      <c r="R1314" s="846">
        <f>GT!J128/1000000</f>
        <v>0</v>
      </c>
    </row>
    <row r="1315" spans="2:18">
      <c r="B1315" s="595" t="s">
        <v>1050</v>
      </c>
      <c r="C1315" s="1670">
        <f>HN!C122/1000000</f>
        <v>0</v>
      </c>
      <c r="D1315" s="602">
        <f>HN!D122/1000000</f>
        <v>0</v>
      </c>
      <c r="E1315" s="602">
        <f>HN!E122/1000000</f>
        <v>0</v>
      </c>
      <c r="F1315" s="602">
        <f>HN!F122/1000000</f>
        <v>0</v>
      </c>
      <c r="G1315" s="602">
        <f>HN!G122/1000000</f>
        <v>0</v>
      </c>
      <c r="H1315" s="602">
        <f>HN!H122/1000000</f>
        <v>0</v>
      </c>
      <c r="I1315" s="602">
        <f>HN!I122/1000000</f>
        <v>0</v>
      </c>
      <c r="J1315" s="846">
        <f>HN!J122/1000000</f>
        <v>0</v>
      </c>
      <c r="K1315" s="1670">
        <f>HN!C126/1000000</f>
        <v>0</v>
      </c>
      <c r="L1315" s="602">
        <f>HN!D126/1000000</f>
        <v>0</v>
      </c>
      <c r="M1315" s="602">
        <f>HN!E126/1000000</f>
        <v>0</v>
      </c>
      <c r="N1315" s="602">
        <f>HN!F126/1000000</f>
        <v>0</v>
      </c>
      <c r="O1315" s="602">
        <f>HN!G126/1000000</f>
        <v>0</v>
      </c>
      <c r="P1315" s="602">
        <f>HN!H126/1000000</f>
        <v>0</v>
      </c>
      <c r="Q1315" s="602">
        <f>HN!I126/1000000</f>
        <v>0</v>
      </c>
      <c r="R1315" s="846">
        <f>HN!J126/1000000</f>
        <v>0</v>
      </c>
    </row>
    <row r="1316" spans="2:18">
      <c r="B1316" s="595" t="s">
        <v>1051</v>
      </c>
      <c r="C1316" s="1670">
        <f>JM!C119/1000000</f>
        <v>2.563456</v>
      </c>
      <c r="D1316" s="602">
        <f>JM!D119/1000000</f>
        <v>2.7768540000000002</v>
      </c>
      <c r="E1316" s="602">
        <f>JM!E119/1000000</f>
        <v>2.1769409999999998</v>
      </c>
      <c r="F1316" s="602">
        <f>JM!F119/1000000</f>
        <v>2.8951159999999998</v>
      </c>
      <c r="G1316" s="602">
        <f>JM!G119/1000000</f>
        <v>3.0392399999999999</v>
      </c>
      <c r="H1316" s="602">
        <f>JM!H119/1000000</f>
        <v>3.3930579999999999</v>
      </c>
      <c r="I1316" s="602">
        <f>JM!I119/1000000</f>
        <v>3.9440879999999998</v>
      </c>
      <c r="J1316" s="846">
        <f>JM!J119/1000000</f>
        <v>4.4582050000000004</v>
      </c>
      <c r="K1316" s="1670">
        <f>JM!C123/1000000</f>
        <v>0</v>
      </c>
      <c r="L1316" s="602">
        <f>JM!D123/1000000</f>
        <v>0</v>
      </c>
      <c r="M1316" s="602">
        <f>JM!E123/1000000</f>
        <v>0</v>
      </c>
      <c r="N1316" s="602">
        <f>JM!F123/1000000</f>
        <v>0</v>
      </c>
      <c r="O1316" s="602">
        <f>JM!G123/1000000</f>
        <v>0</v>
      </c>
      <c r="P1316" s="602">
        <f>JM!H123/1000000</f>
        <v>0</v>
      </c>
      <c r="Q1316" s="602">
        <f>JM!I123/1000000</f>
        <v>0</v>
      </c>
      <c r="R1316" s="846">
        <f>JM!J123/1000000</f>
        <v>0</v>
      </c>
    </row>
    <row r="1317" spans="2:18">
      <c r="B1317" s="595" t="s">
        <v>1052</v>
      </c>
      <c r="C1317" s="1670">
        <f>RD!C128/1000000</f>
        <v>0</v>
      </c>
      <c r="D1317" s="602">
        <f>RD!D128/1000000</f>
        <v>0</v>
      </c>
      <c r="E1317" s="602">
        <f>RD!E128/1000000</f>
        <v>0</v>
      </c>
      <c r="F1317" s="602">
        <f>RD!F128/1000000</f>
        <v>0</v>
      </c>
      <c r="G1317" s="602">
        <f>RD!G128/1000000</f>
        <v>0</v>
      </c>
      <c r="H1317" s="602">
        <f>RD!H128/1000000</f>
        <v>0</v>
      </c>
      <c r="I1317" s="602">
        <f>RD!I128/1000000</f>
        <v>0</v>
      </c>
      <c r="J1317" s="846">
        <f>RD!J128/1000000</f>
        <v>0</v>
      </c>
      <c r="K1317" s="1670">
        <f>RD!C136/1000000</f>
        <v>7.6797000000000004E-2</v>
      </c>
      <c r="L1317" s="602">
        <f>RD!D136/1000000</f>
        <v>8.3274000000000001E-2</v>
      </c>
      <c r="M1317" s="602">
        <f>RD!E136/1000000</f>
        <v>0.19475799999999999</v>
      </c>
      <c r="N1317" s="602">
        <f>RD!F136/1000000</f>
        <v>0.23521800000000001</v>
      </c>
      <c r="O1317" s="602">
        <f>RD!G136/1000000</f>
        <v>0.241755</v>
      </c>
      <c r="P1317" s="602">
        <f>RD!H136/1000000</f>
        <v>0.22872300000000001</v>
      </c>
      <c r="Q1317" s="602">
        <f>RD!I136/1000000</f>
        <v>0.20832800000000001</v>
      </c>
      <c r="R1317" s="846">
        <f>RD!J136/1000000</f>
        <v>0.20235500000000001</v>
      </c>
    </row>
    <row r="1318" spans="2:18">
      <c r="B1318" s="595" t="s">
        <v>1053</v>
      </c>
      <c r="C1318" s="1670">
        <f>PY!C117/1000000</f>
        <v>1.661</v>
      </c>
      <c r="D1318" s="602">
        <f>PY!D117/1000000</f>
        <v>1.583067</v>
      </c>
      <c r="E1318" s="602">
        <f>PY!E117/1000000</f>
        <v>1.5682579999999999</v>
      </c>
      <c r="F1318" s="602">
        <f>PY!F117/1000000</f>
        <v>1.9308609999999999</v>
      </c>
      <c r="G1318" s="602">
        <f>PY!G117/1000000</f>
        <v>2.1903519999999999</v>
      </c>
      <c r="H1318" s="602">
        <f>PY!H117/1000000</f>
        <v>2.3919860000000002</v>
      </c>
      <c r="I1318" s="602">
        <f>PY!I117/1000000</f>
        <v>2.5132650000000001</v>
      </c>
      <c r="J1318" s="846">
        <f>PY!J117/1000000</f>
        <v>2.631043</v>
      </c>
      <c r="K1318" s="1670">
        <f>PY!C121/1000000</f>
        <v>0</v>
      </c>
      <c r="L1318" s="602">
        <f>PY!D121/1000000</f>
        <v>6.3510999999999998E-2</v>
      </c>
      <c r="M1318" s="602">
        <f>PY!E121/1000000</f>
        <v>7.2356000000000004E-2</v>
      </c>
      <c r="N1318" s="602">
        <f>PY!F121/1000000</f>
        <v>7.8575000000000006E-2</v>
      </c>
      <c r="O1318" s="602">
        <f>PY!G121/1000000</f>
        <v>9.5260999999999998E-2</v>
      </c>
      <c r="P1318" s="602">
        <f>PY!H121/1000000</f>
        <v>0.118324</v>
      </c>
      <c r="Q1318" s="602">
        <f>PY!I121/1000000</f>
        <v>0.16453499999999999</v>
      </c>
      <c r="R1318" s="846">
        <f>PY!J121/1000000</f>
        <v>0.190968</v>
      </c>
    </row>
    <row r="1319" spans="2:18">
      <c r="B1319" s="595" t="s">
        <v>1054</v>
      </c>
      <c r="C1319" s="1670">
        <f>PE!C122/1000000</f>
        <v>0</v>
      </c>
      <c r="D1319" s="602">
        <f>PE!D122/1000000</f>
        <v>0</v>
      </c>
      <c r="E1319" s="602">
        <f>PE!E122/1000000</f>
        <v>0</v>
      </c>
      <c r="F1319" s="602">
        <f>PE!F122/1000000</f>
        <v>0</v>
      </c>
      <c r="G1319" s="602">
        <f>PE!G122/1000000</f>
        <v>0</v>
      </c>
      <c r="H1319" s="602">
        <f>PE!H122/1000000</f>
        <v>0</v>
      </c>
      <c r="I1319" s="602">
        <f>PE!I122/1000000</f>
        <v>0</v>
      </c>
      <c r="J1319" s="846">
        <f>PE!J122/1000000</f>
        <v>0</v>
      </c>
      <c r="K1319" s="1670">
        <f>PE!C126/1000000</f>
        <v>0</v>
      </c>
      <c r="L1319" s="602">
        <f>PE!D126/1000000</f>
        <v>0</v>
      </c>
      <c r="M1319" s="602">
        <f>PE!E126/1000000</f>
        <v>0</v>
      </c>
      <c r="N1319" s="602">
        <f>PE!F126/1000000</f>
        <v>0</v>
      </c>
      <c r="O1319" s="602">
        <f>PE!G126/1000000</f>
        <v>0</v>
      </c>
      <c r="P1319" s="602">
        <f>PE!H126/1000000</f>
        <v>0</v>
      </c>
      <c r="Q1319" s="602">
        <f>PE!I126/1000000</f>
        <v>0</v>
      </c>
      <c r="R1319" s="846">
        <f>PE!J126/1000000</f>
        <v>0</v>
      </c>
    </row>
    <row r="1320" spans="2:18">
      <c r="B1320" s="604" t="s">
        <v>1055</v>
      </c>
      <c r="C1320" s="1674">
        <f>TT!C124/1000000</f>
        <v>3.0818319999999999</v>
      </c>
      <c r="D1320" s="1675">
        <f>TT!D124/1000000</f>
        <v>3.2305429999999999</v>
      </c>
      <c r="E1320" s="1675">
        <f>TT!E124/1000000</f>
        <v>3.3488530000000001</v>
      </c>
      <c r="F1320" s="1675">
        <f>TT!F124/1000000</f>
        <v>3.449932</v>
      </c>
      <c r="G1320" s="1675">
        <f>TT!G124/1000000</f>
        <v>3.5971320000000002</v>
      </c>
      <c r="H1320" s="1675">
        <f>TT!H124/1000000</f>
        <v>3.7933669999999999</v>
      </c>
      <c r="I1320" s="1675">
        <f>TT!I124/1000000</f>
        <v>3.2720349999999998</v>
      </c>
      <c r="J1320" s="1676">
        <f>TT!J124/1000000</f>
        <v>3.3745189999999998</v>
      </c>
      <c r="K1320" s="1674">
        <f>TT!C128/1000000</f>
        <v>0.218942</v>
      </c>
      <c r="L1320" s="1675">
        <f>TT!D128/1000000</f>
        <v>0.24756600000000001</v>
      </c>
      <c r="M1320" s="1675">
        <f>TT!E128/1000000</f>
        <v>0.24273700000000001</v>
      </c>
      <c r="N1320" s="1675">
        <f>TT!F128/1000000</f>
        <v>0.253973</v>
      </c>
      <c r="O1320" s="1675">
        <f>TT!G128/1000000</f>
        <v>0.26219799999999999</v>
      </c>
      <c r="P1320" s="1675">
        <f>TT!H128/1000000</f>
        <v>0.26340400000000003</v>
      </c>
      <c r="Q1320" s="1675">
        <f>TT!I128/1000000</f>
        <v>0.19470399999999999</v>
      </c>
      <c r="R1320" s="1676">
        <f>TT!J128/1000000</f>
        <v>0.18187700000000001</v>
      </c>
    </row>
    <row r="1321" spans="2:18">
      <c r="B1321" s="57"/>
      <c r="C1321" s="582"/>
      <c r="D1321" s="582"/>
      <c r="E1321" s="582"/>
      <c r="F1321" s="582"/>
      <c r="G1321" s="582"/>
      <c r="H1321" s="582"/>
      <c r="I1321" s="582"/>
      <c r="J1321" s="582"/>
      <c r="K1321" s="582"/>
      <c r="L1321" s="582"/>
      <c r="M1321" s="582"/>
      <c r="N1321" s="582"/>
      <c r="O1321" s="582"/>
      <c r="P1321" s="582"/>
      <c r="Q1321" s="643"/>
    </row>
    <row r="1322" spans="2:18">
      <c r="B1322" s="2157" t="s">
        <v>1160</v>
      </c>
      <c r="C1322" s="2157"/>
      <c r="D1322" s="2157"/>
      <c r="E1322" s="2157"/>
      <c r="F1322" s="2157"/>
      <c r="G1322" s="2157"/>
      <c r="H1322" s="2157"/>
      <c r="I1322" s="2157"/>
      <c r="J1322" s="2157"/>
      <c r="K1322" s="2157"/>
      <c r="L1322" s="2157"/>
      <c r="M1322" s="2157"/>
      <c r="N1322" s="2157"/>
      <c r="O1322" s="2157"/>
      <c r="P1322" s="2157"/>
      <c r="Q1322" s="2157"/>
      <c r="R1322" s="2157"/>
    </row>
    <row r="1323" spans="2:18">
      <c r="B1323" s="2179"/>
      <c r="C1323" s="2179"/>
      <c r="D1323" s="2179"/>
      <c r="E1323" s="2179"/>
      <c r="F1323" s="2179"/>
      <c r="G1323" s="2179"/>
      <c r="H1323" s="2179"/>
      <c r="I1323" s="2179"/>
      <c r="J1323" s="2179"/>
      <c r="K1323" s="2179"/>
      <c r="L1323" s="2179"/>
      <c r="M1323" s="2179"/>
      <c r="N1323" s="2179"/>
      <c r="O1323" s="2179"/>
      <c r="P1323" s="2179"/>
      <c r="Q1323" s="2179"/>
    </row>
    <row r="1324" spans="2:18">
      <c r="B1324" s="583"/>
      <c r="C1324" s="2161" t="s">
        <v>389</v>
      </c>
      <c r="D1324" s="2162"/>
      <c r="E1324" s="2162"/>
      <c r="F1324" s="2162"/>
      <c r="G1324" s="2162"/>
      <c r="H1324" s="2162"/>
      <c r="I1324" s="2162"/>
      <c r="J1324" s="2163"/>
      <c r="K1324" s="2161" t="s">
        <v>387</v>
      </c>
      <c r="L1324" s="2162"/>
      <c r="M1324" s="2162"/>
      <c r="N1324" s="2162"/>
      <c r="O1324" s="2162"/>
      <c r="P1324" s="2162"/>
      <c r="Q1324" s="2162"/>
      <c r="R1324" s="2163"/>
    </row>
    <row r="1325" spans="2:18">
      <c r="B1325" s="57"/>
      <c r="C1325" s="585">
        <v>2014</v>
      </c>
      <c r="D1325" s="586">
        <v>2015</v>
      </c>
      <c r="E1325" s="586">
        <v>2016</v>
      </c>
      <c r="F1325" s="586">
        <v>2017</v>
      </c>
      <c r="G1325" s="586">
        <v>2018</v>
      </c>
      <c r="H1325" s="586">
        <v>2019</v>
      </c>
      <c r="I1325" s="586">
        <v>2020</v>
      </c>
      <c r="J1325" s="586">
        <v>2021</v>
      </c>
      <c r="K1325" s="587">
        <v>2014</v>
      </c>
      <c r="L1325" s="588">
        <v>2015</v>
      </c>
      <c r="M1325" s="588">
        <v>2016</v>
      </c>
      <c r="N1325" s="588">
        <v>2017</v>
      </c>
      <c r="O1325" s="588">
        <v>2018</v>
      </c>
      <c r="P1325" s="588">
        <v>2019</v>
      </c>
      <c r="Q1325" s="588">
        <v>2020</v>
      </c>
      <c r="R1325" s="848">
        <v>2021</v>
      </c>
    </row>
    <row r="1326" spans="2:18">
      <c r="B1326" s="589" t="s">
        <v>1038</v>
      </c>
      <c r="C1326" s="1671">
        <f>ARG!C129/1000000</f>
        <v>36.325291999999997</v>
      </c>
      <c r="D1326" s="1672">
        <f>ARG!D129/1000000</f>
        <v>37.854927000000004</v>
      </c>
      <c r="E1326" s="1672">
        <f>ARG!E129/1000000</f>
        <v>41.100749999999998</v>
      </c>
      <c r="F1326" s="1672">
        <f>ARG!F129/1000000</f>
        <v>45.213411000000001</v>
      </c>
      <c r="G1326" s="1672">
        <f>ARG!G129/1000000</f>
        <v>48.075097999999997</v>
      </c>
      <c r="H1326" s="1672">
        <f>ARG!H129/1000000</f>
        <v>48.551233000000003</v>
      </c>
      <c r="I1326" s="1672">
        <f>ARG!I129/1000000</f>
        <v>57.125155999999997</v>
      </c>
      <c r="J1326" s="1673">
        <f>ARG!J129/1000000</f>
        <v>60.138022999999997</v>
      </c>
      <c r="K1326" s="1672">
        <f>ARG!C131/1000000</f>
        <v>50.3354</v>
      </c>
      <c r="L1326" s="1672">
        <f>ARG!D131/1000000</f>
        <v>54.926425999999999</v>
      </c>
      <c r="M1326" s="1672">
        <f>ARG!E131/1000000</f>
        <v>58.554780000000001</v>
      </c>
      <c r="N1326" s="1672">
        <f>ARG!F131/1000000</f>
        <v>60.876330000000003</v>
      </c>
      <c r="O1326" s="1672">
        <f>ARG!G131/1000000</f>
        <v>62.456144000000002</v>
      </c>
      <c r="P1326" s="1672">
        <f>ARG!H131/1000000</f>
        <v>60.571817000000003</v>
      </c>
      <c r="Q1326" s="1672">
        <f>ARG!I131/1000000</f>
        <v>61.011546000000003</v>
      </c>
      <c r="R1326" s="1673">
        <f>ARG!J131/1000000</f>
        <v>54.472895000000001</v>
      </c>
    </row>
    <row r="1327" spans="2:18">
      <c r="B1327" s="595" t="s">
        <v>1039</v>
      </c>
      <c r="C1327" s="1670">
        <f>BA!C117/1000000</f>
        <v>0</v>
      </c>
      <c r="D1327" s="602">
        <f>BA!D117/1000000</f>
        <v>0</v>
      </c>
      <c r="E1327" s="602">
        <f>BA!E117/1000000</f>
        <v>0</v>
      </c>
      <c r="F1327" s="602">
        <f>BA!F117/1000000</f>
        <v>0</v>
      </c>
      <c r="G1327" s="602">
        <f>BA!G117/1000000</f>
        <v>0</v>
      </c>
      <c r="H1327" s="602">
        <f>BA!H117/1000000</f>
        <v>0</v>
      </c>
      <c r="I1327" s="602">
        <f>BA!I117/1000000</f>
        <v>0</v>
      </c>
      <c r="J1327" s="846">
        <f>BA!J117/1000000</f>
        <v>0</v>
      </c>
      <c r="K1327" s="602">
        <f>BA!C119/1000000</f>
        <v>0.15923899999999999</v>
      </c>
      <c r="L1327" s="602">
        <f>BA!D119/1000000</f>
        <v>0.10213</v>
      </c>
      <c r="M1327" s="602">
        <f>BA!E119/1000000</f>
        <v>9.9416000000000004E-2</v>
      </c>
      <c r="N1327" s="602">
        <f>BA!F119/1000000</f>
        <v>9.6153000000000002E-2</v>
      </c>
      <c r="O1327" s="602">
        <f>BA!G119/1000000</f>
        <v>9.5779000000000003E-2</v>
      </c>
      <c r="P1327" s="602">
        <f>BA!H119/1000000</f>
        <v>9.2565999999999996E-2</v>
      </c>
      <c r="Q1327" s="602">
        <f>BA!I119/1000000</f>
        <v>9.0103000000000003E-2</v>
      </c>
      <c r="R1327" s="846">
        <f>BA!J119/1000000</f>
        <v>9.0628E-2</v>
      </c>
    </row>
    <row r="1328" spans="2:18">
      <c r="B1328" s="595" t="s">
        <v>1040</v>
      </c>
      <c r="C1328" s="1670">
        <f>BO!C115/1000000</f>
        <v>2.347861</v>
      </c>
      <c r="D1328" s="602">
        <f>BO!D115/1000000</f>
        <v>2.691452</v>
      </c>
      <c r="E1328" s="602">
        <f>BO!E115/1000000</f>
        <v>3.0747789999999999</v>
      </c>
      <c r="F1328" s="602">
        <f>BO!F115/1000000</f>
        <v>3.6328360000000002</v>
      </c>
      <c r="G1328" s="602">
        <f>BO!G115/1000000</f>
        <v>4.2785149999999996</v>
      </c>
      <c r="H1328" s="602">
        <f>BO!H115/1000000</f>
        <v>4.2598760000000002</v>
      </c>
      <c r="I1328" s="602">
        <f>BO!I115/1000000</f>
        <v>5.2668379999999999</v>
      </c>
      <c r="J1328" s="846">
        <f>BO!J115/1000000</f>
        <v>6.2947860000000002</v>
      </c>
      <c r="K1328" s="602">
        <f>BO!C117/1000000</f>
        <v>0.107682</v>
      </c>
      <c r="L1328" s="602">
        <f>BO!D117/1000000</f>
        <v>0.120501</v>
      </c>
      <c r="M1328" s="602">
        <f>BO!E117/1000000</f>
        <v>0.13694200000000001</v>
      </c>
      <c r="N1328" s="602">
        <f>BO!F117/1000000</f>
        <v>0.17705699999999999</v>
      </c>
      <c r="O1328" s="602">
        <f>BO!G117/1000000</f>
        <v>0.209925</v>
      </c>
      <c r="P1328" s="602">
        <f>BO!H117/1000000</f>
        <v>0.245201</v>
      </c>
      <c r="Q1328" s="602">
        <f>BO!I117/1000000</f>
        <v>0.251083</v>
      </c>
      <c r="R1328" s="846">
        <f>BO!J117/1000000</f>
        <v>0.24929000000000001</v>
      </c>
    </row>
    <row r="1329" spans="2:18">
      <c r="B1329" s="595" t="s">
        <v>1041</v>
      </c>
      <c r="C1329" s="1670">
        <f>BR!C121/1000000</f>
        <v>313.21977800000002</v>
      </c>
      <c r="D1329" s="602">
        <f>BR!D121/1000000</f>
        <v>317.355389</v>
      </c>
      <c r="E1329" s="602">
        <f>BR!E121/1000000</f>
        <v>318.39363200000003</v>
      </c>
      <c r="F1329" s="602">
        <f>BR!F121/1000000</f>
        <v>324.24093499999998</v>
      </c>
      <c r="G1329" s="602">
        <f>BR!G121/1000000</f>
        <v>329.84833200000003</v>
      </c>
      <c r="H1329" s="602">
        <f>BR!H121/1000000</f>
        <v>348.826953</v>
      </c>
      <c r="I1329" s="602">
        <f>BR!I121/1000000</f>
        <v>457.60227800000001</v>
      </c>
      <c r="J1329" s="846">
        <f>BR!J121/1000000</f>
        <v>458.95514300000002</v>
      </c>
      <c r="K1329" s="602">
        <f>BR!C123/1000000</f>
        <v>160.02585999999999</v>
      </c>
      <c r="L1329" s="602">
        <f>BR!D123/1000000</f>
        <v>163.104063</v>
      </c>
      <c r="M1329" s="602">
        <f>BR!E123/1000000</f>
        <v>148.86821499999999</v>
      </c>
      <c r="N1329" s="602">
        <f>BR!F123/1000000</f>
        <v>152.24512300000001</v>
      </c>
      <c r="O1329" s="602">
        <f>BR!G123/1000000</f>
        <v>183.66114999999999</v>
      </c>
      <c r="P1329" s="602">
        <f>BR!H123/1000000</f>
        <v>217.712186</v>
      </c>
      <c r="Q1329" s="602">
        <f>BR!I123/1000000</f>
        <v>262.99072899999999</v>
      </c>
      <c r="R1329" s="846">
        <f>BR!J123/1000000</f>
        <v>378.67081999999999</v>
      </c>
    </row>
    <row r="1330" spans="2:18">
      <c r="B1330" s="595" t="s">
        <v>1042</v>
      </c>
      <c r="C1330" s="1670">
        <f>CL!C120/1000000</f>
        <v>17.841438</v>
      </c>
      <c r="D1330" s="602">
        <f>CL!D120/1000000</f>
        <v>20.003216999999999</v>
      </c>
      <c r="E1330" s="602">
        <f>CL!E120/1000000</f>
        <v>21.13719</v>
      </c>
      <c r="F1330" s="602">
        <f>CL!F120/1000000</f>
        <v>21.544937000000001</v>
      </c>
      <c r="G1330" s="602">
        <f>CL!G120/1000000</f>
        <v>22.398092999999999</v>
      </c>
      <c r="H1330" s="602">
        <f>CL!H120/1000000</f>
        <v>21.653908999999999</v>
      </c>
      <c r="I1330" s="602">
        <f>CL!I120/1000000</f>
        <v>21.700206000000001</v>
      </c>
      <c r="J1330" s="846">
        <f>CL!J120/1000000</f>
        <v>24.408194999999999</v>
      </c>
      <c r="K1330" s="602">
        <f>CL!C122/1000000</f>
        <v>9.9529270000000007</v>
      </c>
      <c r="L1330" s="602">
        <f>CL!D122/1000000</f>
        <v>12.717426</v>
      </c>
      <c r="M1330" s="602">
        <f>CL!E122/1000000</f>
        <v>12.943592000000001</v>
      </c>
      <c r="N1330" s="602">
        <f>CL!F122/1000000</f>
        <v>12.866159</v>
      </c>
      <c r="O1330" s="602">
        <f>CL!G122/1000000</f>
        <v>17.894707</v>
      </c>
      <c r="P1330" s="602">
        <f>CL!H122/1000000</f>
        <v>17.171047000000002</v>
      </c>
      <c r="Q1330" s="602">
        <f>CL!I122/1000000</f>
        <v>13.99372</v>
      </c>
      <c r="R1330" s="846">
        <f>CL!J122/1000000</f>
        <v>14.035574</v>
      </c>
    </row>
    <row r="1331" spans="2:18">
      <c r="B1331" s="595" t="s">
        <v>1043</v>
      </c>
      <c r="C1331" s="1670">
        <f>CO!C117/1000000</f>
        <v>20.869340999999999</v>
      </c>
      <c r="D1331" s="602">
        <f>CO!D117/1000000</f>
        <v>22.514108</v>
      </c>
      <c r="E1331" s="602">
        <f>CO!E117/1000000</f>
        <v>25.176566999999999</v>
      </c>
      <c r="F1331" s="602">
        <f>CO!F117/1000000</f>
        <v>27.524422000000001</v>
      </c>
      <c r="G1331" s="602">
        <f>CO!G117/1000000</f>
        <v>29.574650999999999</v>
      </c>
      <c r="H1331" s="602">
        <f>CO!H117/1000000</f>
        <v>33.091473999999998</v>
      </c>
      <c r="I1331" s="602">
        <f>CO!I117/1000000</f>
        <v>36.387824000000002</v>
      </c>
      <c r="J1331" s="846">
        <f>CO!J117/1000000</f>
        <v>40.817659999999997</v>
      </c>
      <c r="K1331" s="602">
        <f>CO!C119/1000000</f>
        <v>12.684369999999999</v>
      </c>
      <c r="L1331" s="602">
        <f>CO!D119/1000000</f>
        <v>13.752401000000001</v>
      </c>
      <c r="M1331" s="602">
        <f>CO!E119/1000000</f>
        <v>14.933712999999999</v>
      </c>
      <c r="N1331" s="602">
        <f>CO!F119/1000000</f>
        <v>14.898432</v>
      </c>
      <c r="O1331" s="602">
        <f>CO!G119/1000000</f>
        <v>15.286716</v>
      </c>
      <c r="P1331" s="602">
        <f>CO!H119/1000000</f>
        <v>16.054855</v>
      </c>
      <c r="Q1331" s="602">
        <f>CO!I119/1000000</f>
        <v>14.676302</v>
      </c>
      <c r="R1331" s="846">
        <f>CO!J119/1000000</f>
        <v>15.603719999999999</v>
      </c>
    </row>
    <row r="1332" spans="2:18">
      <c r="B1332" s="595" t="s">
        <v>1044</v>
      </c>
      <c r="C1332" s="1670">
        <f>CR!C120/1000000</f>
        <v>5.5831679999999997</v>
      </c>
      <c r="D1332" s="602">
        <f>CR!D120/1000000</f>
        <v>5.757924</v>
      </c>
      <c r="E1332" s="602">
        <f>CR!E120/1000000</f>
        <v>5.7857909999999997</v>
      </c>
      <c r="F1332" s="602">
        <f>CR!F120/1000000</f>
        <v>5.8425260000000003</v>
      </c>
      <c r="G1332" s="602">
        <f>CR!G120/1000000</f>
        <v>6.039142</v>
      </c>
      <c r="H1332" s="602">
        <f>CR!H120/1000000</f>
        <v>5.7099440000000001</v>
      </c>
      <c r="I1332" s="602">
        <f>CR!I120/1000000</f>
        <v>6.1948869999999996</v>
      </c>
      <c r="J1332" s="846">
        <f>CR!J120/1000000</f>
        <v>6.622833</v>
      </c>
      <c r="K1332" s="602">
        <f>CR!C122/1000000</f>
        <v>1.9525269999999999</v>
      </c>
      <c r="L1332" s="602">
        <f>CR!D122/1000000</f>
        <v>2.2726660000000001</v>
      </c>
      <c r="M1332" s="602">
        <f>CR!E122/1000000</f>
        <v>2.4569830000000001</v>
      </c>
      <c r="N1332" s="602">
        <f>CR!F122/1000000</f>
        <v>2.7667700000000002</v>
      </c>
      <c r="O1332" s="602">
        <f>CR!G122/1000000</f>
        <v>3.0394770000000002</v>
      </c>
      <c r="P1332" s="602">
        <f>CR!H122/1000000</f>
        <v>3.1273270000000002</v>
      </c>
      <c r="Q1332" s="602">
        <f>CR!I122/1000000</f>
        <v>2.531666</v>
      </c>
      <c r="R1332" s="846">
        <f>CR!J122/1000000</f>
        <v>2.4950060000000001</v>
      </c>
    </row>
    <row r="1333" spans="2:18">
      <c r="B1333" s="595" t="s">
        <v>1061</v>
      </c>
      <c r="C1333" s="1670">
        <v>0</v>
      </c>
      <c r="D1333" s="602">
        <v>0.3</v>
      </c>
      <c r="E1333" s="602">
        <f>CW!E130/1000000</f>
        <v>0.34894999999999998</v>
      </c>
      <c r="F1333" s="602">
        <f>CW!F130/1000000</f>
        <v>0.36760300000000001</v>
      </c>
      <c r="G1333" s="602">
        <f>CW!G130/1000000</f>
        <v>0.37815300000000002</v>
      </c>
      <c r="H1333" s="602">
        <f>CW!H130/1000000</f>
        <v>0.378749</v>
      </c>
      <c r="I1333" s="602">
        <f>CW!I130/1000000</f>
        <v>0.38853700000000002</v>
      </c>
      <c r="J1333" s="846">
        <f>CW!J130/1000000</f>
        <v>0.36817899999999998</v>
      </c>
      <c r="K1333" s="602">
        <v>0</v>
      </c>
      <c r="L1333" s="602">
        <v>0.1</v>
      </c>
      <c r="M1333" s="602">
        <f>CW!E132/1000000</f>
        <v>0.143624</v>
      </c>
      <c r="N1333" s="602">
        <f>CW!F132/1000000</f>
        <v>0.16289400000000001</v>
      </c>
      <c r="O1333" s="602">
        <f>CW!G132/1000000</f>
        <v>0.16353300000000001</v>
      </c>
      <c r="P1333" s="602">
        <f>CW!H132/1000000</f>
        <v>0.16012100000000001</v>
      </c>
      <c r="Q1333" s="602">
        <f>CW!I132/1000000</f>
        <v>0.16083900000000001</v>
      </c>
      <c r="R1333" s="846">
        <f>CW!J132/1000000</f>
        <v>0.15260499999999999</v>
      </c>
    </row>
    <row r="1334" spans="2:18">
      <c r="B1334" s="595" t="s">
        <v>1047</v>
      </c>
      <c r="C1334" s="1670">
        <f>EC!C117/1000000</f>
        <v>0</v>
      </c>
      <c r="D1334" s="602">
        <f>EC!D117/1000000</f>
        <v>4.7992559999999997</v>
      </c>
      <c r="E1334" s="602">
        <f>EC!E117/1000000</f>
        <v>5.3913620000000009</v>
      </c>
      <c r="F1334" s="602">
        <f>EC!F117/1000000</f>
        <v>5.7789669999999989</v>
      </c>
      <c r="G1334" s="602">
        <f>EC!G117/1000000</f>
        <v>6.7711999999999994</v>
      </c>
      <c r="H1334" s="602">
        <f>EC!H117/1000000</f>
        <v>7.7553689999999991</v>
      </c>
      <c r="I1334" s="602">
        <f>EC!I117/1000000</f>
        <v>8.6134649999999997</v>
      </c>
      <c r="J1334" s="846">
        <f>EC!J117/1000000</f>
        <v>2.2308569999999999</v>
      </c>
      <c r="K1334" s="602">
        <f>EC!C119/1000000</f>
        <v>0</v>
      </c>
      <c r="L1334" s="602">
        <f>EC!D119/1000000</f>
        <v>2.5598360000000064</v>
      </c>
      <c r="M1334" s="602">
        <f>EC!E119/1000000</f>
        <v>2.5721880000000086</v>
      </c>
      <c r="N1334" s="602">
        <f>EC!F119/1000000</f>
        <v>2.841332999999989</v>
      </c>
      <c r="O1334" s="602">
        <f>EC!G119/1000000</f>
        <v>3.1491939999999663</v>
      </c>
      <c r="P1334" s="602">
        <f>EC!H119/1000000</f>
        <v>3.4686199999999512</v>
      </c>
      <c r="Q1334" s="602">
        <f>EC!I119/1000000</f>
        <v>3.392684</v>
      </c>
      <c r="R1334" s="846">
        <f>EC!J119/1000000</f>
        <v>2.566398</v>
      </c>
    </row>
    <row r="1335" spans="2:18">
      <c r="B1335" s="595" t="s">
        <v>1048</v>
      </c>
      <c r="C1335" s="1670">
        <f>SV!C118/1000000</f>
        <v>0</v>
      </c>
      <c r="D1335" s="602">
        <f>SV!D118/1000000</f>
        <v>1.7080470000000001</v>
      </c>
      <c r="E1335" s="602">
        <f>SV!E118/1000000</f>
        <v>1.8772949999999999</v>
      </c>
      <c r="F1335" s="602">
        <f>SV!F118/1000000</f>
        <v>1.910242</v>
      </c>
      <c r="G1335" s="602">
        <f>SV!G118/1000000</f>
        <v>2.0414569999999999</v>
      </c>
      <c r="H1335" s="602">
        <f>SV!H118/1000000</f>
        <v>2.1353499999999999</v>
      </c>
      <c r="I1335" s="602">
        <f>SV!I118/1000000</f>
        <v>2.093845</v>
      </c>
      <c r="J1335" s="846">
        <f>SV!J118/1000000</f>
        <v>2.390406</v>
      </c>
      <c r="K1335" s="602">
        <f>SV!C120/1000000</f>
        <v>0</v>
      </c>
      <c r="L1335" s="602">
        <f>SV!D120/1000000</f>
        <v>0.76559500000000003</v>
      </c>
      <c r="M1335" s="602">
        <f>SV!E120/1000000</f>
        <v>0.85292299999999999</v>
      </c>
      <c r="N1335" s="602">
        <f>SV!F120/1000000</f>
        <v>0.90024000000000004</v>
      </c>
      <c r="O1335" s="602">
        <f>SV!G120/1000000</f>
        <v>0.95347000000000004</v>
      </c>
      <c r="P1335" s="602">
        <f>SV!H120/1000000</f>
        <v>1.054146</v>
      </c>
      <c r="Q1335" s="602">
        <f>SV!I120/1000000</f>
        <v>0.99215600000000004</v>
      </c>
      <c r="R1335" s="846">
        <f>SV!J120/1000000</f>
        <v>0.99634800000000001</v>
      </c>
    </row>
    <row r="1336" spans="2:18">
      <c r="B1336" s="595" t="s">
        <v>1049</v>
      </c>
      <c r="C1336" s="1670">
        <f>GT!C125/1000000</f>
        <v>3.0411609999999998</v>
      </c>
      <c r="D1336" s="602">
        <f>GT!D125/1000000</f>
        <v>0.77434199999999997</v>
      </c>
      <c r="E1336" s="602">
        <f>GT!E125/1000000</f>
        <v>3.4820000000000002</v>
      </c>
      <c r="F1336" s="602">
        <f>GT!F125/1000000</f>
        <v>3.86</v>
      </c>
      <c r="G1336" s="602">
        <f>GT!G125/1000000</f>
        <v>4.3083099999999996</v>
      </c>
      <c r="H1336" s="602">
        <f>GT!H125/1000000</f>
        <v>6.035374</v>
      </c>
      <c r="I1336" s="602">
        <f>GT!I125/1000000</f>
        <v>5.2269639999999997</v>
      </c>
      <c r="J1336" s="846">
        <f>GT!J125/1000000</f>
        <v>3.1092919999999999</v>
      </c>
      <c r="K1336" s="602">
        <f>GT!C127/1000000</f>
        <v>0.240199</v>
      </c>
      <c r="L1336" s="602">
        <f>GT!D127/1000000</f>
        <v>0.17788100000000001</v>
      </c>
      <c r="M1336" s="602">
        <f>GT!E127/1000000</f>
        <v>9.4E-2</v>
      </c>
      <c r="N1336" s="602">
        <f>GT!F127/1000000</f>
        <v>0.28699999999999998</v>
      </c>
      <c r="O1336" s="602">
        <f>GT!G127/1000000</f>
        <v>0.70507900000000001</v>
      </c>
      <c r="P1336" s="602">
        <f>GT!H127/1000000</f>
        <v>0.82241399999999998</v>
      </c>
      <c r="Q1336" s="602">
        <f>GT!I127/1000000</f>
        <v>0.93456300000000003</v>
      </c>
      <c r="R1336" s="846">
        <f>GT!J127/1000000</f>
        <v>0.98817200000000005</v>
      </c>
    </row>
    <row r="1337" spans="2:18">
      <c r="B1337" s="595" t="s">
        <v>1050</v>
      </c>
      <c r="C1337" s="1670">
        <f>HN!C123/1000000</f>
        <v>2.7029019999999999</v>
      </c>
      <c r="D1337" s="602">
        <f>HN!D123/1000000</f>
        <v>3.0279180000000001</v>
      </c>
      <c r="E1337" s="602">
        <f>HN!E123/1000000</f>
        <v>3.341313</v>
      </c>
      <c r="F1337" s="602">
        <f>HN!F123/1000000</f>
        <v>3.6971409999999998</v>
      </c>
      <c r="G1337" s="602">
        <f>HN!G123/1000000</f>
        <v>4.1024570000000002</v>
      </c>
      <c r="H1337" s="602">
        <f>HN!H123/1000000</f>
        <v>4.5746799999999999</v>
      </c>
      <c r="I1337" s="602">
        <f>HN!I123/1000000</f>
        <v>5.0960479999999997</v>
      </c>
      <c r="J1337" s="846">
        <f>HN!J123/1000000</f>
        <v>6.1331670000000003</v>
      </c>
      <c r="K1337" s="602">
        <f>HN!C125/1000000</f>
        <v>0.84076799999999996</v>
      </c>
      <c r="L1337" s="602">
        <f>HN!D125/1000000</f>
        <v>0.82917399999999997</v>
      </c>
      <c r="M1337" s="602">
        <f>HN!E125/1000000</f>
        <v>0.84350400000000003</v>
      </c>
      <c r="N1337" s="602">
        <f>HN!F125/1000000</f>
        <v>0.81955</v>
      </c>
      <c r="O1337" s="602">
        <f>HN!G125/1000000</f>
        <v>0.80468200000000001</v>
      </c>
      <c r="P1337" s="602">
        <f>HN!H125/1000000</f>
        <v>0.82626900000000003</v>
      </c>
      <c r="Q1337" s="602">
        <f>HN!I125/1000000</f>
        <v>0.79497099999999998</v>
      </c>
      <c r="R1337" s="846">
        <f>HN!J125/1000000</f>
        <v>0.76595400000000002</v>
      </c>
    </row>
    <row r="1338" spans="2:18">
      <c r="B1338" s="595" t="s">
        <v>1051</v>
      </c>
      <c r="C1338" s="1670">
        <f>JM!C120/1000000</f>
        <v>2.563456</v>
      </c>
      <c r="D1338" s="602">
        <f>JM!D120/1000000</f>
        <v>2.7768540000000002</v>
      </c>
      <c r="E1338" s="602">
        <f>JM!E120/1000000</f>
        <v>2.1769409999999998</v>
      </c>
      <c r="F1338" s="602">
        <f>JM!F120/1000000</f>
        <v>2.8951159999999998</v>
      </c>
      <c r="G1338" s="602">
        <f>JM!G120/1000000</f>
        <v>3.0392399999999999</v>
      </c>
      <c r="H1338" s="602">
        <f>JM!H120/1000000</f>
        <v>3.3930579999999999</v>
      </c>
      <c r="I1338" s="602">
        <f>JM!I120/1000000</f>
        <v>3.9440879999999998</v>
      </c>
      <c r="J1338" s="846">
        <f>JM!J120/1000000</f>
        <v>4.4582050000000004</v>
      </c>
      <c r="K1338" s="602">
        <f>JM!C122/1000000</f>
        <v>0.22325900000000001</v>
      </c>
      <c r="L1338" s="602">
        <f>JM!D122/1000000</f>
        <v>0.22700100000000001</v>
      </c>
      <c r="M1338" s="602">
        <f>JM!E122/1000000</f>
        <v>0.2455</v>
      </c>
      <c r="N1338" s="602">
        <f>JM!F122/1000000</f>
        <v>0.29189799999999999</v>
      </c>
      <c r="O1338" s="602">
        <f>JM!G122/1000000</f>
        <v>0.30345100000000003</v>
      </c>
      <c r="P1338" s="602">
        <f>JM!H122/1000000</f>
        <v>0.32865800000000001</v>
      </c>
      <c r="Q1338" s="602">
        <f>JM!I122/1000000</f>
        <v>0.33558700000000002</v>
      </c>
      <c r="R1338" s="846">
        <f>JM!J122/1000000</f>
        <v>0.35929499999999998</v>
      </c>
    </row>
    <row r="1339" spans="2:18">
      <c r="B1339" s="595" t="s">
        <v>1052</v>
      </c>
      <c r="C1339" s="1670">
        <f>RD!C133/1000000</f>
        <v>3.3273239999999999</v>
      </c>
      <c r="D1339" s="602">
        <f>RD!D133/1000000</f>
        <v>3.2949600000000001</v>
      </c>
      <c r="E1339" s="602">
        <f>RD!E133/1000000</f>
        <v>3.8989400000000001</v>
      </c>
      <c r="F1339" s="602">
        <f>RD!F133/1000000</f>
        <v>4.563504</v>
      </c>
      <c r="G1339" s="602">
        <f>RD!G133/1000000</f>
        <v>4.8284510000000003</v>
      </c>
      <c r="H1339" s="602">
        <f>RD!H133/1000000</f>
        <v>5.4245140000000003</v>
      </c>
      <c r="I1339" s="602">
        <f>RD!I133/1000000</f>
        <v>5.5762999999999998</v>
      </c>
      <c r="J1339" s="846">
        <f>RD!J133/1000000</f>
        <v>5.8359290000000001</v>
      </c>
      <c r="K1339" s="602">
        <f>RD!C135/1000000</f>
        <v>2.3395690001945821</v>
      </c>
      <c r="L1339" s="602">
        <f>RD!D135/1000000</f>
        <v>2.2416960000000001</v>
      </c>
      <c r="M1339" s="602">
        <f>RD!E135/1000000</f>
        <v>2.460763</v>
      </c>
      <c r="N1339" s="602">
        <f>RD!F135/1000000</f>
        <v>2.4658190000000002</v>
      </c>
      <c r="O1339" s="602">
        <f>RD!G135/1000000</f>
        <v>2.538564</v>
      </c>
      <c r="P1339" s="602">
        <f>RD!H135/1000000</f>
        <v>2.6550319999999998</v>
      </c>
      <c r="Q1339" s="602">
        <f>RD!I135/1000000</f>
        <v>2.4503400000000006</v>
      </c>
      <c r="R1339" s="846">
        <f>RD!J135/1000000</f>
        <v>2.6870099999999999</v>
      </c>
    </row>
    <row r="1340" spans="2:18">
      <c r="B1340" s="595" t="s">
        <v>1053</v>
      </c>
      <c r="C1340" s="1670">
        <f>PY!C118/1000000</f>
        <v>1.661</v>
      </c>
      <c r="D1340" s="602">
        <f>PY!D118/1000000</f>
        <v>1.583067</v>
      </c>
      <c r="E1340" s="602">
        <f>PY!E118/1000000</f>
        <v>1.5682579999999999</v>
      </c>
      <c r="F1340" s="602">
        <f>PY!F118/1000000</f>
        <v>1.9308609999999999</v>
      </c>
      <c r="G1340" s="602">
        <f>PY!G118/1000000</f>
        <v>2.1903519999999999</v>
      </c>
      <c r="H1340" s="602">
        <f>PY!H118/1000000</f>
        <v>2.3919860000000002</v>
      </c>
      <c r="I1340" s="602">
        <f>PY!I118/1000000</f>
        <v>2.5132650000000001</v>
      </c>
      <c r="J1340" s="846">
        <f>PY!J118/1000000</f>
        <v>2.631043</v>
      </c>
      <c r="K1340" s="602">
        <f>PY!C120/1000000</f>
        <v>1.4419999999999999</v>
      </c>
      <c r="L1340" s="602">
        <f>PY!D120/1000000</f>
        <v>1.512251</v>
      </c>
      <c r="M1340" s="602">
        <f>PY!E120/1000000</f>
        <v>1.4837370000000001</v>
      </c>
      <c r="N1340" s="602">
        <f>PY!F120/1000000</f>
        <v>1.4674259999999999</v>
      </c>
      <c r="O1340" s="602">
        <f>PY!G120/1000000</f>
        <v>1.4507639999999999</v>
      </c>
      <c r="P1340" s="602">
        <f>PY!H120/1000000</f>
        <v>1.430566</v>
      </c>
      <c r="Q1340" s="602">
        <f>PY!I120/1000000</f>
        <v>1.3629279999999999</v>
      </c>
      <c r="R1340" s="846">
        <f>PY!J120/1000000</f>
        <v>1.4033770000000001</v>
      </c>
    </row>
    <row r="1341" spans="2:18">
      <c r="B1341" s="595" t="s">
        <v>1054</v>
      </c>
      <c r="C1341" s="1670">
        <f>PE!C123/1000000</f>
        <v>0</v>
      </c>
      <c r="D1341" s="602">
        <f>PE!D123/1000000</f>
        <v>0</v>
      </c>
      <c r="E1341" s="602">
        <f>PE!E123/1000000</f>
        <v>0</v>
      </c>
      <c r="F1341" s="602">
        <f>PE!F123/1000000</f>
        <v>0</v>
      </c>
      <c r="G1341" s="602">
        <f>PE!G123/1000000</f>
        <v>0</v>
      </c>
      <c r="H1341" s="602">
        <f>PE!H123/1000000</f>
        <v>0</v>
      </c>
      <c r="I1341" s="602">
        <f>PE!I123/1000000</f>
        <v>0</v>
      </c>
      <c r="J1341" s="846">
        <f>PE!J123/1000000</f>
        <v>0</v>
      </c>
      <c r="K1341" s="602">
        <f>PE!C125/1000000</f>
        <v>0</v>
      </c>
      <c r="L1341" s="602">
        <f>PE!D125/1000000</f>
        <v>0</v>
      </c>
      <c r="M1341" s="602">
        <f>PE!E125/1000000</f>
        <v>0</v>
      </c>
      <c r="N1341" s="602">
        <f>PE!F125/1000000</f>
        <v>0</v>
      </c>
      <c r="O1341" s="602">
        <f>PE!G125/1000000</f>
        <v>0</v>
      </c>
      <c r="P1341" s="602">
        <f>PE!H125/1000000</f>
        <v>0</v>
      </c>
      <c r="Q1341" s="602">
        <f>PE!I125/1000000</f>
        <v>0</v>
      </c>
      <c r="R1341" s="846">
        <f>PE!J125/1000000</f>
        <v>0</v>
      </c>
    </row>
    <row r="1342" spans="2:18">
      <c r="B1342" s="604" t="s">
        <v>1055</v>
      </c>
      <c r="C1342" s="1674">
        <f>TT!C125/1000000</f>
        <v>2.7051820000000002</v>
      </c>
      <c r="D1342" s="1675">
        <f>TT!D125/1000000</f>
        <v>2.8080910000000001</v>
      </c>
      <c r="E1342" s="1675">
        <f>TT!E125/1000000</f>
        <v>2.922174</v>
      </c>
      <c r="F1342" s="1675">
        <f>TT!F125/1000000</f>
        <v>3.0243150000000001</v>
      </c>
      <c r="G1342" s="1675">
        <f>TT!G125/1000000</f>
        <v>3.1434389999999999</v>
      </c>
      <c r="H1342" s="1675">
        <f>TT!H125/1000000</f>
        <v>3.3045230000000001</v>
      </c>
      <c r="I1342" s="1675">
        <f>TT!I125/1000000</f>
        <v>2.7607680000000001</v>
      </c>
      <c r="J1342" s="1676">
        <f>TT!J125/1000000</f>
        <v>2.8405770000000001</v>
      </c>
      <c r="K1342" s="1675">
        <f>TT!C127/1000000</f>
        <v>0.37664999999999998</v>
      </c>
      <c r="L1342" s="1675">
        <f>TT!D127/1000000</f>
        <v>0.42245199999999999</v>
      </c>
      <c r="M1342" s="1675">
        <f>TT!E127/1000000</f>
        <v>0.42667899999999997</v>
      </c>
      <c r="N1342" s="1675">
        <f>TT!F127/1000000</f>
        <v>0.42561700000000002</v>
      </c>
      <c r="O1342" s="1675">
        <f>TT!G127/1000000</f>
        <v>0.45369300000000001</v>
      </c>
      <c r="P1342" s="1675">
        <f>TT!H127/1000000</f>
        <v>0.488844</v>
      </c>
      <c r="Q1342" s="1675">
        <f>TT!I127/1000000</f>
        <v>0.51126700000000003</v>
      </c>
      <c r="R1342" s="1676">
        <f>TT!J127/1000000</f>
        <v>0.53394200000000003</v>
      </c>
    </row>
    <row r="1343" spans="2:18">
      <c r="B1343" s="57"/>
      <c r="C1343" s="582"/>
      <c r="D1343" s="582"/>
      <c r="E1343" s="582"/>
      <c r="F1343" s="582"/>
      <c r="G1343" s="582"/>
      <c r="H1343" s="582"/>
      <c r="I1343" s="582"/>
      <c r="J1343" s="582"/>
      <c r="K1343" s="582"/>
      <c r="L1343" s="582"/>
      <c r="M1343" s="582"/>
      <c r="N1343" s="582"/>
      <c r="O1343" s="582"/>
      <c r="P1343" s="582"/>
      <c r="Q1343" s="582"/>
    </row>
    <row r="1344" spans="2:18">
      <c r="B1344" s="2157" t="s">
        <v>1160</v>
      </c>
      <c r="C1344" s="2157"/>
      <c r="D1344" s="2157"/>
      <c r="E1344" s="2157"/>
      <c r="F1344" s="2157"/>
      <c r="G1344" s="2157"/>
      <c r="H1344" s="2157"/>
      <c r="I1344" s="2157"/>
      <c r="J1344" s="2157"/>
      <c r="K1344" s="2157"/>
      <c r="L1344" s="2157"/>
      <c r="M1344" s="2157"/>
      <c r="N1344" s="2157"/>
      <c r="O1344" s="2157"/>
      <c r="P1344" s="2157"/>
      <c r="Q1344" s="2157"/>
      <c r="R1344" s="2157"/>
    </row>
    <row r="1345" spans="2:17">
      <c r="B1345" s="619"/>
      <c r="C1345" s="621"/>
      <c r="D1345" s="621"/>
      <c r="E1345" s="621"/>
      <c r="F1345" s="621"/>
      <c r="G1345" s="621"/>
      <c r="H1345" s="621"/>
      <c r="I1345" s="621"/>
      <c r="J1345" s="621"/>
      <c r="K1345" s="622"/>
      <c r="L1345" s="622"/>
      <c r="M1345" s="622"/>
      <c r="N1345" s="622"/>
      <c r="O1345" s="622"/>
      <c r="P1345" s="622"/>
      <c r="Q1345" s="622"/>
    </row>
    <row r="1346" spans="2:17">
      <c r="B1346" s="583"/>
      <c r="C1346" s="2161" t="s">
        <v>388</v>
      </c>
      <c r="D1346" s="2162"/>
      <c r="E1346" s="2162"/>
      <c r="F1346" s="2162"/>
      <c r="G1346" s="2162"/>
      <c r="H1346" s="2162"/>
      <c r="I1346" s="2162"/>
      <c r="J1346" s="2163"/>
      <c r="K1346" s="2181"/>
      <c r="L1346" s="2181"/>
      <c r="M1346" s="2181"/>
      <c r="N1346" s="2181"/>
      <c r="O1346" s="2181"/>
      <c r="P1346" s="2181"/>
      <c r="Q1346" s="2181"/>
    </row>
    <row r="1347" spans="2:17">
      <c r="B1347" s="57"/>
      <c r="C1347" s="587">
        <v>2014</v>
      </c>
      <c r="D1347" s="588">
        <v>2015</v>
      </c>
      <c r="E1347" s="588">
        <v>2016</v>
      </c>
      <c r="F1347" s="588">
        <v>2017</v>
      </c>
      <c r="G1347" s="588">
        <v>2018</v>
      </c>
      <c r="H1347" s="588">
        <v>2019</v>
      </c>
      <c r="I1347" s="588">
        <v>2020</v>
      </c>
      <c r="J1347" s="848">
        <v>2020</v>
      </c>
      <c r="K1347" s="582"/>
      <c r="O1347" s="582"/>
      <c r="P1347" s="582"/>
      <c r="Q1347" s="582"/>
    </row>
    <row r="1348" spans="2:17">
      <c r="B1348" s="589" t="s">
        <v>1038</v>
      </c>
      <c r="C1348" s="1671">
        <f>ARG!C130/1000000</f>
        <v>0.57240800000000003</v>
      </c>
      <c r="D1348" s="1672">
        <f>ARG!D130/1000000</f>
        <v>0.57467000000000001</v>
      </c>
      <c r="E1348" s="1672">
        <f>ARG!E130/1000000</f>
        <v>0.583839</v>
      </c>
      <c r="F1348" s="1672">
        <f>ARG!F130/1000000</f>
        <v>0.56782900000000003</v>
      </c>
      <c r="G1348" s="1672">
        <f>ARG!G130/1000000</f>
        <v>0.67625999999999997</v>
      </c>
      <c r="H1348" s="1672">
        <f>ARG!H130/1000000</f>
        <v>0.115976</v>
      </c>
      <c r="I1348" s="1672">
        <f>ARG!I130/1000000</f>
        <v>0.12745899999999999</v>
      </c>
      <c r="J1348" s="1673">
        <f>ARG!J130/1000000</f>
        <v>0.13839299999999999</v>
      </c>
      <c r="O1348" s="582"/>
      <c r="P1348" s="582"/>
      <c r="Q1348" s="582"/>
    </row>
    <row r="1349" spans="2:17">
      <c r="B1349" s="595" t="s">
        <v>1039</v>
      </c>
      <c r="C1349" s="1670">
        <f>BA!C118/1000000</f>
        <v>0</v>
      </c>
      <c r="D1349" s="602">
        <f>BA!D118/1000000</f>
        <v>0</v>
      </c>
      <c r="E1349" s="602">
        <f>BA!E118/1000000</f>
        <v>0</v>
      </c>
      <c r="F1349" s="602">
        <f>BA!F118/1000000</f>
        <v>0</v>
      </c>
      <c r="G1349" s="602">
        <f>BA!G118/1000000</f>
        <v>0</v>
      </c>
      <c r="H1349" s="602">
        <f>BA!H118/1000000</f>
        <v>0</v>
      </c>
      <c r="I1349" s="602">
        <f>BA!I118/1000000</f>
        <v>0</v>
      </c>
      <c r="J1349" s="846">
        <f>BA!J118/1000000</f>
        <v>0</v>
      </c>
      <c r="O1349" s="582"/>
      <c r="P1349" s="582"/>
      <c r="Q1349" s="582"/>
    </row>
    <row r="1350" spans="2:17">
      <c r="B1350" s="595" t="s">
        <v>1040</v>
      </c>
      <c r="C1350" s="1670">
        <f>BO!C116/1000000</f>
        <v>0</v>
      </c>
      <c r="D1350" s="602">
        <f>BO!D116/1000000</f>
        <v>0</v>
      </c>
      <c r="E1350" s="602">
        <f>BO!E116/1000000</f>
        <v>0</v>
      </c>
      <c r="F1350" s="602">
        <f>BO!F116/1000000</f>
        <v>0</v>
      </c>
      <c r="G1350" s="602">
        <f>BO!G116/1000000</f>
        <v>0</v>
      </c>
      <c r="H1350" s="602">
        <f>BO!H116/1000000</f>
        <v>0</v>
      </c>
      <c r="I1350" s="602">
        <f>BO!I116/1000000</f>
        <v>0</v>
      </c>
      <c r="J1350" s="846">
        <f>BO!J116/1000000</f>
        <v>0</v>
      </c>
      <c r="O1350" s="582"/>
      <c r="P1350" s="582"/>
      <c r="Q1350" s="582"/>
    </row>
    <row r="1351" spans="2:17">
      <c r="B1351" s="595" t="s">
        <v>1041</v>
      </c>
      <c r="C1351" s="1670">
        <f>BR!C122/1000000</f>
        <v>0</v>
      </c>
      <c r="D1351" s="602">
        <f>BR!D122/1000000</f>
        <v>0</v>
      </c>
      <c r="E1351" s="602">
        <f>BR!E122/1000000</f>
        <v>0</v>
      </c>
      <c r="F1351" s="602">
        <f>BR!F122/1000000</f>
        <v>0</v>
      </c>
      <c r="G1351" s="602">
        <f>BR!G122/1000000</f>
        <v>0</v>
      </c>
      <c r="H1351" s="602">
        <f>BR!H122/1000000</f>
        <v>0</v>
      </c>
      <c r="I1351" s="602">
        <f>BR!I122/1000000</f>
        <v>0</v>
      </c>
      <c r="J1351" s="846">
        <f>BR!J122/1000000</f>
        <v>0</v>
      </c>
      <c r="O1351" s="582"/>
      <c r="P1351" s="582"/>
      <c r="Q1351" s="582"/>
    </row>
    <row r="1352" spans="2:17">
      <c r="B1352" s="595" t="s">
        <v>1042</v>
      </c>
      <c r="C1352" s="1670">
        <f>CL!C121/1000000</f>
        <v>0</v>
      </c>
      <c r="D1352" s="602">
        <f>CL!D121/1000000</f>
        <v>0</v>
      </c>
      <c r="E1352" s="602">
        <f>CL!E121/1000000</f>
        <v>0</v>
      </c>
      <c r="F1352" s="602">
        <f>CL!F121/1000000</f>
        <v>0</v>
      </c>
      <c r="G1352" s="602">
        <f>CL!G121/1000000</f>
        <v>0</v>
      </c>
      <c r="H1352" s="602">
        <f>CL!H121/1000000</f>
        <v>0</v>
      </c>
      <c r="I1352" s="602">
        <f>CL!I121/1000000</f>
        <v>0</v>
      </c>
      <c r="J1352" s="846">
        <f>CL!J121/1000000</f>
        <v>0</v>
      </c>
      <c r="O1352" s="582"/>
      <c r="P1352" s="582"/>
      <c r="Q1352" s="582"/>
    </row>
    <row r="1353" spans="2:17">
      <c r="B1353" s="595" t="s">
        <v>1043</v>
      </c>
      <c r="C1353" s="1670">
        <f>CO!C118/1000000</f>
        <v>0</v>
      </c>
      <c r="D1353" s="602">
        <f>CO!D118/1000000</f>
        <v>0</v>
      </c>
      <c r="E1353" s="602">
        <f>CO!E118/1000000</f>
        <v>0</v>
      </c>
      <c r="F1353" s="602">
        <f>CO!F118/1000000</f>
        <v>0</v>
      </c>
      <c r="G1353" s="602">
        <f>CO!G118/1000000</f>
        <v>0</v>
      </c>
      <c r="H1353" s="602">
        <f>CO!H118/1000000</f>
        <v>0</v>
      </c>
      <c r="I1353" s="602">
        <f>CO!I118/1000000</f>
        <v>0</v>
      </c>
      <c r="J1353" s="846">
        <f>CO!J118/1000000</f>
        <v>0</v>
      </c>
      <c r="O1353" s="582"/>
      <c r="P1353" s="582"/>
      <c r="Q1353" s="582"/>
    </row>
    <row r="1354" spans="2:17">
      <c r="B1354" s="595" t="s">
        <v>1044</v>
      </c>
      <c r="C1354" s="1670">
        <f>CR!C121/1000000</f>
        <v>0</v>
      </c>
      <c r="D1354" s="602">
        <f>CR!D121/1000000</f>
        <v>0</v>
      </c>
      <c r="E1354" s="602">
        <f>CR!E121/1000000</f>
        <v>0</v>
      </c>
      <c r="F1354" s="602">
        <f>CR!F121/1000000</f>
        <v>0</v>
      </c>
      <c r="G1354" s="602">
        <f>CR!G121/1000000</f>
        <v>0</v>
      </c>
      <c r="H1354" s="602">
        <f>CR!H121/1000000</f>
        <v>0</v>
      </c>
      <c r="I1354" s="602">
        <f>CR!I121/1000000</f>
        <v>0</v>
      </c>
      <c r="J1354" s="846">
        <f>CR!J121/1000000</f>
        <v>0</v>
      </c>
      <c r="O1354" s="582"/>
      <c r="P1354" s="582"/>
      <c r="Q1354" s="582"/>
    </row>
    <row r="1355" spans="2:17">
      <c r="B1355" s="595" t="s">
        <v>1061</v>
      </c>
      <c r="C1355" s="1670">
        <f>CW!C131/1000000</f>
        <v>0</v>
      </c>
      <c r="D1355" s="602">
        <f>CW!D131/1000000</f>
        <v>0</v>
      </c>
      <c r="E1355" s="602">
        <f>CW!E131/1000000</f>
        <v>0</v>
      </c>
      <c r="F1355" s="602">
        <f>CW!F131/1000000</f>
        <v>0</v>
      </c>
      <c r="G1355" s="602">
        <f>CW!G131/1000000</f>
        <v>0</v>
      </c>
      <c r="H1355" s="602">
        <f>CW!H131/1000000</f>
        <v>0</v>
      </c>
      <c r="I1355" s="602">
        <f>CW!I131/1000000</f>
        <v>0</v>
      </c>
      <c r="J1355" s="846">
        <f>CW!J131/1000000</f>
        <v>0</v>
      </c>
      <c r="O1355" s="582"/>
      <c r="P1355" s="582"/>
      <c r="Q1355" s="582"/>
    </row>
    <row r="1356" spans="2:17">
      <c r="B1356" s="595" t="s">
        <v>1047</v>
      </c>
      <c r="C1356" s="1670">
        <f>EC!C118/1000000</f>
        <v>0</v>
      </c>
      <c r="D1356" s="602">
        <f>EC!D118/1000000</f>
        <v>0</v>
      </c>
      <c r="E1356" s="602">
        <f>EC!E118/1000000</f>
        <v>0</v>
      </c>
      <c r="F1356" s="602">
        <f>EC!F118/1000000</f>
        <v>0</v>
      </c>
      <c r="G1356" s="602">
        <f>EC!G118/1000000</f>
        <v>0</v>
      </c>
      <c r="H1356" s="602">
        <f>EC!H118/1000000</f>
        <v>0</v>
      </c>
      <c r="I1356" s="602">
        <f>EC!I118/1000000</f>
        <v>0</v>
      </c>
      <c r="J1356" s="846">
        <f>EC!J118/1000000</f>
        <v>0</v>
      </c>
      <c r="O1356" s="582"/>
      <c r="P1356" s="582"/>
      <c r="Q1356" s="582"/>
    </row>
    <row r="1357" spans="2:17">
      <c r="B1357" s="595" t="s">
        <v>1048</v>
      </c>
      <c r="C1357" s="1670">
        <f>SV!C119/1000000</f>
        <v>0</v>
      </c>
      <c r="D1357" s="602">
        <f>SV!D119/1000000</f>
        <v>0</v>
      </c>
      <c r="E1357" s="602">
        <f>SV!E119/1000000</f>
        <v>0</v>
      </c>
      <c r="F1357" s="602">
        <f>SV!F119/1000000</f>
        <v>0</v>
      </c>
      <c r="G1357" s="602">
        <f>SV!G119/1000000</f>
        <v>0</v>
      </c>
      <c r="H1357" s="602">
        <f>SV!H119/1000000</f>
        <v>0</v>
      </c>
      <c r="I1357" s="602">
        <f>SV!I119/1000000</f>
        <v>0</v>
      </c>
      <c r="J1357" s="846">
        <f>SV!J119/1000000</f>
        <v>0</v>
      </c>
      <c r="O1357" s="582"/>
      <c r="P1357" s="582"/>
      <c r="Q1357" s="582"/>
    </row>
    <row r="1358" spans="2:17">
      <c r="B1358" s="595" t="s">
        <v>1049</v>
      </c>
      <c r="C1358" s="1670">
        <f>GT!C126/1000000</f>
        <v>0</v>
      </c>
      <c r="D1358" s="602">
        <f>GT!D126/1000000</f>
        <v>0</v>
      </c>
      <c r="E1358" s="602">
        <f>GT!E126/1000000</f>
        <v>0</v>
      </c>
      <c r="F1358" s="602">
        <f>GT!F126/1000000</f>
        <v>0</v>
      </c>
      <c r="G1358" s="602">
        <f>GT!G126/1000000</f>
        <v>0</v>
      </c>
      <c r="H1358" s="602">
        <f>GT!H126/1000000</f>
        <v>0</v>
      </c>
      <c r="I1358" s="602">
        <f>GT!I126/1000000</f>
        <v>0</v>
      </c>
      <c r="J1358" s="846">
        <f>GT!J126/1000000</f>
        <v>0</v>
      </c>
      <c r="O1358" s="582"/>
      <c r="P1358" s="582"/>
      <c r="Q1358" s="582"/>
    </row>
    <row r="1359" spans="2:17">
      <c r="B1359" s="595" t="s">
        <v>1050</v>
      </c>
      <c r="C1359" s="1670">
        <f>HN!C124/1000000</f>
        <v>0</v>
      </c>
      <c r="D1359" s="602">
        <f>HN!D124/1000000</f>
        <v>0</v>
      </c>
      <c r="E1359" s="602">
        <f>HN!E124/1000000</f>
        <v>0</v>
      </c>
      <c r="F1359" s="602">
        <f>HN!F124/1000000</f>
        <v>0</v>
      </c>
      <c r="G1359" s="602">
        <f>HN!G124/1000000</f>
        <v>0</v>
      </c>
      <c r="H1359" s="602">
        <f>HN!H124/1000000</f>
        <v>0</v>
      </c>
      <c r="I1359" s="602">
        <f>HN!I124/1000000</f>
        <v>0</v>
      </c>
      <c r="J1359" s="846">
        <f>HN!J124/1000000</f>
        <v>0</v>
      </c>
      <c r="O1359" s="582"/>
      <c r="P1359" s="582"/>
      <c r="Q1359" s="582"/>
    </row>
    <row r="1360" spans="2:17">
      <c r="B1360" s="595" t="s">
        <v>1051</v>
      </c>
      <c r="C1360" s="1670">
        <f>JM!C121/1000000</f>
        <v>0</v>
      </c>
      <c r="D1360" s="602">
        <f>JM!D121/1000000</f>
        <v>0</v>
      </c>
      <c r="E1360" s="602">
        <f>JM!E121/1000000</f>
        <v>0</v>
      </c>
      <c r="F1360" s="602">
        <f>JM!F121/1000000</f>
        <v>0</v>
      </c>
      <c r="G1360" s="602">
        <f>JM!G121/1000000</f>
        <v>0</v>
      </c>
      <c r="H1360" s="602">
        <f>JM!H121/1000000</f>
        <v>0</v>
      </c>
      <c r="I1360" s="602">
        <f>JM!I121/1000000</f>
        <v>0</v>
      </c>
      <c r="J1360" s="846">
        <f>JM!J121/1000000</f>
        <v>0</v>
      </c>
      <c r="O1360" s="582"/>
      <c r="P1360" s="582"/>
      <c r="Q1360" s="582"/>
    </row>
    <row r="1361" spans="2:18">
      <c r="B1361" s="595" t="s">
        <v>1052</v>
      </c>
      <c r="C1361" s="1670">
        <f>RD!C134/1000000</f>
        <v>0</v>
      </c>
      <c r="D1361" s="602">
        <f>RD!D134/1000000</f>
        <v>0</v>
      </c>
      <c r="E1361" s="602">
        <f>RD!E134/1000000</f>
        <v>0</v>
      </c>
      <c r="F1361" s="602">
        <f>RD!F134/1000000</f>
        <v>0</v>
      </c>
      <c r="G1361" s="602">
        <f>RD!G134/1000000</f>
        <v>0</v>
      </c>
      <c r="H1361" s="602">
        <f>RD!H134/1000000</f>
        <v>0</v>
      </c>
      <c r="I1361" s="602">
        <f>RD!I134/1000000</f>
        <v>0</v>
      </c>
      <c r="J1361" s="846">
        <f>RD!J134/1000000</f>
        <v>0</v>
      </c>
      <c r="O1361" s="582"/>
      <c r="P1361" s="582"/>
      <c r="Q1361" s="582"/>
    </row>
    <row r="1362" spans="2:18">
      <c r="B1362" s="595" t="s">
        <v>1053</v>
      </c>
      <c r="C1362" s="1670">
        <f>PY!C119/1000000</f>
        <v>0</v>
      </c>
      <c r="D1362" s="602">
        <f>PY!D119/1000000</f>
        <v>0</v>
      </c>
      <c r="E1362" s="602">
        <f>PY!E119/1000000</f>
        <v>0</v>
      </c>
      <c r="F1362" s="602">
        <f>PY!F119/1000000</f>
        <v>0</v>
      </c>
      <c r="G1362" s="602">
        <f>PY!G119/1000000</f>
        <v>0</v>
      </c>
      <c r="H1362" s="602">
        <f>PY!H119/1000000</f>
        <v>0</v>
      </c>
      <c r="I1362" s="602">
        <f>PY!I119/1000000</f>
        <v>0</v>
      </c>
      <c r="J1362" s="846">
        <f>PY!J119/1000000</f>
        <v>0</v>
      </c>
      <c r="O1362" s="582"/>
      <c r="P1362" s="582"/>
      <c r="Q1362" s="582"/>
    </row>
    <row r="1363" spans="2:18">
      <c r="B1363" s="595" t="s">
        <v>1054</v>
      </c>
      <c r="C1363" s="1670">
        <f>PE!C124/1000000</f>
        <v>0</v>
      </c>
      <c r="D1363" s="602">
        <f>PE!D124/1000000</f>
        <v>0</v>
      </c>
      <c r="E1363" s="602">
        <f>PE!E124/1000000</f>
        <v>0</v>
      </c>
      <c r="F1363" s="602">
        <f>PE!F124/1000000</f>
        <v>0</v>
      </c>
      <c r="G1363" s="602">
        <f>PE!G124/1000000</f>
        <v>0</v>
      </c>
      <c r="H1363" s="602">
        <f>PE!H124/1000000</f>
        <v>0</v>
      </c>
      <c r="I1363" s="602">
        <f>PE!I124/1000000</f>
        <v>0</v>
      </c>
      <c r="J1363" s="846">
        <f>PE!J124/1000000</f>
        <v>0</v>
      </c>
      <c r="O1363" s="582"/>
      <c r="P1363" s="582"/>
      <c r="Q1363" s="582"/>
    </row>
    <row r="1364" spans="2:18">
      <c r="B1364" s="604" t="s">
        <v>1055</v>
      </c>
      <c r="C1364" s="1674">
        <f>TT!C126/1000000</f>
        <v>0</v>
      </c>
      <c r="D1364" s="1675">
        <f>TT!D126/1000000</f>
        <v>0</v>
      </c>
      <c r="E1364" s="1675">
        <f>TT!E126/1000000</f>
        <v>0</v>
      </c>
      <c r="F1364" s="1675">
        <f>TT!F126/1000000</f>
        <v>0</v>
      </c>
      <c r="G1364" s="1675">
        <f>TT!G126/1000000</f>
        <v>0</v>
      </c>
      <c r="H1364" s="1675">
        <f>TT!H126/1000000</f>
        <v>0</v>
      </c>
      <c r="I1364" s="1675">
        <f>TT!I126/1000000</f>
        <v>0</v>
      </c>
      <c r="J1364" s="1676">
        <f>TT!J126/1000000</f>
        <v>0</v>
      </c>
      <c r="M1364" s="582"/>
      <c r="N1364" s="582"/>
      <c r="O1364" s="582"/>
      <c r="P1364" s="582"/>
      <c r="Q1364" s="582"/>
    </row>
    <row r="1365" spans="2:18">
      <c r="B1365" s="57"/>
      <c r="C1365" s="582"/>
      <c r="D1365" s="582"/>
      <c r="E1365" s="582"/>
      <c r="F1365" s="582"/>
      <c r="G1365" s="582"/>
      <c r="H1365" s="582"/>
      <c r="I1365" s="582"/>
      <c r="J1365" s="582"/>
      <c r="K1365" s="582"/>
      <c r="L1365" s="582"/>
      <c r="M1365" s="582"/>
      <c r="N1365" s="582"/>
      <c r="O1365" s="582"/>
      <c r="P1365" s="582"/>
      <c r="Q1365" s="582"/>
    </row>
    <row r="1366" spans="2:18">
      <c r="B1366" s="2157" t="s">
        <v>1161</v>
      </c>
      <c r="C1366" s="2157"/>
      <c r="D1366" s="2157"/>
      <c r="E1366" s="2157"/>
      <c r="F1366" s="2157"/>
      <c r="G1366" s="2157"/>
      <c r="H1366" s="2157"/>
      <c r="I1366" s="2157"/>
      <c r="J1366" s="2157"/>
      <c r="K1366" s="2157"/>
      <c r="L1366" s="2157"/>
      <c r="M1366" s="2157"/>
      <c r="N1366" s="2157"/>
      <c r="O1366" s="2157"/>
      <c r="P1366" s="2157"/>
      <c r="Q1366" s="2157"/>
      <c r="R1366" s="2157"/>
    </row>
    <row r="1367" spans="2:18" ht="15" customHeight="1">
      <c r="B1367" s="2178" t="s">
        <v>1162</v>
      </c>
      <c r="C1367" s="2178"/>
      <c r="D1367" s="2178"/>
      <c r="E1367" s="2178"/>
      <c r="F1367" s="2178"/>
      <c r="G1367" s="2178"/>
      <c r="H1367" s="2178"/>
      <c r="I1367" s="2178"/>
      <c r="J1367" s="2178"/>
      <c r="K1367" s="2178"/>
      <c r="L1367" s="2178"/>
      <c r="M1367" s="2178"/>
      <c r="N1367" s="2178"/>
      <c r="O1367" s="2178"/>
      <c r="P1367" s="2178"/>
      <c r="Q1367" s="2178"/>
      <c r="R1367" s="2178"/>
    </row>
    <row r="1368" spans="2:18">
      <c r="B1368" s="2160" t="s">
        <v>1163</v>
      </c>
      <c r="C1368" s="2160"/>
      <c r="D1368" s="2160"/>
      <c r="E1368" s="2160"/>
      <c r="F1368" s="2160"/>
      <c r="G1368" s="2160"/>
      <c r="H1368" s="2160"/>
      <c r="I1368" s="2160"/>
      <c r="J1368" s="2160"/>
      <c r="K1368" s="2160"/>
      <c r="L1368" s="2160"/>
      <c r="M1368" s="2160"/>
      <c r="N1368" s="2160"/>
      <c r="O1368" s="2160"/>
      <c r="P1368" s="2160"/>
      <c r="Q1368" s="2160"/>
      <c r="R1368" s="2160"/>
    </row>
    <row r="1369" spans="2:18">
      <c r="B1369" s="57"/>
      <c r="C1369" s="582"/>
      <c r="D1369" s="582"/>
      <c r="E1369" s="582"/>
      <c r="F1369" s="582"/>
      <c r="G1369" s="582"/>
      <c r="H1369" s="582"/>
      <c r="I1369" s="582"/>
      <c r="J1369" s="582"/>
      <c r="K1369" s="582"/>
      <c r="L1369" s="582"/>
      <c r="M1369" s="582"/>
      <c r="N1369" s="582"/>
      <c r="O1369" s="582"/>
      <c r="P1369" s="582"/>
      <c r="Q1369" s="582"/>
    </row>
    <row r="1370" spans="2:18">
      <c r="B1370" s="583"/>
      <c r="C1370" s="2161" t="s">
        <v>390</v>
      </c>
      <c r="D1370" s="2162"/>
      <c r="E1370" s="2162"/>
      <c r="F1370" s="2162"/>
      <c r="G1370" s="2162"/>
      <c r="H1370" s="2162"/>
      <c r="I1370" s="2162"/>
      <c r="J1370" s="2163"/>
      <c r="K1370" s="2161" t="s">
        <v>386</v>
      </c>
      <c r="L1370" s="2162"/>
      <c r="M1370" s="2162"/>
      <c r="N1370" s="2162"/>
      <c r="O1370" s="2162"/>
      <c r="P1370" s="2162"/>
      <c r="Q1370" s="2162"/>
      <c r="R1370" s="2163"/>
    </row>
    <row r="1371" spans="2:18">
      <c r="B1371" s="57"/>
      <c r="C1371" s="585">
        <v>2014</v>
      </c>
      <c r="D1371" s="586">
        <v>2015</v>
      </c>
      <c r="E1371" s="586">
        <v>2016</v>
      </c>
      <c r="F1371" s="586">
        <v>2017</v>
      </c>
      <c r="G1371" s="586">
        <v>2018</v>
      </c>
      <c r="H1371" s="586">
        <v>2019</v>
      </c>
      <c r="I1371" s="586">
        <v>2020</v>
      </c>
      <c r="J1371" s="586">
        <v>2021</v>
      </c>
      <c r="K1371" s="587">
        <v>2014</v>
      </c>
      <c r="L1371" s="588">
        <v>2015</v>
      </c>
      <c r="M1371" s="588">
        <v>2016</v>
      </c>
      <c r="N1371" s="588">
        <v>2017</v>
      </c>
      <c r="O1371" s="588">
        <v>2018</v>
      </c>
      <c r="P1371" s="588">
        <v>2019</v>
      </c>
      <c r="Q1371" s="588">
        <v>2020</v>
      </c>
      <c r="R1371" s="848">
        <v>2021</v>
      </c>
    </row>
    <row r="1372" spans="2:18">
      <c r="B1372" s="589" t="s">
        <v>1038</v>
      </c>
      <c r="C1372" s="614" t="str">
        <f t="shared" ref="C1372:J1373" si="562">IF(ISNUMBER((C1304/B1304-1)*100),(C1304/B1304-1)*100,"0")</f>
        <v>0</v>
      </c>
      <c r="D1372" s="615">
        <f t="shared" si="562"/>
        <v>4.210936556270517</v>
      </c>
      <c r="E1372" s="615">
        <f t="shared" si="562"/>
        <v>8.5743739513749251</v>
      </c>
      <c r="F1372" s="615">
        <f t="shared" si="562"/>
        <v>10.006291855988048</v>
      </c>
      <c r="G1372" s="615">
        <f t="shared" si="562"/>
        <v>6.3292880070472846</v>
      </c>
      <c r="H1372" s="615">
        <f t="shared" si="562"/>
        <v>0.99039839710779454</v>
      </c>
      <c r="I1372" s="615">
        <f t="shared" si="562"/>
        <v>17.659537091467882</v>
      </c>
      <c r="J1372" s="615">
        <f t="shared" si="562"/>
        <v>5.2741510237626299</v>
      </c>
      <c r="K1372" s="614">
        <v>0</v>
      </c>
      <c r="L1372" s="615" t="str">
        <f>IF(ISNUMBER((L1304/K1304-1)*100),(L1304/K1304-1)*100,"0")</f>
        <v>0</v>
      </c>
      <c r="M1372" s="615" t="str">
        <f t="shared" ref="L1372:R1381" si="563">IF(ISNUMBER((M1304/L1304-1)*100),(M1304/L1304-1)*100,"0")</f>
        <v>0</v>
      </c>
      <c r="N1372" s="615" t="str">
        <f t="shared" si="563"/>
        <v>0</v>
      </c>
      <c r="O1372" s="615">
        <f t="shared" si="563"/>
        <v>45.553688145589931</v>
      </c>
      <c r="P1372" s="615">
        <f t="shared" si="563"/>
        <v>63.895878901433065</v>
      </c>
      <c r="Q1372" s="615">
        <f t="shared" si="563"/>
        <v>-30.30243713743689</v>
      </c>
      <c r="R1372" s="616">
        <f t="shared" si="563"/>
        <v>212.3217167231283</v>
      </c>
    </row>
    <row r="1373" spans="2:18">
      <c r="B1373" s="595" t="s">
        <v>1039</v>
      </c>
      <c r="C1373" s="608" t="str">
        <f t="shared" si="562"/>
        <v>0</v>
      </c>
      <c r="D1373" s="609" t="str">
        <f t="shared" si="562"/>
        <v>0</v>
      </c>
      <c r="E1373" s="609" t="str">
        <f t="shared" si="562"/>
        <v>0</v>
      </c>
      <c r="F1373" s="609" t="str">
        <f t="shared" si="562"/>
        <v>0</v>
      </c>
      <c r="G1373" s="609" t="str">
        <f t="shared" si="562"/>
        <v>0</v>
      </c>
      <c r="H1373" s="609" t="str">
        <f t="shared" si="562"/>
        <v>0</v>
      </c>
      <c r="I1373" s="609" t="str">
        <f t="shared" si="562"/>
        <v>0</v>
      </c>
      <c r="J1373" s="609" t="str">
        <f t="shared" si="562"/>
        <v>0</v>
      </c>
      <c r="K1373" s="608">
        <v>0</v>
      </c>
      <c r="L1373" s="609" t="str">
        <f t="shared" si="563"/>
        <v>0</v>
      </c>
      <c r="M1373" s="609" t="str">
        <f t="shared" si="563"/>
        <v>0</v>
      </c>
      <c r="N1373" s="609" t="str">
        <f t="shared" si="563"/>
        <v>0</v>
      </c>
      <c r="O1373" s="609" t="str">
        <f t="shared" si="563"/>
        <v>0</v>
      </c>
      <c r="P1373" s="609" t="str">
        <f t="shared" si="563"/>
        <v>0</v>
      </c>
      <c r="Q1373" s="609" t="str">
        <f t="shared" si="563"/>
        <v>0</v>
      </c>
      <c r="R1373" s="603" t="str">
        <f t="shared" si="563"/>
        <v>0</v>
      </c>
    </row>
    <row r="1374" spans="2:18">
      <c r="B1374" s="595" t="s">
        <v>1040</v>
      </c>
      <c r="C1374" s="608">
        <v>0</v>
      </c>
      <c r="D1374" s="609" t="str">
        <f t="shared" ref="D1374:J1382" si="564">IF(ISNUMBER((D1306/C1306-1)*100),(D1306/C1306-1)*100,"0")</f>
        <v>0</v>
      </c>
      <c r="E1374" s="609" t="str">
        <f t="shared" si="564"/>
        <v>0</v>
      </c>
      <c r="F1374" s="609" t="str">
        <f t="shared" si="564"/>
        <v>0</v>
      </c>
      <c r="G1374" s="609" t="str">
        <f t="shared" si="564"/>
        <v>0</v>
      </c>
      <c r="H1374" s="609" t="str">
        <f t="shared" si="564"/>
        <v>0</v>
      </c>
      <c r="I1374" s="609" t="str">
        <f t="shared" si="564"/>
        <v>0</v>
      </c>
      <c r="J1374" s="609" t="str">
        <f t="shared" si="564"/>
        <v>0</v>
      </c>
      <c r="K1374" s="608">
        <v>0</v>
      </c>
      <c r="L1374" s="609" t="str">
        <f t="shared" si="563"/>
        <v>0</v>
      </c>
      <c r="M1374" s="609" t="str">
        <f t="shared" si="563"/>
        <v>0</v>
      </c>
      <c r="N1374" s="609" t="str">
        <f t="shared" si="563"/>
        <v>0</v>
      </c>
      <c r="O1374" s="609" t="str">
        <f t="shared" si="563"/>
        <v>0</v>
      </c>
      <c r="P1374" s="609" t="str">
        <f t="shared" si="563"/>
        <v>0</v>
      </c>
      <c r="Q1374" s="609" t="str">
        <f t="shared" si="563"/>
        <v>0</v>
      </c>
      <c r="R1374" s="603" t="str">
        <f t="shared" si="563"/>
        <v>0</v>
      </c>
    </row>
    <row r="1375" spans="2:18">
      <c r="B1375" s="595" t="s">
        <v>1041</v>
      </c>
      <c r="C1375" s="608">
        <v>3.813326392052474</v>
      </c>
      <c r="D1375" s="609">
        <f t="shared" si="564"/>
        <v>0.83298742286022076</v>
      </c>
      <c r="E1375" s="609">
        <f t="shared" si="564"/>
        <v>-2.3565998942466693</v>
      </c>
      <c r="F1375" s="609">
        <f t="shared" si="564"/>
        <v>-2.9533863513538039</v>
      </c>
      <c r="G1375" s="609">
        <f t="shared" si="564"/>
        <v>1.9845344554950017</v>
      </c>
      <c r="H1375" s="609">
        <f t="shared" si="564"/>
        <v>1.4018410955832561</v>
      </c>
      <c r="I1375" s="609">
        <f t="shared" si="564"/>
        <v>9.712698995992719</v>
      </c>
      <c r="J1375" s="609">
        <f t="shared" si="564"/>
        <v>31.086955690419217</v>
      </c>
      <c r="K1375" s="608">
        <v>19.122028883572931</v>
      </c>
      <c r="L1375" s="609">
        <f t="shared" si="563"/>
        <v>-8.856970417646215</v>
      </c>
      <c r="M1375" s="609">
        <f t="shared" si="563"/>
        <v>40.10527681348384</v>
      </c>
      <c r="N1375" s="609">
        <f t="shared" si="563"/>
        <v>84.884759436165396</v>
      </c>
      <c r="O1375" s="609">
        <f t="shared" si="563"/>
        <v>215.0535707012331</v>
      </c>
      <c r="P1375" s="609">
        <f t="shared" si="563"/>
        <v>85.025221676898965</v>
      </c>
      <c r="Q1375" s="609">
        <f t="shared" si="563"/>
        <v>80.187571106612054</v>
      </c>
      <c r="R1375" s="603">
        <f t="shared" si="563"/>
        <v>82.633230498460961</v>
      </c>
    </row>
    <row r="1376" spans="2:18">
      <c r="B1376" s="595" t="s">
        <v>1042</v>
      </c>
      <c r="C1376" s="608">
        <v>5.0225290397255096</v>
      </c>
      <c r="D1376" s="609">
        <f t="shared" si="564"/>
        <v>5.1900552607824668</v>
      </c>
      <c r="E1376" s="609">
        <f t="shared" si="564"/>
        <v>4.1677676703459898</v>
      </c>
      <c r="F1376" s="609">
        <f t="shared" si="564"/>
        <v>1.0482734909929459</v>
      </c>
      <c r="G1376" s="609">
        <f t="shared" si="564"/>
        <v>3.9708311009726716</v>
      </c>
      <c r="H1376" s="609">
        <f t="shared" si="564"/>
        <v>5.0507561830585468</v>
      </c>
      <c r="I1376" s="609">
        <f t="shared" si="564"/>
        <v>-99.899610661375021</v>
      </c>
      <c r="J1376" s="609">
        <f t="shared" si="564"/>
        <v>-14.799348161730453</v>
      </c>
      <c r="K1376" s="608">
        <v>0</v>
      </c>
      <c r="L1376" s="609" t="str">
        <f t="shared" si="563"/>
        <v>0</v>
      </c>
      <c r="M1376" s="609" t="str">
        <f t="shared" si="563"/>
        <v>0</v>
      </c>
      <c r="N1376" s="609" t="str">
        <f t="shared" si="563"/>
        <v>0</v>
      </c>
      <c r="O1376" s="609" t="str">
        <f t="shared" si="563"/>
        <v>0</v>
      </c>
      <c r="P1376" s="609" t="str">
        <f t="shared" si="563"/>
        <v>0</v>
      </c>
      <c r="Q1376" s="609" t="str">
        <f t="shared" si="563"/>
        <v>0</v>
      </c>
      <c r="R1376" s="603" t="str">
        <f t="shared" si="563"/>
        <v>0</v>
      </c>
    </row>
    <row r="1377" spans="2:18">
      <c r="B1377" s="595" t="s">
        <v>1043</v>
      </c>
      <c r="C1377" s="608">
        <v>5.7205770751606266</v>
      </c>
      <c r="D1377" s="609">
        <f t="shared" si="564"/>
        <v>7.8812598826192071</v>
      </c>
      <c r="E1377" s="609">
        <f t="shared" si="564"/>
        <v>11.825736111774887</v>
      </c>
      <c r="F1377" s="609">
        <f t="shared" si="564"/>
        <v>9.3255565780672178</v>
      </c>
      <c r="G1377" s="609">
        <f t="shared" si="564"/>
        <v>7.4487631384230202</v>
      </c>
      <c r="H1377" s="609">
        <f t="shared" si="564"/>
        <v>11.891342352611357</v>
      </c>
      <c r="I1377" s="609">
        <f t="shared" si="564"/>
        <v>9.9613271986615182</v>
      </c>
      <c r="J1377" s="609">
        <f t="shared" si="564"/>
        <v>12.173951374503723</v>
      </c>
      <c r="K1377" s="608">
        <v>0</v>
      </c>
      <c r="L1377" s="609" t="str">
        <f t="shared" si="563"/>
        <v>0</v>
      </c>
      <c r="M1377" s="609" t="str">
        <f t="shared" si="563"/>
        <v>0</v>
      </c>
      <c r="N1377" s="609" t="str">
        <f t="shared" si="563"/>
        <v>0</v>
      </c>
      <c r="O1377" s="609" t="str">
        <f t="shared" si="563"/>
        <v>0</v>
      </c>
      <c r="P1377" s="609" t="str">
        <f t="shared" si="563"/>
        <v>0</v>
      </c>
      <c r="Q1377" s="609" t="str">
        <f t="shared" si="563"/>
        <v>0</v>
      </c>
      <c r="R1377" s="603" t="str">
        <f t="shared" si="563"/>
        <v>0</v>
      </c>
    </row>
    <row r="1378" spans="2:18">
      <c r="B1378" s="595" t="s">
        <v>1044</v>
      </c>
      <c r="C1378" s="608">
        <v>0.72036169833078478</v>
      </c>
      <c r="D1378" s="609">
        <f t="shared" si="564"/>
        <v>3.13005089583549</v>
      </c>
      <c r="E1378" s="609">
        <f t="shared" si="564"/>
        <v>0.48397651653615537</v>
      </c>
      <c r="F1378" s="609">
        <f t="shared" si="564"/>
        <v>0.98059193634889574</v>
      </c>
      <c r="G1378" s="609">
        <f t="shared" si="564"/>
        <v>3.3652567399785616</v>
      </c>
      <c r="H1378" s="609">
        <f t="shared" si="564"/>
        <v>-5.4510723543178763</v>
      </c>
      <c r="I1378" s="609">
        <f t="shared" si="564"/>
        <v>8.4929554475490434</v>
      </c>
      <c r="J1378" s="609">
        <f t="shared" si="564"/>
        <v>6.9080517530021091</v>
      </c>
      <c r="K1378" s="608">
        <v>314.95105263157888</v>
      </c>
      <c r="L1378" s="609">
        <f t="shared" si="563"/>
        <v>89.067194989390003</v>
      </c>
      <c r="M1378" s="609">
        <f t="shared" si="563"/>
        <v>-86.834261471241135</v>
      </c>
      <c r="N1378" s="609">
        <f t="shared" si="563"/>
        <v>71.191484374601927</v>
      </c>
      <c r="O1378" s="609">
        <f t="shared" si="563"/>
        <v>-43.483993868408923</v>
      </c>
      <c r="P1378" s="609">
        <f t="shared" si="563"/>
        <v>-31.12959120258698</v>
      </c>
      <c r="Q1378" s="609">
        <f t="shared" si="563"/>
        <v>-45.175770645499234</v>
      </c>
      <c r="R1378" s="603">
        <f t="shared" si="563"/>
        <v>844.49868883557428</v>
      </c>
    </row>
    <row r="1379" spans="2:18">
      <c r="B1379" s="595" t="s">
        <v>1061</v>
      </c>
      <c r="C1379" s="608">
        <v>0</v>
      </c>
      <c r="D1379" s="609" t="str">
        <f t="shared" si="564"/>
        <v>0</v>
      </c>
      <c r="E1379" s="609">
        <f t="shared" si="564"/>
        <v>8.0991999999999962</v>
      </c>
      <c r="F1379" s="609">
        <f t="shared" si="564"/>
        <v>5.2992066546283523</v>
      </c>
      <c r="G1379" s="609">
        <f t="shared" si="564"/>
        <v>0.70703414637574014</v>
      </c>
      <c r="H1379" s="609">
        <f t="shared" si="564"/>
        <v>-0.87026006608951212</v>
      </c>
      <c r="I1379" s="609">
        <f t="shared" si="564"/>
        <v>0.3344046014073232</v>
      </c>
      <c r="J1379" s="609">
        <f t="shared" si="564"/>
        <v>-5.8620459799955675</v>
      </c>
      <c r="K1379" s="608">
        <v>0</v>
      </c>
      <c r="L1379" s="609" t="str">
        <f t="shared" si="563"/>
        <v>0</v>
      </c>
      <c r="M1379" s="609">
        <f t="shared" si="563"/>
        <v>-32.387</v>
      </c>
      <c r="N1379" s="609">
        <f t="shared" si="563"/>
        <v>-14.880274503423907</v>
      </c>
      <c r="O1379" s="609">
        <f t="shared" si="563"/>
        <v>-7.6070336391437348</v>
      </c>
      <c r="P1379" s="609">
        <f t="shared" si="563"/>
        <v>4.6056343325685534</v>
      </c>
      <c r="Q1379" s="609">
        <f t="shared" si="563"/>
        <v>15.065710227783491</v>
      </c>
      <c r="R1379" s="603">
        <f t="shared" si="563"/>
        <v>3.7466993734668552</v>
      </c>
    </row>
    <row r="1380" spans="2:18">
      <c r="B1380" s="595" t="s">
        <v>1047</v>
      </c>
      <c r="C1380" s="608" t="str">
        <f>IF(ISNUMBER((C1312/B1312-1)*100),(C1312/B1312-1)*100,"0")</f>
        <v>0</v>
      </c>
      <c r="D1380" s="609" t="str">
        <f t="shared" si="564"/>
        <v>0</v>
      </c>
      <c r="E1380" s="609" t="str">
        <f t="shared" si="564"/>
        <v>0</v>
      </c>
      <c r="F1380" s="609" t="str">
        <f t="shared" si="564"/>
        <v>0</v>
      </c>
      <c r="G1380" s="609" t="str">
        <f t="shared" si="564"/>
        <v>0</v>
      </c>
      <c r="H1380" s="609" t="str">
        <f t="shared" si="564"/>
        <v>0</v>
      </c>
      <c r="I1380" s="609" t="str">
        <f t="shared" si="564"/>
        <v>0</v>
      </c>
      <c r="J1380" s="609" t="str">
        <f t="shared" si="564"/>
        <v>0</v>
      </c>
      <c r="K1380" s="608" t="str">
        <f>IF(ISNUMBER((K1312/I1312-1)*100),(K1312/I1312-1)*100,"0")</f>
        <v>0</v>
      </c>
      <c r="L1380" s="609" t="str">
        <f t="shared" si="563"/>
        <v>0</v>
      </c>
      <c r="M1380" s="609" t="str">
        <f t="shared" si="563"/>
        <v>0</v>
      </c>
      <c r="N1380" s="609" t="str">
        <f t="shared" si="563"/>
        <v>0</v>
      </c>
      <c r="O1380" s="609" t="str">
        <f t="shared" si="563"/>
        <v>0</v>
      </c>
      <c r="P1380" s="609" t="str">
        <f t="shared" si="563"/>
        <v>0</v>
      </c>
      <c r="Q1380" s="609" t="str">
        <f t="shared" si="563"/>
        <v>0</v>
      </c>
      <c r="R1380" s="603" t="str">
        <f t="shared" si="563"/>
        <v>0</v>
      </c>
    </row>
    <row r="1381" spans="2:18">
      <c r="B1381" s="595" t="s">
        <v>1048</v>
      </c>
      <c r="C1381" s="608">
        <v>0</v>
      </c>
      <c r="D1381" s="609" t="str">
        <f t="shared" si="564"/>
        <v>0</v>
      </c>
      <c r="E1381" s="609" t="str">
        <f t="shared" si="564"/>
        <v>0</v>
      </c>
      <c r="F1381" s="609" t="str">
        <f t="shared" si="564"/>
        <v>0</v>
      </c>
      <c r="G1381" s="609" t="str">
        <f t="shared" si="564"/>
        <v>0</v>
      </c>
      <c r="H1381" s="609" t="str">
        <f t="shared" si="564"/>
        <v>0</v>
      </c>
      <c r="I1381" s="609" t="str">
        <f t="shared" si="564"/>
        <v>0</v>
      </c>
      <c r="J1381" s="609" t="str">
        <f t="shared" si="564"/>
        <v>0</v>
      </c>
      <c r="K1381" s="608">
        <v>0</v>
      </c>
      <c r="L1381" s="609" t="str">
        <f t="shared" si="563"/>
        <v>0</v>
      </c>
      <c r="M1381" s="609" t="str">
        <f t="shared" si="563"/>
        <v>0</v>
      </c>
      <c r="N1381" s="609" t="str">
        <f t="shared" si="563"/>
        <v>0</v>
      </c>
      <c r="O1381" s="609" t="str">
        <f t="shared" si="563"/>
        <v>0</v>
      </c>
      <c r="P1381" s="609" t="str">
        <f t="shared" si="563"/>
        <v>0</v>
      </c>
      <c r="Q1381" s="609" t="str">
        <f t="shared" si="563"/>
        <v>0</v>
      </c>
      <c r="R1381" s="603" t="str">
        <f t="shared" si="563"/>
        <v>0</v>
      </c>
    </row>
    <row r="1382" spans="2:18">
      <c r="B1382" s="595" t="s">
        <v>1049</v>
      </c>
      <c r="C1382" s="608">
        <v>0</v>
      </c>
      <c r="D1382" s="609" t="str">
        <f t="shared" si="564"/>
        <v>0</v>
      </c>
      <c r="E1382" s="609" t="str">
        <f t="shared" si="564"/>
        <v>0</v>
      </c>
      <c r="F1382" s="609" t="str">
        <f t="shared" si="564"/>
        <v>0</v>
      </c>
      <c r="G1382" s="609" t="str">
        <f t="shared" si="564"/>
        <v>0</v>
      </c>
      <c r="H1382" s="609" t="str">
        <f t="shared" si="564"/>
        <v>0</v>
      </c>
      <c r="I1382" s="609" t="str">
        <f t="shared" si="564"/>
        <v>0</v>
      </c>
      <c r="J1382" s="609" t="str">
        <f t="shared" si="564"/>
        <v>0</v>
      </c>
      <c r="K1382" s="608">
        <v>0</v>
      </c>
      <c r="L1382" s="609" t="str">
        <f t="shared" ref="L1382:R1388" si="565">IF(ISNUMBER((L1314/K1314-1)*100),(L1314/K1314-1)*100,"0")</f>
        <v>0</v>
      </c>
      <c r="M1382" s="609" t="str">
        <f t="shared" si="565"/>
        <v>0</v>
      </c>
      <c r="N1382" s="609" t="str">
        <f t="shared" si="565"/>
        <v>0</v>
      </c>
      <c r="O1382" s="609" t="str">
        <f t="shared" si="565"/>
        <v>0</v>
      </c>
      <c r="P1382" s="609" t="str">
        <f t="shared" si="565"/>
        <v>0</v>
      </c>
      <c r="Q1382" s="609" t="str">
        <f t="shared" si="565"/>
        <v>0</v>
      </c>
      <c r="R1382" s="603" t="str">
        <f t="shared" si="565"/>
        <v>0</v>
      </c>
    </row>
    <row r="1383" spans="2:18">
      <c r="B1383" s="595" t="s">
        <v>1050</v>
      </c>
      <c r="C1383" s="608">
        <v>0</v>
      </c>
      <c r="D1383" s="609">
        <v>0</v>
      </c>
      <c r="E1383" s="609">
        <v>0</v>
      </c>
      <c r="F1383" s="609">
        <v>0</v>
      </c>
      <c r="G1383" s="609">
        <v>0</v>
      </c>
      <c r="H1383" s="609">
        <v>0</v>
      </c>
      <c r="I1383" s="609">
        <v>0</v>
      </c>
      <c r="J1383" s="609">
        <v>0</v>
      </c>
      <c r="K1383" s="608">
        <v>0</v>
      </c>
      <c r="L1383" s="609" t="str">
        <f t="shared" si="565"/>
        <v>0</v>
      </c>
      <c r="M1383" s="609" t="str">
        <f t="shared" si="565"/>
        <v>0</v>
      </c>
      <c r="N1383" s="609" t="str">
        <f t="shared" si="565"/>
        <v>0</v>
      </c>
      <c r="O1383" s="609" t="str">
        <f t="shared" si="565"/>
        <v>0</v>
      </c>
      <c r="P1383" s="609" t="str">
        <f t="shared" si="565"/>
        <v>0</v>
      </c>
      <c r="Q1383" s="609" t="str">
        <f t="shared" si="565"/>
        <v>0</v>
      </c>
      <c r="R1383" s="603" t="str">
        <f t="shared" si="565"/>
        <v>0</v>
      </c>
    </row>
    <row r="1384" spans="2:18">
      <c r="B1384" s="595" t="s">
        <v>1051</v>
      </c>
      <c r="C1384" s="608">
        <v>9.0855550118087507</v>
      </c>
      <c r="D1384" s="609">
        <f t="shared" ref="D1384:J1388" si="566">IF(ISNUMBER((D1316/C1316-1)*100),(D1316/C1316-1)*100,"0")</f>
        <v>8.3246211364657707</v>
      </c>
      <c r="E1384" s="609">
        <f t="shared" si="566"/>
        <v>-21.604052643747217</v>
      </c>
      <c r="F1384" s="609">
        <f t="shared" si="566"/>
        <v>32.990099410135599</v>
      </c>
      <c r="G1384" s="609">
        <f t="shared" si="566"/>
        <v>4.978177040229137</v>
      </c>
      <c r="H1384" s="609">
        <f t="shared" si="566"/>
        <v>11.641660415103772</v>
      </c>
      <c r="I1384" s="609">
        <f t="shared" si="566"/>
        <v>16.239922807096143</v>
      </c>
      <c r="J1384" s="609">
        <f t="shared" si="566"/>
        <v>13.035130047808273</v>
      </c>
      <c r="K1384" s="608">
        <v>0</v>
      </c>
      <c r="L1384" s="609" t="str">
        <f t="shared" si="565"/>
        <v>0</v>
      </c>
      <c r="M1384" s="609" t="str">
        <f t="shared" si="565"/>
        <v>0</v>
      </c>
      <c r="N1384" s="609" t="str">
        <f t="shared" si="565"/>
        <v>0</v>
      </c>
      <c r="O1384" s="609" t="str">
        <f t="shared" si="565"/>
        <v>0</v>
      </c>
      <c r="P1384" s="609" t="str">
        <f t="shared" si="565"/>
        <v>0</v>
      </c>
      <c r="Q1384" s="609" t="str">
        <f t="shared" si="565"/>
        <v>0</v>
      </c>
      <c r="R1384" s="603" t="str">
        <f t="shared" si="565"/>
        <v>0</v>
      </c>
    </row>
    <row r="1385" spans="2:18">
      <c r="B1385" s="595" t="s">
        <v>1052</v>
      </c>
      <c r="C1385" s="608">
        <v>0</v>
      </c>
      <c r="D1385" s="609" t="str">
        <f t="shared" si="566"/>
        <v>0</v>
      </c>
      <c r="E1385" s="609" t="str">
        <f t="shared" si="566"/>
        <v>0</v>
      </c>
      <c r="F1385" s="609" t="str">
        <f t="shared" si="566"/>
        <v>0</v>
      </c>
      <c r="G1385" s="609" t="str">
        <f t="shared" si="566"/>
        <v>0</v>
      </c>
      <c r="H1385" s="609" t="str">
        <f t="shared" si="566"/>
        <v>0</v>
      </c>
      <c r="I1385" s="609" t="str">
        <f t="shared" si="566"/>
        <v>0</v>
      </c>
      <c r="J1385" s="609" t="str">
        <f t="shared" si="566"/>
        <v>0</v>
      </c>
      <c r="K1385" s="608">
        <v>-16.293898371591123</v>
      </c>
      <c r="L1385" s="609">
        <f t="shared" si="565"/>
        <v>8.433923200124994</v>
      </c>
      <c r="M1385" s="609">
        <f t="shared" si="565"/>
        <v>133.87611979729564</v>
      </c>
      <c r="N1385" s="609">
        <f t="shared" si="565"/>
        <v>20.774499635445022</v>
      </c>
      <c r="O1385" s="609">
        <f t="shared" si="565"/>
        <v>2.7791240466290779</v>
      </c>
      <c r="P1385" s="609">
        <f t="shared" si="565"/>
        <v>-5.3905813737047836</v>
      </c>
      <c r="Q1385" s="609">
        <f t="shared" si="565"/>
        <v>-8.9168994810316367</v>
      </c>
      <c r="R1385" s="603">
        <f t="shared" si="565"/>
        <v>-2.8671133981029939</v>
      </c>
    </row>
    <row r="1386" spans="2:18">
      <c r="B1386" s="595" t="s">
        <v>1053</v>
      </c>
      <c r="C1386" s="608">
        <v>10.292164674634796</v>
      </c>
      <c r="D1386" s="609">
        <f t="shared" si="566"/>
        <v>-4.6919325707405202</v>
      </c>
      <c r="E1386" s="609">
        <f t="shared" si="566"/>
        <v>-0.93546261781719542</v>
      </c>
      <c r="F1386" s="609">
        <f t="shared" si="566"/>
        <v>23.121386914653087</v>
      </c>
      <c r="G1386" s="609">
        <f t="shared" si="566"/>
        <v>13.439134147926746</v>
      </c>
      <c r="H1386" s="609">
        <f t="shared" si="566"/>
        <v>9.2055523495766955</v>
      </c>
      <c r="I1386" s="609">
        <f t="shared" si="566"/>
        <v>5.070221982904588</v>
      </c>
      <c r="J1386" s="609">
        <f t="shared" si="566"/>
        <v>4.6862547323899273</v>
      </c>
      <c r="K1386" s="608">
        <v>0</v>
      </c>
      <c r="L1386" s="609" t="str">
        <f t="shared" si="565"/>
        <v>0</v>
      </c>
      <c r="M1386" s="609">
        <f t="shared" si="565"/>
        <v>13.926721355355776</v>
      </c>
      <c r="N1386" s="609">
        <f t="shared" si="565"/>
        <v>8.5950024876997091</v>
      </c>
      <c r="O1386" s="609">
        <f t="shared" si="565"/>
        <v>21.235762010817673</v>
      </c>
      <c r="P1386" s="609">
        <f t="shared" si="565"/>
        <v>24.210327416256394</v>
      </c>
      <c r="Q1386" s="609">
        <f t="shared" si="565"/>
        <v>39.054629660930985</v>
      </c>
      <c r="R1386" s="603">
        <f t="shared" si="565"/>
        <v>16.065274865530132</v>
      </c>
    </row>
    <row r="1387" spans="2:18">
      <c r="B1387" s="595" t="s">
        <v>1054</v>
      </c>
      <c r="C1387" s="608">
        <v>0</v>
      </c>
      <c r="D1387" s="609" t="str">
        <f t="shared" si="566"/>
        <v>0</v>
      </c>
      <c r="E1387" s="609" t="str">
        <f t="shared" si="566"/>
        <v>0</v>
      </c>
      <c r="F1387" s="609" t="str">
        <f t="shared" si="566"/>
        <v>0</v>
      </c>
      <c r="G1387" s="609" t="str">
        <f t="shared" si="566"/>
        <v>0</v>
      </c>
      <c r="H1387" s="609" t="str">
        <f t="shared" si="566"/>
        <v>0</v>
      </c>
      <c r="I1387" s="609" t="str">
        <f t="shared" si="566"/>
        <v>0</v>
      </c>
      <c r="J1387" s="609" t="str">
        <f t="shared" si="566"/>
        <v>0</v>
      </c>
      <c r="K1387" s="608">
        <v>0</v>
      </c>
      <c r="L1387" s="609" t="str">
        <f t="shared" si="565"/>
        <v>0</v>
      </c>
      <c r="M1387" s="609" t="str">
        <f t="shared" si="565"/>
        <v>0</v>
      </c>
      <c r="N1387" s="609" t="str">
        <f t="shared" si="565"/>
        <v>0</v>
      </c>
      <c r="O1387" s="609" t="str">
        <f t="shared" si="565"/>
        <v>0</v>
      </c>
      <c r="P1387" s="609" t="str">
        <f t="shared" si="565"/>
        <v>0</v>
      </c>
      <c r="Q1387" s="609" t="str">
        <f t="shared" si="565"/>
        <v>0</v>
      </c>
      <c r="R1387" s="603" t="str">
        <f t="shared" si="565"/>
        <v>0</v>
      </c>
    </row>
    <row r="1388" spans="2:18">
      <c r="B1388" s="604" t="s">
        <v>1055</v>
      </c>
      <c r="C1388" s="610">
        <v>3.940546274108383</v>
      </c>
      <c r="D1388" s="617">
        <f t="shared" si="566"/>
        <v>4.8254090424137308</v>
      </c>
      <c r="E1388" s="617">
        <f t="shared" si="566"/>
        <v>3.6622326339565969</v>
      </c>
      <c r="F1388" s="617">
        <f t="shared" si="566"/>
        <v>3.0183170177968455</v>
      </c>
      <c r="G1388" s="617">
        <f t="shared" si="566"/>
        <v>4.2667507649426284</v>
      </c>
      <c r="H1388" s="617">
        <f t="shared" si="566"/>
        <v>5.4553182924618859</v>
      </c>
      <c r="I1388" s="617">
        <f t="shared" si="566"/>
        <v>-13.743252366565118</v>
      </c>
      <c r="J1388" s="617">
        <f t="shared" si="566"/>
        <v>3.1321180855339303</v>
      </c>
      <c r="K1388" s="610">
        <v>20.481171893486241</v>
      </c>
      <c r="L1388" s="617">
        <f t="shared" si="565"/>
        <v>13.07378209754182</v>
      </c>
      <c r="M1388" s="617">
        <f t="shared" si="565"/>
        <v>-1.9505909535235011</v>
      </c>
      <c r="N1388" s="617">
        <f t="shared" si="565"/>
        <v>4.6288781685527969</v>
      </c>
      <c r="O1388" s="617">
        <f t="shared" si="565"/>
        <v>3.2385332299102565</v>
      </c>
      <c r="P1388" s="617">
        <f t="shared" si="565"/>
        <v>0.45995774185922933</v>
      </c>
      <c r="Q1388" s="617">
        <f t="shared" si="565"/>
        <v>-26.08160847974975</v>
      </c>
      <c r="R1388" s="618">
        <f t="shared" si="565"/>
        <v>-6.587948886514905</v>
      </c>
    </row>
    <row r="1389" spans="2:18">
      <c r="B1389" s="57"/>
      <c r="C1389" s="582"/>
      <c r="D1389" s="582"/>
      <c r="E1389" s="582"/>
      <c r="F1389" s="582"/>
      <c r="G1389" s="582"/>
      <c r="H1389" s="582"/>
      <c r="I1389" s="582"/>
      <c r="J1389" s="582"/>
      <c r="K1389" s="582"/>
      <c r="L1389" s="582"/>
      <c r="M1389" s="582"/>
      <c r="N1389" s="582"/>
      <c r="O1389" s="582"/>
      <c r="P1389" s="582"/>
      <c r="Q1389" s="582"/>
    </row>
    <row r="1390" spans="2:18">
      <c r="B1390" s="2180" t="s">
        <v>1164</v>
      </c>
      <c r="C1390" s="2180"/>
      <c r="D1390" s="2180"/>
      <c r="E1390" s="2180"/>
      <c r="F1390" s="2180"/>
      <c r="G1390" s="2180"/>
      <c r="H1390" s="2180"/>
      <c r="I1390" s="2180"/>
      <c r="J1390" s="2180"/>
      <c r="K1390" s="2180"/>
      <c r="L1390" s="2180"/>
      <c r="M1390" s="2180"/>
      <c r="N1390" s="2180"/>
      <c r="O1390" s="2180"/>
      <c r="P1390" s="2180"/>
      <c r="Q1390" s="2180"/>
      <c r="R1390" s="1677"/>
    </row>
    <row r="1391" spans="2:18">
      <c r="B1391" s="2179"/>
      <c r="C1391" s="2179"/>
      <c r="D1391" s="2179"/>
      <c r="E1391" s="2179"/>
      <c r="F1391" s="2179"/>
      <c r="G1391" s="2179"/>
      <c r="H1391" s="2179"/>
      <c r="I1391" s="2179"/>
      <c r="J1391" s="2179"/>
      <c r="K1391" s="2179"/>
      <c r="L1391" s="2179"/>
      <c r="M1391" s="2179"/>
      <c r="N1391" s="2179"/>
      <c r="O1391" s="2179"/>
      <c r="P1391" s="2179"/>
      <c r="Q1391" s="2179"/>
    </row>
    <row r="1392" spans="2:18">
      <c r="B1392" s="583"/>
      <c r="C1392" s="2161" t="s">
        <v>389</v>
      </c>
      <c r="D1392" s="2162"/>
      <c r="E1392" s="2162"/>
      <c r="F1392" s="2162"/>
      <c r="G1392" s="2162"/>
      <c r="H1392" s="2162"/>
      <c r="I1392" s="2162"/>
      <c r="J1392" s="2163"/>
      <c r="K1392" s="2161" t="s">
        <v>387</v>
      </c>
      <c r="L1392" s="2162"/>
      <c r="M1392" s="2162"/>
      <c r="N1392" s="2162"/>
      <c r="O1392" s="2162"/>
      <c r="P1392" s="2162"/>
      <c r="Q1392" s="2162"/>
      <c r="R1392" s="2163"/>
    </row>
    <row r="1393" spans="2:18">
      <c r="B1393" s="57"/>
      <c r="C1393" s="585">
        <v>2014</v>
      </c>
      <c r="D1393" s="586">
        <v>2015</v>
      </c>
      <c r="E1393" s="586">
        <v>2016</v>
      </c>
      <c r="F1393" s="586">
        <v>2017</v>
      </c>
      <c r="G1393" s="586">
        <v>2018</v>
      </c>
      <c r="H1393" s="586">
        <v>2019</v>
      </c>
      <c r="I1393" s="586">
        <v>2020</v>
      </c>
      <c r="J1393" s="586">
        <v>2021</v>
      </c>
      <c r="K1393" s="587">
        <v>2014</v>
      </c>
      <c r="L1393" s="588">
        <v>2015</v>
      </c>
      <c r="M1393" s="588">
        <v>2016</v>
      </c>
      <c r="N1393" s="588">
        <v>2017</v>
      </c>
      <c r="O1393" s="588">
        <v>2018</v>
      </c>
      <c r="P1393" s="588">
        <v>2019</v>
      </c>
      <c r="Q1393" s="588">
        <v>2020</v>
      </c>
      <c r="R1393" s="848">
        <v>2021</v>
      </c>
    </row>
    <row r="1394" spans="2:18">
      <c r="B1394" s="589" t="s">
        <v>1038</v>
      </c>
      <c r="C1394" s="614">
        <v>21.555813563759582</v>
      </c>
      <c r="D1394" s="615">
        <f t="shared" ref="D1394:J1403" si="567">IF(ISNUMBER((D1326/C1326-1)*100),(D1326/C1326-1)*100,"0")</f>
        <v>4.210936556270517</v>
      </c>
      <c r="E1394" s="615">
        <f t="shared" si="567"/>
        <v>8.5743739513749251</v>
      </c>
      <c r="F1394" s="615">
        <f t="shared" si="567"/>
        <v>10.006291855988048</v>
      </c>
      <c r="G1394" s="615">
        <f t="shared" si="567"/>
        <v>6.3292880070472846</v>
      </c>
      <c r="H1394" s="615">
        <f t="shared" si="567"/>
        <v>0.99039839710779454</v>
      </c>
      <c r="I1394" s="615">
        <f t="shared" si="567"/>
        <v>17.659537091467882</v>
      </c>
      <c r="J1394" s="615">
        <f t="shared" si="567"/>
        <v>5.2741510237626299</v>
      </c>
      <c r="K1394" s="614">
        <v>6.7861626767435803</v>
      </c>
      <c r="L1394" s="615">
        <f t="shared" ref="L1394:R1403" si="568">IF(ISNUMBER((L1326/K1326-1)*100),(L1326/K1326-1)*100,"0")</f>
        <v>9.1208692093437183</v>
      </c>
      <c r="M1394" s="615">
        <f t="shared" si="568"/>
        <v>6.6058439702594285</v>
      </c>
      <c r="N1394" s="615">
        <f t="shared" si="568"/>
        <v>3.9647489069210007</v>
      </c>
      <c r="O1394" s="615">
        <f t="shared" si="568"/>
        <v>2.5951203037370973</v>
      </c>
      <c r="P1394" s="615">
        <f t="shared" si="568"/>
        <v>-3.0170402450718004</v>
      </c>
      <c r="Q1394" s="615">
        <f t="shared" si="568"/>
        <v>0.72596303327008282</v>
      </c>
      <c r="R1394" s="616">
        <f t="shared" si="568"/>
        <v>-10.717071486764162</v>
      </c>
    </row>
    <row r="1395" spans="2:18">
      <c r="B1395" s="595" t="s">
        <v>1039</v>
      </c>
      <c r="C1395" s="608">
        <v>0</v>
      </c>
      <c r="D1395" s="609" t="str">
        <f t="shared" si="567"/>
        <v>0</v>
      </c>
      <c r="E1395" s="609" t="str">
        <f t="shared" si="567"/>
        <v>0</v>
      </c>
      <c r="F1395" s="609" t="str">
        <f t="shared" si="567"/>
        <v>0</v>
      </c>
      <c r="G1395" s="609" t="str">
        <f t="shared" si="567"/>
        <v>0</v>
      </c>
      <c r="H1395" s="609" t="str">
        <f t="shared" si="567"/>
        <v>0</v>
      </c>
      <c r="I1395" s="609" t="str">
        <f t="shared" si="567"/>
        <v>0</v>
      </c>
      <c r="J1395" s="609" t="str">
        <f t="shared" si="567"/>
        <v>0</v>
      </c>
      <c r="K1395" s="608">
        <v>0</v>
      </c>
      <c r="L1395" s="609">
        <f t="shared" si="568"/>
        <v>-35.863701731359775</v>
      </c>
      <c r="M1395" s="609">
        <f t="shared" si="568"/>
        <v>-2.657397434642117</v>
      </c>
      <c r="N1395" s="609">
        <f t="shared" si="568"/>
        <v>-3.2821678603041748</v>
      </c>
      <c r="O1395" s="609">
        <f t="shared" si="568"/>
        <v>-0.38896342287811914</v>
      </c>
      <c r="P1395" s="609">
        <f t="shared" si="568"/>
        <v>-3.3545975631401492</v>
      </c>
      <c r="Q1395" s="609">
        <f t="shared" si="568"/>
        <v>-2.6608041829613405</v>
      </c>
      <c r="R1395" s="603">
        <f t="shared" si="568"/>
        <v>0.58266650388998364</v>
      </c>
    </row>
    <row r="1396" spans="2:18">
      <c r="B1396" s="595" t="s">
        <v>1040</v>
      </c>
      <c r="C1396" s="608">
        <v>0</v>
      </c>
      <c r="D1396" s="609">
        <f t="shared" si="567"/>
        <v>14.634213865301216</v>
      </c>
      <c r="E1396" s="609">
        <f t="shared" si="567"/>
        <v>14.242386637398695</v>
      </c>
      <c r="F1396" s="609">
        <f t="shared" si="567"/>
        <v>18.149499525006529</v>
      </c>
      <c r="G1396" s="609">
        <f t="shared" si="567"/>
        <v>17.773414489396156</v>
      </c>
      <c r="H1396" s="609">
        <f t="shared" si="567"/>
        <v>-0.43564180562647437</v>
      </c>
      <c r="I1396" s="609">
        <f t="shared" si="567"/>
        <v>23.638293696811829</v>
      </c>
      <c r="J1396" s="609">
        <f t="shared" si="567"/>
        <v>19.517365067997172</v>
      </c>
      <c r="K1396" s="608">
        <v>-2.4601894961865218</v>
      </c>
      <c r="L1396" s="609">
        <f t="shared" si="568"/>
        <v>11.904496573243438</v>
      </c>
      <c r="M1396" s="609">
        <f t="shared" si="568"/>
        <v>13.643870175351246</v>
      </c>
      <c r="N1396" s="609">
        <f t="shared" si="568"/>
        <v>29.293423493157668</v>
      </c>
      <c r="O1396" s="609">
        <f t="shared" si="568"/>
        <v>18.563513444822853</v>
      </c>
      <c r="P1396" s="609">
        <f t="shared" si="568"/>
        <v>16.80409670120282</v>
      </c>
      <c r="Q1396" s="609">
        <f t="shared" si="568"/>
        <v>2.3988482918095855</v>
      </c>
      <c r="R1396" s="603">
        <f t="shared" si="568"/>
        <v>-0.71410649068236465</v>
      </c>
    </row>
    <row r="1397" spans="2:18">
      <c r="B1397" s="595" t="s">
        <v>1041</v>
      </c>
      <c r="C1397" s="608">
        <v>2.9272208442694847</v>
      </c>
      <c r="D1397" s="609">
        <f t="shared" si="567"/>
        <v>1.3203543615307733</v>
      </c>
      <c r="E1397" s="609">
        <f t="shared" si="567"/>
        <v>0.32715467768533735</v>
      </c>
      <c r="F1397" s="609">
        <f t="shared" si="567"/>
        <v>1.8365012400750391</v>
      </c>
      <c r="G1397" s="609">
        <f t="shared" si="567"/>
        <v>1.7293920645769401</v>
      </c>
      <c r="H1397" s="609">
        <f t="shared" si="567"/>
        <v>5.7537416924090978</v>
      </c>
      <c r="I1397" s="609">
        <f t="shared" si="567"/>
        <v>31.183176662383659</v>
      </c>
      <c r="J1397" s="609">
        <f t="shared" si="567"/>
        <v>0.29564210342503117</v>
      </c>
      <c r="K1397" s="608">
        <v>-0.60240241692911767</v>
      </c>
      <c r="L1397" s="609">
        <f t="shared" si="568"/>
        <v>1.9235659786487114</v>
      </c>
      <c r="M1397" s="609">
        <f t="shared" si="568"/>
        <v>-8.7280768720028767</v>
      </c>
      <c r="N1397" s="609">
        <f t="shared" si="568"/>
        <v>2.2683875130765863</v>
      </c>
      <c r="O1397" s="609">
        <f t="shared" si="568"/>
        <v>20.635161495452301</v>
      </c>
      <c r="P1397" s="609">
        <f t="shared" si="568"/>
        <v>18.540140906228686</v>
      </c>
      <c r="Q1397" s="609">
        <f t="shared" si="568"/>
        <v>20.797431614599638</v>
      </c>
      <c r="R1397" s="603">
        <f t="shared" si="568"/>
        <v>43.986376036852626</v>
      </c>
    </row>
    <row r="1398" spans="2:18">
      <c r="B1398" s="595" t="s">
        <v>1042</v>
      </c>
      <c r="C1398" s="608">
        <v>10.177004200011442</v>
      </c>
      <c r="D1398" s="609">
        <f t="shared" si="567"/>
        <v>12.116618626816965</v>
      </c>
      <c r="E1398" s="609">
        <f t="shared" si="567"/>
        <v>5.6689531488860023</v>
      </c>
      <c r="F1398" s="609">
        <f t="shared" si="567"/>
        <v>1.9290501717588837</v>
      </c>
      <c r="G1398" s="609">
        <f t="shared" si="567"/>
        <v>3.9598909015143402</v>
      </c>
      <c r="H1398" s="609">
        <f t="shared" si="567"/>
        <v>-3.3225328602752069</v>
      </c>
      <c r="I1398" s="609">
        <f t="shared" si="567"/>
        <v>0.21380435283071542</v>
      </c>
      <c r="J1398" s="609">
        <f t="shared" si="567"/>
        <v>12.479093516439409</v>
      </c>
      <c r="K1398" s="608">
        <v>6.8246225852929028</v>
      </c>
      <c r="L1398" s="609">
        <f t="shared" si="568"/>
        <v>27.775738734947009</v>
      </c>
      <c r="M1398" s="609">
        <f t="shared" si="568"/>
        <v>1.7783944644144345</v>
      </c>
      <c r="N1398" s="609">
        <f t="shared" si="568"/>
        <v>-0.59823424594965813</v>
      </c>
      <c r="O1398" s="609">
        <f t="shared" si="568"/>
        <v>39.083521352409846</v>
      </c>
      <c r="P1398" s="609">
        <f t="shared" si="568"/>
        <v>-4.0439890968876906</v>
      </c>
      <c r="Q1398" s="609">
        <f t="shared" si="568"/>
        <v>-18.503979402071412</v>
      </c>
      <c r="R1398" s="603">
        <f t="shared" si="568"/>
        <v>0.29909130667185035</v>
      </c>
    </row>
    <row r="1399" spans="2:18">
      <c r="B1399" s="595" t="s">
        <v>1043</v>
      </c>
      <c r="C1399" s="608">
        <v>5.7205770751606266</v>
      </c>
      <c r="D1399" s="609">
        <f t="shared" si="567"/>
        <v>7.8812598826192071</v>
      </c>
      <c r="E1399" s="609">
        <f t="shared" si="567"/>
        <v>11.825736111774887</v>
      </c>
      <c r="F1399" s="609">
        <f t="shared" si="567"/>
        <v>9.3255565780672178</v>
      </c>
      <c r="G1399" s="609">
        <f t="shared" si="567"/>
        <v>7.4487631384230202</v>
      </c>
      <c r="H1399" s="609">
        <f t="shared" si="567"/>
        <v>11.891342352611357</v>
      </c>
      <c r="I1399" s="609">
        <f t="shared" si="567"/>
        <v>9.9613271986615182</v>
      </c>
      <c r="J1399" s="609">
        <f t="shared" si="567"/>
        <v>12.173951374503723</v>
      </c>
      <c r="K1399" s="608">
        <v>7.6026649121372216</v>
      </c>
      <c r="L1399" s="609">
        <f t="shared" si="568"/>
        <v>8.4200555486792172</v>
      </c>
      <c r="M1399" s="609">
        <f t="shared" si="568"/>
        <v>8.5898600542552384</v>
      </c>
      <c r="N1399" s="609">
        <f t="shared" si="568"/>
        <v>-0.2362506899657113</v>
      </c>
      <c r="O1399" s="609">
        <f t="shared" si="568"/>
        <v>2.6062071498530903</v>
      </c>
      <c r="P1399" s="609">
        <f t="shared" si="568"/>
        <v>5.0248791172675666</v>
      </c>
      <c r="Q1399" s="609">
        <f t="shared" si="568"/>
        <v>-8.5865179100029216</v>
      </c>
      <c r="R1399" s="603">
        <f t="shared" si="568"/>
        <v>6.3191531490698338</v>
      </c>
    </row>
    <row r="1400" spans="2:18">
      <c r="B1400" s="595" t="s">
        <v>1044</v>
      </c>
      <c r="C1400" s="608">
        <v>0.72036169833078478</v>
      </c>
      <c r="D1400" s="609">
        <f t="shared" si="567"/>
        <v>3.13005089583549</v>
      </c>
      <c r="E1400" s="609">
        <f t="shared" si="567"/>
        <v>0.48397651653615537</v>
      </c>
      <c r="F1400" s="609">
        <f t="shared" si="567"/>
        <v>0.98059193634889574</v>
      </c>
      <c r="G1400" s="609">
        <f t="shared" si="567"/>
        <v>3.3652567399785616</v>
      </c>
      <c r="H1400" s="609">
        <f t="shared" si="567"/>
        <v>-5.4510723543178763</v>
      </c>
      <c r="I1400" s="609">
        <f t="shared" si="567"/>
        <v>8.4929554475490434</v>
      </c>
      <c r="J1400" s="609">
        <f t="shared" si="567"/>
        <v>6.9080517530021091</v>
      </c>
      <c r="K1400" s="608">
        <v>3.1991014799154329</v>
      </c>
      <c r="L1400" s="609">
        <f t="shared" si="568"/>
        <v>16.396136903612614</v>
      </c>
      <c r="M1400" s="609">
        <f t="shared" si="568"/>
        <v>8.1101666500928982</v>
      </c>
      <c r="N1400" s="609">
        <f t="shared" si="568"/>
        <v>12.608430746163069</v>
      </c>
      <c r="O1400" s="609">
        <f t="shared" si="568"/>
        <v>9.856511383309785</v>
      </c>
      <c r="P1400" s="609">
        <f t="shared" si="568"/>
        <v>2.8902998772486255</v>
      </c>
      <c r="Q1400" s="609">
        <f t="shared" si="568"/>
        <v>-19.046968865104297</v>
      </c>
      <c r="R1400" s="603">
        <f t="shared" si="568"/>
        <v>-1.4480583141693981</v>
      </c>
    </row>
    <row r="1401" spans="2:18">
      <c r="B1401" s="595" t="s">
        <v>1061</v>
      </c>
      <c r="C1401" s="608">
        <v>0</v>
      </c>
      <c r="D1401" s="609" t="str">
        <f t="shared" si="567"/>
        <v>0</v>
      </c>
      <c r="E1401" s="609">
        <f t="shared" si="567"/>
        <v>16.31666666666667</v>
      </c>
      <c r="F1401" s="609">
        <f t="shared" si="567"/>
        <v>5.3454649663275733</v>
      </c>
      <c r="G1401" s="609">
        <f t="shared" si="567"/>
        <v>2.8699439340810651</v>
      </c>
      <c r="H1401" s="609">
        <f t="shared" si="567"/>
        <v>0.15760816389132071</v>
      </c>
      <c r="I1401" s="609">
        <f t="shared" si="567"/>
        <v>2.5842972522699847</v>
      </c>
      <c r="J1401" s="609">
        <f t="shared" si="567"/>
        <v>-5.2396554253520407</v>
      </c>
      <c r="K1401" s="608">
        <v>0</v>
      </c>
      <c r="L1401" s="609" t="str">
        <f t="shared" si="568"/>
        <v>0</v>
      </c>
      <c r="M1401" s="609">
        <f t="shared" si="568"/>
        <v>43.623999999999995</v>
      </c>
      <c r="N1401" s="609">
        <f t="shared" si="568"/>
        <v>13.416977663900198</v>
      </c>
      <c r="O1401" s="609">
        <f t="shared" si="568"/>
        <v>0.39227964197576792</v>
      </c>
      <c r="P1401" s="609">
        <f t="shared" si="568"/>
        <v>-2.0864290387872741</v>
      </c>
      <c r="Q1401" s="609">
        <f t="shared" si="568"/>
        <v>0.44841088926499406</v>
      </c>
      <c r="R1401" s="603">
        <f t="shared" si="568"/>
        <v>-5.1194051194051298</v>
      </c>
    </row>
    <row r="1402" spans="2:18">
      <c r="B1402" s="595" t="s">
        <v>1047</v>
      </c>
      <c r="C1402" s="608">
        <v>0</v>
      </c>
      <c r="D1402" s="609" t="str">
        <f t="shared" si="567"/>
        <v>0</v>
      </c>
      <c r="E1402" s="609">
        <f t="shared" si="567"/>
        <v>12.337453972032364</v>
      </c>
      <c r="F1402" s="609">
        <f t="shared" si="567"/>
        <v>7.1893707007616658</v>
      </c>
      <c r="G1402" s="609">
        <f t="shared" si="567"/>
        <v>17.169729468951811</v>
      </c>
      <c r="H1402" s="609">
        <f t="shared" si="567"/>
        <v>14.534631970699419</v>
      </c>
      <c r="I1402" s="609">
        <f t="shared" si="567"/>
        <v>11.064541222990165</v>
      </c>
      <c r="J1402" s="609">
        <f t="shared" si="567"/>
        <v>-74.100353342121906</v>
      </c>
      <c r="K1402" s="608">
        <v>0</v>
      </c>
      <c r="L1402" s="609" t="str">
        <f t="shared" si="568"/>
        <v>0</v>
      </c>
      <c r="M1402" s="609">
        <f t="shared" si="568"/>
        <v>0.48253091213663613</v>
      </c>
      <c r="N1402" s="609">
        <f t="shared" si="568"/>
        <v>10.463659732491548</v>
      </c>
      <c r="O1402" s="609">
        <f t="shared" si="568"/>
        <v>10.835090431145478</v>
      </c>
      <c r="P1402" s="609">
        <f t="shared" si="568"/>
        <v>10.143103282934884</v>
      </c>
      <c r="Q1402" s="609">
        <f t="shared" si="568"/>
        <v>-2.1892279926873592</v>
      </c>
      <c r="R1402" s="603">
        <f t="shared" si="568"/>
        <v>-24.354935502392795</v>
      </c>
    </row>
    <row r="1403" spans="2:18">
      <c r="B1403" s="595" t="s">
        <v>1048</v>
      </c>
      <c r="C1403" s="608">
        <v>0</v>
      </c>
      <c r="D1403" s="609" t="str">
        <f t="shared" si="567"/>
        <v>0</v>
      </c>
      <c r="E1403" s="609">
        <f t="shared" si="567"/>
        <v>9.9088608217455345</v>
      </c>
      <c r="F1403" s="609">
        <f t="shared" si="567"/>
        <v>1.7550251825099394</v>
      </c>
      <c r="G1403" s="609">
        <f t="shared" si="567"/>
        <v>6.8690249717051399</v>
      </c>
      <c r="H1403" s="609">
        <f t="shared" si="567"/>
        <v>4.5993131376267149</v>
      </c>
      <c r="I1403" s="609">
        <f t="shared" si="567"/>
        <v>-1.9437094621490569</v>
      </c>
      <c r="J1403" s="609">
        <f t="shared" si="567"/>
        <v>14.163464821894657</v>
      </c>
      <c r="K1403" s="608">
        <v>0</v>
      </c>
      <c r="L1403" s="609" t="str">
        <f t="shared" si="568"/>
        <v>0</v>
      </c>
      <c r="M1403" s="609">
        <f t="shared" si="568"/>
        <v>11.406553073100012</v>
      </c>
      <c r="N1403" s="609">
        <f t="shared" si="568"/>
        <v>5.5476285667053205</v>
      </c>
      <c r="O1403" s="609">
        <f t="shared" si="568"/>
        <v>5.9128676797298496</v>
      </c>
      <c r="P1403" s="609">
        <f t="shared" si="568"/>
        <v>10.558905891113501</v>
      </c>
      <c r="Q1403" s="609">
        <f t="shared" si="568"/>
        <v>-5.8805895957485976</v>
      </c>
      <c r="R1403" s="603">
        <f t="shared" si="568"/>
        <v>0.42251420139574059</v>
      </c>
    </row>
    <row r="1404" spans="2:18">
      <c r="B1404" s="595" t="s">
        <v>1049</v>
      </c>
      <c r="C1404" s="608">
        <v>0</v>
      </c>
      <c r="D1404" s="609">
        <f t="shared" ref="D1404:J1410" si="569">IF(ISNUMBER((D1336/C1336-1)*100),(D1336/C1336-1)*100,"0")</f>
        <v>-74.537947842945513</v>
      </c>
      <c r="E1404" s="609">
        <f t="shared" si="569"/>
        <v>349.67210870648893</v>
      </c>
      <c r="F1404" s="609">
        <f t="shared" si="569"/>
        <v>10.855829982768505</v>
      </c>
      <c r="G1404" s="609">
        <f t="shared" si="569"/>
        <v>11.614248704663211</v>
      </c>
      <c r="H1404" s="609">
        <f t="shared" si="569"/>
        <v>40.086808980783651</v>
      </c>
      <c r="I1404" s="609">
        <f t="shared" si="569"/>
        <v>-13.394530314111442</v>
      </c>
      <c r="J1404" s="609">
        <f t="shared" si="569"/>
        <v>-40.514378901404335</v>
      </c>
      <c r="K1404" s="608">
        <v>0</v>
      </c>
      <c r="L1404" s="609">
        <f t="shared" ref="L1404:R1410" si="570">IF(ISNUMBER((L1336/K1336-1)*100),(L1336/K1336-1)*100,"0")</f>
        <v>-25.944321167032324</v>
      </c>
      <c r="M1404" s="609">
        <f t="shared" si="570"/>
        <v>-47.155682731713902</v>
      </c>
      <c r="N1404" s="609">
        <f t="shared" si="570"/>
        <v>205.31914893617019</v>
      </c>
      <c r="O1404" s="609">
        <f t="shared" si="570"/>
        <v>145.67212543554012</v>
      </c>
      <c r="P1404" s="609">
        <f t="shared" si="570"/>
        <v>16.641397630620112</v>
      </c>
      <c r="Q1404" s="609">
        <f t="shared" si="570"/>
        <v>13.636562607154069</v>
      </c>
      <c r="R1404" s="603">
        <f t="shared" si="570"/>
        <v>5.7362639008820215</v>
      </c>
    </row>
    <row r="1405" spans="2:18">
      <c r="B1405" s="595" t="s">
        <v>1050</v>
      </c>
      <c r="C1405" s="608">
        <v>0</v>
      </c>
      <c r="D1405" s="609">
        <f t="shared" si="569"/>
        <v>12.02470529823132</v>
      </c>
      <c r="E1405" s="609">
        <f t="shared" si="569"/>
        <v>10.350181213625987</v>
      </c>
      <c r="F1405" s="609">
        <f t="shared" si="569"/>
        <v>10.649346529343395</v>
      </c>
      <c r="G1405" s="609">
        <f t="shared" si="569"/>
        <v>10.962957593448564</v>
      </c>
      <c r="H1405" s="609">
        <f t="shared" si="569"/>
        <v>11.510736127155008</v>
      </c>
      <c r="I1405" s="609">
        <f t="shared" si="569"/>
        <v>11.396819012477376</v>
      </c>
      <c r="J1405" s="609">
        <f t="shared" si="569"/>
        <v>20.351437035129983</v>
      </c>
      <c r="K1405" s="608">
        <v>6.8375862020766007</v>
      </c>
      <c r="L1405" s="609">
        <f t="shared" si="570"/>
        <v>-1.3789773159777696</v>
      </c>
      <c r="M1405" s="609">
        <f t="shared" si="570"/>
        <v>1.7282259212179962</v>
      </c>
      <c r="N1405" s="609">
        <f t="shared" si="570"/>
        <v>-2.8398205580530744</v>
      </c>
      <c r="O1405" s="609">
        <f t="shared" si="570"/>
        <v>-1.8141663107803074</v>
      </c>
      <c r="P1405" s="609">
        <f t="shared" si="570"/>
        <v>2.6826746466305895</v>
      </c>
      <c r="Q1405" s="609">
        <f t="shared" si="570"/>
        <v>-3.7878705361087062</v>
      </c>
      <c r="R1405" s="603">
        <f t="shared" si="570"/>
        <v>-3.6500702541350516</v>
      </c>
    </row>
    <row r="1406" spans="2:18">
      <c r="B1406" s="595" t="s">
        <v>1051</v>
      </c>
      <c r="C1406" s="608">
        <v>11.039918046071694</v>
      </c>
      <c r="D1406" s="609">
        <f t="shared" si="569"/>
        <v>8.3246211364657707</v>
      </c>
      <c r="E1406" s="609">
        <f t="shared" si="569"/>
        <v>-21.604052643747217</v>
      </c>
      <c r="F1406" s="609">
        <f t="shared" si="569"/>
        <v>32.990099410135599</v>
      </c>
      <c r="G1406" s="609">
        <f t="shared" si="569"/>
        <v>4.978177040229137</v>
      </c>
      <c r="H1406" s="609">
        <f t="shared" si="569"/>
        <v>11.641660415103772</v>
      </c>
      <c r="I1406" s="609">
        <f t="shared" si="569"/>
        <v>16.239922807096143</v>
      </c>
      <c r="J1406" s="609">
        <f t="shared" si="569"/>
        <v>13.035130047808273</v>
      </c>
      <c r="K1406" s="608">
        <v>3.8008406018113927</v>
      </c>
      <c r="L1406" s="609">
        <f t="shared" si="570"/>
        <v>1.6760802476047942</v>
      </c>
      <c r="M1406" s="609">
        <f t="shared" si="570"/>
        <v>8.1493033070338949</v>
      </c>
      <c r="N1406" s="609">
        <f t="shared" si="570"/>
        <v>18.899389002036649</v>
      </c>
      <c r="O1406" s="609">
        <f t="shared" si="570"/>
        <v>3.9578893997218367</v>
      </c>
      <c r="P1406" s="609">
        <f t="shared" si="570"/>
        <v>8.306777700518353</v>
      </c>
      <c r="Q1406" s="609">
        <f t="shared" si="570"/>
        <v>2.1082706034844856</v>
      </c>
      <c r="R1406" s="603">
        <f t="shared" si="570"/>
        <v>7.0646359960308214</v>
      </c>
    </row>
    <row r="1407" spans="2:18">
      <c r="B1407" s="595" t="s">
        <v>1052</v>
      </c>
      <c r="C1407" s="608">
        <v>-0.20292423221691669</v>
      </c>
      <c r="D1407" s="609">
        <f t="shared" si="569"/>
        <v>-0.97267353585042127</v>
      </c>
      <c r="E1407" s="609">
        <f t="shared" si="569"/>
        <v>18.330419792653018</v>
      </c>
      <c r="F1407" s="609">
        <f t="shared" si="569"/>
        <v>17.044735235730734</v>
      </c>
      <c r="G1407" s="609">
        <f t="shared" si="569"/>
        <v>5.805779944533862</v>
      </c>
      <c r="H1407" s="609">
        <f t="shared" si="569"/>
        <v>12.344807889735243</v>
      </c>
      <c r="I1407" s="609">
        <f t="shared" si="569"/>
        <v>2.7981492904249006</v>
      </c>
      <c r="J1407" s="609">
        <f t="shared" si="569"/>
        <v>4.6559367322418055</v>
      </c>
      <c r="K1407" s="608">
        <v>-3.3257522342599954</v>
      </c>
      <c r="L1407" s="609">
        <f t="shared" si="570"/>
        <v>-4.1833773736291597</v>
      </c>
      <c r="M1407" s="609">
        <f t="shared" si="570"/>
        <v>9.7723776997416181</v>
      </c>
      <c r="N1407" s="609">
        <f t="shared" si="570"/>
        <v>0.20546472781004521</v>
      </c>
      <c r="O1407" s="609">
        <f t="shared" si="570"/>
        <v>2.9501354316760375</v>
      </c>
      <c r="P1407" s="609">
        <f t="shared" si="570"/>
        <v>4.5879481470626704</v>
      </c>
      <c r="Q1407" s="609">
        <f t="shared" si="570"/>
        <v>-7.7095869277658107</v>
      </c>
      <c r="R1407" s="603">
        <f t="shared" si="570"/>
        <v>9.6586596145840744</v>
      </c>
    </row>
    <row r="1408" spans="2:18">
      <c r="B1408" s="595" t="s">
        <v>1053</v>
      </c>
      <c r="C1408" s="608">
        <v>10.292164674634796</v>
      </c>
      <c r="D1408" s="609">
        <f t="shared" si="569"/>
        <v>-4.6919325707405202</v>
      </c>
      <c r="E1408" s="609">
        <f t="shared" si="569"/>
        <v>-0.93546261781719542</v>
      </c>
      <c r="F1408" s="609">
        <f t="shared" si="569"/>
        <v>23.121386914653087</v>
      </c>
      <c r="G1408" s="609">
        <f t="shared" si="569"/>
        <v>13.439134147926746</v>
      </c>
      <c r="H1408" s="609">
        <f t="shared" si="569"/>
        <v>9.2055523495766955</v>
      </c>
      <c r="I1408" s="609">
        <f t="shared" si="569"/>
        <v>5.070221982904588</v>
      </c>
      <c r="J1408" s="609">
        <f t="shared" si="569"/>
        <v>4.6862547323899273</v>
      </c>
      <c r="K1408" s="608">
        <v>7.2118959107806679</v>
      </c>
      <c r="L1408" s="609">
        <f t="shared" si="570"/>
        <v>4.871775312066573</v>
      </c>
      <c r="M1408" s="609">
        <f t="shared" si="570"/>
        <v>-1.8855335523005112</v>
      </c>
      <c r="N1408" s="609">
        <f t="shared" si="570"/>
        <v>-1.0993188145877686</v>
      </c>
      <c r="O1408" s="609">
        <f t="shared" si="570"/>
        <v>-1.1354575971803671</v>
      </c>
      <c r="P1408" s="609">
        <f t="shared" si="570"/>
        <v>-1.3922319550250695</v>
      </c>
      <c r="Q1408" s="609">
        <f t="shared" si="570"/>
        <v>-4.7280586844647532</v>
      </c>
      <c r="R1408" s="603">
        <f t="shared" si="570"/>
        <v>2.967801674042958</v>
      </c>
    </row>
    <row r="1409" spans="2:18">
      <c r="B1409" s="595" t="s">
        <v>1054</v>
      </c>
      <c r="C1409" s="608">
        <v>0</v>
      </c>
      <c r="D1409" s="609" t="str">
        <f t="shared" si="569"/>
        <v>0</v>
      </c>
      <c r="E1409" s="609" t="str">
        <f t="shared" si="569"/>
        <v>0</v>
      </c>
      <c r="F1409" s="609" t="str">
        <f t="shared" si="569"/>
        <v>0</v>
      </c>
      <c r="G1409" s="609" t="str">
        <f t="shared" si="569"/>
        <v>0</v>
      </c>
      <c r="H1409" s="609" t="str">
        <f t="shared" si="569"/>
        <v>0</v>
      </c>
      <c r="I1409" s="609" t="str">
        <f t="shared" si="569"/>
        <v>0</v>
      </c>
      <c r="J1409" s="609" t="str">
        <f t="shared" si="569"/>
        <v>0</v>
      </c>
      <c r="K1409" s="608">
        <v>0</v>
      </c>
      <c r="L1409" s="609" t="str">
        <f t="shared" si="570"/>
        <v>0</v>
      </c>
      <c r="M1409" s="609" t="str">
        <f t="shared" si="570"/>
        <v>0</v>
      </c>
      <c r="N1409" s="609" t="str">
        <f t="shared" si="570"/>
        <v>0</v>
      </c>
      <c r="O1409" s="609" t="str">
        <f t="shared" si="570"/>
        <v>0</v>
      </c>
      <c r="P1409" s="609" t="str">
        <f t="shared" si="570"/>
        <v>0</v>
      </c>
      <c r="Q1409" s="609" t="str">
        <f t="shared" si="570"/>
        <v>0</v>
      </c>
      <c r="R1409" s="603" t="str">
        <f t="shared" si="570"/>
        <v>0</v>
      </c>
    </row>
    <row r="1410" spans="2:18">
      <c r="B1410" s="604" t="s">
        <v>1055</v>
      </c>
      <c r="C1410" s="610">
        <v>3.9255075199740723</v>
      </c>
      <c r="D1410" s="617">
        <f t="shared" si="569"/>
        <v>3.8041433071785979</v>
      </c>
      <c r="E1410" s="617">
        <f t="shared" si="569"/>
        <v>4.0626532402261883</v>
      </c>
      <c r="F1410" s="617">
        <f t="shared" si="569"/>
        <v>3.4953770720018706</v>
      </c>
      <c r="G1410" s="617">
        <f t="shared" si="569"/>
        <v>3.9388754147633431</v>
      </c>
      <c r="H1410" s="617">
        <f t="shared" si="569"/>
        <v>5.1244512777248286</v>
      </c>
      <c r="I1410" s="617">
        <f t="shared" si="569"/>
        <v>-16.454871096373058</v>
      </c>
      <c r="J1410" s="617">
        <f t="shared" si="569"/>
        <v>2.8908260310174461</v>
      </c>
      <c r="K1410" s="610">
        <v>4.0486858898213791</v>
      </c>
      <c r="L1410" s="617">
        <f t="shared" si="570"/>
        <v>12.160361077923799</v>
      </c>
      <c r="M1410" s="617">
        <f t="shared" si="570"/>
        <v>1.0005870489428359</v>
      </c>
      <c r="N1410" s="617">
        <f t="shared" si="570"/>
        <v>-0.24889905526167544</v>
      </c>
      <c r="O1410" s="617">
        <f t="shared" si="570"/>
        <v>6.596541021622726</v>
      </c>
      <c r="P1410" s="617">
        <f t="shared" si="570"/>
        <v>7.7477501305949215</v>
      </c>
      <c r="Q1410" s="617">
        <f t="shared" si="570"/>
        <v>4.5869438921209982</v>
      </c>
      <c r="R1410" s="618">
        <f t="shared" si="570"/>
        <v>4.4350603500714847</v>
      </c>
    </row>
    <row r="1411" spans="2:18">
      <c r="B1411" s="57"/>
      <c r="C1411" s="582"/>
      <c r="D1411" s="582"/>
      <c r="E1411" s="582"/>
      <c r="F1411" s="582"/>
      <c r="G1411" s="582"/>
      <c r="H1411" s="582"/>
      <c r="I1411" s="582"/>
      <c r="J1411" s="582"/>
      <c r="K1411" s="582"/>
      <c r="L1411" s="582"/>
      <c r="M1411" s="582"/>
      <c r="N1411" s="582"/>
      <c r="O1411" s="582"/>
      <c r="P1411" s="582"/>
      <c r="Q1411" s="582"/>
    </row>
    <row r="1412" spans="2:18">
      <c r="B1412" s="2157" t="s">
        <v>1164</v>
      </c>
      <c r="C1412" s="2157"/>
      <c r="D1412" s="2157"/>
      <c r="E1412" s="2157"/>
      <c r="F1412" s="2157"/>
      <c r="G1412" s="2157"/>
      <c r="H1412" s="2157"/>
      <c r="I1412" s="2157"/>
      <c r="J1412" s="2157"/>
      <c r="K1412" s="2157"/>
      <c r="L1412" s="2157"/>
      <c r="M1412" s="2157"/>
      <c r="N1412" s="2157"/>
      <c r="O1412" s="2157"/>
      <c r="P1412" s="2157"/>
      <c r="Q1412" s="2157"/>
      <c r="R1412" s="2157"/>
    </row>
    <row r="1413" spans="2:18">
      <c r="B1413" s="619"/>
      <c r="C1413" s="621"/>
      <c r="D1413" s="621"/>
      <c r="E1413" s="621"/>
      <c r="F1413" s="621"/>
      <c r="G1413" s="621"/>
      <c r="H1413" s="621"/>
      <c r="I1413" s="621"/>
      <c r="J1413" s="621"/>
      <c r="K1413" s="622"/>
      <c r="L1413" s="622"/>
      <c r="M1413" s="622"/>
      <c r="N1413" s="622"/>
      <c r="O1413" s="622"/>
      <c r="P1413" s="622"/>
      <c r="Q1413" s="622"/>
    </row>
    <row r="1414" spans="2:18">
      <c r="B1414" s="583"/>
      <c r="C1414" s="2161" t="s">
        <v>388</v>
      </c>
      <c r="D1414" s="2162"/>
      <c r="E1414" s="2162"/>
      <c r="F1414" s="2162"/>
      <c r="G1414" s="2162"/>
      <c r="H1414" s="2162"/>
      <c r="I1414" s="2162"/>
      <c r="J1414" s="2163"/>
      <c r="K1414" s="2181"/>
      <c r="L1414" s="2181"/>
      <c r="M1414" s="2181"/>
      <c r="N1414" s="2181"/>
      <c r="O1414" s="2181"/>
      <c r="P1414" s="2181"/>
      <c r="Q1414" s="2181"/>
    </row>
    <row r="1415" spans="2:18">
      <c r="B1415" s="57"/>
      <c r="C1415" s="587">
        <v>2014</v>
      </c>
      <c r="D1415" s="588">
        <v>2015</v>
      </c>
      <c r="E1415" s="588">
        <v>2016</v>
      </c>
      <c r="F1415" s="588">
        <v>2017</v>
      </c>
      <c r="G1415" s="588">
        <v>2018</v>
      </c>
      <c r="H1415" s="588">
        <v>2019</v>
      </c>
      <c r="I1415" s="588">
        <v>2020</v>
      </c>
      <c r="J1415" s="848">
        <v>2021</v>
      </c>
      <c r="K1415" s="582"/>
      <c r="L1415" s="582"/>
      <c r="N1415" s="582"/>
      <c r="O1415" s="582"/>
      <c r="P1415" s="582"/>
      <c r="Q1415" s="582"/>
    </row>
    <row r="1416" spans="2:18">
      <c r="B1416" s="589" t="s">
        <v>1038</v>
      </c>
      <c r="C1416" s="614">
        <v>-1.1642904872822362</v>
      </c>
      <c r="D1416" s="615">
        <f t="shared" ref="D1416:H1416" si="571">(D1348/C1348-1)*100</f>
        <v>0.39517267403670342</v>
      </c>
      <c r="E1416" s="615">
        <f t="shared" si="571"/>
        <v>1.5955243879095748</v>
      </c>
      <c r="F1416" s="615">
        <f t="shared" si="571"/>
        <v>-2.7421943378225788</v>
      </c>
      <c r="G1416" s="615">
        <f t="shared" si="571"/>
        <v>19.095713674363225</v>
      </c>
      <c r="H1416" s="615">
        <f t="shared" si="571"/>
        <v>-82.850382988791296</v>
      </c>
      <c r="I1416" s="615">
        <f>(I1348/H1348-1)*100</f>
        <v>9.9011864523694584</v>
      </c>
      <c r="J1416" s="616">
        <f>(J1348/I1348-1)*100</f>
        <v>8.5784448332404839</v>
      </c>
      <c r="K1416" s="582"/>
      <c r="L1416" s="582"/>
      <c r="N1416" s="582"/>
      <c r="O1416" s="582"/>
      <c r="P1416" s="582"/>
      <c r="Q1416" s="582"/>
    </row>
    <row r="1417" spans="2:18">
      <c r="B1417" s="595" t="s">
        <v>1039</v>
      </c>
      <c r="C1417" s="608">
        <f>IFERROR((C1349/B1349-1)*100,0)</f>
        <v>0</v>
      </c>
      <c r="D1417" s="609">
        <f t="shared" ref="D1417:J1417" si="572">IFERROR((D1349/C1349-1)*100,0)</f>
        <v>0</v>
      </c>
      <c r="E1417" s="609">
        <f t="shared" si="572"/>
        <v>0</v>
      </c>
      <c r="F1417" s="609">
        <f t="shared" si="572"/>
        <v>0</v>
      </c>
      <c r="G1417" s="609">
        <f t="shared" si="572"/>
        <v>0</v>
      </c>
      <c r="H1417" s="609">
        <f t="shared" si="572"/>
        <v>0</v>
      </c>
      <c r="I1417" s="609">
        <f t="shared" si="572"/>
        <v>0</v>
      </c>
      <c r="J1417" s="603">
        <f t="shared" si="572"/>
        <v>0</v>
      </c>
      <c r="K1417" s="582"/>
      <c r="L1417" s="582"/>
      <c r="N1417" s="582"/>
      <c r="O1417" s="582"/>
      <c r="P1417" s="582"/>
      <c r="Q1417" s="582"/>
    </row>
    <row r="1418" spans="2:18">
      <c r="B1418" s="595" t="s">
        <v>1040</v>
      </c>
      <c r="C1418" s="608">
        <f t="shared" ref="C1418:J1418" si="573">IFERROR((C1350/B1350-1)*100,0)</f>
        <v>0</v>
      </c>
      <c r="D1418" s="609">
        <f t="shared" si="573"/>
        <v>0</v>
      </c>
      <c r="E1418" s="609">
        <f t="shared" si="573"/>
        <v>0</v>
      </c>
      <c r="F1418" s="609">
        <f t="shared" si="573"/>
        <v>0</v>
      </c>
      <c r="G1418" s="609">
        <f t="shared" si="573"/>
        <v>0</v>
      </c>
      <c r="H1418" s="609">
        <f t="shared" si="573"/>
        <v>0</v>
      </c>
      <c r="I1418" s="609">
        <f t="shared" si="573"/>
        <v>0</v>
      </c>
      <c r="J1418" s="603">
        <f t="shared" si="573"/>
        <v>0</v>
      </c>
      <c r="K1418" s="582"/>
      <c r="L1418" s="582"/>
      <c r="N1418" s="582"/>
      <c r="O1418" s="582"/>
      <c r="P1418" s="582"/>
      <c r="Q1418" s="582"/>
    </row>
    <row r="1419" spans="2:18">
      <c r="B1419" s="595" t="s">
        <v>1041</v>
      </c>
      <c r="C1419" s="608">
        <f t="shared" ref="C1419:J1419" si="574">IFERROR((C1351/B1351-1)*100,0)</f>
        <v>0</v>
      </c>
      <c r="D1419" s="609">
        <f t="shared" si="574"/>
        <v>0</v>
      </c>
      <c r="E1419" s="609">
        <f t="shared" si="574"/>
        <v>0</v>
      </c>
      <c r="F1419" s="609">
        <f t="shared" si="574"/>
        <v>0</v>
      </c>
      <c r="G1419" s="609">
        <f t="shared" si="574"/>
        <v>0</v>
      </c>
      <c r="H1419" s="609">
        <f t="shared" si="574"/>
        <v>0</v>
      </c>
      <c r="I1419" s="609">
        <f t="shared" si="574"/>
        <v>0</v>
      </c>
      <c r="J1419" s="603">
        <f t="shared" si="574"/>
        <v>0</v>
      </c>
      <c r="K1419" s="582"/>
      <c r="L1419" s="582"/>
      <c r="N1419" s="582"/>
      <c r="O1419" s="582"/>
      <c r="P1419" s="582"/>
      <c r="Q1419" s="582"/>
    </row>
    <row r="1420" spans="2:18">
      <c r="B1420" s="595" t="s">
        <v>1042</v>
      </c>
      <c r="C1420" s="608">
        <f t="shared" ref="C1420:J1420" si="575">IFERROR((C1352/B1352-1)*100,0)</f>
        <v>0</v>
      </c>
      <c r="D1420" s="609">
        <f t="shared" si="575"/>
        <v>0</v>
      </c>
      <c r="E1420" s="609">
        <f t="shared" si="575"/>
        <v>0</v>
      </c>
      <c r="F1420" s="609">
        <f t="shared" si="575"/>
        <v>0</v>
      </c>
      <c r="G1420" s="609">
        <f t="shared" si="575"/>
        <v>0</v>
      </c>
      <c r="H1420" s="609">
        <f t="shared" si="575"/>
        <v>0</v>
      </c>
      <c r="I1420" s="609">
        <f t="shared" si="575"/>
        <v>0</v>
      </c>
      <c r="J1420" s="603">
        <f t="shared" si="575"/>
        <v>0</v>
      </c>
      <c r="K1420" s="582"/>
      <c r="L1420" s="582"/>
      <c r="N1420" s="582"/>
      <c r="O1420" s="582"/>
      <c r="P1420" s="582"/>
      <c r="Q1420" s="582"/>
    </row>
    <row r="1421" spans="2:18">
      <c r="B1421" s="595" t="s">
        <v>1043</v>
      </c>
      <c r="C1421" s="608">
        <f t="shared" ref="C1421:J1421" si="576">IFERROR((C1353/B1353-1)*100,0)</f>
        <v>0</v>
      </c>
      <c r="D1421" s="609">
        <f t="shared" si="576"/>
        <v>0</v>
      </c>
      <c r="E1421" s="609">
        <f t="shared" si="576"/>
        <v>0</v>
      </c>
      <c r="F1421" s="609">
        <f t="shared" si="576"/>
        <v>0</v>
      </c>
      <c r="G1421" s="609">
        <f t="shared" si="576"/>
        <v>0</v>
      </c>
      <c r="H1421" s="609">
        <f t="shared" si="576"/>
        <v>0</v>
      </c>
      <c r="I1421" s="609">
        <f t="shared" si="576"/>
        <v>0</v>
      </c>
      <c r="J1421" s="603">
        <f t="shared" si="576"/>
        <v>0</v>
      </c>
      <c r="K1421" s="582"/>
      <c r="L1421" s="582"/>
      <c r="N1421" s="582"/>
      <c r="O1421" s="582"/>
      <c r="P1421" s="582"/>
      <c r="Q1421" s="582"/>
    </row>
    <row r="1422" spans="2:18">
      <c r="B1422" s="595" t="s">
        <v>1044</v>
      </c>
      <c r="C1422" s="608">
        <f t="shared" ref="C1422:J1424" si="577">IFERROR((C1354/B1354-1)*100,0)</f>
        <v>0</v>
      </c>
      <c r="D1422" s="609">
        <f t="shared" si="577"/>
        <v>0</v>
      </c>
      <c r="E1422" s="609">
        <f t="shared" si="577"/>
        <v>0</v>
      </c>
      <c r="F1422" s="609">
        <f t="shared" si="577"/>
        <v>0</v>
      </c>
      <c r="G1422" s="609">
        <f t="shared" si="577"/>
        <v>0</v>
      </c>
      <c r="H1422" s="609">
        <f t="shared" si="577"/>
        <v>0</v>
      </c>
      <c r="I1422" s="609">
        <f t="shared" si="577"/>
        <v>0</v>
      </c>
      <c r="J1422" s="603">
        <f t="shared" si="577"/>
        <v>0</v>
      </c>
      <c r="K1422" s="582"/>
      <c r="L1422" s="582"/>
      <c r="N1422" s="582"/>
      <c r="O1422" s="582"/>
      <c r="P1422" s="582"/>
      <c r="Q1422" s="582"/>
    </row>
    <row r="1423" spans="2:18">
      <c r="B1423" s="595" t="s">
        <v>1061</v>
      </c>
      <c r="C1423" s="608">
        <f t="shared" si="577"/>
        <v>0</v>
      </c>
      <c r="D1423" s="609">
        <f t="shared" ref="D1423" si="578">IFERROR((D1355/C1355-1)*100,0)</f>
        <v>0</v>
      </c>
      <c r="E1423" s="609">
        <f t="shared" ref="E1423" si="579">IFERROR((E1355/D1355-1)*100,0)</f>
        <v>0</v>
      </c>
      <c r="F1423" s="609">
        <f t="shared" ref="F1423" si="580">IFERROR((F1355/E1355-1)*100,0)</f>
        <v>0</v>
      </c>
      <c r="G1423" s="609">
        <f t="shared" ref="G1423" si="581">IFERROR((G1355/F1355-1)*100,0)</f>
        <v>0</v>
      </c>
      <c r="H1423" s="609">
        <f t="shared" ref="H1423" si="582">IFERROR((H1355/G1355-1)*100,0)</f>
        <v>0</v>
      </c>
      <c r="I1423" s="609">
        <f t="shared" ref="I1423" si="583">IFERROR((I1355/H1355-1)*100,0)</f>
        <v>0</v>
      </c>
      <c r="J1423" s="603">
        <f t="shared" ref="J1423" si="584">IFERROR((J1355/I1355-1)*100,0)</f>
        <v>0</v>
      </c>
      <c r="K1423" s="582"/>
      <c r="L1423" s="582"/>
      <c r="N1423" s="582"/>
      <c r="O1423" s="582"/>
      <c r="P1423" s="582"/>
      <c r="Q1423" s="582"/>
    </row>
    <row r="1424" spans="2:18">
      <c r="B1424" s="595" t="s">
        <v>1047</v>
      </c>
      <c r="C1424" s="608">
        <f t="shared" si="577"/>
        <v>0</v>
      </c>
      <c r="D1424" s="609">
        <f t="shared" si="577"/>
        <v>0</v>
      </c>
      <c r="E1424" s="609">
        <f t="shared" si="577"/>
        <v>0</v>
      </c>
      <c r="F1424" s="609">
        <f t="shared" si="577"/>
        <v>0</v>
      </c>
      <c r="G1424" s="609">
        <f t="shared" si="577"/>
        <v>0</v>
      </c>
      <c r="H1424" s="609">
        <f t="shared" si="577"/>
        <v>0</v>
      </c>
      <c r="I1424" s="609">
        <f t="shared" si="577"/>
        <v>0</v>
      </c>
      <c r="J1424" s="603">
        <f t="shared" si="577"/>
        <v>0</v>
      </c>
      <c r="K1424" s="582"/>
      <c r="L1424" s="582"/>
      <c r="N1424" s="582"/>
      <c r="O1424" s="582"/>
      <c r="P1424" s="582"/>
      <c r="Q1424" s="582"/>
    </row>
    <row r="1425" spans="2:18">
      <c r="B1425" s="595" t="s">
        <v>1048</v>
      </c>
      <c r="C1425" s="608">
        <f t="shared" ref="C1425:J1425" si="585">IFERROR((C1357/B1357-1)*100,0)</f>
        <v>0</v>
      </c>
      <c r="D1425" s="609">
        <f t="shared" si="585"/>
        <v>0</v>
      </c>
      <c r="E1425" s="609">
        <f t="shared" si="585"/>
        <v>0</v>
      </c>
      <c r="F1425" s="609">
        <f t="shared" si="585"/>
        <v>0</v>
      </c>
      <c r="G1425" s="609">
        <f t="shared" si="585"/>
        <v>0</v>
      </c>
      <c r="H1425" s="609">
        <f t="shared" si="585"/>
        <v>0</v>
      </c>
      <c r="I1425" s="609">
        <f t="shared" si="585"/>
        <v>0</v>
      </c>
      <c r="J1425" s="603">
        <f t="shared" si="585"/>
        <v>0</v>
      </c>
      <c r="K1425" s="582"/>
      <c r="L1425" s="582"/>
      <c r="N1425" s="582"/>
      <c r="O1425" s="582"/>
      <c r="P1425" s="582"/>
      <c r="Q1425" s="582"/>
    </row>
    <row r="1426" spans="2:18">
      <c r="B1426" s="595" t="s">
        <v>1049</v>
      </c>
      <c r="C1426" s="608">
        <f t="shared" ref="C1426:J1426" si="586">IFERROR((C1358/B1358-1)*100,0)</f>
        <v>0</v>
      </c>
      <c r="D1426" s="609">
        <f t="shared" si="586"/>
        <v>0</v>
      </c>
      <c r="E1426" s="609">
        <f t="shared" si="586"/>
        <v>0</v>
      </c>
      <c r="F1426" s="609">
        <f t="shared" si="586"/>
        <v>0</v>
      </c>
      <c r="G1426" s="609">
        <f t="shared" si="586"/>
        <v>0</v>
      </c>
      <c r="H1426" s="609">
        <f t="shared" si="586"/>
        <v>0</v>
      </c>
      <c r="I1426" s="609">
        <f t="shared" si="586"/>
        <v>0</v>
      </c>
      <c r="J1426" s="603">
        <f t="shared" si="586"/>
        <v>0</v>
      </c>
      <c r="K1426" s="582"/>
      <c r="L1426" s="582"/>
      <c r="N1426" s="582"/>
      <c r="O1426" s="582"/>
      <c r="P1426" s="582"/>
      <c r="Q1426" s="582"/>
    </row>
    <row r="1427" spans="2:18">
      <c r="B1427" s="595" t="s">
        <v>1050</v>
      </c>
      <c r="C1427" s="608">
        <f t="shared" ref="C1427:J1427" si="587">IFERROR((C1359/B1359-1)*100,0)</f>
        <v>0</v>
      </c>
      <c r="D1427" s="609">
        <f t="shared" si="587"/>
        <v>0</v>
      </c>
      <c r="E1427" s="609">
        <f t="shared" si="587"/>
        <v>0</v>
      </c>
      <c r="F1427" s="609">
        <f t="shared" si="587"/>
        <v>0</v>
      </c>
      <c r="G1427" s="609">
        <f t="shared" si="587"/>
        <v>0</v>
      </c>
      <c r="H1427" s="609">
        <f t="shared" si="587"/>
        <v>0</v>
      </c>
      <c r="I1427" s="609">
        <f t="shared" si="587"/>
        <v>0</v>
      </c>
      <c r="J1427" s="603">
        <f t="shared" si="587"/>
        <v>0</v>
      </c>
      <c r="K1427" s="582"/>
      <c r="L1427" s="582"/>
      <c r="N1427" s="582"/>
      <c r="O1427" s="582"/>
      <c r="P1427" s="582"/>
      <c r="Q1427" s="582"/>
    </row>
    <row r="1428" spans="2:18">
      <c r="B1428" s="595" t="s">
        <v>1051</v>
      </c>
      <c r="C1428" s="608">
        <f t="shared" ref="C1428:J1428" si="588">IFERROR((C1360/B1360-1)*100,0)</f>
        <v>0</v>
      </c>
      <c r="D1428" s="609">
        <f t="shared" si="588"/>
        <v>0</v>
      </c>
      <c r="E1428" s="609">
        <f t="shared" si="588"/>
        <v>0</v>
      </c>
      <c r="F1428" s="609">
        <f t="shared" si="588"/>
        <v>0</v>
      </c>
      <c r="G1428" s="609">
        <f t="shared" si="588"/>
        <v>0</v>
      </c>
      <c r="H1428" s="609">
        <f t="shared" si="588"/>
        <v>0</v>
      </c>
      <c r="I1428" s="609">
        <f t="shared" si="588"/>
        <v>0</v>
      </c>
      <c r="J1428" s="603">
        <f t="shared" si="588"/>
        <v>0</v>
      </c>
      <c r="K1428" s="582"/>
      <c r="L1428" s="582"/>
      <c r="N1428" s="582"/>
      <c r="O1428" s="582"/>
      <c r="P1428" s="582"/>
      <c r="Q1428" s="582"/>
    </row>
    <row r="1429" spans="2:18">
      <c r="B1429" s="595" t="s">
        <v>1052</v>
      </c>
      <c r="C1429" s="608">
        <f t="shared" ref="C1429:J1429" si="589">IFERROR((C1361/B1361-1)*100,0)</f>
        <v>0</v>
      </c>
      <c r="D1429" s="609">
        <f t="shared" si="589"/>
        <v>0</v>
      </c>
      <c r="E1429" s="609">
        <f t="shared" si="589"/>
        <v>0</v>
      </c>
      <c r="F1429" s="609">
        <f t="shared" si="589"/>
        <v>0</v>
      </c>
      <c r="G1429" s="609">
        <f t="shared" si="589"/>
        <v>0</v>
      </c>
      <c r="H1429" s="609">
        <f t="shared" si="589"/>
        <v>0</v>
      </c>
      <c r="I1429" s="609">
        <f t="shared" si="589"/>
        <v>0</v>
      </c>
      <c r="J1429" s="603">
        <f t="shared" si="589"/>
        <v>0</v>
      </c>
      <c r="K1429" s="582"/>
      <c r="L1429" s="582"/>
      <c r="N1429" s="582"/>
      <c r="O1429" s="582"/>
      <c r="P1429" s="582"/>
      <c r="Q1429" s="582"/>
    </row>
    <row r="1430" spans="2:18">
      <c r="B1430" s="595" t="s">
        <v>1053</v>
      </c>
      <c r="C1430" s="608">
        <f t="shared" ref="C1430:J1430" si="590">IFERROR((C1362/B1362-1)*100,0)</f>
        <v>0</v>
      </c>
      <c r="D1430" s="609">
        <f t="shared" si="590"/>
        <v>0</v>
      </c>
      <c r="E1430" s="609">
        <f t="shared" si="590"/>
        <v>0</v>
      </c>
      <c r="F1430" s="609">
        <f t="shared" si="590"/>
        <v>0</v>
      </c>
      <c r="G1430" s="609">
        <f t="shared" si="590"/>
        <v>0</v>
      </c>
      <c r="H1430" s="609">
        <f t="shared" si="590"/>
        <v>0</v>
      </c>
      <c r="I1430" s="609">
        <f t="shared" si="590"/>
        <v>0</v>
      </c>
      <c r="J1430" s="603">
        <f t="shared" si="590"/>
        <v>0</v>
      </c>
      <c r="K1430" s="582"/>
      <c r="L1430" s="582"/>
      <c r="N1430" s="582"/>
      <c r="O1430" s="582"/>
      <c r="P1430" s="582"/>
      <c r="Q1430" s="582"/>
    </row>
    <row r="1431" spans="2:18">
      <c r="B1431" s="595" t="s">
        <v>1054</v>
      </c>
      <c r="C1431" s="608">
        <f t="shared" ref="C1431:J1431" si="591">IFERROR((C1363/B1363-1)*100,0)</f>
        <v>0</v>
      </c>
      <c r="D1431" s="609">
        <f t="shared" si="591"/>
        <v>0</v>
      </c>
      <c r="E1431" s="609">
        <f t="shared" si="591"/>
        <v>0</v>
      </c>
      <c r="F1431" s="609">
        <f t="shared" si="591"/>
        <v>0</v>
      </c>
      <c r="G1431" s="609">
        <f t="shared" si="591"/>
        <v>0</v>
      </c>
      <c r="H1431" s="609">
        <f t="shared" si="591"/>
        <v>0</v>
      </c>
      <c r="I1431" s="609">
        <f t="shared" si="591"/>
        <v>0</v>
      </c>
      <c r="J1431" s="603">
        <f t="shared" si="591"/>
        <v>0</v>
      </c>
      <c r="K1431" s="582"/>
      <c r="L1431" s="582"/>
      <c r="N1431" s="582"/>
      <c r="O1431" s="582"/>
      <c r="P1431" s="582"/>
      <c r="Q1431" s="582"/>
    </row>
    <row r="1432" spans="2:18">
      <c r="B1432" s="604" t="s">
        <v>1055</v>
      </c>
      <c r="C1432" s="610">
        <f t="shared" ref="C1432:J1432" si="592">IFERROR((C1364/B1364-1)*100,0)</f>
        <v>0</v>
      </c>
      <c r="D1432" s="617">
        <f t="shared" si="592"/>
        <v>0</v>
      </c>
      <c r="E1432" s="617">
        <f t="shared" si="592"/>
        <v>0</v>
      </c>
      <c r="F1432" s="617">
        <f t="shared" si="592"/>
        <v>0</v>
      </c>
      <c r="G1432" s="617">
        <f t="shared" si="592"/>
        <v>0</v>
      </c>
      <c r="H1432" s="617">
        <f t="shared" si="592"/>
        <v>0</v>
      </c>
      <c r="I1432" s="617">
        <f t="shared" si="592"/>
        <v>0</v>
      </c>
      <c r="J1432" s="618">
        <f t="shared" si="592"/>
        <v>0</v>
      </c>
      <c r="K1432" s="582"/>
      <c r="L1432" s="582"/>
      <c r="M1432" s="582"/>
      <c r="N1432" s="582"/>
      <c r="O1432" s="582"/>
      <c r="P1432" s="582"/>
      <c r="Q1432" s="582"/>
    </row>
    <row r="1433" spans="2:18">
      <c r="B1433" s="57"/>
      <c r="C1433" s="582"/>
      <c r="D1433" s="582"/>
      <c r="E1433" s="582"/>
      <c r="F1433" s="582"/>
      <c r="G1433" s="582"/>
      <c r="H1433" s="582"/>
      <c r="I1433" s="582"/>
      <c r="J1433" s="582"/>
      <c r="K1433" s="582"/>
      <c r="L1433" s="582"/>
      <c r="M1433" s="582"/>
      <c r="N1433" s="582"/>
      <c r="O1433" s="582"/>
      <c r="P1433" s="582"/>
      <c r="Q1433" s="582"/>
    </row>
    <row r="1434" spans="2:18">
      <c r="B1434" s="2157" t="s">
        <v>1165</v>
      </c>
      <c r="C1434" s="2157"/>
      <c r="D1434" s="2157"/>
      <c r="E1434" s="2157"/>
      <c r="F1434" s="2157"/>
      <c r="G1434" s="2157"/>
      <c r="H1434" s="2157"/>
      <c r="I1434" s="2157"/>
      <c r="J1434" s="2157"/>
      <c r="K1434" s="2157"/>
      <c r="L1434" s="2157"/>
      <c r="M1434" s="2157"/>
      <c r="N1434" s="2157"/>
      <c r="O1434" s="2157"/>
      <c r="P1434" s="2157"/>
      <c r="Q1434" s="2157"/>
      <c r="R1434" s="2157"/>
    </row>
    <row r="1435" spans="2:18" ht="15" customHeight="1">
      <c r="B1435" s="2178" t="s">
        <v>1166</v>
      </c>
      <c r="C1435" s="2178"/>
      <c r="D1435" s="2178"/>
      <c r="E1435" s="2178"/>
      <c r="F1435" s="2178"/>
      <c r="G1435" s="2178"/>
      <c r="H1435" s="2178"/>
      <c r="I1435" s="2178"/>
      <c r="J1435" s="2178"/>
      <c r="K1435" s="2178"/>
      <c r="L1435" s="2178"/>
      <c r="M1435" s="2178"/>
      <c r="N1435" s="2178"/>
      <c r="O1435" s="2178"/>
      <c r="P1435" s="2178"/>
      <c r="Q1435" s="2178"/>
      <c r="R1435" s="2178"/>
    </row>
    <row r="1436" spans="2:18">
      <c r="B1436" s="2160" t="s">
        <v>1167</v>
      </c>
      <c r="C1436" s="2160"/>
      <c r="D1436" s="2160"/>
      <c r="E1436" s="2160"/>
      <c r="F1436" s="2160"/>
      <c r="G1436" s="2160"/>
      <c r="H1436" s="2160"/>
      <c r="I1436" s="2160"/>
      <c r="J1436" s="2160"/>
      <c r="K1436" s="2160"/>
      <c r="L1436" s="2160"/>
      <c r="M1436" s="2160"/>
      <c r="N1436" s="2160"/>
      <c r="O1436" s="2160"/>
      <c r="P1436" s="2160"/>
      <c r="Q1436" s="2160"/>
      <c r="R1436" s="2160"/>
    </row>
    <row r="1437" spans="2:18">
      <c r="B1437" s="57"/>
      <c r="C1437" s="582"/>
      <c r="D1437" s="582"/>
      <c r="E1437" s="582"/>
      <c r="F1437" s="582"/>
      <c r="G1437" s="582"/>
      <c r="H1437" s="582"/>
      <c r="I1437" s="582"/>
      <c r="J1437" s="582"/>
      <c r="K1437" s="582"/>
      <c r="L1437" s="582"/>
      <c r="M1437" s="582"/>
      <c r="N1437" s="582"/>
      <c r="O1437" s="582"/>
      <c r="P1437" s="582"/>
      <c r="Q1437" s="582"/>
    </row>
    <row r="1438" spans="2:18">
      <c r="B1438" s="583"/>
      <c r="C1438" s="2161" t="s">
        <v>390</v>
      </c>
      <c r="D1438" s="2162"/>
      <c r="E1438" s="2162"/>
      <c r="F1438" s="2162"/>
      <c r="G1438" s="2162"/>
      <c r="H1438" s="2162"/>
      <c r="I1438" s="2162"/>
      <c r="J1438" s="2163"/>
      <c r="K1438" s="2161" t="s">
        <v>386</v>
      </c>
      <c r="L1438" s="2162"/>
      <c r="M1438" s="2162"/>
      <c r="N1438" s="2162"/>
      <c r="O1438" s="2162"/>
      <c r="P1438" s="2162"/>
      <c r="Q1438" s="2162"/>
      <c r="R1438" s="2163"/>
    </row>
    <row r="1439" spans="2:18">
      <c r="B1439" s="57"/>
      <c r="C1439" s="585">
        <v>2014</v>
      </c>
      <c r="D1439" s="586">
        <v>2015</v>
      </c>
      <c r="E1439" s="586">
        <v>2016</v>
      </c>
      <c r="F1439" s="586">
        <v>2017</v>
      </c>
      <c r="G1439" s="586">
        <v>2018</v>
      </c>
      <c r="H1439" s="586">
        <v>2019</v>
      </c>
      <c r="I1439" s="586">
        <v>2020</v>
      </c>
      <c r="J1439" s="586">
        <v>2021</v>
      </c>
      <c r="K1439" s="587">
        <v>2014</v>
      </c>
      <c r="L1439" s="588">
        <v>2015</v>
      </c>
      <c r="M1439" s="588">
        <v>2016</v>
      </c>
      <c r="N1439" s="588">
        <v>2017</v>
      </c>
      <c r="O1439" s="588">
        <v>2018</v>
      </c>
      <c r="P1439" s="588">
        <v>2019</v>
      </c>
      <c r="Q1439" s="588">
        <v>2020</v>
      </c>
      <c r="R1439" s="848">
        <v>2021</v>
      </c>
    </row>
    <row r="1440" spans="2:18">
      <c r="B1440" s="589" t="s">
        <v>1038</v>
      </c>
      <c r="C1440" s="614">
        <f t="shared" ref="C1440:J1446" si="593">IF(ISNUMBER(C1304/K6),C1304/K6,"0")</f>
        <v>0.8513174984473687</v>
      </c>
      <c r="D1440" s="615">
        <f t="shared" si="593"/>
        <v>0.87765364092144571</v>
      </c>
      <c r="E1440" s="615">
        <f t="shared" si="593"/>
        <v>0.94288605225815025</v>
      </c>
      <c r="F1440" s="615">
        <f t="shared" si="593"/>
        <v>1.0265320698049993</v>
      </c>
      <c r="G1440" s="615">
        <f t="shared" si="593"/>
        <v>1.0804727739171009</v>
      </c>
      <c r="H1440" s="615">
        <f t="shared" si="593"/>
        <v>1.080387728958498</v>
      </c>
      <c r="I1440" s="615">
        <f t="shared" si="593"/>
        <v>1.2589011173061242</v>
      </c>
      <c r="J1440" s="616">
        <f t="shared" si="593"/>
        <v>1.3127706395983409</v>
      </c>
      <c r="K1440" s="614">
        <f t="shared" ref="K1440:R1446" si="594">IF(ISNUMBER(K1304/K6),K1304/K6,"0")</f>
        <v>0</v>
      </c>
      <c r="L1440" s="615">
        <f t="shared" si="594"/>
        <v>0</v>
      </c>
      <c r="M1440" s="615">
        <f t="shared" si="594"/>
        <v>0</v>
      </c>
      <c r="N1440" s="615">
        <f t="shared" si="594"/>
        <v>6.9382202593626749E-2</v>
      </c>
      <c r="O1440" s="615">
        <f t="shared" si="594"/>
        <v>9.9967699380026795E-2</v>
      </c>
      <c r="P1440" s="615">
        <f t="shared" si="594"/>
        <v>0.16222338548554752</v>
      </c>
      <c r="Q1440" s="615">
        <f t="shared" si="594"/>
        <v>0.11197366507261387</v>
      </c>
      <c r="R1440" s="616">
        <f t="shared" si="594"/>
        <v>0.34641250818598557</v>
      </c>
    </row>
    <row r="1441" spans="2:18">
      <c r="B1441" s="595" t="s">
        <v>1039</v>
      </c>
      <c r="C1441" s="1844">
        <f t="shared" si="593"/>
        <v>0</v>
      </c>
      <c r="D1441" s="609">
        <f t="shared" si="593"/>
        <v>0</v>
      </c>
      <c r="E1441" s="609">
        <f t="shared" si="593"/>
        <v>0</v>
      </c>
      <c r="F1441" s="609">
        <f t="shared" si="593"/>
        <v>0</v>
      </c>
      <c r="G1441" s="609">
        <f t="shared" si="593"/>
        <v>0</v>
      </c>
      <c r="H1441" s="609">
        <f t="shared" si="593"/>
        <v>0</v>
      </c>
      <c r="I1441" s="609">
        <f t="shared" si="593"/>
        <v>0</v>
      </c>
      <c r="J1441" s="603">
        <f t="shared" si="593"/>
        <v>0</v>
      </c>
      <c r="K1441" s="1844">
        <f t="shared" si="594"/>
        <v>0</v>
      </c>
      <c r="L1441" s="609">
        <f t="shared" si="594"/>
        <v>0</v>
      </c>
      <c r="M1441" s="609">
        <f t="shared" si="594"/>
        <v>0</v>
      </c>
      <c r="N1441" s="609">
        <f t="shared" si="594"/>
        <v>0</v>
      </c>
      <c r="O1441" s="609">
        <f t="shared" si="594"/>
        <v>0</v>
      </c>
      <c r="P1441" s="609">
        <f t="shared" si="594"/>
        <v>0</v>
      </c>
      <c r="Q1441" s="609">
        <f t="shared" si="594"/>
        <v>0</v>
      </c>
      <c r="R1441" s="603">
        <f t="shared" si="594"/>
        <v>0</v>
      </c>
    </row>
    <row r="1442" spans="2:18">
      <c r="B1442" s="595" t="s">
        <v>1040</v>
      </c>
      <c r="C1442" s="1844">
        <f t="shared" si="593"/>
        <v>0</v>
      </c>
      <c r="D1442" s="609">
        <f t="shared" si="593"/>
        <v>0</v>
      </c>
      <c r="E1442" s="609">
        <f t="shared" si="593"/>
        <v>0</v>
      </c>
      <c r="F1442" s="609">
        <f t="shared" si="593"/>
        <v>0</v>
      </c>
      <c r="G1442" s="609">
        <f t="shared" si="593"/>
        <v>0</v>
      </c>
      <c r="H1442" s="609">
        <f t="shared" si="593"/>
        <v>0</v>
      </c>
      <c r="I1442" s="609">
        <f t="shared" si="593"/>
        <v>0</v>
      </c>
      <c r="J1442" s="603">
        <f t="shared" si="593"/>
        <v>0</v>
      </c>
      <c r="K1442" s="1844">
        <f t="shared" si="594"/>
        <v>0</v>
      </c>
      <c r="L1442" s="609">
        <f t="shared" si="594"/>
        <v>0</v>
      </c>
      <c r="M1442" s="609">
        <f t="shared" si="594"/>
        <v>0</v>
      </c>
      <c r="N1442" s="609">
        <f t="shared" si="594"/>
        <v>0</v>
      </c>
      <c r="O1442" s="609">
        <f t="shared" si="594"/>
        <v>0</v>
      </c>
      <c r="P1442" s="609">
        <f t="shared" si="594"/>
        <v>0</v>
      </c>
      <c r="Q1442" s="609">
        <f t="shared" si="594"/>
        <v>0</v>
      </c>
      <c r="R1442" s="603">
        <f t="shared" si="594"/>
        <v>0</v>
      </c>
    </row>
    <row r="1443" spans="2:18">
      <c r="B1443" s="595" t="s">
        <v>1041</v>
      </c>
      <c r="C1443" s="1844">
        <f t="shared" si="593"/>
        <v>1.7363367819360838E-3</v>
      </c>
      <c r="D1443" s="609">
        <f t="shared" si="593"/>
        <v>1.7356723702458344E-3</v>
      </c>
      <c r="E1443" s="609">
        <f t="shared" si="593"/>
        <v>1.6808838070600188E-3</v>
      </c>
      <c r="F1443" s="609">
        <f t="shared" si="593"/>
        <v>1.6182404541683114E-3</v>
      </c>
      <c r="G1443" s="609">
        <f t="shared" si="593"/>
        <v>1.6369764296392862E-3</v>
      </c>
      <c r="H1443" s="609">
        <f t="shared" si="593"/>
        <v>1.6468735320552207E-3</v>
      </c>
      <c r="I1443" s="609">
        <f t="shared" si="593"/>
        <v>1.7931041211397517E-3</v>
      </c>
      <c r="J1443" s="603">
        <f t="shared" si="593"/>
        <v>2.3333107192079431E-3</v>
      </c>
      <c r="K1443" s="1844">
        <f t="shared" si="594"/>
        <v>1.3249085759973644E-5</v>
      </c>
      <c r="L1443" s="609">
        <f t="shared" si="594"/>
        <v>1.1971278160054143E-5</v>
      </c>
      <c r="M1443" s="609">
        <f t="shared" si="594"/>
        <v>1.6634971608296447E-5</v>
      </c>
      <c r="N1443" s="609">
        <f t="shared" si="594"/>
        <v>3.0510417553725229E-5</v>
      </c>
      <c r="O1443" s="609">
        <f t="shared" si="594"/>
        <v>9.5344931698569126E-5</v>
      </c>
      <c r="P1443" s="609">
        <f t="shared" si="594"/>
        <v>1.7502517819361079E-4</v>
      </c>
      <c r="Q1443" s="609">
        <f t="shared" si="594"/>
        <v>3.1297793402408283E-4</v>
      </c>
      <c r="R1443" s="603">
        <f t="shared" si="594"/>
        <v>5.6741538923110106E-4</v>
      </c>
    </row>
    <row r="1444" spans="2:18">
      <c r="B1444" s="595" t="s">
        <v>1042</v>
      </c>
      <c r="C1444" s="1844">
        <f t="shared" si="593"/>
        <v>1.8385329524466378E-4</v>
      </c>
      <c r="D1444" s="609">
        <f t="shared" si="593"/>
        <v>1.9141739638536137E-4</v>
      </c>
      <c r="E1444" s="609">
        <f t="shared" si="593"/>
        <v>1.9724704159656989E-4</v>
      </c>
      <c r="F1444" s="609">
        <f t="shared" si="593"/>
        <v>1.9658734215920003E-4</v>
      </c>
      <c r="G1444" s="609">
        <f t="shared" si="593"/>
        <v>2.0077231546116145E-4</v>
      </c>
      <c r="H1444" s="609">
        <f t="shared" si="593"/>
        <v>2.0698525625083216E-4</v>
      </c>
      <c r="I1444" s="609">
        <f t="shared" si="593"/>
        <v>2.0404187208447188E-7</v>
      </c>
      <c r="J1444" s="603">
        <f t="shared" si="593"/>
        <v>1.7190098586960714E-7</v>
      </c>
      <c r="K1444" s="1844">
        <f t="shared" si="594"/>
        <v>0</v>
      </c>
      <c r="L1444" s="609">
        <f t="shared" si="594"/>
        <v>0</v>
      </c>
      <c r="M1444" s="609">
        <f t="shared" si="594"/>
        <v>0</v>
      </c>
      <c r="N1444" s="609">
        <f t="shared" si="594"/>
        <v>0</v>
      </c>
      <c r="O1444" s="609">
        <f t="shared" si="594"/>
        <v>0</v>
      </c>
      <c r="P1444" s="609">
        <f t="shared" si="594"/>
        <v>0</v>
      </c>
      <c r="Q1444" s="609">
        <f t="shared" si="594"/>
        <v>0</v>
      </c>
      <c r="R1444" s="603">
        <f t="shared" si="594"/>
        <v>0</v>
      </c>
    </row>
    <row r="1445" spans="2:18">
      <c r="B1445" s="595" t="s">
        <v>1043</v>
      </c>
      <c r="C1445" s="1844">
        <f t="shared" si="593"/>
        <v>4.3786316698532518E-4</v>
      </c>
      <c r="D1445" s="609">
        <f t="shared" si="593"/>
        <v>4.6706468142655071E-4</v>
      </c>
      <c r="E1445" s="609">
        <f t="shared" si="593"/>
        <v>5.1646668187968958E-4</v>
      </c>
      <c r="F1445" s="609">
        <f t="shared" si="593"/>
        <v>5.5839974710502965E-4</v>
      </c>
      <c r="G1445" s="609">
        <f t="shared" si="593"/>
        <v>5.9346046011738113E-4</v>
      </c>
      <c r="H1445" s="609">
        <f t="shared" si="593"/>
        <v>6.5690951675965743E-4</v>
      </c>
      <c r="I1445" s="609">
        <f t="shared" si="593"/>
        <v>7.2237587772230308E-4</v>
      </c>
      <c r="J1445" s="603">
        <f t="shared" si="593"/>
        <v>7.9957025238524377E-4</v>
      </c>
      <c r="K1445" s="1844">
        <f t="shared" si="594"/>
        <v>0</v>
      </c>
      <c r="L1445" s="609">
        <f t="shared" si="594"/>
        <v>0</v>
      </c>
      <c r="M1445" s="609">
        <f t="shared" si="594"/>
        <v>0</v>
      </c>
      <c r="N1445" s="609">
        <f t="shared" si="594"/>
        <v>0</v>
      </c>
      <c r="O1445" s="609">
        <f t="shared" si="594"/>
        <v>0</v>
      </c>
      <c r="P1445" s="609">
        <f t="shared" si="594"/>
        <v>0</v>
      </c>
      <c r="Q1445" s="609">
        <f t="shared" si="594"/>
        <v>0</v>
      </c>
      <c r="R1445" s="603">
        <f t="shared" si="594"/>
        <v>0</v>
      </c>
    </row>
    <row r="1446" spans="2:18">
      <c r="B1446" s="595" t="s">
        <v>1044</v>
      </c>
      <c r="C1446" s="1844">
        <f t="shared" si="593"/>
        <v>1.1697106231795184E-3</v>
      </c>
      <c r="D1446" s="609">
        <f t="shared" si="593"/>
        <v>1.1915673663509599E-3</v>
      </c>
      <c r="E1446" s="609">
        <f t="shared" si="593"/>
        <v>1.1830983409851028E-3</v>
      </c>
      <c r="F1446" s="609">
        <f t="shared" si="593"/>
        <v>1.1809092344164638E-3</v>
      </c>
      <c r="G1446" s="609">
        <f t="shared" si="593"/>
        <v>1.2070071625446131E-3</v>
      </c>
      <c r="H1446" s="609">
        <f t="shared" si="593"/>
        <v>1.1288920386637701E-3</v>
      </c>
      <c r="I1446" s="609">
        <f t="shared" si="593"/>
        <v>1.2120129678241461E-3</v>
      </c>
      <c r="J1446" s="603">
        <f t="shared" si="593"/>
        <v>1.2827437657139105E-3</v>
      </c>
      <c r="K1446" s="1844">
        <f t="shared" si="594"/>
        <v>1.6517648103891815E-4</v>
      </c>
      <c r="L1446" s="609">
        <f t="shared" si="594"/>
        <v>3.0847453979293603E-4</v>
      </c>
      <c r="M1446" s="609">
        <f t="shared" si="594"/>
        <v>4.0130075994218842E-5</v>
      </c>
      <c r="N1446" s="609">
        <f t="shared" si="594"/>
        <v>6.7906273920000909E-5</v>
      </c>
      <c r="O1446" s="609">
        <f t="shared" si="594"/>
        <v>3.7948979835379903E-5</v>
      </c>
      <c r="P1446" s="609">
        <f t="shared" si="594"/>
        <v>2.5853462874582523E-5</v>
      </c>
      <c r="Q1446" s="609">
        <f t="shared" si="594"/>
        <v>1.4026346838812183E-5</v>
      </c>
      <c r="R1446" s="603">
        <f t="shared" si="594"/>
        <v>1.3114996045919628E-4</v>
      </c>
    </row>
    <row r="1447" spans="2:18">
      <c r="B1447" s="595" t="s">
        <v>1061</v>
      </c>
      <c r="C1447" s="1844">
        <f t="shared" ref="C1447:C1456" si="595">IF(ISNUMBER(C1311/K15),C1311/K15,"0")</f>
        <v>0</v>
      </c>
      <c r="D1447" s="609">
        <f t="shared" ref="D1447:J1447" si="596">IF(ISNUMBER(D1311/L15),D1311/L15,"0")</f>
        <v>2.5201612903225806E-3</v>
      </c>
      <c r="E1447" s="609">
        <f t="shared" si="596"/>
        <v>2.6906411788132217E-3</v>
      </c>
      <c r="F1447" s="609">
        <f t="shared" si="596"/>
        <v>2.8368956235669427E-3</v>
      </c>
      <c r="G1447" s="609">
        <f t="shared" si="596"/>
        <v>2.8681044835868691E-3</v>
      </c>
      <c r="H1447" s="609">
        <f t="shared" si="596"/>
        <v>2.8658024815898316E-3</v>
      </c>
      <c r="I1447" s="609">
        <f t="shared" si="596"/>
        <v>2.9048356687898088E-3</v>
      </c>
      <c r="J1447" s="603">
        <f t="shared" si="596"/>
        <v>3.5523664526378503E-3</v>
      </c>
      <c r="K1447" s="1844">
        <f t="shared" ref="K1447:K1456" si="597">IF(ISNUMBER(K1311/K15),K1311/K15,"0")</f>
        <v>0</v>
      </c>
      <c r="L1447" s="609">
        <f t="shared" ref="L1447:R1447" si="598">IF(ISNUMBER(L1311/L15),L1311/L15,"0")</f>
        <v>5.0403225806451612E-4</v>
      </c>
      <c r="M1447" s="609">
        <f t="shared" si="598"/>
        <v>3.3658403026682601E-4</v>
      </c>
      <c r="N1447" s="609">
        <f t="shared" si="598"/>
        <v>2.8687070082743493E-4</v>
      </c>
      <c r="O1447" s="609">
        <f t="shared" si="598"/>
        <v>2.6608286629303444E-4</v>
      </c>
      <c r="P1447" s="609">
        <f t="shared" si="598"/>
        <v>2.8055583577120955E-4</v>
      </c>
      <c r="Q1447" s="609">
        <f t="shared" si="598"/>
        <v>3.2612993630573253E-4</v>
      </c>
      <c r="R1447" s="603">
        <f t="shared" si="598"/>
        <v>4.3953796253392468E-4</v>
      </c>
    </row>
    <row r="1448" spans="2:18">
      <c r="B1448" s="595" t="s">
        <v>1047</v>
      </c>
      <c r="C1448" s="1844">
        <f t="shared" si="595"/>
        <v>0</v>
      </c>
      <c r="D1448" s="609">
        <f t="shared" ref="D1448:D1456" si="599">IF(ISNUMBER(D1312/L16),D1312/L16,"0")</f>
        <v>0</v>
      </c>
      <c r="E1448" s="609">
        <f t="shared" ref="E1448:E1456" si="600">IF(ISNUMBER(E1312/M16),E1312/M16,"0")</f>
        <v>0</v>
      </c>
      <c r="F1448" s="609">
        <f t="shared" ref="F1448:F1456" si="601">IF(ISNUMBER(F1312/N16),F1312/N16,"0")</f>
        <v>0</v>
      </c>
      <c r="G1448" s="609">
        <f t="shared" ref="G1448:G1456" si="602">IF(ISNUMBER(G1312/O16),G1312/O16,"0")</f>
        <v>0</v>
      </c>
      <c r="H1448" s="609">
        <f t="shared" ref="H1448:H1456" si="603">IF(ISNUMBER(H1312/P16),H1312/P16,"0")</f>
        <v>0</v>
      </c>
      <c r="I1448" s="609">
        <f t="shared" ref="I1448:I1456" si="604">IF(ISNUMBER(I1312/Q16),I1312/Q16,"0")</f>
        <v>0</v>
      </c>
      <c r="J1448" s="603">
        <f t="shared" ref="J1448:J1456" si="605">IF(ISNUMBER(J1312/R16),J1312/R16,"0")</f>
        <v>0</v>
      </c>
      <c r="K1448" s="1844">
        <f t="shared" si="597"/>
        <v>0</v>
      </c>
      <c r="L1448" s="609">
        <f t="shared" ref="L1448:R1456" si="606">IF(ISNUMBER(L1312/L16),L1312/L16,"0")</f>
        <v>0</v>
      </c>
      <c r="M1448" s="609">
        <f t="shared" si="606"/>
        <v>0</v>
      </c>
      <c r="N1448" s="609">
        <f t="shared" si="606"/>
        <v>0</v>
      </c>
      <c r="O1448" s="609">
        <f t="shared" si="606"/>
        <v>0</v>
      </c>
      <c r="P1448" s="609">
        <f t="shared" si="606"/>
        <v>0</v>
      </c>
      <c r="Q1448" s="609">
        <f t="shared" si="606"/>
        <v>0</v>
      </c>
      <c r="R1448" s="603">
        <f t="shared" si="606"/>
        <v>0</v>
      </c>
    </row>
    <row r="1449" spans="2:18">
      <c r="B1449" s="595" t="s">
        <v>1048</v>
      </c>
      <c r="C1449" s="1844">
        <f t="shared" si="595"/>
        <v>0</v>
      </c>
      <c r="D1449" s="609">
        <f t="shared" si="599"/>
        <v>0</v>
      </c>
      <c r="E1449" s="609">
        <f t="shared" si="600"/>
        <v>0</v>
      </c>
      <c r="F1449" s="609">
        <f t="shared" si="601"/>
        <v>0</v>
      </c>
      <c r="G1449" s="609">
        <f t="shared" si="602"/>
        <v>0</v>
      </c>
      <c r="H1449" s="609">
        <f t="shared" si="603"/>
        <v>0</v>
      </c>
      <c r="I1449" s="609">
        <f t="shared" si="604"/>
        <v>0</v>
      </c>
      <c r="J1449" s="603">
        <f t="shared" si="605"/>
        <v>0</v>
      </c>
      <c r="K1449" s="1844">
        <f t="shared" si="597"/>
        <v>0</v>
      </c>
      <c r="L1449" s="609">
        <f t="shared" si="606"/>
        <v>0</v>
      </c>
      <c r="M1449" s="609">
        <f t="shared" si="606"/>
        <v>0</v>
      </c>
      <c r="N1449" s="609">
        <f t="shared" si="606"/>
        <v>0</v>
      </c>
      <c r="O1449" s="609">
        <f t="shared" si="606"/>
        <v>0</v>
      </c>
      <c r="P1449" s="609">
        <f t="shared" si="606"/>
        <v>0</v>
      </c>
      <c r="Q1449" s="609">
        <f t="shared" si="606"/>
        <v>0</v>
      </c>
      <c r="R1449" s="603">
        <f t="shared" si="606"/>
        <v>0</v>
      </c>
    </row>
    <row r="1450" spans="2:18">
      <c r="B1450" s="595" t="s">
        <v>1049</v>
      </c>
      <c r="C1450" s="1844">
        <f t="shared" si="595"/>
        <v>0</v>
      </c>
      <c r="D1450" s="609">
        <f t="shared" si="599"/>
        <v>0</v>
      </c>
      <c r="E1450" s="609">
        <f t="shared" si="600"/>
        <v>0</v>
      </c>
      <c r="F1450" s="609">
        <f t="shared" si="601"/>
        <v>0</v>
      </c>
      <c r="G1450" s="609">
        <f t="shared" si="602"/>
        <v>0</v>
      </c>
      <c r="H1450" s="609">
        <f t="shared" si="603"/>
        <v>0</v>
      </c>
      <c r="I1450" s="609">
        <f t="shared" si="604"/>
        <v>0</v>
      </c>
      <c r="J1450" s="603">
        <f t="shared" si="605"/>
        <v>0</v>
      </c>
      <c r="K1450" s="1844">
        <f t="shared" si="597"/>
        <v>0</v>
      </c>
      <c r="L1450" s="609">
        <f t="shared" si="606"/>
        <v>0</v>
      </c>
      <c r="M1450" s="609">
        <f t="shared" si="606"/>
        <v>0</v>
      </c>
      <c r="N1450" s="609">
        <f t="shared" si="606"/>
        <v>0</v>
      </c>
      <c r="O1450" s="609">
        <f t="shared" si="606"/>
        <v>0</v>
      </c>
      <c r="P1450" s="609">
        <f t="shared" si="606"/>
        <v>0</v>
      </c>
      <c r="Q1450" s="609">
        <f t="shared" si="606"/>
        <v>0</v>
      </c>
      <c r="R1450" s="603">
        <f t="shared" si="606"/>
        <v>0</v>
      </c>
    </row>
    <row r="1451" spans="2:18">
      <c r="B1451" s="595" t="s">
        <v>1050</v>
      </c>
      <c r="C1451" s="1844">
        <f t="shared" si="595"/>
        <v>0</v>
      </c>
      <c r="D1451" s="609">
        <f t="shared" si="599"/>
        <v>0</v>
      </c>
      <c r="E1451" s="609">
        <f t="shared" si="600"/>
        <v>0</v>
      </c>
      <c r="F1451" s="609">
        <f t="shared" si="601"/>
        <v>0</v>
      </c>
      <c r="G1451" s="609">
        <f t="shared" si="602"/>
        <v>0</v>
      </c>
      <c r="H1451" s="609">
        <f t="shared" si="603"/>
        <v>0</v>
      </c>
      <c r="I1451" s="609">
        <f t="shared" si="604"/>
        <v>0</v>
      </c>
      <c r="J1451" s="603">
        <f t="shared" si="605"/>
        <v>0</v>
      </c>
      <c r="K1451" s="1844">
        <f t="shared" si="597"/>
        <v>0</v>
      </c>
      <c r="L1451" s="609">
        <f t="shared" si="606"/>
        <v>0</v>
      </c>
      <c r="M1451" s="609">
        <f t="shared" si="606"/>
        <v>0</v>
      </c>
      <c r="N1451" s="609">
        <f t="shared" si="606"/>
        <v>0</v>
      </c>
      <c r="O1451" s="609">
        <f t="shared" si="606"/>
        <v>0</v>
      </c>
      <c r="P1451" s="609">
        <f t="shared" si="606"/>
        <v>0</v>
      </c>
      <c r="Q1451" s="609">
        <f t="shared" si="606"/>
        <v>0</v>
      </c>
      <c r="R1451" s="603">
        <f t="shared" si="606"/>
        <v>0</v>
      </c>
    </row>
    <row r="1452" spans="2:18">
      <c r="B1452" s="595" t="s">
        <v>1051</v>
      </c>
      <c r="C1452" s="1844">
        <f t="shared" si="595"/>
        <v>9.4395426226507977E-4</v>
      </c>
      <c r="D1452" s="609">
        <f t="shared" si="599"/>
        <v>1.0211011704486536E-3</v>
      </c>
      <c r="E1452" s="609">
        <f t="shared" si="600"/>
        <v>7.9985663182523617E-4</v>
      </c>
      <c r="F1452" s="609">
        <f t="shared" si="601"/>
        <v>1.062084125431695E-3</v>
      </c>
      <c r="G1452" s="609">
        <f t="shared" si="602"/>
        <v>1.1128744166017939E-3</v>
      </c>
      <c r="H1452" s="609">
        <f t="shared" si="603"/>
        <v>1.2410182246976327E-3</v>
      </c>
      <c r="I1452" s="609">
        <f t="shared" si="604"/>
        <v>1.4413419090776201E-3</v>
      </c>
      <c r="J1452" s="603">
        <f t="shared" si="605"/>
        <v>1.6273790837744116E-3</v>
      </c>
      <c r="K1452" s="1844">
        <f t="shared" si="597"/>
        <v>0</v>
      </c>
      <c r="L1452" s="609">
        <f t="shared" si="606"/>
        <v>0</v>
      </c>
      <c r="M1452" s="609">
        <f t="shared" si="606"/>
        <v>0</v>
      </c>
      <c r="N1452" s="609">
        <f t="shared" si="606"/>
        <v>0</v>
      </c>
      <c r="O1452" s="609">
        <f t="shared" si="606"/>
        <v>0</v>
      </c>
      <c r="P1452" s="609">
        <f t="shared" si="606"/>
        <v>0</v>
      </c>
      <c r="Q1452" s="609">
        <f t="shared" si="606"/>
        <v>0</v>
      </c>
      <c r="R1452" s="603">
        <f t="shared" si="606"/>
        <v>0</v>
      </c>
    </row>
    <row r="1453" spans="2:18">
      <c r="B1453" s="595" t="s">
        <v>1052</v>
      </c>
      <c r="C1453" s="1844">
        <f t="shared" si="595"/>
        <v>0</v>
      </c>
      <c r="D1453" s="609">
        <f t="shared" si="599"/>
        <v>0</v>
      </c>
      <c r="E1453" s="609">
        <f t="shared" si="600"/>
        <v>0</v>
      </c>
      <c r="F1453" s="609">
        <f t="shared" si="601"/>
        <v>0</v>
      </c>
      <c r="G1453" s="609">
        <f t="shared" si="602"/>
        <v>0</v>
      </c>
      <c r="H1453" s="609">
        <f t="shared" si="603"/>
        <v>0</v>
      </c>
      <c r="I1453" s="609">
        <f t="shared" si="604"/>
        <v>0</v>
      </c>
      <c r="J1453" s="603">
        <f t="shared" si="605"/>
        <v>0</v>
      </c>
      <c r="K1453" s="1844">
        <f t="shared" si="597"/>
        <v>7.7702341056586719E-3</v>
      </c>
      <c r="L1453" s="609">
        <f t="shared" si="606"/>
        <v>8.3438850136214118E-3</v>
      </c>
      <c r="M1453" s="609">
        <f t="shared" si="606"/>
        <v>1.9330732517820019E-2</v>
      </c>
      <c r="N1453" s="609">
        <f t="shared" si="606"/>
        <v>2.3130496760208209E-2</v>
      </c>
      <c r="O1453" s="609">
        <f t="shared" si="606"/>
        <v>2.3548752312088982E-2</v>
      </c>
      <c r="P1453" s="609">
        <f t="shared" si="606"/>
        <v>2.2081090369866926E-2</v>
      </c>
      <c r="Q1453" s="609">
        <f t="shared" si="606"/>
        <v>1.993855768182588E-2</v>
      </c>
      <c r="R1453" s="603">
        <f t="shared" si="606"/>
        <v>1.9206903114080111E-2</v>
      </c>
    </row>
    <row r="1454" spans="2:18">
      <c r="B1454" s="595" t="s">
        <v>1053</v>
      </c>
      <c r="C1454" s="1844">
        <f t="shared" si="595"/>
        <v>2.4950309678256665E-4</v>
      </c>
      <c r="D1454" s="609">
        <f t="shared" si="599"/>
        <v>2.3432862305516116E-4</v>
      </c>
      <c r="E1454" s="609">
        <f t="shared" si="600"/>
        <v>2.2879127048132798E-4</v>
      </c>
      <c r="F1454" s="609">
        <f t="shared" si="601"/>
        <v>2.7767605656083157E-4</v>
      </c>
      <c r="G1454" s="609">
        <f t="shared" si="602"/>
        <v>3.1055682397079359E-4</v>
      </c>
      <c r="H1454" s="609">
        <f t="shared" si="603"/>
        <v>3.3441708536721709E-4</v>
      </c>
      <c r="I1454" s="609">
        <f t="shared" si="604"/>
        <v>3.465295287914125E-4</v>
      </c>
      <c r="J1454" s="603">
        <f t="shared" si="605"/>
        <v>3.5781712598088964E-4</v>
      </c>
      <c r="K1454" s="1844">
        <f t="shared" si="597"/>
        <v>0</v>
      </c>
      <c r="L1454" s="609">
        <f t="shared" si="606"/>
        <v>9.401020410921546E-6</v>
      </c>
      <c r="M1454" s="609">
        <f t="shared" si="606"/>
        <v>1.0555929679266401E-5</v>
      </c>
      <c r="N1454" s="609">
        <f t="shared" si="606"/>
        <v>1.1299827457423057E-5</v>
      </c>
      <c r="O1454" s="609">
        <f t="shared" si="606"/>
        <v>1.3506483710509439E-5</v>
      </c>
      <c r="P1454" s="609">
        <f t="shared" si="606"/>
        <v>1.6542558028763794E-5</v>
      </c>
      <c r="Q1454" s="609">
        <f t="shared" si="606"/>
        <v>2.2686121845366505E-5</v>
      </c>
      <c r="R1454" s="603">
        <f t="shared" si="606"/>
        <v>2.5971305263471001E-5</v>
      </c>
    </row>
    <row r="1455" spans="2:18">
      <c r="B1455" s="595" t="s">
        <v>1054</v>
      </c>
      <c r="C1455" s="1844">
        <f t="shared" si="595"/>
        <v>0</v>
      </c>
      <c r="D1455" s="609">
        <f t="shared" si="599"/>
        <v>0</v>
      </c>
      <c r="E1455" s="609">
        <f t="shared" si="600"/>
        <v>0</v>
      </c>
      <c r="F1455" s="609">
        <f t="shared" si="601"/>
        <v>0</v>
      </c>
      <c r="G1455" s="609">
        <f t="shared" si="602"/>
        <v>0</v>
      </c>
      <c r="H1455" s="609">
        <f t="shared" si="603"/>
        <v>0</v>
      </c>
      <c r="I1455" s="609">
        <f t="shared" si="604"/>
        <v>0</v>
      </c>
      <c r="J1455" s="603">
        <f t="shared" si="605"/>
        <v>0</v>
      </c>
      <c r="K1455" s="1844">
        <f t="shared" si="597"/>
        <v>0</v>
      </c>
      <c r="L1455" s="609">
        <f t="shared" si="606"/>
        <v>0</v>
      </c>
      <c r="M1455" s="609">
        <f t="shared" si="606"/>
        <v>0</v>
      </c>
      <c r="N1455" s="609">
        <f t="shared" si="606"/>
        <v>0</v>
      </c>
      <c r="O1455" s="609">
        <f t="shared" si="606"/>
        <v>0</v>
      </c>
      <c r="P1455" s="609">
        <f t="shared" si="606"/>
        <v>0</v>
      </c>
      <c r="Q1455" s="609">
        <f t="shared" si="606"/>
        <v>0</v>
      </c>
      <c r="R1455" s="603">
        <f t="shared" si="606"/>
        <v>0</v>
      </c>
    </row>
    <row r="1456" spans="2:18">
      <c r="B1456" s="604" t="s">
        <v>1055</v>
      </c>
      <c r="C1456" s="610">
        <f t="shared" si="595"/>
        <v>2.2907407255993452E-3</v>
      </c>
      <c r="D1456" s="617">
        <f t="shared" si="599"/>
        <v>2.3935852325054998E-3</v>
      </c>
      <c r="E1456" s="617">
        <f t="shared" si="600"/>
        <v>2.4734953596844658E-3</v>
      </c>
      <c r="F1456" s="617">
        <f t="shared" si="601"/>
        <v>2.5430105267968566E-3</v>
      </c>
      <c r="G1456" s="617">
        <f t="shared" si="602"/>
        <v>2.6465203985011694E-3</v>
      </c>
      <c r="H1456" s="617">
        <f t="shared" si="603"/>
        <v>2.7810914342899667E-3</v>
      </c>
      <c r="I1456" s="617">
        <f t="shared" si="604"/>
        <v>2.3940697653148952E-3</v>
      </c>
      <c r="J1456" s="618">
        <f t="shared" si="605"/>
        <v>2.4675509192297511E-3</v>
      </c>
      <c r="K1456" s="610">
        <f t="shared" si="597"/>
        <v>1.6274065424207802E-4</v>
      </c>
      <c r="L1456" s="617">
        <f t="shared" si="606"/>
        <v>1.8342746766424609E-4</v>
      </c>
      <c r="M1456" s="617">
        <f t="shared" si="606"/>
        <v>1.7928790637383255E-4</v>
      </c>
      <c r="N1456" s="617">
        <f t="shared" si="606"/>
        <v>1.8720833121411613E-4</v>
      </c>
      <c r="O1456" s="617">
        <f t="shared" si="606"/>
        <v>1.9290711473646493E-4</v>
      </c>
      <c r="P1456" s="617">
        <f t="shared" si="606"/>
        <v>1.9311356063299819E-4</v>
      </c>
      <c r="Q1456" s="617">
        <f t="shared" si="606"/>
        <v>1.42460260842525E-4</v>
      </c>
      <c r="R1456" s="618">
        <f t="shared" si="606"/>
        <v>1.3299399367339449E-4</v>
      </c>
    </row>
    <row r="1457" spans="2:18">
      <c r="B1457" s="57"/>
      <c r="C1457" s="582"/>
      <c r="D1457" s="582"/>
      <c r="E1457" s="582"/>
      <c r="F1457" s="582"/>
      <c r="G1457" s="582"/>
      <c r="H1457" s="582"/>
      <c r="I1457" s="582"/>
      <c r="J1457" s="582"/>
      <c r="K1457" s="582"/>
      <c r="L1457" s="582"/>
      <c r="M1457" s="582"/>
      <c r="N1457" s="582"/>
      <c r="O1457" s="582"/>
      <c r="P1457" s="582"/>
      <c r="Q1457" s="582"/>
    </row>
    <row r="1458" spans="2:18">
      <c r="B1458" s="2157" t="s">
        <v>1168</v>
      </c>
      <c r="C1458" s="2157"/>
      <c r="D1458" s="2157"/>
      <c r="E1458" s="2157"/>
      <c r="F1458" s="2157"/>
      <c r="G1458" s="2157"/>
      <c r="H1458" s="2157"/>
      <c r="I1458" s="2157"/>
      <c r="J1458" s="2157"/>
      <c r="K1458" s="2157"/>
      <c r="L1458" s="2157"/>
      <c r="M1458" s="2157"/>
      <c r="N1458" s="2157"/>
      <c r="O1458" s="2157"/>
      <c r="P1458" s="2157"/>
      <c r="Q1458" s="2157"/>
      <c r="R1458" s="2157"/>
    </row>
    <row r="1459" spans="2:18">
      <c r="B1459" s="2179"/>
      <c r="C1459" s="2179"/>
      <c r="D1459" s="2179"/>
      <c r="E1459" s="2179"/>
      <c r="F1459" s="2179"/>
      <c r="G1459" s="2179"/>
      <c r="H1459" s="2179"/>
      <c r="I1459" s="2179"/>
      <c r="J1459" s="2179"/>
      <c r="K1459" s="2179"/>
      <c r="L1459" s="2179"/>
      <c r="M1459" s="2179"/>
      <c r="N1459" s="2179"/>
      <c r="O1459" s="2179"/>
      <c r="P1459" s="2179"/>
      <c r="Q1459" s="2179"/>
    </row>
    <row r="1460" spans="2:18">
      <c r="B1460" s="583"/>
      <c r="C1460" s="2161" t="s">
        <v>389</v>
      </c>
      <c r="D1460" s="2162"/>
      <c r="E1460" s="2162"/>
      <c r="F1460" s="2162"/>
      <c r="G1460" s="2162"/>
      <c r="H1460" s="2162"/>
      <c r="I1460" s="2162"/>
      <c r="J1460" s="2163"/>
      <c r="K1460" s="2161" t="s">
        <v>387</v>
      </c>
      <c r="L1460" s="2162"/>
      <c r="M1460" s="2162"/>
      <c r="N1460" s="2162"/>
      <c r="O1460" s="2162"/>
      <c r="P1460" s="2162"/>
      <c r="Q1460" s="2162"/>
      <c r="R1460" s="2163"/>
    </row>
    <row r="1461" spans="2:18">
      <c r="B1461" s="57"/>
      <c r="C1461" s="585">
        <v>2014</v>
      </c>
      <c r="D1461" s="586">
        <v>2015</v>
      </c>
      <c r="E1461" s="586">
        <v>2016</v>
      </c>
      <c r="F1461" s="586">
        <v>2017</v>
      </c>
      <c r="G1461" s="586">
        <v>2018</v>
      </c>
      <c r="H1461" s="586">
        <v>2019</v>
      </c>
      <c r="I1461" s="586">
        <v>2020</v>
      </c>
      <c r="J1461" s="586">
        <v>2021</v>
      </c>
      <c r="K1461" s="587">
        <v>2014</v>
      </c>
      <c r="L1461" s="588">
        <v>2015</v>
      </c>
      <c r="M1461" s="588">
        <v>2016</v>
      </c>
      <c r="N1461" s="588">
        <v>2017</v>
      </c>
      <c r="O1461" s="588">
        <v>2018</v>
      </c>
      <c r="P1461" s="588">
        <v>2019</v>
      </c>
      <c r="Q1461" s="588">
        <v>2020</v>
      </c>
      <c r="R1461" s="848">
        <v>2021</v>
      </c>
    </row>
    <row r="1462" spans="2:18">
      <c r="B1462" s="589" t="s">
        <v>1038</v>
      </c>
      <c r="C1462" s="614">
        <f t="shared" ref="C1462:J1468" si="607">IF(ISNUMBER(C1326/K6),C1326/K6,"0")</f>
        <v>0.8513174984473687</v>
      </c>
      <c r="D1462" s="615">
        <f t="shared" si="607"/>
        <v>0.87765364092144571</v>
      </c>
      <c r="E1462" s="615">
        <f t="shared" si="607"/>
        <v>0.94288605225815025</v>
      </c>
      <c r="F1462" s="615">
        <f t="shared" si="607"/>
        <v>1.0265320698049993</v>
      </c>
      <c r="G1462" s="615">
        <f t="shared" si="607"/>
        <v>1.0804727739171009</v>
      </c>
      <c r="H1462" s="615">
        <f t="shared" si="607"/>
        <v>1.080387728958498</v>
      </c>
      <c r="I1462" s="615">
        <f t="shared" si="607"/>
        <v>1.2589011173061242</v>
      </c>
      <c r="J1462" s="616">
        <f t="shared" si="607"/>
        <v>1.3127706395983409</v>
      </c>
      <c r="K1462" s="614">
        <f t="shared" ref="K1462:R1468" si="608">IF(ISNUMBER(K1326/K6),K1326/K6,"0")</f>
        <v>1.1796576008624426</v>
      </c>
      <c r="L1462" s="615">
        <f t="shared" si="608"/>
        <v>1.2734505540507939</v>
      </c>
      <c r="M1462" s="615">
        <f t="shared" si="608"/>
        <v>1.3432962988520767</v>
      </c>
      <c r="N1462" s="615">
        <f t="shared" si="608"/>
        <v>1.3821453337602017</v>
      </c>
      <c r="O1462" s="615">
        <f t="shared" si="608"/>
        <v>1.4036822796668227</v>
      </c>
      <c r="P1462" s="615">
        <f t="shared" si="608"/>
        <v>1.3478761251546327</v>
      </c>
      <c r="Q1462" s="615">
        <f t="shared" si="608"/>
        <v>1.3445478105648236</v>
      </c>
      <c r="R1462" s="616">
        <f t="shared" si="608"/>
        <v>1.1891048897620606</v>
      </c>
    </row>
    <row r="1463" spans="2:18">
      <c r="B1463" s="595" t="s">
        <v>1039</v>
      </c>
      <c r="C1463" s="1844">
        <f t="shared" si="607"/>
        <v>0</v>
      </c>
      <c r="D1463" s="609">
        <f t="shared" si="607"/>
        <v>0</v>
      </c>
      <c r="E1463" s="609">
        <f t="shared" si="607"/>
        <v>0</v>
      </c>
      <c r="F1463" s="609">
        <f t="shared" si="607"/>
        <v>0</v>
      </c>
      <c r="G1463" s="609">
        <f t="shared" si="607"/>
        <v>0</v>
      </c>
      <c r="H1463" s="609">
        <f t="shared" si="607"/>
        <v>0</v>
      </c>
      <c r="I1463" s="609">
        <f t="shared" si="607"/>
        <v>0</v>
      </c>
      <c r="J1463" s="603">
        <f t="shared" si="607"/>
        <v>0</v>
      </c>
      <c r="K1463" s="1844">
        <f t="shared" si="608"/>
        <v>4.3517435505028418E-4</v>
      </c>
      <c r="L1463" s="609">
        <f t="shared" si="608"/>
        <v>2.7627343306192009E-4</v>
      </c>
      <c r="M1463" s="609">
        <f t="shared" si="608"/>
        <v>2.6618828317446716E-4</v>
      </c>
      <c r="N1463" s="609">
        <f t="shared" si="608"/>
        <v>2.5480443078227684E-4</v>
      </c>
      <c r="O1463" s="609">
        <f t="shared" si="608"/>
        <v>2.5117748872338197E-4</v>
      </c>
      <c r="P1463" s="609">
        <f t="shared" si="608"/>
        <v>2.4021902735246796E-4</v>
      </c>
      <c r="Q1463" s="609">
        <f t="shared" si="608"/>
        <v>2.3138337484913073E-4</v>
      </c>
      <c r="R1463" s="603">
        <f t="shared" si="608"/>
        <v>2.3031257941550192E-4</v>
      </c>
    </row>
    <row r="1464" spans="2:18">
      <c r="B1464" s="595" t="s">
        <v>1040</v>
      </c>
      <c r="C1464" s="1844">
        <f t="shared" si="607"/>
        <v>2.2610894314448326E-4</v>
      </c>
      <c r="D1464" s="609">
        <f t="shared" si="607"/>
        <v>2.5470981726595472E-4</v>
      </c>
      <c r="E1464" s="609">
        <f t="shared" si="607"/>
        <v>2.8594772050739934E-4</v>
      </c>
      <c r="F1464" s="609">
        <f t="shared" si="607"/>
        <v>3.3199551161102234E-4</v>
      </c>
      <c r="G1464" s="609">
        <f t="shared" si="607"/>
        <v>3.8423167657728477E-4</v>
      </c>
      <c r="H1464" s="609">
        <f t="shared" si="607"/>
        <v>3.7593326065522994E-4</v>
      </c>
      <c r="I1464" s="609">
        <f t="shared" si="607"/>
        <v>4.5102807935255482E-4</v>
      </c>
      <c r="J1464" s="603">
        <f t="shared" si="607"/>
        <v>5.3156645165430881E-4</v>
      </c>
      <c r="K1464" s="1844">
        <f t="shared" si="608"/>
        <v>1.0370231975267805E-5</v>
      </c>
      <c r="L1464" s="609">
        <f t="shared" si="608"/>
        <v>1.1403802739326136E-5</v>
      </c>
      <c r="M1464" s="609">
        <f t="shared" si="608"/>
        <v>1.2735306420957175E-5</v>
      </c>
      <c r="N1464" s="609">
        <f t="shared" si="608"/>
        <v>1.6180782534447683E-5</v>
      </c>
      <c r="O1464" s="609">
        <f t="shared" si="608"/>
        <v>1.885229681454582E-5</v>
      </c>
      <c r="P1464" s="609">
        <f t="shared" si="608"/>
        <v>2.1638942411920683E-5</v>
      </c>
      <c r="Q1464" s="609">
        <f t="shared" si="608"/>
        <v>2.1501607463164334E-5</v>
      </c>
      <c r="R1464" s="603">
        <f t="shared" si="608"/>
        <v>2.1051422674718829E-5</v>
      </c>
    </row>
    <row r="1465" spans="2:18">
      <c r="B1465" s="595" t="s">
        <v>1041</v>
      </c>
      <c r="C1465" s="1844">
        <f t="shared" si="607"/>
        <v>1.5527642090382215E-3</v>
      </c>
      <c r="D1465" s="609">
        <f t="shared" si="607"/>
        <v>1.5596723122929634E-3</v>
      </c>
      <c r="E1465" s="609">
        <f t="shared" si="607"/>
        <v>1.5519542250914909E-3</v>
      </c>
      <c r="F1465" s="609">
        <f t="shared" si="607"/>
        <v>1.5678602600314659E-3</v>
      </c>
      <c r="G1465" s="609">
        <f t="shared" si="607"/>
        <v>1.5820450859949093E-3</v>
      </c>
      <c r="H1465" s="609">
        <f t="shared" si="607"/>
        <v>1.6599177980664737E-3</v>
      </c>
      <c r="I1465" s="609">
        <f t="shared" si="607"/>
        <v>2.1609916299203894E-3</v>
      </c>
      <c r="J1465" s="603">
        <f t="shared" si="607"/>
        <v>2.1515068723689515E-3</v>
      </c>
      <c r="K1465" s="1844">
        <f t="shared" si="608"/>
        <v>7.9331653165452777E-4</v>
      </c>
      <c r="L1465" s="609">
        <f t="shared" si="608"/>
        <v>8.0158995215167804E-4</v>
      </c>
      <c r="M1465" s="609">
        <f t="shared" si="608"/>
        <v>7.2563214848178376E-4</v>
      </c>
      <c r="N1465" s="609">
        <f t="shared" si="608"/>
        <v>7.3617810821851519E-4</v>
      </c>
      <c r="O1465" s="609">
        <f t="shared" si="608"/>
        <v>8.8089037189878505E-4</v>
      </c>
      <c r="P1465" s="609">
        <f t="shared" si="608"/>
        <v>1.0359988793565461E-3</v>
      </c>
      <c r="Q1465" s="609">
        <f t="shared" si="608"/>
        <v>1.2419535291641652E-3</v>
      </c>
      <c r="R1465" s="603">
        <f t="shared" si="608"/>
        <v>1.7751470574447537E-3</v>
      </c>
    </row>
    <row r="1466" spans="2:18">
      <c r="B1466" s="595" t="s">
        <v>1042</v>
      </c>
      <c r="C1466" s="1844">
        <f t="shared" si="607"/>
        <v>1.0030257566260843E-3</v>
      </c>
      <c r="D1466" s="609">
        <f t="shared" si="607"/>
        <v>1.1130569348904648E-3</v>
      </c>
      <c r="E1466" s="609">
        <f t="shared" si="607"/>
        <v>1.1634842829201526E-3</v>
      </c>
      <c r="F1466" s="609">
        <f t="shared" si="607"/>
        <v>1.1697004407142291E-3</v>
      </c>
      <c r="G1466" s="609">
        <f t="shared" si="607"/>
        <v>1.1944754539726489E-3</v>
      </c>
      <c r="H1466" s="609">
        <f t="shared" si="607"/>
        <v>1.1332843570722182E-3</v>
      </c>
      <c r="I1466" s="609">
        <f t="shared" si="607"/>
        <v>1.1152153501511693E-3</v>
      </c>
      <c r="J1466" s="603">
        <f t="shared" si="607"/>
        <v>1.2403569849788825E-3</v>
      </c>
      <c r="K1466" s="1844">
        <f t="shared" si="608"/>
        <v>5.5954246147755496E-4</v>
      </c>
      <c r="L1466" s="609">
        <f t="shared" si="608"/>
        <v>7.0764713512113091E-4</v>
      </c>
      <c r="M1466" s="609">
        <f t="shared" si="608"/>
        <v>7.1247246471886866E-4</v>
      </c>
      <c r="N1466" s="609">
        <f t="shared" si="608"/>
        <v>6.9851918585788126E-4</v>
      </c>
      <c r="O1466" s="609">
        <f t="shared" si="608"/>
        <v>9.5431286348942929E-4</v>
      </c>
      <c r="P1466" s="609">
        <f t="shared" si="608"/>
        <v>8.9866817855620632E-4</v>
      </c>
      <c r="Q1466" s="609">
        <f t="shared" si="608"/>
        <v>7.1916420285214893E-4</v>
      </c>
      <c r="R1466" s="603">
        <f t="shared" si="608"/>
        <v>7.1324906446740516E-4</v>
      </c>
    </row>
    <row r="1467" spans="2:18">
      <c r="B1467" s="595" t="s">
        <v>1043</v>
      </c>
      <c r="C1467" s="1844">
        <f t="shared" si="607"/>
        <v>4.3786316698532518E-4</v>
      </c>
      <c r="D1467" s="609">
        <f t="shared" si="607"/>
        <v>4.6706468142655071E-4</v>
      </c>
      <c r="E1467" s="609">
        <f t="shared" si="607"/>
        <v>5.1646668187968958E-4</v>
      </c>
      <c r="F1467" s="609">
        <f t="shared" si="607"/>
        <v>5.5839974710502965E-4</v>
      </c>
      <c r="G1467" s="609">
        <f t="shared" si="607"/>
        <v>5.9346046011738113E-4</v>
      </c>
      <c r="H1467" s="609">
        <f t="shared" si="607"/>
        <v>6.5690951675965743E-4</v>
      </c>
      <c r="I1467" s="609">
        <f t="shared" si="607"/>
        <v>7.2237587772230308E-4</v>
      </c>
      <c r="J1467" s="603">
        <f t="shared" si="607"/>
        <v>7.9957025238524377E-4</v>
      </c>
      <c r="K1467" s="1844">
        <f t="shared" si="608"/>
        <v>2.6613290852900667E-4</v>
      </c>
      <c r="L1467" s="609">
        <f t="shared" si="608"/>
        <v>2.8529936837449555E-4</v>
      </c>
      <c r="M1467" s="609">
        <f t="shared" si="608"/>
        <v>3.0634697737994161E-4</v>
      </c>
      <c r="N1467" s="609">
        <f t="shared" si="608"/>
        <v>3.0225087600609671E-4</v>
      </c>
      <c r="O1467" s="609">
        <f t="shared" si="608"/>
        <v>3.0675126178306324E-4</v>
      </c>
      <c r="P1467" s="609">
        <f t="shared" si="608"/>
        <v>3.1871010157167283E-4</v>
      </c>
      <c r="Q1467" s="609">
        <f t="shared" si="608"/>
        <v>2.913558815434413E-4</v>
      </c>
      <c r="R1467" s="603">
        <f t="shared" si="608"/>
        <v>3.0565863742675785E-4</v>
      </c>
    </row>
    <row r="1468" spans="2:18">
      <c r="B1468" s="595" t="s">
        <v>1044</v>
      </c>
      <c r="C1468" s="1844">
        <f t="shared" si="607"/>
        <v>1.1697106231795184E-3</v>
      </c>
      <c r="D1468" s="609">
        <f t="shared" si="607"/>
        <v>1.1915673663509599E-3</v>
      </c>
      <c r="E1468" s="609">
        <f t="shared" si="607"/>
        <v>1.1830983409851028E-3</v>
      </c>
      <c r="F1468" s="609">
        <f t="shared" si="607"/>
        <v>1.1809092344164638E-3</v>
      </c>
      <c r="G1468" s="609">
        <f t="shared" si="607"/>
        <v>1.2070071625446131E-3</v>
      </c>
      <c r="H1468" s="609">
        <f t="shared" si="607"/>
        <v>1.1288920386637701E-3</v>
      </c>
      <c r="I1468" s="609">
        <f t="shared" si="607"/>
        <v>1.2120129678241461E-3</v>
      </c>
      <c r="J1468" s="603">
        <f t="shared" si="607"/>
        <v>1.2827437657139105E-3</v>
      </c>
      <c r="K1468" s="1844">
        <f t="shared" si="608"/>
        <v>4.0906732055077613E-4</v>
      </c>
      <c r="L1468" s="609">
        <f t="shared" si="608"/>
        <v>4.7031441196781527E-4</v>
      </c>
      <c r="M1468" s="609">
        <f t="shared" si="608"/>
        <v>5.0241229092592543E-4</v>
      </c>
      <c r="N1468" s="609">
        <f t="shared" si="608"/>
        <v>5.5922801926879559E-4</v>
      </c>
      <c r="O1468" s="609">
        <f t="shared" si="608"/>
        <v>6.0748207433930404E-4</v>
      </c>
      <c r="P1468" s="609">
        <f t="shared" si="608"/>
        <v>6.1829232521339137E-4</v>
      </c>
      <c r="Q1468" s="609">
        <f t="shared" si="608"/>
        <v>4.9531363884433805E-4</v>
      </c>
      <c r="R1468" s="603">
        <f t="shared" si="608"/>
        <v>4.8324537126616379E-4</v>
      </c>
    </row>
    <row r="1469" spans="2:18">
      <c r="B1469" s="595" t="s">
        <v>1061</v>
      </c>
      <c r="C1469" s="1844">
        <f t="shared" ref="C1469:C1478" si="609">IF(ISNUMBER(C1333/K15),C1333/K15,"0")</f>
        <v>0</v>
      </c>
      <c r="D1469" s="609">
        <f t="shared" ref="D1469:J1469" si="610">IF(ISNUMBER(D1333/L15),D1333/L15,"0")</f>
        <v>1.5120967741935483E-3</v>
      </c>
      <c r="E1469" s="609">
        <f t="shared" si="610"/>
        <v>1.7371067303863002E-3</v>
      </c>
      <c r="F1469" s="609">
        <f t="shared" si="610"/>
        <v>1.832334762237065E-3</v>
      </c>
      <c r="G1469" s="609">
        <f t="shared" si="610"/>
        <v>1.8922788230584468E-3</v>
      </c>
      <c r="H1469" s="609">
        <f t="shared" si="610"/>
        <v>1.9103651770402503E-3</v>
      </c>
      <c r="I1469" s="609">
        <f t="shared" si="610"/>
        <v>1.9798063694267515E-3</v>
      </c>
      <c r="J1469" s="603">
        <f t="shared" si="610"/>
        <v>2.4371417223803533E-3</v>
      </c>
      <c r="K1469" s="1844">
        <f t="shared" ref="K1469:K1478" si="611">IF(ISNUMBER(K1333/K15),K1333/K15,"0")</f>
        <v>0</v>
      </c>
      <c r="L1469" s="609">
        <f t="shared" ref="L1469:R1469" si="612">IF(ISNUMBER(L1333/L15),L1333/L15,"0")</f>
        <v>5.0403225806451612E-4</v>
      </c>
      <c r="M1469" s="609">
        <f t="shared" si="612"/>
        <v>7.1497411389884506E-4</v>
      </c>
      <c r="N1469" s="609">
        <f t="shared" si="612"/>
        <v>8.1195294586780987E-4</v>
      </c>
      <c r="O1469" s="609">
        <f t="shared" si="612"/>
        <v>8.1831965572457975E-4</v>
      </c>
      <c r="P1469" s="609">
        <f t="shared" si="612"/>
        <v>8.0763139312014533E-4</v>
      </c>
      <c r="Q1469" s="609">
        <f t="shared" si="612"/>
        <v>8.1956178343949048E-4</v>
      </c>
      <c r="R1469" s="603">
        <f t="shared" si="612"/>
        <v>1.0101608525848944E-3</v>
      </c>
    </row>
    <row r="1470" spans="2:18">
      <c r="B1470" s="595" t="s">
        <v>1047</v>
      </c>
      <c r="C1470" s="1844">
        <f t="shared" si="609"/>
        <v>0</v>
      </c>
      <c r="D1470" s="609">
        <f t="shared" ref="D1470:D1478" si="613">IF(ISNUMBER(D1334/L16),D1334/L16,"0")</f>
        <v>0.2948155286702176</v>
      </c>
      <c r="E1470" s="609">
        <f t="shared" ref="E1470:E1478" si="614">IF(ISNUMBER(E1334/M16),E1334/M16,"0")</f>
        <v>0.32618126135522818</v>
      </c>
      <c r="F1470" s="609">
        <f t="shared" ref="F1470:F1478" si="615">IF(ISNUMBER(F1334/N16),F1334/N16,"0")</f>
        <v>0.3444581821862186</v>
      </c>
      <c r="G1470" s="609">
        <f t="shared" ref="G1470:G1478" si="616">IF(ISNUMBER(G1334/O16),G1334/O16,"0")</f>
        <v>0.39775819271910767</v>
      </c>
      <c r="H1470" s="609">
        <f t="shared" ref="H1470:H1478" si="617">IF(ISNUMBER(H1334/P16),H1334/P16,"0")</f>
        <v>0.44911832798567236</v>
      </c>
      <c r="I1470" s="609">
        <f t="shared" ref="I1470:I1478" si="618">IF(ISNUMBER(I1334/Q16),I1334/Q16,"0")</f>
        <v>0.49189884117904742</v>
      </c>
      <c r="J1470" s="603">
        <f t="shared" ref="J1470:J1478" si="619">IF(ISNUMBER(J1334/R16),J1334/R16,"0")</f>
        <v>0.12470918424903098</v>
      </c>
      <c r="K1470" s="1844">
        <f t="shared" si="611"/>
        <v>0</v>
      </c>
      <c r="L1470" s="609">
        <f t="shared" ref="L1470:R1478" si="620">IF(ISNUMBER(L1334/L16),L1334/L16,"0")</f>
        <v>0.15724924939387627</v>
      </c>
      <c r="M1470" s="609">
        <f t="shared" si="620"/>
        <v>0.15561921575341897</v>
      </c>
      <c r="N1470" s="609">
        <f t="shared" si="620"/>
        <v>0.16935905675974816</v>
      </c>
      <c r="O1470" s="609">
        <f t="shared" si="620"/>
        <v>0.18499198280391133</v>
      </c>
      <c r="P1470" s="609">
        <f t="shared" si="620"/>
        <v>0.20086997985752081</v>
      </c>
      <c r="Q1470" s="609">
        <f t="shared" si="620"/>
        <v>0.19374982403558794</v>
      </c>
      <c r="R1470" s="603">
        <f t="shared" si="620"/>
        <v>0.14346656959112333</v>
      </c>
    </row>
    <row r="1471" spans="2:18">
      <c r="B1471" s="595" t="s">
        <v>1048</v>
      </c>
      <c r="C1471" s="1844">
        <f t="shared" si="609"/>
        <v>0</v>
      </c>
      <c r="D1471" s="609">
        <f t="shared" si="613"/>
        <v>0.27285527358979</v>
      </c>
      <c r="E1471" s="609">
        <f t="shared" si="614"/>
        <v>0.29898464715401624</v>
      </c>
      <c r="F1471" s="609">
        <f t="shared" si="615"/>
        <v>0.30352164438951734</v>
      </c>
      <c r="G1471" s="609">
        <f t="shared" si="616"/>
        <v>0.32375835303043565</v>
      </c>
      <c r="H1471" s="609">
        <f t="shared" si="617"/>
        <v>0.33815246988996406</v>
      </c>
      <c r="I1471" s="609">
        <f t="shared" si="618"/>
        <v>0.3312499742922132</v>
      </c>
      <c r="J1471" s="603">
        <f t="shared" si="619"/>
        <v>0.37788021492831775</v>
      </c>
      <c r="K1471" s="1844">
        <f t="shared" si="611"/>
        <v>0</v>
      </c>
      <c r="L1471" s="609">
        <f t="shared" si="620"/>
        <v>0.12230145492716259</v>
      </c>
      <c r="M1471" s="609">
        <f t="shared" si="620"/>
        <v>0.13583953625005393</v>
      </c>
      <c r="N1471" s="609">
        <f t="shared" si="620"/>
        <v>0.14304068549703081</v>
      </c>
      <c r="O1471" s="609">
        <f t="shared" si="620"/>
        <v>0.15121252951393516</v>
      </c>
      <c r="P1471" s="609">
        <f t="shared" si="620"/>
        <v>0.1669337923640743</v>
      </c>
      <c r="Q1471" s="609">
        <f t="shared" si="620"/>
        <v>0.15696083019223731</v>
      </c>
      <c r="R1471" s="603">
        <f t="shared" si="620"/>
        <v>0.1575047068922181</v>
      </c>
    </row>
    <row r="1472" spans="2:18">
      <c r="B1472" s="595" t="s">
        <v>1049</v>
      </c>
      <c r="C1472" s="1844">
        <f t="shared" si="609"/>
        <v>1.9868667287412591E-4</v>
      </c>
      <c r="D1472" s="609">
        <f t="shared" si="613"/>
        <v>4.9741193450243743E-5</v>
      </c>
      <c r="E1472" s="609">
        <f t="shared" si="614"/>
        <v>2.1999420003803461E-4</v>
      </c>
      <c r="F1472" s="609">
        <f t="shared" si="615"/>
        <v>2.399390629372594E-4</v>
      </c>
      <c r="G1472" s="609">
        <f t="shared" si="616"/>
        <v>2.6355436335218492E-4</v>
      </c>
      <c r="H1472" s="609">
        <f t="shared" si="617"/>
        <v>3.6348859005641158E-4</v>
      </c>
      <c r="I1472" s="609">
        <f t="shared" si="618"/>
        <v>3.1005224537918432E-4</v>
      </c>
      <c r="J1472" s="603">
        <f t="shared" si="619"/>
        <v>1.8172636811791362E-4</v>
      </c>
      <c r="K1472" s="1844">
        <f t="shared" si="611"/>
        <v>1.569280289260982E-5</v>
      </c>
      <c r="L1472" s="609">
        <f t="shared" si="620"/>
        <v>1.1426492728177999E-5</v>
      </c>
      <c r="M1472" s="609">
        <f t="shared" si="620"/>
        <v>5.9389588752370051E-6</v>
      </c>
      <c r="N1472" s="609">
        <f t="shared" si="620"/>
        <v>1.7840028772796231E-5</v>
      </c>
      <c r="O1472" s="609">
        <f t="shared" si="620"/>
        <v>4.3132143916755113E-5</v>
      </c>
      <c r="P1472" s="609">
        <f t="shared" si="620"/>
        <v>4.9530999288967622E-5</v>
      </c>
      <c r="Q1472" s="609">
        <f t="shared" si="620"/>
        <v>5.5436264071898458E-5</v>
      </c>
      <c r="R1472" s="603">
        <f t="shared" si="620"/>
        <v>5.7754919330772068E-5</v>
      </c>
    </row>
    <row r="1473" spans="2:18">
      <c r="B1473" s="595" t="s">
        <v>1050</v>
      </c>
      <c r="C1473" s="1844">
        <f t="shared" si="609"/>
        <v>3.2054719140432747E-4</v>
      </c>
      <c r="D1473" s="609">
        <f t="shared" si="613"/>
        <v>3.5302763203917453E-4</v>
      </c>
      <c r="E1473" s="609">
        <f t="shared" si="614"/>
        <v>3.8313415892672858E-4</v>
      </c>
      <c r="F1473" s="609">
        <f t="shared" si="615"/>
        <v>4.1698333032572408E-4</v>
      </c>
      <c r="G1473" s="609">
        <f t="shared" si="616"/>
        <v>4.5521149108985597E-4</v>
      </c>
      <c r="H1473" s="609">
        <f t="shared" si="617"/>
        <v>4.9951191815074847E-4</v>
      </c>
      <c r="I1473" s="609">
        <f t="shared" si="618"/>
        <v>5.4770302222604357E-4</v>
      </c>
      <c r="J1473" s="603">
        <f t="shared" si="619"/>
        <v>6.4896430952204594E-4</v>
      </c>
      <c r="K1473" s="1844">
        <f t="shared" si="611"/>
        <v>9.9709801177635591E-5</v>
      </c>
      <c r="L1473" s="609">
        <f t="shared" si="620"/>
        <v>9.6674128483152614E-5</v>
      </c>
      <c r="M1473" s="609">
        <f t="shared" si="620"/>
        <v>9.6721018231854148E-5</v>
      </c>
      <c r="N1473" s="609">
        <f t="shared" si="620"/>
        <v>9.2433231074618791E-5</v>
      </c>
      <c r="O1473" s="609">
        <f t="shared" si="620"/>
        <v>8.9288076163422916E-5</v>
      </c>
      <c r="P1473" s="609">
        <f t="shared" si="620"/>
        <v>9.0220783333151355E-5</v>
      </c>
      <c r="Q1473" s="609">
        <f t="shared" si="620"/>
        <v>8.5440329306564637E-5</v>
      </c>
      <c r="R1473" s="603">
        <f t="shared" si="620"/>
        <v>8.1047329827420189E-5</v>
      </c>
    </row>
    <row r="1474" spans="2:18">
      <c r="B1474" s="595" t="s">
        <v>1051</v>
      </c>
      <c r="C1474" s="1844">
        <f t="shared" si="609"/>
        <v>9.4395426226507977E-4</v>
      </c>
      <c r="D1474" s="609">
        <f t="shared" si="613"/>
        <v>1.0211011704486536E-3</v>
      </c>
      <c r="E1474" s="609">
        <f t="shared" si="614"/>
        <v>7.9985663182523617E-4</v>
      </c>
      <c r="F1474" s="609">
        <f t="shared" si="615"/>
        <v>1.062084125431695E-3</v>
      </c>
      <c r="G1474" s="609">
        <f t="shared" si="616"/>
        <v>1.1128744166017939E-3</v>
      </c>
      <c r="H1474" s="609">
        <f t="shared" si="617"/>
        <v>1.2410182246976327E-3</v>
      </c>
      <c r="I1474" s="609">
        <f t="shared" si="618"/>
        <v>1.4413419090776201E-3</v>
      </c>
      <c r="J1474" s="603">
        <f t="shared" si="619"/>
        <v>1.6273790837744116E-3</v>
      </c>
      <c r="K1474" s="1844">
        <f t="shared" si="611"/>
        <v>8.2211781532056522E-5</v>
      </c>
      <c r="L1474" s="609">
        <f t="shared" si="620"/>
        <v>8.3472514865028856E-5</v>
      </c>
      <c r="M1474" s="609">
        <f t="shared" si="620"/>
        <v>9.0202170436909176E-5</v>
      </c>
      <c r="N1474" s="609">
        <f t="shared" si="620"/>
        <v>1.0708387230261617E-4</v>
      </c>
      <c r="O1474" s="609">
        <f t="shared" si="620"/>
        <v>1.111142438873636E-4</v>
      </c>
      <c r="P1474" s="609">
        <f t="shared" si="620"/>
        <v>1.2020736683330334E-4</v>
      </c>
      <c r="Q1474" s="609">
        <f t="shared" si="620"/>
        <v>1.2263813769916679E-4</v>
      </c>
      <c r="R1474" s="603">
        <f t="shared" si="620"/>
        <v>1.3115349516335098E-4</v>
      </c>
    </row>
    <row r="1475" spans="2:18">
      <c r="B1475" s="595" t="s">
        <v>1052</v>
      </c>
      <c r="C1475" s="1844">
        <f t="shared" si="609"/>
        <v>0.33665490091249184</v>
      </c>
      <c r="D1475" s="609">
        <f t="shared" si="613"/>
        <v>0.33014827394483282</v>
      </c>
      <c r="E1475" s="609">
        <f t="shared" si="614"/>
        <v>0.38698983478485705</v>
      </c>
      <c r="F1475" s="609">
        <f t="shared" si="615"/>
        <v>0.44875865999709713</v>
      </c>
      <c r="G1475" s="609">
        <f t="shared" si="616"/>
        <v>0.47032738371515942</v>
      </c>
      <c r="H1475" s="609">
        <f t="shared" si="617"/>
        <v>0.52368665961275573</v>
      </c>
      <c r="I1475" s="609">
        <f t="shared" si="618"/>
        <v>0.53369388272899287</v>
      </c>
      <c r="J1475" s="603">
        <f t="shared" si="619"/>
        <v>0.55392811091226035</v>
      </c>
      <c r="K1475" s="1844">
        <f t="shared" si="611"/>
        <v>0.23671496071270626</v>
      </c>
      <c r="L1475" s="609">
        <f t="shared" si="620"/>
        <v>0.22461336863240708</v>
      </c>
      <c r="M1475" s="609">
        <f t="shared" si="620"/>
        <v>0.24424337558790063</v>
      </c>
      <c r="N1475" s="609">
        <f t="shared" si="620"/>
        <v>0.24247982038262311</v>
      </c>
      <c r="O1475" s="609">
        <f t="shared" si="620"/>
        <v>0.24727519540189802</v>
      </c>
      <c r="P1475" s="609">
        <f t="shared" si="620"/>
        <v>0.25631878528564472</v>
      </c>
      <c r="Q1475" s="609">
        <f t="shared" si="620"/>
        <v>0.23451598167353996</v>
      </c>
      <c r="R1475" s="603">
        <f t="shared" si="620"/>
        <v>0.25504257733470581</v>
      </c>
    </row>
    <row r="1476" spans="2:18">
      <c r="B1476" s="595" t="s">
        <v>1053</v>
      </c>
      <c r="C1476" s="1844">
        <f t="shared" si="609"/>
        <v>2.4950309678256665E-4</v>
      </c>
      <c r="D1476" s="609">
        <f t="shared" si="613"/>
        <v>2.3432862305516116E-4</v>
      </c>
      <c r="E1476" s="609">
        <f t="shared" si="614"/>
        <v>2.2879127048132798E-4</v>
      </c>
      <c r="F1476" s="609">
        <f t="shared" si="615"/>
        <v>2.7767605656083157E-4</v>
      </c>
      <c r="G1476" s="609">
        <f t="shared" si="616"/>
        <v>3.1055682397079359E-4</v>
      </c>
      <c r="H1476" s="609">
        <f t="shared" si="617"/>
        <v>3.3441708536721709E-4</v>
      </c>
      <c r="I1476" s="609">
        <f t="shared" si="618"/>
        <v>3.465295287914125E-4</v>
      </c>
      <c r="J1476" s="603">
        <f t="shared" si="619"/>
        <v>3.5781712598088964E-4</v>
      </c>
      <c r="K1476" s="1844">
        <f t="shared" si="611"/>
        <v>2.1660654157764064E-4</v>
      </c>
      <c r="L1476" s="609">
        <f t="shared" si="620"/>
        <v>2.2384630248990756E-4</v>
      </c>
      <c r="M1476" s="609">
        <f t="shared" si="620"/>
        <v>2.1646060360613762E-4</v>
      </c>
      <c r="N1476" s="609">
        <f t="shared" si="620"/>
        <v>2.1102972455025752E-4</v>
      </c>
      <c r="O1476" s="609">
        <f t="shared" si="620"/>
        <v>2.0569509383476465E-4</v>
      </c>
      <c r="P1476" s="609">
        <f t="shared" si="620"/>
        <v>2.0000355861005803E-4</v>
      </c>
      <c r="Q1476" s="609">
        <f t="shared" si="620"/>
        <v>1.8792081122230337E-4</v>
      </c>
      <c r="R1476" s="603">
        <f t="shared" si="620"/>
        <v>1.9085675331329932E-4</v>
      </c>
    </row>
    <row r="1477" spans="2:18">
      <c r="B1477" s="595" t="s">
        <v>1054</v>
      </c>
      <c r="C1477" s="1844">
        <f t="shared" si="609"/>
        <v>0</v>
      </c>
      <c r="D1477" s="609">
        <f t="shared" si="613"/>
        <v>0</v>
      </c>
      <c r="E1477" s="609">
        <f t="shared" si="614"/>
        <v>0</v>
      </c>
      <c r="F1477" s="609">
        <f t="shared" si="615"/>
        <v>0</v>
      </c>
      <c r="G1477" s="609">
        <f t="shared" si="616"/>
        <v>0</v>
      </c>
      <c r="H1477" s="609">
        <f t="shared" si="617"/>
        <v>0</v>
      </c>
      <c r="I1477" s="609">
        <f t="shared" si="618"/>
        <v>0</v>
      </c>
      <c r="J1477" s="603">
        <f t="shared" si="619"/>
        <v>0</v>
      </c>
      <c r="K1477" s="1844">
        <f t="shared" si="611"/>
        <v>0</v>
      </c>
      <c r="L1477" s="609">
        <f t="shared" si="620"/>
        <v>0</v>
      </c>
      <c r="M1477" s="609">
        <f t="shared" si="620"/>
        <v>0</v>
      </c>
      <c r="N1477" s="609">
        <f t="shared" si="620"/>
        <v>0</v>
      </c>
      <c r="O1477" s="609">
        <f t="shared" si="620"/>
        <v>0</v>
      </c>
      <c r="P1477" s="609">
        <f t="shared" si="620"/>
        <v>0</v>
      </c>
      <c r="Q1477" s="609">
        <f t="shared" si="620"/>
        <v>0</v>
      </c>
      <c r="R1477" s="603">
        <f t="shared" si="620"/>
        <v>0</v>
      </c>
    </row>
    <row r="1478" spans="2:18">
      <c r="B1478" s="604" t="s">
        <v>1055</v>
      </c>
      <c r="C1478" s="610">
        <f t="shared" si="609"/>
        <v>2.0107749473554327E-3</v>
      </c>
      <c r="D1478" s="617">
        <f t="shared" si="613"/>
        <v>2.0805806172930065E-3</v>
      </c>
      <c r="E1478" s="617">
        <f t="shared" si="614"/>
        <v>2.1583461051263206E-3</v>
      </c>
      <c r="F1478" s="617">
        <f t="shared" si="615"/>
        <v>2.229280136927231E-3</v>
      </c>
      <c r="G1478" s="617">
        <f t="shared" si="616"/>
        <v>2.3127245358091162E-3</v>
      </c>
      <c r="H1478" s="617">
        <f t="shared" si="617"/>
        <v>2.4226974636817858E-3</v>
      </c>
      <c r="I1478" s="617">
        <f t="shared" si="618"/>
        <v>2.0199879273445649E-3</v>
      </c>
      <c r="J1478" s="618">
        <f t="shared" si="619"/>
        <v>2.0771162904973683E-3</v>
      </c>
      <c r="K1478" s="610">
        <f t="shared" si="611"/>
        <v>2.7996577824391248E-4</v>
      </c>
      <c r="L1478" s="617">
        <f t="shared" si="620"/>
        <v>3.1300461521249317E-4</v>
      </c>
      <c r="M1478" s="617">
        <f t="shared" si="620"/>
        <v>3.1514925455814521E-4</v>
      </c>
      <c r="N1478" s="617">
        <f t="shared" si="620"/>
        <v>3.1373038986962575E-4</v>
      </c>
      <c r="O1478" s="617">
        <f t="shared" si="620"/>
        <v>3.3379586269205333E-4</v>
      </c>
      <c r="P1478" s="617">
        <f t="shared" si="620"/>
        <v>3.5839397060818121E-4</v>
      </c>
      <c r="Q1478" s="617">
        <f t="shared" si="620"/>
        <v>3.7408183797033056E-4</v>
      </c>
      <c r="R1478" s="618">
        <f t="shared" si="620"/>
        <v>3.9043462873238283E-4</v>
      </c>
    </row>
    <row r="1479" spans="2:18">
      <c r="B1479" s="57"/>
      <c r="C1479" s="582"/>
      <c r="D1479" s="582"/>
      <c r="E1479" s="582"/>
      <c r="F1479" s="582"/>
      <c r="G1479" s="582"/>
      <c r="H1479" s="582"/>
      <c r="I1479" s="582"/>
      <c r="J1479" s="582"/>
      <c r="K1479" s="582"/>
      <c r="L1479" s="582"/>
      <c r="M1479" s="582"/>
      <c r="N1479" s="582"/>
      <c r="O1479" s="582"/>
      <c r="P1479" s="582"/>
      <c r="Q1479" s="582"/>
    </row>
    <row r="1480" spans="2:18">
      <c r="B1480" s="2157" t="s">
        <v>1168</v>
      </c>
      <c r="C1480" s="2157"/>
      <c r="D1480" s="2157"/>
      <c r="E1480" s="2157"/>
      <c r="F1480" s="2157"/>
      <c r="G1480" s="2157"/>
      <c r="H1480" s="2157"/>
      <c r="I1480" s="2157"/>
      <c r="J1480" s="2157"/>
      <c r="K1480" s="2157"/>
      <c r="L1480" s="2157"/>
      <c r="M1480" s="2157"/>
      <c r="N1480" s="2157"/>
      <c r="O1480" s="2157"/>
      <c r="P1480" s="2157"/>
      <c r="Q1480" s="2157"/>
      <c r="R1480" s="2157"/>
    </row>
    <row r="1481" spans="2:18">
      <c r="B1481" s="619"/>
      <c r="C1481" s="621"/>
      <c r="D1481" s="621"/>
      <c r="E1481" s="621"/>
      <c r="F1481" s="621"/>
      <c r="G1481" s="621"/>
      <c r="H1481" s="621"/>
      <c r="I1481" s="621"/>
      <c r="J1481" s="621"/>
      <c r="K1481" s="622"/>
      <c r="L1481" s="622"/>
      <c r="M1481" s="622"/>
      <c r="N1481" s="622"/>
      <c r="O1481" s="622"/>
      <c r="P1481" s="622"/>
      <c r="Q1481" s="622"/>
    </row>
    <row r="1482" spans="2:18">
      <c r="B1482" s="583"/>
      <c r="C1482" s="2164" t="s">
        <v>388</v>
      </c>
      <c r="D1482" s="2165"/>
      <c r="E1482" s="2165"/>
      <c r="F1482" s="2165"/>
      <c r="G1482" s="2165"/>
      <c r="H1482" s="2165"/>
      <c r="I1482" s="2165"/>
      <c r="J1482" s="2166"/>
      <c r="K1482" s="2181"/>
      <c r="L1482" s="2181"/>
      <c r="M1482" s="2181"/>
      <c r="N1482" s="2181"/>
      <c r="O1482" s="2181"/>
      <c r="P1482" s="2181"/>
      <c r="Q1482" s="2181"/>
    </row>
    <row r="1483" spans="2:18">
      <c r="B1483" s="57"/>
      <c r="C1483" s="587">
        <v>2014</v>
      </c>
      <c r="D1483" s="588">
        <v>2015</v>
      </c>
      <c r="E1483" s="588">
        <v>2016</v>
      </c>
      <c r="F1483" s="588">
        <v>2017</v>
      </c>
      <c r="G1483" s="588">
        <v>2018</v>
      </c>
      <c r="H1483" s="588">
        <v>2019</v>
      </c>
      <c r="I1483" s="588">
        <v>2020</v>
      </c>
      <c r="J1483" s="848">
        <v>2021</v>
      </c>
      <c r="K1483" s="582"/>
      <c r="L1483" s="582"/>
      <c r="M1483" s="582"/>
      <c r="N1483" s="582"/>
      <c r="O1483" s="582"/>
      <c r="P1483" s="582"/>
      <c r="Q1483" s="582"/>
    </row>
    <row r="1484" spans="2:18">
      <c r="B1484" s="589" t="s">
        <v>1038</v>
      </c>
      <c r="C1484" s="614">
        <f t="shared" ref="C1484:J1490" si="621">C1348/K6</f>
        <v>1.3414921665358161E-2</v>
      </c>
      <c r="D1484" s="615">
        <f t="shared" si="621"/>
        <v>1.3323529003987438E-2</v>
      </c>
      <c r="E1484" s="615">
        <f t="shared" si="621"/>
        <v>1.3393761667715217E-2</v>
      </c>
      <c r="F1484" s="615">
        <f t="shared" si="621"/>
        <v>1.2892074846228764E-2</v>
      </c>
      <c r="G1484" s="615">
        <f t="shared" si="621"/>
        <v>1.5198731744429908E-2</v>
      </c>
      <c r="H1484" s="615">
        <f t="shared" si="621"/>
        <v>2.5807593239432405E-3</v>
      </c>
      <c r="I1484" s="615">
        <f t="shared" si="621"/>
        <v>2.8088899662824774E-3</v>
      </c>
      <c r="J1484" s="616">
        <f t="shared" si="621"/>
        <v>3.0210216110019643E-3</v>
      </c>
      <c r="K1484" s="582"/>
      <c r="L1484" s="582"/>
      <c r="M1484" s="582"/>
      <c r="N1484" s="582"/>
      <c r="O1484" s="582"/>
      <c r="P1484" s="582"/>
      <c r="Q1484" s="582"/>
    </row>
    <row r="1485" spans="2:18">
      <c r="B1485" s="595" t="s">
        <v>1039</v>
      </c>
      <c r="C1485" s="1844">
        <f t="shared" si="621"/>
        <v>0</v>
      </c>
      <c r="D1485" s="609">
        <f t="shared" si="621"/>
        <v>0</v>
      </c>
      <c r="E1485" s="609">
        <f t="shared" si="621"/>
        <v>0</v>
      </c>
      <c r="F1485" s="609">
        <f t="shared" si="621"/>
        <v>0</v>
      </c>
      <c r="G1485" s="609">
        <f t="shared" si="621"/>
        <v>0</v>
      </c>
      <c r="H1485" s="609">
        <f t="shared" si="621"/>
        <v>0</v>
      </c>
      <c r="I1485" s="609">
        <f t="shared" si="621"/>
        <v>0</v>
      </c>
      <c r="J1485" s="603">
        <f t="shared" si="621"/>
        <v>0</v>
      </c>
      <c r="K1485" s="582"/>
      <c r="L1485" s="582"/>
      <c r="M1485" s="582"/>
      <c r="N1485" s="582"/>
      <c r="O1485" s="582"/>
      <c r="P1485" s="582"/>
      <c r="Q1485" s="582"/>
    </row>
    <row r="1486" spans="2:18">
      <c r="B1486" s="595" t="s">
        <v>1040</v>
      </c>
      <c r="C1486" s="1844">
        <f t="shared" si="621"/>
        <v>0</v>
      </c>
      <c r="D1486" s="609">
        <f t="shared" si="621"/>
        <v>0</v>
      </c>
      <c r="E1486" s="609">
        <f t="shared" si="621"/>
        <v>0</v>
      </c>
      <c r="F1486" s="609">
        <f t="shared" si="621"/>
        <v>0</v>
      </c>
      <c r="G1486" s="609">
        <f t="shared" si="621"/>
        <v>0</v>
      </c>
      <c r="H1486" s="609">
        <f t="shared" si="621"/>
        <v>0</v>
      </c>
      <c r="I1486" s="609">
        <f t="shared" si="621"/>
        <v>0</v>
      </c>
      <c r="J1486" s="603">
        <f t="shared" si="621"/>
        <v>0</v>
      </c>
      <c r="K1486" s="582"/>
      <c r="L1486" s="582"/>
      <c r="M1486" s="582"/>
      <c r="N1486" s="582"/>
      <c r="O1486" s="582"/>
      <c r="P1486" s="582"/>
      <c r="Q1486" s="582"/>
    </row>
    <row r="1487" spans="2:18">
      <c r="B1487" s="595" t="s">
        <v>1041</v>
      </c>
      <c r="C1487" s="1844">
        <f t="shared" si="621"/>
        <v>0</v>
      </c>
      <c r="D1487" s="609">
        <f t="shared" si="621"/>
        <v>0</v>
      </c>
      <c r="E1487" s="609">
        <f t="shared" si="621"/>
        <v>0</v>
      </c>
      <c r="F1487" s="609">
        <f t="shared" si="621"/>
        <v>0</v>
      </c>
      <c r="G1487" s="609">
        <f t="shared" si="621"/>
        <v>0</v>
      </c>
      <c r="H1487" s="609">
        <f t="shared" si="621"/>
        <v>0</v>
      </c>
      <c r="I1487" s="609">
        <f t="shared" si="621"/>
        <v>0</v>
      </c>
      <c r="J1487" s="603">
        <f t="shared" si="621"/>
        <v>0</v>
      </c>
      <c r="K1487" s="582"/>
      <c r="L1487" s="582"/>
      <c r="M1487" s="582"/>
      <c r="N1487" s="582"/>
      <c r="O1487" s="582"/>
      <c r="P1487" s="582"/>
      <c r="Q1487" s="582"/>
    </row>
    <row r="1488" spans="2:18">
      <c r="B1488" s="595" t="s">
        <v>1042</v>
      </c>
      <c r="C1488" s="1844">
        <f t="shared" si="621"/>
        <v>0</v>
      </c>
      <c r="D1488" s="609">
        <f t="shared" si="621"/>
        <v>0</v>
      </c>
      <c r="E1488" s="609">
        <f t="shared" si="621"/>
        <v>0</v>
      </c>
      <c r="F1488" s="609">
        <f t="shared" si="621"/>
        <v>0</v>
      </c>
      <c r="G1488" s="609">
        <f t="shared" si="621"/>
        <v>0</v>
      </c>
      <c r="H1488" s="609">
        <f t="shared" si="621"/>
        <v>0</v>
      </c>
      <c r="I1488" s="609">
        <f t="shared" si="621"/>
        <v>0</v>
      </c>
      <c r="J1488" s="603">
        <f t="shared" si="621"/>
        <v>0</v>
      </c>
      <c r="K1488" s="582"/>
      <c r="L1488" s="582"/>
      <c r="M1488" s="582"/>
      <c r="N1488" s="582"/>
      <c r="O1488" s="582"/>
      <c r="P1488" s="582"/>
      <c r="Q1488" s="582"/>
    </row>
    <row r="1489" spans="2:18">
      <c r="B1489" s="595" t="s">
        <v>1043</v>
      </c>
      <c r="C1489" s="1844">
        <f t="shared" si="621"/>
        <v>0</v>
      </c>
      <c r="D1489" s="609">
        <f t="shared" si="621"/>
        <v>0</v>
      </c>
      <c r="E1489" s="609">
        <f t="shared" si="621"/>
        <v>0</v>
      </c>
      <c r="F1489" s="609">
        <f t="shared" si="621"/>
        <v>0</v>
      </c>
      <c r="G1489" s="609">
        <f t="shared" si="621"/>
        <v>0</v>
      </c>
      <c r="H1489" s="609">
        <f t="shared" si="621"/>
        <v>0</v>
      </c>
      <c r="I1489" s="609">
        <f t="shared" si="621"/>
        <v>0</v>
      </c>
      <c r="J1489" s="603">
        <f t="shared" si="621"/>
        <v>0</v>
      </c>
      <c r="K1489" s="582"/>
      <c r="L1489" s="582"/>
      <c r="M1489" s="582"/>
      <c r="N1489" s="582"/>
      <c r="O1489" s="582"/>
      <c r="P1489" s="582"/>
      <c r="Q1489" s="582"/>
    </row>
    <row r="1490" spans="2:18">
      <c r="B1490" s="595" t="s">
        <v>1044</v>
      </c>
      <c r="C1490" s="1844">
        <f t="shared" si="621"/>
        <v>0</v>
      </c>
      <c r="D1490" s="609">
        <f t="shared" si="621"/>
        <v>0</v>
      </c>
      <c r="E1490" s="609">
        <f t="shared" si="621"/>
        <v>0</v>
      </c>
      <c r="F1490" s="609">
        <f t="shared" si="621"/>
        <v>0</v>
      </c>
      <c r="G1490" s="609">
        <f t="shared" si="621"/>
        <v>0</v>
      </c>
      <c r="H1490" s="609">
        <f t="shared" si="621"/>
        <v>0</v>
      </c>
      <c r="I1490" s="609">
        <f t="shared" si="621"/>
        <v>0</v>
      </c>
      <c r="J1490" s="603">
        <f t="shared" si="621"/>
        <v>0</v>
      </c>
      <c r="K1490" s="582"/>
      <c r="L1490" s="582"/>
      <c r="M1490" s="582"/>
      <c r="N1490" s="582"/>
      <c r="O1490" s="582"/>
      <c r="P1490" s="582"/>
      <c r="Q1490" s="582"/>
    </row>
    <row r="1491" spans="2:18">
      <c r="B1491" s="595" t="s">
        <v>1061</v>
      </c>
      <c r="C1491" s="1844">
        <f>C1355/K15</f>
        <v>0</v>
      </c>
      <c r="D1491" s="609">
        <f t="shared" ref="D1491:J1491" si="622">D1355/L15</f>
        <v>0</v>
      </c>
      <c r="E1491" s="609">
        <f t="shared" si="622"/>
        <v>0</v>
      </c>
      <c r="F1491" s="609">
        <f t="shared" si="622"/>
        <v>0</v>
      </c>
      <c r="G1491" s="609">
        <f t="shared" si="622"/>
        <v>0</v>
      </c>
      <c r="H1491" s="609">
        <f t="shared" si="622"/>
        <v>0</v>
      </c>
      <c r="I1491" s="609">
        <f t="shared" si="622"/>
        <v>0</v>
      </c>
      <c r="J1491" s="603">
        <f t="shared" si="622"/>
        <v>0</v>
      </c>
      <c r="K1491" s="582"/>
      <c r="L1491" s="582"/>
      <c r="M1491" s="582"/>
      <c r="N1491" s="582"/>
      <c r="O1491" s="582"/>
      <c r="P1491" s="582"/>
      <c r="Q1491" s="582"/>
    </row>
    <row r="1492" spans="2:18">
      <c r="B1492" s="595" t="s">
        <v>1047</v>
      </c>
      <c r="C1492" s="1844">
        <f t="shared" ref="C1492:J1492" si="623">C1356/K16</f>
        <v>0</v>
      </c>
      <c r="D1492" s="609">
        <f t="shared" si="623"/>
        <v>0</v>
      </c>
      <c r="E1492" s="609">
        <f t="shared" si="623"/>
        <v>0</v>
      </c>
      <c r="F1492" s="609">
        <f t="shared" si="623"/>
        <v>0</v>
      </c>
      <c r="G1492" s="609">
        <f t="shared" si="623"/>
        <v>0</v>
      </c>
      <c r="H1492" s="609">
        <f t="shared" si="623"/>
        <v>0</v>
      </c>
      <c r="I1492" s="609">
        <f t="shared" si="623"/>
        <v>0</v>
      </c>
      <c r="J1492" s="603">
        <f t="shared" si="623"/>
        <v>0</v>
      </c>
      <c r="K1492" s="582"/>
      <c r="L1492" s="582"/>
      <c r="M1492" s="582"/>
      <c r="N1492" s="582"/>
      <c r="O1492" s="582"/>
      <c r="P1492" s="582"/>
      <c r="Q1492" s="582"/>
    </row>
    <row r="1493" spans="2:18">
      <c r="B1493" s="595" t="s">
        <v>1048</v>
      </c>
      <c r="C1493" s="1844">
        <f t="shared" ref="C1493:J1493" si="624">C1357/K17</f>
        <v>0</v>
      </c>
      <c r="D1493" s="609">
        <f t="shared" si="624"/>
        <v>0</v>
      </c>
      <c r="E1493" s="609">
        <f t="shared" si="624"/>
        <v>0</v>
      </c>
      <c r="F1493" s="609">
        <f t="shared" si="624"/>
        <v>0</v>
      </c>
      <c r="G1493" s="609">
        <f t="shared" si="624"/>
        <v>0</v>
      </c>
      <c r="H1493" s="609">
        <f t="shared" si="624"/>
        <v>0</v>
      </c>
      <c r="I1493" s="609">
        <f t="shared" si="624"/>
        <v>0</v>
      </c>
      <c r="J1493" s="603">
        <f t="shared" si="624"/>
        <v>0</v>
      </c>
      <c r="K1493" s="582"/>
      <c r="L1493" s="582"/>
      <c r="M1493" s="582"/>
      <c r="N1493" s="582"/>
      <c r="O1493" s="582"/>
      <c r="P1493" s="582"/>
      <c r="Q1493" s="582"/>
    </row>
    <row r="1494" spans="2:18">
      <c r="B1494" s="595" t="s">
        <v>1049</v>
      </c>
      <c r="C1494" s="1844">
        <f t="shared" ref="C1494:J1494" si="625">C1358/K18</f>
        <v>0</v>
      </c>
      <c r="D1494" s="609">
        <f t="shared" si="625"/>
        <v>0</v>
      </c>
      <c r="E1494" s="609">
        <f t="shared" si="625"/>
        <v>0</v>
      </c>
      <c r="F1494" s="609">
        <f t="shared" si="625"/>
        <v>0</v>
      </c>
      <c r="G1494" s="609">
        <f t="shared" si="625"/>
        <v>0</v>
      </c>
      <c r="H1494" s="609">
        <f t="shared" si="625"/>
        <v>0</v>
      </c>
      <c r="I1494" s="609">
        <f t="shared" si="625"/>
        <v>0</v>
      </c>
      <c r="J1494" s="603">
        <f t="shared" si="625"/>
        <v>0</v>
      </c>
      <c r="K1494" s="582"/>
      <c r="L1494" s="582"/>
      <c r="M1494" s="582"/>
      <c r="N1494" s="582"/>
      <c r="O1494" s="582"/>
      <c r="P1494" s="582"/>
      <c r="Q1494" s="582"/>
    </row>
    <row r="1495" spans="2:18">
      <c r="B1495" s="595" t="s">
        <v>1050</v>
      </c>
      <c r="C1495" s="1844">
        <f t="shared" ref="C1495:J1495" si="626">C1359/K19</f>
        <v>0</v>
      </c>
      <c r="D1495" s="609">
        <f t="shared" si="626"/>
        <v>0</v>
      </c>
      <c r="E1495" s="609">
        <f t="shared" si="626"/>
        <v>0</v>
      </c>
      <c r="F1495" s="609">
        <f t="shared" si="626"/>
        <v>0</v>
      </c>
      <c r="G1495" s="609">
        <f t="shared" si="626"/>
        <v>0</v>
      </c>
      <c r="H1495" s="609">
        <f t="shared" si="626"/>
        <v>0</v>
      </c>
      <c r="I1495" s="609">
        <f t="shared" si="626"/>
        <v>0</v>
      </c>
      <c r="J1495" s="603">
        <f t="shared" si="626"/>
        <v>0</v>
      </c>
      <c r="K1495" s="582"/>
      <c r="L1495" s="582"/>
      <c r="M1495" s="582"/>
      <c r="N1495" s="582"/>
      <c r="O1495" s="582"/>
      <c r="P1495" s="582"/>
      <c r="Q1495" s="582"/>
    </row>
    <row r="1496" spans="2:18">
      <c r="B1496" s="595" t="s">
        <v>1051</v>
      </c>
      <c r="C1496" s="1844">
        <f t="shared" ref="C1496:J1496" si="627">C1360/K20</f>
        <v>0</v>
      </c>
      <c r="D1496" s="609">
        <f t="shared" si="627"/>
        <v>0</v>
      </c>
      <c r="E1496" s="609">
        <f t="shared" si="627"/>
        <v>0</v>
      </c>
      <c r="F1496" s="609">
        <f t="shared" si="627"/>
        <v>0</v>
      </c>
      <c r="G1496" s="609">
        <f t="shared" si="627"/>
        <v>0</v>
      </c>
      <c r="H1496" s="609">
        <f t="shared" si="627"/>
        <v>0</v>
      </c>
      <c r="I1496" s="609">
        <f t="shared" si="627"/>
        <v>0</v>
      </c>
      <c r="J1496" s="603">
        <f t="shared" si="627"/>
        <v>0</v>
      </c>
      <c r="K1496" s="582"/>
      <c r="L1496" s="582"/>
      <c r="M1496" s="582"/>
      <c r="N1496" s="582"/>
      <c r="O1496" s="582"/>
      <c r="P1496" s="582"/>
      <c r="Q1496" s="582"/>
    </row>
    <row r="1497" spans="2:18">
      <c r="B1497" s="595" t="s">
        <v>1052</v>
      </c>
      <c r="C1497" s="1844">
        <f t="shared" ref="C1497:J1497" si="628">C1361/K21</f>
        <v>0</v>
      </c>
      <c r="D1497" s="609">
        <f t="shared" si="628"/>
        <v>0</v>
      </c>
      <c r="E1497" s="609">
        <f t="shared" si="628"/>
        <v>0</v>
      </c>
      <c r="F1497" s="609">
        <f t="shared" si="628"/>
        <v>0</v>
      </c>
      <c r="G1497" s="609">
        <f t="shared" si="628"/>
        <v>0</v>
      </c>
      <c r="H1497" s="609">
        <f t="shared" si="628"/>
        <v>0</v>
      </c>
      <c r="I1497" s="609">
        <f t="shared" si="628"/>
        <v>0</v>
      </c>
      <c r="J1497" s="603">
        <f t="shared" si="628"/>
        <v>0</v>
      </c>
      <c r="K1497" s="582"/>
      <c r="L1497" s="582"/>
      <c r="M1497" s="582"/>
      <c r="N1497" s="582"/>
      <c r="O1497" s="582"/>
      <c r="P1497" s="582"/>
      <c r="Q1497" s="582"/>
    </row>
    <row r="1498" spans="2:18">
      <c r="B1498" s="595" t="s">
        <v>1053</v>
      </c>
      <c r="C1498" s="1844">
        <f t="shared" ref="C1498:J1498" si="629">C1362/K22</f>
        <v>0</v>
      </c>
      <c r="D1498" s="609">
        <f t="shared" si="629"/>
        <v>0</v>
      </c>
      <c r="E1498" s="609">
        <f t="shared" si="629"/>
        <v>0</v>
      </c>
      <c r="F1498" s="609">
        <f t="shared" si="629"/>
        <v>0</v>
      </c>
      <c r="G1498" s="609">
        <f t="shared" si="629"/>
        <v>0</v>
      </c>
      <c r="H1498" s="609">
        <f t="shared" si="629"/>
        <v>0</v>
      </c>
      <c r="I1498" s="609">
        <f t="shared" si="629"/>
        <v>0</v>
      </c>
      <c r="J1498" s="603">
        <f t="shared" si="629"/>
        <v>0</v>
      </c>
      <c r="K1498" s="582"/>
      <c r="L1498" s="582"/>
      <c r="M1498" s="582"/>
      <c r="N1498" s="582"/>
      <c r="O1498" s="582"/>
      <c r="P1498" s="582"/>
      <c r="Q1498" s="582"/>
    </row>
    <row r="1499" spans="2:18">
      <c r="B1499" s="595" t="s">
        <v>1054</v>
      </c>
      <c r="C1499" s="1844">
        <f t="shared" ref="C1499:J1499" si="630">C1363/K23</f>
        <v>0</v>
      </c>
      <c r="D1499" s="609">
        <f t="shared" si="630"/>
        <v>0</v>
      </c>
      <c r="E1499" s="609">
        <f t="shared" si="630"/>
        <v>0</v>
      </c>
      <c r="F1499" s="609">
        <f t="shared" si="630"/>
        <v>0</v>
      </c>
      <c r="G1499" s="609">
        <f t="shared" si="630"/>
        <v>0</v>
      </c>
      <c r="H1499" s="609">
        <f t="shared" si="630"/>
        <v>0</v>
      </c>
      <c r="I1499" s="609">
        <f t="shared" si="630"/>
        <v>0</v>
      </c>
      <c r="J1499" s="603">
        <f t="shared" si="630"/>
        <v>0</v>
      </c>
      <c r="K1499" s="582"/>
      <c r="L1499" s="582"/>
      <c r="M1499" s="582"/>
      <c r="N1499" s="582"/>
      <c r="O1499" s="582"/>
      <c r="P1499" s="582"/>
      <c r="Q1499" s="582"/>
    </row>
    <row r="1500" spans="2:18">
      <c r="B1500" s="604" t="s">
        <v>1055</v>
      </c>
      <c r="C1500" s="610">
        <f t="shared" ref="C1500:J1500" si="631">C1364/K24</f>
        <v>0</v>
      </c>
      <c r="D1500" s="617">
        <f t="shared" si="631"/>
        <v>0</v>
      </c>
      <c r="E1500" s="617">
        <f t="shared" si="631"/>
        <v>0</v>
      </c>
      <c r="F1500" s="617">
        <f t="shared" si="631"/>
        <v>0</v>
      </c>
      <c r="G1500" s="617">
        <f t="shared" si="631"/>
        <v>0</v>
      </c>
      <c r="H1500" s="617">
        <f t="shared" si="631"/>
        <v>0</v>
      </c>
      <c r="I1500" s="617">
        <f t="shared" si="631"/>
        <v>0</v>
      </c>
      <c r="J1500" s="618">
        <f t="shared" si="631"/>
        <v>0</v>
      </c>
      <c r="K1500" s="582"/>
      <c r="L1500" s="582"/>
      <c r="M1500" s="582"/>
      <c r="N1500" s="582"/>
      <c r="O1500" s="582"/>
      <c r="P1500" s="582"/>
      <c r="Q1500" s="582"/>
    </row>
    <row r="1501" spans="2:18">
      <c r="B1501" s="57"/>
      <c r="C1501" s="582"/>
      <c r="D1501" s="582"/>
      <c r="E1501" s="582"/>
      <c r="F1501" s="582"/>
      <c r="G1501" s="582"/>
      <c r="H1501" s="582"/>
      <c r="I1501" s="582"/>
      <c r="J1501" s="582"/>
      <c r="K1501" s="582"/>
      <c r="L1501" s="582"/>
      <c r="M1501" s="582"/>
      <c r="N1501" s="582"/>
      <c r="O1501" s="582"/>
      <c r="P1501" s="582"/>
      <c r="Q1501" s="582"/>
    </row>
    <row r="1502" spans="2:18">
      <c r="B1502" s="2157" t="s">
        <v>1169</v>
      </c>
      <c r="C1502" s="2157"/>
      <c r="D1502" s="2157"/>
      <c r="E1502" s="2157"/>
      <c r="F1502" s="2157"/>
      <c r="G1502" s="2157"/>
      <c r="H1502" s="2157"/>
      <c r="I1502" s="2157"/>
      <c r="J1502" s="2157"/>
      <c r="K1502" s="2157"/>
      <c r="L1502" s="2157"/>
      <c r="M1502" s="2157"/>
      <c r="N1502" s="2157"/>
      <c r="O1502" s="2157"/>
      <c r="P1502" s="2157"/>
      <c r="Q1502" s="2157"/>
      <c r="R1502" s="2157"/>
    </row>
    <row r="1503" spans="2:18">
      <c r="B1503" s="2159" t="s">
        <v>1170</v>
      </c>
      <c r="C1503" s="2159"/>
      <c r="D1503" s="2159"/>
      <c r="E1503" s="2159"/>
      <c r="F1503" s="2159"/>
      <c r="G1503" s="2159"/>
      <c r="H1503" s="2159"/>
      <c r="I1503" s="2159"/>
      <c r="J1503" s="2159"/>
      <c r="K1503" s="2159"/>
      <c r="L1503" s="2159"/>
      <c r="M1503" s="2159"/>
      <c r="N1503" s="2159"/>
      <c r="O1503" s="2159"/>
      <c r="P1503" s="2159"/>
      <c r="Q1503" s="2159"/>
      <c r="R1503" s="2159"/>
    </row>
    <row r="1504" spans="2:18">
      <c r="B1504" s="2160" t="s">
        <v>1171</v>
      </c>
      <c r="C1504" s="2160"/>
      <c r="D1504" s="2160"/>
      <c r="E1504" s="2160"/>
      <c r="F1504" s="2160"/>
      <c r="G1504" s="2160"/>
      <c r="H1504" s="2160"/>
      <c r="I1504" s="2160"/>
      <c r="J1504" s="2160"/>
      <c r="K1504" s="2160"/>
      <c r="L1504" s="2160"/>
      <c r="M1504" s="2160"/>
      <c r="N1504" s="2160"/>
      <c r="O1504" s="2160"/>
      <c r="P1504" s="2160"/>
      <c r="Q1504" s="2160"/>
      <c r="R1504" s="2160"/>
    </row>
    <row r="1505" spans="2:18">
      <c r="B1505" s="612"/>
      <c r="C1505" s="2210"/>
      <c r="D1505" s="2210"/>
      <c r="E1505" s="2210"/>
      <c r="F1505" s="2210"/>
      <c r="G1505" s="2210"/>
      <c r="H1505" s="2210"/>
      <c r="I1505" s="2210"/>
      <c r="J1505" s="2210"/>
      <c r="K1505" s="2210"/>
      <c r="L1505" s="2210"/>
      <c r="M1505" s="2210"/>
      <c r="N1505" s="2210"/>
      <c r="O1505" s="2210"/>
      <c r="P1505" s="2210"/>
      <c r="Q1505" s="2210"/>
    </row>
    <row r="1506" spans="2:18">
      <c r="B1506" s="583"/>
      <c r="C1506" s="2161" t="s">
        <v>1172</v>
      </c>
      <c r="D1506" s="2162"/>
      <c r="E1506" s="2162"/>
      <c r="F1506" s="2162"/>
      <c r="G1506" s="2162"/>
      <c r="H1506" s="2162"/>
      <c r="I1506" s="2162"/>
      <c r="J1506" s="2163"/>
      <c r="K1506" s="2161" t="s">
        <v>375</v>
      </c>
      <c r="L1506" s="2162"/>
      <c r="M1506" s="2162"/>
      <c r="N1506" s="2162"/>
      <c r="O1506" s="2162"/>
      <c r="P1506" s="2162"/>
      <c r="Q1506" s="2162"/>
      <c r="R1506" s="2163"/>
    </row>
    <row r="1507" spans="2:18">
      <c r="B1507" s="57"/>
      <c r="C1507" s="585">
        <v>2014</v>
      </c>
      <c r="D1507" s="586">
        <v>2015</v>
      </c>
      <c r="E1507" s="586">
        <v>2016</v>
      </c>
      <c r="F1507" s="586">
        <v>2017</v>
      </c>
      <c r="G1507" s="586">
        <v>2018</v>
      </c>
      <c r="H1507" s="586">
        <v>2019</v>
      </c>
      <c r="I1507" s="586">
        <v>2020</v>
      </c>
      <c r="J1507" s="586">
        <v>2021</v>
      </c>
      <c r="K1507" s="587">
        <v>2014</v>
      </c>
      <c r="L1507" s="588">
        <v>2015</v>
      </c>
      <c r="M1507" s="588">
        <v>2016</v>
      </c>
      <c r="N1507" s="588">
        <v>2017</v>
      </c>
      <c r="O1507" s="588">
        <v>2018</v>
      </c>
      <c r="P1507" s="588">
        <v>2019</v>
      </c>
      <c r="Q1507" s="588">
        <v>2020</v>
      </c>
      <c r="R1507" s="848">
        <v>2021</v>
      </c>
    </row>
    <row r="1508" spans="2:18">
      <c r="B1508" s="589" t="s">
        <v>1038</v>
      </c>
      <c r="C1508" s="1671">
        <f>ARG!C139/1000</f>
        <v>13.388999999999999</v>
      </c>
      <c r="D1508" s="1672">
        <f>ARG!D139/1000</f>
        <v>13.957000000000001</v>
      </c>
      <c r="E1508" s="1672">
        <f>ARG!E139/1000</f>
        <v>14.901999999999999</v>
      </c>
      <c r="F1508" s="1672">
        <f>ARG!F139/1000</f>
        <v>15.773</v>
      </c>
      <c r="G1508" s="1672">
        <f>ARG!G139/1000</f>
        <v>16.385000000000002</v>
      </c>
      <c r="H1508" s="1672">
        <f>ARG!H139/1000</f>
        <v>16.939</v>
      </c>
      <c r="I1508" s="1672">
        <f>ARG!I139/1000</f>
        <v>16.753</v>
      </c>
      <c r="J1508" s="1673">
        <f>ARG!J139/1000</f>
        <v>17.823</v>
      </c>
      <c r="K1508" s="1672">
        <f>ARG!C145/1000</f>
        <v>421.69099999999997</v>
      </c>
      <c r="L1508" s="1672">
        <f>ARG!D145/1000</f>
        <v>433.28300000000002</v>
      </c>
      <c r="M1508" s="1672">
        <f>ARG!E145/1000</f>
        <v>487.19200000000001</v>
      </c>
      <c r="N1508" s="1672">
        <f>ARG!F145/1000</f>
        <v>619.80999999999995</v>
      </c>
      <c r="O1508" s="1672">
        <f>ARG!G145/1000</f>
        <v>803.79300000000001</v>
      </c>
      <c r="P1508" s="1672">
        <f>ARG!H145/1000</f>
        <v>524.69899999999996</v>
      </c>
      <c r="Q1508" s="1672">
        <f>ARG!I145/1000</f>
        <v>866.63599999999997</v>
      </c>
      <c r="R1508" s="1673">
        <f>ARG!J145/1000</f>
        <v>500.334</v>
      </c>
    </row>
    <row r="1509" spans="2:18">
      <c r="B1509" s="595" t="s">
        <v>1039</v>
      </c>
      <c r="C1509" s="1670">
        <f>BA!C129/1000</f>
        <v>0.33400000000000002</v>
      </c>
      <c r="D1509" s="602">
        <f>BA!D129/1000</f>
        <v>0.34499999999999997</v>
      </c>
      <c r="E1509" s="602">
        <f>BA!E129/1000</f>
        <v>0.40200000000000002</v>
      </c>
      <c r="F1509" s="602">
        <f>BA!F129/1000</f>
        <v>0.36199999999999999</v>
      </c>
      <c r="G1509" s="602">
        <f>BA!G129/1000</f>
        <v>0.38200000000000001</v>
      </c>
      <c r="H1509" s="602">
        <f>BA!H129/1000</f>
        <v>0.38500000000000001</v>
      </c>
      <c r="I1509" s="602">
        <f>BA!I129/1000</f>
        <v>0.38100000000000001</v>
      </c>
      <c r="J1509" s="846">
        <f>BA!J129/1000</f>
        <v>0.38800000000000001</v>
      </c>
      <c r="K1509" s="602">
        <f>BA!C134/1000</f>
        <v>4.9080000000000004</v>
      </c>
      <c r="L1509" s="602">
        <f>BA!D134/1000</f>
        <v>8.8529999999999998</v>
      </c>
      <c r="M1509" s="602">
        <f>BA!E134/1000</f>
        <v>9.1460000000000008</v>
      </c>
      <c r="N1509" s="602">
        <f>BA!F134/1000</f>
        <v>11.305999999999999</v>
      </c>
      <c r="O1509" s="602">
        <f>BA!G134/1000</f>
        <v>10.616</v>
      </c>
      <c r="P1509" s="602">
        <f>BA!H134/1000</f>
        <v>14.891999999999999</v>
      </c>
      <c r="Q1509" s="602">
        <f>BA!I134/1000</f>
        <v>15.696</v>
      </c>
      <c r="R1509" s="846">
        <f>BA!J134/1000</f>
        <v>16.893000000000001</v>
      </c>
    </row>
    <row r="1510" spans="2:18">
      <c r="B1510" s="595" t="s">
        <v>1040</v>
      </c>
      <c r="C1510" s="1670">
        <f>BO!C125/1000</f>
        <v>2.3199999999999998</v>
      </c>
      <c r="D1510" s="602">
        <f>BO!D125/1000</f>
        <v>2.3439999999999999</v>
      </c>
      <c r="E1510" s="602">
        <f>BO!E125/1000</f>
        <v>2.5</v>
      </c>
      <c r="F1510" s="602">
        <f>BO!F125/1000</f>
        <v>2.984</v>
      </c>
      <c r="G1510" s="602">
        <f>BO!G125/1000</f>
        <v>3.2010000000000001</v>
      </c>
      <c r="H1510" s="602">
        <f>BO!H125/1000</f>
        <v>3.3849999999999998</v>
      </c>
      <c r="I1510" s="602">
        <f>BO!I125/1000</f>
        <v>3.4359999999999999</v>
      </c>
      <c r="J1510" s="846">
        <f>BO!J125/1000</f>
        <v>3.5910000000000002</v>
      </c>
      <c r="K1510" s="602">
        <f>BO!C131/1000</f>
        <v>9.7240000000000002</v>
      </c>
      <c r="L1510" s="602">
        <f>BO!D131/1000</f>
        <v>10.846</v>
      </c>
      <c r="M1510" s="602">
        <f>BO!E131/1000</f>
        <v>9.5120000000000005</v>
      </c>
      <c r="N1510" s="602">
        <f>BO!F131/1000</f>
        <v>11.076000000000001</v>
      </c>
      <c r="O1510" s="602">
        <f>BO!G131/1000</f>
        <v>17.443000000000001</v>
      </c>
      <c r="P1510" s="602">
        <f>BO!H131/1000</f>
        <v>28.4</v>
      </c>
      <c r="Q1510" s="602">
        <f>BO!I131/1000</f>
        <v>35.686999999999998</v>
      </c>
      <c r="R1510" s="846">
        <f>BO!J131/1000</f>
        <v>42.709000000000003</v>
      </c>
    </row>
    <row r="1511" spans="2:18">
      <c r="B1511" s="595" t="s">
        <v>1041</v>
      </c>
      <c r="C1511" s="1670">
        <f>BR!C131/1000</f>
        <v>184.446</v>
      </c>
      <c r="D1511" s="602">
        <f>BR!D131/1000</f>
        <v>182.37799999999999</v>
      </c>
      <c r="E1511" s="602">
        <f>BR!E131/1000</f>
        <v>180.15</v>
      </c>
      <c r="F1511" s="602">
        <f>BR!F131/1000</f>
        <v>175.58</v>
      </c>
      <c r="G1511" s="602">
        <f>BR!G131/1000</f>
        <v>175.57</v>
      </c>
      <c r="H1511" s="602">
        <f>BR!H131/1000</f>
        <v>171.54599999999999</v>
      </c>
      <c r="I1511" s="602">
        <f>BR!I131/1000</f>
        <v>168.398</v>
      </c>
      <c r="J1511" s="846">
        <f>BR!J131/1000</f>
        <v>160.816</v>
      </c>
      <c r="K1511" s="602">
        <f>BR!C137/1000</f>
        <v>5045.7969999999996</v>
      </c>
      <c r="L1511" s="602">
        <f>BR!D137/1000</f>
        <v>5237.2250000000004</v>
      </c>
      <c r="M1511" s="602">
        <f>BR!E137/1000</f>
        <v>4922.6229999999996</v>
      </c>
      <c r="N1511" s="602">
        <f>BR!F137/1000</f>
        <v>4786.5450000000001</v>
      </c>
      <c r="O1511" s="602">
        <f>BR!G137/1000</f>
        <v>8494.3549999999996</v>
      </c>
      <c r="P1511" s="602">
        <f>BR!H137/1000</f>
        <v>11342.92</v>
      </c>
      <c r="Q1511" s="602">
        <f>BR!I137/1000</f>
        <v>13757.302</v>
      </c>
      <c r="R1511" s="846">
        <f>BR!J137/1000</f>
        <v>19035.877</v>
      </c>
    </row>
    <row r="1512" spans="2:18">
      <c r="B1512" s="595" t="s">
        <v>1042</v>
      </c>
      <c r="C1512" s="1670">
        <f>CL!C132/1000</f>
        <v>7.9630000000000001</v>
      </c>
      <c r="D1512" s="602">
        <f>CL!D132/1000</f>
        <v>7.976</v>
      </c>
      <c r="E1512" s="602">
        <f>CL!E132/1000</f>
        <v>7.7249999999999996</v>
      </c>
      <c r="F1512" s="602">
        <f>CL!F132/1000</f>
        <v>7.6219999999999999</v>
      </c>
      <c r="G1512" s="602">
        <f>CL!G132/1000</f>
        <v>7.468</v>
      </c>
      <c r="H1512" s="602">
        <f>CL!H132/1000</f>
        <v>7.57</v>
      </c>
      <c r="I1512" s="602">
        <f>CL!I132/1000</f>
        <v>7.6369999999999996</v>
      </c>
      <c r="J1512" s="846">
        <f>CL!J132/1000</f>
        <v>7.5919999999999996</v>
      </c>
      <c r="K1512" s="602">
        <f>CL!C136/1000</f>
        <v>0</v>
      </c>
      <c r="L1512" s="602">
        <f>CL!D136/1000</f>
        <v>0</v>
      </c>
      <c r="M1512" s="602">
        <f>CL!E136/1000</f>
        <v>0</v>
      </c>
      <c r="N1512" s="602">
        <f>CL!F136/1000</f>
        <v>0</v>
      </c>
      <c r="O1512" s="602">
        <f>CL!G136/1000</f>
        <v>0</v>
      </c>
      <c r="P1512" s="602">
        <f>CL!H136/1000</f>
        <v>0</v>
      </c>
      <c r="Q1512" s="602">
        <f>CL!I136/1000</f>
        <v>0</v>
      </c>
      <c r="R1512" s="846">
        <f>CL!J136/1000</f>
        <v>0</v>
      </c>
    </row>
    <row r="1513" spans="2:18">
      <c r="B1513" s="595" t="s">
        <v>1043</v>
      </c>
      <c r="C1513" s="1670">
        <f>CO!C129/1000</f>
        <v>14.423999999999999</v>
      </c>
      <c r="D1513" s="602">
        <f>CO!D129/1000</f>
        <v>14.817</v>
      </c>
      <c r="E1513" s="602">
        <f>CO!E129/1000</f>
        <v>15.227</v>
      </c>
      <c r="F1513" s="602">
        <f>CO!F129/1000</f>
        <v>15.709</v>
      </c>
      <c r="G1513" s="602">
        <f>CO!G129/1000</f>
        <v>16.172999999999998</v>
      </c>
      <c r="H1513" s="602">
        <f>CO!H129/1000</f>
        <v>16.529</v>
      </c>
      <c r="I1513" s="602">
        <f>CO!I129/1000</f>
        <v>16.292999999999999</v>
      </c>
      <c r="J1513" s="846">
        <f>CO!J129/1000</f>
        <v>16.026</v>
      </c>
      <c r="K1513" s="602">
        <f>CO!C134/1000</f>
        <v>328.774</v>
      </c>
      <c r="L1513" s="602">
        <f>CO!D134/1000</f>
        <v>317.20400000000001</v>
      </c>
      <c r="M1513" s="602">
        <f>CO!E134/1000</f>
        <v>364.358</v>
      </c>
      <c r="N1513" s="602">
        <f>CO!F134/1000</f>
        <v>403.512</v>
      </c>
      <c r="O1513" s="602">
        <f>CO!G134/1000</f>
        <v>435.83600000000001</v>
      </c>
      <c r="P1513" s="602">
        <f>CO!H134/1000</f>
        <v>580.15800000000002</v>
      </c>
      <c r="Q1513" s="602">
        <f>CO!I134/1000</f>
        <v>684.22500000000002</v>
      </c>
      <c r="R1513" s="846">
        <f>CO!J134/1000</f>
        <v>919.75099999999998</v>
      </c>
    </row>
    <row r="1514" spans="2:18">
      <c r="B1514" s="595" t="s">
        <v>1044</v>
      </c>
      <c r="C1514" s="1670">
        <f>CR!C132/1000</f>
        <v>2.3460000000000001</v>
      </c>
      <c r="D1514" s="602">
        <f>CR!D132/1000</f>
        <v>2.4540000000000002</v>
      </c>
      <c r="E1514" s="602">
        <f>CR!E132/1000</f>
        <v>2.6469999999999998</v>
      </c>
      <c r="F1514" s="602">
        <f>CR!F132/1000</f>
        <v>2.5920000000000001</v>
      </c>
      <c r="G1514" s="602">
        <f>CR!G132/1000</f>
        <v>2.6819999999999999</v>
      </c>
      <c r="H1514" s="602">
        <f>CR!H132/1000</f>
        <v>2.8090000000000002</v>
      </c>
      <c r="I1514" s="602">
        <f>CR!I132/1000</f>
        <v>2.6949999999999998</v>
      </c>
      <c r="J1514" s="846">
        <f>CR!J132/1000</f>
        <v>2.6459999999999999</v>
      </c>
      <c r="K1514" s="602">
        <f>CR!C137/1000</f>
        <v>147.905</v>
      </c>
      <c r="L1514" s="602">
        <f>CR!D137/1000</f>
        <v>146.64599999999999</v>
      </c>
      <c r="M1514" s="602">
        <f>CR!E137/1000</f>
        <v>170.4</v>
      </c>
      <c r="N1514" s="602">
        <f>CR!F137/1000</f>
        <v>176.6</v>
      </c>
      <c r="O1514" s="602">
        <f>CR!G137/1000</f>
        <v>189.20599999999999</v>
      </c>
      <c r="P1514" s="602">
        <f>CR!H137/1000</f>
        <v>175.184</v>
      </c>
      <c r="Q1514" s="602">
        <f>CR!I137/1000</f>
        <v>191.71100000000001</v>
      </c>
      <c r="R1514" s="846">
        <f>CR!J137/1000</f>
        <v>192.477</v>
      </c>
    </row>
    <row r="1515" spans="2:18">
      <c r="B1515" s="595" t="s">
        <v>1061</v>
      </c>
      <c r="C1515" s="1670">
        <v>0</v>
      </c>
      <c r="D1515" s="602">
        <v>0.2</v>
      </c>
      <c r="E1515" s="602">
        <f>CW!E142/1000</f>
        <v>0.183</v>
      </c>
      <c r="F1515" s="602">
        <f>CW!F142/1000</f>
        <v>0.17699999999999999</v>
      </c>
      <c r="G1515" s="602">
        <f>CW!G142/1000</f>
        <v>0.17799999999999999</v>
      </c>
      <c r="H1515" s="602">
        <f>CW!H142/1000</f>
        <v>0.16900000000000001</v>
      </c>
      <c r="I1515" s="602">
        <f>CW!I142/1000</f>
        <v>0.16900000000000001</v>
      </c>
      <c r="J1515" s="846">
        <f>CW!J142/1000</f>
        <v>0.17100000000000001</v>
      </c>
      <c r="K1515" s="602">
        <f>CW!C146/1000</f>
        <v>0</v>
      </c>
      <c r="L1515" s="602">
        <f>CW!D146/1000</f>
        <v>0</v>
      </c>
      <c r="M1515" s="602">
        <f>CW!E146/1000</f>
        <v>8.5589999999999993</v>
      </c>
      <c r="N1515" s="602">
        <f>CW!F146/1000</f>
        <v>8.3840000000000003</v>
      </c>
      <c r="O1515" s="602">
        <f>CW!G146/1000</f>
        <v>9.9789999999999992</v>
      </c>
      <c r="P1515" s="602">
        <f>CW!H146/1000</f>
        <v>10.007999999999999</v>
      </c>
      <c r="Q1515" s="602">
        <f>CW!I146/1000</f>
        <v>10.984</v>
      </c>
      <c r="R1515" s="602">
        <f>CW!J146/1000</f>
        <v>11.516999999999999</v>
      </c>
    </row>
    <row r="1516" spans="2:18">
      <c r="B1516" s="595" t="s">
        <v>1047</v>
      </c>
      <c r="C1516" s="1670">
        <f>EC!C127/1000</f>
        <v>3.6259999999999999</v>
      </c>
      <c r="D1516" s="602">
        <f>EC!D127/1000</f>
        <v>3.9</v>
      </c>
      <c r="E1516" s="602">
        <f>EC!E127/1000</f>
        <v>3.9990000000000001</v>
      </c>
      <c r="F1516" s="602">
        <f>EC!F127/1000</f>
        <v>3.9910000000000001</v>
      </c>
      <c r="G1516" s="602">
        <f>EC!G127/1000</f>
        <v>4.335</v>
      </c>
      <c r="H1516" s="602">
        <f>EC!H127/1000</f>
        <v>4.577</v>
      </c>
      <c r="I1516" s="602">
        <f>EC!I127/1000</f>
        <v>4.6769999999999996</v>
      </c>
      <c r="J1516" s="846">
        <f>EC!J127/1000</f>
        <v>4.8600000000000003</v>
      </c>
      <c r="K1516" s="602">
        <f>EC!C133/1000</f>
        <v>0</v>
      </c>
      <c r="L1516" s="602">
        <f>EC!D133/1000</f>
        <v>74.385999999999996</v>
      </c>
      <c r="M1516" s="602">
        <f>EC!E133/1000</f>
        <v>76.245000000000005</v>
      </c>
      <c r="N1516" s="602">
        <f>EC!F133/1000</f>
        <v>80.442999999999998</v>
      </c>
      <c r="O1516" s="602">
        <f>EC!G133/1000</f>
        <v>86.076999999999998</v>
      </c>
      <c r="P1516" s="602">
        <f>EC!H133/1000</f>
        <v>124.845</v>
      </c>
      <c r="Q1516" s="602">
        <f>EC!I133/1000</f>
        <v>150.30799999999999</v>
      </c>
      <c r="R1516" s="846">
        <f>EC!J133/1000</f>
        <v>168.953</v>
      </c>
    </row>
    <row r="1517" spans="2:18">
      <c r="B1517" s="595" t="s">
        <v>1048</v>
      </c>
      <c r="C1517" s="1670">
        <f>SV!C128/1000</f>
        <v>1.631</v>
      </c>
      <c r="D1517" s="602">
        <f>SV!D128/1000</f>
        <v>1.4490000000000001</v>
      </c>
      <c r="E1517" s="602">
        <f>SV!E128/1000</f>
        <v>1.51</v>
      </c>
      <c r="F1517" s="602">
        <f>SV!F128/1000</f>
        <v>1.59</v>
      </c>
      <c r="G1517" s="602">
        <f>SV!G128/1000</f>
        <v>1.649</v>
      </c>
      <c r="H1517" s="602">
        <f>SV!H128/1000</f>
        <v>1.6839999999999999</v>
      </c>
      <c r="I1517" s="602">
        <f>SV!I128/1000</f>
        <v>1.7390000000000001</v>
      </c>
      <c r="J1517" s="846">
        <f>SV!J128/1000</f>
        <v>1.7390000000000001</v>
      </c>
      <c r="K1517" s="602">
        <f>SV!C134/1000</f>
        <v>17.382000000000001</v>
      </c>
      <c r="L1517" s="602">
        <f>SV!D134/1000</f>
        <v>22.795000000000002</v>
      </c>
      <c r="M1517" s="602">
        <f>SV!E134/1000</f>
        <v>23.459</v>
      </c>
      <c r="N1517" s="602">
        <f>SV!F134/1000</f>
        <v>25.341999999999999</v>
      </c>
      <c r="O1517" s="602">
        <f>SV!G134/1000</f>
        <v>29.786000000000001</v>
      </c>
      <c r="P1517" s="602">
        <f>SV!H134/1000</f>
        <v>37.234999999999999</v>
      </c>
      <c r="Q1517" s="602">
        <f>SV!I134/1000</f>
        <v>48.97</v>
      </c>
      <c r="R1517" s="846">
        <f>SV!J134/1000</f>
        <v>60.801000000000002</v>
      </c>
    </row>
    <row r="1518" spans="2:18">
      <c r="B1518" s="595" t="s">
        <v>1049</v>
      </c>
      <c r="C1518" s="1670">
        <f>GT!C137/1000</f>
        <v>3.407</v>
      </c>
      <c r="D1518" s="602">
        <f>GT!D137/1000</f>
        <v>3.581</v>
      </c>
      <c r="E1518" s="602">
        <f>GT!E137/1000</f>
        <v>3.8239999999999998</v>
      </c>
      <c r="F1518" s="602">
        <f>GT!F137/1000</f>
        <v>3.9609999999999999</v>
      </c>
      <c r="G1518" s="602">
        <f>GT!G137/1000</f>
        <v>3.948</v>
      </c>
      <c r="H1518" s="602">
        <f>GT!H137/1000</f>
        <v>4.056</v>
      </c>
      <c r="I1518" s="602">
        <f>GT!I137/1000</f>
        <v>4.0549999999999997</v>
      </c>
      <c r="J1518" s="846">
        <f>GT!J137/1000</f>
        <v>4.2380000000000004</v>
      </c>
      <c r="K1518" s="602">
        <f>GT!C141/1000</f>
        <v>0</v>
      </c>
      <c r="L1518" s="602">
        <f>GT!D141/1000</f>
        <v>0</v>
      </c>
      <c r="M1518" s="602">
        <f>GT!E141/1000</f>
        <v>0</v>
      </c>
      <c r="N1518" s="602">
        <f>GT!F141/1000</f>
        <v>0</v>
      </c>
      <c r="O1518" s="602">
        <f>GT!G141/1000</f>
        <v>0</v>
      </c>
      <c r="P1518" s="602">
        <f>GT!H141/1000</f>
        <v>0</v>
      </c>
      <c r="Q1518" s="602">
        <f>GT!I141/1000</f>
        <v>0</v>
      </c>
      <c r="R1518" s="846">
        <f>GT!J141/1000</f>
        <v>0</v>
      </c>
    </row>
    <row r="1519" spans="2:18">
      <c r="B1519" s="595" t="s">
        <v>1050</v>
      </c>
      <c r="C1519" s="1670">
        <f>HN!C135/1000</f>
        <v>1.3280000000000001</v>
      </c>
      <c r="D1519" s="602">
        <f>HN!D135/1000</f>
        <v>1.4039999999999999</v>
      </c>
      <c r="E1519" s="602">
        <f>HN!E135/1000</f>
        <v>1.4790000000000001</v>
      </c>
      <c r="F1519" s="602">
        <f>HN!F135/1000</f>
        <v>1.5129999999999999</v>
      </c>
      <c r="G1519" s="602">
        <f>HN!G135/1000</f>
        <v>1.59</v>
      </c>
      <c r="H1519" s="602">
        <f>HN!H135/1000</f>
        <v>1.704</v>
      </c>
      <c r="I1519" s="602">
        <f>HN!I135/1000</f>
        <v>1.71</v>
      </c>
      <c r="J1519" s="846">
        <f>HN!J135/1000</f>
        <v>1.7649999999999999</v>
      </c>
      <c r="K1519" s="602">
        <f>HN!C139/1000</f>
        <v>0</v>
      </c>
      <c r="L1519" s="602">
        <f>HN!D139/1000</f>
        <v>0</v>
      </c>
      <c r="M1519" s="602">
        <f>HN!E139/1000</f>
        <v>0</v>
      </c>
      <c r="N1519" s="602">
        <f>HN!F139/1000</f>
        <v>0</v>
      </c>
      <c r="O1519" s="602">
        <f>HN!G139/1000</f>
        <v>0</v>
      </c>
      <c r="P1519" s="602">
        <f>HN!H139/1000</f>
        <v>0</v>
      </c>
      <c r="Q1519" s="602">
        <f>HN!I139/1000</f>
        <v>0</v>
      </c>
      <c r="R1519" s="846">
        <f>HN!J139/1000</f>
        <v>0</v>
      </c>
    </row>
    <row r="1520" spans="2:18">
      <c r="B1520" s="595" t="s">
        <v>1051</v>
      </c>
      <c r="C1520" s="1670">
        <f>JM!C132/1000</f>
        <v>0.51300000000000001</v>
      </c>
      <c r="D1520" s="602">
        <f>JM!D132/1000</f>
        <v>0.52600000000000002</v>
      </c>
      <c r="E1520" s="602">
        <f>JM!E132/1000</f>
        <v>0.55100000000000005</v>
      </c>
      <c r="F1520" s="602">
        <f>JM!F132/1000</f>
        <v>0.69</v>
      </c>
      <c r="G1520" s="602">
        <f>JM!G132/1000</f>
        <v>0.71199999999999997</v>
      </c>
      <c r="H1520" s="602">
        <f>JM!H132/1000</f>
        <v>0.755</v>
      </c>
      <c r="I1520" s="602">
        <f>JM!I132/1000</f>
        <v>0.79100000000000004</v>
      </c>
      <c r="J1520" s="846">
        <f>JM!J132/1000</f>
        <v>0.79300000000000004</v>
      </c>
      <c r="K1520" s="602">
        <f>JM!C137/1000</f>
        <v>22.14</v>
      </c>
      <c r="L1520" s="602">
        <f>JM!D137/1000</f>
        <v>24.425000000000001</v>
      </c>
      <c r="M1520" s="602">
        <f>JM!E137/1000</f>
        <v>26.75</v>
      </c>
      <c r="N1520" s="602">
        <f>JM!F137/1000</f>
        <v>29.146999999999998</v>
      </c>
      <c r="O1520" s="602">
        <f>JM!G137/1000</f>
        <v>34.097999999999999</v>
      </c>
      <c r="P1520" s="602">
        <f>JM!H137/1000</f>
        <v>40.03</v>
      </c>
      <c r="Q1520" s="602">
        <f>JM!I137/1000</f>
        <v>45.002000000000002</v>
      </c>
      <c r="R1520" s="846">
        <f>JM!J137/1000</f>
        <v>47.366</v>
      </c>
    </row>
    <row r="1521" spans="2:18">
      <c r="B1521" s="595" t="s">
        <v>1052</v>
      </c>
      <c r="C1521" s="1670">
        <f>RD!C144/1000</f>
        <v>2.4460000000000002</v>
      </c>
      <c r="D1521" s="602">
        <f>RD!D144/1000</f>
        <v>2.6720000000000002</v>
      </c>
      <c r="E1521" s="602">
        <f>RD!E144/1000</f>
        <v>2.847</v>
      </c>
      <c r="F1521" s="602">
        <f>RD!F144/1000</f>
        <v>2.9660000000000002</v>
      </c>
      <c r="G1521" s="602">
        <f>RD!G144/1000</f>
        <v>3.077</v>
      </c>
      <c r="H1521" s="602">
        <f>RD!H144/1000</f>
        <v>3.28</v>
      </c>
      <c r="I1521" s="602">
        <f>RD!I144/1000</f>
        <v>3.2850000000000001</v>
      </c>
      <c r="J1521" s="846">
        <f>RD!J144/1000</f>
        <v>3.4079999999999999</v>
      </c>
      <c r="K1521" s="602">
        <f>RD!C150/1000</f>
        <v>42.216000000000001</v>
      </c>
      <c r="L1521" s="602">
        <f>RD!D150/1000</f>
        <v>52.482999999999997</v>
      </c>
      <c r="M1521" s="602">
        <f>RD!E150/1000</f>
        <v>58.668999999999997</v>
      </c>
      <c r="N1521" s="602">
        <f>RD!F150/1000</f>
        <v>65.191999999999993</v>
      </c>
      <c r="O1521" s="602">
        <f>RD!G150/1000</f>
        <v>70.475999999999999</v>
      </c>
      <c r="P1521" s="602">
        <f>RD!H150/1000</f>
        <v>84.41</v>
      </c>
      <c r="Q1521" s="602">
        <f>RD!I150/1000</f>
        <v>89.042000000000002</v>
      </c>
      <c r="R1521" s="846">
        <f>RD!J150/1000</f>
        <v>103.121</v>
      </c>
    </row>
    <row r="1522" spans="2:18">
      <c r="B1522" s="595" t="s">
        <v>1053</v>
      </c>
      <c r="C1522" s="1670">
        <f>PY!C128/1000</f>
        <v>1.24</v>
      </c>
      <c r="D1522" s="602">
        <f>PY!D128/1000</f>
        <v>1.254</v>
      </c>
      <c r="E1522" s="602">
        <f>PY!E128/1000</f>
        <v>1.2769999999999999</v>
      </c>
      <c r="F1522" s="602">
        <f>PY!F128/1000</f>
        <v>1.361</v>
      </c>
      <c r="G1522" s="602">
        <f>PY!G128/1000</f>
        <v>1.3979999999999999</v>
      </c>
      <c r="H1522" s="602">
        <f>PY!H128/1000</f>
        <v>1.444</v>
      </c>
      <c r="I1522" s="602">
        <f>PY!I128/1000</f>
        <v>1.5049999999999999</v>
      </c>
      <c r="J1522" s="846">
        <f>PY!J128/1000</f>
        <v>1.534</v>
      </c>
      <c r="K1522" s="602">
        <f>PY!C134/1000</f>
        <v>26.617000000000001</v>
      </c>
      <c r="L1522" s="602">
        <f>PY!D134/1000</f>
        <v>30.274000000000001</v>
      </c>
      <c r="M1522" s="602">
        <f>PY!E134/1000</f>
        <v>36.113999999999997</v>
      </c>
      <c r="N1522" s="602">
        <f>PY!F134/1000</f>
        <v>43.807000000000002</v>
      </c>
      <c r="O1522" s="602">
        <f>PY!G134/1000</f>
        <v>49.811</v>
      </c>
      <c r="P1522" s="602">
        <f>PY!H134/1000</f>
        <v>54.271000000000001</v>
      </c>
      <c r="Q1522" s="602">
        <f>PY!I134/1000</f>
        <v>61.356000000000002</v>
      </c>
      <c r="R1522" s="846">
        <f>PY!J134/1000</f>
        <v>69.325999999999993</v>
      </c>
    </row>
    <row r="1523" spans="2:18">
      <c r="B1523" s="595" t="s">
        <v>1054</v>
      </c>
      <c r="C1523" s="1670">
        <f>PE!C133/1000</f>
        <v>0</v>
      </c>
      <c r="D1523" s="602">
        <f>PE!D133/1000</f>
        <v>0</v>
      </c>
      <c r="E1523" s="602">
        <f>PE!E133/1000</f>
        <v>0</v>
      </c>
      <c r="F1523" s="602">
        <f>PE!F133/1000</f>
        <v>0</v>
      </c>
      <c r="G1523" s="602">
        <f>PE!G133/1000</f>
        <v>0</v>
      </c>
      <c r="H1523" s="602">
        <f>PE!H133/1000</f>
        <v>0</v>
      </c>
      <c r="I1523" s="602">
        <f>PE!I133/1000</f>
        <v>0</v>
      </c>
      <c r="J1523" s="846">
        <f>PE!J133/1000</f>
        <v>0</v>
      </c>
      <c r="K1523" s="602">
        <f>PE!C139/1000</f>
        <v>0</v>
      </c>
      <c r="L1523" s="602">
        <f>PE!D139/1000</f>
        <v>0</v>
      </c>
      <c r="M1523" s="602">
        <f>PE!E139/1000</f>
        <v>0</v>
      </c>
      <c r="N1523" s="602">
        <f>PE!F139/1000</f>
        <v>0</v>
      </c>
      <c r="O1523" s="602">
        <f>PE!G139/1000</f>
        <v>0</v>
      </c>
      <c r="P1523" s="602">
        <f>PE!H139/1000</f>
        <v>0</v>
      </c>
      <c r="Q1523" s="602">
        <f>PE!I139/1000</f>
        <v>0</v>
      </c>
      <c r="R1523" s="846">
        <f>PE!J139/1000</f>
        <v>0</v>
      </c>
    </row>
    <row r="1524" spans="2:18">
      <c r="B1524" s="604" t="s">
        <v>1055</v>
      </c>
      <c r="C1524" s="1674">
        <f>TT!C137/1000</f>
        <v>0.438</v>
      </c>
      <c r="D1524" s="1675">
        <f>TT!D137/1000</f>
        <v>0.442</v>
      </c>
      <c r="E1524" s="1675">
        <f>TT!E137/1000</f>
        <v>0.45700000000000002</v>
      </c>
      <c r="F1524" s="1675">
        <f>TT!F137/1000</f>
        <v>0.46899999999999997</v>
      </c>
      <c r="G1524" s="1675">
        <f>TT!G137/1000</f>
        <v>0.47599999999999998</v>
      </c>
      <c r="H1524" s="1675">
        <f>TT!H137/1000</f>
        <v>0.495</v>
      </c>
      <c r="I1524" s="1675">
        <f>TT!I137/1000</f>
        <v>0.499</v>
      </c>
      <c r="J1524" s="1676">
        <f>TT!J137/1000</f>
        <v>0.49099999999999999</v>
      </c>
      <c r="K1524" s="1675">
        <f>TT!C142/1000</f>
        <v>15.272</v>
      </c>
      <c r="L1524" s="1675">
        <f>TT!D142/1000</f>
        <v>15.637</v>
      </c>
      <c r="M1524" s="1675">
        <f>TT!E142/1000</f>
        <v>16.427</v>
      </c>
      <c r="N1524" s="1675">
        <f>TT!F142/1000</f>
        <v>17.035</v>
      </c>
      <c r="O1524" s="1675">
        <f>TT!G142/1000</f>
        <v>18.774000000000001</v>
      </c>
      <c r="P1524" s="1675">
        <f>TT!H142/1000</f>
        <v>19.356999999999999</v>
      </c>
      <c r="Q1524" s="1675">
        <f>TT!I142/1000</f>
        <v>19.222000000000001</v>
      </c>
      <c r="R1524" s="1676">
        <f>TT!J142/1000</f>
        <v>20.242999999999999</v>
      </c>
    </row>
    <row r="1525" spans="2:18">
      <c r="B1525" s="57"/>
      <c r="C1525" s="582"/>
      <c r="D1525" s="582"/>
      <c r="E1525" s="582"/>
      <c r="F1525" s="582"/>
      <c r="G1525" s="582"/>
      <c r="H1525" s="582"/>
      <c r="I1525" s="582"/>
      <c r="J1525" s="582"/>
      <c r="K1525" s="582"/>
      <c r="L1525" s="582"/>
      <c r="M1525" s="582"/>
      <c r="N1525" s="582"/>
      <c r="O1525" s="582"/>
      <c r="P1525" s="582"/>
      <c r="Q1525" s="582"/>
    </row>
    <row r="1526" spans="2:18">
      <c r="B1526" s="2157" t="s">
        <v>1173</v>
      </c>
      <c r="C1526" s="2157"/>
      <c r="D1526" s="2157"/>
      <c r="E1526" s="2157"/>
      <c r="F1526" s="2157"/>
      <c r="G1526" s="2157"/>
      <c r="H1526" s="2157"/>
      <c r="I1526" s="2157"/>
      <c r="J1526" s="2157"/>
      <c r="K1526" s="2157"/>
      <c r="L1526" s="2157"/>
      <c r="M1526" s="2157"/>
      <c r="N1526" s="2157"/>
      <c r="O1526" s="2157"/>
      <c r="P1526" s="2157"/>
      <c r="Q1526" s="2157"/>
      <c r="R1526" s="2157"/>
    </row>
    <row r="1527" spans="2:18">
      <c r="B1527" s="57"/>
      <c r="C1527" s="582"/>
      <c r="D1527" s="582"/>
      <c r="E1527" s="582"/>
      <c r="F1527" s="582"/>
      <c r="G1527" s="582"/>
      <c r="H1527" s="582"/>
      <c r="I1527" s="582"/>
      <c r="J1527" s="582"/>
      <c r="K1527" s="582"/>
      <c r="L1527" s="582"/>
      <c r="M1527" s="582"/>
      <c r="N1527" s="582"/>
      <c r="O1527" s="582"/>
      <c r="P1527" s="582"/>
      <c r="Q1527" s="582"/>
    </row>
    <row r="1528" spans="2:18">
      <c r="B1528" s="583"/>
      <c r="C1528" s="2161" t="s">
        <v>372</v>
      </c>
      <c r="D1528" s="2162"/>
      <c r="E1528" s="2162"/>
      <c r="F1528" s="2162"/>
      <c r="G1528" s="2162"/>
      <c r="H1528" s="2162"/>
      <c r="I1528" s="2162"/>
      <c r="J1528" s="2163"/>
      <c r="K1528" s="2164" t="s">
        <v>1174</v>
      </c>
      <c r="L1528" s="2165"/>
      <c r="M1528" s="2165"/>
      <c r="N1528" s="2165"/>
      <c r="O1528" s="2165"/>
      <c r="P1528" s="2165"/>
      <c r="Q1528" s="2165"/>
      <c r="R1528" s="2166"/>
    </row>
    <row r="1529" spans="2:18">
      <c r="B1529" s="57"/>
      <c r="C1529" s="585">
        <v>2014</v>
      </c>
      <c r="D1529" s="586">
        <v>2015</v>
      </c>
      <c r="E1529" s="586">
        <v>2016</v>
      </c>
      <c r="F1529" s="586">
        <v>2017</v>
      </c>
      <c r="G1529" s="586">
        <v>2018</v>
      </c>
      <c r="H1529" s="586">
        <v>2019</v>
      </c>
      <c r="I1529" s="586">
        <v>2020</v>
      </c>
      <c r="J1529" s="586">
        <v>2021</v>
      </c>
      <c r="K1529" s="638">
        <v>2014</v>
      </c>
      <c r="L1529" s="639">
        <v>2015</v>
      </c>
      <c r="M1529" s="639">
        <v>2016</v>
      </c>
      <c r="N1529" s="639">
        <v>2017</v>
      </c>
      <c r="O1529" s="639">
        <v>2018</v>
      </c>
      <c r="P1529" s="639">
        <v>2019</v>
      </c>
      <c r="Q1529" s="639">
        <v>2020</v>
      </c>
      <c r="R1529" s="640">
        <v>2020</v>
      </c>
    </row>
    <row r="1530" spans="2:18">
      <c r="B1530" s="589" t="s">
        <v>1038</v>
      </c>
      <c r="C1530" s="1671">
        <f>ARG!C148/1000</f>
        <v>0</v>
      </c>
      <c r="D1530" s="1672">
        <f>ARG!D148/1000</f>
        <v>0</v>
      </c>
      <c r="E1530" s="1672">
        <f>ARG!E148/1000</f>
        <v>0</v>
      </c>
      <c r="F1530" s="1672">
        <f>ARG!F148/1000</f>
        <v>0</v>
      </c>
      <c r="G1530" s="1672">
        <f>ARG!G148/1000</f>
        <v>0</v>
      </c>
      <c r="H1530" s="1672">
        <f>ARG!H148/1000</f>
        <v>0</v>
      </c>
      <c r="I1530" s="1672">
        <f>ARG!I148/1000</f>
        <v>0</v>
      </c>
      <c r="J1530" s="1673">
        <f>ARG!J148/1000</f>
        <v>0</v>
      </c>
      <c r="K1530" s="1672">
        <f>ARG!C147/1000</f>
        <v>0</v>
      </c>
      <c r="L1530" s="1672">
        <f>ARG!D147/1000</f>
        <v>0</v>
      </c>
      <c r="M1530" s="1672">
        <f>ARG!E147/1000</f>
        <v>0</v>
      </c>
      <c r="N1530" s="1672">
        <f>ARG!F147/1000</f>
        <v>0</v>
      </c>
      <c r="O1530" s="1672">
        <f>ARG!G147/1000</f>
        <v>0</v>
      </c>
      <c r="P1530" s="1672">
        <f>ARG!H147/1000</f>
        <v>0</v>
      </c>
      <c r="Q1530" s="1672">
        <f>ARG!I147/1000</f>
        <v>0</v>
      </c>
      <c r="R1530" s="1673">
        <f>ARG!J147/1000</f>
        <v>0</v>
      </c>
    </row>
    <row r="1531" spans="2:18">
      <c r="B1531" s="595" t="s">
        <v>1039</v>
      </c>
      <c r="C1531" s="1670">
        <f>BA!C137/1000</f>
        <v>0</v>
      </c>
      <c r="D1531" s="602">
        <f>BA!D137/1000</f>
        <v>0</v>
      </c>
      <c r="E1531" s="602">
        <f>BA!E137/1000</f>
        <v>0</v>
      </c>
      <c r="F1531" s="602">
        <f>BA!F137/1000</f>
        <v>0</v>
      </c>
      <c r="G1531" s="602">
        <f>BA!G137/1000</f>
        <v>0</v>
      </c>
      <c r="H1531" s="602">
        <f>BA!H137/1000</f>
        <v>0</v>
      </c>
      <c r="I1531" s="602">
        <f>BA!I137/1000</f>
        <v>0</v>
      </c>
      <c r="J1531" s="846">
        <f>BA!J137/1000</f>
        <v>0</v>
      </c>
      <c r="K1531" s="602">
        <f>BA!C136/1000</f>
        <v>0</v>
      </c>
      <c r="L1531" s="602">
        <f>BA!D136/1000</f>
        <v>0</v>
      </c>
      <c r="M1531" s="602">
        <f>BA!E136/1000</f>
        <v>0</v>
      </c>
      <c r="N1531" s="602">
        <f>BA!F136/1000</f>
        <v>0</v>
      </c>
      <c r="O1531" s="602">
        <f>BA!G136/1000</f>
        <v>0</v>
      </c>
      <c r="P1531" s="602">
        <f>BA!H136/1000</f>
        <v>0</v>
      </c>
      <c r="Q1531" s="602">
        <f>BA!I136/1000</f>
        <v>0</v>
      </c>
      <c r="R1531" s="846">
        <f>BA!J136/1000</f>
        <v>0</v>
      </c>
    </row>
    <row r="1532" spans="2:18">
      <c r="B1532" s="595" t="s">
        <v>1040</v>
      </c>
      <c r="C1532" s="1670">
        <f>BO!C135/1000</f>
        <v>0</v>
      </c>
      <c r="D1532" s="602">
        <f>BO!D135/1000</f>
        <v>0</v>
      </c>
      <c r="E1532" s="602">
        <f>BO!E135/1000</f>
        <v>0</v>
      </c>
      <c r="F1532" s="602">
        <f>BO!F135/1000</f>
        <v>0</v>
      </c>
      <c r="G1532" s="602">
        <f>BO!G135/1000</f>
        <v>0</v>
      </c>
      <c r="H1532" s="602">
        <f>BO!H135/1000</f>
        <v>0</v>
      </c>
      <c r="I1532" s="602">
        <f>BO!I135/1000</f>
        <v>0</v>
      </c>
      <c r="J1532" s="846">
        <f>BO!J135/1000</f>
        <v>0</v>
      </c>
      <c r="K1532" s="602">
        <f>BO!C134/1000</f>
        <v>0</v>
      </c>
      <c r="L1532" s="602">
        <f>BO!D134/1000</f>
        <v>0</v>
      </c>
      <c r="M1532" s="602">
        <f>BO!E134/1000</f>
        <v>0</v>
      </c>
      <c r="N1532" s="602">
        <f>BO!F134/1000</f>
        <v>0</v>
      </c>
      <c r="O1532" s="602">
        <f>BO!G134/1000</f>
        <v>0</v>
      </c>
      <c r="P1532" s="602">
        <f>BO!H134/1000</f>
        <v>0</v>
      </c>
      <c r="Q1532" s="602">
        <f>BO!I134/1000</f>
        <v>0</v>
      </c>
      <c r="R1532" s="846">
        <f>BO!J134/1000</f>
        <v>0</v>
      </c>
    </row>
    <row r="1533" spans="2:18">
      <c r="B1533" s="595" t="s">
        <v>1041</v>
      </c>
      <c r="C1533" s="1670">
        <f>BR!C141/1000</f>
        <v>0</v>
      </c>
      <c r="D1533" s="602">
        <f>BR!D141/1000</f>
        <v>0</v>
      </c>
      <c r="E1533" s="602">
        <f>BR!E141/1000</f>
        <v>0</v>
      </c>
      <c r="F1533" s="602">
        <f>BR!F141/1000</f>
        <v>0</v>
      </c>
      <c r="G1533" s="602">
        <f>BR!G141/1000</f>
        <v>0</v>
      </c>
      <c r="H1533" s="602">
        <f>BR!H141/1000</f>
        <v>0</v>
      </c>
      <c r="I1533" s="602">
        <f>BR!I141/1000</f>
        <v>0</v>
      </c>
      <c r="J1533" s="846">
        <f>BR!J141/1000</f>
        <v>0</v>
      </c>
      <c r="K1533" s="602">
        <f>BR!C140/1000</f>
        <v>0</v>
      </c>
      <c r="L1533" s="602">
        <f>BR!D140/1000</f>
        <v>0</v>
      </c>
      <c r="M1533" s="602">
        <f>BR!E140/1000</f>
        <v>0</v>
      </c>
      <c r="N1533" s="602">
        <f>BR!F140/1000</f>
        <v>0</v>
      </c>
      <c r="O1533" s="602">
        <f>BR!G140/1000</f>
        <v>0</v>
      </c>
      <c r="P1533" s="602">
        <f>BR!H140/1000</f>
        <v>0</v>
      </c>
      <c r="Q1533" s="602">
        <f>BR!I140/1000</f>
        <v>0</v>
      </c>
      <c r="R1533" s="846">
        <f>BR!J140/1000</f>
        <v>0</v>
      </c>
    </row>
    <row r="1534" spans="2:18">
      <c r="B1534" s="595" t="s">
        <v>1042</v>
      </c>
      <c r="C1534" s="1670">
        <f>CL!C140/1000</f>
        <v>0</v>
      </c>
      <c r="D1534" s="602">
        <f>CL!D140/1000</f>
        <v>0</v>
      </c>
      <c r="E1534" s="602">
        <f>CL!E140/1000</f>
        <v>0</v>
      </c>
      <c r="F1534" s="602">
        <f>CL!F140/1000</f>
        <v>0</v>
      </c>
      <c r="G1534" s="602">
        <f>CL!G140/1000</f>
        <v>0</v>
      </c>
      <c r="H1534" s="602">
        <f>CL!H140/1000</f>
        <v>0</v>
      </c>
      <c r="I1534" s="602">
        <f>CL!I140/1000</f>
        <v>0</v>
      </c>
      <c r="J1534" s="846">
        <f>CL!J140/1000</f>
        <v>0</v>
      </c>
      <c r="K1534" s="602">
        <f>CL!C139/1000</f>
        <v>0</v>
      </c>
      <c r="L1534" s="602">
        <f>CL!D139/1000</f>
        <v>0</v>
      </c>
      <c r="M1534" s="602">
        <f>CL!E139/1000</f>
        <v>0</v>
      </c>
      <c r="N1534" s="602">
        <f>CL!F139/1000</f>
        <v>0</v>
      </c>
      <c r="O1534" s="602">
        <f>CL!G139/1000</f>
        <v>0</v>
      </c>
      <c r="P1534" s="602">
        <f>CL!H139/1000</f>
        <v>0</v>
      </c>
      <c r="Q1534" s="602">
        <f>CL!I139/1000</f>
        <v>0</v>
      </c>
      <c r="R1534" s="846">
        <f>CL!J139/1000</f>
        <v>0</v>
      </c>
    </row>
    <row r="1535" spans="2:18">
      <c r="B1535" s="595" t="s">
        <v>1043</v>
      </c>
      <c r="C1535" s="1670">
        <f>CO!C137/1000</f>
        <v>0</v>
      </c>
      <c r="D1535" s="602">
        <f>CO!D137/1000</f>
        <v>0</v>
      </c>
      <c r="E1535" s="602">
        <f>CO!E137/1000</f>
        <v>0</v>
      </c>
      <c r="F1535" s="602">
        <f>CO!F137/1000</f>
        <v>0</v>
      </c>
      <c r="G1535" s="602">
        <f>CO!G137/1000</f>
        <v>0</v>
      </c>
      <c r="H1535" s="602">
        <f>CO!H137/1000</f>
        <v>0</v>
      </c>
      <c r="I1535" s="602">
        <f>CO!I137/1000</f>
        <v>0</v>
      </c>
      <c r="J1535" s="846">
        <f>CO!J137/1000</f>
        <v>0</v>
      </c>
      <c r="K1535" s="602">
        <f>CO!C136/1000</f>
        <v>0</v>
      </c>
      <c r="L1535" s="602">
        <f>CO!D136/1000</f>
        <v>0</v>
      </c>
      <c r="M1535" s="602">
        <f>CO!E136/1000</f>
        <v>0</v>
      </c>
      <c r="N1535" s="602">
        <f>CO!F136/1000</f>
        <v>0</v>
      </c>
      <c r="O1535" s="602">
        <f>CO!G136/1000</f>
        <v>0</v>
      </c>
      <c r="P1535" s="602">
        <f>CO!H136/1000</f>
        <v>0</v>
      </c>
      <c r="Q1535" s="602">
        <f>CO!I136/1000</f>
        <v>0</v>
      </c>
      <c r="R1535" s="846">
        <f>CO!J136/1000</f>
        <v>0</v>
      </c>
    </row>
    <row r="1536" spans="2:18">
      <c r="B1536" s="595" t="s">
        <v>1044</v>
      </c>
      <c r="C1536" s="1670">
        <f>CR!C140/1000</f>
        <v>0</v>
      </c>
      <c r="D1536" s="602">
        <f>CR!D140/1000</f>
        <v>0</v>
      </c>
      <c r="E1536" s="602">
        <f>CR!E140/1000</f>
        <v>0</v>
      </c>
      <c r="F1536" s="602">
        <f>CR!F140/1000</f>
        <v>0</v>
      </c>
      <c r="G1536" s="602">
        <f>CR!G140/1000</f>
        <v>0</v>
      </c>
      <c r="H1536" s="602">
        <f>CR!H140/1000</f>
        <v>0</v>
      </c>
      <c r="I1536" s="602">
        <f>CR!I140/1000</f>
        <v>0</v>
      </c>
      <c r="J1536" s="846">
        <f>CR!J140/1000</f>
        <v>0</v>
      </c>
      <c r="K1536" s="602">
        <f>CR!C139/1000</f>
        <v>0</v>
      </c>
      <c r="L1536" s="602">
        <f>CR!D139/1000</f>
        <v>0</v>
      </c>
      <c r="M1536" s="602">
        <f>CR!E139/1000</f>
        <v>0</v>
      </c>
      <c r="N1536" s="602">
        <f>CR!F139/1000</f>
        <v>0</v>
      </c>
      <c r="O1536" s="602">
        <f>CR!G139/1000</f>
        <v>0</v>
      </c>
      <c r="P1536" s="602">
        <f>CR!H139/1000</f>
        <v>0</v>
      </c>
      <c r="Q1536" s="602">
        <f>CR!I139/1000</f>
        <v>0</v>
      </c>
      <c r="R1536" s="846">
        <f>CR!J139/1000</f>
        <v>0</v>
      </c>
    </row>
    <row r="1537" spans="2:18">
      <c r="B1537" s="595" t="s">
        <v>1061</v>
      </c>
      <c r="C1537" s="1670">
        <f>CW!C150/1000</f>
        <v>0</v>
      </c>
      <c r="D1537" s="602">
        <v>5.9</v>
      </c>
      <c r="E1537" s="602">
        <f>CW!E150/1000</f>
        <v>6.0830000000000002</v>
      </c>
      <c r="F1537" s="602">
        <f>CW!F150/1000</f>
        <v>5.7279999999999998</v>
      </c>
      <c r="G1537" s="602">
        <f>CW!G150/1000</f>
        <v>6.9539999999999997</v>
      </c>
      <c r="H1537" s="602">
        <f>CW!H150/1000</f>
        <v>5.8959999999999999</v>
      </c>
      <c r="I1537" s="602">
        <f>CW!I150/1000</f>
        <v>6.26</v>
      </c>
      <c r="J1537" s="846">
        <f>CW!J150/1000</f>
        <v>6.532</v>
      </c>
      <c r="K1537" s="602">
        <f>CW!C149/1000</f>
        <v>0</v>
      </c>
      <c r="L1537" s="602">
        <f>CW!D149/1000</f>
        <v>0</v>
      </c>
      <c r="M1537" s="602">
        <f>CW!E149/1000</f>
        <v>0</v>
      </c>
      <c r="N1537" s="602">
        <f>CW!F149/1000</f>
        <v>0</v>
      </c>
      <c r="O1537" s="602">
        <f>CW!G149/1000</f>
        <v>0</v>
      </c>
      <c r="P1537" s="602">
        <f>CW!H149/1000</f>
        <v>0</v>
      </c>
      <c r="Q1537" s="602">
        <f>CW!I149/1000</f>
        <v>0</v>
      </c>
      <c r="R1537" s="602">
        <f>CW!J149/1000</f>
        <v>0</v>
      </c>
    </row>
    <row r="1538" spans="2:18">
      <c r="B1538" s="595" t="s">
        <v>1047</v>
      </c>
      <c r="C1538" s="1670">
        <f>EC!C137/1000</f>
        <v>0</v>
      </c>
      <c r="D1538" s="602">
        <f>EC!D137/1000</f>
        <v>0</v>
      </c>
      <c r="E1538" s="602">
        <f>EC!E137/1000</f>
        <v>0</v>
      </c>
      <c r="F1538" s="602">
        <f>EC!F137/1000</f>
        <v>0</v>
      </c>
      <c r="G1538" s="602">
        <f>EC!G137/1000</f>
        <v>0</v>
      </c>
      <c r="H1538" s="602">
        <f>EC!H137/1000</f>
        <v>0</v>
      </c>
      <c r="I1538" s="602">
        <f>EC!I137/1000</f>
        <v>0</v>
      </c>
      <c r="J1538" s="846">
        <f>EC!J137/1000</f>
        <v>0</v>
      </c>
      <c r="K1538" s="602">
        <f>EC!C136/1000</f>
        <v>0</v>
      </c>
      <c r="L1538" s="602">
        <f>EC!D136/1000</f>
        <v>0</v>
      </c>
      <c r="M1538" s="602">
        <f>EC!E136/1000</f>
        <v>0</v>
      </c>
      <c r="N1538" s="602">
        <f>EC!F136/1000</f>
        <v>0</v>
      </c>
      <c r="O1538" s="602">
        <f>EC!G136/1000</f>
        <v>0</v>
      </c>
      <c r="P1538" s="602">
        <f>EC!H136/1000</f>
        <v>0</v>
      </c>
      <c r="Q1538" s="602">
        <f>EC!I136/1000</f>
        <v>0</v>
      </c>
      <c r="R1538" s="846">
        <f>EC!J136/1000</f>
        <v>0</v>
      </c>
    </row>
    <row r="1539" spans="2:18">
      <c r="B1539" s="595" t="s">
        <v>1048</v>
      </c>
      <c r="C1539" s="1670">
        <f>SV!C138/1000</f>
        <v>0</v>
      </c>
      <c r="D1539" s="602">
        <f>SV!D138/1000</f>
        <v>0</v>
      </c>
      <c r="E1539" s="602">
        <f>SV!E138/1000</f>
        <v>0</v>
      </c>
      <c r="F1539" s="602">
        <f>SV!F138/1000</f>
        <v>0</v>
      </c>
      <c r="G1539" s="602">
        <f>SV!G138/1000</f>
        <v>0</v>
      </c>
      <c r="H1539" s="602">
        <f>SV!H138/1000</f>
        <v>0</v>
      </c>
      <c r="I1539" s="602">
        <f>SV!I138/1000</f>
        <v>0</v>
      </c>
      <c r="J1539" s="846">
        <f>SV!J138/1000</f>
        <v>0</v>
      </c>
      <c r="K1539" s="602">
        <f>SV!C137/1000</f>
        <v>0</v>
      </c>
      <c r="L1539" s="602">
        <f>SV!D137/1000</f>
        <v>0</v>
      </c>
      <c r="M1539" s="602">
        <f>SV!E137/1000</f>
        <v>0</v>
      </c>
      <c r="N1539" s="602">
        <f>SV!F137/1000</f>
        <v>0</v>
      </c>
      <c r="O1539" s="602">
        <f>SV!G137/1000</f>
        <v>0</v>
      </c>
      <c r="P1539" s="602">
        <f>SV!H137/1000</f>
        <v>0</v>
      </c>
      <c r="Q1539" s="602">
        <f>SV!I137/1000</f>
        <v>0</v>
      </c>
      <c r="R1539" s="846">
        <f>SV!J137/1000</f>
        <v>0</v>
      </c>
    </row>
    <row r="1540" spans="2:18">
      <c r="B1540" s="595" t="s">
        <v>1049</v>
      </c>
      <c r="C1540" s="1670">
        <f>GT!C145/1000</f>
        <v>0</v>
      </c>
      <c r="D1540" s="602">
        <f>GT!D145/1000</f>
        <v>0</v>
      </c>
      <c r="E1540" s="602">
        <f>GT!E145/1000</f>
        <v>0</v>
      </c>
      <c r="F1540" s="602">
        <f>GT!F145/1000</f>
        <v>0</v>
      </c>
      <c r="G1540" s="602">
        <f>GT!G145/1000</f>
        <v>0</v>
      </c>
      <c r="H1540" s="602">
        <f>GT!H145/1000</f>
        <v>0</v>
      </c>
      <c r="I1540" s="602">
        <f>GT!I145/1000</f>
        <v>0</v>
      </c>
      <c r="J1540" s="846">
        <f>GT!J145/1000</f>
        <v>0</v>
      </c>
      <c r="K1540" s="602">
        <f>GT!C144/1000</f>
        <v>0</v>
      </c>
      <c r="L1540" s="602">
        <f>GT!D144/1000</f>
        <v>0</v>
      </c>
      <c r="M1540" s="602">
        <f>GT!E144/1000</f>
        <v>0</v>
      </c>
      <c r="N1540" s="602">
        <f>GT!F144/1000</f>
        <v>0</v>
      </c>
      <c r="O1540" s="602">
        <f>GT!G144/1000</f>
        <v>0</v>
      </c>
      <c r="P1540" s="602">
        <f>GT!H144/1000</f>
        <v>0</v>
      </c>
      <c r="Q1540" s="602">
        <f>GT!I144/1000</f>
        <v>0</v>
      </c>
      <c r="R1540" s="846">
        <f>GT!J144/1000</f>
        <v>0</v>
      </c>
    </row>
    <row r="1541" spans="2:18">
      <c r="B1541" s="595" t="s">
        <v>1050</v>
      </c>
      <c r="C1541" s="1670">
        <f>HN!C143/1000</f>
        <v>0</v>
      </c>
      <c r="D1541" s="602">
        <f>HN!D143/1000</f>
        <v>0</v>
      </c>
      <c r="E1541" s="602">
        <f>HN!E143/1000</f>
        <v>0</v>
      </c>
      <c r="F1541" s="602">
        <f>HN!F143/1000</f>
        <v>0</v>
      </c>
      <c r="G1541" s="602">
        <f>HN!G143/1000</f>
        <v>0</v>
      </c>
      <c r="H1541" s="602">
        <f>HN!H143/1000</f>
        <v>0</v>
      </c>
      <c r="I1541" s="602">
        <f>HN!I143/1000</f>
        <v>0</v>
      </c>
      <c r="J1541" s="846">
        <f>HN!J143/1000</f>
        <v>0</v>
      </c>
      <c r="K1541" s="602">
        <f>HN!C142/1000</f>
        <v>0</v>
      </c>
      <c r="L1541" s="602">
        <f>HN!D142/1000</f>
        <v>0</v>
      </c>
      <c r="M1541" s="602">
        <f>HN!E142/1000</f>
        <v>0</v>
      </c>
      <c r="N1541" s="602">
        <f>HN!F142/1000</f>
        <v>0</v>
      </c>
      <c r="O1541" s="602">
        <f>HN!G142/1000</f>
        <v>0</v>
      </c>
      <c r="P1541" s="602">
        <f>HN!H142/1000</f>
        <v>0</v>
      </c>
      <c r="Q1541" s="602">
        <f>HN!I142/1000</f>
        <v>0</v>
      </c>
      <c r="R1541" s="846">
        <f>HN!J142/1000</f>
        <v>0</v>
      </c>
    </row>
    <row r="1542" spans="2:18">
      <c r="B1542" s="595" t="s">
        <v>1051</v>
      </c>
      <c r="C1542" s="1670">
        <f>JM!C140/1000</f>
        <v>0</v>
      </c>
      <c r="D1542" s="602">
        <f>JM!D140/1000</f>
        <v>0</v>
      </c>
      <c r="E1542" s="602">
        <f>JM!E140/1000</f>
        <v>0</v>
      </c>
      <c r="F1542" s="602">
        <f>JM!F140/1000</f>
        <v>0</v>
      </c>
      <c r="G1542" s="602">
        <f>JM!G140/1000</f>
        <v>0</v>
      </c>
      <c r="H1542" s="602">
        <f>JM!H140/1000</f>
        <v>0</v>
      </c>
      <c r="I1542" s="602">
        <f>JM!I140/1000</f>
        <v>0</v>
      </c>
      <c r="J1542" s="846">
        <f>JM!J140/1000</f>
        <v>0</v>
      </c>
      <c r="K1542" s="602">
        <f>JM!C139/1000</f>
        <v>0</v>
      </c>
      <c r="L1542" s="602">
        <f>JM!D139/1000</f>
        <v>0</v>
      </c>
      <c r="M1542" s="602">
        <f>JM!E139/1000</f>
        <v>0</v>
      </c>
      <c r="N1542" s="602">
        <f>JM!F139/1000</f>
        <v>0</v>
      </c>
      <c r="O1542" s="602">
        <f>JM!G139/1000</f>
        <v>0</v>
      </c>
      <c r="P1542" s="602">
        <f>JM!H139/1000</f>
        <v>0</v>
      </c>
      <c r="Q1542" s="602">
        <f>JM!I139/1000</f>
        <v>0</v>
      </c>
      <c r="R1542" s="846">
        <f>JM!J139/1000</f>
        <v>0</v>
      </c>
    </row>
    <row r="1543" spans="2:18">
      <c r="B1543" s="595" t="s">
        <v>1052</v>
      </c>
      <c r="C1543" s="1670">
        <f>RD!C154/1000</f>
        <v>0</v>
      </c>
      <c r="D1543" s="602">
        <f>RD!D154/1000</f>
        <v>0</v>
      </c>
      <c r="E1543" s="602">
        <f>RD!E154/1000</f>
        <v>0</v>
      </c>
      <c r="F1543" s="602">
        <f>RD!F154/1000</f>
        <v>0</v>
      </c>
      <c r="G1543" s="602">
        <f>RD!G154/1000</f>
        <v>0</v>
      </c>
      <c r="H1543" s="602">
        <f>RD!H154/1000</f>
        <v>0</v>
      </c>
      <c r="I1543" s="602">
        <f>RD!I154/1000</f>
        <v>0</v>
      </c>
      <c r="J1543" s="846">
        <f>RD!J154/1000</f>
        <v>0</v>
      </c>
      <c r="K1543" s="602">
        <f>RD!C153/1000</f>
        <v>0</v>
      </c>
      <c r="L1543" s="602">
        <f>RD!D153/1000</f>
        <v>0</v>
      </c>
      <c r="M1543" s="602">
        <f>RD!E153/1000</f>
        <v>0</v>
      </c>
      <c r="N1543" s="602">
        <f>RD!F153/1000</f>
        <v>0</v>
      </c>
      <c r="O1543" s="602">
        <f>RD!G153/1000</f>
        <v>0</v>
      </c>
      <c r="P1543" s="602">
        <f>RD!H153/1000</f>
        <v>0</v>
      </c>
      <c r="Q1543" s="602">
        <f>RD!I153/1000</f>
        <v>0</v>
      </c>
      <c r="R1543" s="846">
        <f>RD!J153/1000</f>
        <v>0</v>
      </c>
    </row>
    <row r="1544" spans="2:18">
      <c r="B1544" s="595" t="s">
        <v>1053</v>
      </c>
      <c r="C1544" s="1670">
        <f>PY!C137/1000</f>
        <v>0</v>
      </c>
      <c r="D1544" s="602">
        <f>PY!D137/1000</f>
        <v>0</v>
      </c>
      <c r="E1544" s="602">
        <f>PY!E137/1000</f>
        <v>0</v>
      </c>
      <c r="F1544" s="602">
        <f>PY!F137/1000</f>
        <v>0</v>
      </c>
      <c r="G1544" s="602">
        <f>PY!G137/1000</f>
        <v>0</v>
      </c>
      <c r="H1544" s="602">
        <f>PY!H137/1000</f>
        <v>0</v>
      </c>
      <c r="I1544" s="602">
        <f>PY!I137/1000</f>
        <v>0</v>
      </c>
      <c r="J1544" s="846">
        <f>PY!J137/1000</f>
        <v>0</v>
      </c>
      <c r="K1544" s="602">
        <f>PY!C136/1000</f>
        <v>0</v>
      </c>
      <c r="L1544" s="602">
        <f>PY!D136/1000</f>
        <v>0</v>
      </c>
      <c r="M1544" s="602">
        <f>PY!E136/1000</f>
        <v>0</v>
      </c>
      <c r="N1544" s="602">
        <f>PY!F136/1000</f>
        <v>0</v>
      </c>
      <c r="O1544" s="602">
        <f>PY!G136/1000</f>
        <v>0</v>
      </c>
      <c r="P1544" s="602">
        <f>PY!H136/1000</f>
        <v>0</v>
      </c>
      <c r="Q1544" s="602">
        <f>PY!I136/1000</f>
        <v>0</v>
      </c>
      <c r="R1544" s="846">
        <f>PY!J136/1000</f>
        <v>0</v>
      </c>
    </row>
    <row r="1545" spans="2:18">
      <c r="B1545" s="595" t="s">
        <v>1054</v>
      </c>
      <c r="C1545" s="1670">
        <f>PE!C143/1000</f>
        <v>0</v>
      </c>
      <c r="D1545" s="602">
        <f>PE!D143/1000</f>
        <v>0</v>
      </c>
      <c r="E1545" s="602">
        <f>PE!E143/1000</f>
        <v>0</v>
      </c>
      <c r="F1545" s="602">
        <f>PE!F143/1000</f>
        <v>0</v>
      </c>
      <c r="G1545" s="602">
        <f>PE!G143/1000</f>
        <v>0</v>
      </c>
      <c r="H1545" s="602">
        <f>PE!H143/1000</f>
        <v>0</v>
      </c>
      <c r="I1545" s="602">
        <f>PE!I143/1000</f>
        <v>0</v>
      </c>
      <c r="J1545" s="846">
        <f>PE!J143/1000</f>
        <v>0</v>
      </c>
      <c r="K1545" s="602">
        <f>PE!C142/1000</f>
        <v>0</v>
      </c>
      <c r="L1545" s="602">
        <f>PE!D142/1000</f>
        <v>0</v>
      </c>
      <c r="M1545" s="602">
        <f>PE!E142/1000</f>
        <v>0</v>
      </c>
      <c r="N1545" s="602">
        <f>PE!F142/1000</f>
        <v>0</v>
      </c>
      <c r="O1545" s="602">
        <f>PE!G142/1000</f>
        <v>0</v>
      </c>
      <c r="P1545" s="602">
        <f>PE!H142/1000</f>
        <v>0</v>
      </c>
      <c r="Q1545" s="602">
        <f>PE!I142/1000</f>
        <v>0</v>
      </c>
      <c r="R1545" s="846">
        <f>PE!J142/1000</f>
        <v>0</v>
      </c>
    </row>
    <row r="1546" spans="2:18">
      <c r="B1546" s="604" t="s">
        <v>1055</v>
      </c>
      <c r="C1546" s="1674">
        <f>TT!C145/1000</f>
        <v>0</v>
      </c>
      <c r="D1546" s="1675">
        <f>TT!D145/1000</f>
        <v>0</v>
      </c>
      <c r="E1546" s="1675">
        <f>TT!E145/1000</f>
        <v>0</v>
      </c>
      <c r="F1546" s="1675">
        <f>TT!F145/1000</f>
        <v>0</v>
      </c>
      <c r="G1546" s="1675">
        <f>TT!G145/1000</f>
        <v>0</v>
      </c>
      <c r="H1546" s="1675">
        <f>TT!H145/1000</f>
        <v>0</v>
      </c>
      <c r="I1546" s="1675">
        <f>TT!I145/1000</f>
        <v>0</v>
      </c>
      <c r="J1546" s="1676">
        <f>TT!J145/1000</f>
        <v>0</v>
      </c>
      <c r="K1546" s="1675">
        <f>TT!C144/1000</f>
        <v>0</v>
      </c>
      <c r="L1546" s="1675">
        <f>TT!D144/1000</f>
        <v>0</v>
      </c>
      <c r="M1546" s="1675">
        <f>TT!E144/1000</f>
        <v>0</v>
      </c>
      <c r="N1546" s="1675">
        <f>TT!F144/1000</f>
        <v>0</v>
      </c>
      <c r="O1546" s="1675">
        <f>TT!G144/1000</f>
        <v>0</v>
      </c>
      <c r="P1546" s="1675">
        <f>TT!H144/1000</f>
        <v>0</v>
      </c>
      <c r="Q1546" s="1675">
        <f>TT!I144/1000</f>
        <v>0</v>
      </c>
      <c r="R1546" s="1676">
        <f>TT!J144/1000</f>
        <v>0</v>
      </c>
    </row>
    <row r="1547" spans="2:18">
      <c r="B1547" s="57"/>
      <c r="C1547" s="582"/>
      <c r="D1547" s="582"/>
      <c r="E1547" s="582"/>
      <c r="F1547" s="582"/>
      <c r="G1547" s="582"/>
      <c r="H1547" s="582"/>
      <c r="I1547" s="582"/>
      <c r="J1547" s="582"/>
      <c r="K1547" s="582"/>
      <c r="L1547" s="582"/>
      <c r="M1547" s="582"/>
      <c r="N1547" s="582"/>
      <c r="O1547" s="582"/>
      <c r="P1547" s="582"/>
      <c r="Q1547" s="582"/>
    </row>
    <row r="1548" spans="2:18">
      <c r="B1548" s="2157" t="s">
        <v>1175</v>
      </c>
      <c r="C1548" s="2157"/>
      <c r="D1548" s="2157"/>
      <c r="E1548" s="2157"/>
      <c r="F1548" s="2157"/>
      <c r="G1548" s="2157"/>
      <c r="H1548" s="2157"/>
      <c r="I1548" s="2157"/>
      <c r="J1548" s="2157"/>
      <c r="K1548" s="2157"/>
      <c r="L1548" s="2157"/>
      <c r="M1548" s="2157"/>
      <c r="N1548" s="2157"/>
      <c r="O1548" s="2157"/>
      <c r="P1548" s="2157"/>
      <c r="Q1548" s="2157"/>
      <c r="R1548" s="2157"/>
    </row>
    <row r="1549" spans="2:18">
      <c r="B1549" s="2159" t="s">
        <v>1176</v>
      </c>
      <c r="C1549" s="2159"/>
      <c r="D1549" s="2159"/>
      <c r="E1549" s="2159"/>
      <c r="F1549" s="2159"/>
      <c r="G1549" s="2159"/>
      <c r="H1549" s="2159"/>
      <c r="I1549" s="2159"/>
      <c r="J1549" s="2159"/>
      <c r="K1549" s="2159"/>
      <c r="L1549" s="2159"/>
      <c r="M1549" s="2159"/>
      <c r="N1549" s="2159"/>
      <c r="O1549" s="2159"/>
      <c r="P1549" s="2159"/>
      <c r="Q1549" s="2159"/>
      <c r="R1549" s="2159"/>
    </row>
    <row r="1550" spans="2:18">
      <c r="B1550" s="2160" t="s">
        <v>1118</v>
      </c>
      <c r="C1550" s="2160"/>
      <c r="D1550" s="2160"/>
      <c r="E1550" s="2160"/>
      <c r="F1550" s="2160"/>
      <c r="G1550" s="2160"/>
      <c r="H1550" s="2160"/>
      <c r="I1550" s="2160"/>
      <c r="J1550" s="2160"/>
      <c r="K1550" s="2160"/>
      <c r="L1550" s="2160"/>
      <c r="M1550" s="2160"/>
      <c r="N1550" s="2160"/>
      <c r="O1550" s="2160"/>
      <c r="P1550" s="2160"/>
      <c r="Q1550" s="2160"/>
      <c r="R1550" s="2160"/>
    </row>
    <row r="1551" spans="2:18">
      <c r="B1551" s="612"/>
      <c r="C1551" s="2210"/>
      <c r="D1551" s="2210"/>
      <c r="E1551" s="2210"/>
      <c r="F1551" s="2210"/>
      <c r="G1551" s="2210"/>
      <c r="H1551" s="2210"/>
      <c r="I1551" s="2210"/>
      <c r="J1551" s="2210"/>
      <c r="K1551" s="2210"/>
      <c r="L1551" s="2210"/>
      <c r="M1551" s="2210"/>
      <c r="N1551" s="2210"/>
      <c r="O1551" s="2210"/>
      <c r="P1551" s="2210"/>
      <c r="Q1551" s="2210"/>
    </row>
    <row r="1552" spans="2:18">
      <c r="B1552" s="583"/>
      <c r="C1552" s="2161" t="s">
        <v>1172</v>
      </c>
      <c r="D1552" s="2162"/>
      <c r="E1552" s="2162"/>
      <c r="F1552" s="2162"/>
      <c r="G1552" s="2162"/>
      <c r="H1552" s="2162"/>
      <c r="I1552" s="2162"/>
      <c r="J1552" s="2163"/>
      <c r="K1552" s="2161" t="s">
        <v>375</v>
      </c>
      <c r="L1552" s="2162"/>
      <c r="M1552" s="2162"/>
      <c r="N1552" s="2162"/>
      <c r="O1552" s="2162"/>
      <c r="P1552" s="2162"/>
      <c r="Q1552" s="2162"/>
      <c r="R1552" s="2163"/>
    </row>
    <row r="1553" spans="2:18">
      <c r="B1553" s="57"/>
      <c r="C1553" s="585">
        <v>2014</v>
      </c>
      <c r="D1553" s="586">
        <v>2015</v>
      </c>
      <c r="E1553" s="586">
        <v>2016</v>
      </c>
      <c r="F1553" s="586">
        <v>2017</v>
      </c>
      <c r="G1553" s="586">
        <v>2018</v>
      </c>
      <c r="H1553" s="586">
        <v>2019</v>
      </c>
      <c r="I1553" s="586">
        <v>2020</v>
      </c>
      <c r="J1553" s="586">
        <v>2021</v>
      </c>
      <c r="K1553" s="587">
        <v>2014</v>
      </c>
      <c r="L1553" s="588">
        <v>2015</v>
      </c>
      <c r="M1553" s="588">
        <v>2016</v>
      </c>
      <c r="N1553" s="588">
        <v>2017</v>
      </c>
      <c r="O1553" s="588">
        <v>2018</v>
      </c>
      <c r="P1553" s="588">
        <v>2019</v>
      </c>
      <c r="Q1553" s="588">
        <v>2020</v>
      </c>
      <c r="R1553" s="848">
        <v>2021</v>
      </c>
    </row>
    <row r="1554" spans="2:18">
      <c r="B1554" s="589" t="s">
        <v>1038</v>
      </c>
      <c r="C1554" s="614">
        <v>4.1459240821406302</v>
      </c>
      <c r="D1554" s="615">
        <f t="shared" ref="D1554:J1563" si="632">IF(ISNUMBER((D1508/C1508-1)*100),(D1508/C1508-1)*100,"0")</f>
        <v>4.2422884457390397</v>
      </c>
      <c r="E1554" s="615">
        <f t="shared" si="632"/>
        <v>6.7707960163358782</v>
      </c>
      <c r="F1554" s="615">
        <f t="shared" si="632"/>
        <v>5.8448530398604204</v>
      </c>
      <c r="G1554" s="615">
        <f t="shared" si="632"/>
        <v>3.8800481836049006</v>
      </c>
      <c r="H1554" s="615">
        <f t="shared" si="632"/>
        <v>3.3811412877631897</v>
      </c>
      <c r="I1554" s="615">
        <f t="shared" si="632"/>
        <v>-1.0980577365842126</v>
      </c>
      <c r="J1554" s="615">
        <f t="shared" si="632"/>
        <v>6.3869157762788786</v>
      </c>
      <c r="K1554" s="614">
        <v>6.3326920118917576</v>
      </c>
      <c r="L1554" s="615">
        <f t="shared" ref="L1554:R1563" si="633">IF(ISNUMBER((L1508/K1508-1)*100),(L1508/K1508-1)*100,"0")</f>
        <v>2.7489322750544831</v>
      </c>
      <c r="M1554" s="615">
        <f t="shared" si="633"/>
        <v>12.441983645792698</v>
      </c>
      <c r="N1554" s="615">
        <f t="shared" si="633"/>
        <v>27.22089032660633</v>
      </c>
      <c r="O1554" s="615">
        <f t="shared" si="633"/>
        <v>29.683774059792523</v>
      </c>
      <c r="P1554" s="615">
        <f t="shared" si="633"/>
        <v>-34.722123730861064</v>
      </c>
      <c r="Q1554" s="615">
        <f t="shared" si="633"/>
        <v>65.168220255803817</v>
      </c>
      <c r="R1554" s="616">
        <f t="shared" si="633"/>
        <v>-42.267110990081179</v>
      </c>
    </row>
    <row r="1555" spans="2:18">
      <c r="B1555" s="595" t="s">
        <v>1039</v>
      </c>
      <c r="C1555" s="608">
        <v>0</v>
      </c>
      <c r="D1555" s="609">
        <f t="shared" si="632"/>
        <v>3.2934131736526817</v>
      </c>
      <c r="E1555" s="609">
        <f t="shared" si="632"/>
        <v>16.521739130434799</v>
      </c>
      <c r="F1555" s="609">
        <f t="shared" si="632"/>
        <v>-9.9502487562189152</v>
      </c>
      <c r="G1555" s="609">
        <f t="shared" si="632"/>
        <v>5.5248618784530468</v>
      </c>
      <c r="H1555" s="609">
        <f t="shared" si="632"/>
        <v>0.78534031413612926</v>
      </c>
      <c r="I1555" s="609">
        <f t="shared" si="632"/>
        <v>-1.0389610389610393</v>
      </c>
      <c r="J1555" s="609">
        <f t="shared" si="632"/>
        <v>1.8372703412073532</v>
      </c>
      <c r="K1555" s="608">
        <v>0</v>
      </c>
      <c r="L1555" s="609">
        <f t="shared" si="633"/>
        <v>80.378973105134463</v>
      </c>
      <c r="M1555" s="609">
        <f t="shared" si="633"/>
        <v>3.3096125607138926</v>
      </c>
      <c r="N1555" s="609">
        <f t="shared" si="633"/>
        <v>23.616881696916671</v>
      </c>
      <c r="O1555" s="609">
        <f t="shared" si="633"/>
        <v>-6.102954183619314</v>
      </c>
      <c r="P1555" s="609">
        <f t="shared" si="633"/>
        <v>40.278824415975876</v>
      </c>
      <c r="Q1555" s="609">
        <f t="shared" si="633"/>
        <v>5.3988718775181299</v>
      </c>
      <c r="R1555" s="603">
        <f t="shared" si="633"/>
        <v>7.6261467889908285</v>
      </c>
    </row>
    <row r="1556" spans="2:18">
      <c r="B1556" s="595" t="s">
        <v>1040</v>
      </c>
      <c r="C1556" s="608">
        <v>13.948919449901759</v>
      </c>
      <c r="D1556" s="609">
        <f t="shared" si="632"/>
        <v>1.0344827586206806</v>
      </c>
      <c r="E1556" s="609">
        <f t="shared" si="632"/>
        <v>6.6552901023890776</v>
      </c>
      <c r="F1556" s="609">
        <f t="shared" si="632"/>
        <v>19.36</v>
      </c>
      <c r="G1556" s="609">
        <f t="shared" si="632"/>
        <v>7.2721179624664956</v>
      </c>
      <c r="H1556" s="609">
        <f t="shared" si="632"/>
        <v>5.7482036863480079</v>
      </c>
      <c r="I1556" s="609">
        <f t="shared" si="632"/>
        <v>1.5066469719350106</v>
      </c>
      <c r="J1556" s="609">
        <f t="shared" si="632"/>
        <v>4.5110593713620473</v>
      </c>
      <c r="K1556" s="608">
        <v>60.435571687840294</v>
      </c>
      <c r="L1556" s="609">
        <f t="shared" si="633"/>
        <v>11.538461538461542</v>
      </c>
      <c r="M1556" s="609">
        <f t="shared" si="633"/>
        <v>-12.299465240641705</v>
      </c>
      <c r="N1556" s="609">
        <f t="shared" si="633"/>
        <v>16.442388561816657</v>
      </c>
      <c r="O1556" s="609">
        <f t="shared" si="633"/>
        <v>57.484651498736007</v>
      </c>
      <c r="P1556" s="609">
        <f t="shared" si="633"/>
        <v>62.816029352748927</v>
      </c>
      <c r="Q1556" s="609">
        <f t="shared" si="633"/>
        <v>25.658450704225345</v>
      </c>
      <c r="R1556" s="603">
        <f t="shared" si="633"/>
        <v>19.67663294757196</v>
      </c>
    </row>
    <row r="1557" spans="2:18">
      <c r="B1557" s="595" t="s">
        <v>1041</v>
      </c>
      <c r="C1557" s="608">
        <v>1.0452618085001408</v>
      </c>
      <c r="D1557" s="609">
        <f t="shared" si="632"/>
        <v>-1.1211953634126082</v>
      </c>
      <c r="E1557" s="609">
        <f t="shared" si="632"/>
        <v>-1.2216385748280989</v>
      </c>
      <c r="F1557" s="609">
        <f t="shared" si="632"/>
        <v>-2.5367749097973902</v>
      </c>
      <c r="G1557" s="609">
        <f t="shared" si="632"/>
        <v>-5.6954094999506211E-3</v>
      </c>
      <c r="H1557" s="609">
        <f t="shared" si="632"/>
        <v>-2.291963319473711</v>
      </c>
      <c r="I1557" s="609">
        <f t="shared" si="632"/>
        <v>-1.8350763060636766</v>
      </c>
      <c r="J1557" s="609">
        <f t="shared" si="632"/>
        <v>-4.5024287699378824</v>
      </c>
      <c r="K1557" s="608">
        <v>13.206751755381005</v>
      </c>
      <c r="L1557" s="609">
        <f t="shared" si="633"/>
        <v>3.7938109678213428</v>
      </c>
      <c r="M1557" s="609">
        <f t="shared" si="633"/>
        <v>-6.0070361689635421</v>
      </c>
      <c r="N1557" s="609">
        <f t="shared" si="633"/>
        <v>-2.7643392557179292</v>
      </c>
      <c r="O1557" s="609">
        <f t="shared" si="633"/>
        <v>77.46318064491193</v>
      </c>
      <c r="P1557" s="609">
        <f t="shared" si="633"/>
        <v>33.534800464543821</v>
      </c>
      <c r="Q1557" s="609">
        <f t="shared" si="633"/>
        <v>21.285365673036559</v>
      </c>
      <c r="R1557" s="603">
        <f t="shared" si="633"/>
        <v>38.369260193604823</v>
      </c>
    </row>
    <row r="1558" spans="2:18">
      <c r="B1558" s="595" t="s">
        <v>1042</v>
      </c>
      <c r="C1558" s="608">
        <v>-10.083559168925021</v>
      </c>
      <c r="D1558" s="609">
        <f t="shared" si="632"/>
        <v>0.16325505462764234</v>
      </c>
      <c r="E1558" s="609">
        <f t="shared" si="632"/>
        <v>-3.1469408224674034</v>
      </c>
      <c r="F1558" s="609">
        <f t="shared" si="632"/>
        <v>-1.3333333333333308</v>
      </c>
      <c r="G1558" s="609">
        <f t="shared" si="632"/>
        <v>-2.0204670690107562</v>
      </c>
      <c r="H1558" s="609">
        <f t="shared" si="632"/>
        <v>1.3658275307980805</v>
      </c>
      <c r="I1558" s="609">
        <f t="shared" si="632"/>
        <v>0.88507265521795553</v>
      </c>
      <c r="J1558" s="609">
        <f t="shared" si="632"/>
        <v>-0.589236611234778</v>
      </c>
      <c r="K1558" s="608">
        <v>0</v>
      </c>
      <c r="L1558" s="609" t="str">
        <f t="shared" si="633"/>
        <v>0</v>
      </c>
      <c r="M1558" s="609" t="str">
        <f t="shared" si="633"/>
        <v>0</v>
      </c>
      <c r="N1558" s="609" t="str">
        <f t="shared" si="633"/>
        <v>0</v>
      </c>
      <c r="O1558" s="609" t="str">
        <f t="shared" si="633"/>
        <v>0</v>
      </c>
      <c r="P1558" s="609" t="str">
        <f t="shared" si="633"/>
        <v>0</v>
      </c>
      <c r="Q1558" s="609" t="str">
        <f t="shared" si="633"/>
        <v>0</v>
      </c>
      <c r="R1558" s="603" t="str">
        <f t="shared" si="633"/>
        <v>0</v>
      </c>
    </row>
    <row r="1559" spans="2:18">
      <c r="B1559" s="595" t="s">
        <v>1043</v>
      </c>
      <c r="C1559" s="608">
        <v>5.4463045544264874</v>
      </c>
      <c r="D1559" s="609">
        <f t="shared" si="632"/>
        <v>2.7246256239600752</v>
      </c>
      <c r="E1559" s="609">
        <f t="shared" si="632"/>
        <v>2.7670918539515421</v>
      </c>
      <c r="F1559" s="609">
        <f t="shared" si="632"/>
        <v>3.1654298285939353</v>
      </c>
      <c r="G1559" s="609">
        <f t="shared" si="632"/>
        <v>2.9537207969953405</v>
      </c>
      <c r="H1559" s="609">
        <f t="shared" si="632"/>
        <v>2.2011995300809994</v>
      </c>
      <c r="I1559" s="609">
        <f t="shared" si="632"/>
        <v>-1.427793574928915</v>
      </c>
      <c r="J1559" s="609">
        <f t="shared" si="632"/>
        <v>-1.6387405634321506</v>
      </c>
      <c r="K1559" s="608">
        <v>10.049506110439808</v>
      </c>
      <c r="L1559" s="609">
        <f t="shared" si="633"/>
        <v>-3.5191347247653382</v>
      </c>
      <c r="M1559" s="609">
        <f t="shared" si="633"/>
        <v>14.865512414723646</v>
      </c>
      <c r="N1559" s="609">
        <f t="shared" si="633"/>
        <v>10.746024514351271</v>
      </c>
      <c r="O1559" s="609">
        <f t="shared" si="633"/>
        <v>8.0106663494518227</v>
      </c>
      <c r="P1559" s="609">
        <f t="shared" si="633"/>
        <v>33.113831808294862</v>
      </c>
      <c r="Q1559" s="609">
        <f t="shared" si="633"/>
        <v>17.937699730073533</v>
      </c>
      <c r="R1559" s="603">
        <f t="shared" si="633"/>
        <v>34.42230260513719</v>
      </c>
    </row>
    <row r="1560" spans="2:18">
      <c r="B1560" s="595" t="s">
        <v>1044</v>
      </c>
      <c r="C1560" s="608">
        <v>0.21358393848782115</v>
      </c>
      <c r="D1560" s="609">
        <f t="shared" si="632"/>
        <v>4.6035805626598592</v>
      </c>
      <c r="E1560" s="609">
        <f t="shared" si="632"/>
        <v>7.8647106764466068</v>
      </c>
      <c r="F1560" s="609">
        <f t="shared" si="632"/>
        <v>-2.0778239516433539</v>
      </c>
      <c r="G1560" s="609">
        <f t="shared" si="632"/>
        <v>3.4722222222222099</v>
      </c>
      <c r="H1560" s="609">
        <f t="shared" si="632"/>
        <v>4.7352721849366119</v>
      </c>
      <c r="I1560" s="609">
        <f t="shared" si="632"/>
        <v>-4.0583837664649458</v>
      </c>
      <c r="J1560" s="609">
        <f t="shared" si="632"/>
        <v>-1.8181818181818188</v>
      </c>
      <c r="K1560" s="608">
        <v>15.825278110271501</v>
      </c>
      <c r="L1560" s="609">
        <f t="shared" si="633"/>
        <v>-0.85122206821947044</v>
      </c>
      <c r="M1560" s="609">
        <f t="shared" si="633"/>
        <v>16.198191563356666</v>
      </c>
      <c r="N1560" s="609">
        <f t="shared" si="633"/>
        <v>3.6384976525821511</v>
      </c>
      <c r="O1560" s="609">
        <f t="shared" si="633"/>
        <v>7.1381653454133609</v>
      </c>
      <c r="P1560" s="609">
        <f t="shared" si="633"/>
        <v>-7.4109700538037888</v>
      </c>
      <c r="Q1560" s="609">
        <f t="shared" si="633"/>
        <v>9.4340807379669442</v>
      </c>
      <c r="R1560" s="603">
        <f t="shared" si="633"/>
        <v>0.3995597540047191</v>
      </c>
    </row>
    <row r="1561" spans="2:18">
      <c r="B1561" s="595" t="s">
        <v>1061</v>
      </c>
      <c r="C1561" s="608">
        <v>0</v>
      </c>
      <c r="D1561" s="609" t="str">
        <f t="shared" si="632"/>
        <v>0</v>
      </c>
      <c r="E1561" s="609">
        <f t="shared" si="632"/>
        <v>-8.5000000000000071</v>
      </c>
      <c r="F1561" s="609">
        <f t="shared" si="632"/>
        <v>-3.2786885245901676</v>
      </c>
      <c r="G1561" s="609">
        <f t="shared" si="632"/>
        <v>0.56497175141243527</v>
      </c>
      <c r="H1561" s="609">
        <f t="shared" si="632"/>
        <v>-5.0561797752808886</v>
      </c>
      <c r="I1561" s="609">
        <f t="shared" si="632"/>
        <v>0</v>
      </c>
      <c r="J1561" s="609">
        <f t="shared" si="632"/>
        <v>1.1834319526627279</v>
      </c>
      <c r="K1561" s="608">
        <v>0</v>
      </c>
      <c r="L1561" s="609" t="str">
        <f t="shared" si="633"/>
        <v>0</v>
      </c>
      <c r="M1561" s="609" t="str">
        <f t="shared" si="633"/>
        <v>0</v>
      </c>
      <c r="N1561" s="609">
        <f t="shared" si="633"/>
        <v>-2.0446313821708029</v>
      </c>
      <c r="O1561" s="609">
        <f t="shared" si="633"/>
        <v>19.024332061068684</v>
      </c>
      <c r="P1561" s="609">
        <f t="shared" si="633"/>
        <v>0.29061028159134139</v>
      </c>
      <c r="Q1561" s="609">
        <f t="shared" si="633"/>
        <v>9.7521982414068731</v>
      </c>
      <c r="R1561" s="603">
        <f t="shared" si="633"/>
        <v>4.8525127458120876</v>
      </c>
    </row>
    <row r="1562" spans="2:18">
      <c r="B1562" s="595" t="s">
        <v>1047</v>
      </c>
      <c r="C1562" s="608">
        <v>0</v>
      </c>
      <c r="D1562" s="609">
        <f t="shared" si="632"/>
        <v>7.556536127964697</v>
      </c>
      <c r="E1562" s="609">
        <f t="shared" si="632"/>
        <v>2.5384615384615339</v>
      </c>
      <c r="F1562" s="609">
        <f t="shared" si="632"/>
        <v>-0.20005001250312793</v>
      </c>
      <c r="G1562" s="609">
        <f t="shared" si="632"/>
        <v>8.6193936356802716</v>
      </c>
      <c r="H1562" s="609">
        <f t="shared" si="632"/>
        <v>5.5824682814302085</v>
      </c>
      <c r="I1562" s="609">
        <f t="shared" si="632"/>
        <v>2.1848372296263907</v>
      </c>
      <c r="J1562" s="609">
        <f t="shared" si="632"/>
        <v>3.9127645926876342</v>
      </c>
      <c r="K1562" s="608">
        <v>0</v>
      </c>
      <c r="L1562" s="609" t="str">
        <f t="shared" si="633"/>
        <v>0</v>
      </c>
      <c r="M1562" s="609">
        <f t="shared" si="633"/>
        <v>2.4991261796574848</v>
      </c>
      <c r="N1562" s="609">
        <f t="shared" si="633"/>
        <v>5.5059348153977172</v>
      </c>
      <c r="O1562" s="609">
        <f t="shared" si="633"/>
        <v>7.0037169175689584</v>
      </c>
      <c r="P1562" s="609">
        <f t="shared" si="633"/>
        <v>45.038744380031837</v>
      </c>
      <c r="Q1562" s="609">
        <f t="shared" si="633"/>
        <v>20.395690656413954</v>
      </c>
      <c r="R1562" s="603">
        <f t="shared" si="633"/>
        <v>12.404529366367733</v>
      </c>
    </row>
    <row r="1563" spans="2:18">
      <c r="B1563" s="595" t="s">
        <v>1048</v>
      </c>
      <c r="C1563" s="608">
        <v>1.4934660858743014</v>
      </c>
      <c r="D1563" s="609">
        <f t="shared" si="632"/>
        <v>-11.158798283261795</v>
      </c>
      <c r="E1563" s="609">
        <f t="shared" si="632"/>
        <v>4.209799861973762</v>
      </c>
      <c r="F1563" s="609">
        <f t="shared" si="632"/>
        <v>5.2980132450331174</v>
      </c>
      <c r="G1563" s="609">
        <f t="shared" si="632"/>
        <v>3.7106918238993591</v>
      </c>
      <c r="H1563" s="609">
        <f t="shared" si="632"/>
        <v>2.1224984839296468</v>
      </c>
      <c r="I1563" s="609">
        <f t="shared" si="632"/>
        <v>3.2660332541567749</v>
      </c>
      <c r="J1563" s="609">
        <f t="shared" si="632"/>
        <v>0</v>
      </c>
      <c r="K1563" s="608">
        <v>-0.26966550002867085</v>
      </c>
      <c r="L1563" s="609">
        <f t="shared" si="633"/>
        <v>31.141410654700262</v>
      </c>
      <c r="M1563" s="609">
        <f t="shared" si="633"/>
        <v>2.9129194998903207</v>
      </c>
      <c r="N1563" s="609">
        <f t="shared" si="633"/>
        <v>8.0267701095528388</v>
      </c>
      <c r="O1563" s="609">
        <f t="shared" si="633"/>
        <v>17.536106068976419</v>
      </c>
      <c r="P1563" s="609">
        <f t="shared" si="633"/>
        <v>25.008393204861346</v>
      </c>
      <c r="Q1563" s="609">
        <f t="shared" si="633"/>
        <v>31.516046730226943</v>
      </c>
      <c r="R1563" s="603">
        <f t="shared" si="633"/>
        <v>24.159689605881152</v>
      </c>
    </row>
    <row r="1564" spans="2:18">
      <c r="B1564" s="595" t="s">
        <v>1049</v>
      </c>
      <c r="C1564" s="608">
        <v>8.2336706531738848</v>
      </c>
      <c r="D1564" s="609">
        <f t="shared" ref="D1564:J1570" si="634">IF(ISNUMBER((D1518/C1518-1)*100),(D1518/C1518-1)*100,"0")</f>
        <v>5.107132374523049</v>
      </c>
      <c r="E1564" s="609">
        <f t="shared" si="634"/>
        <v>6.7858140184306137</v>
      </c>
      <c r="F1564" s="609">
        <f t="shared" si="634"/>
        <v>3.5826359832636046</v>
      </c>
      <c r="G1564" s="609">
        <f t="shared" si="634"/>
        <v>-0.32819994950770148</v>
      </c>
      <c r="H1564" s="609">
        <f t="shared" si="634"/>
        <v>2.7355623100304038</v>
      </c>
      <c r="I1564" s="609">
        <f t="shared" si="634"/>
        <v>-2.4654832347148492E-2</v>
      </c>
      <c r="J1564" s="609">
        <f t="shared" si="634"/>
        <v>4.5129469790382348</v>
      </c>
      <c r="K1564" s="608">
        <v>0</v>
      </c>
      <c r="L1564" s="609" t="str">
        <f t="shared" ref="L1564:R1570" si="635">IF(ISNUMBER((L1518/K1518-1)*100),(L1518/K1518-1)*100,"0")</f>
        <v>0</v>
      </c>
      <c r="M1564" s="609" t="str">
        <f t="shared" si="635"/>
        <v>0</v>
      </c>
      <c r="N1564" s="609" t="str">
        <f t="shared" si="635"/>
        <v>0</v>
      </c>
      <c r="O1564" s="609" t="str">
        <f t="shared" si="635"/>
        <v>0</v>
      </c>
      <c r="P1564" s="609" t="str">
        <f t="shared" si="635"/>
        <v>0</v>
      </c>
      <c r="Q1564" s="609" t="str">
        <f t="shared" si="635"/>
        <v>0</v>
      </c>
      <c r="R1564" s="603" t="str">
        <f t="shared" si="635"/>
        <v>0</v>
      </c>
    </row>
    <row r="1565" spans="2:18">
      <c r="B1565" s="595" t="s">
        <v>1050</v>
      </c>
      <c r="C1565" s="608">
        <v>1.9186492709132874</v>
      </c>
      <c r="D1565" s="609">
        <f t="shared" si="634"/>
        <v>5.7228915662650426</v>
      </c>
      <c r="E1565" s="609">
        <f t="shared" si="634"/>
        <v>5.3418803418803451</v>
      </c>
      <c r="F1565" s="609">
        <f t="shared" si="634"/>
        <v>2.2988505747126409</v>
      </c>
      <c r="G1565" s="609">
        <f t="shared" si="634"/>
        <v>5.0892267019167381</v>
      </c>
      <c r="H1565" s="609">
        <f t="shared" si="634"/>
        <v>7.1698113207547154</v>
      </c>
      <c r="I1565" s="609">
        <f t="shared" si="634"/>
        <v>0.35211267605634866</v>
      </c>
      <c r="J1565" s="609">
        <f t="shared" si="634"/>
        <v>3.2163742690058506</v>
      </c>
      <c r="K1565" s="608">
        <v>0</v>
      </c>
      <c r="L1565" s="609" t="str">
        <f t="shared" si="635"/>
        <v>0</v>
      </c>
      <c r="M1565" s="609" t="str">
        <f t="shared" si="635"/>
        <v>0</v>
      </c>
      <c r="N1565" s="609" t="str">
        <f t="shared" si="635"/>
        <v>0</v>
      </c>
      <c r="O1565" s="609" t="str">
        <f t="shared" si="635"/>
        <v>0</v>
      </c>
      <c r="P1565" s="609" t="str">
        <f t="shared" si="635"/>
        <v>0</v>
      </c>
      <c r="Q1565" s="609" t="str">
        <f t="shared" si="635"/>
        <v>0</v>
      </c>
      <c r="R1565" s="603" t="str">
        <f t="shared" si="635"/>
        <v>0</v>
      </c>
    </row>
    <row r="1566" spans="2:18">
      <c r="B1566" s="595" t="s">
        <v>1051</v>
      </c>
      <c r="C1566" s="608">
        <v>15.280898876404494</v>
      </c>
      <c r="D1566" s="609">
        <f t="shared" si="634"/>
        <v>2.5341130604288553</v>
      </c>
      <c r="E1566" s="609">
        <f t="shared" si="634"/>
        <v>4.7528517110266177</v>
      </c>
      <c r="F1566" s="609">
        <f t="shared" si="634"/>
        <v>25.226860254083473</v>
      </c>
      <c r="G1566" s="609">
        <f t="shared" si="634"/>
        <v>3.1884057971014457</v>
      </c>
      <c r="H1566" s="609">
        <f t="shared" si="634"/>
        <v>6.0393258426966412</v>
      </c>
      <c r="I1566" s="609">
        <f t="shared" si="634"/>
        <v>4.7682119205298079</v>
      </c>
      <c r="J1566" s="609">
        <f t="shared" si="634"/>
        <v>0.25284450063212116</v>
      </c>
      <c r="K1566" s="608">
        <v>12.580087460591885</v>
      </c>
      <c r="L1566" s="609">
        <f t="shared" si="635"/>
        <v>10.320686540198732</v>
      </c>
      <c r="M1566" s="609">
        <f t="shared" si="635"/>
        <v>9.5189355168884262</v>
      </c>
      <c r="N1566" s="609">
        <f t="shared" si="635"/>
        <v>8.9607476635513947</v>
      </c>
      <c r="O1566" s="609">
        <f t="shared" si="635"/>
        <v>16.986310769547465</v>
      </c>
      <c r="P1566" s="609">
        <f t="shared" si="635"/>
        <v>17.396914775060136</v>
      </c>
      <c r="Q1566" s="609">
        <f t="shared" si="635"/>
        <v>12.420684486635025</v>
      </c>
      <c r="R1566" s="603">
        <f t="shared" si="635"/>
        <v>5.2530998622283498</v>
      </c>
    </row>
    <row r="1567" spans="2:18">
      <c r="B1567" s="595" t="s">
        <v>1052</v>
      </c>
      <c r="C1567" s="608">
        <v>4.2073948151296108</v>
      </c>
      <c r="D1567" s="609">
        <f t="shared" si="634"/>
        <v>9.2395748160261526</v>
      </c>
      <c r="E1567" s="609">
        <f t="shared" si="634"/>
        <v>6.5494011976047872</v>
      </c>
      <c r="F1567" s="609">
        <f t="shared" si="634"/>
        <v>4.1798384264137844</v>
      </c>
      <c r="G1567" s="609">
        <f t="shared" si="634"/>
        <v>3.7424140256237193</v>
      </c>
      <c r="H1567" s="609">
        <f t="shared" si="634"/>
        <v>6.5973350666233221</v>
      </c>
      <c r="I1567" s="609">
        <f t="shared" si="634"/>
        <v>0.15243902439026069</v>
      </c>
      <c r="J1567" s="609">
        <f t="shared" si="634"/>
        <v>3.7442922374429255</v>
      </c>
      <c r="K1567" s="608">
        <v>24.820875129136532</v>
      </c>
      <c r="L1567" s="609">
        <f t="shared" si="635"/>
        <v>24.320162971385241</v>
      </c>
      <c r="M1567" s="609">
        <f t="shared" si="635"/>
        <v>11.78667378008118</v>
      </c>
      <c r="N1567" s="609">
        <f t="shared" si="635"/>
        <v>11.118307794576342</v>
      </c>
      <c r="O1567" s="609">
        <f t="shared" si="635"/>
        <v>8.1052889925144367</v>
      </c>
      <c r="P1567" s="609">
        <f t="shared" si="635"/>
        <v>19.771269652080136</v>
      </c>
      <c r="Q1567" s="609">
        <f t="shared" si="635"/>
        <v>5.4875014808672073</v>
      </c>
      <c r="R1567" s="603">
        <f t="shared" si="635"/>
        <v>15.811639451045556</v>
      </c>
    </row>
    <row r="1568" spans="2:18">
      <c r="B1568" s="595" t="s">
        <v>1053</v>
      </c>
      <c r="C1568" s="608">
        <v>24.974803467042928</v>
      </c>
      <c r="D1568" s="609">
        <f t="shared" si="634"/>
        <v>1.1290322580645107</v>
      </c>
      <c r="E1568" s="609">
        <f t="shared" si="634"/>
        <v>1.8341307814991881</v>
      </c>
      <c r="F1568" s="609">
        <f t="shared" si="634"/>
        <v>6.5779169929522485</v>
      </c>
      <c r="G1568" s="609">
        <f t="shared" si="634"/>
        <v>2.7185892725936744</v>
      </c>
      <c r="H1568" s="609">
        <f t="shared" si="634"/>
        <v>3.2904148783977183</v>
      </c>
      <c r="I1568" s="609">
        <f t="shared" si="634"/>
        <v>4.2243767313019376</v>
      </c>
      <c r="J1568" s="609">
        <f t="shared" si="634"/>
        <v>1.9269102990033371</v>
      </c>
      <c r="K1568" s="608">
        <v>20.376819197337113</v>
      </c>
      <c r="L1568" s="609">
        <f t="shared" si="635"/>
        <v>13.739339519855731</v>
      </c>
      <c r="M1568" s="609">
        <f t="shared" si="635"/>
        <v>19.290480280108333</v>
      </c>
      <c r="N1568" s="609">
        <f t="shared" si="635"/>
        <v>21.30198814864044</v>
      </c>
      <c r="O1568" s="609">
        <f t="shared" si="635"/>
        <v>13.705572168831459</v>
      </c>
      <c r="P1568" s="609">
        <f t="shared" si="635"/>
        <v>8.9538455361265701</v>
      </c>
      <c r="Q1568" s="609">
        <f t="shared" si="635"/>
        <v>13.054854342097988</v>
      </c>
      <c r="R1568" s="603">
        <f t="shared" si="635"/>
        <v>12.989764652193747</v>
      </c>
    </row>
    <row r="1569" spans="2:18">
      <c r="B1569" s="595" t="s">
        <v>1054</v>
      </c>
      <c r="C1569" s="608">
        <v>0</v>
      </c>
      <c r="D1569" s="609" t="str">
        <f t="shared" si="634"/>
        <v>0</v>
      </c>
      <c r="E1569" s="609" t="str">
        <f t="shared" si="634"/>
        <v>0</v>
      </c>
      <c r="F1569" s="609" t="str">
        <f t="shared" si="634"/>
        <v>0</v>
      </c>
      <c r="G1569" s="609" t="str">
        <f t="shared" si="634"/>
        <v>0</v>
      </c>
      <c r="H1569" s="609" t="str">
        <f t="shared" si="634"/>
        <v>0</v>
      </c>
      <c r="I1569" s="609" t="str">
        <f t="shared" si="634"/>
        <v>0</v>
      </c>
      <c r="J1569" s="609" t="str">
        <f t="shared" si="634"/>
        <v>0</v>
      </c>
      <c r="K1569" s="608">
        <v>0</v>
      </c>
      <c r="L1569" s="609" t="str">
        <f t="shared" si="635"/>
        <v>0</v>
      </c>
      <c r="M1569" s="609" t="str">
        <f t="shared" si="635"/>
        <v>0</v>
      </c>
      <c r="N1569" s="609" t="str">
        <f t="shared" si="635"/>
        <v>0</v>
      </c>
      <c r="O1569" s="609" t="str">
        <f t="shared" si="635"/>
        <v>0</v>
      </c>
      <c r="P1569" s="609" t="str">
        <f t="shared" si="635"/>
        <v>0</v>
      </c>
      <c r="Q1569" s="609" t="str">
        <f t="shared" si="635"/>
        <v>0</v>
      </c>
      <c r="R1569" s="603" t="str">
        <f t="shared" si="635"/>
        <v>0</v>
      </c>
    </row>
    <row r="1570" spans="2:18">
      <c r="B1570" s="604" t="s">
        <v>1055</v>
      </c>
      <c r="C1570" s="610">
        <v>1.3452914798206317</v>
      </c>
      <c r="D1570" s="617">
        <f t="shared" si="634"/>
        <v>0.91324200913243114</v>
      </c>
      <c r="E1570" s="617">
        <f t="shared" si="634"/>
        <v>3.3936651583710509</v>
      </c>
      <c r="F1570" s="617">
        <f t="shared" si="634"/>
        <v>2.6258205689277725</v>
      </c>
      <c r="G1570" s="617">
        <f t="shared" si="634"/>
        <v>1.4925373134328401</v>
      </c>
      <c r="H1570" s="617">
        <f t="shared" si="634"/>
        <v>3.9915966386554702</v>
      </c>
      <c r="I1570" s="617">
        <f t="shared" si="634"/>
        <v>0.80808080808081328</v>
      </c>
      <c r="J1570" s="617">
        <f t="shared" si="634"/>
        <v>-1.6032064128256529</v>
      </c>
      <c r="K1570" s="610">
        <v>5.2878317821440923</v>
      </c>
      <c r="L1570" s="617">
        <f t="shared" si="635"/>
        <v>2.3899947616553119</v>
      </c>
      <c r="M1570" s="617">
        <f t="shared" si="635"/>
        <v>5.0521199718616128</v>
      </c>
      <c r="N1570" s="617">
        <f t="shared" si="635"/>
        <v>3.7012235953004291</v>
      </c>
      <c r="O1570" s="617">
        <f t="shared" si="635"/>
        <v>10.208394481948924</v>
      </c>
      <c r="P1570" s="617">
        <f t="shared" si="635"/>
        <v>3.1053584744859863</v>
      </c>
      <c r="Q1570" s="617">
        <f t="shared" si="635"/>
        <v>-0.69742212119645597</v>
      </c>
      <c r="R1570" s="618">
        <f t="shared" si="635"/>
        <v>5.3116220996774377</v>
      </c>
    </row>
    <row r="1571" spans="2:18">
      <c r="B1571" s="57"/>
      <c r="C1571" s="582"/>
      <c r="D1571" s="582"/>
      <c r="E1571" s="582"/>
      <c r="F1571" s="582"/>
      <c r="G1571" s="582"/>
      <c r="H1571" s="582"/>
      <c r="I1571" s="582"/>
      <c r="J1571" s="582"/>
      <c r="K1571" s="582"/>
      <c r="L1571" s="582"/>
      <c r="M1571" s="582"/>
      <c r="N1571" s="582"/>
      <c r="O1571" s="582"/>
      <c r="P1571" s="582"/>
      <c r="Q1571" s="582"/>
    </row>
    <row r="1572" spans="2:18">
      <c r="B1572" s="2157" t="s">
        <v>1177</v>
      </c>
      <c r="C1572" s="2157"/>
      <c r="D1572" s="2157"/>
      <c r="E1572" s="2157"/>
      <c r="F1572" s="2157"/>
      <c r="G1572" s="2157"/>
      <c r="H1572" s="2157"/>
      <c r="I1572" s="2157"/>
      <c r="J1572" s="2157"/>
      <c r="K1572" s="2157"/>
      <c r="L1572" s="2157"/>
      <c r="M1572" s="2157"/>
      <c r="N1572" s="2157"/>
      <c r="O1572" s="2157"/>
      <c r="P1572" s="2157"/>
      <c r="Q1572" s="2157"/>
      <c r="R1572" s="2157"/>
    </row>
    <row r="1573" spans="2:18">
      <c r="B1573" s="57"/>
      <c r="C1573" s="582"/>
      <c r="D1573" s="582"/>
      <c r="E1573" s="582"/>
      <c r="F1573" s="582"/>
      <c r="G1573" s="582"/>
      <c r="H1573" s="582"/>
      <c r="I1573" s="582"/>
      <c r="J1573" s="582"/>
      <c r="K1573" s="582"/>
      <c r="L1573" s="609"/>
      <c r="M1573" s="582"/>
      <c r="N1573" s="582"/>
      <c r="O1573" s="582"/>
      <c r="P1573" s="582"/>
      <c r="Q1573" s="582"/>
    </row>
    <row r="1574" spans="2:18">
      <c r="B1574" s="583"/>
      <c r="C1574" s="2161" t="s">
        <v>372</v>
      </c>
      <c r="D1574" s="2162"/>
      <c r="E1574" s="2162"/>
      <c r="F1574" s="2162"/>
      <c r="G1574" s="2162"/>
      <c r="H1574" s="2162"/>
      <c r="I1574" s="2162"/>
      <c r="J1574" s="842"/>
      <c r="K1574" s="2161" t="s">
        <v>1174</v>
      </c>
      <c r="L1574" s="2162"/>
      <c r="M1574" s="2162"/>
      <c r="N1574" s="2162"/>
      <c r="O1574" s="2162"/>
      <c r="P1574" s="2162"/>
      <c r="Q1574" s="2162"/>
      <c r="R1574" s="2163"/>
    </row>
    <row r="1575" spans="2:18">
      <c r="B1575" s="57"/>
      <c r="C1575" s="585">
        <v>2014</v>
      </c>
      <c r="D1575" s="586">
        <v>2015</v>
      </c>
      <c r="E1575" s="586">
        <v>2016</v>
      </c>
      <c r="F1575" s="586">
        <v>2017</v>
      </c>
      <c r="G1575" s="586">
        <v>2018</v>
      </c>
      <c r="H1575" s="586">
        <v>2019</v>
      </c>
      <c r="I1575" s="586">
        <v>2020</v>
      </c>
      <c r="J1575" s="586">
        <v>2021</v>
      </c>
      <c r="K1575" s="587">
        <v>2014</v>
      </c>
      <c r="L1575" s="588">
        <v>2015</v>
      </c>
      <c r="M1575" s="588">
        <v>2016</v>
      </c>
      <c r="N1575" s="588">
        <v>2017</v>
      </c>
      <c r="O1575" s="588">
        <v>2018</v>
      </c>
      <c r="P1575" s="588">
        <v>2019</v>
      </c>
      <c r="Q1575" s="588">
        <v>2020</v>
      </c>
      <c r="R1575" s="848">
        <v>2021</v>
      </c>
    </row>
    <row r="1576" spans="2:18">
      <c r="B1576" s="589" t="s">
        <v>1038</v>
      </c>
      <c r="C1576" s="614" t="str">
        <f t="shared" ref="C1576:R1576" si="636">IF(ISNUMBER((C1530/B1530-1)*100),(C1530/B1530-1)*100,"0")</f>
        <v>0</v>
      </c>
      <c r="D1576" s="615" t="str">
        <f t="shared" si="636"/>
        <v>0</v>
      </c>
      <c r="E1576" s="615" t="str">
        <f t="shared" si="636"/>
        <v>0</v>
      </c>
      <c r="F1576" s="615" t="str">
        <f t="shared" si="636"/>
        <v>0</v>
      </c>
      <c r="G1576" s="615" t="str">
        <f t="shared" si="636"/>
        <v>0</v>
      </c>
      <c r="H1576" s="615" t="str">
        <f t="shared" si="636"/>
        <v>0</v>
      </c>
      <c r="I1576" s="615" t="str">
        <f t="shared" si="636"/>
        <v>0</v>
      </c>
      <c r="J1576" s="616" t="str">
        <f t="shared" si="636"/>
        <v>0</v>
      </c>
      <c r="K1576" s="615" t="str">
        <f t="shared" si="636"/>
        <v>0</v>
      </c>
      <c r="L1576" s="615" t="str">
        <f t="shared" si="636"/>
        <v>0</v>
      </c>
      <c r="M1576" s="615" t="str">
        <f t="shared" si="636"/>
        <v>0</v>
      </c>
      <c r="N1576" s="615" t="str">
        <f t="shared" si="636"/>
        <v>0</v>
      </c>
      <c r="O1576" s="615" t="str">
        <f t="shared" si="636"/>
        <v>0</v>
      </c>
      <c r="P1576" s="615" t="str">
        <f t="shared" si="636"/>
        <v>0</v>
      </c>
      <c r="Q1576" s="615" t="str">
        <f t="shared" si="636"/>
        <v>0</v>
      </c>
      <c r="R1576" s="616" t="str">
        <f t="shared" si="636"/>
        <v>0</v>
      </c>
    </row>
    <row r="1577" spans="2:18">
      <c r="B1577" s="595" t="s">
        <v>1039</v>
      </c>
      <c r="C1577" s="608" t="str">
        <f t="shared" ref="C1577:R1577" si="637">IF(ISNUMBER((C1531/B1531-1)*100),(C1531/B1531-1)*100,"0")</f>
        <v>0</v>
      </c>
      <c r="D1577" s="609" t="str">
        <f t="shared" si="637"/>
        <v>0</v>
      </c>
      <c r="E1577" s="609" t="str">
        <f t="shared" si="637"/>
        <v>0</v>
      </c>
      <c r="F1577" s="609" t="str">
        <f t="shared" si="637"/>
        <v>0</v>
      </c>
      <c r="G1577" s="609" t="str">
        <f t="shared" si="637"/>
        <v>0</v>
      </c>
      <c r="H1577" s="609" t="str">
        <f t="shared" si="637"/>
        <v>0</v>
      </c>
      <c r="I1577" s="609" t="str">
        <f t="shared" si="637"/>
        <v>0</v>
      </c>
      <c r="J1577" s="603" t="str">
        <f t="shared" si="637"/>
        <v>0</v>
      </c>
      <c r="K1577" s="609" t="str">
        <f t="shared" si="637"/>
        <v>0</v>
      </c>
      <c r="L1577" s="609" t="str">
        <f t="shared" si="637"/>
        <v>0</v>
      </c>
      <c r="M1577" s="609" t="str">
        <f t="shared" si="637"/>
        <v>0</v>
      </c>
      <c r="N1577" s="609" t="str">
        <f t="shared" si="637"/>
        <v>0</v>
      </c>
      <c r="O1577" s="609" t="str">
        <f t="shared" si="637"/>
        <v>0</v>
      </c>
      <c r="P1577" s="609" t="str">
        <f t="shared" si="637"/>
        <v>0</v>
      </c>
      <c r="Q1577" s="609" t="str">
        <f t="shared" si="637"/>
        <v>0</v>
      </c>
      <c r="R1577" s="603" t="str">
        <f t="shared" si="637"/>
        <v>0</v>
      </c>
    </row>
    <row r="1578" spans="2:18">
      <c r="B1578" s="595" t="s">
        <v>1040</v>
      </c>
      <c r="C1578" s="608" t="str">
        <f t="shared" ref="C1578:R1578" si="638">IF(ISNUMBER((C1532/B1532-1)*100),(C1532/B1532-1)*100,"0")</f>
        <v>0</v>
      </c>
      <c r="D1578" s="609" t="str">
        <f t="shared" si="638"/>
        <v>0</v>
      </c>
      <c r="E1578" s="609" t="str">
        <f t="shared" si="638"/>
        <v>0</v>
      </c>
      <c r="F1578" s="609" t="str">
        <f t="shared" si="638"/>
        <v>0</v>
      </c>
      <c r="G1578" s="609" t="str">
        <f t="shared" si="638"/>
        <v>0</v>
      </c>
      <c r="H1578" s="609" t="str">
        <f t="shared" si="638"/>
        <v>0</v>
      </c>
      <c r="I1578" s="609" t="str">
        <f t="shared" si="638"/>
        <v>0</v>
      </c>
      <c r="J1578" s="603" t="str">
        <f t="shared" si="638"/>
        <v>0</v>
      </c>
      <c r="K1578" s="609" t="str">
        <f t="shared" si="638"/>
        <v>0</v>
      </c>
      <c r="L1578" s="609" t="str">
        <f t="shared" si="638"/>
        <v>0</v>
      </c>
      <c r="M1578" s="609" t="str">
        <f t="shared" si="638"/>
        <v>0</v>
      </c>
      <c r="N1578" s="609" t="str">
        <f t="shared" si="638"/>
        <v>0</v>
      </c>
      <c r="O1578" s="609" t="str">
        <f t="shared" si="638"/>
        <v>0</v>
      </c>
      <c r="P1578" s="609" t="str">
        <f t="shared" si="638"/>
        <v>0</v>
      </c>
      <c r="Q1578" s="609" t="str">
        <f t="shared" si="638"/>
        <v>0</v>
      </c>
      <c r="R1578" s="603" t="str">
        <f t="shared" si="638"/>
        <v>0</v>
      </c>
    </row>
    <row r="1579" spans="2:18">
      <c r="B1579" s="595" t="s">
        <v>1041</v>
      </c>
      <c r="C1579" s="608" t="str">
        <f t="shared" ref="C1579:R1579" si="639">IF(ISNUMBER((C1533/B1533-1)*100),(C1533/B1533-1)*100,"0")</f>
        <v>0</v>
      </c>
      <c r="D1579" s="609" t="str">
        <f t="shared" si="639"/>
        <v>0</v>
      </c>
      <c r="E1579" s="609" t="str">
        <f t="shared" si="639"/>
        <v>0</v>
      </c>
      <c r="F1579" s="609" t="str">
        <f t="shared" si="639"/>
        <v>0</v>
      </c>
      <c r="G1579" s="609" t="str">
        <f t="shared" si="639"/>
        <v>0</v>
      </c>
      <c r="H1579" s="609" t="str">
        <f t="shared" si="639"/>
        <v>0</v>
      </c>
      <c r="I1579" s="609" t="str">
        <f t="shared" si="639"/>
        <v>0</v>
      </c>
      <c r="J1579" s="603" t="str">
        <f t="shared" si="639"/>
        <v>0</v>
      </c>
      <c r="K1579" s="609" t="str">
        <f t="shared" si="639"/>
        <v>0</v>
      </c>
      <c r="L1579" s="609" t="str">
        <f t="shared" si="639"/>
        <v>0</v>
      </c>
      <c r="M1579" s="609" t="str">
        <f t="shared" si="639"/>
        <v>0</v>
      </c>
      <c r="N1579" s="609" t="str">
        <f t="shared" si="639"/>
        <v>0</v>
      </c>
      <c r="O1579" s="609" t="str">
        <f t="shared" si="639"/>
        <v>0</v>
      </c>
      <c r="P1579" s="609" t="str">
        <f t="shared" si="639"/>
        <v>0</v>
      </c>
      <c r="Q1579" s="609" t="str">
        <f t="shared" si="639"/>
        <v>0</v>
      </c>
      <c r="R1579" s="603" t="str">
        <f t="shared" si="639"/>
        <v>0</v>
      </c>
    </row>
    <row r="1580" spans="2:18">
      <c r="B1580" s="595" t="s">
        <v>1042</v>
      </c>
      <c r="C1580" s="608" t="str">
        <f t="shared" ref="C1580:R1580" si="640">IF(ISNUMBER((C1534/B1534-1)*100),(C1534/B1534-1)*100,"0")</f>
        <v>0</v>
      </c>
      <c r="D1580" s="609" t="str">
        <f t="shared" si="640"/>
        <v>0</v>
      </c>
      <c r="E1580" s="609" t="str">
        <f t="shared" si="640"/>
        <v>0</v>
      </c>
      <c r="F1580" s="609" t="str">
        <f t="shared" si="640"/>
        <v>0</v>
      </c>
      <c r="G1580" s="609" t="str">
        <f t="shared" si="640"/>
        <v>0</v>
      </c>
      <c r="H1580" s="609" t="str">
        <f t="shared" si="640"/>
        <v>0</v>
      </c>
      <c r="I1580" s="609" t="str">
        <f t="shared" si="640"/>
        <v>0</v>
      </c>
      <c r="J1580" s="603" t="str">
        <f t="shared" si="640"/>
        <v>0</v>
      </c>
      <c r="K1580" s="609" t="str">
        <f t="shared" si="640"/>
        <v>0</v>
      </c>
      <c r="L1580" s="609" t="str">
        <f t="shared" si="640"/>
        <v>0</v>
      </c>
      <c r="M1580" s="609" t="str">
        <f t="shared" si="640"/>
        <v>0</v>
      </c>
      <c r="N1580" s="609" t="str">
        <f t="shared" si="640"/>
        <v>0</v>
      </c>
      <c r="O1580" s="609" t="str">
        <f t="shared" si="640"/>
        <v>0</v>
      </c>
      <c r="P1580" s="609" t="str">
        <f t="shared" si="640"/>
        <v>0</v>
      </c>
      <c r="Q1580" s="609" t="str">
        <f t="shared" si="640"/>
        <v>0</v>
      </c>
      <c r="R1580" s="603" t="str">
        <f t="shared" si="640"/>
        <v>0</v>
      </c>
    </row>
    <row r="1581" spans="2:18">
      <c r="B1581" s="595" t="s">
        <v>1043</v>
      </c>
      <c r="C1581" s="608" t="str">
        <f t="shared" ref="C1581:R1581" si="641">IF(ISNUMBER((C1535/B1535-1)*100),(C1535/B1535-1)*100,"0")</f>
        <v>0</v>
      </c>
      <c r="D1581" s="609" t="str">
        <f t="shared" si="641"/>
        <v>0</v>
      </c>
      <c r="E1581" s="609" t="str">
        <f t="shared" si="641"/>
        <v>0</v>
      </c>
      <c r="F1581" s="609" t="str">
        <f t="shared" si="641"/>
        <v>0</v>
      </c>
      <c r="G1581" s="609" t="str">
        <f t="shared" si="641"/>
        <v>0</v>
      </c>
      <c r="H1581" s="609" t="str">
        <f t="shared" si="641"/>
        <v>0</v>
      </c>
      <c r="I1581" s="609" t="str">
        <f t="shared" si="641"/>
        <v>0</v>
      </c>
      <c r="J1581" s="603" t="str">
        <f t="shared" si="641"/>
        <v>0</v>
      </c>
      <c r="K1581" s="609" t="str">
        <f t="shared" si="641"/>
        <v>0</v>
      </c>
      <c r="L1581" s="609" t="str">
        <f t="shared" si="641"/>
        <v>0</v>
      </c>
      <c r="M1581" s="609" t="str">
        <f t="shared" si="641"/>
        <v>0</v>
      </c>
      <c r="N1581" s="609" t="str">
        <f t="shared" si="641"/>
        <v>0</v>
      </c>
      <c r="O1581" s="609" t="str">
        <f t="shared" si="641"/>
        <v>0</v>
      </c>
      <c r="P1581" s="609" t="str">
        <f t="shared" si="641"/>
        <v>0</v>
      </c>
      <c r="Q1581" s="609" t="str">
        <f t="shared" si="641"/>
        <v>0</v>
      </c>
      <c r="R1581" s="603" t="str">
        <f t="shared" si="641"/>
        <v>0</v>
      </c>
    </row>
    <row r="1582" spans="2:18">
      <c r="B1582" s="595" t="s">
        <v>1044</v>
      </c>
      <c r="C1582" s="608" t="str">
        <f t="shared" ref="C1582:R1582" si="642">IF(ISNUMBER((C1536/B1536-1)*100),(C1536/B1536-1)*100,"0")</f>
        <v>0</v>
      </c>
      <c r="D1582" s="609" t="str">
        <f t="shared" si="642"/>
        <v>0</v>
      </c>
      <c r="E1582" s="609" t="str">
        <f t="shared" si="642"/>
        <v>0</v>
      </c>
      <c r="F1582" s="609" t="str">
        <f t="shared" si="642"/>
        <v>0</v>
      </c>
      <c r="G1582" s="609" t="str">
        <f t="shared" si="642"/>
        <v>0</v>
      </c>
      <c r="H1582" s="609" t="str">
        <f t="shared" si="642"/>
        <v>0</v>
      </c>
      <c r="I1582" s="609" t="str">
        <f t="shared" si="642"/>
        <v>0</v>
      </c>
      <c r="J1582" s="603" t="str">
        <f t="shared" si="642"/>
        <v>0</v>
      </c>
      <c r="K1582" s="609" t="str">
        <f t="shared" si="642"/>
        <v>0</v>
      </c>
      <c r="L1582" s="609" t="str">
        <f t="shared" si="642"/>
        <v>0</v>
      </c>
      <c r="M1582" s="609" t="str">
        <f t="shared" si="642"/>
        <v>0</v>
      </c>
      <c r="N1582" s="609" t="str">
        <f t="shared" si="642"/>
        <v>0</v>
      </c>
      <c r="O1582" s="609" t="str">
        <f t="shared" si="642"/>
        <v>0</v>
      </c>
      <c r="P1582" s="609" t="str">
        <f t="shared" si="642"/>
        <v>0</v>
      </c>
      <c r="Q1582" s="609" t="str">
        <f t="shared" si="642"/>
        <v>0</v>
      </c>
      <c r="R1582" s="603" t="str">
        <f t="shared" si="642"/>
        <v>0</v>
      </c>
    </row>
    <row r="1583" spans="2:18">
      <c r="B1583" s="595" t="s">
        <v>1061</v>
      </c>
      <c r="C1583" s="608" t="str">
        <f t="shared" ref="C1583:R1583" si="643">IF(ISNUMBER((C1537/B1537-1)*100),(C1537/B1537-1)*100,"0")</f>
        <v>0</v>
      </c>
      <c r="D1583" s="609" t="str">
        <f t="shared" si="643"/>
        <v>0</v>
      </c>
      <c r="E1583" s="609">
        <f t="shared" si="643"/>
        <v>3.1016949152542272</v>
      </c>
      <c r="F1583" s="609">
        <f t="shared" si="643"/>
        <v>-5.8359362156830574</v>
      </c>
      <c r="G1583" s="609">
        <f t="shared" si="643"/>
        <v>21.403631284916202</v>
      </c>
      <c r="H1583" s="609">
        <f t="shared" si="643"/>
        <v>-15.214265171124531</v>
      </c>
      <c r="I1583" s="609">
        <f t="shared" si="643"/>
        <v>6.1736770691994458</v>
      </c>
      <c r="J1583" s="603">
        <f t="shared" si="643"/>
        <v>4.3450479233226869</v>
      </c>
      <c r="K1583" s="609">
        <f t="shared" si="643"/>
        <v>-100</v>
      </c>
      <c r="L1583" s="609" t="str">
        <f t="shared" si="643"/>
        <v>0</v>
      </c>
      <c r="M1583" s="609" t="str">
        <f t="shared" si="643"/>
        <v>0</v>
      </c>
      <c r="N1583" s="609" t="str">
        <f t="shared" si="643"/>
        <v>0</v>
      </c>
      <c r="O1583" s="609" t="str">
        <f t="shared" si="643"/>
        <v>0</v>
      </c>
      <c r="P1583" s="609" t="str">
        <f t="shared" si="643"/>
        <v>0</v>
      </c>
      <c r="Q1583" s="609" t="str">
        <f t="shared" si="643"/>
        <v>0</v>
      </c>
      <c r="R1583" s="603" t="str">
        <f t="shared" si="643"/>
        <v>0</v>
      </c>
    </row>
    <row r="1584" spans="2:18">
      <c r="B1584" s="595" t="s">
        <v>1047</v>
      </c>
      <c r="C1584" s="608" t="str">
        <f t="shared" ref="C1584:R1584" si="644">IF(ISNUMBER((C1538/B1538-1)*100),(C1538/B1538-1)*100,"0")</f>
        <v>0</v>
      </c>
      <c r="D1584" s="609" t="str">
        <f t="shared" si="644"/>
        <v>0</v>
      </c>
      <c r="E1584" s="609" t="str">
        <f t="shared" si="644"/>
        <v>0</v>
      </c>
      <c r="F1584" s="609" t="str">
        <f t="shared" si="644"/>
        <v>0</v>
      </c>
      <c r="G1584" s="609" t="str">
        <f t="shared" si="644"/>
        <v>0</v>
      </c>
      <c r="H1584" s="609" t="str">
        <f t="shared" si="644"/>
        <v>0</v>
      </c>
      <c r="I1584" s="609" t="str">
        <f t="shared" si="644"/>
        <v>0</v>
      </c>
      <c r="J1584" s="603" t="str">
        <f t="shared" si="644"/>
        <v>0</v>
      </c>
      <c r="K1584" s="609" t="str">
        <f t="shared" si="644"/>
        <v>0</v>
      </c>
      <c r="L1584" s="609" t="str">
        <f t="shared" si="644"/>
        <v>0</v>
      </c>
      <c r="M1584" s="609" t="str">
        <f t="shared" si="644"/>
        <v>0</v>
      </c>
      <c r="N1584" s="609" t="str">
        <f t="shared" si="644"/>
        <v>0</v>
      </c>
      <c r="O1584" s="609" t="str">
        <f t="shared" si="644"/>
        <v>0</v>
      </c>
      <c r="P1584" s="609" t="str">
        <f t="shared" si="644"/>
        <v>0</v>
      </c>
      <c r="Q1584" s="609" t="str">
        <f t="shared" si="644"/>
        <v>0</v>
      </c>
      <c r="R1584" s="603" t="str">
        <f t="shared" si="644"/>
        <v>0</v>
      </c>
    </row>
    <row r="1585" spans="2:18">
      <c r="B1585" s="595" t="s">
        <v>1048</v>
      </c>
      <c r="C1585" s="608" t="str">
        <f t="shared" ref="C1585:R1585" si="645">IF(ISNUMBER((C1539/B1539-1)*100),(C1539/B1539-1)*100,"0")</f>
        <v>0</v>
      </c>
      <c r="D1585" s="609" t="str">
        <f t="shared" si="645"/>
        <v>0</v>
      </c>
      <c r="E1585" s="609" t="str">
        <f t="shared" si="645"/>
        <v>0</v>
      </c>
      <c r="F1585" s="609" t="str">
        <f t="shared" si="645"/>
        <v>0</v>
      </c>
      <c r="G1585" s="609" t="str">
        <f t="shared" si="645"/>
        <v>0</v>
      </c>
      <c r="H1585" s="609" t="str">
        <f t="shared" si="645"/>
        <v>0</v>
      </c>
      <c r="I1585" s="609" t="str">
        <f t="shared" si="645"/>
        <v>0</v>
      </c>
      <c r="J1585" s="603" t="str">
        <f t="shared" si="645"/>
        <v>0</v>
      </c>
      <c r="K1585" s="609" t="str">
        <f t="shared" si="645"/>
        <v>0</v>
      </c>
      <c r="L1585" s="609" t="str">
        <f t="shared" si="645"/>
        <v>0</v>
      </c>
      <c r="M1585" s="609" t="str">
        <f t="shared" si="645"/>
        <v>0</v>
      </c>
      <c r="N1585" s="609" t="str">
        <f t="shared" si="645"/>
        <v>0</v>
      </c>
      <c r="O1585" s="609" t="str">
        <f t="shared" si="645"/>
        <v>0</v>
      </c>
      <c r="P1585" s="609" t="str">
        <f t="shared" si="645"/>
        <v>0</v>
      </c>
      <c r="Q1585" s="609" t="str">
        <f t="shared" si="645"/>
        <v>0</v>
      </c>
      <c r="R1585" s="603" t="str">
        <f t="shared" si="645"/>
        <v>0</v>
      </c>
    </row>
    <row r="1586" spans="2:18">
      <c r="B1586" s="595" t="s">
        <v>1049</v>
      </c>
      <c r="C1586" s="608" t="str">
        <f t="shared" ref="C1586:R1586" si="646">IF(ISNUMBER((C1540/B1540-1)*100),(C1540/B1540-1)*100,"0")</f>
        <v>0</v>
      </c>
      <c r="D1586" s="609" t="str">
        <f t="shared" si="646"/>
        <v>0</v>
      </c>
      <c r="E1586" s="609" t="str">
        <f t="shared" si="646"/>
        <v>0</v>
      </c>
      <c r="F1586" s="609" t="str">
        <f t="shared" si="646"/>
        <v>0</v>
      </c>
      <c r="G1586" s="609" t="str">
        <f t="shared" si="646"/>
        <v>0</v>
      </c>
      <c r="H1586" s="609" t="str">
        <f t="shared" si="646"/>
        <v>0</v>
      </c>
      <c r="I1586" s="609" t="str">
        <f t="shared" si="646"/>
        <v>0</v>
      </c>
      <c r="J1586" s="603" t="str">
        <f t="shared" si="646"/>
        <v>0</v>
      </c>
      <c r="K1586" s="609" t="str">
        <f t="shared" si="646"/>
        <v>0</v>
      </c>
      <c r="L1586" s="609" t="str">
        <f t="shared" si="646"/>
        <v>0</v>
      </c>
      <c r="M1586" s="609" t="str">
        <f t="shared" si="646"/>
        <v>0</v>
      </c>
      <c r="N1586" s="609" t="str">
        <f t="shared" si="646"/>
        <v>0</v>
      </c>
      <c r="O1586" s="609" t="str">
        <f t="shared" si="646"/>
        <v>0</v>
      </c>
      <c r="P1586" s="609" t="str">
        <f t="shared" si="646"/>
        <v>0</v>
      </c>
      <c r="Q1586" s="609" t="str">
        <f t="shared" si="646"/>
        <v>0</v>
      </c>
      <c r="R1586" s="603" t="str">
        <f t="shared" si="646"/>
        <v>0</v>
      </c>
    </row>
    <row r="1587" spans="2:18">
      <c r="B1587" s="595" t="s">
        <v>1050</v>
      </c>
      <c r="C1587" s="608" t="str">
        <f t="shared" ref="C1587:R1587" si="647">IF(ISNUMBER((C1541/B1541-1)*100),(C1541/B1541-1)*100,"0")</f>
        <v>0</v>
      </c>
      <c r="D1587" s="609" t="str">
        <f t="shared" si="647"/>
        <v>0</v>
      </c>
      <c r="E1587" s="609" t="str">
        <f t="shared" si="647"/>
        <v>0</v>
      </c>
      <c r="F1587" s="609" t="str">
        <f t="shared" si="647"/>
        <v>0</v>
      </c>
      <c r="G1587" s="609" t="str">
        <f t="shared" si="647"/>
        <v>0</v>
      </c>
      <c r="H1587" s="609" t="str">
        <f t="shared" si="647"/>
        <v>0</v>
      </c>
      <c r="I1587" s="609" t="str">
        <f t="shared" si="647"/>
        <v>0</v>
      </c>
      <c r="J1587" s="603" t="str">
        <f t="shared" si="647"/>
        <v>0</v>
      </c>
      <c r="K1587" s="609" t="str">
        <f t="shared" si="647"/>
        <v>0</v>
      </c>
      <c r="L1587" s="609" t="str">
        <f t="shared" si="647"/>
        <v>0</v>
      </c>
      <c r="M1587" s="609" t="str">
        <f t="shared" si="647"/>
        <v>0</v>
      </c>
      <c r="N1587" s="609" t="str">
        <f t="shared" si="647"/>
        <v>0</v>
      </c>
      <c r="O1587" s="609" t="str">
        <f t="shared" si="647"/>
        <v>0</v>
      </c>
      <c r="P1587" s="609" t="str">
        <f t="shared" si="647"/>
        <v>0</v>
      </c>
      <c r="Q1587" s="609" t="str">
        <f t="shared" si="647"/>
        <v>0</v>
      </c>
      <c r="R1587" s="603" t="str">
        <f t="shared" si="647"/>
        <v>0</v>
      </c>
    </row>
    <row r="1588" spans="2:18">
      <c r="B1588" s="595" t="s">
        <v>1051</v>
      </c>
      <c r="C1588" s="608" t="str">
        <f t="shared" ref="C1588:R1588" si="648">IF(ISNUMBER((C1542/B1542-1)*100),(C1542/B1542-1)*100,"0")</f>
        <v>0</v>
      </c>
      <c r="D1588" s="609" t="str">
        <f t="shared" si="648"/>
        <v>0</v>
      </c>
      <c r="E1588" s="609" t="str">
        <f t="shared" si="648"/>
        <v>0</v>
      </c>
      <c r="F1588" s="609" t="str">
        <f t="shared" si="648"/>
        <v>0</v>
      </c>
      <c r="G1588" s="609" t="str">
        <f t="shared" si="648"/>
        <v>0</v>
      </c>
      <c r="H1588" s="609" t="str">
        <f t="shared" si="648"/>
        <v>0</v>
      </c>
      <c r="I1588" s="609" t="str">
        <f t="shared" si="648"/>
        <v>0</v>
      </c>
      <c r="J1588" s="603" t="str">
        <f t="shared" si="648"/>
        <v>0</v>
      </c>
      <c r="K1588" s="609" t="str">
        <f t="shared" si="648"/>
        <v>0</v>
      </c>
      <c r="L1588" s="609" t="str">
        <f t="shared" si="648"/>
        <v>0</v>
      </c>
      <c r="M1588" s="609" t="str">
        <f t="shared" si="648"/>
        <v>0</v>
      </c>
      <c r="N1588" s="609" t="str">
        <f t="shared" si="648"/>
        <v>0</v>
      </c>
      <c r="O1588" s="609" t="str">
        <f t="shared" si="648"/>
        <v>0</v>
      </c>
      <c r="P1588" s="609" t="str">
        <f t="shared" si="648"/>
        <v>0</v>
      </c>
      <c r="Q1588" s="609" t="str">
        <f t="shared" si="648"/>
        <v>0</v>
      </c>
      <c r="R1588" s="603" t="str">
        <f t="shared" si="648"/>
        <v>0</v>
      </c>
    </row>
    <row r="1589" spans="2:18">
      <c r="B1589" s="595" t="s">
        <v>1052</v>
      </c>
      <c r="C1589" s="608" t="str">
        <f t="shared" ref="C1589:R1589" si="649">IF(ISNUMBER((C1543/B1543-1)*100),(C1543/B1543-1)*100,"0")</f>
        <v>0</v>
      </c>
      <c r="D1589" s="609" t="str">
        <f t="shared" si="649"/>
        <v>0</v>
      </c>
      <c r="E1589" s="609" t="str">
        <f t="shared" si="649"/>
        <v>0</v>
      </c>
      <c r="F1589" s="609" t="str">
        <f t="shared" si="649"/>
        <v>0</v>
      </c>
      <c r="G1589" s="609" t="str">
        <f t="shared" si="649"/>
        <v>0</v>
      </c>
      <c r="H1589" s="609" t="str">
        <f t="shared" si="649"/>
        <v>0</v>
      </c>
      <c r="I1589" s="609" t="str">
        <f t="shared" si="649"/>
        <v>0</v>
      </c>
      <c r="J1589" s="603" t="str">
        <f t="shared" si="649"/>
        <v>0</v>
      </c>
      <c r="K1589" s="609" t="str">
        <f t="shared" si="649"/>
        <v>0</v>
      </c>
      <c r="L1589" s="609" t="str">
        <f t="shared" si="649"/>
        <v>0</v>
      </c>
      <c r="M1589" s="609" t="str">
        <f t="shared" si="649"/>
        <v>0</v>
      </c>
      <c r="N1589" s="609" t="str">
        <f t="shared" si="649"/>
        <v>0</v>
      </c>
      <c r="O1589" s="609" t="str">
        <f t="shared" si="649"/>
        <v>0</v>
      </c>
      <c r="P1589" s="609" t="str">
        <f t="shared" si="649"/>
        <v>0</v>
      </c>
      <c r="Q1589" s="609" t="str">
        <f t="shared" si="649"/>
        <v>0</v>
      </c>
      <c r="R1589" s="603" t="str">
        <f t="shared" si="649"/>
        <v>0</v>
      </c>
    </row>
    <row r="1590" spans="2:18">
      <c r="B1590" s="595" t="s">
        <v>1053</v>
      </c>
      <c r="C1590" s="608" t="str">
        <f t="shared" ref="C1590:R1590" si="650">IF(ISNUMBER((C1544/B1544-1)*100),(C1544/B1544-1)*100,"0")</f>
        <v>0</v>
      </c>
      <c r="D1590" s="609" t="str">
        <f t="shared" si="650"/>
        <v>0</v>
      </c>
      <c r="E1590" s="609" t="str">
        <f t="shared" si="650"/>
        <v>0</v>
      </c>
      <c r="F1590" s="609" t="str">
        <f t="shared" si="650"/>
        <v>0</v>
      </c>
      <c r="G1590" s="609" t="str">
        <f t="shared" si="650"/>
        <v>0</v>
      </c>
      <c r="H1590" s="609" t="str">
        <f t="shared" si="650"/>
        <v>0</v>
      </c>
      <c r="I1590" s="609" t="str">
        <f t="shared" si="650"/>
        <v>0</v>
      </c>
      <c r="J1590" s="603" t="str">
        <f t="shared" si="650"/>
        <v>0</v>
      </c>
      <c r="K1590" s="609" t="str">
        <f t="shared" si="650"/>
        <v>0</v>
      </c>
      <c r="L1590" s="609" t="str">
        <f t="shared" si="650"/>
        <v>0</v>
      </c>
      <c r="M1590" s="609" t="str">
        <f t="shared" si="650"/>
        <v>0</v>
      </c>
      <c r="N1590" s="609" t="str">
        <f t="shared" si="650"/>
        <v>0</v>
      </c>
      <c r="O1590" s="609" t="str">
        <f t="shared" si="650"/>
        <v>0</v>
      </c>
      <c r="P1590" s="609" t="str">
        <f t="shared" si="650"/>
        <v>0</v>
      </c>
      <c r="Q1590" s="609" t="str">
        <f t="shared" si="650"/>
        <v>0</v>
      </c>
      <c r="R1590" s="603" t="str">
        <f t="shared" si="650"/>
        <v>0</v>
      </c>
    </row>
    <row r="1591" spans="2:18">
      <c r="B1591" s="595" t="s">
        <v>1054</v>
      </c>
      <c r="C1591" s="608" t="str">
        <f t="shared" ref="C1591:R1591" si="651">IF(ISNUMBER((C1545/B1545-1)*100),(C1545/B1545-1)*100,"0")</f>
        <v>0</v>
      </c>
      <c r="D1591" s="609" t="str">
        <f t="shared" si="651"/>
        <v>0</v>
      </c>
      <c r="E1591" s="609" t="str">
        <f t="shared" si="651"/>
        <v>0</v>
      </c>
      <c r="F1591" s="609" t="str">
        <f t="shared" si="651"/>
        <v>0</v>
      </c>
      <c r="G1591" s="609" t="str">
        <f t="shared" si="651"/>
        <v>0</v>
      </c>
      <c r="H1591" s="609" t="str">
        <f t="shared" si="651"/>
        <v>0</v>
      </c>
      <c r="I1591" s="609" t="str">
        <f t="shared" si="651"/>
        <v>0</v>
      </c>
      <c r="J1591" s="603" t="str">
        <f t="shared" si="651"/>
        <v>0</v>
      </c>
      <c r="K1591" s="609" t="str">
        <f t="shared" si="651"/>
        <v>0</v>
      </c>
      <c r="L1591" s="609" t="str">
        <f t="shared" si="651"/>
        <v>0</v>
      </c>
      <c r="M1591" s="609" t="str">
        <f t="shared" si="651"/>
        <v>0</v>
      </c>
      <c r="N1591" s="609" t="str">
        <f t="shared" si="651"/>
        <v>0</v>
      </c>
      <c r="O1591" s="609" t="str">
        <f t="shared" si="651"/>
        <v>0</v>
      </c>
      <c r="P1591" s="609" t="str">
        <f t="shared" si="651"/>
        <v>0</v>
      </c>
      <c r="Q1591" s="609" t="str">
        <f t="shared" si="651"/>
        <v>0</v>
      </c>
      <c r="R1591" s="603" t="str">
        <f t="shared" si="651"/>
        <v>0</v>
      </c>
    </row>
    <row r="1592" spans="2:18">
      <c r="B1592" s="604" t="s">
        <v>1055</v>
      </c>
      <c r="C1592" s="610" t="str">
        <f t="shared" ref="C1592:R1592" si="652">IF(ISNUMBER((C1546/B1546-1)*100),(C1546/B1546-1)*100,"0")</f>
        <v>0</v>
      </c>
      <c r="D1592" s="617" t="str">
        <f t="shared" si="652"/>
        <v>0</v>
      </c>
      <c r="E1592" s="617" t="str">
        <f t="shared" si="652"/>
        <v>0</v>
      </c>
      <c r="F1592" s="617" t="str">
        <f t="shared" si="652"/>
        <v>0</v>
      </c>
      <c r="G1592" s="617" t="str">
        <f t="shared" si="652"/>
        <v>0</v>
      </c>
      <c r="H1592" s="617" t="str">
        <f t="shared" si="652"/>
        <v>0</v>
      </c>
      <c r="I1592" s="617" t="str">
        <f t="shared" si="652"/>
        <v>0</v>
      </c>
      <c r="J1592" s="618" t="str">
        <f t="shared" si="652"/>
        <v>0</v>
      </c>
      <c r="K1592" s="617" t="str">
        <f t="shared" si="652"/>
        <v>0</v>
      </c>
      <c r="L1592" s="617" t="str">
        <f t="shared" si="652"/>
        <v>0</v>
      </c>
      <c r="M1592" s="617" t="str">
        <f t="shared" si="652"/>
        <v>0</v>
      </c>
      <c r="N1592" s="617" t="str">
        <f t="shared" si="652"/>
        <v>0</v>
      </c>
      <c r="O1592" s="617" t="str">
        <f t="shared" si="652"/>
        <v>0</v>
      </c>
      <c r="P1592" s="617" t="str">
        <f t="shared" si="652"/>
        <v>0</v>
      </c>
      <c r="Q1592" s="617" t="str">
        <f t="shared" si="652"/>
        <v>0</v>
      </c>
      <c r="R1592" s="618" t="str">
        <f t="shared" si="652"/>
        <v>0</v>
      </c>
    </row>
    <row r="1593" spans="2:18">
      <c r="B1593" s="57"/>
      <c r="C1593" s="582"/>
      <c r="D1593" s="582"/>
      <c r="E1593" s="582"/>
      <c r="F1593" s="582"/>
      <c r="G1593" s="582"/>
      <c r="H1593" s="582"/>
      <c r="I1593" s="582"/>
      <c r="J1593" s="582"/>
      <c r="K1593" s="582"/>
      <c r="L1593" s="582"/>
      <c r="M1593" s="582"/>
      <c r="N1593" s="582"/>
      <c r="O1593" s="582"/>
      <c r="P1593" s="582"/>
      <c r="Q1593" s="582"/>
    </row>
    <row r="1594" spans="2:18">
      <c r="B1594" s="2157" t="s">
        <v>1178</v>
      </c>
      <c r="C1594" s="2157"/>
      <c r="D1594" s="2157"/>
      <c r="E1594" s="2157"/>
      <c r="F1594" s="2157"/>
      <c r="G1594" s="2157"/>
      <c r="H1594" s="2157"/>
      <c r="I1594" s="2157"/>
      <c r="J1594" s="2157"/>
      <c r="K1594" s="2157"/>
      <c r="L1594" s="2157"/>
      <c r="M1594" s="2157"/>
      <c r="N1594" s="2157"/>
      <c r="O1594" s="2157"/>
      <c r="P1594" s="2157"/>
      <c r="Q1594" s="2157"/>
      <c r="R1594" s="2157"/>
    </row>
    <row r="1595" spans="2:18">
      <c r="B1595" s="2159" t="s">
        <v>1179</v>
      </c>
      <c r="C1595" s="2159"/>
      <c r="D1595" s="2159"/>
      <c r="E1595" s="2159"/>
      <c r="F1595" s="2159"/>
      <c r="G1595" s="2159"/>
      <c r="H1595" s="2159"/>
      <c r="I1595" s="2159"/>
      <c r="J1595" s="2159"/>
      <c r="K1595" s="2159"/>
      <c r="L1595" s="2159"/>
      <c r="M1595" s="2159"/>
      <c r="N1595" s="2159"/>
      <c r="O1595" s="2159"/>
      <c r="P1595" s="2159"/>
      <c r="Q1595" s="2159"/>
      <c r="R1595" s="2159"/>
    </row>
    <row r="1596" spans="2:18">
      <c r="B1596" s="2160" t="s">
        <v>1035</v>
      </c>
      <c r="C1596" s="2160"/>
      <c r="D1596" s="2160"/>
      <c r="E1596" s="2160"/>
      <c r="F1596" s="2160"/>
      <c r="G1596" s="2160"/>
      <c r="H1596" s="2160"/>
      <c r="I1596" s="2160"/>
      <c r="J1596" s="2160"/>
      <c r="K1596" s="2160"/>
      <c r="L1596" s="2160"/>
      <c r="M1596" s="2160"/>
      <c r="N1596" s="2160"/>
      <c r="O1596" s="2160"/>
      <c r="P1596" s="2160"/>
      <c r="Q1596" s="2160"/>
      <c r="R1596" s="2160"/>
    </row>
    <row r="1597" spans="2:18">
      <c r="B1597" s="57"/>
      <c r="C1597" s="582"/>
      <c r="D1597" s="582"/>
      <c r="E1597" s="582"/>
      <c r="F1597" s="582"/>
      <c r="G1597" s="582"/>
      <c r="H1597" s="582"/>
      <c r="I1597" s="582"/>
      <c r="J1597" s="582"/>
      <c r="K1597" s="582"/>
      <c r="L1597" s="582"/>
      <c r="M1597" s="582"/>
      <c r="N1597" s="582"/>
      <c r="O1597" s="582"/>
      <c r="P1597" s="582"/>
      <c r="Q1597" s="582"/>
    </row>
    <row r="1598" spans="2:18">
      <c r="B1598" s="583"/>
      <c r="C1598" s="2161" t="s">
        <v>1172</v>
      </c>
      <c r="D1598" s="2162"/>
      <c r="E1598" s="2162"/>
      <c r="F1598" s="2162"/>
      <c r="G1598" s="2162"/>
      <c r="H1598" s="2162"/>
      <c r="I1598" s="2162"/>
      <c r="J1598" s="2163"/>
      <c r="K1598" s="2164" t="s">
        <v>375</v>
      </c>
      <c r="L1598" s="2165"/>
      <c r="M1598" s="2165"/>
      <c r="N1598" s="2165"/>
      <c r="O1598" s="2165"/>
      <c r="P1598" s="2165"/>
      <c r="Q1598" s="2165"/>
      <c r="R1598" s="2166"/>
    </row>
    <row r="1599" spans="2:18">
      <c r="B1599" s="57"/>
      <c r="C1599" s="585">
        <v>2014</v>
      </c>
      <c r="D1599" s="586">
        <v>2015</v>
      </c>
      <c r="E1599" s="586">
        <v>2016</v>
      </c>
      <c r="F1599" s="586">
        <v>2017</v>
      </c>
      <c r="G1599" s="586">
        <v>2018</v>
      </c>
      <c r="H1599" s="586">
        <v>2019</v>
      </c>
      <c r="I1599" s="586">
        <v>2020</v>
      </c>
      <c r="J1599" s="586">
        <v>2021</v>
      </c>
      <c r="K1599" s="587">
        <v>2014</v>
      </c>
      <c r="L1599" s="588">
        <v>2015</v>
      </c>
      <c r="M1599" s="588">
        <v>2016</v>
      </c>
      <c r="N1599" s="588">
        <v>2017</v>
      </c>
      <c r="O1599" s="588">
        <v>2018</v>
      </c>
      <c r="P1599" s="588">
        <v>2019</v>
      </c>
      <c r="Q1599" s="588">
        <v>2020</v>
      </c>
      <c r="R1599" s="848">
        <v>2021</v>
      </c>
    </row>
    <row r="1600" spans="2:18">
      <c r="B1600" s="589" t="s">
        <v>1038</v>
      </c>
      <c r="C1600" s="614">
        <f t="shared" ref="C1600:J1606" si="653">IF(ISNUMBER(C1508/K6*1000),C1508/K6*1000,"0")</f>
        <v>313.78385029119158</v>
      </c>
      <c r="D1600" s="615">
        <f t="shared" si="653"/>
        <v>323.58831034968358</v>
      </c>
      <c r="E1600" s="615">
        <f t="shared" si="653"/>
        <v>341.86451465608178</v>
      </c>
      <c r="F1600" s="615">
        <f t="shared" si="653"/>
        <v>358.11255950218515</v>
      </c>
      <c r="G1600" s="615">
        <f t="shared" si="653"/>
        <v>368.24774440671348</v>
      </c>
      <c r="H1600" s="615">
        <f t="shared" si="653"/>
        <v>376.93559174548659</v>
      </c>
      <c r="I1600" s="615">
        <f t="shared" si="653"/>
        <v>369.19584811688736</v>
      </c>
      <c r="J1600" s="616">
        <f t="shared" si="653"/>
        <v>389.06352324819909</v>
      </c>
      <c r="K1600" s="614">
        <f t="shared" ref="K1600:R1606" si="654">IF(ISNUMBER(K1508/K6*1000),K1508/K6*1000,"0")</f>
        <v>9882.7265376908545</v>
      </c>
      <c r="L1600" s="615">
        <f t="shared" si="654"/>
        <v>10045.519371873752</v>
      </c>
      <c r="M1600" s="615">
        <f t="shared" si="654"/>
        <v>11176.597545586219</v>
      </c>
      <c r="N1600" s="615">
        <f t="shared" si="654"/>
        <v>14072.259272494095</v>
      </c>
      <c r="O1600" s="615">
        <f t="shared" si="654"/>
        <v>18064.995985346683</v>
      </c>
      <c r="P1600" s="615">
        <f t="shared" si="654"/>
        <v>11675.879807147119</v>
      </c>
      <c r="Q1600" s="615">
        <f t="shared" si="654"/>
        <v>19098.574167529805</v>
      </c>
      <c r="R1600" s="616">
        <f t="shared" si="654"/>
        <v>10921.938441388342</v>
      </c>
    </row>
    <row r="1601" spans="2:18">
      <c r="B1601" s="595" t="s">
        <v>1039</v>
      </c>
      <c r="C1601" s="1844">
        <f t="shared" si="653"/>
        <v>0.91276781810231744</v>
      </c>
      <c r="D1601" s="609">
        <f t="shared" si="653"/>
        <v>0.93326480374387955</v>
      </c>
      <c r="E1601" s="609">
        <f t="shared" si="653"/>
        <v>1.0763628574488593</v>
      </c>
      <c r="F1601" s="609">
        <f t="shared" si="653"/>
        <v>0.95929616281534869</v>
      </c>
      <c r="G1601" s="609">
        <f t="shared" si="653"/>
        <v>1.001783279135634</v>
      </c>
      <c r="H1601" s="609">
        <f t="shared" si="653"/>
        <v>0.99911766232418131</v>
      </c>
      <c r="I1601" s="609">
        <f t="shared" si="653"/>
        <v>0.9784032253922601</v>
      </c>
      <c r="J1601" s="603">
        <f t="shared" si="653"/>
        <v>0.98602287166454894</v>
      </c>
      <c r="K1601" s="1844">
        <f t="shared" si="654"/>
        <v>13.412767818102317</v>
      </c>
      <c r="L1601" s="609">
        <f t="shared" si="654"/>
        <v>23.948386398679904</v>
      </c>
      <c r="M1601" s="609">
        <f t="shared" si="654"/>
        <v>24.4885937667345</v>
      </c>
      <c r="N1601" s="609">
        <f t="shared" si="654"/>
        <v>29.96078015687937</v>
      </c>
      <c r="O1601" s="609">
        <f t="shared" si="654"/>
        <v>27.840134270429036</v>
      </c>
      <c r="P1601" s="609">
        <f t="shared" si="654"/>
        <v>38.646390200861582</v>
      </c>
      <c r="Q1601" s="609">
        <f t="shared" si="654"/>
        <v>40.307131301199249</v>
      </c>
      <c r="R1601" s="603">
        <f t="shared" si="654"/>
        <v>42.930114358322747</v>
      </c>
    </row>
    <row r="1602" spans="2:18">
      <c r="B1602" s="595" t="s">
        <v>1040</v>
      </c>
      <c r="C1602" s="1844">
        <f t="shared" si="653"/>
        <v>0.22342581102339582</v>
      </c>
      <c r="D1602" s="609">
        <f t="shared" si="653"/>
        <v>0.22182814765836353</v>
      </c>
      <c r="E1602" s="609">
        <f t="shared" si="653"/>
        <v>0.23249453091376593</v>
      </c>
      <c r="F1602" s="609">
        <f t="shared" si="653"/>
        <v>0.27270006315927575</v>
      </c>
      <c r="G1602" s="609">
        <f t="shared" si="653"/>
        <v>0.28746553342079872</v>
      </c>
      <c r="H1602" s="609">
        <f t="shared" si="653"/>
        <v>0.29872561720527852</v>
      </c>
      <c r="I1602" s="609">
        <f t="shared" si="653"/>
        <v>0.29424343043309448</v>
      </c>
      <c r="J1602" s="603">
        <f t="shared" si="653"/>
        <v>0.30324384782749136</v>
      </c>
      <c r="K1602" s="1844">
        <f t="shared" si="654"/>
        <v>0.93646232172047461</v>
      </c>
      <c r="L1602" s="609">
        <f t="shared" si="654"/>
        <v>1.026428365828759</v>
      </c>
      <c r="M1602" s="609">
        <f t="shared" si="654"/>
        <v>0.88459519122069663</v>
      </c>
      <c r="N1602" s="609">
        <f t="shared" si="654"/>
        <v>1.0122070708954887</v>
      </c>
      <c r="O1602" s="609">
        <f t="shared" si="654"/>
        <v>1.566467135101216</v>
      </c>
      <c r="P1602" s="609">
        <f t="shared" si="654"/>
        <v>2.5062946908803281</v>
      </c>
      <c r="Q1602" s="609">
        <f t="shared" si="654"/>
        <v>3.0560725558398842</v>
      </c>
      <c r="R1602" s="603">
        <f t="shared" si="654"/>
        <v>3.6065835413156022</v>
      </c>
    </row>
    <row r="1603" spans="2:18">
      <c r="B1603" s="595" t="s">
        <v>1041</v>
      </c>
      <c r="C1603" s="1844">
        <f t="shared" si="653"/>
        <v>0.9143775949559092</v>
      </c>
      <c r="D1603" s="609">
        <f t="shared" si="653"/>
        <v>0.89631349216309064</v>
      </c>
      <c r="E1603" s="609">
        <f t="shared" si="653"/>
        <v>0.8781097533076041</v>
      </c>
      <c r="F1603" s="609">
        <f t="shared" si="653"/>
        <v>0.8490134179273966</v>
      </c>
      <c r="G1603" s="609">
        <f t="shared" si="653"/>
        <v>0.84208294783229709</v>
      </c>
      <c r="H1603" s="609">
        <f t="shared" si="653"/>
        <v>0.81631380871853465</v>
      </c>
      <c r="I1603" s="609">
        <f t="shared" si="653"/>
        <v>0.79524662789229761</v>
      </c>
      <c r="J1603" s="603">
        <f t="shared" si="653"/>
        <v>0.75387918506642659</v>
      </c>
      <c r="K1603" s="1844">
        <f t="shared" si="654"/>
        <v>25.014170681368757</v>
      </c>
      <c r="L1603" s="609">
        <f t="shared" si="654"/>
        <v>25.738825017238057</v>
      </c>
      <c r="M1603" s="609">
        <f t="shared" si="654"/>
        <v>23.994467211525603</v>
      </c>
      <c r="N1603" s="609">
        <f t="shared" si="654"/>
        <v>23.145238241902781</v>
      </c>
      <c r="O1603" s="609">
        <f t="shared" si="654"/>
        <v>40.741308300586724</v>
      </c>
      <c r="P1603" s="609">
        <f t="shared" si="654"/>
        <v>53.976089370720629</v>
      </c>
      <c r="Q1603" s="609">
        <f t="shared" si="654"/>
        <v>64.967802612833651</v>
      </c>
      <c r="R1603" s="603">
        <f t="shared" si="654"/>
        <v>89.237087353153512</v>
      </c>
    </row>
    <row r="1604" spans="2:18">
      <c r="B1604" s="595" t="s">
        <v>1042</v>
      </c>
      <c r="C1604" s="1844">
        <f t="shared" si="653"/>
        <v>0.44767098369612979</v>
      </c>
      <c r="D1604" s="609">
        <f t="shared" si="653"/>
        <v>0.44381571787609697</v>
      </c>
      <c r="E1604" s="609">
        <f t="shared" si="653"/>
        <v>0.42521811487516442</v>
      </c>
      <c r="F1604" s="609">
        <f t="shared" si="653"/>
        <v>0.41380751120896075</v>
      </c>
      <c r="G1604" s="609">
        <f t="shared" si="653"/>
        <v>0.39826349012247353</v>
      </c>
      <c r="H1604" s="609">
        <f t="shared" si="653"/>
        <v>0.39618539927533142</v>
      </c>
      <c r="I1604" s="609">
        <f t="shared" si="653"/>
        <v>0.39248012802756249</v>
      </c>
      <c r="J1604" s="603">
        <f t="shared" si="653"/>
        <v>0.38580444928269686</v>
      </c>
      <c r="K1604" s="1844">
        <f t="shared" si="654"/>
        <v>0</v>
      </c>
      <c r="L1604" s="609">
        <f t="shared" si="654"/>
        <v>0</v>
      </c>
      <c r="M1604" s="609">
        <f t="shared" si="654"/>
        <v>0</v>
      </c>
      <c r="N1604" s="609">
        <f t="shared" si="654"/>
        <v>0</v>
      </c>
      <c r="O1604" s="609">
        <f t="shared" si="654"/>
        <v>0</v>
      </c>
      <c r="P1604" s="609">
        <f t="shared" si="654"/>
        <v>0</v>
      </c>
      <c r="Q1604" s="609">
        <f t="shared" si="654"/>
        <v>0</v>
      </c>
      <c r="R1604" s="603">
        <f t="shared" si="654"/>
        <v>0</v>
      </c>
    </row>
    <row r="1605" spans="2:18">
      <c r="B1605" s="595" t="s">
        <v>1043</v>
      </c>
      <c r="C1605" s="1844">
        <f t="shared" si="653"/>
        <v>0.30263237926853226</v>
      </c>
      <c r="D1605" s="609">
        <f t="shared" si="653"/>
        <v>0.30738492436374565</v>
      </c>
      <c r="E1605" s="609">
        <f t="shared" si="653"/>
        <v>0.31236340383428901</v>
      </c>
      <c r="F1605" s="609">
        <f t="shared" si="653"/>
        <v>0.3186952164616903</v>
      </c>
      <c r="G1605" s="609">
        <f t="shared" si="653"/>
        <v>0.32453590142038885</v>
      </c>
      <c r="H1605" s="609">
        <f t="shared" si="653"/>
        <v>0.32812250679798605</v>
      </c>
      <c r="I1605" s="609">
        <f t="shared" si="653"/>
        <v>0.32345078330953464</v>
      </c>
      <c r="J1605" s="603">
        <f t="shared" si="653"/>
        <v>0.31393060907278658</v>
      </c>
      <c r="K1605" s="1844">
        <f t="shared" si="654"/>
        <v>6.8980628023871624</v>
      </c>
      <c r="L1605" s="609">
        <f t="shared" si="654"/>
        <v>6.5805309811620152</v>
      </c>
      <c r="M1605" s="609">
        <f t="shared" si="654"/>
        <v>7.4743616663987567</v>
      </c>
      <c r="N1605" s="609">
        <f t="shared" si="654"/>
        <v>8.1862209042516767</v>
      </c>
      <c r="O1605" s="609">
        <f t="shared" si="654"/>
        <v>8.7457137903577955</v>
      </c>
      <c r="P1605" s="609">
        <f t="shared" si="654"/>
        <v>11.51690346051824</v>
      </c>
      <c r="Q1605" s="609">
        <f t="shared" si="654"/>
        <v>13.583324876325189</v>
      </c>
      <c r="R1605" s="603">
        <f t="shared" si="654"/>
        <v>18.016847100043961</v>
      </c>
    </row>
    <row r="1606" spans="2:18">
      <c r="B1606" s="595" t="s">
        <v>1044</v>
      </c>
      <c r="C1606" s="1844">
        <f t="shared" si="653"/>
        <v>0.49150251648869436</v>
      </c>
      <c r="D1606" s="609">
        <f t="shared" si="653"/>
        <v>0.50784038084303573</v>
      </c>
      <c r="E1606" s="609">
        <f t="shared" si="653"/>
        <v>0.54126761726919748</v>
      </c>
      <c r="F1606" s="609">
        <f t="shared" si="653"/>
        <v>0.52390297203768954</v>
      </c>
      <c r="G1606" s="609">
        <f t="shared" si="653"/>
        <v>0.53603528612916396</v>
      </c>
      <c r="H1606" s="609">
        <f t="shared" si="653"/>
        <v>0.55535706420352471</v>
      </c>
      <c r="I1606" s="609">
        <f t="shared" si="653"/>
        <v>0.52726949632593345</v>
      </c>
      <c r="J1606" s="603">
        <f t="shared" si="653"/>
        <v>0.5124906522750925</v>
      </c>
      <c r="K1606" s="1844">
        <f t="shared" si="654"/>
        <v>30.987075746487779</v>
      </c>
      <c r="L1606" s="609">
        <f t="shared" si="654"/>
        <v>30.347498161820624</v>
      </c>
      <c r="M1606" s="609">
        <f t="shared" si="654"/>
        <v>34.84397505956602</v>
      </c>
      <c r="N1606" s="609">
        <f t="shared" si="654"/>
        <v>35.694932431271596</v>
      </c>
      <c r="O1606" s="609">
        <f t="shared" si="654"/>
        <v>37.815470673883148</v>
      </c>
      <c r="P1606" s="609">
        <f t="shared" si="654"/>
        <v>34.634984669074498</v>
      </c>
      <c r="Q1606" s="609">
        <f t="shared" si="654"/>
        <v>37.507741154041206</v>
      </c>
      <c r="R1606" s="603">
        <f t="shared" si="654"/>
        <v>37.279918094464463</v>
      </c>
    </row>
    <row r="1607" spans="2:18">
      <c r="B1607" s="595" t="s">
        <v>1061</v>
      </c>
      <c r="C1607" s="1844">
        <f t="shared" ref="C1607:C1616" si="655">IF(ISNUMBER(C1515/K15*1000),C1515/K15*1000,"0")</f>
        <v>0</v>
      </c>
      <c r="D1607" s="609">
        <f t="shared" ref="D1607:J1607" si="656">IF(ISNUMBER(D1515/L15*1000),D1515/L15*1000,"0")</f>
        <v>1.0080645161290323</v>
      </c>
      <c r="E1607" s="609">
        <f t="shared" si="656"/>
        <v>0.91099163679808848</v>
      </c>
      <c r="F1607" s="609">
        <f t="shared" si="656"/>
        <v>0.88226497856644392</v>
      </c>
      <c r="G1607" s="609">
        <f t="shared" si="656"/>
        <v>0.89071257005604476</v>
      </c>
      <c r="H1607" s="609">
        <f t="shared" si="656"/>
        <v>0.85241601936850608</v>
      </c>
      <c r="I1607" s="609">
        <f t="shared" si="656"/>
        <v>0.86114649681528666</v>
      </c>
      <c r="J1607" s="603">
        <f t="shared" si="656"/>
        <v>1.1319255974051765</v>
      </c>
      <c r="K1607" s="1844">
        <f t="shared" ref="K1607:K1616" si="657">IF(ISNUMBER(K1515/K15*1000),K1515/K15*1000,"0")</f>
        <v>0</v>
      </c>
      <c r="L1607" s="609">
        <f t="shared" ref="L1607:R1607" si="658">IF(ISNUMBER(L1515/L15*1000),L1515/L15*1000,"0")</f>
        <v>0</v>
      </c>
      <c r="M1607" s="609">
        <f t="shared" si="658"/>
        <v>42.607526881720425</v>
      </c>
      <c r="N1607" s="609">
        <f t="shared" si="658"/>
        <v>41.790449606220719</v>
      </c>
      <c r="O1607" s="609">
        <f t="shared" si="658"/>
        <v>49.934947958366692</v>
      </c>
      <c r="P1607" s="609">
        <f t="shared" si="658"/>
        <v>50.479168768284069</v>
      </c>
      <c r="Q1607" s="609">
        <f t="shared" si="658"/>
        <v>55.969426751592351</v>
      </c>
      <c r="R1607" s="603">
        <f t="shared" si="658"/>
        <v>76.236181902429337</v>
      </c>
    </row>
    <row r="1608" spans="2:18">
      <c r="B1608" s="595" t="s">
        <v>1047</v>
      </c>
      <c r="C1608" s="1844">
        <f t="shared" si="655"/>
        <v>226.23663653381013</v>
      </c>
      <c r="D1608" s="609">
        <f t="shared" ref="D1608:D1616" si="659">IF(ISNUMBER(D1516/L16*1000),D1516/L16*1000,"0")</f>
        <v>239.57475113097712</v>
      </c>
      <c r="E1608" s="609">
        <f t="shared" ref="E1608:E1616" si="660">IF(ISNUMBER(E1516/M16*1000),E1516/M16*1000,"0")</f>
        <v>241.9423633878707</v>
      </c>
      <c r="F1608" s="609">
        <f t="shared" ref="F1608:F1616" si="661">IF(ISNUMBER(F1516/N16*1000),F1516/N16*1000,"0")</f>
        <v>237.88552609924901</v>
      </c>
      <c r="G1608" s="609">
        <f t="shared" ref="G1608:G1616" si="662">IF(ISNUMBER(G1516/O16*1000),G1516/O16*1000,"0")</f>
        <v>254.64936280678936</v>
      </c>
      <c r="H1608" s="609">
        <f t="shared" ref="H1608:H1616" si="663">IF(ISNUMBER(H1516/P16*1000),H1516/P16*1000,"0")</f>
        <v>265.05696726879438</v>
      </c>
      <c r="I1608" s="609">
        <f t="shared" ref="I1608:I1616" si="664">IF(ISNUMBER(I1516/Q16*1000),I1516/Q16*1000,"0")</f>
        <v>267.09470348975753</v>
      </c>
      <c r="J1608" s="603">
        <f t="shared" ref="J1608:J1616" si="665">IF(ISNUMBER(J1516/R16*1000),J1516/R16*1000,"0")</f>
        <v>271.68331966158769</v>
      </c>
      <c r="K1608" s="1844">
        <f t="shared" si="657"/>
        <v>0</v>
      </c>
      <c r="L1608" s="609">
        <f t="shared" ref="L1608:R1616" si="666">IF(ISNUMBER(L1516/L16*1000),L1516/L16*1000,"0")</f>
        <v>4569.4890865715033</v>
      </c>
      <c r="M1608" s="609">
        <f t="shared" si="666"/>
        <v>4612.8770934004006</v>
      </c>
      <c r="N1608" s="609">
        <f t="shared" si="666"/>
        <v>4794.8447446759928</v>
      </c>
      <c r="O1608" s="609">
        <f t="shared" si="666"/>
        <v>5056.3905887704741</v>
      </c>
      <c r="P1608" s="609">
        <f t="shared" si="666"/>
        <v>7229.852977643136</v>
      </c>
      <c r="Q1608" s="609">
        <f t="shared" si="666"/>
        <v>8583.8081445667067</v>
      </c>
      <c r="R1608" s="603">
        <f t="shared" si="666"/>
        <v>9444.7966886387294</v>
      </c>
    </row>
    <row r="1609" spans="2:18">
      <c r="B1609" s="595" t="s">
        <v>1048</v>
      </c>
      <c r="C1609" s="1844">
        <f t="shared" si="655"/>
        <v>254.79438358817978</v>
      </c>
      <c r="D1609" s="609">
        <f t="shared" si="659"/>
        <v>231.4733092424305</v>
      </c>
      <c r="E1609" s="609">
        <f t="shared" si="660"/>
        <v>240.48794526303249</v>
      </c>
      <c r="F1609" s="609">
        <f t="shared" si="661"/>
        <v>252.6378409538334</v>
      </c>
      <c r="G1609" s="609">
        <f t="shared" si="662"/>
        <v>261.51788852137878</v>
      </c>
      <c r="H1609" s="609">
        <f t="shared" si="663"/>
        <v>266.67701280572248</v>
      </c>
      <c r="I1609" s="609">
        <f t="shared" si="664"/>
        <v>275.11286904912197</v>
      </c>
      <c r="J1609" s="603">
        <f t="shared" si="665"/>
        <v>274.90463701996418</v>
      </c>
      <c r="K1609" s="1844">
        <f t="shared" si="657"/>
        <v>2715.4113890433732</v>
      </c>
      <c r="L1609" s="609">
        <f t="shared" si="666"/>
        <v>3641.4313900491397</v>
      </c>
      <c r="M1609" s="609">
        <f t="shared" si="666"/>
        <v>3736.1633827321057</v>
      </c>
      <c r="N1609" s="609">
        <f t="shared" si="666"/>
        <v>4026.6340663220408</v>
      </c>
      <c r="O1609" s="609">
        <f t="shared" si="666"/>
        <v>4723.8155412357728</v>
      </c>
      <c r="P1609" s="609">
        <f t="shared" si="666"/>
        <v>5896.5074654519449</v>
      </c>
      <c r="Q1609" s="609">
        <f t="shared" si="666"/>
        <v>7747.1404239997137</v>
      </c>
      <c r="R1609" s="603">
        <f t="shared" si="666"/>
        <v>9611.545046262705</v>
      </c>
    </row>
    <row r="1610" spans="2:18">
      <c r="B1610" s="595" t="s">
        <v>1049</v>
      </c>
      <c r="C1610" s="1844">
        <f t="shared" si="655"/>
        <v>0.22258785196908254</v>
      </c>
      <c r="D1610" s="609">
        <f t="shared" si="659"/>
        <v>0.23003170917414117</v>
      </c>
      <c r="E1610" s="609">
        <f t="shared" si="660"/>
        <v>0.24160190147772667</v>
      </c>
      <c r="F1610" s="609">
        <f t="shared" si="661"/>
        <v>0.2462172612161877</v>
      </c>
      <c r="G1610" s="609">
        <f t="shared" si="662"/>
        <v>0.24151294278137511</v>
      </c>
      <c r="H1610" s="609">
        <f t="shared" si="663"/>
        <v>0.24427810459945073</v>
      </c>
      <c r="I1610" s="609">
        <f t="shared" si="664"/>
        <v>0.24053386535904825</v>
      </c>
      <c r="J1610" s="603">
        <f t="shared" si="665"/>
        <v>0.24769508559624442</v>
      </c>
      <c r="K1610" s="1844">
        <f t="shared" si="657"/>
        <v>0</v>
      </c>
      <c r="L1610" s="609">
        <f t="shared" si="666"/>
        <v>0</v>
      </c>
      <c r="M1610" s="609">
        <f t="shared" si="666"/>
        <v>0</v>
      </c>
      <c r="N1610" s="609">
        <f t="shared" si="666"/>
        <v>0</v>
      </c>
      <c r="O1610" s="609">
        <f t="shared" si="666"/>
        <v>0</v>
      </c>
      <c r="P1610" s="609">
        <f t="shared" si="666"/>
        <v>0</v>
      </c>
      <c r="Q1610" s="609">
        <f t="shared" si="666"/>
        <v>0</v>
      </c>
      <c r="R1610" s="603">
        <f t="shared" si="666"/>
        <v>0</v>
      </c>
    </row>
    <row r="1611" spans="2:18">
      <c r="B1611" s="595" t="s">
        <v>1050</v>
      </c>
      <c r="C1611" s="1844">
        <f t="shared" si="655"/>
        <v>0.1574924544748374</v>
      </c>
      <c r="D1611" s="609">
        <f t="shared" si="659"/>
        <v>0.16369359916054563</v>
      </c>
      <c r="E1611" s="609">
        <f t="shared" si="660"/>
        <v>0.16959064327485379</v>
      </c>
      <c r="F1611" s="609">
        <f t="shared" si="661"/>
        <v>0.17064422990165118</v>
      </c>
      <c r="G1611" s="609">
        <f t="shared" si="662"/>
        <v>0.17642750937617896</v>
      </c>
      <c r="H1611" s="609">
        <f t="shared" si="663"/>
        <v>0.18606073179520216</v>
      </c>
      <c r="I1611" s="609">
        <f t="shared" si="664"/>
        <v>0.18378401616439533</v>
      </c>
      <c r="J1611" s="603">
        <f t="shared" si="665"/>
        <v>0.18675865279820539</v>
      </c>
      <c r="K1611" s="1844">
        <f t="shared" si="657"/>
        <v>0</v>
      </c>
      <c r="L1611" s="609">
        <f t="shared" si="666"/>
        <v>0</v>
      </c>
      <c r="M1611" s="609">
        <f t="shared" si="666"/>
        <v>0</v>
      </c>
      <c r="N1611" s="609">
        <f t="shared" si="666"/>
        <v>0</v>
      </c>
      <c r="O1611" s="609">
        <f t="shared" si="666"/>
        <v>0</v>
      </c>
      <c r="P1611" s="609">
        <f t="shared" si="666"/>
        <v>0</v>
      </c>
      <c r="Q1611" s="609">
        <f t="shared" si="666"/>
        <v>0</v>
      </c>
      <c r="R1611" s="603">
        <f t="shared" si="666"/>
        <v>0</v>
      </c>
    </row>
    <row r="1612" spans="2:18">
      <c r="B1612" s="595" t="s">
        <v>1051</v>
      </c>
      <c r="C1612" s="1844">
        <f t="shared" si="655"/>
        <v>0.18890456342608805</v>
      </c>
      <c r="D1612" s="609">
        <f t="shared" si="659"/>
        <v>0.19342004140512675</v>
      </c>
      <c r="E1612" s="609">
        <f t="shared" si="660"/>
        <v>0.20244967784414242</v>
      </c>
      <c r="F1612" s="609">
        <f t="shared" si="661"/>
        <v>0.25312907895499509</v>
      </c>
      <c r="G1612" s="609">
        <f t="shared" si="662"/>
        <v>0.26071208085589725</v>
      </c>
      <c r="H1612" s="609">
        <f t="shared" si="663"/>
        <v>0.27614286571190727</v>
      </c>
      <c r="I1612" s="609">
        <f t="shared" si="664"/>
        <v>0.2890659260342055</v>
      </c>
      <c r="J1612" s="603">
        <f t="shared" si="665"/>
        <v>0.28946888118269759</v>
      </c>
      <c r="K1612" s="1844">
        <f t="shared" si="657"/>
        <v>8.15272326365222</v>
      </c>
      <c r="L1612" s="609">
        <f t="shared" si="666"/>
        <v>8.9815294892019413</v>
      </c>
      <c r="M1612" s="609">
        <f t="shared" si="666"/>
        <v>9.8285460659361323</v>
      </c>
      <c r="N1612" s="609">
        <f t="shared" si="666"/>
        <v>10.692685890291655</v>
      </c>
      <c r="O1612" s="609">
        <f t="shared" si="666"/>
        <v>12.485618726157842</v>
      </c>
      <c r="P1612" s="609">
        <f t="shared" si="666"/>
        <v>14.641058164831323</v>
      </c>
      <c r="Q1612" s="609">
        <f t="shared" si="666"/>
        <v>16.445695073819618</v>
      </c>
      <c r="R1612" s="603">
        <f t="shared" si="666"/>
        <v>17.290016426355177</v>
      </c>
    </row>
    <row r="1613" spans="2:18">
      <c r="B1613" s="595" t="s">
        <v>1052</v>
      </c>
      <c r="C1613" s="1844">
        <f t="shared" si="655"/>
        <v>247.48352959674352</v>
      </c>
      <c r="D1613" s="609">
        <f t="shared" si="659"/>
        <v>267.72895209064552</v>
      </c>
      <c r="E1613" s="609">
        <f t="shared" si="660"/>
        <v>282.57938302012548</v>
      </c>
      <c r="F1613" s="609">
        <f t="shared" si="661"/>
        <v>291.66583080707062</v>
      </c>
      <c r="G1613" s="609">
        <f t="shared" si="662"/>
        <v>299.72290485945609</v>
      </c>
      <c r="H1613" s="609">
        <f t="shared" si="663"/>
        <v>316.65366584542664</v>
      </c>
      <c r="I1613" s="609">
        <f t="shared" si="664"/>
        <v>314.39922614721985</v>
      </c>
      <c r="J1613" s="603">
        <f t="shared" si="665"/>
        <v>323.47669102708119</v>
      </c>
      <c r="K1613" s="1844">
        <f t="shared" si="657"/>
        <v>4271.3674102437144</v>
      </c>
      <c r="L1613" s="609">
        <f t="shared" si="666"/>
        <v>5258.6895930289475</v>
      </c>
      <c r="M1613" s="609">
        <f t="shared" si="666"/>
        <v>5823.1997971224937</v>
      </c>
      <c r="N1613" s="609">
        <f t="shared" si="666"/>
        <v>6410.7480923717285</v>
      </c>
      <c r="O1613" s="609">
        <f t="shared" si="666"/>
        <v>6864.8915966444674</v>
      </c>
      <c r="P1613" s="609">
        <f t="shared" si="666"/>
        <v>8149.0048579306294</v>
      </c>
      <c r="Q1613" s="609">
        <f t="shared" si="666"/>
        <v>8521.9896178388881</v>
      </c>
      <c r="R1613" s="603">
        <f t="shared" si="666"/>
        <v>9787.9224927827581</v>
      </c>
    </row>
    <row r="1614" spans="2:18">
      <c r="B1614" s="595" t="s">
        <v>1053</v>
      </c>
      <c r="C1614" s="1844">
        <f t="shared" si="655"/>
        <v>0.18626360024706962</v>
      </c>
      <c r="D1614" s="609">
        <f t="shared" si="659"/>
        <v>0.1856194926122344</v>
      </c>
      <c r="E1614" s="609">
        <f t="shared" si="660"/>
        <v>0.18629999171351641</v>
      </c>
      <c r="F1614" s="609">
        <f t="shared" si="661"/>
        <v>0.19572466012793865</v>
      </c>
      <c r="G1614" s="609">
        <f t="shared" si="662"/>
        <v>0.19821400391862562</v>
      </c>
      <c r="H1614" s="609">
        <f t="shared" si="663"/>
        <v>0.20188172977193905</v>
      </c>
      <c r="I1614" s="609">
        <f t="shared" si="664"/>
        <v>0.20750972970660705</v>
      </c>
      <c r="J1614" s="603">
        <f t="shared" si="665"/>
        <v>0.20862124687991976</v>
      </c>
      <c r="K1614" s="1844">
        <f t="shared" si="657"/>
        <v>3.9982082643356875</v>
      </c>
      <c r="L1614" s="609">
        <f t="shared" si="666"/>
        <v>4.4812157251537359</v>
      </c>
      <c r="M1614" s="609">
        <f t="shared" si="666"/>
        <v>5.2686279567282153</v>
      </c>
      <c r="N1614" s="609">
        <f t="shared" si="666"/>
        <v>6.2998605335963331</v>
      </c>
      <c r="O1614" s="609">
        <f t="shared" si="666"/>
        <v>7.0624018234554082</v>
      </c>
      <c r="P1614" s="609">
        <f t="shared" si="666"/>
        <v>7.5874815487901008</v>
      </c>
      <c r="Q1614" s="609">
        <f t="shared" si="666"/>
        <v>8.4597787215140094</v>
      </c>
      <c r="R1614" s="603">
        <f t="shared" si="666"/>
        <v>9.4282115783554854</v>
      </c>
    </row>
    <row r="1615" spans="2:18">
      <c r="B1615" s="595" t="s">
        <v>1054</v>
      </c>
      <c r="C1615" s="1844">
        <f t="shared" si="655"/>
        <v>0</v>
      </c>
      <c r="D1615" s="609">
        <f t="shared" si="659"/>
        <v>0</v>
      </c>
      <c r="E1615" s="609">
        <f t="shared" si="660"/>
        <v>0</v>
      </c>
      <c r="F1615" s="609">
        <f t="shared" si="661"/>
        <v>0</v>
      </c>
      <c r="G1615" s="609">
        <f t="shared" si="662"/>
        <v>0</v>
      </c>
      <c r="H1615" s="609">
        <f t="shared" si="663"/>
        <v>0</v>
      </c>
      <c r="I1615" s="609">
        <f t="shared" si="664"/>
        <v>0</v>
      </c>
      <c r="J1615" s="603">
        <f t="shared" si="665"/>
        <v>0</v>
      </c>
      <c r="K1615" s="1844">
        <f t="shared" si="657"/>
        <v>0</v>
      </c>
      <c r="L1615" s="609">
        <f t="shared" si="666"/>
        <v>0</v>
      </c>
      <c r="M1615" s="609">
        <f t="shared" si="666"/>
        <v>0</v>
      </c>
      <c r="N1615" s="609">
        <f t="shared" si="666"/>
        <v>0</v>
      </c>
      <c r="O1615" s="609">
        <f t="shared" si="666"/>
        <v>0</v>
      </c>
      <c r="P1615" s="609">
        <f t="shared" si="666"/>
        <v>0</v>
      </c>
      <c r="Q1615" s="609">
        <f t="shared" si="666"/>
        <v>0</v>
      </c>
      <c r="R1615" s="603">
        <f t="shared" si="666"/>
        <v>0</v>
      </c>
    </row>
    <row r="1616" spans="2:18">
      <c r="B1616" s="604" t="s">
        <v>1055</v>
      </c>
      <c r="C1616" s="610">
        <f t="shared" si="655"/>
        <v>0.32556753184875525</v>
      </c>
      <c r="D1616" s="617">
        <f t="shared" si="659"/>
        <v>0.32748818782707145</v>
      </c>
      <c r="E1616" s="617">
        <f t="shared" si="660"/>
        <v>0.33754463972464632</v>
      </c>
      <c r="F1616" s="617">
        <f t="shared" si="661"/>
        <v>0.34570882471530617</v>
      </c>
      <c r="G1616" s="617">
        <f t="shared" si="662"/>
        <v>0.35020780713261473</v>
      </c>
      <c r="H1616" s="617">
        <f t="shared" si="663"/>
        <v>0.36290721672159154</v>
      </c>
      <c r="I1616" s="617">
        <f t="shared" si="664"/>
        <v>0.3651063674111471</v>
      </c>
      <c r="J1616" s="618">
        <f t="shared" si="665"/>
        <v>0.35903413237317905</v>
      </c>
      <c r="K1616" s="610">
        <f t="shared" si="657"/>
        <v>11.351751932406827</v>
      </c>
      <c r="L1616" s="617">
        <f t="shared" si="666"/>
        <v>11.585820798759991</v>
      </c>
      <c r="M1616" s="617">
        <f t="shared" si="666"/>
        <v>12.133141787213928</v>
      </c>
      <c r="N1616" s="617">
        <f t="shared" si="666"/>
        <v>12.556822663166825</v>
      </c>
      <c r="O1616" s="617">
        <f t="shared" si="666"/>
        <v>13.812607922495188</v>
      </c>
      <c r="P1616" s="617">
        <f t="shared" si="666"/>
        <v>14.191505038545147</v>
      </c>
      <c r="Q1616" s="617">
        <f t="shared" si="666"/>
        <v>14.064277744242625</v>
      </c>
      <c r="R1616" s="618">
        <f t="shared" si="666"/>
        <v>14.802297233462857</v>
      </c>
    </row>
    <row r="1617" spans="2:18">
      <c r="B1617" s="57"/>
      <c r="C1617" s="582"/>
      <c r="D1617" s="582"/>
      <c r="E1617" s="582"/>
      <c r="F1617" s="582"/>
      <c r="G1617" s="582"/>
      <c r="H1617" s="582"/>
      <c r="I1617" s="582"/>
      <c r="J1617" s="582"/>
      <c r="K1617" s="582"/>
      <c r="L1617" s="582"/>
      <c r="M1617" s="582"/>
      <c r="N1617" s="582"/>
      <c r="O1617" s="582"/>
      <c r="P1617" s="582"/>
      <c r="Q1617" s="582"/>
    </row>
    <row r="1618" spans="2:18">
      <c r="B1618" s="2157" t="s">
        <v>1180</v>
      </c>
      <c r="C1618" s="2157"/>
      <c r="D1618" s="2157"/>
      <c r="E1618" s="2157"/>
      <c r="F1618" s="2157"/>
      <c r="G1618" s="2157"/>
      <c r="H1618" s="2157"/>
      <c r="I1618" s="2157"/>
      <c r="J1618" s="2157"/>
      <c r="K1618" s="2157"/>
      <c r="L1618" s="2157"/>
      <c r="M1618" s="2157"/>
      <c r="N1618" s="2157"/>
      <c r="O1618" s="2157"/>
      <c r="P1618" s="2157"/>
      <c r="Q1618" s="2157"/>
      <c r="R1618" s="2157"/>
    </row>
    <row r="1619" spans="2:18">
      <c r="B1619" s="57"/>
      <c r="C1619" s="582"/>
      <c r="D1619" s="582"/>
      <c r="E1619" s="582"/>
      <c r="F1619" s="582"/>
      <c r="G1619" s="582"/>
      <c r="H1619" s="582"/>
      <c r="I1619" s="582"/>
      <c r="J1619" s="582"/>
      <c r="K1619" s="582"/>
      <c r="L1619" s="582"/>
      <c r="M1619" s="582"/>
      <c r="N1619" s="582"/>
      <c r="O1619" s="582"/>
      <c r="P1619" s="582"/>
      <c r="Q1619" s="582"/>
    </row>
    <row r="1620" spans="2:18">
      <c r="B1620" s="583"/>
      <c r="C1620" s="2161" t="s">
        <v>372</v>
      </c>
      <c r="D1620" s="2162"/>
      <c r="E1620" s="2162"/>
      <c r="F1620" s="2162"/>
      <c r="G1620" s="2162"/>
      <c r="H1620" s="2162"/>
      <c r="I1620" s="2162"/>
      <c r="J1620" s="2163"/>
      <c r="K1620" s="2161" t="s">
        <v>1174</v>
      </c>
      <c r="L1620" s="2162"/>
      <c r="M1620" s="2162"/>
      <c r="N1620" s="2162"/>
      <c r="O1620" s="2162"/>
      <c r="P1620" s="2162"/>
      <c r="Q1620" s="2162"/>
      <c r="R1620" s="2163"/>
    </row>
    <row r="1621" spans="2:18">
      <c r="B1621" s="57"/>
      <c r="C1621" s="585">
        <v>2014</v>
      </c>
      <c r="D1621" s="586">
        <v>2015</v>
      </c>
      <c r="E1621" s="586">
        <v>2016</v>
      </c>
      <c r="F1621" s="586">
        <v>2017</v>
      </c>
      <c r="G1621" s="586">
        <v>2018</v>
      </c>
      <c r="H1621" s="586">
        <v>2019</v>
      </c>
      <c r="I1621" s="586">
        <v>2020</v>
      </c>
      <c r="J1621" s="586">
        <v>2021</v>
      </c>
      <c r="K1621" s="638">
        <v>2014</v>
      </c>
      <c r="L1621" s="639">
        <v>2015</v>
      </c>
      <c r="M1621" s="639">
        <v>2016</v>
      </c>
      <c r="N1621" s="639">
        <v>2017</v>
      </c>
      <c r="O1621" s="639">
        <v>2018</v>
      </c>
      <c r="P1621" s="639">
        <v>2019</v>
      </c>
      <c r="Q1621" s="639">
        <v>2020</v>
      </c>
      <c r="R1621" s="640">
        <v>2021</v>
      </c>
    </row>
    <row r="1622" spans="2:18">
      <c r="B1622" s="589" t="s">
        <v>1038</v>
      </c>
      <c r="C1622" s="614">
        <f t="shared" ref="C1622:J1628" si="667">(C1530/K6*1000)</f>
        <v>0</v>
      </c>
      <c r="D1622" s="615">
        <f t="shared" si="667"/>
        <v>0</v>
      </c>
      <c r="E1622" s="615">
        <f t="shared" si="667"/>
        <v>0</v>
      </c>
      <c r="F1622" s="615">
        <f t="shared" si="667"/>
        <v>0</v>
      </c>
      <c r="G1622" s="615">
        <f t="shared" si="667"/>
        <v>0</v>
      </c>
      <c r="H1622" s="615">
        <f t="shared" si="667"/>
        <v>0</v>
      </c>
      <c r="I1622" s="615">
        <f t="shared" si="667"/>
        <v>0</v>
      </c>
      <c r="J1622" s="616">
        <f t="shared" si="667"/>
        <v>0</v>
      </c>
      <c r="K1622" s="614">
        <f t="shared" ref="K1622:R1628" si="668">(K1530/K6*1000)</f>
        <v>0</v>
      </c>
      <c r="L1622" s="615">
        <f t="shared" si="668"/>
        <v>0</v>
      </c>
      <c r="M1622" s="615">
        <f t="shared" si="668"/>
        <v>0</v>
      </c>
      <c r="N1622" s="615">
        <f t="shared" si="668"/>
        <v>0</v>
      </c>
      <c r="O1622" s="615">
        <f t="shared" si="668"/>
        <v>0</v>
      </c>
      <c r="P1622" s="615">
        <f t="shared" si="668"/>
        <v>0</v>
      </c>
      <c r="Q1622" s="615">
        <f t="shared" si="668"/>
        <v>0</v>
      </c>
      <c r="R1622" s="616">
        <f t="shared" si="668"/>
        <v>0</v>
      </c>
    </row>
    <row r="1623" spans="2:18">
      <c r="B1623" s="595" t="s">
        <v>1039</v>
      </c>
      <c r="C1623" s="1844">
        <f t="shared" si="667"/>
        <v>0</v>
      </c>
      <c r="D1623" s="609">
        <f t="shared" si="667"/>
        <v>0</v>
      </c>
      <c r="E1623" s="609">
        <f t="shared" si="667"/>
        <v>0</v>
      </c>
      <c r="F1623" s="609">
        <f t="shared" si="667"/>
        <v>0</v>
      </c>
      <c r="G1623" s="609">
        <f t="shared" si="667"/>
        <v>0</v>
      </c>
      <c r="H1623" s="609">
        <f t="shared" si="667"/>
        <v>0</v>
      </c>
      <c r="I1623" s="609">
        <f t="shared" si="667"/>
        <v>0</v>
      </c>
      <c r="J1623" s="603">
        <f t="shared" si="667"/>
        <v>0</v>
      </c>
      <c r="K1623" s="1844">
        <f t="shared" si="668"/>
        <v>0</v>
      </c>
      <c r="L1623" s="609">
        <f t="shared" si="668"/>
        <v>0</v>
      </c>
      <c r="M1623" s="609">
        <f t="shared" si="668"/>
        <v>0</v>
      </c>
      <c r="N1623" s="609">
        <f t="shared" si="668"/>
        <v>0</v>
      </c>
      <c r="O1623" s="609">
        <f t="shared" si="668"/>
        <v>0</v>
      </c>
      <c r="P1623" s="609">
        <f t="shared" si="668"/>
        <v>0</v>
      </c>
      <c r="Q1623" s="609">
        <f t="shared" si="668"/>
        <v>0</v>
      </c>
      <c r="R1623" s="603">
        <f t="shared" si="668"/>
        <v>0</v>
      </c>
    </row>
    <row r="1624" spans="2:18">
      <c r="B1624" s="595" t="s">
        <v>1040</v>
      </c>
      <c r="C1624" s="1844">
        <f t="shared" si="667"/>
        <v>0</v>
      </c>
      <c r="D1624" s="609">
        <f t="shared" si="667"/>
        <v>0</v>
      </c>
      <c r="E1624" s="609">
        <f t="shared" si="667"/>
        <v>0</v>
      </c>
      <c r="F1624" s="609">
        <f t="shared" si="667"/>
        <v>0</v>
      </c>
      <c r="G1624" s="609">
        <f t="shared" si="667"/>
        <v>0</v>
      </c>
      <c r="H1624" s="609">
        <f t="shared" si="667"/>
        <v>0</v>
      </c>
      <c r="I1624" s="609">
        <f t="shared" si="667"/>
        <v>0</v>
      </c>
      <c r="J1624" s="603">
        <f t="shared" si="667"/>
        <v>0</v>
      </c>
      <c r="K1624" s="1844">
        <f t="shared" si="668"/>
        <v>0</v>
      </c>
      <c r="L1624" s="609">
        <f t="shared" si="668"/>
        <v>0</v>
      </c>
      <c r="M1624" s="609">
        <f t="shared" si="668"/>
        <v>0</v>
      </c>
      <c r="N1624" s="609">
        <f t="shared" si="668"/>
        <v>0</v>
      </c>
      <c r="O1624" s="609">
        <f t="shared" si="668"/>
        <v>0</v>
      </c>
      <c r="P1624" s="609">
        <f t="shared" si="668"/>
        <v>0</v>
      </c>
      <c r="Q1624" s="609">
        <f t="shared" si="668"/>
        <v>0</v>
      </c>
      <c r="R1624" s="603">
        <f t="shared" si="668"/>
        <v>0</v>
      </c>
    </row>
    <row r="1625" spans="2:18">
      <c r="B1625" s="595" t="s">
        <v>1041</v>
      </c>
      <c r="C1625" s="1844">
        <f t="shared" si="667"/>
        <v>0</v>
      </c>
      <c r="D1625" s="609">
        <f t="shared" si="667"/>
        <v>0</v>
      </c>
      <c r="E1625" s="609">
        <f t="shared" si="667"/>
        <v>0</v>
      </c>
      <c r="F1625" s="609">
        <f t="shared" si="667"/>
        <v>0</v>
      </c>
      <c r="G1625" s="609">
        <f t="shared" si="667"/>
        <v>0</v>
      </c>
      <c r="H1625" s="609">
        <f t="shared" si="667"/>
        <v>0</v>
      </c>
      <c r="I1625" s="609">
        <f t="shared" si="667"/>
        <v>0</v>
      </c>
      <c r="J1625" s="603">
        <f t="shared" si="667"/>
        <v>0</v>
      </c>
      <c r="K1625" s="1844">
        <f t="shared" si="668"/>
        <v>0</v>
      </c>
      <c r="L1625" s="609">
        <f t="shared" si="668"/>
        <v>0</v>
      </c>
      <c r="M1625" s="609">
        <f t="shared" si="668"/>
        <v>0</v>
      </c>
      <c r="N1625" s="609">
        <f t="shared" si="668"/>
        <v>0</v>
      </c>
      <c r="O1625" s="609">
        <f t="shared" si="668"/>
        <v>0</v>
      </c>
      <c r="P1625" s="609">
        <f t="shared" si="668"/>
        <v>0</v>
      </c>
      <c r="Q1625" s="609">
        <f t="shared" si="668"/>
        <v>0</v>
      </c>
      <c r="R1625" s="603">
        <f t="shared" si="668"/>
        <v>0</v>
      </c>
    </row>
    <row r="1626" spans="2:18">
      <c r="B1626" s="595" t="s">
        <v>1042</v>
      </c>
      <c r="C1626" s="1844">
        <f t="shared" si="667"/>
        <v>0</v>
      </c>
      <c r="D1626" s="609">
        <f t="shared" si="667"/>
        <v>0</v>
      </c>
      <c r="E1626" s="609">
        <f t="shared" si="667"/>
        <v>0</v>
      </c>
      <c r="F1626" s="609">
        <f t="shared" si="667"/>
        <v>0</v>
      </c>
      <c r="G1626" s="609">
        <f t="shared" si="667"/>
        <v>0</v>
      </c>
      <c r="H1626" s="609">
        <f t="shared" si="667"/>
        <v>0</v>
      </c>
      <c r="I1626" s="609">
        <f t="shared" si="667"/>
        <v>0</v>
      </c>
      <c r="J1626" s="603">
        <f t="shared" si="667"/>
        <v>0</v>
      </c>
      <c r="K1626" s="1844">
        <f t="shared" si="668"/>
        <v>0</v>
      </c>
      <c r="L1626" s="609">
        <f t="shared" si="668"/>
        <v>0</v>
      </c>
      <c r="M1626" s="609">
        <f t="shared" si="668"/>
        <v>0</v>
      </c>
      <c r="N1626" s="609">
        <f t="shared" si="668"/>
        <v>0</v>
      </c>
      <c r="O1626" s="609">
        <f t="shared" si="668"/>
        <v>0</v>
      </c>
      <c r="P1626" s="609">
        <f t="shared" si="668"/>
        <v>0</v>
      </c>
      <c r="Q1626" s="609">
        <f t="shared" si="668"/>
        <v>0</v>
      </c>
      <c r="R1626" s="603">
        <f t="shared" si="668"/>
        <v>0</v>
      </c>
    </row>
    <row r="1627" spans="2:18">
      <c r="B1627" s="595" t="s">
        <v>1043</v>
      </c>
      <c r="C1627" s="1844">
        <f t="shared" si="667"/>
        <v>0</v>
      </c>
      <c r="D1627" s="609">
        <f t="shared" si="667"/>
        <v>0</v>
      </c>
      <c r="E1627" s="609">
        <f t="shared" si="667"/>
        <v>0</v>
      </c>
      <c r="F1627" s="609">
        <f t="shared" si="667"/>
        <v>0</v>
      </c>
      <c r="G1627" s="609">
        <f t="shared" si="667"/>
        <v>0</v>
      </c>
      <c r="H1627" s="609">
        <f t="shared" si="667"/>
        <v>0</v>
      </c>
      <c r="I1627" s="609">
        <f t="shared" si="667"/>
        <v>0</v>
      </c>
      <c r="J1627" s="603">
        <f t="shared" si="667"/>
        <v>0</v>
      </c>
      <c r="K1627" s="1844">
        <f t="shared" si="668"/>
        <v>0</v>
      </c>
      <c r="L1627" s="609">
        <f t="shared" si="668"/>
        <v>0</v>
      </c>
      <c r="M1627" s="609">
        <f t="shared" si="668"/>
        <v>0</v>
      </c>
      <c r="N1627" s="609">
        <f t="shared" si="668"/>
        <v>0</v>
      </c>
      <c r="O1627" s="609">
        <f t="shared" si="668"/>
        <v>0</v>
      </c>
      <c r="P1627" s="609">
        <f t="shared" si="668"/>
        <v>0</v>
      </c>
      <c r="Q1627" s="609">
        <f t="shared" si="668"/>
        <v>0</v>
      </c>
      <c r="R1627" s="603">
        <f t="shared" si="668"/>
        <v>0</v>
      </c>
    </row>
    <row r="1628" spans="2:18">
      <c r="B1628" s="595" t="s">
        <v>1044</v>
      </c>
      <c r="C1628" s="1844">
        <f t="shared" si="667"/>
        <v>0</v>
      </c>
      <c r="D1628" s="609">
        <f t="shared" si="667"/>
        <v>0</v>
      </c>
      <c r="E1628" s="609">
        <f t="shared" si="667"/>
        <v>0</v>
      </c>
      <c r="F1628" s="609">
        <f t="shared" si="667"/>
        <v>0</v>
      </c>
      <c r="G1628" s="609">
        <f t="shared" si="667"/>
        <v>0</v>
      </c>
      <c r="H1628" s="609">
        <f t="shared" si="667"/>
        <v>0</v>
      </c>
      <c r="I1628" s="609">
        <f t="shared" si="667"/>
        <v>0</v>
      </c>
      <c r="J1628" s="603">
        <f t="shared" si="667"/>
        <v>0</v>
      </c>
      <c r="K1628" s="1844">
        <f t="shared" si="668"/>
        <v>0</v>
      </c>
      <c r="L1628" s="609">
        <f t="shared" si="668"/>
        <v>0</v>
      </c>
      <c r="M1628" s="609">
        <f t="shared" si="668"/>
        <v>0</v>
      </c>
      <c r="N1628" s="609">
        <f t="shared" si="668"/>
        <v>0</v>
      </c>
      <c r="O1628" s="609">
        <f t="shared" si="668"/>
        <v>0</v>
      </c>
      <c r="P1628" s="609">
        <f t="shared" si="668"/>
        <v>0</v>
      </c>
      <c r="Q1628" s="609">
        <f t="shared" si="668"/>
        <v>0</v>
      </c>
      <c r="R1628" s="603">
        <f t="shared" si="668"/>
        <v>0</v>
      </c>
    </row>
    <row r="1629" spans="2:18">
      <c r="B1629" s="595" t="s">
        <v>1061</v>
      </c>
      <c r="C1629" s="1844">
        <f t="shared" ref="C1629:C1638" si="669">(C1537/K15*1000)</f>
        <v>0</v>
      </c>
      <c r="D1629" s="609">
        <f t="shared" ref="D1629:J1629" si="670">(D1537/L15*1000)</f>
        <v>29.737903225806452</v>
      </c>
      <c r="E1629" s="609">
        <f t="shared" si="670"/>
        <v>30.281760254878535</v>
      </c>
      <c r="F1629" s="609">
        <f t="shared" si="670"/>
        <v>28.551490379822546</v>
      </c>
      <c r="G1629" s="609">
        <f t="shared" si="670"/>
        <v>34.797838270616495</v>
      </c>
      <c r="H1629" s="609">
        <f t="shared" si="670"/>
        <v>29.738726924240897</v>
      </c>
      <c r="I1629" s="609">
        <f t="shared" si="670"/>
        <v>31.898089171974522</v>
      </c>
      <c r="J1629" s="603">
        <f t="shared" si="670"/>
        <v>43.238233931290132</v>
      </c>
      <c r="K1629" s="1844">
        <f t="shared" ref="K1629:K1637" si="671">(K1537/K15*1000)</f>
        <v>0</v>
      </c>
      <c r="L1629" s="609">
        <f t="shared" ref="L1629:R1629" si="672">(L1537/L15*1000)</f>
        <v>0</v>
      </c>
      <c r="M1629" s="609">
        <f t="shared" si="672"/>
        <v>0</v>
      </c>
      <c r="N1629" s="609">
        <f t="shared" si="672"/>
        <v>0</v>
      </c>
      <c r="O1629" s="609">
        <f t="shared" si="672"/>
        <v>0</v>
      </c>
      <c r="P1629" s="609">
        <f t="shared" si="672"/>
        <v>0</v>
      </c>
      <c r="Q1629" s="609">
        <f t="shared" si="672"/>
        <v>0</v>
      </c>
      <c r="R1629" s="603">
        <f t="shared" si="672"/>
        <v>0</v>
      </c>
    </row>
    <row r="1630" spans="2:18">
      <c r="B1630" s="595" t="s">
        <v>1047</v>
      </c>
      <c r="C1630" s="1844">
        <f t="shared" si="669"/>
        <v>0</v>
      </c>
      <c r="D1630" s="609">
        <f t="shared" ref="D1630:D1638" si="673">(D1538/L16*1000)</f>
        <v>0</v>
      </c>
      <c r="E1630" s="609">
        <f t="shared" ref="E1630:E1638" si="674">(E1538/M16*1000)</f>
        <v>0</v>
      </c>
      <c r="F1630" s="609">
        <f t="shared" ref="F1630:F1638" si="675">(F1538/N16*1000)</f>
        <v>0</v>
      </c>
      <c r="G1630" s="609">
        <f t="shared" ref="G1630:G1638" si="676">(G1538/O16*1000)</f>
        <v>0</v>
      </c>
      <c r="H1630" s="609">
        <f t="shared" ref="H1630:H1638" si="677">(H1538/P16*1000)</f>
        <v>0</v>
      </c>
      <c r="I1630" s="609">
        <f t="shared" ref="I1630:I1638" si="678">(I1538/Q16*1000)</f>
        <v>0</v>
      </c>
      <c r="J1630" s="603">
        <f t="shared" ref="J1630:J1638" si="679">(J1538/R16*1000)</f>
        <v>0</v>
      </c>
      <c r="K1630" s="1844">
        <f t="shared" si="671"/>
        <v>0</v>
      </c>
      <c r="L1630" s="609">
        <f t="shared" ref="L1630:R1637" si="680">(L1538/L16*1000)</f>
        <v>0</v>
      </c>
      <c r="M1630" s="609">
        <f t="shared" si="680"/>
        <v>0</v>
      </c>
      <c r="N1630" s="609">
        <f t="shared" si="680"/>
        <v>0</v>
      </c>
      <c r="O1630" s="609">
        <f t="shared" si="680"/>
        <v>0</v>
      </c>
      <c r="P1630" s="609">
        <f t="shared" si="680"/>
        <v>0</v>
      </c>
      <c r="Q1630" s="609">
        <f t="shared" si="680"/>
        <v>0</v>
      </c>
      <c r="R1630" s="603">
        <f t="shared" si="680"/>
        <v>0</v>
      </c>
    </row>
    <row r="1631" spans="2:18">
      <c r="B1631" s="595" t="s">
        <v>1048</v>
      </c>
      <c r="C1631" s="1844">
        <f t="shared" si="669"/>
        <v>0</v>
      </c>
      <c r="D1631" s="609">
        <f t="shared" si="673"/>
        <v>0</v>
      </c>
      <c r="E1631" s="609">
        <f t="shared" si="674"/>
        <v>0</v>
      </c>
      <c r="F1631" s="609">
        <f t="shared" si="675"/>
        <v>0</v>
      </c>
      <c r="G1631" s="609">
        <f t="shared" si="676"/>
        <v>0</v>
      </c>
      <c r="H1631" s="609">
        <f t="shared" si="677"/>
        <v>0</v>
      </c>
      <c r="I1631" s="609">
        <f t="shared" si="678"/>
        <v>0</v>
      </c>
      <c r="J1631" s="603">
        <f t="shared" si="679"/>
        <v>0</v>
      </c>
      <c r="K1631" s="1844">
        <f t="shared" si="671"/>
        <v>0</v>
      </c>
      <c r="L1631" s="609">
        <f t="shared" si="680"/>
        <v>0</v>
      </c>
      <c r="M1631" s="609">
        <f t="shared" si="680"/>
        <v>0</v>
      </c>
      <c r="N1631" s="609">
        <f t="shared" si="680"/>
        <v>0</v>
      </c>
      <c r="O1631" s="609">
        <f t="shared" si="680"/>
        <v>0</v>
      </c>
      <c r="P1631" s="609">
        <f t="shared" si="680"/>
        <v>0</v>
      </c>
      <c r="Q1631" s="609">
        <f t="shared" si="680"/>
        <v>0</v>
      </c>
      <c r="R1631" s="603">
        <f t="shared" si="680"/>
        <v>0</v>
      </c>
    </row>
    <row r="1632" spans="2:18">
      <c r="B1632" s="595" t="s">
        <v>1049</v>
      </c>
      <c r="C1632" s="1844">
        <f t="shared" si="669"/>
        <v>0</v>
      </c>
      <c r="D1632" s="609">
        <f t="shared" si="673"/>
        <v>0</v>
      </c>
      <c r="E1632" s="609">
        <f t="shared" si="674"/>
        <v>0</v>
      </c>
      <c r="F1632" s="609">
        <f t="shared" si="675"/>
        <v>0</v>
      </c>
      <c r="G1632" s="609">
        <f t="shared" si="676"/>
        <v>0</v>
      </c>
      <c r="H1632" s="609">
        <f t="shared" si="677"/>
        <v>0</v>
      </c>
      <c r="I1632" s="609">
        <f t="shared" si="678"/>
        <v>0</v>
      </c>
      <c r="J1632" s="603">
        <f t="shared" si="679"/>
        <v>0</v>
      </c>
      <c r="K1632" s="1844">
        <f t="shared" si="671"/>
        <v>0</v>
      </c>
      <c r="L1632" s="609">
        <f t="shared" si="680"/>
        <v>0</v>
      </c>
      <c r="M1632" s="609">
        <f t="shared" si="680"/>
        <v>0</v>
      </c>
      <c r="N1632" s="609">
        <f t="shared" si="680"/>
        <v>0</v>
      </c>
      <c r="O1632" s="609">
        <f t="shared" si="680"/>
        <v>0</v>
      </c>
      <c r="P1632" s="609">
        <f t="shared" si="680"/>
        <v>0</v>
      </c>
      <c r="Q1632" s="609">
        <f t="shared" si="680"/>
        <v>0</v>
      </c>
      <c r="R1632" s="603">
        <f t="shared" si="680"/>
        <v>0</v>
      </c>
    </row>
    <row r="1633" spans="2:18">
      <c r="B1633" s="595" t="s">
        <v>1050</v>
      </c>
      <c r="C1633" s="1844">
        <f t="shared" si="669"/>
        <v>0</v>
      </c>
      <c r="D1633" s="609">
        <f t="shared" si="673"/>
        <v>0</v>
      </c>
      <c r="E1633" s="609">
        <f t="shared" si="674"/>
        <v>0</v>
      </c>
      <c r="F1633" s="609">
        <f t="shared" si="675"/>
        <v>0</v>
      </c>
      <c r="G1633" s="609">
        <f t="shared" si="676"/>
        <v>0</v>
      </c>
      <c r="H1633" s="609">
        <f t="shared" si="677"/>
        <v>0</v>
      </c>
      <c r="I1633" s="609">
        <f t="shared" si="678"/>
        <v>0</v>
      </c>
      <c r="J1633" s="603">
        <f t="shared" si="679"/>
        <v>0</v>
      </c>
      <c r="K1633" s="1844">
        <f t="shared" si="671"/>
        <v>0</v>
      </c>
      <c r="L1633" s="609">
        <f t="shared" si="680"/>
        <v>0</v>
      </c>
      <c r="M1633" s="609">
        <f t="shared" si="680"/>
        <v>0</v>
      </c>
      <c r="N1633" s="609">
        <f t="shared" si="680"/>
        <v>0</v>
      </c>
      <c r="O1633" s="609">
        <f t="shared" si="680"/>
        <v>0</v>
      </c>
      <c r="P1633" s="609">
        <f t="shared" si="680"/>
        <v>0</v>
      </c>
      <c r="Q1633" s="609">
        <f t="shared" si="680"/>
        <v>0</v>
      </c>
      <c r="R1633" s="603">
        <f t="shared" si="680"/>
        <v>0</v>
      </c>
    </row>
    <row r="1634" spans="2:18">
      <c r="B1634" s="595" t="s">
        <v>1051</v>
      </c>
      <c r="C1634" s="1844">
        <f t="shared" si="669"/>
        <v>0</v>
      </c>
      <c r="D1634" s="609">
        <f t="shared" si="673"/>
        <v>0</v>
      </c>
      <c r="E1634" s="609">
        <f t="shared" si="674"/>
        <v>0</v>
      </c>
      <c r="F1634" s="609">
        <f t="shared" si="675"/>
        <v>0</v>
      </c>
      <c r="G1634" s="609">
        <f t="shared" si="676"/>
        <v>0</v>
      </c>
      <c r="H1634" s="609">
        <f t="shared" si="677"/>
        <v>0</v>
      </c>
      <c r="I1634" s="609">
        <f t="shared" si="678"/>
        <v>0</v>
      </c>
      <c r="J1634" s="603">
        <f t="shared" si="679"/>
        <v>0</v>
      </c>
      <c r="K1634" s="1844">
        <f t="shared" si="671"/>
        <v>0</v>
      </c>
      <c r="L1634" s="609">
        <f t="shared" si="680"/>
        <v>0</v>
      </c>
      <c r="M1634" s="609">
        <f t="shared" si="680"/>
        <v>0</v>
      </c>
      <c r="N1634" s="609">
        <f t="shared" si="680"/>
        <v>0</v>
      </c>
      <c r="O1634" s="609">
        <f t="shared" si="680"/>
        <v>0</v>
      </c>
      <c r="P1634" s="609">
        <f t="shared" si="680"/>
        <v>0</v>
      </c>
      <c r="Q1634" s="609">
        <f t="shared" si="680"/>
        <v>0</v>
      </c>
      <c r="R1634" s="603">
        <f t="shared" si="680"/>
        <v>0</v>
      </c>
    </row>
    <row r="1635" spans="2:18">
      <c r="B1635" s="595" t="s">
        <v>1052</v>
      </c>
      <c r="C1635" s="1844">
        <f t="shared" si="669"/>
        <v>0</v>
      </c>
      <c r="D1635" s="609">
        <f t="shared" si="673"/>
        <v>0</v>
      </c>
      <c r="E1635" s="609">
        <f t="shared" si="674"/>
        <v>0</v>
      </c>
      <c r="F1635" s="609">
        <f t="shared" si="675"/>
        <v>0</v>
      </c>
      <c r="G1635" s="609">
        <f t="shared" si="676"/>
        <v>0</v>
      </c>
      <c r="H1635" s="609">
        <f t="shared" si="677"/>
        <v>0</v>
      </c>
      <c r="I1635" s="609">
        <f t="shared" si="678"/>
        <v>0</v>
      </c>
      <c r="J1635" s="603">
        <f t="shared" si="679"/>
        <v>0</v>
      </c>
      <c r="K1635" s="1844">
        <f t="shared" si="671"/>
        <v>0</v>
      </c>
      <c r="L1635" s="609">
        <f t="shared" si="680"/>
        <v>0</v>
      </c>
      <c r="M1635" s="609">
        <f t="shared" si="680"/>
        <v>0</v>
      </c>
      <c r="N1635" s="609">
        <f t="shared" si="680"/>
        <v>0</v>
      </c>
      <c r="O1635" s="609">
        <f t="shared" si="680"/>
        <v>0</v>
      </c>
      <c r="P1635" s="609">
        <f t="shared" si="680"/>
        <v>0</v>
      </c>
      <c r="Q1635" s="609">
        <f t="shared" si="680"/>
        <v>0</v>
      </c>
      <c r="R1635" s="603">
        <f t="shared" si="680"/>
        <v>0</v>
      </c>
    </row>
    <row r="1636" spans="2:18">
      <c r="B1636" s="595" t="s">
        <v>1053</v>
      </c>
      <c r="C1636" s="1844">
        <f t="shared" si="669"/>
        <v>0</v>
      </c>
      <c r="D1636" s="609">
        <f t="shared" si="673"/>
        <v>0</v>
      </c>
      <c r="E1636" s="609">
        <f t="shared" si="674"/>
        <v>0</v>
      </c>
      <c r="F1636" s="609">
        <f t="shared" si="675"/>
        <v>0</v>
      </c>
      <c r="G1636" s="609">
        <f t="shared" si="676"/>
        <v>0</v>
      </c>
      <c r="H1636" s="609">
        <f t="shared" si="677"/>
        <v>0</v>
      </c>
      <c r="I1636" s="609">
        <f t="shared" si="678"/>
        <v>0</v>
      </c>
      <c r="J1636" s="603">
        <f t="shared" si="679"/>
        <v>0</v>
      </c>
      <c r="K1636" s="1844">
        <f t="shared" si="671"/>
        <v>0</v>
      </c>
      <c r="L1636" s="609">
        <f t="shared" si="680"/>
        <v>0</v>
      </c>
      <c r="M1636" s="609">
        <f t="shared" si="680"/>
        <v>0</v>
      </c>
      <c r="N1636" s="609">
        <f t="shared" si="680"/>
        <v>0</v>
      </c>
      <c r="O1636" s="609">
        <f t="shared" si="680"/>
        <v>0</v>
      </c>
      <c r="P1636" s="609">
        <f t="shared" si="680"/>
        <v>0</v>
      </c>
      <c r="Q1636" s="609">
        <f t="shared" si="680"/>
        <v>0</v>
      </c>
      <c r="R1636" s="603">
        <f t="shared" si="680"/>
        <v>0</v>
      </c>
    </row>
    <row r="1637" spans="2:18">
      <c r="B1637" s="595" t="s">
        <v>1054</v>
      </c>
      <c r="C1637" s="1844">
        <f t="shared" si="669"/>
        <v>0</v>
      </c>
      <c r="D1637" s="609">
        <f t="shared" si="673"/>
        <v>0</v>
      </c>
      <c r="E1637" s="609">
        <f t="shared" si="674"/>
        <v>0</v>
      </c>
      <c r="F1637" s="609">
        <f t="shared" si="675"/>
        <v>0</v>
      </c>
      <c r="G1637" s="609">
        <f t="shared" si="676"/>
        <v>0</v>
      </c>
      <c r="H1637" s="609">
        <f t="shared" si="677"/>
        <v>0</v>
      </c>
      <c r="I1637" s="609">
        <f t="shared" si="678"/>
        <v>0</v>
      </c>
      <c r="J1637" s="603">
        <f t="shared" si="679"/>
        <v>0</v>
      </c>
      <c r="K1637" s="1844">
        <f t="shared" si="671"/>
        <v>0</v>
      </c>
      <c r="L1637" s="609">
        <f t="shared" si="680"/>
        <v>0</v>
      </c>
      <c r="M1637" s="609">
        <f t="shared" si="680"/>
        <v>0</v>
      </c>
      <c r="N1637" s="609">
        <f t="shared" si="680"/>
        <v>0</v>
      </c>
      <c r="O1637" s="609">
        <f t="shared" si="680"/>
        <v>0</v>
      </c>
      <c r="P1637" s="609">
        <f t="shared" si="680"/>
        <v>0</v>
      </c>
      <c r="Q1637" s="609">
        <f t="shared" si="680"/>
        <v>0</v>
      </c>
      <c r="R1637" s="603">
        <f t="shared" si="680"/>
        <v>0</v>
      </c>
    </row>
    <row r="1638" spans="2:18">
      <c r="B1638" s="604" t="s">
        <v>1055</v>
      </c>
      <c r="C1638" s="610">
        <f t="shared" si="669"/>
        <v>0</v>
      </c>
      <c r="D1638" s="617">
        <f t="shared" si="673"/>
        <v>0</v>
      </c>
      <c r="E1638" s="617">
        <f t="shared" si="674"/>
        <v>0</v>
      </c>
      <c r="F1638" s="617">
        <f t="shared" si="675"/>
        <v>0</v>
      </c>
      <c r="G1638" s="617">
        <f t="shared" si="676"/>
        <v>0</v>
      </c>
      <c r="H1638" s="617">
        <f t="shared" si="677"/>
        <v>0</v>
      </c>
      <c r="I1638" s="617">
        <f t="shared" si="678"/>
        <v>0</v>
      </c>
      <c r="J1638" s="618">
        <f t="shared" si="679"/>
        <v>0</v>
      </c>
      <c r="K1638" s="610">
        <f t="shared" ref="K1638:Q1638" si="681">(K1546/K24*1000)</f>
        <v>0</v>
      </c>
      <c r="L1638" s="617">
        <f t="shared" si="681"/>
        <v>0</v>
      </c>
      <c r="M1638" s="617">
        <f t="shared" si="681"/>
        <v>0</v>
      </c>
      <c r="N1638" s="617">
        <f t="shared" si="681"/>
        <v>0</v>
      </c>
      <c r="O1638" s="617">
        <f t="shared" si="681"/>
        <v>0</v>
      </c>
      <c r="P1638" s="617">
        <f t="shared" si="681"/>
        <v>0</v>
      </c>
      <c r="Q1638" s="617">
        <f t="shared" si="681"/>
        <v>0</v>
      </c>
      <c r="R1638" s="618">
        <f>(R1546/R24*1000)</f>
        <v>0</v>
      </c>
    </row>
    <row r="1639" spans="2:18">
      <c r="B1639" s="57"/>
      <c r="C1639" s="582"/>
      <c r="D1639" s="582"/>
      <c r="E1639" s="582"/>
      <c r="F1639" s="582"/>
      <c r="G1639" s="582"/>
      <c r="H1639" s="582"/>
      <c r="I1639" s="582"/>
      <c r="J1639" s="582"/>
      <c r="K1639" s="582"/>
      <c r="L1639" s="582"/>
      <c r="M1639" s="582"/>
      <c r="N1639" s="582"/>
      <c r="O1639" s="582"/>
      <c r="P1639" s="582"/>
      <c r="Q1639" s="582"/>
    </row>
    <row r="1640" spans="2:18">
      <c r="B1640" s="2157" t="s">
        <v>1181</v>
      </c>
      <c r="C1640" s="2157"/>
      <c r="D1640" s="2157"/>
      <c r="E1640" s="2157"/>
      <c r="F1640" s="2157"/>
      <c r="G1640" s="2157"/>
      <c r="H1640" s="2157"/>
      <c r="I1640" s="2157"/>
      <c r="J1640" s="2157"/>
      <c r="K1640" s="2157"/>
      <c r="L1640" s="2157"/>
      <c r="M1640" s="2157"/>
      <c r="N1640" s="2157"/>
      <c r="O1640" s="2157"/>
      <c r="P1640" s="2157"/>
      <c r="Q1640" s="2157"/>
      <c r="R1640" s="2157"/>
    </row>
    <row r="1641" spans="2:18">
      <c r="B1641" s="2159" t="s">
        <v>1182</v>
      </c>
      <c r="C1641" s="2159"/>
      <c r="D1641" s="2159"/>
      <c r="E1641" s="2159"/>
      <c r="F1641" s="2159"/>
      <c r="G1641" s="2159"/>
      <c r="H1641" s="2159"/>
      <c r="I1641" s="2159"/>
      <c r="J1641" s="2159"/>
      <c r="K1641" s="2159"/>
      <c r="L1641" s="2159"/>
      <c r="M1641" s="2159"/>
      <c r="N1641" s="2159"/>
      <c r="O1641" s="2159"/>
      <c r="P1641" s="2159"/>
      <c r="Q1641" s="2159"/>
      <c r="R1641" s="2159"/>
    </row>
    <row r="1642" spans="2:18">
      <c r="B1642" s="2160" t="s">
        <v>1183</v>
      </c>
      <c r="C1642" s="2160"/>
      <c r="D1642" s="2160"/>
      <c r="E1642" s="2160"/>
      <c r="F1642" s="2160"/>
      <c r="G1642" s="2160"/>
      <c r="H1642" s="2160"/>
      <c r="I1642" s="2160"/>
      <c r="J1642" s="2160"/>
      <c r="K1642" s="2160"/>
      <c r="L1642" s="2160"/>
      <c r="M1642" s="2160"/>
      <c r="N1642" s="2160"/>
      <c r="O1642" s="2160"/>
      <c r="P1642" s="2160"/>
      <c r="Q1642" s="2160"/>
      <c r="R1642" s="2160"/>
    </row>
    <row r="1643" spans="2:18">
      <c r="B1643" s="57"/>
      <c r="C1643" s="582"/>
      <c r="D1643" s="582"/>
      <c r="E1643" s="582"/>
      <c r="F1643" s="582"/>
      <c r="G1643" s="582"/>
      <c r="H1643" s="582"/>
      <c r="I1643" s="582"/>
      <c r="J1643" s="582"/>
      <c r="K1643" s="582"/>
      <c r="L1643" s="582"/>
      <c r="M1643" s="582"/>
      <c r="N1643" s="582"/>
      <c r="O1643" s="582"/>
      <c r="P1643" s="582"/>
      <c r="Q1643" s="582"/>
    </row>
    <row r="1644" spans="2:18">
      <c r="B1644" s="612"/>
      <c r="C1644" s="2173" t="s">
        <v>1184</v>
      </c>
      <c r="D1644" s="2174"/>
      <c r="E1644" s="2174"/>
      <c r="F1644" s="2174"/>
      <c r="G1644" s="2174"/>
      <c r="H1644" s="2174"/>
      <c r="I1644" s="2174"/>
      <c r="J1644" s="2174"/>
      <c r="K1644" s="2174"/>
      <c r="L1644" s="2174"/>
      <c r="M1644" s="2174"/>
      <c r="N1644" s="2174"/>
      <c r="O1644" s="2174"/>
      <c r="P1644" s="2174"/>
      <c r="Q1644" s="2174"/>
      <c r="R1644" s="1653"/>
    </row>
    <row r="1645" spans="2:18">
      <c r="B1645" s="583"/>
      <c r="C1645" s="2161" t="s">
        <v>1185</v>
      </c>
      <c r="D1645" s="2162"/>
      <c r="E1645" s="2162"/>
      <c r="F1645" s="2162"/>
      <c r="G1645" s="2162"/>
      <c r="H1645" s="2162"/>
      <c r="I1645" s="2162"/>
      <c r="J1645" s="2163"/>
      <c r="K1645" s="2164" t="s">
        <v>1186</v>
      </c>
      <c r="L1645" s="2165"/>
      <c r="M1645" s="2165"/>
      <c r="N1645" s="2165"/>
      <c r="O1645" s="2165"/>
      <c r="P1645" s="2165"/>
      <c r="Q1645" s="2165"/>
      <c r="R1645" s="2166"/>
    </row>
    <row r="1646" spans="2:18">
      <c r="B1646" s="57"/>
      <c r="C1646" s="585">
        <v>2014</v>
      </c>
      <c r="D1646" s="586">
        <v>2015</v>
      </c>
      <c r="E1646" s="586">
        <v>2016</v>
      </c>
      <c r="F1646" s="586">
        <v>2017</v>
      </c>
      <c r="G1646" s="586">
        <v>2018</v>
      </c>
      <c r="H1646" s="586">
        <v>2019</v>
      </c>
      <c r="I1646" s="586">
        <v>2020</v>
      </c>
      <c r="J1646" s="586">
        <v>2021</v>
      </c>
      <c r="K1646" s="638">
        <v>2014</v>
      </c>
      <c r="L1646" s="639">
        <v>2015</v>
      </c>
      <c r="M1646" s="639">
        <v>2016</v>
      </c>
      <c r="N1646" s="639">
        <v>2017</v>
      </c>
      <c r="O1646" s="639">
        <v>2018</v>
      </c>
      <c r="P1646" s="639">
        <v>2019</v>
      </c>
      <c r="Q1646" s="639">
        <v>2020</v>
      </c>
      <c r="R1646" s="640">
        <v>2021</v>
      </c>
    </row>
    <row r="1647" spans="2:18">
      <c r="B1647" s="589" t="s">
        <v>1038</v>
      </c>
      <c r="C1647" s="614">
        <f>ARG!C201/1000</f>
        <v>2.492</v>
      </c>
      <c r="D1647" s="615">
        <f>ARG!D201/1000</f>
        <v>2.0293269999999999</v>
      </c>
      <c r="E1647" s="615">
        <f>ARG!E201/1000</f>
        <v>3.4467639999999999</v>
      </c>
      <c r="F1647" s="615">
        <f>ARG!F201/1000</f>
        <v>3.6757409999999999</v>
      </c>
      <c r="G1647" s="615">
        <f>ARG!G201/1000</f>
        <v>3.191662</v>
      </c>
      <c r="H1647" s="615">
        <f>ARG!H201/1000</f>
        <v>3.0061719999999998</v>
      </c>
      <c r="I1647" s="615">
        <f>ARG!I201/1000</f>
        <v>1.194</v>
      </c>
      <c r="J1647" s="616">
        <f>ARG!J201/1000</f>
        <v>1.8053730000000001</v>
      </c>
      <c r="K1647" s="614">
        <f>ARG!C191/1000</f>
        <v>767.2</v>
      </c>
      <c r="L1647" s="615">
        <f>ARG!D191/1000</f>
        <v>861.54497400000002</v>
      </c>
      <c r="M1647" s="615">
        <f>ARG!E191/1000</f>
        <v>947.86476500000003</v>
      </c>
      <c r="N1647" s="615">
        <f>ARG!F191/1000</f>
        <v>1034.255715</v>
      </c>
      <c r="O1647" s="615">
        <f>ARG!G191/1000</f>
        <v>1112.5858840000001</v>
      </c>
      <c r="P1647" s="615">
        <f>ARG!H191/1000</f>
        <v>1207.3485209999999</v>
      </c>
      <c r="Q1647" s="615">
        <f>ARG!I191/1000</f>
        <v>1144.1780000000001</v>
      </c>
      <c r="R1647" s="616">
        <f>ARG!J191/1000</f>
        <v>1186.0265200000001</v>
      </c>
    </row>
    <row r="1648" spans="2:18">
      <c r="B1648" s="595" t="s">
        <v>1039</v>
      </c>
      <c r="C1648" s="608">
        <f>BA!C190/1000</f>
        <v>0</v>
      </c>
      <c r="D1648" s="609">
        <f>BA!D190/1000</f>
        <v>0</v>
      </c>
      <c r="E1648" s="609">
        <f>BA!E190/1000</f>
        <v>0</v>
      </c>
      <c r="F1648" s="609">
        <f>BA!F190/1000</f>
        <v>0</v>
      </c>
      <c r="G1648" s="609">
        <f>BA!G190/1000</f>
        <v>0</v>
      </c>
      <c r="H1648" s="609">
        <f>BA!H190/1000</f>
        <v>0</v>
      </c>
      <c r="I1648" s="609">
        <f>BA!I190/1000</f>
        <v>0</v>
      </c>
      <c r="J1648" s="603">
        <f>BA!J190/1000</f>
        <v>0</v>
      </c>
      <c r="K1648" s="608">
        <f>BA!C180/1000</f>
        <v>0</v>
      </c>
      <c r="L1648" s="609">
        <f>BA!D180/1000</f>
        <v>0</v>
      </c>
      <c r="M1648" s="609">
        <f>BA!E180/1000</f>
        <v>0</v>
      </c>
      <c r="N1648" s="609">
        <f>BA!F180/1000</f>
        <v>0</v>
      </c>
      <c r="O1648" s="609">
        <f>BA!G180/1000</f>
        <v>0</v>
      </c>
      <c r="P1648" s="609">
        <f>BA!H180/1000</f>
        <v>0</v>
      </c>
      <c r="Q1648" s="609">
        <f>BA!I180/1000</f>
        <v>0</v>
      </c>
      <c r="R1648" s="603">
        <f>BA!J180/1000</f>
        <v>0</v>
      </c>
    </row>
    <row r="1649" spans="2:18">
      <c r="B1649" s="595" t="s">
        <v>1040</v>
      </c>
      <c r="C1649" s="608">
        <f>BO!C188/1000</f>
        <v>0</v>
      </c>
      <c r="D1649" s="609">
        <f>BO!D188/1000</f>
        <v>0</v>
      </c>
      <c r="E1649" s="609">
        <f>BO!E188/1000</f>
        <v>0</v>
      </c>
      <c r="F1649" s="609">
        <f>BO!F188/1000</f>
        <v>0</v>
      </c>
      <c r="G1649" s="609">
        <f>BO!G188/1000</f>
        <v>0</v>
      </c>
      <c r="H1649" s="609">
        <f>BO!H188/1000</f>
        <v>0</v>
      </c>
      <c r="I1649" s="609">
        <f>BO!I188/1000</f>
        <v>0</v>
      </c>
      <c r="J1649" s="603">
        <f>BO!J188/1000</f>
        <v>0</v>
      </c>
      <c r="K1649" s="608">
        <f>BO!C178/1000</f>
        <v>40.230190999999998</v>
      </c>
      <c r="L1649" s="609">
        <f>BO!D178/1000</f>
        <v>48.094971000000001</v>
      </c>
      <c r="M1649" s="609">
        <f>BO!E178/1000</f>
        <v>47.457431769999999</v>
      </c>
      <c r="N1649" s="609">
        <f>BO!F178/1000</f>
        <v>50.486892999999995</v>
      </c>
      <c r="O1649" s="609">
        <f>BO!G178/1000</f>
        <v>53.467974000000005</v>
      </c>
      <c r="P1649" s="609">
        <f>BO!H178/1000</f>
        <v>57.448112999999999</v>
      </c>
      <c r="Q1649" s="609">
        <f>BO!I178/1000</f>
        <v>44.543922999999999</v>
      </c>
      <c r="R1649" s="603">
        <f>BO!J178/1000</f>
        <v>56.180398000000004</v>
      </c>
    </row>
    <row r="1650" spans="2:18">
      <c r="B1650" s="595" t="s">
        <v>1041</v>
      </c>
      <c r="C1650" s="608">
        <f>BR!C195/1000</f>
        <v>0</v>
      </c>
      <c r="D1650" s="609">
        <f>BR!D195/1000</f>
        <v>0</v>
      </c>
      <c r="E1650" s="609">
        <f>BR!E195/1000</f>
        <v>0</v>
      </c>
      <c r="F1650" s="609">
        <f>BR!F195/1000</f>
        <v>0</v>
      </c>
      <c r="G1650" s="609">
        <f>BR!G195/1000</f>
        <v>0</v>
      </c>
      <c r="H1650" s="609">
        <f>BR!H195/1000</f>
        <v>0</v>
      </c>
      <c r="I1650" s="609">
        <f>BR!I195/1000</f>
        <v>0</v>
      </c>
      <c r="J1650" s="603">
        <f>BR!J195/1000</f>
        <v>0</v>
      </c>
      <c r="K1650" s="608">
        <f>BR!C185/1000</f>
        <v>3529.105</v>
      </c>
      <c r="L1650" s="609">
        <f>BR!D185/1000</f>
        <v>3628.27961</v>
      </c>
      <c r="M1650" s="609">
        <f>BR!E185/1000</f>
        <v>3449.0181250000001</v>
      </c>
      <c r="N1650" s="609">
        <f>BR!F185/1000</f>
        <v>3567.2045789999997</v>
      </c>
      <c r="O1650" s="609">
        <f>BR!G185/1000</f>
        <v>3407.3278660000001</v>
      </c>
      <c r="P1650" s="609">
        <f>BR!H185/1000</f>
        <v>3585.065466</v>
      </c>
      <c r="Q1650" s="609">
        <f>BR!I185/1000</f>
        <v>3215.384458</v>
      </c>
      <c r="R1650" s="603">
        <f>BR!J185/1000</f>
        <v>3215.384458</v>
      </c>
    </row>
    <row r="1651" spans="2:18">
      <c r="B1651" s="595" t="s">
        <v>1042</v>
      </c>
      <c r="C1651" s="608">
        <f>CL!C193/1000</f>
        <v>0</v>
      </c>
      <c r="D1651" s="609">
        <f>CL!D193/1000</f>
        <v>0</v>
      </c>
      <c r="E1651" s="609">
        <f>CL!E193/1000</f>
        <v>0</v>
      </c>
      <c r="F1651" s="609">
        <f>CL!F193/1000</f>
        <v>0</v>
      </c>
      <c r="G1651" s="609">
        <f>CL!G193/1000</f>
        <v>0</v>
      </c>
      <c r="H1651" s="609">
        <f>CL!H193/1000</f>
        <v>0</v>
      </c>
      <c r="I1651" s="609">
        <f>CL!I193/1000</f>
        <v>0</v>
      </c>
      <c r="J1651" s="603">
        <f>CL!J193/1000</f>
        <v>0</v>
      </c>
      <c r="K1651" s="608">
        <f>CL!C183/1000</f>
        <v>0</v>
      </c>
      <c r="L1651" s="609">
        <f>CL!D183/1000</f>
        <v>0</v>
      </c>
      <c r="M1651" s="609">
        <f>CL!E183/1000</f>
        <v>0</v>
      </c>
      <c r="N1651" s="609">
        <f>CL!F183/1000</f>
        <v>0</v>
      </c>
      <c r="O1651" s="609">
        <f>CL!G183/1000</f>
        <v>0</v>
      </c>
      <c r="P1651" s="609">
        <f>CL!H183/1000</f>
        <v>0</v>
      </c>
      <c r="Q1651" s="609">
        <f>CL!I183/1000</f>
        <v>0</v>
      </c>
      <c r="R1651" s="603">
        <f>CL!J183/1000</f>
        <v>0</v>
      </c>
    </row>
    <row r="1652" spans="2:18">
      <c r="B1652" s="595" t="s">
        <v>1043</v>
      </c>
      <c r="C1652" s="608">
        <f>CO!C190/1000</f>
        <v>0</v>
      </c>
      <c r="D1652" s="609">
        <f>CO!D190/1000</f>
        <v>0</v>
      </c>
      <c r="E1652" s="609">
        <f>CO!E190/1000</f>
        <v>0</v>
      </c>
      <c r="F1652" s="609">
        <f>CO!F190/1000</f>
        <v>0</v>
      </c>
      <c r="G1652" s="609">
        <f>CO!G190/1000</f>
        <v>0</v>
      </c>
      <c r="H1652" s="609">
        <f>CO!H190/1000</f>
        <v>0</v>
      </c>
      <c r="I1652" s="609">
        <f>CO!I190/1000</f>
        <v>0</v>
      </c>
      <c r="J1652" s="603">
        <f>CO!J190/1000</f>
        <v>0</v>
      </c>
      <c r="K1652" s="608">
        <f>CO!C180/1000</f>
        <v>0</v>
      </c>
      <c r="L1652" s="609">
        <f>CO!D180/1000</f>
        <v>0</v>
      </c>
      <c r="M1652" s="609">
        <f>CO!E180/1000</f>
        <v>0</v>
      </c>
      <c r="N1652" s="609">
        <f>CO!F180/1000</f>
        <v>0</v>
      </c>
      <c r="O1652" s="609">
        <f>CO!G180/1000</f>
        <v>0</v>
      </c>
      <c r="P1652" s="609">
        <f>CO!H180/1000</f>
        <v>0</v>
      </c>
      <c r="Q1652" s="609">
        <f>CO!I180/1000</f>
        <v>0</v>
      </c>
      <c r="R1652" s="603">
        <f>CO!J180/1000</f>
        <v>0</v>
      </c>
    </row>
    <row r="1653" spans="2:18">
      <c r="B1653" s="595" t="s">
        <v>1044</v>
      </c>
      <c r="C1653" s="608">
        <f>CR!C198/1000</f>
        <v>0</v>
      </c>
      <c r="D1653" s="609">
        <f>CR!D198/1000</f>
        <v>0</v>
      </c>
      <c r="E1653" s="609">
        <f>CR!E198/1000</f>
        <v>0</v>
      </c>
      <c r="F1653" s="609">
        <f>CR!F198/1000</f>
        <v>0</v>
      </c>
      <c r="G1653" s="609">
        <f>CR!G198/1000</f>
        <v>0</v>
      </c>
      <c r="H1653" s="609">
        <f>CR!H198/1000</f>
        <v>0</v>
      </c>
      <c r="I1653" s="609">
        <f>CR!I198/1000</f>
        <v>0</v>
      </c>
      <c r="J1653" s="603">
        <f>CR!J198/1000</f>
        <v>0</v>
      </c>
      <c r="K1653" s="608">
        <f>CR!C188/1000</f>
        <v>0</v>
      </c>
      <c r="L1653" s="609">
        <f>CR!D188/1000</f>
        <v>0</v>
      </c>
      <c r="M1653" s="609">
        <f>CR!E188/1000</f>
        <v>0</v>
      </c>
      <c r="N1653" s="609">
        <f>CR!F188/1000</f>
        <v>0</v>
      </c>
      <c r="O1653" s="609">
        <f>CR!G188/1000</f>
        <v>0</v>
      </c>
      <c r="P1653" s="609">
        <f>CR!H188/1000</f>
        <v>0</v>
      </c>
      <c r="Q1653" s="609">
        <f>CR!I188/1000</f>
        <v>0</v>
      </c>
      <c r="R1653" s="603">
        <f>CR!J188/1000</f>
        <v>0</v>
      </c>
    </row>
    <row r="1654" spans="2:18">
      <c r="B1654" s="595" t="s">
        <v>1061</v>
      </c>
      <c r="C1654" s="608">
        <v>0</v>
      </c>
      <c r="D1654" s="609">
        <v>0.9</v>
      </c>
      <c r="E1654" s="609">
        <f>CW!E209/1000</f>
        <v>0.85209999999999997</v>
      </c>
      <c r="F1654" s="609">
        <f>CW!F209/1000</f>
        <v>0.92236699999999994</v>
      </c>
      <c r="G1654" s="609">
        <f>CW!G209/1000</f>
        <v>0.75183500000000003</v>
      </c>
      <c r="H1654" s="609">
        <f>CW!H209/1000</f>
        <v>0.74074699999999993</v>
      </c>
      <c r="I1654" s="609">
        <f>CW!I209/1000</f>
        <v>0.48380900000000004</v>
      </c>
      <c r="J1654" s="603">
        <f>CW!J209/1000</f>
        <v>0.63727700000000009</v>
      </c>
      <c r="K1654" s="608">
        <f>CW!C199/1000</f>
        <v>0</v>
      </c>
      <c r="L1654" s="609">
        <v>8</v>
      </c>
      <c r="M1654" s="609">
        <f>CW!E199/1000</f>
        <v>9.0240040000000015</v>
      </c>
      <c r="N1654" s="609">
        <f>CW!F199/1000</f>
        <v>10.483727999999999</v>
      </c>
      <c r="O1654" s="609">
        <f>CW!G199/1000</f>
        <v>11.963546000000001</v>
      </c>
      <c r="P1654" s="609">
        <f>CW!H199/1000</f>
        <v>13.023064</v>
      </c>
      <c r="Q1654" s="609">
        <f>CW!I199/1000</f>
        <v>13.214639</v>
      </c>
      <c r="R1654" s="603">
        <f>CW!J199/1000</f>
        <v>14.860848000000001</v>
      </c>
    </row>
    <row r="1655" spans="2:18">
      <c r="B1655" s="595" t="s">
        <v>1047</v>
      </c>
      <c r="C1655" s="608">
        <f>EC!C191/1000</f>
        <v>0</v>
      </c>
      <c r="D1655" s="609">
        <f>EC!D191/1000</f>
        <v>0</v>
      </c>
      <c r="E1655" s="609">
        <f>EC!E191/1000</f>
        <v>0</v>
      </c>
      <c r="F1655" s="609">
        <f>EC!F191/1000</f>
        <v>0</v>
      </c>
      <c r="G1655" s="609">
        <f>EC!G191/1000</f>
        <v>0</v>
      </c>
      <c r="H1655" s="609">
        <f>EC!H191/1000</f>
        <v>0</v>
      </c>
      <c r="I1655" s="609">
        <f>EC!I191/1000</f>
        <v>0</v>
      </c>
      <c r="J1655" s="603">
        <f>EC!J191/1000</f>
        <v>0</v>
      </c>
      <c r="K1655" s="608">
        <f>EC!C181/1000</f>
        <v>0</v>
      </c>
      <c r="L1655" s="609">
        <f>EC!D181/1000</f>
        <v>199.173486</v>
      </c>
      <c r="M1655" s="609">
        <f>EC!E181/1000</f>
        <v>178.11847800000001</v>
      </c>
      <c r="N1655" s="609">
        <f>EC!F181/1000</f>
        <v>183.07271600000001</v>
      </c>
      <c r="O1655" s="609">
        <f>EC!G181/1000</f>
        <v>186.74048099999999</v>
      </c>
      <c r="P1655" s="609">
        <f>EC!H181/1000</f>
        <v>194.317376</v>
      </c>
      <c r="Q1655" s="609">
        <f>EC!I181/1000</f>
        <v>153.459192</v>
      </c>
      <c r="R1655" s="603">
        <f>EC!J181/1000</f>
        <v>188.441926</v>
      </c>
    </row>
    <row r="1656" spans="2:18">
      <c r="B1656" s="595" t="s">
        <v>1048</v>
      </c>
      <c r="C1656" s="608">
        <f>SV!C192/1000</f>
        <v>0</v>
      </c>
      <c r="D1656" s="609">
        <f>SV!D192/1000</f>
        <v>0</v>
      </c>
      <c r="E1656" s="609">
        <f>SV!E192/1000</f>
        <v>0</v>
      </c>
      <c r="F1656" s="609">
        <f>SV!F192/1000</f>
        <v>0</v>
      </c>
      <c r="G1656" s="609">
        <f>SV!G192/1000</f>
        <v>0</v>
      </c>
      <c r="H1656" s="609">
        <f>SV!H192/1000</f>
        <v>0</v>
      </c>
      <c r="I1656" s="609">
        <f>SV!I192/1000</f>
        <v>0</v>
      </c>
      <c r="J1656" s="603">
        <f>SV!J192/1000</f>
        <v>0</v>
      </c>
      <c r="K1656" s="608">
        <f>SV!C182/1000</f>
        <v>0</v>
      </c>
      <c r="L1656" s="609">
        <f>SV!D182/1000</f>
        <v>0</v>
      </c>
      <c r="M1656" s="609">
        <f>SV!E182/1000</f>
        <v>0</v>
      </c>
      <c r="N1656" s="609">
        <f>SV!F182/1000</f>
        <v>0</v>
      </c>
      <c r="O1656" s="609">
        <f>SV!G182/1000</f>
        <v>0</v>
      </c>
      <c r="P1656" s="609">
        <f>SV!H182/1000</f>
        <v>0</v>
      </c>
      <c r="Q1656" s="609">
        <f>SV!I182/1000</f>
        <v>0</v>
      </c>
      <c r="R1656" s="603">
        <f>SV!J182/1000</f>
        <v>0</v>
      </c>
    </row>
    <row r="1657" spans="2:18">
      <c r="B1657" s="595" t="s">
        <v>1049</v>
      </c>
      <c r="C1657" s="608">
        <f>GT!C199/1000</f>
        <v>0.98232299999999995</v>
      </c>
      <c r="D1657" s="609">
        <f>GT!D199/1000</f>
        <v>0.96470299999999998</v>
      </c>
      <c r="E1657" s="609">
        <f>GT!E199/1000</f>
        <v>0.92222199999999999</v>
      </c>
      <c r="F1657" s="609">
        <f>GT!F199/1000</f>
        <v>0.72261699999999995</v>
      </c>
      <c r="G1657" s="609">
        <f>GT!G199/1000</f>
        <v>0.96786400000000006</v>
      </c>
      <c r="H1657" s="609">
        <f>GT!H199/1000</f>
        <v>0.96275100000000002</v>
      </c>
      <c r="I1657" s="609">
        <f>GT!I199/1000</f>
        <v>0.55933500000000003</v>
      </c>
      <c r="J1657" s="603">
        <f>GT!J199/1000</f>
        <v>0.74946900000000005</v>
      </c>
      <c r="K1657" s="608">
        <f>GT!C189/1000</f>
        <v>70.749368000000004</v>
      </c>
      <c r="L1657" s="609">
        <f>GT!D189/1000</f>
        <v>75.071217000000004</v>
      </c>
      <c r="M1657" s="609">
        <f>GT!E189/1000</f>
        <v>79.562888000000001</v>
      </c>
      <c r="N1657" s="609">
        <f>GT!F189/1000</f>
        <v>81.879679999999993</v>
      </c>
      <c r="O1657" s="609">
        <f>GT!G189/1000</f>
        <v>85.594771999999992</v>
      </c>
      <c r="P1657" s="609">
        <f>GT!H189/1000</f>
        <v>90.443380000000005</v>
      </c>
      <c r="Q1657" s="609">
        <f>GT!I189/1000</f>
        <v>84.389334000000005</v>
      </c>
      <c r="R1657" s="603">
        <f>GT!J189/1000</f>
        <v>90.460857999999988</v>
      </c>
    </row>
    <row r="1658" spans="2:18">
      <c r="B1658" s="595" t="s">
        <v>1050</v>
      </c>
      <c r="C1658" s="608">
        <f>HN!C198/1000</f>
        <v>0</v>
      </c>
      <c r="D1658" s="609">
        <f>HN!D198/1000</f>
        <v>0</v>
      </c>
      <c r="E1658" s="609">
        <f>HN!E198/1000</f>
        <v>0</v>
      </c>
      <c r="F1658" s="609">
        <f>HN!F198/1000</f>
        <v>0</v>
      </c>
      <c r="G1658" s="609">
        <f>HN!G198/1000</f>
        <v>0</v>
      </c>
      <c r="H1658" s="609">
        <f>HN!H198/1000</f>
        <v>0</v>
      </c>
      <c r="I1658" s="609">
        <f>HN!I198/1000</f>
        <v>0</v>
      </c>
      <c r="J1658" s="603">
        <f>HN!J198/1000</f>
        <v>0</v>
      </c>
      <c r="K1658" s="608">
        <f>HN!C188/1000</f>
        <v>0</v>
      </c>
      <c r="L1658" s="609">
        <f>HN!D188/1000</f>
        <v>0</v>
      </c>
      <c r="M1658" s="609">
        <f>HN!E188/1000</f>
        <v>0</v>
      </c>
      <c r="N1658" s="609">
        <f>HN!F188/1000</f>
        <v>0</v>
      </c>
      <c r="O1658" s="609">
        <f>HN!G188/1000</f>
        <v>0</v>
      </c>
      <c r="P1658" s="609">
        <f>HN!H188/1000</f>
        <v>0</v>
      </c>
      <c r="Q1658" s="609">
        <f>HN!I188/1000</f>
        <v>0</v>
      </c>
      <c r="R1658" s="603">
        <f>HN!J188/1000</f>
        <v>0</v>
      </c>
    </row>
    <row r="1659" spans="2:18">
      <c r="B1659" s="595" t="s">
        <v>1051</v>
      </c>
      <c r="C1659" s="608">
        <f>JM!C194/1000</f>
        <v>0</v>
      </c>
      <c r="D1659" s="609">
        <f>JM!D194/1000</f>
        <v>0</v>
      </c>
      <c r="E1659" s="609">
        <f>JM!E194/1000</f>
        <v>0</v>
      </c>
      <c r="F1659" s="609">
        <f>JM!F194/1000</f>
        <v>0</v>
      </c>
      <c r="G1659" s="609">
        <f>JM!G194/1000</f>
        <v>0</v>
      </c>
      <c r="H1659" s="609">
        <f>JM!H194/1000</f>
        <v>0</v>
      </c>
      <c r="I1659" s="609">
        <f>JM!I194/1000</f>
        <v>0</v>
      </c>
      <c r="J1659" s="603">
        <f>JM!J194/1000</f>
        <v>0</v>
      </c>
      <c r="K1659" s="608">
        <f>JM!C184/1000</f>
        <v>47.046252000000003</v>
      </c>
      <c r="L1659" s="609">
        <f>JM!D184/1000</f>
        <v>50.687642999999994</v>
      </c>
      <c r="M1659" s="609">
        <f>JM!E184/1000</f>
        <v>54.589088000000004</v>
      </c>
      <c r="N1659" s="609">
        <f>JM!F184/1000</f>
        <v>54.632919000000001</v>
      </c>
      <c r="O1659" s="609">
        <f>JM!G184/1000</f>
        <v>60.732124000000006</v>
      </c>
      <c r="P1659" s="609">
        <f>JM!H184/1000</f>
        <v>57.82967</v>
      </c>
      <c r="Q1659" s="609">
        <f>JM!I184/1000</f>
        <v>50.509144999999997</v>
      </c>
      <c r="R1659" s="603">
        <f>JM!J184/1000</f>
        <v>48.416837000000001</v>
      </c>
    </row>
    <row r="1660" spans="2:18">
      <c r="B1660" s="595" t="s">
        <v>1052</v>
      </c>
      <c r="C1660" s="608">
        <f>RD!C209/1000</f>
        <v>0</v>
      </c>
      <c r="D1660" s="609">
        <f>RD!D209/1000</f>
        <v>0</v>
      </c>
      <c r="E1660" s="609">
        <f>RD!E209/1000</f>
        <v>0</v>
      </c>
      <c r="F1660" s="609">
        <f>RD!F209/1000</f>
        <v>0</v>
      </c>
      <c r="G1660" s="609">
        <f>RD!G209/1000</f>
        <v>0</v>
      </c>
      <c r="H1660" s="609">
        <f>RD!H209/1000</f>
        <v>0</v>
      </c>
      <c r="I1660" s="609">
        <f>RD!I209/1000</f>
        <v>0</v>
      </c>
      <c r="J1660" s="603">
        <f>RD!J209/1000</f>
        <v>0</v>
      </c>
      <c r="K1660" s="608">
        <f>RD!C199/1000</f>
        <v>0</v>
      </c>
      <c r="L1660" s="609">
        <f>RD!D199/1000</f>
        <v>0</v>
      </c>
      <c r="M1660" s="609">
        <f>RD!E199/1000</f>
        <v>0</v>
      </c>
      <c r="N1660" s="609">
        <f>RD!F199/1000</f>
        <v>0</v>
      </c>
      <c r="O1660" s="609">
        <f>RD!G199/1000</f>
        <v>0</v>
      </c>
      <c r="P1660" s="609">
        <f>RD!H199/1000</f>
        <v>0</v>
      </c>
      <c r="Q1660" s="609">
        <f>RD!I199/1000</f>
        <v>0</v>
      </c>
      <c r="R1660" s="603">
        <f>RD!J199/1000</f>
        <v>0</v>
      </c>
    </row>
    <row r="1661" spans="2:18">
      <c r="B1661" s="595" t="s">
        <v>1053</v>
      </c>
      <c r="C1661" s="608">
        <f>PY!C192/1000</f>
        <v>0.50514117187499996</v>
      </c>
      <c r="D1661" s="609">
        <f>PY!D192/1000</f>
        <v>0.32582699999999998</v>
      </c>
      <c r="E1661" s="609">
        <f>PY!E192/1000</f>
        <v>0.285746</v>
      </c>
      <c r="F1661" s="609">
        <f>PY!F192/1000</f>
        <v>0.33132100000000003</v>
      </c>
      <c r="G1661" s="609">
        <f>PY!G192/1000</f>
        <v>0.33945199999999998</v>
      </c>
      <c r="H1661" s="609">
        <f>PY!H192/1000</f>
        <v>0.35953099999999999</v>
      </c>
      <c r="I1661" s="609">
        <f>PY!I192/1000</f>
        <v>0.308087</v>
      </c>
      <c r="J1661" s="603">
        <f>PY!J192/1000</f>
        <v>0.41053099999999998</v>
      </c>
      <c r="K1661" s="608">
        <f>PY!C182/1000</f>
        <v>42.478051288025441</v>
      </c>
      <c r="L1661" s="609">
        <f>PY!D182/1000</f>
        <v>40.666989999999998</v>
      </c>
      <c r="M1661" s="609">
        <f>PY!E182/1000</f>
        <v>41.915004000000003</v>
      </c>
      <c r="N1661" s="609">
        <f>PY!F182/1000</f>
        <v>43.494092999999999</v>
      </c>
      <c r="O1661" s="609">
        <f>PY!G182/1000</f>
        <v>45.258035000000007</v>
      </c>
      <c r="P1661" s="609">
        <f>PY!H182/1000</f>
        <v>48.043030999999999</v>
      </c>
      <c r="Q1661" s="609">
        <f>PY!I182/1000</f>
        <v>44.434696000000002</v>
      </c>
      <c r="R1661" s="603">
        <f>PY!J182/1000</f>
        <v>50.307942699999998</v>
      </c>
    </row>
    <row r="1662" spans="2:18">
      <c r="B1662" s="595" t="s">
        <v>1054</v>
      </c>
      <c r="C1662" s="608">
        <f>PE!C196/1000</f>
        <v>0</v>
      </c>
      <c r="D1662" s="609">
        <f>PE!D196/1000</f>
        <v>0</v>
      </c>
      <c r="E1662" s="609">
        <f>PE!E196/1000</f>
        <v>0</v>
      </c>
      <c r="F1662" s="609">
        <f>PE!F196/1000</f>
        <v>0</v>
      </c>
      <c r="G1662" s="609">
        <f>PE!G196/1000</f>
        <v>0</v>
      </c>
      <c r="H1662" s="609">
        <f>PE!H196/1000</f>
        <v>0</v>
      </c>
      <c r="I1662" s="609">
        <f>PE!I196/1000</f>
        <v>0</v>
      </c>
      <c r="J1662" s="603">
        <f>PE!J196/1000</f>
        <v>0</v>
      </c>
      <c r="K1662" s="608">
        <f>PE!C186/1000</f>
        <v>0</v>
      </c>
      <c r="L1662" s="609">
        <f>PE!D186/1000</f>
        <v>0</v>
      </c>
      <c r="M1662" s="609">
        <f>PE!E186/1000</f>
        <v>0</v>
      </c>
      <c r="N1662" s="609">
        <f>PE!F186/1000</f>
        <v>0</v>
      </c>
      <c r="O1662" s="609">
        <f>PE!G186/1000</f>
        <v>0</v>
      </c>
      <c r="P1662" s="609">
        <f>PE!H186/1000</f>
        <v>0</v>
      </c>
      <c r="Q1662" s="609">
        <f>PE!I186/1000</f>
        <v>0</v>
      </c>
      <c r="R1662" s="603">
        <f>PE!J186/1000</f>
        <v>0</v>
      </c>
    </row>
    <row r="1663" spans="2:18">
      <c r="B1663" s="604" t="s">
        <v>1055</v>
      </c>
      <c r="C1663" s="610">
        <f>TT!C200/1000</f>
        <v>0</v>
      </c>
      <c r="D1663" s="617">
        <f>TT!D200/1000</f>
        <v>0</v>
      </c>
      <c r="E1663" s="617">
        <f>TT!E200/1000</f>
        <v>0</v>
      </c>
      <c r="F1663" s="617">
        <f>TT!F200/1000</f>
        <v>0</v>
      </c>
      <c r="G1663" s="617">
        <f>TT!G200/1000</f>
        <v>0</v>
      </c>
      <c r="H1663" s="617">
        <f>TT!H200/1000</f>
        <v>0</v>
      </c>
      <c r="I1663" s="617">
        <f>TT!I200/1000</f>
        <v>0</v>
      </c>
      <c r="J1663" s="618">
        <f>TT!J200/1000</f>
        <v>0</v>
      </c>
      <c r="K1663" s="610">
        <f>TT!C190/1000</f>
        <v>35.125904000000006</v>
      </c>
      <c r="L1663" s="617">
        <f>TT!D190/1000</f>
        <v>35.215447999999995</v>
      </c>
      <c r="M1663" s="617">
        <f>TT!E190/1000</f>
        <v>34.205212000000003</v>
      </c>
      <c r="N1663" s="617">
        <f>TT!F190/1000</f>
        <v>33.194207999999996</v>
      </c>
      <c r="O1663" s="617">
        <f>TT!G190/1000</f>
        <v>32.710430000000002</v>
      </c>
      <c r="P1663" s="617">
        <f>TT!H190/1000</f>
        <v>34.039313</v>
      </c>
      <c r="Q1663" s="617">
        <f>TT!I190/1000</f>
        <v>29.968495999999998</v>
      </c>
      <c r="R1663" s="618">
        <f>TT!J190/1000</f>
        <v>30.238014</v>
      </c>
    </row>
    <row r="1664" spans="2:18">
      <c r="B1664" s="57"/>
      <c r="C1664" s="582"/>
      <c r="D1664" s="582"/>
      <c r="E1664" s="582"/>
      <c r="F1664" s="582"/>
      <c r="G1664" s="582"/>
      <c r="H1664" s="582"/>
      <c r="I1664" s="582"/>
      <c r="J1664" s="582"/>
      <c r="K1664" s="582"/>
      <c r="L1664" s="582"/>
      <c r="M1664" s="582"/>
      <c r="N1664" s="582"/>
      <c r="O1664" s="582"/>
      <c r="P1664" s="582"/>
      <c r="Q1664" s="582"/>
    </row>
    <row r="1665" spans="2:18">
      <c r="B1665" s="2157" t="s">
        <v>1188</v>
      </c>
      <c r="C1665" s="2157"/>
      <c r="D1665" s="2157"/>
      <c r="E1665" s="2157"/>
      <c r="F1665" s="2157"/>
      <c r="G1665" s="2157"/>
      <c r="H1665" s="2157"/>
      <c r="I1665" s="2157"/>
      <c r="J1665" s="2157"/>
      <c r="K1665" s="2157"/>
      <c r="L1665" s="2157"/>
      <c r="M1665" s="2157"/>
      <c r="N1665" s="2157"/>
      <c r="O1665" s="2157"/>
      <c r="P1665" s="2157"/>
      <c r="Q1665" s="2157"/>
      <c r="R1665" s="2157"/>
    </row>
    <row r="1666" spans="2:18">
      <c r="B1666" s="57"/>
      <c r="C1666" s="582"/>
      <c r="D1666" s="582"/>
      <c r="E1666" s="582"/>
      <c r="F1666" s="582"/>
      <c r="G1666" s="582"/>
      <c r="H1666" s="582"/>
      <c r="I1666" s="582"/>
      <c r="J1666" s="582"/>
      <c r="K1666" s="582"/>
      <c r="L1666" s="582"/>
      <c r="M1666" s="582"/>
      <c r="N1666" s="582"/>
      <c r="O1666" s="582"/>
      <c r="P1666" s="582"/>
      <c r="Q1666" s="582"/>
    </row>
    <row r="1667" spans="2:18">
      <c r="B1667" s="619"/>
      <c r="C1667" s="2167" t="s">
        <v>1189</v>
      </c>
      <c r="D1667" s="2168"/>
      <c r="E1667" s="2168"/>
      <c r="F1667" s="2168"/>
      <c r="G1667" s="2168"/>
      <c r="H1667" s="2168"/>
      <c r="I1667" s="2168"/>
      <c r="J1667" s="2169"/>
      <c r="K1667" s="2167" t="s">
        <v>1190</v>
      </c>
      <c r="L1667" s="2168"/>
      <c r="M1667" s="2168"/>
      <c r="N1667" s="2168"/>
      <c r="O1667" s="2168"/>
      <c r="P1667" s="2168"/>
      <c r="Q1667" s="2168"/>
      <c r="R1667" s="2169"/>
    </row>
    <row r="1668" spans="2:18">
      <c r="B1668" s="583"/>
      <c r="C1668" s="2161" t="s">
        <v>1191</v>
      </c>
      <c r="D1668" s="2162"/>
      <c r="E1668" s="2162"/>
      <c r="F1668" s="2162"/>
      <c r="G1668" s="2162"/>
      <c r="H1668" s="2162"/>
      <c r="I1668" s="2162"/>
      <c r="J1668" s="2162"/>
      <c r="K1668" s="2162"/>
      <c r="L1668" s="2162"/>
      <c r="M1668" s="2162"/>
      <c r="N1668" s="2162"/>
      <c r="O1668" s="2162"/>
      <c r="P1668" s="2162"/>
      <c r="Q1668" s="2162"/>
      <c r="R1668" s="2163"/>
    </row>
    <row r="1669" spans="2:18">
      <c r="B1669" s="57"/>
      <c r="C1669" s="585">
        <v>2014</v>
      </c>
      <c r="D1669" s="586">
        <v>2015</v>
      </c>
      <c r="E1669" s="586">
        <v>2016</v>
      </c>
      <c r="F1669" s="586">
        <v>2017</v>
      </c>
      <c r="G1669" s="586">
        <v>2018</v>
      </c>
      <c r="H1669" s="586">
        <v>2019</v>
      </c>
      <c r="I1669" s="586">
        <v>2020</v>
      </c>
      <c r="J1669" s="586"/>
      <c r="K1669" s="587">
        <v>2014</v>
      </c>
      <c r="L1669" s="588">
        <v>2015</v>
      </c>
      <c r="M1669" s="588">
        <v>2016</v>
      </c>
      <c r="N1669" s="588">
        <v>2017</v>
      </c>
      <c r="O1669" s="588">
        <v>2018</v>
      </c>
      <c r="P1669" s="588">
        <v>2019</v>
      </c>
      <c r="Q1669" s="588">
        <v>2020</v>
      </c>
      <c r="R1669" s="848">
        <v>2021</v>
      </c>
    </row>
    <row r="1670" spans="2:18">
      <c r="B1670" s="589" t="s">
        <v>1038</v>
      </c>
      <c r="C1670" s="614">
        <f>ARG!C211/1000</f>
        <v>0.105</v>
      </c>
      <c r="D1670" s="615">
        <f>ARG!D211/1000</f>
        <v>0.15199799999999999</v>
      </c>
      <c r="E1670" s="615">
        <f>ARG!E211/1000</f>
        <v>1.3549990000000001</v>
      </c>
      <c r="F1670" s="615">
        <f>ARG!F211/1000</f>
        <v>2.2488589999999999</v>
      </c>
      <c r="G1670" s="615">
        <f>ARG!G211/1000</f>
        <v>1.9124829999999999</v>
      </c>
      <c r="H1670" s="615">
        <f>ARG!H211/1000</f>
        <v>1.089137</v>
      </c>
      <c r="I1670" s="615">
        <f>ARG!I211/1000</f>
        <v>0.191</v>
      </c>
      <c r="J1670" s="616">
        <f>ARG!J211/1000</f>
        <v>0.114733</v>
      </c>
      <c r="K1670" s="614">
        <f>ARG!C215/1000</f>
        <v>0</v>
      </c>
      <c r="L1670" s="615">
        <f>ARG!D215/1000</f>
        <v>0</v>
      </c>
      <c r="M1670" s="615">
        <f>ARG!E215/1000</f>
        <v>0</v>
      </c>
      <c r="N1670" s="615">
        <f>ARG!F215/1000</f>
        <v>0</v>
      </c>
      <c r="O1670" s="615">
        <f>ARG!G215/1000</f>
        <v>0</v>
      </c>
      <c r="P1670" s="615">
        <f>ARG!H215/1000</f>
        <v>0</v>
      </c>
      <c r="Q1670" s="615">
        <f>ARG!I215/1000</f>
        <v>0</v>
      </c>
      <c r="R1670" s="616">
        <f>ARG!J215/1000</f>
        <v>0</v>
      </c>
    </row>
    <row r="1671" spans="2:18">
      <c r="B1671" s="595" t="s">
        <v>1039</v>
      </c>
      <c r="C1671" s="608">
        <f>BA!C200/1000</f>
        <v>0</v>
      </c>
      <c r="D1671" s="609">
        <f>BA!D200/1000</f>
        <v>0</v>
      </c>
      <c r="E1671" s="609">
        <f>BA!E200/1000</f>
        <v>0</v>
      </c>
      <c r="F1671" s="609">
        <f>BA!F200/1000</f>
        <v>0</v>
      </c>
      <c r="G1671" s="609">
        <f>BA!G200/1000</f>
        <v>0</v>
      </c>
      <c r="H1671" s="609">
        <f>BA!H200/1000</f>
        <v>0</v>
      </c>
      <c r="I1671" s="609">
        <f>BA!I200/1000</f>
        <v>0</v>
      </c>
      <c r="J1671" s="603">
        <f>BA!J200/1000</f>
        <v>0</v>
      </c>
      <c r="K1671" s="608">
        <f>BA!C204/1000</f>
        <v>0</v>
      </c>
      <c r="L1671" s="609">
        <f>BA!D204/1000</f>
        <v>0</v>
      </c>
      <c r="M1671" s="609">
        <f>BA!E204/1000</f>
        <v>0</v>
      </c>
      <c r="N1671" s="609">
        <f>BA!F204/1000</f>
        <v>0</v>
      </c>
      <c r="O1671" s="609">
        <f>BA!G204/1000</f>
        <v>0</v>
      </c>
      <c r="P1671" s="609">
        <f>BA!H204/1000</f>
        <v>0</v>
      </c>
      <c r="Q1671" s="609">
        <f>BA!I204/1000</f>
        <v>0</v>
      </c>
      <c r="R1671" s="603">
        <f>BA!J204/1000</f>
        <v>0</v>
      </c>
    </row>
    <row r="1672" spans="2:18">
      <c r="B1672" s="595" t="s">
        <v>1040</v>
      </c>
      <c r="C1672" s="608">
        <f>BO!C198/1000</f>
        <v>0</v>
      </c>
      <c r="D1672" s="609">
        <f>BO!D198/1000</f>
        <v>0</v>
      </c>
      <c r="E1672" s="609">
        <f>BO!E198/1000</f>
        <v>0</v>
      </c>
      <c r="F1672" s="609">
        <f>BO!F198/1000</f>
        <v>0</v>
      </c>
      <c r="G1672" s="609">
        <f>BO!G198/1000</f>
        <v>0</v>
      </c>
      <c r="H1672" s="609">
        <f>BO!H198/1000</f>
        <v>0</v>
      </c>
      <c r="I1672" s="609">
        <f>BO!I198/1000</f>
        <v>0</v>
      </c>
      <c r="J1672" s="603">
        <f>BO!J198/1000</f>
        <v>0</v>
      </c>
      <c r="K1672" s="608">
        <f>BO!C202/1000</f>
        <v>0</v>
      </c>
      <c r="L1672" s="609">
        <f>BO!D202/1000</f>
        <v>0</v>
      </c>
      <c r="M1672" s="609">
        <f>BO!E202/1000</f>
        <v>0</v>
      </c>
      <c r="N1672" s="609">
        <f>BO!F202/1000</f>
        <v>0</v>
      </c>
      <c r="O1672" s="609">
        <f>BO!G202/1000</f>
        <v>0</v>
      </c>
      <c r="P1672" s="609">
        <f>BO!H202/1000</f>
        <v>0</v>
      </c>
      <c r="Q1672" s="609">
        <f>BO!I202/1000</f>
        <v>0</v>
      </c>
      <c r="R1672" s="603">
        <f>BO!J202/1000</f>
        <v>0</v>
      </c>
    </row>
    <row r="1673" spans="2:18">
      <c r="B1673" s="595" t="s">
        <v>1041</v>
      </c>
      <c r="C1673" s="608">
        <f>BR!C205/1000</f>
        <v>0</v>
      </c>
      <c r="D1673" s="609">
        <f>BR!D205/1000</f>
        <v>0</v>
      </c>
      <c r="E1673" s="609">
        <f>BR!E205/1000</f>
        <v>0</v>
      </c>
      <c r="F1673" s="609">
        <f>BR!F205/1000</f>
        <v>0</v>
      </c>
      <c r="G1673" s="609">
        <f>BR!G205/1000</f>
        <v>0</v>
      </c>
      <c r="H1673" s="609">
        <f>BR!H205/1000</f>
        <v>0</v>
      </c>
      <c r="I1673" s="609">
        <f>BR!I205/1000</f>
        <v>0</v>
      </c>
      <c r="J1673" s="603">
        <f>BR!J205/1000</f>
        <v>0</v>
      </c>
      <c r="K1673" s="608">
        <f>BR!C209/1000</f>
        <v>0</v>
      </c>
      <c r="L1673" s="609">
        <f>BR!D209/1000</f>
        <v>0</v>
      </c>
      <c r="M1673" s="609">
        <f>BR!E209/1000</f>
        <v>0</v>
      </c>
      <c r="N1673" s="609">
        <f>BR!F209/1000</f>
        <v>0</v>
      </c>
      <c r="O1673" s="609">
        <f>BR!G209/1000</f>
        <v>0</v>
      </c>
      <c r="P1673" s="609">
        <f>BR!H209/1000</f>
        <v>0</v>
      </c>
      <c r="Q1673" s="609">
        <f>BR!I209/1000</f>
        <v>0</v>
      </c>
      <c r="R1673" s="603">
        <f>BR!J209/1000</f>
        <v>0</v>
      </c>
    </row>
    <row r="1674" spans="2:18">
      <c r="B1674" s="595" t="s">
        <v>1042</v>
      </c>
      <c r="C1674" s="608">
        <f>CL!C203/1000</f>
        <v>0</v>
      </c>
      <c r="D1674" s="609">
        <f>CL!D203/1000</f>
        <v>0</v>
      </c>
      <c r="E1674" s="609">
        <f>CL!E203/1000</f>
        <v>0</v>
      </c>
      <c r="F1674" s="609">
        <f>CL!F203/1000</f>
        <v>0</v>
      </c>
      <c r="G1674" s="609">
        <f>CL!G203/1000</f>
        <v>0</v>
      </c>
      <c r="H1674" s="609">
        <f>CL!H203/1000</f>
        <v>0</v>
      </c>
      <c r="I1674" s="609">
        <f>CL!I203/1000</f>
        <v>0</v>
      </c>
      <c r="J1674" s="603">
        <f>CL!J203/1000</f>
        <v>0</v>
      </c>
      <c r="K1674" s="608">
        <f>CL!C207/1000</f>
        <v>0</v>
      </c>
      <c r="L1674" s="609">
        <f>CL!D207/1000</f>
        <v>0</v>
      </c>
      <c r="M1674" s="609">
        <f>CL!E207/1000</f>
        <v>0</v>
      </c>
      <c r="N1674" s="609">
        <f>CL!F207/1000</f>
        <v>0</v>
      </c>
      <c r="O1674" s="609">
        <f>CL!G207/1000</f>
        <v>0</v>
      </c>
      <c r="P1674" s="609">
        <f>CL!H207/1000</f>
        <v>0</v>
      </c>
      <c r="Q1674" s="609">
        <f>CL!I207/1000</f>
        <v>0</v>
      </c>
      <c r="R1674" s="603">
        <f>CL!J207/1000</f>
        <v>0</v>
      </c>
    </row>
    <row r="1675" spans="2:18">
      <c r="B1675" s="595" t="s">
        <v>1043</v>
      </c>
      <c r="C1675" s="608">
        <f>CO!C200/1000</f>
        <v>0</v>
      </c>
      <c r="D1675" s="609">
        <f>CO!D200/1000</f>
        <v>0</v>
      </c>
      <c r="E1675" s="609">
        <f>CO!E200/1000</f>
        <v>0</v>
      </c>
      <c r="F1675" s="609">
        <f>CO!F200/1000</f>
        <v>0</v>
      </c>
      <c r="G1675" s="609">
        <f>CO!G200/1000</f>
        <v>0</v>
      </c>
      <c r="H1675" s="609">
        <f>CO!H200/1000</f>
        <v>0</v>
      </c>
      <c r="I1675" s="609">
        <f>CO!I200/1000</f>
        <v>0</v>
      </c>
      <c r="J1675" s="603">
        <f>CO!J200/1000</f>
        <v>0</v>
      </c>
      <c r="K1675" s="608">
        <f>CO!C204/1000</f>
        <v>0</v>
      </c>
      <c r="L1675" s="609">
        <f>CO!D204/1000</f>
        <v>0</v>
      </c>
      <c r="M1675" s="609">
        <f>CO!E204/1000</f>
        <v>0</v>
      </c>
      <c r="N1675" s="609">
        <f>CO!F204/1000</f>
        <v>0</v>
      </c>
      <c r="O1675" s="609">
        <f>CO!G204/1000</f>
        <v>0</v>
      </c>
      <c r="P1675" s="609">
        <f>CO!H204/1000</f>
        <v>0</v>
      </c>
      <c r="Q1675" s="609">
        <f>CO!I204/1000</f>
        <v>0</v>
      </c>
      <c r="R1675" s="603">
        <f>CO!J204/1000</f>
        <v>0</v>
      </c>
    </row>
    <row r="1676" spans="2:18">
      <c r="B1676" s="595" t="s">
        <v>1044</v>
      </c>
      <c r="C1676" s="608">
        <f>CR!C208/1000</f>
        <v>0</v>
      </c>
      <c r="D1676" s="609">
        <f>CR!D208/1000</f>
        <v>0</v>
      </c>
      <c r="E1676" s="609">
        <f>CR!E208/1000</f>
        <v>0</v>
      </c>
      <c r="F1676" s="609">
        <f>CR!F208/1000</f>
        <v>0</v>
      </c>
      <c r="G1676" s="609">
        <f>CR!G208/1000</f>
        <v>0</v>
      </c>
      <c r="H1676" s="609">
        <f>CR!H208/1000</f>
        <v>0</v>
      </c>
      <c r="I1676" s="609">
        <f>CR!I208/1000</f>
        <v>0</v>
      </c>
      <c r="J1676" s="603">
        <f>CR!J208/1000</f>
        <v>0</v>
      </c>
      <c r="K1676" s="608">
        <f>CR!C212/1000</f>
        <v>0</v>
      </c>
      <c r="L1676" s="609">
        <f>CR!D212/1000</f>
        <v>0</v>
      </c>
      <c r="M1676" s="609">
        <f>CR!E212/1000</f>
        <v>0</v>
      </c>
      <c r="N1676" s="609">
        <f>CR!F212/1000</f>
        <v>0</v>
      </c>
      <c r="O1676" s="609">
        <f>CR!G212/1000</f>
        <v>0</v>
      </c>
      <c r="P1676" s="609">
        <f>CR!H212/1000</f>
        <v>0</v>
      </c>
      <c r="Q1676" s="609">
        <f>CR!I212/1000</f>
        <v>0</v>
      </c>
      <c r="R1676" s="603">
        <f>CR!J212/1000</f>
        <v>0</v>
      </c>
    </row>
    <row r="1677" spans="2:18">
      <c r="B1677" s="595" t="s">
        <v>1061</v>
      </c>
      <c r="C1677" s="608">
        <f>CW!C219/1000</f>
        <v>0</v>
      </c>
      <c r="D1677" s="609">
        <v>0.5</v>
      </c>
      <c r="E1677" s="609">
        <f>CW!E219/1000</f>
        <v>0.53448299999999993</v>
      </c>
      <c r="F1677" s="609">
        <f>CW!F219/1000</f>
        <v>0.543265</v>
      </c>
      <c r="G1677" s="609">
        <f>CW!G219/1000</f>
        <v>0.57226900000000003</v>
      </c>
      <c r="H1677" s="609">
        <f>CW!H219/1000</f>
        <v>0.52158900000000008</v>
      </c>
      <c r="I1677" s="609">
        <f>CW!I219/1000</f>
        <v>0.37570999999999999</v>
      </c>
      <c r="J1677" s="603">
        <f>CW!J219/1000</f>
        <v>0.42586099999999999</v>
      </c>
      <c r="K1677" s="608">
        <f>CW!C203/1000</f>
        <v>0</v>
      </c>
      <c r="L1677" s="609">
        <v>0.2</v>
      </c>
      <c r="M1677" s="609">
        <f>CW!E203/1000</f>
        <v>0.167633</v>
      </c>
      <c r="N1677" s="609">
        <f>CW!F203/1000</f>
        <v>0.16856599999999999</v>
      </c>
      <c r="O1677" s="609">
        <f>CW!G203/1000</f>
        <v>0.17183400000000001</v>
      </c>
      <c r="P1677" s="609">
        <f>CW!H203/1000</f>
        <v>0.18640499999999999</v>
      </c>
      <c r="Q1677" s="609">
        <f>CW!I203/1000</f>
        <v>0.20493400000000001</v>
      </c>
      <c r="R1677" s="603">
        <f>CW!J203/1000</f>
        <v>0.26072400000000001</v>
      </c>
    </row>
    <row r="1678" spans="2:18">
      <c r="B1678" s="595" t="s">
        <v>1047</v>
      </c>
      <c r="C1678" s="608">
        <f>EC!C201/1000</f>
        <v>0</v>
      </c>
      <c r="D1678" s="609">
        <f>EC!D201/1000</f>
        <v>0</v>
      </c>
      <c r="E1678" s="609">
        <f>EC!E201/1000</f>
        <v>0</v>
      </c>
      <c r="F1678" s="609">
        <f>EC!F201/1000</f>
        <v>0</v>
      </c>
      <c r="G1678" s="609">
        <f>EC!G201/1000</f>
        <v>0</v>
      </c>
      <c r="H1678" s="609">
        <f>EC!H201/1000</f>
        <v>0</v>
      </c>
      <c r="I1678" s="609">
        <f>EC!I201/1000</f>
        <v>0</v>
      </c>
      <c r="J1678" s="603">
        <f>EC!J201/1000</f>
        <v>0</v>
      </c>
      <c r="K1678" s="608">
        <f>EC!C205/1000</f>
        <v>0</v>
      </c>
      <c r="L1678" s="609">
        <f>EC!D205/1000</f>
        <v>0</v>
      </c>
      <c r="M1678" s="609">
        <f>EC!E205/1000</f>
        <v>0</v>
      </c>
      <c r="N1678" s="609">
        <f>EC!F205/1000</f>
        <v>0</v>
      </c>
      <c r="O1678" s="609">
        <f>EC!G205/1000</f>
        <v>0</v>
      </c>
      <c r="P1678" s="609">
        <f>EC!H205/1000</f>
        <v>0</v>
      </c>
      <c r="Q1678" s="609">
        <f>EC!I205/1000</f>
        <v>0</v>
      </c>
      <c r="R1678" s="603">
        <f>EC!J205/1000</f>
        <v>0</v>
      </c>
    </row>
    <row r="1679" spans="2:18">
      <c r="B1679" s="595" t="s">
        <v>1048</v>
      </c>
      <c r="C1679" s="608">
        <f>SV!C202/1000</f>
        <v>0</v>
      </c>
      <c r="D1679" s="609">
        <f>SV!D202/1000</f>
        <v>0</v>
      </c>
      <c r="E1679" s="609">
        <f>SV!E202/1000</f>
        <v>0</v>
      </c>
      <c r="F1679" s="609">
        <f>SV!F202/1000</f>
        <v>0</v>
      </c>
      <c r="G1679" s="609">
        <f>SV!G202/1000</f>
        <v>0</v>
      </c>
      <c r="H1679" s="609">
        <f>SV!H202/1000</f>
        <v>0</v>
      </c>
      <c r="I1679" s="609">
        <f>SV!I202/1000</f>
        <v>0</v>
      </c>
      <c r="J1679" s="603">
        <f>SV!J202/1000</f>
        <v>0</v>
      </c>
      <c r="K1679" s="608">
        <f>SV!C206/1000</f>
        <v>0</v>
      </c>
      <c r="L1679" s="609">
        <f>SV!D206/1000</f>
        <v>0</v>
      </c>
      <c r="M1679" s="609">
        <f>SV!E206/1000</f>
        <v>0</v>
      </c>
      <c r="N1679" s="609">
        <f>SV!F206/1000</f>
        <v>0</v>
      </c>
      <c r="O1679" s="609">
        <f>SV!G206/1000</f>
        <v>0</v>
      </c>
      <c r="P1679" s="609">
        <f>SV!H206/1000</f>
        <v>0</v>
      </c>
      <c r="Q1679" s="609">
        <f>SV!I206/1000</f>
        <v>0</v>
      </c>
      <c r="R1679" s="603">
        <f>SV!J206/1000</f>
        <v>0</v>
      </c>
    </row>
    <row r="1680" spans="2:18">
      <c r="B1680" s="595" t="s">
        <v>1049</v>
      </c>
      <c r="C1680" s="608">
        <f>GT!C209/1000</f>
        <v>0.204677</v>
      </c>
      <c r="D1680" s="609">
        <f>GT!D209/1000</f>
        <v>0.239481</v>
      </c>
      <c r="E1680" s="609">
        <f>GT!E209/1000</f>
        <v>0.320689</v>
      </c>
      <c r="F1680" s="609">
        <f>GT!F209/1000</f>
        <v>0.28257199999999999</v>
      </c>
      <c r="G1680" s="609">
        <f>GT!G209/1000</f>
        <v>0.39244999999999997</v>
      </c>
      <c r="H1680" s="609">
        <f>GT!H209/1000</f>
        <v>0.4214</v>
      </c>
      <c r="I1680" s="609">
        <f>GT!I209/1000</f>
        <v>1.625362</v>
      </c>
      <c r="J1680" s="603">
        <f>GT!J209/1000</f>
        <v>0.56506200000000006</v>
      </c>
      <c r="K1680" s="608">
        <f>GT!C213/1000</f>
        <v>0</v>
      </c>
      <c r="L1680" s="609">
        <f>GT!D213/1000</f>
        <v>0</v>
      </c>
      <c r="M1680" s="609">
        <f>GT!E213/1000</f>
        <v>0</v>
      </c>
      <c r="N1680" s="609">
        <f>GT!F213/1000</f>
        <v>0</v>
      </c>
      <c r="O1680" s="609">
        <f>GT!G213/1000</f>
        <v>0</v>
      </c>
      <c r="P1680" s="609">
        <f>GT!H213/1000</f>
        <v>0</v>
      </c>
      <c r="Q1680" s="609">
        <f>GT!I213/1000</f>
        <v>0</v>
      </c>
      <c r="R1680" s="603">
        <f>GT!J213/1000</f>
        <v>0</v>
      </c>
    </row>
    <row r="1681" spans="2:18">
      <c r="B1681" s="595" t="s">
        <v>1050</v>
      </c>
      <c r="C1681" s="608">
        <f>HN!C208/1000</f>
        <v>0</v>
      </c>
      <c r="D1681" s="609">
        <f>HN!D208/1000</f>
        <v>0</v>
      </c>
      <c r="E1681" s="609">
        <f>HN!E208/1000</f>
        <v>0</v>
      </c>
      <c r="F1681" s="609">
        <f>HN!F208/1000</f>
        <v>0</v>
      </c>
      <c r="G1681" s="609">
        <f>HN!G208/1000</f>
        <v>0</v>
      </c>
      <c r="H1681" s="609">
        <f>HN!H208/1000</f>
        <v>0</v>
      </c>
      <c r="I1681" s="609">
        <f>HN!I208/1000</f>
        <v>0</v>
      </c>
      <c r="J1681" s="603">
        <f>HN!J208/1000</f>
        <v>0</v>
      </c>
      <c r="K1681" s="608">
        <f>HN!C212/1000</f>
        <v>0</v>
      </c>
      <c r="L1681" s="609">
        <f>HN!D212/1000</f>
        <v>0</v>
      </c>
      <c r="M1681" s="609">
        <f>HN!E212/1000</f>
        <v>0</v>
      </c>
      <c r="N1681" s="609">
        <f>HN!F212/1000</f>
        <v>0</v>
      </c>
      <c r="O1681" s="609">
        <f>HN!G212/1000</f>
        <v>0</v>
      </c>
      <c r="P1681" s="609">
        <f>HN!H212/1000</f>
        <v>0</v>
      </c>
      <c r="Q1681" s="609">
        <f>HN!I212/1000</f>
        <v>0</v>
      </c>
      <c r="R1681" s="603">
        <f>HN!J212/1000</f>
        <v>0</v>
      </c>
    </row>
    <row r="1682" spans="2:18">
      <c r="B1682" s="595" t="s">
        <v>1051</v>
      </c>
      <c r="C1682" s="608">
        <f>JM!C204/1000</f>
        <v>0</v>
      </c>
      <c r="D1682" s="609">
        <f>JM!D204/1000</f>
        <v>0</v>
      </c>
      <c r="E1682" s="609">
        <f>JM!E204/1000</f>
        <v>0</v>
      </c>
      <c r="F1682" s="609">
        <f>JM!F204/1000</f>
        <v>0</v>
      </c>
      <c r="G1682" s="609">
        <f>JM!G204/1000</f>
        <v>0</v>
      </c>
      <c r="H1682" s="609">
        <f>JM!H204/1000</f>
        <v>0</v>
      </c>
      <c r="I1682" s="609">
        <f>JM!I204/1000</f>
        <v>0</v>
      </c>
      <c r="J1682" s="603">
        <f>JM!J204/1000</f>
        <v>0</v>
      </c>
      <c r="K1682" s="608">
        <f>JM!C208/1000</f>
        <v>0</v>
      </c>
      <c r="L1682" s="609">
        <f>JM!D208/1000</f>
        <v>0</v>
      </c>
      <c r="M1682" s="609">
        <f>JM!E208/1000</f>
        <v>0</v>
      </c>
      <c r="N1682" s="609">
        <f>JM!F208/1000</f>
        <v>0</v>
      </c>
      <c r="O1682" s="609">
        <f>JM!G208/1000</f>
        <v>0</v>
      </c>
      <c r="P1682" s="609">
        <f>JM!H208/1000</f>
        <v>0</v>
      </c>
      <c r="Q1682" s="609">
        <f>JM!I208/1000</f>
        <v>0</v>
      </c>
      <c r="R1682" s="603">
        <f>JM!J208/1000</f>
        <v>0</v>
      </c>
    </row>
    <row r="1683" spans="2:18">
      <c r="B1683" s="595" t="s">
        <v>1052</v>
      </c>
      <c r="C1683" s="608">
        <f>RD!C219/1000</f>
        <v>0</v>
      </c>
      <c r="D1683" s="609">
        <f>RD!D219/1000</f>
        <v>0</v>
      </c>
      <c r="E1683" s="609">
        <f>RD!E219/1000</f>
        <v>0</v>
      </c>
      <c r="F1683" s="609">
        <f>RD!F219/1000</f>
        <v>0</v>
      </c>
      <c r="G1683" s="609">
        <f>RD!G219/1000</f>
        <v>0</v>
      </c>
      <c r="H1683" s="609">
        <f>RD!H219/1000</f>
        <v>0</v>
      </c>
      <c r="I1683" s="609">
        <f>RD!I219/1000</f>
        <v>0</v>
      </c>
      <c r="J1683" s="603">
        <f>RD!J219/1000</f>
        <v>0</v>
      </c>
      <c r="K1683" s="608">
        <f>RD!C223/1000</f>
        <v>0</v>
      </c>
      <c r="L1683" s="609">
        <f>RD!D223/1000</f>
        <v>0</v>
      </c>
      <c r="M1683" s="609">
        <f>RD!E223/1000</f>
        <v>0</v>
      </c>
      <c r="N1683" s="609">
        <f>RD!F223/1000</f>
        <v>0</v>
      </c>
      <c r="O1683" s="609">
        <f>RD!G223/1000</f>
        <v>0</v>
      </c>
      <c r="P1683" s="609">
        <f>RD!H223/1000</f>
        <v>0</v>
      </c>
      <c r="Q1683" s="609">
        <f>RD!I223/1000</f>
        <v>0</v>
      </c>
      <c r="R1683" s="603">
        <f>RD!J223/1000</f>
        <v>0</v>
      </c>
    </row>
    <row r="1684" spans="2:18">
      <c r="B1684" s="595" t="s">
        <v>1053</v>
      </c>
      <c r="C1684" s="608">
        <f>PY!C202/1000</f>
        <v>0.12218754009955753</v>
      </c>
      <c r="D1684" s="609">
        <f>PY!D202/1000</f>
        <v>8.422700000000001E-2</v>
      </c>
      <c r="E1684" s="609">
        <f>PY!E202/1000</f>
        <v>9.5027E-2</v>
      </c>
      <c r="F1684" s="609">
        <f>PY!F202/1000</f>
        <v>0.10789799999999999</v>
      </c>
      <c r="G1684" s="609">
        <f>PY!G202/1000</f>
        <v>0.112735</v>
      </c>
      <c r="H1684" s="609">
        <f>PY!H202/1000</f>
        <v>0.114592</v>
      </c>
      <c r="I1684" s="609">
        <f>PY!I202/1000</f>
        <v>7.490999999999999E-2</v>
      </c>
      <c r="J1684" s="603">
        <f>PY!J202/1000</f>
        <v>7.1239999999999998E-2</v>
      </c>
      <c r="K1684" s="608">
        <f>PY!C206/1000</f>
        <v>0</v>
      </c>
      <c r="L1684" s="609">
        <f>PY!D206/1000</f>
        <v>0</v>
      </c>
      <c r="M1684" s="609">
        <f>PY!E206/1000</f>
        <v>0</v>
      </c>
      <c r="N1684" s="609">
        <f>PY!F206/1000</f>
        <v>0</v>
      </c>
      <c r="O1684" s="609">
        <f>PY!G206/1000</f>
        <v>0</v>
      </c>
      <c r="P1684" s="609">
        <f>PY!H206/1000</f>
        <v>0</v>
      </c>
      <c r="Q1684" s="609">
        <f>PY!I206/1000</f>
        <v>0</v>
      </c>
      <c r="R1684" s="603">
        <f>PY!J206/1000</f>
        <v>0</v>
      </c>
    </row>
    <row r="1685" spans="2:18">
      <c r="B1685" s="595" t="s">
        <v>1054</v>
      </c>
      <c r="C1685" s="608">
        <f>PE!C206/1000</f>
        <v>0</v>
      </c>
      <c r="D1685" s="609">
        <f>PE!D206/1000</f>
        <v>0</v>
      </c>
      <c r="E1685" s="609">
        <f>PE!E206/1000</f>
        <v>0</v>
      </c>
      <c r="F1685" s="609">
        <f>PE!F206/1000</f>
        <v>0</v>
      </c>
      <c r="G1685" s="609">
        <f>PE!G206/1000</f>
        <v>0</v>
      </c>
      <c r="H1685" s="609">
        <f>PE!H206/1000</f>
        <v>0</v>
      </c>
      <c r="I1685" s="609">
        <f>PE!I206/1000</f>
        <v>0</v>
      </c>
      <c r="J1685" s="603">
        <f>PE!J206/1000</f>
        <v>0</v>
      </c>
      <c r="K1685" s="608">
        <f>PE!C210/1000</f>
        <v>0</v>
      </c>
      <c r="L1685" s="609">
        <f>PE!D210/1000</f>
        <v>0</v>
      </c>
      <c r="M1685" s="609">
        <f>PE!E210/1000</f>
        <v>0</v>
      </c>
      <c r="N1685" s="609">
        <f>PE!F210/1000</f>
        <v>0</v>
      </c>
      <c r="O1685" s="609">
        <f>PE!G210/1000</f>
        <v>0</v>
      </c>
      <c r="P1685" s="609">
        <f>PE!H210/1000</f>
        <v>0</v>
      </c>
      <c r="Q1685" s="609">
        <f>PE!I210/1000</f>
        <v>0</v>
      </c>
      <c r="R1685" s="603">
        <f>PE!J210/1000</f>
        <v>0</v>
      </c>
    </row>
    <row r="1686" spans="2:18">
      <c r="B1686" s="604" t="s">
        <v>1055</v>
      </c>
      <c r="C1686" s="610">
        <f>TT!C210/1000</f>
        <v>0</v>
      </c>
      <c r="D1686" s="617">
        <f>TT!D210/1000</f>
        <v>0</v>
      </c>
      <c r="E1686" s="617">
        <f>TT!E210/1000</f>
        <v>0</v>
      </c>
      <c r="F1686" s="617">
        <f>TT!F210/1000</f>
        <v>0</v>
      </c>
      <c r="G1686" s="617">
        <f>TT!G210/1000</f>
        <v>0</v>
      </c>
      <c r="H1686" s="617">
        <f>TT!H210/1000</f>
        <v>0</v>
      </c>
      <c r="I1686" s="617">
        <f>TT!I210/1000</f>
        <v>0</v>
      </c>
      <c r="J1686" s="618">
        <f>TT!J210/1000</f>
        <v>0</v>
      </c>
      <c r="K1686" s="610">
        <f>TT!C214/1000</f>
        <v>0</v>
      </c>
      <c r="L1686" s="617">
        <f>TT!D214/1000</f>
        <v>0</v>
      </c>
      <c r="M1686" s="617">
        <f>TT!E214/1000</f>
        <v>0</v>
      </c>
      <c r="N1686" s="617">
        <f>TT!F214/1000</f>
        <v>0</v>
      </c>
      <c r="O1686" s="617">
        <f>TT!G214/1000</f>
        <v>0</v>
      </c>
      <c r="P1686" s="617">
        <f>TT!H214/1000</f>
        <v>0</v>
      </c>
      <c r="Q1686" s="617">
        <f>TT!I214/1000</f>
        <v>0</v>
      </c>
      <c r="R1686" s="618">
        <f>TT!J214/1000</f>
        <v>0</v>
      </c>
    </row>
    <row r="1687" spans="2:18">
      <c r="B1687" s="57"/>
      <c r="C1687" s="582"/>
      <c r="D1687" s="582"/>
      <c r="E1687" s="582"/>
      <c r="F1687" s="582"/>
      <c r="G1687" s="582"/>
      <c r="H1687" s="582"/>
      <c r="I1687" s="582"/>
      <c r="J1687" s="582"/>
      <c r="K1687" s="582"/>
      <c r="L1687" s="582"/>
      <c r="M1687" s="582"/>
      <c r="N1687" s="582"/>
      <c r="O1687" s="582"/>
      <c r="P1687" s="582"/>
      <c r="Q1687" s="582"/>
    </row>
    <row r="1688" spans="2:18">
      <c r="B1688" s="2157" t="s">
        <v>1192</v>
      </c>
      <c r="C1688" s="2157"/>
      <c r="D1688" s="2157"/>
      <c r="E1688" s="2157"/>
      <c r="F1688" s="2157"/>
      <c r="G1688" s="2157"/>
      <c r="H1688" s="2157"/>
      <c r="I1688" s="2157"/>
      <c r="J1688" s="2157"/>
      <c r="K1688" s="2157"/>
      <c r="L1688" s="2157"/>
      <c r="M1688" s="2157"/>
      <c r="N1688" s="2157"/>
      <c r="O1688" s="2157"/>
      <c r="P1688" s="2157"/>
      <c r="Q1688" s="2157"/>
      <c r="R1688" s="2157"/>
    </row>
    <row r="1689" spans="2:18">
      <c r="B1689" s="2159" t="s">
        <v>1193</v>
      </c>
      <c r="C1689" s="2159"/>
      <c r="D1689" s="2159"/>
      <c r="E1689" s="2159"/>
      <c r="F1689" s="2159"/>
      <c r="G1689" s="2159"/>
      <c r="H1689" s="2159"/>
      <c r="I1689" s="2159"/>
      <c r="J1689" s="2159"/>
      <c r="K1689" s="2159"/>
      <c r="L1689" s="2159"/>
      <c r="M1689" s="2159"/>
      <c r="N1689" s="2159"/>
      <c r="O1689" s="2159"/>
      <c r="P1689" s="2159"/>
      <c r="Q1689" s="2159"/>
      <c r="R1689" s="2159"/>
    </row>
    <row r="1690" spans="2:18">
      <c r="B1690" s="2160" t="s">
        <v>1118</v>
      </c>
      <c r="C1690" s="2160"/>
      <c r="D1690" s="2160"/>
      <c r="E1690" s="2160"/>
      <c r="F1690" s="2160"/>
      <c r="G1690" s="2160"/>
      <c r="H1690" s="2160"/>
      <c r="I1690" s="2160"/>
      <c r="J1690" s="2160"/>
      <c r="K1690" s="2160"/>
      <c r="L1690" s="2160"/>
      <c r="M1690" s="2160"/>
      <c r="N1690" s="2160"/>
      <c r="O1690" s="2160"/>
      <c r="P1690" s="2160"/>
      <c r="Q1690" s="2160"/>
      <c r="R1690" s="2160"/>
    </row>
    <row r="1691" spans="2:18">
      <c r="B1691" s="57"/>
      <c r="C1691" s="582"/>
      <c r="D1691" s="582"/>
      <c r="E1691" s="582"/>
      <c r="F1691" s="582"/>
      <c r="G1691" s="582"/>
      <c r="H1691" s="582"/>
      <c r="I1691" s="582"/>
      <c r="J1691" s="582"/>
      <c r="K1691" s="582"/>
      <c r="L1691" s="582"/>
      <c r="M1691" s="582"/>
      <c r="N1691" s="582"/>
      <c r="O1691" s="582"/>
      <c r="P1691" s="582"/>
      <c r="Q1691" s="582"/>
    </row>
    <row r="1692" spans="2:18">
      <c r="B1692" s="612"/>
      <c r="C1692" s="2211" t="s">
        <v>1184</v>
      </c>
      <c r="D1692" s="2212"/>
      <c r="E1692" s="2212"/>
      <c r="F1692" s="2212"/>
      <c r="G1692" s="2212"/>
      <c r="H1692" s="2212"/>
      <c r="I1692" s="2212"/>
      <c r="J1692" s="2212"/>
      <c r="K1692" s="2174"/>
      <c r="L1692" s="2174"/>
      <c r="M1692" s="2174"/>
      <c r="N1692" s="2174"/>
      <c r="O1692" s="2174"/>
      <c r="P1692" s="2174"/>
      <c r="Q1692" s="2174"/>
      <c r="R1692" s="1653"/>
    </row>
    <row r="1693" spans="2:18">
      <c r="B1693" s="583"/>
      <c r="C1693" s="2161" t="s">
        <v>1185</v>
      </c>
      <c r="D1693" s="2162"/>
      <c r="E1693" s="2162"/>
      <c r="F1693" s="2162"/>
      <c r="G1693" s="2162"/>
      <c r="H1693" s="2162"/>
      <c r="I1693" s="2162"/>
      <c r="J1693" s="2163"/>
      <c r="K1693" s="2161" t="s">
        <v>1186</v>
      </c>
      <c r="L1693" s="2162"/>
      <c r="M1693" s="2162"/>
      <c r="N1693" s="2162"/>
      <c r="O1693" s="2162"/>
      <c r="P1693" s="2162"/>
      <c r="Q1693" s="2162"/>
      <c r="R1693" s="2163"/>
    </row>
    <row r="1694" spans="2:18">
      <c r="B1694" s="57"/>
      <c r="C1694" s="585">
        <v>2014</v>
      </c>
      <c r="D1694" s="586">
        <v>2015</v>
      </c>
      <c r="E1694" s="586">
        <v>2016</v>
      </c>
      <c r="F1694" s="586">
        <v>2017</v>
      </c>
      <c r="G1694" s="586">
        <v>2018</v>
      </c>
      <c r="H1694" s="586">
        <v>2019</v>
      </c>
      <c r="I1694" s="586">
        <v>2020</v>
      </c>
      <c r="J1694" s="586">
        <v>2021</v>
      </c>
      <c r="K1694" s="587">
        <v>2014</v>
      </c>
      <c r="L1694" s="588">
        <v>2015</v>
      </c>
      <c r="M1694" s="588">
        <v>2016</v>
      </c>
      <c r="N1694" s="588">
        <v>2017</v>
      </c>
      <c r="O1694" s="588">
        <v>2018</v>
      </c>
      <c r="P1694" s="588">
        <v>2019</v>
      </c>
      <c r="Q1694" s="588">
        <v>2020</v>
      </c>
      <c r="R1694" s="848">
        <v>2021</v>
      </c>
    </row>
    <row r="1695" spans="2:18">
      <c r="B1695" s="589" t="s">
        <v>1038</v>
      </c>
      <c r="C1695" s="614">
        <v>-13.140467061693977</v>
      </c>
      <c r="D1695" s="615">
        <f t="shared" ref="D1695:J1704" si="682">IF(ISNUMBER((D1647/C1647-1)*100),(D1647/C1647-1)*100,"0")</f>
        <v>-18.56633226324238</v>
      </c>
      <c r="E1695" s="615">
        <f t="shared" si="682"/>
        <v>69.847639143420466</v>
      </c>
      <c r="F1695" s="615">
        <f t="shared" si="682"/>
        <v>6.6432456646291937</v>
      </c>
      <c r="G1695" s="615">
        <f t="shared" si="682"/>
        <v>-13.169562273294011</v>
      </c>
      <c r="H1695" s="615">
        <f t="shared" si="682"/>
        <v>-5.8117056254703758</v>
      </c>
      <c r="I1695" s="615">
        <f t="shared" si="682"/>
        <v>-60.281713754236279</v>
      </c>
      <c r="J1695" s="615">
        <f t="shared" si="682"/>
        <v>51.203768844221131</v>
      </c>
      <c r="K1695" s="614">
        <v>9.1609446351788293</v>
      </c>
      <c r="L1695" s="615">
        <f t="shared" ref="L1695:R1704" si="683">IF(ISNUMBER((L1647/K1647-1)*100),(L1647/K1647-1)*100,"0")</f>
        <v>12.297311522419175</v>
      </c>
      <c r="M1695" s="615">
        <f t="shared" si="683"/>
        <v>10.019185719258816</v>
      </c>
      <c r="N1695" s="615">
        <f t="shared" si="683"/>
        <v>9.1142695867590273</v>
      </c>
      <c r="O1695" s="615">
        <f t="shared" si="683"/>
        <v>7.573578551606075</v>
      </c>
      <c r="P1695" s="615">
        <f t="shared" si="683"/>
        <v>8.5173323122981195</v>
      </c>
      <c r="Q1695" s="615">
        <f t="shared" si="683"/>
        <v>-5.2321694938324947</v>
      </c>
      <c r="R1695" s="616">
        <f t="shared" si="683"/>
        <v>3.6575183231979613</v>
      </c>
    </row>
    <row r="1696" spans="2:18">
      <c r="B1696" s="595" t="s">
        <v>1039</v>
      </c>
      <c r="C1696" s="608">
        <v>0</v>
      </c>
      <c r="D1696" s="609" t="str">
        <f t="shared" si="682"/>
        <v>0</v>
      </c>
      <c r="E1696" s="609" t="str">
        <f t="shared" si="682"/>
        <v>0</v>
      </c>
      <c r="F1696" s="609" t="str">
        <f t="shared" si="682"/>
        <v>0</v>
      </c>
      <c r="G1696" s="609" t="str">
        <f t="shared" si="682"/>
        <v>0</v>
      </c>
      <c r="H1696" s="609" t="str">
        <f t="shared" si="682"/>
        <v>0</v>
      </c>
      <c r="I1696" s="609" t="str">
        <f t="shared" si="682"/>
        <v>0</v>
      </c>
      <c r="J1696" s="609" t="str">
        <f t="shared" si="682"/>
        <v>0</v>
      </c>
      <c r="K1696" s="608">
        <v>0</v>
      </c>
      <c r="L1696" s="609" t="str">
        <f t="shared" si="683"/>
        <v>0</v>
      </c>
      <c r="M1696" s="609" t="str">
        <f t="shared" si="683"/>
        <v>0</v>
      </c>
      <c r="N1696" s="609" t="str">
        <f t="shared" si="683"/>
        <v>0</v>
      </c>
      <c r="O1696" s="609" t="str">
        <f t="shared" si="683"/>
        <v>0</v>
      </c>
      <c r="P1696" s="609" t="str">
        <f t="shared" si="683"/>
        <v>0</v>
      </c>
      <c r="Q1696" s="609" t="str">
        <f t="shared" si="683"/>
        <v>0</v>
      </c>
      <c r="R1696" s="603" t="str">
        <f t="shared" si="683"/>
        <v>0</v>
      </c>
    </row>
    <row r="1697" spans="2:18">
      <c r="B1697" s="595" t="s">
        <v>1040</v>
      </c>
      <c r="C1697" s="608">
        <v>0</v>
      </c>
      <c r="D1697" s="609" t="str">
        <f t="shared" si="682"/>
        <v>0</v>
      </c>
      <c r="E1697" s="609" t="str">
        <f t="shared" si="682"/>
        <v>0</v>
      </c>
      <c r="F1697" s="609" t="str">
        <f t="shared" si="682"/>
        <v>0</v>
      </c>
      <c r="G1697" s="609" t="str">
        <f t="shared" si="682"/>
        <v>0</v>
      </c>
      <c r="H1697" s="609" t="str">
        <f t="shared" si="682"/>
        <v>0</v>
      </c>
      <c r="I1697" s="609" t="str">
        <f t="shared" si="682"/>
        <v>0</v>
      </c>
      <c r="J1697" s="609" t="str">
        <f t="shared" si="682"/>
        <v>0</v>
      </c>
      <c r="K1697" s="608">
        <v>8.4685114278704905</v>
      </c>
      <c r="L1697" s="609">
        <f t="shared" si="683"/>
        <v>19.54944732924584</v>
      </c>
      <c r="M1697" s="609">
        <f t="shared" si="683"/>
        <v>-1.3255839784163781</v>
      </c>
      <c r="N1697" s="609">
        <f t="shared" si="683"/>
        <v>6.3835338681665688</v>
      </c>
      <c r="O1697" s="609">
        <f t="shared" si="683"/>
        <v>5.9046632162530033</v>
      </c>
      <c r="P1697" s="609">
        <f t="shared" si="683"/>
        <v>7.4439682341432833</v>
      </c>
      <c r="Q1697" s="609">
        <f t="shared" si="683"/>
        <v>-22.462339189452575</v>
      </c>
      <c r="R1697" s="603">
        <f t="shared" si="683"/>
        <v>26.123597151512691</v>
      </c>
    </row>
    <row r="1698" spans="2:18">
      <c r="B1698" s="595" t="s">
        <v>1041</v>
      </c>
      <c r="C1698" s="608">
        <v>0</v>
      </c>
      <c r="D1698" s="609" t="str">
        <f t="shared" si="682"/>
        <v>0</v>
      </c>
      <c r="E1698" s="609" t="str">
        <f t="shared" si="682"/>
        <v>0</v>
      </c>
      <c r="F1698" s="609" t="str">
        <f t="shared" si="682"/>
        <v>0</v>
      </c>
      <c r="G1698" s="609" t="str">
        <f t="shared" si="682"/>
        <v>0</v>
      </c>
      <c r="H1698" s="609" t="str">
        <f t="shared" si="682"/>
        <v>0</v>
      </c>
      <c r="I1698" s="609" t="str">
        <f t="shared" si="682"/>
        <v>0</v>
      </c>
      <c r="J1698" s="609" t="str">
        <f t="shared" si="682"/>
        <v>0</v>
      </c>
      <c r="K1698" s="608">
        <v>2.4291598753089141</v>
      </c>
      <c r="L1698" s="609">
        <f t="shared" si="683"/>
        <v>2.8101915358143215</v>
      </c>
      <c r="M1698" s="609">
        <f t="shared" si="683"/>
        <v>-4.9406744867714352</v>
      </c>
      <c r="N1698" s="609">
        <f t="shared" si="683"/>
        <v>3.4266695539618253</v>
      </c>
      <c r="O1698" s="609">
        <f t="shared" si="683"/>
        <v>-4.4818487266244267</v>
      </c>
      <c r="P1698" s="609">
        <f t="shared" si="683"/>
        <v>5.2163339423116017</v>
      </c>
      <c r="Q1698" s="609">
        <f t="shared" si="683"/>
        <v>-10.31169476557614</v>
      </c>
      <c r="R1698" s="603">
        <f t="shared" si="683"/>
        <v>0</v>
      </c>
    </row>
    <row r="1699" spans="2:18">
      <c r="B1699" s="595" t="s">
        <v>1042</v>
      </c>
      <c r="C1699" s="608">
        <v>0</v>
      </c>
      <c r="D1699" s="609" t="str">
        <f t="shared" si="682"/>
        <v>0</v>
      </c>
      <c r="E1699" s="609" t="str">
        <f t="shared" si="682"/>
        <v>0</v>
      </c>
      <c r="F1699" s="609" t="str">
        <f t="shared" si="682"/>
        <v>0</v>
      </c>
      <c r="G1699" s="609" t="str">
        <f t="shared" si="682"/>
        <v>0</v>
      </c>
      <c r="H1699" s="609" t="str">
        <f t="shared" si="682"/>
        <v>0</v>
      </c>
      <c r="I1699" s="609" t="str">
        <f t="shared" si="682"/>
        <v>0</v>
      </c>
      <c r="J1699" s="609" t="str">
        <f t="shared" si="682"/>
        <v>0</v>
      </c>
      <c r="K1699" s="608">
        <v>0</v>
      </c>
      <c r="L1699" s="609" t="str">
        <f t="shared" si="683"/>
        <v>0</v>
      </c>
      <c r="M1699" s="609" t="str">
        <f t="shared" si="683"/>
        <v>0</v>
      </c>
      <c r="N1699" s="609" t="str">
        <f t="shared" si="683"/>
        <v>0</v>
      </c>
      <c r="O1699" s="609" t="str">
        <f t="shared" si="683"/>
        <v>0</v>
      </c>
      <c r="P1699" s="609" t="str">
        <f t="shared" si="683"/>
        <v>0</v>
      </c>
      <c r="Q1699" s="609" t="str">
        <f t="shared" si="683"/>
        <v>0</v>
      </c>
      <c r="R1699" s="603" t="str">
        <f t="shared" si="683"/>
        <v>0</v>
      </c>
    </row>
    <row r="1700" spans="2:18">
      <c r="B1700" s="595" t="s">
        <v>1043</v>
      </c>
      <c r="C1700" s="608">
        <v>0</v>
      </c>
      <c r="D1700" s="609" t="str">
        <f t="shared" si="682"/>
        <v>0</v>
      </c>
      <c r="E1700" s="609" t="str">
        <f t="shared" si="682"/>
        <v>0</v>
      </c>
      <c r="F1700" s="609" t="str">
        <f t="shared" si="682"/>
        <v>0</v>
      </c>
      <c r="G1700" s="609" t="str">
        <f t="shared" si="682"/>
        <v>0</v>
      </c>
      <c r="H1700" s="609" t="str">
        <f t="shared" si="682"/>
        <v>0</v>
      </c>
      <c r="I1700" s="609" t="str">
        <f t="shared" si="682"/>
        <v>0</v>
      </c>
      <c r="J1700" s="609" t="str">
        <f t="shared" si="682"/>
        <v>0</v>
      </c>
      <c r="K1700" s="608">
        <v>0</v>
      </c>
      <c r="L1700" s="609" t="str">
        <f t="shared" si="683"/>
        <v>0</v>
      </c>
      <c r="M1700" s="609" t="str">
        <f t="shared" si="683"/>
        <v>0</v>
      </c>
      <c r="N1700" s="609" t="str">
        <f t="shared" si="683"/>
        <v>0</v>
      </c>
      <c r="O1700" s="609" t="str">
        <f t="shared" si="683"/>
        <v>0</v>
      </c>
      <c r="P1700" s="609" t="str">
        <f t="shared" si="683"/>
        <v>0</v>
      </c>
      <c r="Q1700" s="609" t="str">
        <f t="shared" si="683"/>
        <v>0</v>
      </c>
      <c r="R1700" s="603" t="str">
        <f t="shared" si="683"/>
        <v>0</v>
      </c>
    </row>
    <row r="1701" spans="2:18">
      <c r="B1701" s="595" t="s">
        <v>1044</v>
      </c>
      <c r="C1701" s="608">
        <v>0</v>
      </c>
      <c r="D1701" s="609" t="str">
        <f t="shared" si="682"/>
        <v>0</v>
      </c>
      <c r="E1701" s="609" t="str">
        <f t="shared" si="682"/>
        <v>0</v>
      </c>
      <c r="F1701" s="609" t="str">
        <f t="shared" si="682"/>
        <v>0</v>
      </c>
      <c r="G1701" s="609" t="str">
        <f t="shared" si="682"/>
        <v>0</v>
      </c>
      <c r="H1701" s="609" t="str">
        <f t="shared" si="682"/>
        <v>0</v>
      </c>
      <c r="I1701" s="609" t="str">
        <f t="shared" si="682"/>
        <v>0</v>
      </c>
      <c r="J1701" s="609" t="str">
        <f t="shared" si="682"/>
        <v>0</v>
      </c>
      <c r="K1701" s="608">
        <v>1.1743056296684955</v>
      </c>
      <c r="L1701" s="609" t="str">
        <f t="shared" si="683"/>
        <v>0</v>
      </c>
      <c r="M1701" s="609" t="str">
        <f t="shared" si="683"/>
        <v>0</v>
      </c>
      <c r="N1701" s="609" t="str">
        <f t="shared" si="683"/>
        <v>0</v>
      </c>
      <c r="O1701" s="609" t="str">
        <f t="shared" si="683"/>
        <v>0</v>
      </c>
      <c r="P1701" s="609" t="str">
        <f t="shared" si="683"/>
        <v>0</v>
      </c>
      <c r="Q1701" s="609" t="str">
        <f t="shared" si="683"/>
        <v>0</v>
      </c>
      <c r="R1701" s="603" t="str">
        <f t="shared" si="683"/>
        <v>0</v>
      </c>
    </row>
    <row r="1702" spans="2:18">
      <c r="B1702" s="595" t="s">
        <v>1061</v>
      </c>
      <c r="C1702" s="608">
        <v>0</v>
      </c>
      <c r="D1702" s="609" t="str">
        <f t="shared" si="682"/>
        <v>0</v>
      </c>
      <c r="E1702" s="609">
        <f t="shared" si="682"/>
        <v>-5.3222222222222282</v>
      </c>
      <c r="F1702" s="609">
        <f t="shared" si="682"/>
        <v>8.2463325900715923</v>
      </c>
      <c r="G1702" s="609">
        <f t="shared" si="682"/>
        <v>-18.488519211983945</v>
      </c>
      <c r="H1702" s="609">
        <f t="shared" si="682"/>
        <v>-1.4747916763651725</v>
      </c>
      <c r="I1702" s="609">
        <f t="shared" si="682"/>
        <v>-34.686336900453171</v>
      </c>
      <c r="J1702" s="609">
        <f t="shared" si="682"/>
        <v>31.720782374862821</v>
      </c>
      <c r="K1702" s="608">
        <v>0</v>
      </c>
      <c r="L1702" s="609" t="str">
        <f t="shared" si="683"/>
        <v>0</v>
      </c>
      <c r="M1702" s="609">
        <f t="shared" si="683"/>
        <v>12.800050000000018</v>
      </c>
      <c r="N1702" s="609">
        <f t="shared" si="683"/>
        <v>16.17601233332784</v>
      </c>
      <c r="O1702" s="609">
        <f t="shared" si="683"/>
        <v>14.115379567268448</v>
      </c>
      <c r="P1702" s="609">
        <f t="shared" si="683"/>
        <v>8.8562203881691772</v>
      </c>
      <c r="Q1702" s="609">
        <f t="shared" si="683"/>
        <v>1.4710439878050208</v>
      </c>
      <c r="R1702" s="603">
        <f t="shared" si="683"/>
        <v>12.457464785833361</v>
      </c>
    </row>
    <row r="1703" spans="2:18">
      <c r="B1703" s="595" t="s">
        <v>1047</v>
      </c>
      <c r="C1703" s="608">
        <v>0</v>
      </c>
      <c r="D1703" s="609" t="str">
        <f t="shared" si="682"/>
        <v>0</v>
      </c>
      <c r="E1703" s="609" t="str">
        <f t="shared" si="682"/>
        <v>0</v>
      </c>
      <c r="F1703" s="609" t="str">
        <f t="shared" si="682"/>
        <v>0</v>
      </c>
      <c r="G1703" s="609" t="str">
        <f t="shared" si="682"/>
        <v>0</v>
      </c>
      <c r="H1703" s="609" t="str">
        <f t="shared" si="682"/>
        <v>0</v>
      </c>
      <c r="I1703" s="609" t="str">
        <f t="shared" si="682"/>
        <v>0</v>
      </c>
      <c r="J1703" s="609" t="str">
        <f t="shared" si="682"/>
        <v>0</v>
      </c>
      <c r="K1703" s="608">
        <v>0</v>
      </c>
      <c r="L1703" s="609" t="str">
        <f t="shared" si="683"/>
        <v>0</v>
      </c>
      <c r="M1703" s="609">
        <f t="shared" si="683"/>
        <v>-10.571190183416279</v>
      </c>
      <c r="N1703" s="609">
        <f t="shared" si="683"/>
        <v>2.7814284377615239</v>
      </c>
      <c r="O1703" s="609">
        <f t="shared" si="683"/>
        <v>2.0034470892975609</v>
      </c>
      <c r="P1703" s="609">
        <f t="shared" si="683"/>
        <v>4.0574464408710709</v>
      </c>
      <c r="Q1703" s="609">
        <f t="shared" si="683"/>
        <v>-21.026521066237535</v>
      </c>
      <c r="R1703" s="603">
        <f t="shared" si="683"/>
        <v>22.796115074032187</v>
      </c>
    </row>
    <row r="1704" spans="2:18">
      <c r="B1704" s="595" t="s">
        <v>1048</v>
      </c>
      <c r="C1704" s="608">
        <v>0</v>
      </c>
      <c r="D1704" s="609" t="str">
        <f t="shared" si="682"/>
        <v>0</v>
      </c>
      <c r="E1704" s="609" t="str">
        <f t="shared" si="682"/>
        <v>0</v>
      </c>
      <c r="F1704" s="609" t="str">
        <f t="shared" si="682"/>
        <v>0</v>
      </c>
      <c r="G1704" s="609" t="str">
        <f t="shared" si="682"/>
        <v>0</v>
      </c>
      <c r="H1704" s="609" t="str">
        <f t="shared" si="682"/>
        <v>0</v>
      </c>
      <c r="I1704" s="609" t="str">
        <f t="shared" si="682"/>
        <v>0</v>
      </c>
      <c r="J1704" s="609" t="str">
        <f t="shared" si="682"/>
        <v>0</v>
      </c>
      <c r="K1704" s="608">
        <v>0</v>
      </c>
      <c r="L1704" s="609" t="str">
        <f t="shared" si="683"/>
        <v>0</v>
      </c>
      <c r="M1704" s="609" t="str">
        <f t="shared" si="683"/>
        <v>0</v>
      </c>
      <c r="N1704" s="609" t="str">
        <f t="shared" si="683"/>
        <v>0</v>
      </c>
      <c r="O1704" s="609" t="str">
        <f t="shared" si="683"/>
        <v>0</v>
      </c>
      <c r="P1704" s="609" t="str">
        <f t="shared" si="683"/>
        <v>0</v>
      </c>
      <c r="Q1704" s="609" t="str">
        <f t="shared" si="683"/>
        <v>0</v>
      </c>
      <c r="R1704" s="603" t="str">
        <f t="shared" si="683"/>
        <v>0</v>
      </c>
    </row>
    <row r="1705" spans="2:18">
      <c r="B1705" s="595" t="s">
        <v>1049</v>
      </c>
      <c r="C1705" s="608">
        <v>9.4638369948573384</v>
      </c>
      <c r="D1705" s="609">
        <f t="shared" ref="D1705:J1711" si="684">IF(ISNUMBER((D1657/C1657-1)*100),(D1657/C1657-1)*100,"0")</f>
        <v>-1.7937073650927449</v>
      </c>
      <c r="E1705" s="609">
        <f t="shared" si="684"/>
        <v>-4.4035314495756701</v>
      </c>
      <c r="F1705" s="609">
        <f t="shared" si="684"/>
        <v>-21.643920878053223</v>
      </c>
      <c r="G1705" s="609">
        <f t="shared" si="684"/>
        <v>33.938725493587896</v>
      </c>
      <c r="H1705" s="609">
        <f t="shared" si="684"/>
        <v>-0.52827670003223748</v>
      </c>
      <c r="I1705" s="609">
        <f t="shared" si="684"/>
        <v>-41.902423368035969</v>
      </c>
      <c r="J1705" s="609">
        <f t="shared" si="684"/>
        <v>33.992866529003194</v>
      </c>
      <c r="K1705" s="608">
        <v>6.955289795111903</v>
      </c>
      <c r="L1705" s="609">
        <f t="shared" ref="L1705:R1711" si="685">IF(ISNUMBER((L1657/K1657-1)*100),(L1657/K1657-1)*100,"0")</f>
        <v>6.108675062652158</v>
      </c>
      <c r="M1705" s="609">
        <f t="shared" si="685"/>
        <v>5.9832132466961285</v>
      </c>
      <c r="N1705" s="609">
        <f t="shared" si="685"/>
        <v>2.9119003322252368</v>
      </c>
      <c r="O1705" s="609">
        <f t="shared" si="685"/>
        <v>4.5372575955352934</v>
      </c>
      <c r="P1705" s="609">
        <f t="shared" si="685"/>
        <v>5.664607646831521</v>
      </c>
      <c r="Q1705" s="609">
        <f t="shared" si="685"/>
        <v>-6.693741432485167</v>
      </c>
      <c r="R1705" s="603">
        <f t="shared" si="685"/>
        <v>7.1946580358128953</v>
      </c>
    </row>
    <row r="1706" spans="2:18">
      <c r="B1706" s="595" t="s">
        <v>1050</v>
      </c>
      <c r="C1706" s="608">
        <v>0</v>
      </c>
      <c r="D1706" s="609" t="str">
        <f t="shared" si="684"/>
        <v>0</v>
      </c>
      <c r="E1706" s="609" t="str">
        <f t="shared" si="684"/>
        <v>0</v>
      </c>
      <c r="F1706" s="609" t="str">
        <f t="shared" si="684"/>
        <v>0</v>
      </c>
      <c r="G1706" s="609" t="str">
        <f t="shared" si="684"/>
        <v>0</v>
      </c>
      <c r="H1706" s="609" t="str">
        <f t="shared" si="684"/>
        <v>0</v>
      </c>
      <c r="I1706" s="609" t="str">
        <f t="shared" si="684"/>
        <v>0</v>
      </c>
      <c r="J1706" s="609" t="str">
        <f t="shared" si="684"/>
        <v>0</v>
      </c>
      <c r="K1706" s="608">
        <v>0</v>
      </c>
      <c r="L1706" s="609" t="str">
        <f t="shared" si="685"/>
        <v>0</v>
      </c>
      <c r="M1706" s="609" t="str">
        <f t="shared" si="685"/>
        <v>0</v>
      </c>
      <c r="N1706" s="609" t="str">
        <f t="shared" si="685"/>
        <v>0</v>
      </c>
      <c r="O1706" s="609" t="str">
        <f t="shared" si="685"/>
        <v>0</v>
      </c>
      <c r="P1706" s="609" t="str">
        <f t="shared" si="685"/>
        <v>0</v>
      </c>
      <c r="Q1706" s="609" t="str">
        <f t="shared" si="685"/>
        <v>0</v>
      </c>
      <c r="R1706" s="603" t="str">
        <f t="shared" si="685"/>
        <v>0</v>
      </c>
    </row>
    <row r="1707" spans="2:18">
      <c r="B1707" s="595" t="s">
        <v>1051</v>
      </c>
      <c r="C1707" s="608">
        <v>0</v>
      </c>
      <c r="D1707" s="609" t="str">
        <f t="shared" si="684"/>
        <v>0</v>
      </c>
      <c r="E1707" s="609" t="str">
        <f t="shared" si="684"/>
        <v>0</v>
      </c>
      <c r="F1707" s="609" t="str">
        <f t="shared" si="684"/>
        <v>0</v>
      </c>
      <c r="G1707" s="609" t="str">
        <f t="shared" si="684"/>
        <v>0</v>
      </c>
      <c r="H1707" s="609" t="str">
        <f t="shared" si="684"/>
        <v>0</v>
      </c>
      <c r="I1707" s="609" t="str">
        <f t="shared" si="684"/>
        <v>0</v>
      </c>
      <c r="J1707" s="609" t="str">
        <f t="shared" si="684"/>
        <v>0</v>
      </c>
      <c r="K1707" s="608">
        <v>6.0004814900641783</v>
      </c>
      <c r="L1707" s="609">
        <f t="shared" si="685"/>
        <v>7.7400235836002196</v>
      </c>
      <c r="M1707" s="609">
        <f t="shared" si="685"/>
        <v>7.6970337721168347</v>
      </c>
      <c r="N1707" s="609">
        <f t="shared" si="685"/>
        <v>8.0292603532772233E-2</v>
      </c>
      <c r="O1707" s="609">
        <f t="shared" si="685"/>
        <v>11.1639742331908</v>
      </c>
      <c r="P1707" s="609">
        <f t="shared" si="685"/>
        <v>-4.7791083348245884</v>
      </c>
      <c r="Q1707" s="609">
        <f t="shared" si="685"/>
        <v>-12.658770143422926</v>
      </c>
      <c r="R1707" s="603">
        <f t="shared" si="685"/>
        <v>-4.1424340087324651</v>
      </c>
    </row>
    <row r="1708" spans="2:18">
      <c r="B1708" s="595" t="s">
        <v>1052</v>
      </c>
      <c r="C1708" s="608">
        <v>0</v>
      </c>
      <c r="D1708" s="609" t="str">
        <f t="shared" si="684"/>
        <v>0</v>
      </c>
      <c r="E1708" s="609" t="str">
        <f t="shared" si="684"/>
        <v>0</v>
      </c>
      <c r="F1708" s="609" t="str">
        <f t="shared" si="684"/>
        <v>0</v>
      </c>
      <c r="G1708" s="609" t="str">
        <f t="shared" si="684"/>
        <v>0</v>
      </c>
      <c r="H1708" s="609" t="str">
        <f t="shared" si="684"/>
        <v>0</v>
      </c>
      <c r="I1708" s="609" t="str">
        <f t="shared" si="684"/>
        <v>0</v>
      </c>
      <c r="J1708" s="609" t="str">
        <f t="shared" si="684"/>
        <v>0</v>
      </c>
      <c r="K1708" s="608">
        <v>0</v>
      </c>
      <c r="L1708" s="609" t="str">
        <f t="shared" si="685"/>
        <v>0</v>
      </c>
      <c r="M1708" s="609" t="str">
        <f t="shared" si="685"/>
        <v>0</v>
      </c>
      <c r="N1708" s="609" t="str">
        <f t="shared" si="685"/>
        <v>0</v>
      </c>
      <c r="O1708" s="609" t="str">
        <f t="shared" si="685"/>
        <v>0</v>
      </c>
      <c r="P1708" s="609" t="str">
        <f t="shared" si="685"/>
        <v>0</v>
      </c>
      <c r="Q1708" s="609" t="str">
        <f t="shared" si="685"/>
        <v>0</v>
      </c>
      <c r="R1708" s="603" t="str">
        <f t="shared" si="685"/>
        <v>0</v>
      </c>
    </row>
    <row r="1709" spans="2:18">
      <c r="B1709" s="595" t="s">
        <v>1053</v>
      </c>
      <c r="C1709" s="608">
        <v>11.895749390937404</v>
      </c>
      <c r="D1709" s="609">
        <f t="shared" si="684"/>
        <v>-35.497833449096149</v>
      </c>
      <c r="E1709" s="609">
        <f t="shared" si="684"/>
        <v>-12.301313273608383</v>
      </c>
      <c r="F1709" s="609">
        <f t="shared" si="684"/>
        <v>15.949479607763539</v>
      </c>
      <c r="G1709" s="609">
        <f t="shared" si="684"/>
        <v>2.4541154952447686</v>
      </c>
      <c r="H1709" s="609">
        <f t="shared" si="684"/>
        <v>5.915122020197261</v>
      </c>
      <c r="I1709" s="609">
        <f t="shared" si="684"/>
        <v>-14.308640979498289</v>
      </c>
      <c r="J1709" s="609">
        <f t="shared" si="684"/>
        <v>33.251646450515594</v>
      </c>
      <c r="K1709" s="608">
        <v>11.632537695398671</v>
      </c>
      <c r="L1709" s="609">
        <f t="shared" si="685"/>
        <v>-4.2635225324848651</v>
      </c>
      <c r="M1709" s="609">
        <f t="shared" si="685"/>
        <v>3.0688624852736934</v>
      </c>
      <c r="N1709" s="609">
        <f t="shared" si="685"/>
        <v>3.7673597740799369</v>
      </c>
      <c r="O1709" s="609">
        <f t="shared" si="685"/>
        <v>4.0555898015852465</v>
      </c>
      <c r="P1709" s="609">
        <f t="shared" si="685"/>
        <v>6.1535946048033141</v>
      </c>
      <c r="Q1709" s="609">
        <f t="shared" si="685"/>
        <v>-7.5106314587020879</v>
      </c>
      <c r="R1709" s="603">
        <f t="shared" si="685"/>
        <v>13.217704246249351</v>
      </c>
    </row>
    <row r="1710" spans="2:18">
      <c r="B1710" s="595" t="s">
        <v>1054</v>
      </c>
      <c r="C1710" s="608">
        <v>0</v>
      </c>
      <c r="D1710" s="609" t="str">
        <f t="shared" si="684"/>
        <v>0</v>
      </c>
      <c r="E1710" s="609" t="str">
        <f t="shared" si="684"/>
        <v>0</v>
      </c>
      <c r="F1710" s="609" t="str">
        <f t="shared" si="684"/>
        <v>0</v>
      </c>
      <c r="G1710" s="609" t="str">
        <f t="shared" si="684"/>
        <v>0</v>
      </c>
      <c r="H1710" s="609" t="str">
        <f t="shared" si="684"/>
        <v>0</v>
      </c>
      <c r="I1710" s="609" t="str">
        <f t="shared" si="684"/>
        <v>0</v>
      </c>
      <c r="J1710" s="609" t="str">
        <f t="shared" si="684"/>
        <v>0</v>
      </c>
      <c r="K1710" s="608">
        <v>0</v>
      </c>
      <c r="L1710" s="609" t="str">
        <f t="shared" si="685"/>
        <v>0</v>
      </c>
      <c r="M1710" s="609" t="str">
        <f t="shared" si="685"/>
        <v>0</v>
      </c>
      <c r="N1710" s="609" t="str">
        <f t="shared" si="685"/>
        <v>0</v>
      </c>
      <c r="O1710" s="609" t="str">
        <f t="shared" si="685"/>
        <v>0</v>
      </c>
      <c r="P1710" s="609" t="str">
        <f t="shared" si="685"/>
        <v>0</v>
      </c>
      <c r="Q1710" s="609" t="str">
        <f t="shared" si="685"/>
        <v>0</v>
      </c>
      <c r="R1710" s="603" t="str">
        <f t="shared" si="685"/>
        <v>0</v>
      </c>
    </row>
    <row r="1711" spans="2:18">
      <c r="B1711" s="604" t="s">
        <v>1055</v>
      </c>
      <c r="C1711" s="610">
        <v>0</v>
      </c>
      <c r="D1711" s="617" t="str">
        <f t="shared" si="684"/>
        <v>0</v>
      </c>
      <c r="E1711" s="617" t="str">
        <f t="shared" si="684"/>
        <v>0</v>
      </c>
      <c r="F1711" s="617" t="str">
        <f t="shared" si="684"/>
        <v>0</v>
      </c>
      <c r="G1711" s="617" t="str">
        <f t="shared" si="684"/>
        <v>0</v>
      </c>
      <c r="H1711" s="617" t="str">
        <f t="shared" si="684"/>
        <v>0</v>
      </c>
      <c r="I1711" s="617" t="str">
        <f t="shared" si="684"/>
        <v>0</v>
      </c>
      <c r="J1711" s="617" t="str">
        <f t="shared" si="684"/>
        <v>0</v>
      </c>
      <c r="K1711" s="610">
        <v>0.31587754643613852</v>
      </c>
      <c r="L1711" s="617">
        <f t="shared" si="685"/>
        <v>0.25492297650187012</v>
      </c>
      <c r="M1711" s="617">
        <f t="shared" si="685"/>
        <v>-2.8687296552353692</v>
      </c>
      <c r="N1711" s="617">
        <f t="shared" si="685"/>
        <v>-2.9557016047729978</v>
      </c>
      <c r="O1711" s="617">
        <f t="shared" si="685"/>
        <v>-1.4574169083955701</v>
      </c>
      <c r="P1711" s="617">
        <f t="shared" si="685"/>
        <v>4.0625665880882567</v>
      </c>
      <c r="Q1711" s="617">
        <f t="shared" si="685"/>
        <v>-11.959163218129587</v>
      </c>
      <c r="R1711" s="618">
        <f t="shared" si="685"/>
        <v>0.89933775789081682</v>
      </c>
    </row>
    <row r="1712" spans="2:18">
      <c r="B1712" s="57"/>
      <c r="C1712" s="609"/>
      <c r="D1712" s="609"/>
      <c r="E1712" s="609"/>
      <c r="F1712" s="609"/>
      <c r="G1712" s="609"/>
      <c r="H1712" s="609"/>
      <c r="I1712" s="609"/>
      <c r="J1712" s="609"/>
      <c r="K1712" s="609"/>
      <c r="L1712" s="609"/>
      <c r="M1712" s="609"/>
      <c r="N1712" s="609"/>
      <c r="O1712" s="609"/>
      <c r="P1712" s="609"/>
      <c r="Q1712" s="609"/>
    </row>
    <row r="1713" spans="2:18">
      <c r="B1713" s="2157" t="s">
        <v>1194</v>
      </c>
      <c r="C1713" s="2157"/>
      <c r="D1713" s="2157"/>
      <c r="E1713" s="2157"/>
      <c r="F1713" s="2157"/>
      <c r="G1713" s="2157"/>
      <c r="H1713" s="2157"/>
      <c r="I1713" s="2157"/>
      <c r="J1713" s="2157"/>
      <c r="K1713" s="2157"/>
      <c r="L1713" s="2157"/>
      <c r="M1713" s="2157"/>
      <c r="N1713" s="2157"/>
      <c r="O1713" s="2157"/>
      <c r="P1713" s="2157"/>
      <c r="Q1713" s="2157"/>
      <c r="R1713" s="2157"/>
    </row>
    <row r="1714" spans="2:18">
      <c r="B1714" s="57"/>
      <c r="C1714" s="582"/>
      <c r="D1714" s="582"/>
      <c r="E1714" s="582"/>
      <c r="F1714" s="582"/>
      <c r="G1714" s="582"/>
      <c r="H1714" s="582"/>
      <c r="I1714" s="582"/>
      <c r="J1714" s="582"/>
      <c r="K1714" s="582"/>
      <c r="L1714" s="582"/>
      <c r="M1714" s="582"/>
      <c r="N1714" s="582"/>
      <c r="O1714" s="582"/>
      <c r="P1714" s="582"/>
      <c r="Q1714" s="582"/>
    </row>
    <row r="1715" spans="2:18">
      <c r="B1715" s="619"/>
      <c r="C1715" s="2170" t="s">
        <v>1189</v>
      </c>
      <c r="D1715" s="2171"/>
      <c r="E1715" s="2171"/>
      <c r="F1715" s="2171"/>
      <c r="G1715" s="2171"/>
      <c r="H1715" s="2171"/>
      <c r="I1715" s="2171"/>
      <c r="J1715" s="2172"/>
      <c r="K1715" s="2170" t="s">
        <v>1190</v>
      </c>
      <c r="L1715" s="2171"/>
      <c r="M1715" s="2171"/>
      <c r="N1715" s="2171"/>
      <c r="O1715" s="2171"/>
      <c r="P1715" s="2171"/>
      <c r="Q1715" s="2171"/>
      <c r="R1715" s="2172"/>
    </row>
    <row r="1716" spans="2:18">
      <c r="B1716" s="583"/>
      <c r="C1716" s="2161" t="s">
        <v>1191</v>
      </c>
      <c r="D1716" s="2162"/>
      <c r="E1716" s="2162"/>
      <c r="F1716" s="2162"/>
      <c r="G1716" s="2162"/>
      <c r="H1716" s="2162"/>
      <c r="I1716" s="2162"/>
      <c r="J1716" s="2162"/>
      <c r="K1716" s="2162"/>
      <c r="L1716" s="2162"/>
      <c r="M1716" s="2162"/>
      <c r="N1716" s="2162"/>
      <c r="O1716" s="2162"/>
      <c r="P1716" s="2162"/>
      <c r="Q1716" s="2162"/>
      <c r="R1716" s="2163"/>
    </row>
    <row r="1717" spans="2:18">
      <c r="B1717" s="57"/>
      <c r="C1717" s="635">
        <v>2014</v>
      </c>
      <c r="D1717" s="636">
        <v>2015</v>
      </c>
      <c r="E1717" s="636">
        <v>2016</v>
      </c>
      <c r="F1717" s="636">
        <v>2017</v>
      </c>
      <c r="G1717" s="636">
        <v>2018</v>
      </c>
      <c r="H1717" s="636">
        <v>2019</v>
      </c>
      <c r="I1717" s="636">
        <v>2020</v>
      </c>
      <c r="J1717" s="636">
        <v>2021</v>
      </c>
      <c r="K1717" s="585">
        <v>2014</v>
      </c>
      <c r="L1717" s="586">
        <v>2015</v>
      </c>
      <c r="M1717" s="586">
        <v>2016</v>
      </c>
      <c r="N1717" s="586">
        <v>2017</v>
      </c>
      <c r="O1717" s="586">
        <v>2018</v>
      </c>
      <c r="P1717" s="586">
        <v>2019</v>
      </c>
      <c r="Q1717" s="586">
        <v>2020</v>
      </c>
      <c r="R1717" s="1651">
        <v>2021</v>
      </c>
    </row>
    <row r="1718" spans="2:18">
      <c r="B1718" s="589" t="s">
        <v>1038</v>
      </c>
      <c r="C1718" s="614">
        <v>-13.140467061693977</v>
      </c>
      <c r="D1718" s="615">
        <f t="shared" ref="D1718:J1727" si="686">IF(ISNUMBER((D1670/C1670-1)*100),(D1670/C1670-1)*100,"0")</f>
        <v>44.76</v>
      </c>
      <c r="E1718" s="615">
        <f t="shared" si="686"/>
        <v>791.45844024263477</v>
      </c>
      <c r="F1718" s="615">
        <f t="shared" si="686"/>
        <v>65.96757635983495</v>
      </c>
      <c r="G1718" s="615">
        <f t="shared" si="686"/>
        <v>-14.957629624622982</v>
      </c>
      <c r="H1718" s="615">
        <f t="shared" si="686"/>
        <v>-43.051153918753784</v>
      </c>
      <c r="I1718" s="615">
        <f t="shared" si="686"/>
        <v>-82.463179563268895</v>
      </c>
      <c r="J1718" s="615">
        <f t="shared" si="686"/>
        <v>-39.930366492146597</v>
      </c>
      <c r="K1718" s="614">
        <v>0</v>
      </c>
      <c r="L1718" s="615">
        <f t="shared" ref="L1718:Q1733" si="687">IFERROR((L1670/K1670-1)*100,0)</f>
        <v>0</v>
      </c>
      <c r="M1718" s="615">
        <f t="shared" si="687"/>
        <v>0</v>
      </c>
      <c r="N1718" s="615">
        <f t="shared" si="687"/>
        <v>0</v>
      </c>
      <c r="O1718" s="615">
        <f t="shared" si="687"/>
        <v>0</v>
      </c>
      <c r="P1718" s="615">
        <f t="shared" si="687"/>
        <v>0</v>
      </c>
      <c r="Q1718" s="615">
        <f t="shared" si="687"/>
        <v>0</v>
      </c>
      <c r="R1718" s="616">
        <f>IFERROR((R1670/Q1670-1)*100,0)</f>
        <v>0</v>
      </c>
    </row>
    <row r="1719" spans="2:18">
      <c r="B1719" s="595" t="s">
        <v>1039</v>
      </c>
      <c r="C1719" s="608">
        <v>0</v>
      </c>
      <c r="D1719" s="609" t="str">
        <f t="shared" si="686"/>
        <v>0</v>
      </c>
      <c r="E1719" s="609" t="str">
        <f t="shared" si="686"/>
        <v>0</v>
      </c>
      <c r="F1719" s="609" t="str">
        <f t="shared" si="686"/>
        <v>0</v>
      </c>
      <c r="G1719" s="609" t="str">
        <f t="shared" si="686"/>
        <v>0</v>
      </c>
      <c r="H1719" s="609" t="str">
        <f t="shared" si="686"/>
        <v>0</v>
      </c>
      <c r="I1719" s="609" t="str">
        <f t="shared" si="686"/>
        <v>0</v>
      </c>
      <c r="J1719" s="609" t="str">
        <f t="shared" si="686"/>
        <v>0</v>
      </c>
      <c r="K1719" s="608">
        <v>0</v>
      </c>
      <c r="L1719" s="609">
        <f t="shared" si="687"/>
        <v>0</v>
      </c>
      <c r="M1719" s="609">
        <f t="shared" si="687"/>
        <v>0</v>
      </c>
      <c r="N1719" s="609">
        <f t="shared" si="687"/>
        <v>0</v>
      </c>
      <c r="O1719" s="609">
        <f t="shared" si="687"/>
        <v>0</v>
      </c>
      <c r="P1719" s="609">
        <f t="shared" si="687"/>
        <v>0</v>
      </c>
      <c r="Q1719" s="609">
        <f t="shared" si="687"/>
        <v>0</v>
      </c>
      <c r="R1719" s="603">
        <f t="shared" ref="R1719:R1734" si="688">IFERROR((R1671/Q1671-1)*100,0)</f>
        <v>0</v>
      </c>
    </row>
    <row r="1720" spans="2:18">
      <c r="B1720" s="595" t="s">
        <v>1040</v>
      </c>
      <c r="C1720" s="608">
        <v>0</v>
      </c>
      <c r="D1720" s="609" t="str">
        <f t="shared" si="686"/>
        <v>0</v>
      </c>
      <c r="E1720" s="609" t="str">
        <f t="shared" si="686"/>
        <v>0</v>
      </c>
      <c r="F1720" s="609" t="str">
        <f t="shared" si="686"/>
        <v>0</v>
      </c>
      <c r="G1720" s="609" t="str">
        <f t="shared" si="686"/>
        <v>0</v>
      </c>
      <c r="H1720" s="609" t="str">
        <f t="shared" si="686"/>
        <v>0</v>
      </c>
      <c r="I1720" s="609" t="str">
        <f t="shared" si="686"/>
        <v>0</v>
      </c>
      <c r="J1720" s="609" t="str">
        <f t="shared" si="686"/>
        <v>0</v>
      </c>
      <c r="K1720" s="608">
        <v>0</v>
      </c>
      <c r="L1720" s="609">
        <f t="shared" si="687"/>
        <v>0</v>
      </c>
      <c r="M1720" s="609">
        <f t="shared" si="687"/>
        <v>0</v>
      </c>
      <c r="N1720" s="609">
        <f t="shared" si="687"/>
        <v>0</v>
      </c>
      <c r="O1720" s="609">
        <f t="shared" si="687"/>
        <v>0</v>
      </c>
      <c r="P1720" s="609">
        <f t="shared" si="687"/>
        <v>0</v>
      </c>
      <c r="Q1720" s="609">
        <f t="shared" si="687"/>
        <v>0</v>
      </c>
      <c r="R1720" s="603">
        <f t="shared" si="688"/>
        <v>0</v>
      </c>
    </row>
    <row r="1721" spans="2:18">
      <c r="B1721" s="595" t="s">
        <v>1041</v>
      </c>
      <c r="C1721" s="608">
        <v>0</v>
      </c>
      <c r="D1721" s="609" t="str">
        <f t="shared" si="686"/>
        <v>0</v>
      </c>
      <c r="E1721" s="609" t="str">
        <f t="shared" si="686"/>
        <v>0</v>
      </c>
      <c r="F1721" s="609" t="str">
        <f t="shared" si="686"/>
        <v>0</v>
      </c>
      <c r="G1721" s="609" t="str">
        <f t="shared" si="686"/>
        <v>0</v>
      </c>
      <c r="H1721" s="609" t="str">
        <f t="shared" si="686"/>
        <v>0</v>
      </c>
      <c r="I1721" s="609" t="str">
        <f t="shared" si="686"/>
        <v>0</v>
      </c>
      <c r="J1721" s="609" t="str">
        <f t="shared" si="686"/>
        <v>0</v>
      </c>
      <c r="K1721" s="608">
        <v>0</v>
      </c>
      <c r="L1721" s="609">
        <f t="shared" si="687"/>
        <v>0</v>
      </c>
      <c r="M1721" s="609">
        <f t="shared" si="687"/>
        <v>0</v>
      </c>
      <c r="N1721" s="609">
        <f t="shared" si="687"/>
        <v>0</v>
      </c>
      <c r="O1721" s="609">
        <f t="shared" si="687"/>
        <v>0</v>
      </c>
      <c r="P1721" s="609">
        <f t="shared" si="687"/>
        <v>0</v>
      </c>
      <c r="Q1721" s="609">
        <f t="shared" si="687"/>
        <v>0</v>
      </c>
      <c r="R1721" s="603">
        <f t="shared" si="688"/>
        <v>0</v>
      </c>
    </row>
    <row r="1722" spans="2:18">
      <c r="B1722" s="595" t="s">
        <v>1042</v>
      </c>
      <c r="C1722" s="608">
        <v>0</v>
      </c>
      <c r="D1722" s="609" t="str">
        <f t="shared" si="686"/>
        <v>0</v>
      </c>
      <c r="E1722" s="609" t="str">
        <f t="shared" si="686"/>
        <v>0</v>
      </c>
      <c r="F1722" s="609" t="str">
        <f t="shared" si="686"/>
        <v>0</v>
      </c>
      <c r="G1722" s="609" t="str">
        <f t="shared" si="686"/>
        <v>0</v>
      </c>
      <c r="H1722" s="609" t="str">
        <f t="shared" si="686"/>
        <v>0</v>
      </c>
      <c r="I1722" s="609" t="str">
        <f t="shared" si="686"/>
        <v>0</v>
      </c>
      <c r="J1722" s="609" t="str">
        <f t="shared" si="686"/>
        <v>0</v>
      </c>
      <c r="K1722" s="608">
        <v>0</v>
      </c>
      <c r="L1722" s="609">
        <f t="shared" si="687"/>
        <v>0</v>
      </c>
      <c r="M1722" s="609">
        <f t="shared" si="687"/>
        <v>0</v>
      </c>
      <c r="N1722" s="609">
        <f t="shared" si="687"/>
        <v>0</v>
      </c>
      <c r="O1722" s="609">
        <f t="shared" si="687"/>
        <v>0</v>
      </c>
      <c r="P1722" s="609">
        <f t="shared" si="687"/>
        <v>0</v>
      </c>
      <c r="Q1722" s="609">
        <f t="shared" si="687"/>
        <v>0</v>
      </c>
      <c r="R1722" s="603">
        <f t="shared" si="688"/>
        <v>0</v>
      </c>
    </row>
    <row r="1723" spans="2:18">
      <c r="B1723" s="595" t="s">
        <v>1043</v>
      </c>
      <c r="C1723" s="608">
        <v>0</v>
      </c>
      <c r="D1723" s="609" t="str">
        <f t="shared" si="686"/>
        <v>0</v>
      </c>
      <c r="E1723" s="609" t="str">
        <f t="shared" si="686"/>
        <v>0</v>
      </c>
      <c r="F1723" s="609" t="str">
        <f t="shared" si="686"/>
        <v>0</v>
      </c>
      <c r="G1723" s="609" t="str">
        <f t="shared" si="686"/>
        <v>0</v>
      </c>
      <c r="H1723" s="609" t="str">
        <f t="shared" si="686"/>
        <v>0</v>
      </c>
      <c r="I1723" s="609" t="str">
        <f t="shared" si="686"/>
        <v>0</v>
      </c>
      <c r="J1723" s="609" t="str">
        <f t="shared" si="686"/>
        <v>0</v>
      </c>
      <c r="K1723" s="608">
        <v>0</v>
      </c>
      <c r="L1723" s="609">
        <f t="shared" si="687"/>
        <v>0</v>
      </c>
      <c r="M1723" s="609">
        <f t="shared" si="687"/>
        <v>0</v>
      </c>
      <c r="N1723" s="609">
        <f t="shared" si="687"/>
        <v>0</v>
      </c>
      <c r="O1723" s="609">
        <f t="shared" si="687"/>
        <v>0</v>
      </c>
      <c r="P1723" s="609">
        <f t="shared" si="687"/>
        <v>0</v>
      </c>
      <c r="Q1723" s="609">
        <f t="shared" si="687"/>
        <v>0</v>
      </c>
      <c r="R1723" s="603">
        <f t="shared" si="688"/>
        <v>0</v>
      </c>
    </row>
    <row r="1724" spans="2:18">
      <c r="B1724" s="595" t="s">
        <v>1044</v>
      </c>
      <c r="C1724" s="608">
        <v>0</v>
      </c>
      <c r="D1724" s="609" t="str">
        <f t="shared" si="686"/>
        <v>0</v>
      </c>
      <c r="E1724" s="609" t="str">
        <f t="shared" si="686"/>
        <v>0</v>
      </c>
      <c r="F1724" s="609" t="str">
        <f t="shared" si="686"/>
        <v>0</v>
      </c>
      <c r="G1724" s="609" t="str">
        <f t="shared" si="686"/>
        <v>0</v>
      </c>
      <c r="H1724" s="609" t="str">
        <f t="shared" si="686"/>
        <v>0</v>
      </c>
      <c r="I1724" s="609" t="str">
        <f t="shared" si="686"/>
        <v>0</v>
      </c>
      <c r="J1724" s="609" t="str">
        <f t="shared" si="686"/>
        <v>0</v>
      </c>
      <c r="K1724" s="608">
        <v>0</v>
      </c>
      <c r="L1724" s="609">
        <f t="shared" si="687"/>
        <v>0</v>
      </c>
      <c r="M1724" s="609">
        <f t="shared" si="687"/>
        <v>0</v>
      </c>
      <c r="N1724" s="609">
        <f t="shared" si="687"/>
        <v>0</v>
      </c>
      <c r="O1724" s="609">
        <f t="shared" si="687"/>
        <v>0</v>
      </c>
      <c r="P1724" s="609">
        <f t="shared" si="687"/>
        <v>0</v>
      </c>
      <c r="Q1724" s="609">
        <f t="shared" si="687"/>
        <v>0</v>
      </c>
      <c r="R1724" s="603">
        <f t="shared" si="688"/>
        <v>0</v>
      </c>
    </row>
    <row r="1725" spans="2:18">
      <c r="B1725" s="595" t="s">
        <v>1061</v>
      </c>
      <c r="C1725" s="608">
        <v>0</v>
      </c>
      <c r="D1725" s="609" t="str">
        <f t="shared" si="686"/>
        <v>0</v>
      </c>
      <c r="E1725" s="609">
        <f t="shared" si="686"/>
        <v>6.8965999999999861</v>
      </c>
      <c r="F1725" s="609">
        <f t="shared" si="686"/>
        <v>1.6430831289302228</v>
      </c>
      <c r="G1725" s="609">
        <f t="shared" si="686"/>
        <v>5.3388309572676373</v>
      </c>
      <c r="H1725" s="609">
        <f t="shared" si="686"/>
        <v>-8.8559750746589394</v>
      </c>
      <c r="I1725" s="609">
        <f t="shared" si="686"/>
        <v>-27.968189513199103</v>
      </c>
      <c r="J1725" s="609">
        <f t="shared" si="686"/>
        <v>13.348327167230046</v>
      </c>
      <c r="K1725" s="608">
        <v>0</v>
      </c>
      <c r="L1725" s="609">
        <f t="shared" si="687"/>
        <v>0</v>
      </c>
      <c r="M1725" s="609">
        <f t="shared" si="687"/>
        <v>-16.183500000000006</v>
      </c>
      <c r="N1725" s="609">
        <f t="shared" si="687"/>
        <v>0.55657298980509307</v>
      </c>
      <c r="O1725" s="609">
        <f t="shared" si="687"/>
        <v>1.938706500717835</v>
      </c>
      <c r="P1725" s="609">
        <f t="shared" si="687"/>
        <v>8.4796955200949533</v>
      </c>
      <c r="Q1725" s="609">
        <f t="shared" si="687"/>
        <v>9.9401840079397008</v>
      </c>
      <c r="R1725" s="603">
        <f t="shared" si="688"/>
        <v>27.223398752769178</v>
      </c>
    </row>
    <row r="1726" spans="2:18">
      <c r="B1726" s="595" t="s">
        <v>1047</v>
      </c>
      <c r="C1726" s="608">
        <v>0</v>
      </c>
      <c r="D1726" s="609" t="str">
        <f t="shared" si="686"/>
        <v>0</v>
      </c>
      <c r="E1726" s="609" t="str">
        <f t="shared" si="686"/>
        <v>0</v>
      </c>
      <c r="F1726" s="609" t="str">
        <f t="shared" si="686"/>
        <v>0</v>
      </c>
      <c r="G1726" s="609" t="str">
        <f t="shared" si="686"/>
        <v>0</v>
      </c>
      <c r="H1726" s="609" t="str">
        <f t="shared" si="686"/>
        <v>0</v>
      </c>
      <c r="I1726" s="609" t="str">
        <f t="shared" si="686"/>
        <v>0</v>
      </c>
      <c r="J1726" s="609" t="str">
        <f t="shared" si="686"/>
        <v>0</v>
      </c>
      <c r="K1726" s="608">
        <v>0</v>
      </c>
      <c r="L1726" s="609">
        <f t="shared" si="687"/>
        <v>0</v>
      </c>
      <c r="M1726" s="609">
        <f t="shared" si="687"/>
        <v>0</v>
      </c>
      <c r="N1726" s="609">
        <f t="shared" si="687"/>
        <v>0</v>
      </c>
      <c r="O1726" s="609">
        <f t="shared" si="687"/>
        <v>0</v>
      </c>
      <c r="P1726" s="609">
        <f t="shared" si="687"/>
        <v>0</v>
      </c>
      <c r="Q1726" s="609">
        <f t="shared" si="687"/>
        <v>0</v>
      </c>
      <c r="R1726" s="603">
        <f t="shared" si="688"/>
        <v>0</v>
      </c>
    </row>
    <row r="1727" spans="2:18">
      <c r="B1727" s="595" t="s">
        <v>1048</v>
      </c>
      <c r="C1727" s="608">
        <v>0</v>
      </c>
      <c r="D1727" s="609" t="str">
        <f t="shared" si="686"/>
        <v>0</v>
      </c>
      <c r="E1727" s="609" t="str">
        <f t="shared" si="686"/>
        <v>0</v>
      </c>
      <c r="F1727" s="609" t="str">
        <f t="shared" si="686"/>
        <v>0</v>
      </c>
      <c r="G1727" s="609" t="str">
        <f t="shared" si="686"/>
        <v>0</v>
      </c>
      <c r="H1727" s="609" t="str">
        <f t="shared" si="686"/>
        <v>0</v>
      </c>
      <c r="I1727" s="609" t="str">
        <f t="shared" si="686"/>
        <v>0</v>
      </c>
      <c r="J1727" s="609" t="str">
        <f t="shared" si="686"/>
        <v>0</v>
      </c>
      <c r="K1727" s="608">
        <v>0</v>
      </c>
      <c r="L1727" s="609">
        <f t="shared" si="687"/>
        <v>0</v>
      </c>
      <c r="M1727" s="609">
        <f t="shared" si="687"/>
        <v>0</v>
      </c>
      <c r="N1727" s="609">
        <f t="shared" si="687"/>
        <v>0</v>
      </c>
      <c r="O1727" s="609">
        <f t="shared" si="687"/>
        <v>0</v>
      </c>
      <c r="P1727" s="609">
        <f t="shared" si="687"/>
        <v>0</v>
      </c>
      <c r="Q1727" s="609">
        <f t="shared" si="687"/>
        <v>0</v>
      </c>
      <c r="R1727" s="603">
        <f t="shared" si="688"/>
        <v>0</v>
      </c>
    </row>
    <row r="1728" spans="2:18">
      <c r="B1728" s="595" t="s">
        <v>1049</v>
      </c>
      <c r="C1728" s="608">
        <v>0.62931115011529348</v>
      </c>
      <c r="D1728" s="609">
        <f t="shared" ref="D1728:J1734" si="689">IF(ISNUMBER((D1680/C1680-1)*100),(D1680/C1680-1)*100,"0")</f>
        <v>17.004353200408453</v>
      </c>
      <c r="E1728" s="609">
        <f t="shared" si="689"/>
        <v>33.909997035255415</v>
      </c>
      <c r="F1728" s="609">
        <f t="shared" si="689"/>
        <v>-11.885970519724721</v>
      </c>
      <c r="G1728" s="609">
        <f t="shared" si="689"/>
        <v>38.884956754384724</v>
      </c>
      <c r="H1728" s="609">
        <f t="shared" si="689"/>
        <v>7.3767358899222923</v>
      </c>
      <c r="I1728" s="609">
        <f t="shared" si="689"/>
        <v>285.70526815377315</v>
      </c>
      <c r="J1728" s="609">
        <f t="shared" si="689"/>
        <v>-65.234698485629664</v>
      </c>
      <c r="K1728" s="608">
        <v>0</v>
      </c>
      <c r="L1728" s="609">
        <f t="shared" si="687"/>
        <v>0</v>
      </c>
      <c r="M1728" s="609">
        <f t="shared" si="687"/>
        <v>0</v>
      </c>
      <c r="N1728" s="609">
        <f t="shared" si="687"/>
        <v>0</v>
      </c>
      <c r="O1728" s="609">
        <f t="shared" si="687"/>
        <v>0</v>
      </c>
      <c r="P1728" s="609">
        <f t="shared" si="687"/>
        <v>0</v>
      </c>
      <c r="Q1728" s="609">
        <f t="shared" si="687"/>
        <v>0</v>
      </c>
      <c r="R1728" s="603">
        <f t="shared" si="688"/>
        <v>0</v>
      </c>
    </row>
    <row r="1729" spans="2:18">
      <c r="B1729" s="595" t="s">
        <v>1050</v>
      </c>
      <c r="C1729" s="608">
        <v>0</v>
      </c>
      <c r="D1729" s="609" t="str">
        <f t="shared" si="689"/>
        <v>0</v>
      </c>
      <c r="E1729" s="609" t="str">
        <f t="shared" si="689"/>
        <v>0</v>
      </c>
      <c r="F1729" s="609" t="str">
        <f t="shared" si="689"/>
        <v>0</v>
      </c>
      <c r="G1729" s="609" t="str">
        <f t="shared" si="689"/>
        <v>0</v>
      </c>
      <c r="H1729" s="609" t="str">
        <f t="shared" si="689"/>
        <v>0</v>
      </c>
      <c r="I1729" s="609" t="str">
        <f t="shared" si="689"/>
        <v>0</v>
      </c>
      <c r="J1729" s="609" t="str">
        <f t="shared" si="689"/>
        <v>0</v>
      </c>
      <c r="K1729" s="608">
        <v>0</v>
      </c>
      <c r="L1729" s="609">
        <f t="shared" si="687"/>
        <v>0</v>
      </c>
      <c r="M1729" s="609">
        <f t="shared" si="687"/>
        <v>0</v>
      </c>
      <c r="N1729" s="609">
        <f t="shared" si="687"/>
        <v>0</v>
      </c>
      <c r="O1729" s="609">
        <f t="shared" si="687"/>
        <v>0</v>
      </c>
      <c r="P1729" s="609">
        <f t="shared" si="687"/>
        <v>0</v>
      </c>
      <c r="Q1729" s="609">
        <f t="shared" si="687"/>
        <v>0</v>
      </c>
      <c r="R1729" s="603">
        <f t="shared" si="688"/>
        <v>0</v>
      </c>
    </row>
    <row r="1730" spans="2:18">
      <c r="B1730" s="595" t="s">
        <v>1051</v>
      </c>
      <c r="C1730" s="608">
        <v>0</v>
      </c>
      <c r="D1730" s="609" t="str">
        <f t="shared" si="689"/>
        <v>0</v>
      </c>
      <c r="E1730" s="609" t="str">
        <f t="shared" si="689"/>
        <v>0</v>
      </c>
      <c r="F1730" s="609" t="str">
        <f t="shared" si="689"/>
        <v>0</v>
      </c>
      <c r="G1730" s="609" t="str">
        <f t="shared" si="689"/>
        <v>0</v>
      </c>
      <c r="H1730" s="609" t="str">
        <f t="shared" si="689"/>
        <v>0</v>
      </c>
      <c r="I1730" s="609" t="str">
        <f t="shared" si="689"/>
        <v>0</v>
      </c>
      <c r="J1730" s="609" t="str">
        <f t="shared" si="689"/>
        <v>0</v>
      </c>
      <c r="K1730" s="608">
        <v>0</v>
      </c>
      <c r="L1730" s="609">
        <f t="shared" si="687"/>
        <v>0</v>
      </c>
      <c r="M1730" s="609">
        <f t="shared" si="687"/>
        <v>0</v>
      </c>
      <c r="N1730" s="609">
        <f t="shared" si="687"/>
        <v>0</v>
      </c>
      <c r="O1730" s="609">
        <f t="shared" si="687"/>
        <v>0</v>
      </c>
      <c r="P1730" s="609">
        <f t="shared" si="687"/>
        <v>0</v>
      </c>
      <c r="Q1730" s="609">
        <f t="shared" si="687"/>
        <v>0</v>
      </c>
      <c r="R1730" s="603">
        <f t="shared" si="688"/>
        <v>0</v>
      </c>
    </row>
    <row r="1731" spans="2:18">
      <c r="B1731" s="595" t="s">
        <v>1052</v>
      </c>
      <c r="C1731" s="608">
        <v>0</v>
      </c>
      <c r="D1731" s="609" t="str">
        <f t="shared" si="689"/>
        <v>0</v>
      </c>
      <c r="E1731" s="609" t="str">
        <f t="shared" si="689"/>
        <v>0</v>
      </c>
      <c r="F1731" s="609" t="str">
        <f t="shared" si="689"/>
        <v>0</v>
      </c>
      <c r="G1731" s="609" t="str">
        <f t="shared" si="689"/>
        <v>0</v>
      </c>
      <c r="H1731" s="609" t="str">
        <f t="shared" si="689"/>
        <v>0</v>
      </c>
      <c r="I1731" s="609" t="str">
        <f t="shared" si="689"/>
        <v>0</v>
      </c>
      <c r="J1731" s="609" t="str">
        <f t="shared" si="689"/>
        <v>0</v>
      </c>
      <c r="K1731" s="608">
        <v>0</v>
      </c>
      <c r="L1731" s="609">
        <f t="shared" si="687"/>
        <v>0</v>
      </c>
      <c r="M1731" s="609">
        <f t="shared" si="687"/>
        <v>0</v>
      </c>
      <c r="N1731" s="609">
        <f t="shared" si="687"/>
        <v>0</v>
      </c>
      <c r="O1731" s="609">
        <f t="shared" si="687"/>
        <v>0</v>
      </c>
      <c r="P1731" s="609">
        <f t="shared" si="687"/>
        <v>0</v>
      </c>
      <c r="Q1731" s="609">
        <f t="shared" si="687"/>
        <v>0</v>
      </c>
      <c r="R1731" s="603">
        <f t="shared" si="688"/>
        <v>0</v>
      </c>
    </row>
    <row r="1732" spans="2:18">
      <c r="B1732" s="595" t="s">
        <v>1053</v>
      </c>
      <c r="C1732" s="608">
        <v>50.401571662720833</v>
      </c>
      <c r="D1732" s="609">
        <f t="shared" si="689"/>
        <v>-31.067439502119075</v>
      </c>
      <c r="E1732" s="609">
        <f t="shared" si="689"/>
        <v>12.82249160008071</v>
      </c>
      <c r="F1732" s="609">
        <f t="shared" si="689"/>
        <v>13.544571542824668</v>
      </c>
      <c r="G1732" s="609">
        <f t="shared" si="689"/>
        <v>4.4829375892046164</v>
      </c>
      <c r="H1732" s="609">
        <f t="shared" si="689"/>
        <v>1.6472257950059799</v>
      </c>
      <c r="I1732" s="609">
        <f t="shared" si="689"/>
        <v>-34.628944428930474</v>
      </c>
      <c r="J1732" s="609">
        <f t="shared" si="689"/>
        <v>-4.8992123881991585</v>
      </c>
      <c r="K1732" s="608">
        <v>0</v>
      </c>
      <c r="L1732" s="609">
        <f t="shared" si="687"/>
        <v>0</v>
      </c>
      <c r="M1732" s="609">
        <f t="shared" si="687"/>
        <v>0</v>
      </c>
      <c r="N1732" s="609">
        <f t="shared" si="687"/>
        <v>0</v>
      </c>
      <c r="O1732" s="609">
        <f t="shared" si="687"/>
        <v>0</v>
      </c>
      <c r="P1732" s="609">
        <f t="shared" si="687"/>
        <v>0</v>
      </c>
      <c r="Q1732" s="609">
        <f t="shared" si="687"/>
        <v>0</v>
      </c>
      <c r="R1732" s="603">
        <f t="shared" si="688"/>
        <v>0</v>
      </c>
    </row>
    <row r="1733" spans="2:18">
      <c r="B1733" s="595" t="s">
        <v>1054</v>
      </c>
      <c r="C1733" s="608">
        <v>0</v>
      </c>
      <c r="D1733" s="609" t="str">
        <f t="shared" si="689"/>
        <v>0</v>
      </c>
      <c r="E1733" s="609" t="str">
        <f t="shared" si="689"/>
        <v>0</v>
      </c>
      <c r="F1733" s="609" t="str">
        <f t="shared" si="689"/>
        <v>0</v>
      </c>
      <c r="G1733" s="609" t="str">
        <f t="shared" si="689"/>
        <v>0</v>
      </c>
      <c r="H1733" s="609" t="str">
        <f t="shared" si="689"/>
        <v>0</v>
      </c>
      <c r="I1733" s="609" t="str">
        <f t="shared" si="689"/>
        <v>0</v>
      </c>
      <c r="J1733" s="609" t="str">
        <f t="shared" si="689"/>
        <v>0</v>
      </c>
      <c r="K1733" s="608">
        <v>0</v>
      </c>
      <c r="L1733" s="609">
        <f t="shared" si="687"/>
        <v>0</v>
      </c>
      <c r="M1733" s="609">
        <f t="shared" si="687"/>
        <v>0</v>
      </c>
      <c r="N1733" s="609">
        <f t="shared" si="687"/>
        <v>0</v>
      </c>
      <c r="O1733" s="609">
        <f t="shared" si="687"/>
        <v>0</v>
      </c>
      <c r="P1733" s="609">
        <f t="shared" si="687"/>
        <v>0</v>
      </c>
      <c r="Q1733" s="609">
        <f t="shared" si="687"/>
        <v>0</v>
      </c>
      <c r="R1733" s="603">
        <f t="shared" si="688"/>
        <v>0</v>
      </c>
    </row>
    <row r="1734" spans="2:18">
      <c r="B1734" s="604" t="s">
        <v>1055</v>
      </c>
      <c r="C1734" s="610">
        <v>0</v>
      </c>
      <c r="D1734" s="617" t="str">
        <f t="shared" si="689"/>
        <v>0</v>
      </c>
      <c r="E1734" s="617" t="str">
        <f t="shared" si="689"/>
        <v>0</v>
      </c>
      <c r="F1734" s="617" t="str">
        <f t="shared" si="689"/>
        <v>0</v>
      </c>
      <c r="G1734" s="617" t="str">
        <f t="shared" si="689"/>
        <v>0</v>
      </c>
      <c r="H1734" s="617" t="str">
        <f t="shared" si="689"/>
        <v>0</v>
      </c>
      <c r="I1734" s="617" t="str">
        <f t="shared" si="689"/>
        <v>0</v>
      </c>
      <c r="J1734" s="617" t="str">
        <f t="shared" si="689"/>
        <v>0</v>
      </c>
      <c r="K1734" s="610">
        <v>0</v>
      </c>
      <c r="L1734" s="617">
        <f t="shared" ref="L1734:Q1734" si="690">IFERROR((L1686/K1686-1)*100,0)</f>
        <v>0</v>
      </c>
      <c r="M1734" s="617">
        <f t="shared" si="690"/>
        <v>0</v>
      </c>
      <c r="N1734" s="617">
        <f t="shared" si="690"/>
        <v>0</v>
      </c>
      <c r="O1734" s="617">
        <f t="shared" si="690"/>
        <v>0</v>
      </c>
      <c r="P1734" s="617">
        <f t="shared" si="690"/>
        <v>0</v>
      </c>
      <c r="Q1734" s="617">
        <f t="shared" si="690"/>
        <v>0</v>
      </c>
      <c r="R1734" s="618">
        <f t="shared" si="688"/>
        <v>0</v>
      </c>
    </row>
    <row r="1735" spans="2:18">
      <c r="B1735" s="57"/>
      <c r="C1735" s="582"/>
      <c r="D1735" s="582"/>
      <c r="E1735" s="582"/>
      <c r="F1735" s="582"/>
      <c r="G1735" s="582"/>
      <c r="H1735" s="582"/>
      <c r="I1735" s="582"/>
      <c r="J1735" s="582"/>
      <c r="K1735" s="582"/>
      <c r="L1735" s="582"/>
      <c r="M1735" s="582"/>
      <c r="N1735" s="582"/>
      <c r="O1735" s="582"/>
      <c r="P1735" s="582"/>
      <c r="Q1735" s="582"/>
    </row>
    <row r="1736" spans="2:18">
      <c r="B1736" s="2157" t="s">
        <v>1195</v>
      </c>
      <c r="C1736" s="2157"/>
      <c r="D1736" s="2157"/>
      <c r="E1736" s="2157"/>
      <c r="F1736" s="2157"/>
      <c r="G1736" s="2157"/>
      <c r="H1736" s="2157"/>
      <c r="I1736" s="2157"/>
      <c r="J1736" s="2157"/>
      <c r="K1736" s="2157"/>
      <c r="L1736" s="2157"/>
      <c r="M1736" s="2157"/>
      <c r="N1736" s="2157"/>
      <c r="O1736" s="2157"/>
      <c r="P1736" s="2157"/>
      <c r="Q1736" s="2157"/>
      <c r="R1736" s="2157"/>
    </row>
    <row r="1737" spans="2:18">
      <c r="B1737" s="2159" t="s">
        <v>1196</v>
      </c>
      <c r="C1737" s="2159"/>
      <c r="D1737" s="2159"/>
      <c r="E1737" s="2159"/>
      <c r="F1737" s="2159"/>
      <c r="G1737" s="2159"/>
      <c r="H1737" s="2159"/>
      <c r="I1737" s="2159"/>
      <c r="J1737" s="2159"/>
      <c r="K1737" s="2159"/>
      <c r="L1737" s="2159"/>
      <c r="M1737" s="2159"/>
      <c r="N1737" s="2159"/>
      <c r="O1737" s="2159"/>
      <c r="P1737" s="2159"/>
      <c r="Q1737" s="2159"/>
      <c r="R1737" s="2159"/>
    </row>
    <row r="1738" spans="2:18">
      <c r="B1738" s="2160" t="s">
        <v>1197</v>
      </c>
      <c r="C1738" s="2160"/>
      <c r="D1738" s="2160"/>
      <c r="E1738" s="2160"/>
      <c r="F1738" s="2160"/>
      <c r="G1738" s="2160"/>
      <c r="H1738" s="2160"/>
      <c r="I1738" s="2160"/>
      <c r="J1738" s="2160"/>
      <c r="K1738" s="2160"/>
      <c r="L1738" s="2160"/>
      <c r="M1738" s="2160"/>
      <c r="N1738" s="2160"/>
      <c r="O1738" s="2160"/>
      <c r="P1738" s="2160"/>
      <c r="Q1738" s="2160"/>
      <c r="R1738" s="2160"/>
    </row>
    <row r="1739" spans="2:18">
      <c r="B1739" s="581"/>
      <c r="C1739" s="613"/>
      <c r="D1739" s="613"/>
      <c r="E1739" s="613"/>
      <c r="F1739" s="613"/>
      <c r="G1739" s="613"/>
      <c r="H1739" s="613"/>
      <c r="I1739" s="613"/>
      <c r="J1739" s="613"/>
      <c r="K1739" s="613"/>
      <c r="L1739" s="613"/>
      <c r="M1739" s="613"/>
      <c r="N1739" s="613"/>
      <c r="O1739" s="613"/>
      <c r="P1739" s="613"/>
      <c r="Q1739" s="613"/>
    </row>
    <row r="1740" spans="2:18">
      <c r="B1740" s="612"/>
      <c r="C1740" s="2211" t="s">
        <v>1184</v>
      </c>
      <c r="D1740" s="2212"/>
      <c r="E1740" s="2212"/>
      <c r="F1740" s="2212"/>
      <c r="G1740" s="2212"/>
      <c r="H1740" s="2212"/>
      <c r="I1740" s="2212"/>
      <c r="J1740" s="2212"/>
      <c r="K1740" s="2212"/>
      <c r="L1740" s="2212"/>
      <c r="M1740" s="2212"/>
      <c r="N1740" s="2212"/>
      <c r="O1740" s="2212"/>
      <c r="P1740" s="2212"/>
      <c r="Q1740" s="2212"/>
      <c r="R1740" s="2213"/>
    </row>
    <row r="1741" spans="2:18">
      <c r="B1741" s="583"/>
      <c r="C1741" s="2161" t="s">
        <v>1185</v>
      </c>
      <c r="D1741" s="2162"/>
      <c r="E1741" s="2162"/>
      <c r="F1741" s="2162"/>
      <c r="G1741" s="2162"/>
      <c r="H1741" s="2162"/>
      <c r="I1741" s="2162"/>
      <c r="J1741" s="2163"/>
      <c r="K1741" s="2161" t="s">
        <v>1186</v>
      </c>
      <c r="L1741" s="2162"/>
      <c r="M1741" s="2162"/>
      <c r="N1741" s="2162"/>
      <c r="O1741" s="2162"/>
      <c r="P1741" s="2162"/>
      <c r="Q1741" s="2162"/>
      <c r="R1741" s="2163"/>
    </row>
    <row r="1742" spans="2:18">
      <c r="B1742" s="57"/>
      <c r="C1742" s="585">
        <v>2014</v>
      </c>
      <c r="D1742" s="586">
        <v>2015</v>
      </c>
      <c r="E1742" s="586">
        <v>2016</v>
      </c>
      <c r="F1742" s="586">
        <v>2017</v>
      </c>
      <c r="G1742" s="586">
        <v>2018</v>
      </c>
      <c r="H1742" s="586">
        <v>2019</v>
      </c>
      <c r="I1742" s="586">
        <v>2020</v>
      </c>
      <c r="J1742" s="586">
        <v>2021</v>
      </c>
      <c r="K1742" s="587">
        <v>2014</v>
      </c>
      <c r="L1742" s="588">
        <v>2015</v>
      </c>
      <c r="M1742" s="588">
        <v>2016</v>
      </c>
      <c r="N1742" s="588">
        <v>2017</v>
      </c>
      <c r="O1742" s="588">
        <v>2018</v>
      </c>
      <c r="P1742" s="588">
        <v>2019</v>
      </c>
      <c r="Q1742" s="588">
        <v>2020</v>
      </c>
      <c r="R1742" s="848">
        <v>2021</v>
      </c>
    </row>
    <row r="1743" spans="2:18">
      <c r="B1743" s="589" t="s">
        <v>1038</v>
      </c>
      <c r="C1743" s="614">
        <f>ARG!C267</f>
        <v>284.15472984270014</v>
      </c>
      <c r="D1743" s="615">
        <f>ARG!D267</f>
        <v>156.47436447520184</v>
      </c>
      <c r="E1743" s="615">
        <f>ARG!E267</f>
        <v>344.27711511526672</v>
      </c>
      <c r="F1743" s="615">
        <f>ARG!F267</f>
        <v>355.19913764634441</v>
      </c>
      <c r="G1743" s="615">
        <f>ARG!G267</f>
        <v>220.70476152326339</v>
      </c>
      <c r="H1743" s="615">
        <f>ARG!H267</f>
        <v>188.08358522414221</v>
      </c>
      <c r="I1743" s="615">
        <f>ARG!I267</f>
        <v>65.806988352745421</v>
      </c>
      <c r="J1743" s="616">
        <f>ARG!J267</f>
        <v>76.411093585699263</v>
      </c>
      <c r="K1743" s="615">
        <f>ARG!C257</f>
        <v>103949.5152954301</v>
      </c>
      <c r="L1743" s="615">
        <f>ARG!D257</f>
        <v>85695.999982775858</v>
      </c>
      <c r="M1743" s="615">
        <f>ARG!E257</f>
        <v>89721.935090474581</v>
      </c>
      <c r="N1743" s="615">
        <f>ARG!F257</f>
        <v>96297.392237645283</v>
      </c>
      <c r="O1743" s="615">
        <f>ARG!G257</f>
        <v>57723.619717640286</v>
      </c>
      <c r="P1743" s="615">
        <f>ARG!H257</f>
        <v>49422.245525920356</v>
      </c>
      <c r="Q1743" s="615">
        <f>ARG!I257</f>
        <v>58691.728072260521</v>
      </c>
      <c r="R1743" s="616">
        <f>ARG!J257</f>
        <v>74511.335436382753</v>
      </c>
    </row>
    <row r="1744" spans="2:18">
      <c r="B1744" s="595" t="s">
        <v>1039</v>
      </c>
      <c r="C1744" s="608">
        <f>BA!C256</f>
        <v>0</v>
      </c>
      <c r="D1744" s="609">
        <f>BA!D256</f>
        <v>0</v>
      </c>
      <c r="E1744" s="609">
        <f>BA!E256</f>
        <v>0</v>
      </c>
      <c r="F1744" s="609">
        <f>BA!F256</f>
        <v>0</v>
      </c>
      <c r="G1744" s="609">
        <f>BA!G256</f>
        <v>0</v>
      </c>
      <c r="H1744" s="609">
        <f>BA!H256</f>
        <v>0</v>
      </c>
      <c r="I1744" s="609">
        <f>BA!I256</f>
        <v>0</v>
      </c>
      <c r="J1744" s="603">
        <f>BA!J256</f>
        <v>0</v>
      </c>
      <c r="K1744" s="609">
        <f>BA!C246</f>
        <v>0</v>
      </c>
      <c r="L1744" s="609">
        <f>BA!D246</f>
        <v>0</v>
      </c>
      <c r="M1744" s="609">
        <f>BA!E246</f>
        <v>0</v>
      </c>
      <c r="N1744" s="609">
        <f>BA!F246</f>
        <v>0</v>
      </c>
      <c r="O1744" s="609">
        <f>BA!G246</f>
        <v>0</v>
      </c>
      <c r="P1744" s="609">
        <f>BA!H246</f>
        <v>0</v>
      </c>
      <c r="Q1744" s="609">
        <f>BA!I246</f>
        <v>0</v>
      </c>
      <c r="R1744" s="603">
        <f>BA!J246</f>
        <v>0</v>
      </c>
    </row>
    <row r="1745" spans="2:18">
      <c r="B1745" s="595" t="s">
        <v>1040</v>
      </c>
      <c r="C1745" s="608">
        <f>BO!C254</f>
        <v>0</v>
      </c>
      <c r="D1745" s="609">
        <f>BO!D254</f>
        <v>0</v>
      </c>
      <c r="E1745" s="609">
        <f>BO!E254</f>
        <v>0</v>
      </c>
      <c r="F1745" s="609">
        <f>BO!F254</f>
        <v>0</v>
      </c>
      <c r="G1745" s="609">
        <f>BO!G254</f>
        <v>0</v>
      </c>
      <c r="H1745" s="609">
        <f>BO!H254</f>
        <v>0</v>
      </c>
      <c r="I1745" s="609">
        <f>BO!I254</f>
        <v>0</v>
      </c>
      <c r="J1745" s="603">
        <f>BO!J254</f>
        <v>0</v>
      </c>
      <c r="K1745" s="609">
        <f>BO!C244</f>
        <v>2763.2849191777814</v>
      </c>
      <c r="L1745" s="609">
        <f>BO!D244</f>
        <v>3012.997696843036</v>
      </c>
      <c r="M1745" s="609">
        <f>BO!E244</f>
        <v>3189.2517436501371</v>
      </c>
      <c r="N1745" s="609">
        <f>BO!F244</f>
        <v>3474.31902761725</v>
      </c>
      <c r="O1745" s="609">
        <f>BO!G244</f>
        <v>3842.6368492153583</v>
      </c>
      <c r="P1745" s="609">
        <f>BO!H244</f>
        <v>4043.9729167971514</v>
      </c>
      <c r="Q1745" s="609">
        <f>BO!I244</f>
        <v>3701.9149344198254</v>
      </c>
      <c r="R1745" s="603">
        <f>BO!J244</f>
        <v>4318.866841441326</v>
      </c>
    </row>
    <row r="1746" spans="2:18">
      <c r="B1746" s="595" t="s">
        <v>1041</v>
      </c>
      <c r="C1746" s="608">
        <f>BR!C262</f>
        <v>0</v>
      </c>
      <c r="D1746" s="609">
        <f>BR!D262</f>
        <v>0</v>
      </c>
      <c r="E1746" s="609">
        <f>BR!E262</f>
        <v>0</v>
      </c>
      <c r="F1746" s="609">
        <f>BR!F262</f>
        <v>0</v>
      </c>
      <c r="G1746" s="609">
        <f>BR!G262</f>
        <v>0</v>
      </c>
      <c r="H1746" s="609">
        <f>BR!H262</f>
        <v>0</v>
      </c>
      <c r="I1746" s="609">
        <f>BR!I262</f>
        <v>0</v>
      </c>
      <c r="J1746" s="603">
        <f>BR!J262</f>
        <v>0</v>
      </c>
      <c r="K1746" s="609">
        <f>BR!C252</f>
        <v>500942.24232386297</v>
      </c>
      <c r="L1746" s="609">
        <f>BR!D252</f>
        <v>390368.52577350469</v>
      </c>
      <c r="M1746" s="609">
        <f>BR!E252</f>
        <v>376026.53518215485</v>
      </c>
      <c r="N1746" s="609">
        <f>BR!F252</f>
        <v>427280.05137039936</v>
      </c>
      <c r="O1746" s="609">
        <f>BR!G252</f>
        <v>365759.52541167458</v>
      </c>
      <c r="P1746" s="609">
        <f>BR!H252</f>
        <v>363171.23618753959</v>
      </c>
      <c r="Q1746" s="609">
        <f>BR!I252</f>
        <v>285177.72123762697</v>
      </c>
      <c r="R1746" s="603">
        <f>BR!J252</f>
        <v>213543.193951753</v>
      </c>
    </row>
    <row r="1747" spans="2:18">
      <c r="B1747" s="595" t="s">
        <v>1042</v>
      </c>
      <c r="C1747" s="608">
        <f>CL!C259</f>
        <v>0</v>
      </c>
      <c r="D1747" s="609">
        <f>CL!D259</f>
        <v>0</v>
      </c>
      <c r="E1747" s="609">
        <f>CL!E259</f>
        <v>0</v>
      </c>
      <c r="F1747" s="609">
        <f>CL!F259</f>
        <v>0</v>
      </c>
      <c r="G1747" s="609">
        <f>CL!G259</f>
        <v>0</v>
      </c>
      <c r="H1747" s="609">
        <f>CL!H259</f>
        <v>0</v>
      </c>
      <c r="I1747" s="609">
        <f>CL!I259</f>
        <v>0</v>
      </c>
      <c r="J1747" s="603">
        <f>CL!J259</f>
        <v>0</v>
      </c>
      <c r="K1747" s="609">
        <f>CL!C249</f>
        <v>0</v>
      </c>
      <c r="L1747" s="609">
        <f>CL!D249</f>
        <v>0</v>
      </c>
      <c r="M1747" s="609">
        <f>CL!E249</f>
        <v>0</v>
      </c>
      <c r="N1747" s="609">
        <f>CL!F249</f>
        <v>0</v>
      </c>
      <c r="O1747" s="609">
        <f>CL!G249</f>
        <v>0</v>
      </c>
      <c r="P1747" s="609">
        <f>CL!H249</f>
        <v>0</v>
      </c>
      <c r="Q1747" s="609">
        <f>CL!I249</f>
        <v>0</v>
      </c>
      <c r="R1747" s="603">
        <f>CL!J249</f>
        <v>0</v>
      </c>
    </row>
    <row r="1748" spans="2:18">
      <c r="B1748" s="595" t="s">
        <v>1043</v>
      </c>
      <c r="C1748" s="608">
        <f>CO!C256</f>
        <v>0</v>
      </c>
      <c r="D1748" s="609">
        <f>CO!D256</f>
        <v>0</v>
      </c>
      <c r="E1748" s="609">
        <f>CO!E256</f>
        <v>0</v>
      </c>
      <c r="F1748" s="609">
        <f>CO!F256</f>
        <v>0</v>
      </c>
      <c r="G1748" s="609">
        <f>CO!G256</f>
        <v>0</v>
      </c>
      <c r="H1748" s="609">
        <f>CO!H256</f>
        <v>0</v>
      </c>
      <c r="I1748" s="609">
        <f>CO!I256</f>
        <v>0</v>
      </c>
      <c r="J1748" s="603">
        <f>CO!J256</f>
        <v>0</v>
      </c>
      <c r="K1748" s="609">
        <f>CO!C246</f>
        <v>0</v>
      </c>
      <c r="L1748" s="609">
        <f>CO!D246</f>
        <v>0</v>
      </c>
      <c r="M1748" s="609">
        <f>CO!E246</f>
        <v>0</v>
      </c>
      <c r="N1748" s="609">
        <f>CO!F246</f>
        <v>0</v>
      </c>
      <c r="O1748" s="609">
        <f>CO!G246</f>
        <v>0</v>
      </c>
      <c r="P1748" s="609">
        <f>CO!H246</f>
        <v>0</v>
      </c>
      <c r="Q1748" s="609">
        <f>CO!I246</f>
        <v>0</v>
      </c>
      <c r="R1748" s="603">
        <f>CO!J246</f>
        <v>0</v>
      </c>
    </row>
    <row r="1749" spans="2:18">
      <c r="B1749" s="595" t="s">
        <v>1044</v>
      </c>
      <c r="C1749" s="608">
        <f>CR!C268</f>
        <v>0</v>
      </c>
      <c r="D1749" s="609">
        <f>CR!D268</f>
        <v>0</v>
      </c>
      <c r="E1749" s="609">
        <f>CR!E268</f>
        <v>0</v>
      </c>
      <c r="F1749" s="609">
        <f>CR!F268</f>
        <v>0</v>
      </c>
      <c r="G1749" s="609">
        <f>CR!G268</f>
        <v>0</v>
      </c>
      <c r="H1749" s="609">
        <f>CR!H268</f>
        <v>0</v>
      </c>
      <c r="I1749" s="609">
        <f>CR!I268</f>
        <v>0</v>
      </c>
      <c r="J1749" s="603">
        <f>CR!J268</f>
        <v>0</v>
      </c>
      <c r="K1749" s="609">
        <f>CR!C258</f>
        <v>0</v>
      </c>
      <c r="L1749" s="609">
        <f>CR!D258</f>
        <v>0</v>
      </c>
      <c r="M1749" s="609">
        <f>CR!E258</f>
        <v>0</v>
      </c>
      <c r="N1749" s="609">
        <f>CR!F258</f>
        <v>0</v>
      </c>
      <c r="O1749" s="609">
        <f>CR!G258</f>
        <v>0</v>
      </c>
      <c r="P1749" s="609">
        <f>CR!H258</f>
        <v>0</v>
      </c>
      <c r="Q1749" s="609">
        <f>CR!I258</f>
        <v>0</v>
      </c>
      <c r="R1749" s="603">
        <f>CR!J258</f>
        <v>0</v>
      </c>
    </row>
    <row r="1750" spans="2:18">
      <c r="B1750" s="595" t="s">
        <v>1061</v>
      </c>
      <c r="C1750" s="608">
        <f>CW!C278</f>
        <v>0</v>
      </c>
      <c r="D1750" s="609">
        <f>CW!D278</f>
        <v>0</v>
      </c>
      <c r="E1750" s="609">
        <f>CW!E278</f>
        <v>159.8196123687151</v>
      </c>
      <c r="F1750" s="609">
        <f>CW!F278</f>
        <v>178.51899345251394</v>
      </c>
      <c r="G1750" s="609">
        <f>CW!G278</f>
        <v>162.43760130167595</v>
      </c>
      <c r="H1750" s="609">
        <f>CW!H278</f>
        <v>159.24972625698322</v>
      </c>
      <c r="I1750" s="609">
        <f>CW!I278</f>
        <v>111.47213687150837</v>
      </c>
      <c r="J1750" s="603">
        <f>CW!J278</f>
        <v>145.35207932960896</v>
      </c>
      <c r="K1750" s="609">
        <f>CW!C268</f>
        <v>0</v>
      </c>
      <c r="L1750" s="609">
        <f>CW!D268</f>
        <v>0</v>
      </c>
      <c r="M1750" s="609">
        <f>CW!E268</f>
        <v>639.28775426357549</v>
      </c>
      <c r="N1750" s="609">
        <f>CW!F268</f>
        <v>715.42184941363132</v>
      </c>
      <c r="O1750" s="609">
        <f>CW!G268</f>
        <v>790.89388913966479</v>
      </c>
      <c r="P1750" s="609">
        <f>CW!H268</f>
        <v>805.23992234636864</v>
      </c>
      <c r="Q1750" s="609">
        <f>CW!I268</f>
        <v>812.93895754189941</v>
      </c>
      <c r="R1750" s="603">
        <f>CW!J268</f>
        <v>841.25038603351959</v>
      </c>
    </row>
    <row r="1751" spans="2:18">
      <c r="B1751" s="595" t="s">
        <v>1047</v>
      </c>
      <c r="C1751" s="608">
        <f>EC!C258</f>
        <v>0</v>
      </c>
      <c r="D1751" s="609">
        <f>EC!D258</f>
        <v>0</v>
      </c>
      <c r="E1751" s="609">
        <f>EC!E258</f>
        <v>0</v>
      </c>
      <c r="F1751" s="609">
        <f>EC!F258</f>
        <v>0</v>
      </c>
      <c r="G1751" s="609">
        <f>EC!G258</f>
        <v>0</v>
      </c>
      <c r="H1751" s="609">
        <f>EC!H258</f>
        <v>0</v>
      </c>
      <c r="I1751" s="609">
        <f>EC!I258</f>
        <v>0</v>
      </c>
      <c r="J1751" s="603">
        <f>EC!J258</f>
        <v>0</v>
      </c>
      <c r="K1751" s="609">
        <f>EC!C248</f>
        <v>0</v>
      </c>
      <c r="L1751" s="609">
        <f>EC!D248</f>
        <v>18592.821104440107</v>
      </c>
      <c r="M1751" s="609">
        <f>EC!E248</f>
        <v>16680.947590120035</v>
      </c>
      <c r="N1751" s="609">
        <f>EC!F248</f>
        <v>17654.218284164086</v>
      </c>
      <c r="O1751" s="609">
        <f>EC!G248</f>
        <v>18389.240240010415</v>
      </c>
      <c r="P1751" s="609">
        <f>EC!H248</f>
        <v>19491.05276438759</v>
      </c>
      <c r="Q1751" s="609">
        <f>EC!I248</f>
        <v>16499.667053280013</v>
      </c>
      <c r="R1751" s="603">
        <f>EC!J248</f>
        <v>19481.420523189998</v>
      </c>
    </row>
    <row r="1752" spans="2:18">
      <c r="B1752" s="595" t="s">
        <v>1048</v>
      </c>
      <c r="C1752" s="608">
        <f>SV!C260</f>
        <v>0</v>
      </c>
      <c r="D1752" s="609">
        <f>SV!D260</f>
        <v>0</v>
      </c>
      <c r="E1752" s="609">
        <f>SV!E260</f>
        <v>0</v>
      </c>
      <c r="F1752" s="609">
        <f>SV!F260</f>
        <v>0</v>
      </c>
      <c r="G1752" s="609">
        <f>SV!G260</f>
        <v>0</v>
      </c>
      <c r="H1752" s="609">
        <f>SV!H260</f>
        <v>0</v>
      </c>
      <c r="I1752" s="609">
        <f>SV!I260</f>
        <v>0</v>
      </c>
      <c r="J1752" s="603">
        <f>SV!J260</f>
        <v>0</v>
      </c>
      <c r="K1752" s="609">
        <f>SV!C250</f>
        <v>0</v>
      </c>
      <c r="L1752" s="609">
        <f>SV!D250</f>
        <v>0</v>
      </c>
      <c r="M1752" s="609">
        <f>SV!E250</f>
        <v>0</v>
      </c>
      <c r="N1752" s="609">
        <f>SV!F250</f>
        <v>0</v>
      </c>
      <c r="O1752" s="609">
        <f>SV!G250</f>
        <v>0</v>
      </c>
      <c r="P1752" s="609">
        <f>SV!H250</f>
        <v>0</v>
      </c>
      <c r="Q1752" s="609">
        <f>SV!I250</f>
        <v>0</v>
      </c>
      <c r="R1752" s="603">
        <f>SV!J250</f>
        <v>0</v>
      </c>
    </row>
    <row r="1753" spans="2:18">
      <c r="B1753" s="595" t="s">
        <v>1049</v>
      </c>
      <c r="C1753" s="608">
        <f>GT!C266</f>
        <v>85.4</v>
      </c>
      <c r="D1753" s="609">
        <f>GT!D266</f>
        <v>93.924999999999997</v>
      </c>
      <c r="E1753" s="609">
        <f>GT!E266</f>
        <v>92.730999999999995</v>
      </c>
      <c r="F1753" s="609">
        <f>GT!F266</f>
        <v>93.73</v>
      </c>
      <c r="G1753" s="609">
        <f>GT!G266</f>
        <v>126.319</v>
      </c>
      <c r="H1753" s="609">
        <f>GT!H266</f>
        <v>122.04900000000001</v>
      </c>
      <c r="I1753" s="609">
        <f>GT!I266</f>
        <v>69.423000000000002</v>
      </c>
      <c r="J1753" s="603">
        <f>GT!J266</f>
        <v>94.483999999999995</v>
      </c>
      <c r="K1753" s="609">
        <f>GT!C256</f>
        <v>4204.7910000000002</v>
      </c>
      <c r="L1753" s="609">
        <f>GT!D256</f>
        <v>4709.915</v>
      </c>
      <c r="M1753" s="609">
        <f>GT!E256</f>
        <v>5120.8090000000002</v>
      </c>
      <c r="N1753" s="609">
        <f>GT!F256</f>
        <v>5607.4459999999999</v>
      </c>
      <c r="O1753" s="609">
        <f>GT!G256</f>
        <v>5907.44</v>
      </c>
      <c r="P1753" s="609">
        <f>GT!H256</f>
        <v>6342.3689999999997</v>
      </c>
      <c r="Q1753" s="609">
        <f>GT!I256</f>
        <v>6847.31</v>
      </c>
      <c r="R1753" s="603">
        <f>GT!J256</f>
        <v>7160.7060000000001</v>
      </c>
    </row>
    <row r="1754" spans="2:18">
      <c r="B1754" s="595" t="s">
        <v>1050</v>
      </c>
      <c r="C1754" s="608">
        <f>HN!C265</f>
        <v>0</v>
      </c>
      <c r="D1754" s="609">
        <f>HN!D265</f>
        <v>0</v>
      </c>
      <c r="E1754" s="609">
        <f>HN!E265</f>
        <v>0</v>
      </c>
      <c r="F1754" s="609">
        <f>HN!F265</f>
        <v>0</v>
      </c>
      <c r="G1754" s="609">
        <f>HN!G265</f>
        <v>0</v>
      </c>
      <c r="H1754" s="609">
        <f>HN!H265</f>
        <v>0</v>
      </c>
      <c r="I1754" s="609">
        <f>HN!I265</f>
        <v>0</v>
      </c>
      <c r="J1754" s="603">
        <f>HN!J265</f>
        <v>0</v>
      </c>
      <c r="K1754" s="609">
        <f>HN!C255</f>
        <v>0</v>
      </c>
      <c r="L1754" s="609">
        <f>HN!D255</f>
        <v>0</v>
      </c>
      <c r="M1754" s="609">
        <f>HN!E255</f>
        <v>0</v>
      </c>
      <c r="N1754" s="609">
        <f>HN!F255</f>
        <v>0</v>
      </c>
      <c r="O1754" s="609">
        <f>HN!G255</f>
        <v>0</v>
      </c>
      <c r="P1754" s="609">
        <f>HN!H255</f>
        <v>0</v>
      </c>
      <c r="Q1754" s="609">
        <f>HN!I255</f>
        <v>0</v>
      </c>
      <c r="R1754" s="603">
        <f>HN!J255</f>
        <v>0</v>
      </c>
    </row>
    <row r="1755" spans="2:18">
      <c r="B1755" s="595" t="s">
        <v>1051</v>
      </c>
      <c r="C1755" s="608">
        <f>JM!C261</f>
        <v>0</v>
      </c>
      <c r="D1755" s="609">
        <f>JM!D261</f>
        <v>0</v>
      </c>
      <c r="E1755" s="609">
        <f>JM!E261</f>
        <v>0</v>
      </c>
      <c r="F1755" s="609">
        <f>JM!F261</f>
        <v>0</v>
      </c>
      <c r="G1755" s="609">
        <f>JM!G261</f>
        <v>0</v>
      </c>
      <c r="H1755" s="609">
        <f>JM!H261</f>
        <v>0</v>
      </c>
      <c r="I1755" s="609">
        <f>JM!I261</f>
        <v>0</v>
      </c>
      <c r="J1755" s="603">
        <f>JM!J261</f>
        <v>0</v>
      </c>
      <c r="K1755" s="609">
        <f>JM!C251</f>
        <v>2388.704664484605</v>
      </c>
      <c r="L1755" s="609">
        <f>JM!D251</f>
        <v>2618.3308975146783</v>
      </c>
      <c r="M1755" s="609">
        <f>JM!E251</f>
        <v>2907.2887037435266</v>
      </c>
      <c r="N1755" s="609">
        <f>JM!F251</f>
        <v>3411.6046528706302</v>
      </c>
      <c r="O1755" s="609">
        <f>JM!G251</f>
        <v>4056.073486174816</v>
      </c>
      <c r="P1755" s="609">
        <f>JM!H251</f>
        <v>3960.4957426513747</v>
      </c>
      <c r="Q1755" s="609">
        <f>JM!I251</f>
        <v>3500.7932847378152</v>
      </c>
      <c r="R1755" s="603">
        <f>JM!J251</f>
        <v>3306.6422617897733</v>
      </c>
    </row>
    <row r="1756" spans="2:18">
      <c r="B1756" s="595" t="s">
        <v>1052</v>
      </c>
      <c r="C1756" s="608">
        <f>RD!C277</f>
        <v>0</v>
      </c>
      <c r="D1756" s="609">
        <f>RD!D277</f>
        <v>0</v>
      </c>
      <c r="E1756" s="609">
        <f>RD!E277</f>
        <v>0</v>
      </c>
      <c r="F1756" s="609">
        <f>RD!F277</f>
        <v>0</v>
      </c>
      <c r="G1756" s="609">
        <f>RD!G277</f>
        <v>0</v>
      </c>
      <c r="H1756" s="609">
        <f>RD!H277</f>
        <v>0</v>
      </c>
      <c r="I1756" s="609">
        <f>RD!I277</f>
        <v>0</v>
      </c>
      <c r="J1756" s="603">
        <f>RD!J277</f>
        <v>0</v>
      </c>
      <c r="K1756" s="609">
        <f>RD!C267</f>
        <v>0</v>
      </c>
      <c r="L1756" s="609">
        <f>RD!D267</f>
        <v>0</v>
      </c>
      <c r="M1756" s="609">
        <f>RD!E267</f>
        <v>0</v>
      </c>
      <c r="N1756" s="609">
        <f>RD!F267</f>
        <v>0</v>
      </c>
      <c r="O1756" s="609">
        <f>RD!G267</f>
        <v>0</v>
      </c>
      <c r="P1756" s="609">
        <f>RD!H267</f>
        <v>0</v>
      </c>
      <c r="Q1756" s="609">
        <f>RD!I267</f>
        <v>0</v>
      </c>
      <c r="R1756" s="603">
        <f>RD!J267</f>
        <v>0</v>
      </c>
    </row>
    <row r="1757" spans="2:18">
      <c r="B1757" s="595" t="s">
        <v>1053</v>
      </c>
      <c r="C1757" s="608">
        <f>PY!C259</f>
        <v>0</v>
      </c>
      <c r="D1757" s="609">
        <f>PY!D259</f>
        <v>54.9135149701115</v>
      </c>
      <c r="E1757" s="609">
        <f>PY!E259</f>
        <v>54.486810883572979</v>
      </c>
      <c r="F1757" s="609">
        <f>PY!F259</f>
        <v>65.881189789550831</v>
      </c>
      <c r="G1757" s="609">
        <f>PY!G259</f>
        <v>64.205257468784296</v>
      </c>
      <c r="H1757" s="609">
        <f>PY!H259</f>
        <v>65.642319250954245</v>
      </c>
      <c r="I1757" s="609">
        <f>PY!I259</f>
        <v>59.033224387547229</v>
      </c>
      <c r="J1757" s="603">
        <f>PY!J259</f>
        <v>73.994903999781513</v>
      </c>
      <c r="K1757" s="609">
        <f>PY!C249</f>
        <v>0</v>
      </c>
      <c r="L1757" s="609">
        <f>PY!D249</f>
        <v>4932.7118656152097</v>
      </c>
      <c r="M1757" s="609">
        <f>PY!E249</f>
        <v>5156.1504587012505</v>
      </c>
      <c r="N1757" s="609">
        <f>PY!F249</f>
        <v>5560.0193029847824</v>
      </c>
      <c r="O1757" s="609">
        <f>PY!G249</f>
        <v>5552.9939655709431</v>
      </c>
      <c r="P1757" s="609">
        <f>PY!H249</f>
        <v>5408.8001055984405</v>
      </c>
      <c r="Q1757" s="609">
        <f>PY!I249</f>
        <v>5012.0980862531123</v>
      </c>
      <c r="R1757" s="603">
        <f>PY!J249</f>
        <v>5384.0983665521853</v>
      </c>
    </row>
    <row r="1758" spans="2:18">
      <c r="B1758" s="595" t="s">
        <v>1054</v>
      </c>
      <c r="C1758" s="608">
        <f>PE!C262</f>
        <v>0</v>
      </c>
      <c r="D1758" s="609">
        <f>PE!D262</f>
        <v>0</v>
      </c>
      <c r="E1758" s="609">
        <f>PE!E262</f>
        <v>0</v>
      </c>
      <c r="F1758" s="609">
        <f>PE!F262</f>
        <v>0</v>
      </c>
      <c r="G1758" s="609">
        <f>PE!G262</f>
        <v>0</v>
      </c>
      <c r="H1758" s="609">
        <f>PE!H262</f>
        <v>0</v>
      </c>
      <c r="I1758" s="609">
        <f>PE!I262</f>
        <v>0</v>
      </c>
      <c r="J1758" s="603">
        <f>PE!J262</f>
        <v>0</v>
      </c>
      <c r="K1758" s="609">
        <f>PE!C252</f>
        <v>0</v>
      </c>
      <c r="L1758" s="609">
        <f>PE!D252</f>
        <v>0</v>
      </c>
      <c r="M1758" s="609">
        <f>PE!E252</f>
        <v>0</v>
      </c>
      <c r="N1758" s="609">
        <f>PE!F252</f>
        <v>0</v>
      </c>
      <c r="O1758" s="609">
        <f>PE!G252</f>
        <v>0</v>
      </c>
      <c r="P1758" s="609">
        <f>PE!H252</f>
        <v>0</v>
      </c>
      <c r="Q1758" s="609">
        <f>PE!I252</f>
        <v>0</v>
      </c>
      <c r="R1758" s="603">
        <f>PE!J252</f>
        <v>0</v>
      </c>
    </row>
    <row r="1759" spans="2:18">
      <c r="B1759" s="604" t="s">
        <v>1055</v>
      </c>
      <c r="C1759" s="610">
        <f>TT!C268</f>
        <v>0</v>
      </c>
      <c r="D1759" s="617">
        <f>TT!D268</f>
        <v>0</v>
      </c>
      <c r="E1759" s="617">
        <f>TT!E268</f>
        <v>0</v>
      </c>
      <c r="F1759" s="617">
        <f>TT!F268</f>
        <v>0</v>
      </c>
      <c r="G1759" s="617">
        <f>TT!G268</f>
        <v>0</v>
      </c>
      <c r="H1759" s="617">
        <f>TT!H268</f>
        <v>0</v>
      </c>
      <c r="I1759" s="617">
        <f>TT!I268</f>
        <v>0</v>
      </c>
      <c r="J1759" s="618">
        <f>TT!J268</f>
        <v>0</v>
      </c>
      <c r="K1759" s="617">
        <f>TT!C258</f>
        <v>3591.6963515097905</v>
      </c>
      <c r="L1759" s="617">
        <f>TT!D258</f>
        <v>3798.5812974873552</v>
      </c>
      <c r="M1759" s="617">
        <f>TT!E258</f>
        <v>3716.3530843053295</v>
      </c>
      <c r="N1759" s="617">
        <f>TT!F258</f>
        <v>3655.9065164117928</v>
      </c>
      <c r="O1759" s="617">
        <f>TT!G258</f>
        <v>3606.6738662873686</v>
      </c>
      <c r="P1759" s="617">
        <f>TT!H258</f>
        <v>3856.5815221472176</v>
      </c>
      <c r="Q1759" s="617">
        <f>TT!I258</f>
        <v>3726.4199567532319</v>
      </c>
      <c r="R1759" s="618">
        <f>TT!J258</f>
        <v>4100.6510954668747</v>
      </c>
    </row>
    <row r="1760" spans="2:18">
      <c r="B1760" s="57"/>
      <c r="C1760" s="582"/>
      <c r="D1760" s="582"/>
      <c r="E1760" s="582"/>
      <c r="F1760" s="582"/>
      <c r="G1760" s="582"/>
      <c r="H1760" s="582"/>
      <c r="I1760" s="582"/>
      <c r="J1760" s="582"/>
      <c r="K1760" s="582"/>
      <c r="L1760" s="582"/>
      <c r="M1760" s="582"/>
      <c r="N1760" s="582"/>
      <c r="O1760" s="582"/>
      <c r="P1760" s="582"/>
      <c r="Q1760" s="582"/>
    </row>
    <row r="1761" spans="2:18">
      <c r="B1761" s="2157" t="s">
        <v>1198</v>
      </c>
      <c r="C1761" s="2157"/>
      <c r="D1761" s="2157"/>
      <c r="E1761" s="2157"/>
      <c r="F1761" s="2157"/>
      <c r="G1761" s="2157"/>
      <c r="H1761" s="2157"/>
      <c r="I1761" s="2157"/>
      <c r="J1761" s="2157"/>
      <c r="K1761" s="2157"/>
      <c r="L1761" s="2157"/>
      <c r="M1761" s="2157"/>
      <c r="N1761" s="2157"/>
      <c r="O1761" s="2157"/>
      <c r="P1761" s="2157"/>
      <c r="Q1761" s="2157"/>
      <c r="R1761" s="2157"/>
    </row>
    <row r="1762" spans="2:18">
      <c r="B1762" s="619"/>
      <c r="C1762" s="644"/>
      <c r="D1762" s="644"/>
      <c r="E1762" s="644"/>
      <c r="F1762" s="644"/>
      <c r="G1762" s="644"/>
      <c r="H1762" s="644"/>
      <c r="I1762" s="644"/>
      <c r="J1762" s="644"/>
      <c r="K1762" s="644"/>
      <c r="L1762" s="644"/>
      <c r="M1762" s="644"/>
      <c r="N1762" s="644"/>
      <c r="O1762" s="644"/>
      <c r="P1762" s="644"/>
      <c r="Q1762" s="644"/>
    </row>
    <row r="1763" spans="2:18">
      <c r="B1763" s="619"/>
      <c r="C1763" s="2167" t="s">
        <v>1189</v>
      </c>
      <c r="D1763" s="2168"/>
      <c r="E1763" s="2168"/>
      <c r="F1763" s="2168"/>
      <c r="G1763" s="2168"/>
      <c r="H1763" s="2168"/>
      <c r="I1763" s="2168"/>
      <c r="J1763" s="2169"/>
      <c r="K1763" s="2170" t="s">
        <v>1190</v>
      </c>
      <c r="L1763" s="2171"/>
      <c r="M1763" s="2171"/>
      <c r="N1763" s="2171"/>
      <c r="O1763" s="2171"/>
      <c r="P1763" s="2171"/>
      <c r="Q1763" s="2171"/>
      <c r="R1763" s="2172"/>
    </row>
    <row r="1764" spans="2:18">
      <c r="B1764" s="583"/>
      <c r="C1764" s="2161" t="s">
        <v>1191</v>
      </c>
      <c r="D1764" s="2162"/>
      <c r="E1764" s="2162"/>
      <c r="F1764" s="2162"/>
      <c r="G1764" s="2162"/>
      <c r="H1764" s="2162"/>
      <c r="I1764" s="2162"/>
      <c r="J1764" s="2162"/>
      <c r="K1764" s="2162"/>
      <c r="L1764" s="2162"/>
      <c r="M1764" s="2162"/>
      <c r="N1764" s="2162"/>
      <c r="O1764" s="2162"/>
      <c r="P1764" s="2162"/>
      <c r="Q1764" s="2162"/>
      <c r="R1764" s="2163"/>
    </row>
    <row r="1765" spans="2:18">
      <c r="B1765" s="57"/>
      <c r="C1765" s="585">
        <v>2014</v>
      </c>
      <c r="D1765" s="586">
        <v>2015</v>
      </c>
      <c r="E1765" s="586">
        <v>2016</v>
      </c>
      <c r="F1765" s="586">
        <v>2017</v>
      </c>
      <c r="G1765" s="586">
        <v>2018</v>
      </c>
      <c r="H1765" s="586">
        <v>2019</v>
      </c>
      <c r="I1765" s="586">
        <v>2020</v>
      </c>
      <c r="J1765" s="586">
        <v>2021</v>
      </c>
      <c r="K1765" s="585">
        <v>2014</v>
      </c>
      <c r="L1765" s="586">
        <v>2015</v>
      </c>
      <c r="M1765" s="586">
        <v>2016</v>
      </c>
      <c r="N1765" s="586">
        <v>2017</v>
      </c>
      <c r="O1765" s="586">
        <v>2018</v>
      </c>
      <c r="P1765" s="586">
        <v>2019</v>
      </c>
      <c r="Q1765" s="586">
        <v>2020</v>
      </c>
      <c r="R1765" s="1652">
        <v>2021</v>
      </c>
    </row>
    <row r="1766" spans="2:18">
      <c r="B1766" s="589" t="s">
        <v>1038</v>
      </c>
      <c r="C1766" s="614">
        <f>ARG!C277</f>
        <v>5.4509207092899903</v>
      </c>
      <c r="D1766" s="615">
        <f>ARG!D277</f>
        <v>4.6711110841983849</v>
      </c>
      <c r="E1766" s="615">
        <f>ARG!E277</f>
        <v>65.051686113739891</v>
      </c>
      <c r="F1766" s="615">
        <f>ARG!F277</f>
        <v>134.04478096200324</v>
      </c>
      <c r="G1766" s="615">
        <f>ARG!G277</f>
        <v>119.79846623099391</v>
      </c>
      <c r="H1766" s="615">
        <f>ARG!H277</f>
        <v>56.946409065865261</v>
      </c>
      <c r="I1766" s="615">
        <f>ARG!I277</f>
        <v>19.034018461711682</v>
      </c>
      <c r="J1766" s="616">
        <f>ARG!J277</f>
        <v>0</v>
      </c>
      <c r="K1766" s="614">
        <f>ARG!C271</f>
        <v>0</v>
      </c>
      <c r="L1766" s="615">
        <f>ARG!D271</f>
        <v>0</v>
      </c>
      <c r="M1766" s="615">
        <f>ARG!E271</f>
        <v>0</v>
      </c>
      <c r="N1766" s="615">
        <f>ARG!F271</f>
        <v>0</v>
      </c>
      <c r="O1766" s="615">
        <f>ARG!G271</f>
        <v>0</v>
      </c>
      <c r="P1766" s="615">
        <f>ARG!H271</f>
        <v>0</v>
      </c>
      <c r="Q1766" s="615">
        <f>ARG!I271</f>
        <v>0</v>
      </c>
      <c r="R1766" s="616">
        <f>ARG!J271</f>
        <v>0</v>
      </c>
    </row>
    <row r="1767" spans="2:18">
      <c r="B1767" s="595" t="s">
        <v>1039</v>
      </c>
      <c r="C1767" s="608">
        <f>BA!C266</f>
        <v>0</v>
      </c>
      <c r="D1767" s="609">
        <f>BA!D266</f>
        <v>0</v>
      </c>
      <c r="E1767" s="609">
        <f>BA!E266</f>
        <v>0</v>
      </c>
      <c r="F1767" s="609">
        <f>BA!F266</f>
        <v>0</v>
      </c>
      <c r="G1767" s="609">
        <f>BA!G266</f>
        <v>0</v>
      </c>
      <c r="H1767" s="609">
        <f>BA!H266</f>
        <v>0</v>
      </c>
      <c r="I1767" s="609">
        <f>BA!I266</f>
        <v>0</v>
      </c>
      <c r="J1767" s="603">
        <f>BA!J266</f>
        <v>0</v>
      </c>
      <c r="K1767" s="608">
        <f>BA!C260</f>
        <v>0</v>
      </c>
      <c r="L1767" s="609">
        <f>BA!D260</f>
        <v>0</v>
      </c>
      <c r="M1767" s="609">
        <f>BA!E260</f>
        <v>0</v>
      </c>
      <c r="N1767" s="609">
        <f>BA!F260</f>
        <v>0</v>
      </c>
      <c r="O1767" s="609">
        <f>BA!G260</f>
        <v>0</v>
      </c>
      <c r="P1767" s="609">
        <f>BA!H260</f>
        <v>0</v>
      </c>
      <c r="Q1767" s="609">
        <f>BA!I260</f>
        <v>0</v>
      </c>
      <c r="R1767" s="603">
        <f>BA!J260</f>
        <v>0</v>
      </c>
    </row>
    <row r="1768" spans="2:18">
      <c r="B1768" s="595" t="s">
        <v>1040</v>
      </c>
      <c r="C1768" s="608">
        <f>BO!C264</f>
        <v>0</v>
      </c>
      <c r="D1768" s="609">
        <f>BO!D264</f>
        <v>0</v>
      </c>
      <c r="E1768" s="609">
        <f>BO!E264</f>
        <v>0</v>
      </c>
      <c r="F1768" s="609">
        <f>BO!F264</f>
        <v>0</v>
      </c>
      <c r="G1768" s="609">
        <f>BO!G264</f>
        <v>0</v>
      </c>
      <c r="H1768" s="609">
        <f>BO!H264</f>
        <v>0</v>
      </c>
      <c r="I1768" s="609">
        <f>BO!I264</f>
        <v>0</v>
      </c>
      <c r="J1768" s="603">
        <f>BO!J264</f>
        <v>0</v>
      </c>
      <c r="K1768" s="608">
        <f>BO!C258</f>
        <v>0</v>
      </c>
      <c r="L1768" s="609">
        <f>BO!D258</f>
        <v>0</v>
      </c>
      <c r="M1768" s="609">
        <f>BO!E258</f>
        <v>0</v>
      </c>
      <c r="N1768" s="609">
        <f>BO!F258</f>
        <v>0</v>
      </c>
      <c r="O1768" s="609">
        <f>BO!G258</f>
        <v>0</v>
      </c>
      <c r="P1768" s="609">
        <f>BO!H258</f>
        <v>0</v>
      </c>
      <c r="Q1768" s="609">
        <f>BO!I258</f>
        <v>0</v>
      </c>
      <c r="R1768" s="603">
        <f>BO!J258</f>
        <v>0</v>
      </c>
    </row>
    <row r="1769" spans="2:18">
      <c r="B1769" s="595" t="s">
        <v>1041</v>
      </c>
      <c r="C1769" s="608">
        <f>BR!C272</f>
        <v>0</v>
      </c>
      <c r="D1769" s="609">
        <f>BR!D272</f>
        <v>0</v>
      </c>
      <c r="E1769" s="609">
        <f>BR!E272</f>
        <v>0</v>
      </c>
      <c r="F1769" s="609">
        <f>BR!F272</f>
        <v>0</v>
      </c>
      <c r="G1769" s="609">
        <f>BR!G272</f>
        <v>0</v>
      </c>
      <c r="H1769" s="609">
        <f>BR!H272</f>
        <v>0</v>
      </c>
      <c r="I1769" s="609">
        <f>BR!I272</f>
        <v>0</v>
      </c>
      <c r="J1769" s="603">
        <f>BR!J272</f>
        <v>0</v>
      </c>
      <c r="K1769" s="608">
        <f>BR!C266</f>
        <v>0</v>
      </c>
      <c r="L1769" s="609">
        <f>BR!D266</f>
        <v>0</v>
      </c>
      <c r="M1769" s="609">
        <f>BR!E266</f>
        <v>0</v>
      </c>
      <c r="N1769" s="609">
        <f>BR!F266</f>
        <v>0</v>
      </c>
      <c r="O1769" s="609">
        <f>BR!G266</f>
        <v>0</v>
      </c>
      <c r="P1769" s="609">
        <f>BR!H266</f>
        <v>0</v>
      </c>
      <c r="Q1769" s="609">
        <f>BR!I266</f>
        <v>0</v>
      </c>
      <c r="R1769" s="603">
        <f>BR!J266</f>
        <v>0</v>
      </c>
    </row>
    <row r="1770" spans="2:18">
      <c r="B1770" s="595" t="s">
        <v>1042</v>
      </c>
      <c r="C1770" s="608">
        <f>CL!C269</f>
        <v>0</v>
      </c>
      <c r="D1770" s="609">
        <f>CL!D269</f>
        <v>0</v>
      </c>
      <c r="E1770" s="609">
        <f>CL!E269</f>
        <v>0</v>
      </c>
      <c r="F1770" s="609">
        <f>CL!F269</f>
        <v>0</v>
      </c>
      <c r="G1770" s="609">
        <f>CL!G269</f>
        <v>0</v>
      </c>
      <c r="H1770" s="609">
        <f>CL!H269</f>
        <v>0</v>
      </c>
      <c r="I1770" s="609">
        <f>CL!I269</f>
        <v>0</v>
      </c>
      <c r="J1770" s="603">
        <f>CL!J269</f>
        <v>0</v>
      </c>
      <c r="K1770" s="608">
        <f>CL!C263</f>
        <v>0</v>
      </c>
      <c r="L1770" s="609">
        <f>CL!D263</f>
        <v>0</v>
      </c>
      <c r="M1770" s="609">
        <f>CL!E263</f>
        <v>0</v>
      </c>
      <c r="N1770" s="609">
        <f>CL!F263</f>
        <v>0</v>
      </c>
      <c r="O1770" s="609">
        <f>CL!G263</f>
        <v>0</v>
      </c>
      <c r="P1770" s="609">
        <f>CL!H263</f>
        <v>0</v>
      </c>
      <c r="Q1770" s="609">
        <f>CL!I263</f>
        <v>0</v>
      </c>
      <c r="R1770" s="603">
        <f>CL!J263</f>
        <v>0</v>
      </c>
    </row>
    <row r="1771" spans="2:18">
      <c r="B1771" s="595" t="s">
        <v>1043</v>
      </c>
      <c r="C1771" s="608">
        <f>CO!C266</f>
        <v>0</v>
      </c>
      <c r="D1771" s="609">
        <f>CO!D266</f>
        <v>0</v>
      </c>
      <c r="E1771" s="609">
        <f>CO!E266</f>
        <v>0</v>
      </c>
      <c r="F1771" s="609">
        <f>CO!F266</f>
        <v>0</v>
      </c>
      <c r="G1771" s="609">
        <f>CO!G266</f>
        <v>0</v>
      </c>
      <c r="H1771" s="609">
        <f>CO!H266</f>
        <v>0</v>
      </c>
      <c r="I1771" s="609">
        <f>CO!I266</f>
        <v>0</v>
      </c>
      <c r="J1771" s="603">
        <f>CO!J266</f>
        <v>0</v>
      </c>
      <c r="K1771" s="608">
        <f>CO!C260</f>
        <v>0</v>
      </c>
      <c r="L1771" s="609">
        <f>CO!D260</f>
        <v>0</v>
      </c>
      <c r="M1771" s="609">
        <f>CO!E260</f>
        <v>0</v>
      </c>
      <c r="N1771" s="609">
        <f>CO!F260</f>
        <v>0</v>
      </c>
      <c r="O1771" s="609">
        <f>CO!G260</f>
        <v>0</v>
      </c>
      <c r="P1771" s="609">
        <f>CO!H260</f>
        <v>0</v>
      </c>
      <c r="Q1771" s="609">
        <f>CO!I260</f>
        <v>0</v>
      </c>
      <c r="R1771" s="603">
        <f>CO!J260</f>
        <v>0</v>
      </c>
    </row>
    <row r="1772" spans="2:18">
      <c r="B1772" s="595" t="s">
        <v>1044</v>
      </c>
      <c r="C1772" s="608">
        <f>CR!C278</f>
        <v>0</v>
      </c>
      <c r="D1772" s="609">
        <f>CR!D278</f>
        <v>0</v>
      </c>
      <c r="E1772" s="609">
        <f>CR!E278</f>
        <v>0</v>
      </c>
      <c r="F1772" s="609">
        <f>CR!F278</f>
        <v>0</v>
      </c>
      <c r="G1772" s="609">
        <f>CR!G278</f>
        <v>0</v>
      </c>
      <c r="H1772" s="609">
        <f>CR!H278</f>
        <v>0</v>
      </c>
      <c r="I1772" s="609">
        <f>CR!I278</f>
        <v>0</v>
      </c>
      <c r="J1772" s="603">
        <f>CR!J278</f>
        <v>0</v>
      </c>
      <c r="K1772" s="608">
        <f>CR!C272</f>
        <v>0</v>
      </c>
      <c r="L1772" s="609">
        <f>CR!D272</f>
        <v>0</v>
      </c>
      <c r="M1772" s="609">
        <f>CR!E272</f>
        <v>0</v>
      </c>
      <c r="N1772" s="609">
        <f>CR!F272</f>
        <v>0</v>
      </c>
      <c r="O1772" s="609">
        <f>CR!G272</f>
        <v>0</v>
      </c>
      <c r="P1772" s="609">
        <f>CR!H272</f>
        <v>0</v>
      </c>
      <c r="Q1772" s="609">
        <f>CR!I272</f>
        <v>0</v>
      </c>
      <c r="R1772" s="603">
        <f>CR!J272</f>
        <v>0</v>
      </c>
    </row>
    <row r="1773" spans="2:18">
      <c r="B1773" s="595" t="s">
        <v>1061</v>
      </c>
      <c r="C1773" s="608">
        <f>CW!C288</f>
        <v>0</v>
      </c>
      <c r="D1773" s="609">
        <f>CW!D288</f>
        <v>0</v>
      </c>
      <c r="E1773" s="609">
        <f>CW!E288</f>
        <v>97.723026815642456</v>
      </c>
      <c r="F1773" s="609">
        <f>CW!F288</f>
        <v>104.37135464804469</v>
      </c>
      <c r="G1773" s="609">
        <f>CW!G288</f>
        <v>105.69045960893854</v>
      </c>
      <c r="H1773" s="609">
        <f>CW!H288</f>
        <v>110.10990391061453</v>
      </c>
      <c r="I1773" s="609">
        <f>CW!I288</f>
        <v>87.277621229050283</v>
      </c>
      <c r="J1773" s="603">
        <f>CW!J288</f>
        <v>88.496659776536305</v>
      </c>
      <c r="K1773" s="608">
        <f>CW!C282</f>
        <v>0</v>
      </c>
      <c r="L1773" s="609">
        <f>CW!D282</f>
        <v>0</v>
      </c>
      <c r="M1773" s="609">
        <f>CW!E282</f>
        <v>0</v>
      </c>
      <c r="N1773" s="609">
        <f>CW!F282</f>
        <v>0</v>
      </c>
      <c r="O1773" s="609">
        <f>CW!G282</f>
        <v>0</v>
      </c>
      <c r="P1773" s="609">
        <f>CW!H282</f>
        <v>0</v>
      </c>
      <c r="Q1773" s="609">
        <f>CW!I282</f>
        <v>0</v>
      </c>
      <c r="R1773" s="603">
        <f>CW!J282</f>
        <v>0</v>
      </c>
    </row>
    <row r="1774" spans="2:18">
      <c r="B1774" s="595" t="s">
        <v>1047</v>
      </c>
      <c r="C1774" s="608">
        <f>EC!C268</f>
        <v>0</v>
      </c>
      <c r="D1774" s="609">
        <f>EC!D268</f>
        <v>0</v>
      </c>
      <c r="E1774" s="609">
        <f>EC!E268</f>
        <v>0</v>
      </c>
      <c r="F1774" s="609">
        <f>EC!F268</f>
        <v>0</v>
      </c>
      <c r="G1774" s="609">
        <f>EC!G268</f>
        <v>0</v>
      </c>
      <c r="H1774" s="609">
        <f>EC!H268</f>
        <v>0</v>
      </c>
      <c r="I1774" s="609">
        <f>EC!I268</f>
        <v>0</v>
      </c>
      <c r="J1774" s="603">
        <f>EC!J268</f>
        <v>0</v>
      </c>
      <c r="K1774" s="608">
        <f>EC!C262</f>
        <v>0</v>
      </c>
      <c r="L1774" s="609">
        <f>EC!D262</f>
        <v>0</v>
      </c>
      <c r="M1774" s="609">
        <f>EC!E262</f>
        <v>0</v>
      </c>
      <c r="N1774" s="609">
        <f>EC!F262</f>
        <v>0</v>
      </c>
      <c r="O1774" s="609">
        <f>EC!G262</f>
        <v>0</v>
      </c>
      <c r="P1774" s="609">
        <f>EC!H262</f>
        <v>0</v>
      </c>
      <c r="Q1774" s="609">
        <f>EC!I262</f>
        <v>0</v>
      </c>
      <c r="R1774" s="603">
        <f>EC!J262</f>
        <v>0</v>
      </c>
    </row>
    <row r="1775" spans="2:18">
      <c r="B1775" s="595" t="s">
        <v>1048</v>
      </c>
      <c r="C1775" s="608">
        <f>SV!C270</f>
        <v>0</v>
      </c>
      <c r="D1775" s="609">
        <f>SV!D270</f>
        <v>0</v>
      </c>
      <c r="E1775" s="609">
        <f>SV!E270</f>
        <v>0</v>
      </c>
      <c r="F1775" s="609">
        <f>SV!F270</f>
        <v>0</v>
      </c>
      <c r="G1775" s="609">
        <f>SV!G270</f>
        <v>0</v>
      </c>
      <c r="H1775" s="609">
        <f>SV!H270</f>
        <v>0</v>
      </c>
      <c r="I1775" s="609">
        <f>SV!I270</f>
        <v>0</v>
      </c>
      <c r="J1775" s="603">
        <f>SV!J270</f>
        <v>0</v>
      </c>
      <c r="K1775" s="608">
        <f>SV!C264</f>
        <v>0</v>
      </c>
      <c r="L1775" s="609">
        <f>SV!D264</f>
        <v>0</v>
      </c>
      <c r="M1775" s="609">
        <f>SV!E264</f>
        <v>0</v>
      </c>
      <c r="N1775" s="609">
        <f>SV!F264</f>
        <v>0</v>
      </c>
      <c r="O1775" s="609">
        <f>SV!G264</f>
        <v>0</v>
      </c>
      <c r="P1775" s="609">
        <f>SV!H264</f>
        <v>0</v>
      </c>
      <c r="Q1775" s="609">
        <f>SV!I264</f>
        <v>0</v>
      </c>
      <c r="R1775" s="603">
        <f>SV!J264</f>
        <v>0</v>
      </c>
    </row>
    <row r="1776" spans="2:18">
      <c r="B1776" s="595" t="s">
        <v>1049</v>
      </c>
      <c r="C1776" s="608">
        <f>GT!C276</f>
        <v>24.658000000000001</v>
      </c>
      <c r="D1776" s="609">
        <f>GT!D276</f>
        <v>30.605</v>
      </c>
      <c r="E1776" s="609">
        <f>GT!E276</f>
        <v>44.642000000000003</v>
      </c>
      <c r="F1776" s="609">
        <f>GT!F276</f>
        <v>38.783000000000001</v>
      </c>
      <c r="G1776" s="609">
        <f>GT!G276</f>
        <v>68.855000000000004</v>
      </c>
      <c r="H1776" s="609">
        <f>GT!H276</f>
        <v>72.370999999999995</v>
      </c>
      <c r="I1776" s="609">
        <f>GT!I276</f>
        <v>149.78100000000001</v>
      </c>
      <c r="J1776" s="603">
        <f>GT!J276</f>
        <v>90.947000000000003</v>
      </c>
      <c r="K1776" s="608">
        <f>GT!C270</f>
        <v>0</v>
      </c>
      <c r="L1776" s="609">
        <f>GT!D270</f>
        <v>0</v>
      </c>
      <c r="M1776" s="609">
        <f>GT!E270</f>
        <v>0</v>
      </c>
      <c r="N1776" s="609">
        <f>GT!F270</f>
        <v>0</v>
      </c>
      <c r="O1776" s="609">
        <f>GT!G270</f>
        <v>0</v>
      </c>
      <c r="P1776" s="609">
        <f>GT!H270</f>
        <v>0</v>
      </c>
      <c r="Q1776" s="609">
        <f>GT!I270</f>
        <v>0</v>
      </c>
      <c r="R1776" s="603">
        <f>GT!J270</f>
        <v>0</v>
      </c>
    </row>
    <row r="1777" spans="2:18">
      <c r="B1777" s="595" t="s">
        <v>1050</v>
      </c>
      <c r="C1777" s="608">
        <f>HN!C275</f>
        <v>0</v>
      </c>
      <c r="D1777" s="609">
        <f>HN!D275</f>
        <v>0</v>
      </c>
      <c r="E1777" s="609">
        <f>HN!E275</f>
        <v>0</v>
      </c>
      <c r="F1777" s="609">
        <f>HN!F275</f>
        <v>0</v>
      </c>
      <c r="G1777" s="609">
        <f>HN!G275</f>
        <v>0</v>
      </c>
      <c r="H1777" s="609">
        <f>HN!H275</f>
        <v>0</v>
      </c>
      <c r="I1777" s="609">
        <f>HN!I275</f>
        <v>0</v>
      </c>
      <c r="J1777" s="603">
        <f>HN!J275</f>
        <v>0</v>
      </c>
      <c r="K1777" s="608">
        <f>HN!C269</f>
        <v>0</v>
      </c>
      <c r="L1777" s="609">
        <f>HN!D269</f>
        <v>0</v>
      </c>
      <c r="M1777" s="609">
        <f>HN!E269</f>
        <v>0</v>
      </c>
      <c r="N1777" s="609">
        <f>HN!F269</f>
        <v>0</v>
      </c>
      <c r="O1777" s="609">
        <f>HN!G269</f>
        <v>0</v>
      </c>
      <c r="P1777" s="609">
        <f>HN!H269</f>
        <v>0</v>
      </c>
      <c r="Q1777" s="609">
        <f>HN!I269</f>
        <v>0</v>
      </c>
      <c r="R1777" s="603">
        <f>HN!J269</f>
        <v>0</v>
      </c>
    </row>
    <row r="1778" spans="2:18">
      <c r="B1778" s="595" t="s">
        <v>1051</v>
      </c>
      <c r="C1778" s="608">
        <f>JM!C271</f>
        <v>0</v>
      </c>
      <c r="D1778" s="609">
        <f>JM!D271</f>
        <v>0</v>
      </c>
      <c r="E1778" s="609">
        <f>JM!E271</f>
        <v>0</v>
      </c>
      <c r="F1778" s="609">
        <f>JM!F271</f>
        <v>0</v>
      </c>
      <c r="G1778" s="609">
        <f>JM!G271</f>
        <v>0</v>
      </c>
      <c r="H1778" s="609">
        <f>JM!H271</f>
        <v>0</v>
      </c>
      <c r="I1778" s="609">
        <f>JM!I271</f>
        <v>0</v>
      </c>
      <c r="J1778" s="603">
        <f>JM!J271</f>
        <v>0</v>
      </c>
      <c r="K1778" s="608">
        <f>JM!C265</f>
        <v>0</v>
      </c>
      <c r="L1778" s="609">
        <f>JM!D265</f>
        <v>0</v>
      </c>
      <c r="M1778" s="609">
        <f>JM!E265</f>
        <v>0</v>
      </c>
      <c r="N1778" s="609">
        <f>JM!F265</f>
        <v>0</v>
      </c>
      <c r="O1778" s="609">
        <f>JM!G265</f>
        <v>0</v>
      </c>
      <c r="P1778" s="609">
        <f>JM!H265</f>
        <v>0</v>
      </c>
      <c r="Q1778" s="609">
        <f>JM!I265</f>
        <v>0</v>
      </c>
      <c r="R1778" s="603">
        <f>JM!J265</f>
        <v>0</v>
      </c>
    </row>
    <row r="1779" spans="2:18">
      <c r="B1779" s="595" t="s">
        <v>1052</v>
      </c>
      <c r="C1779" s="608">
        <f>RD!C287</f>
        <v>0</v>
      </c>
      <c r="D1779" s="609">
        <f>RD!D287</f>
        <v>0</v>
      </c>
      <c r="E1779" s="609">
        <f>RD!E287</f>
        <v>0</v>
      </c>
      <c r="F1779" s="609">
        <f>RD!F287</f>
        <v>0</v>
      </c>
      <c r="G1779" s="609">
        <f>RD!G287</f>
        <v>0</v>
      </c>
      <c r="H1779" s="609">
        <f>RD!H287</f>
        <v>0</v>
      </c>
      <c r="I1779" s="609">
        <f>RD!I287</f>
        <v>0</v>
      </c>
      <c r="J1779" s="603">
        <f>RD!J287</f>
        <v>0</v>
      </c>
      <c r="K1779" s="608">
        <f>RD!C281</f>
        <v>0</v>
      </c>
      <c r="L1779" s="609">
        <f>RD!D281</f>
        <v>0</v>
      </c>
      <c r="M1779" s="609">
        <f>RD!E281</f>
        <v>0</v>
      </c>
      <c r="N1779" s="609">
        <f>RD!F281</f>
        <v>0</v>
      </c>
      <c r="O1779" s="609">
        <f>RD!G281</f>
        <v>0</v>
      </c>
      <c r="P1779" s="609">
        <f>RD!H281</f>
        <v>0</v>
      </c>
      <c r="Q1779" s="609">
        <f>RD!I281</f>
        <v>0</v>
      </c>
      <c r="R1779" s="603">
        <f>RD!J281</f>
        <v>0</v>
      </c>
    </row>
    <row r="1780" spans="2:18">
      <c r="B1780" s="595" t="s">
        <v>1053</v>
      </c>
      <c r="C1780" s="608">
        <f>PY!C269</f>
        <v>0</v>
      </c>
      <c r="D1780" s="609">
        <f>PY!D269</f>
        <v>12.587759035600675</v>
      </c>
      <c r="E1780" s="609">
        <f>PY!E269</f>
        <v>14.522002506876788</v>
      </c>
      <c r="F1780" s="609">
        <f>PY!F269</f>
        <v>17.185707533280642</v>
      </c>
      <c r="G1780" s="609">
        <f>PY!G269</f>
        <v>17.328450137857498</v>
      </c>
      <c r="H1780" s="609">
        <f>PY!H269</f>
        <v>17.986728213635441</v>
      </c>
      <c r="I1780" s="609">
        <f>PY!I269</f>
        <v>13.664375209265575</v>
      </c>
      <c r="J1780" s="603">
        <f>PY!J269</f>
        <v>12.888172041923282</v>
      </c>
      <c r="K1780" s="608">
        <f>PY!C263</f>
        <v>0</v>
      </c>
      <c r="L1780" s="609">
        <f>PY!D263</f>
        <v>0</v>
      </c>
      <c r="M1780" s="609">
        <f>PY!E263</f>
        <v>0</v>
      </c>
      <c r="N1780" s="609">
        <f>PY!F263</f>
        <v>0</v>
      </c>
      <c r="O1780" s="609">
        <f>PY!G263</f>
        <v>0</v>
      </c>
      <c r="P1780" s="609">
        <f>PY!H263</f>
        <v>0</v>
      </c>
      <c r="Q1780" s="609">
        <f>PY!I263</f>
        <v>0</v>
      </c>
      <c r="R1780" s="603">
        <f>PY!J263</f>
        <v>0</v>
      </c>
    </row>
    <row r="1781" spans="2:18">
      <c r="B1781" s="595" t="s">
        <v>1054</v>
      </c>
      <c r="C1781" s="608">
        <f>PE!C272</f>
        <v>0</v>
      </c>
      <c r="D1781" s="609">
        <f>PE!D272</f>
        <v>0</v>
      </c>
      <c r="E1781" s="609">
        <f>PE!E272</f>
        <v>0</v>
      </c>
      <c r="F1781" s="609">
        <f>PE!F272</f>
        <v>0</v>
      </c>
      <c r="G1781" s="609">
        <f>PE!G272</f>
        <v>0</v>
      </c>
      <c r="H1781" s="609">
        <f>PE!H272</f>
        <v>0</v>
      </c>
      <c r="I1781" s="609">
        <f>PE!I272</f>
        <v>0</v>
      </c>
      <c r="J1781" s="603">
        <f>PE!J272</f>
        <v>0</v>
      </c>
      <c r="K1781" s="608">
        <f>PE!C266</f>
        <v>0</v>
      </c>
      <c r="L1781" s="609">
        <f>PE!D266</f>
        <v>0</v>
      </c>
      <c r="M1781" s="609">
        <f>PE!E266</f>
        <v>0</v>
      </c>
      <c r="N1781" s="609">
        <f>PE!F266</f>
        <v>0</v>
      </c>
      <c r="O1781" s="609">
        <f>PE!G266</f>
        <v>0</v>
      </c>
      <c r="P1781" s="609">
        <f>PE!H266</f>
        <v>0</v>
      </c>
      <c r="Q1781" s="609">
        <f>PE!I266</f>
        <v>0</v>
      </c>
      <c r="R1781" s="603">
        <f>PE!J266</f>
        <v>0</v>
      </c>
    </row>
    <row r="1782" spans="2:18">
      <c r="B1782" s="604" t="s">
        <v>1055</v>
      </c>
      <c r="C1782" s="610">
        <f>TT!C278</f>
        <v>0</v>
      </c>
      <c r="D1782" s="617">
        <f>TT!D278</f>
        <v>0</v>
      </c>
      <c r="E1782" s="617">
        <f>TT!E278</f>
        <v>0</v>
      </c>
      <c r="F1782" s="617">
        <f>TT!F278</f>
        <v>0</v>
      </c>
      <c r="G1782" s="617">
        <f>TT!G278</f>
        <v>0</v>
      </c>
      <c r="H1782" s="617">
        <f>TT!H278</f>
        <v>0</v>
      </c>
      <c r="I1782" s="617">
        <f>TT!I278</f>
        <v>0</v>
      </c>
      <c r="J1782" s="618">
        <f>TT!J278</f>
        <v>0</v>
      </c>
      <c r="K1782" s="610">
        <f>TT!C272</f>
        <v>0</v>
      </c>
      <c r="L1782" s="617">
        <f>TT!D272</f>
        <v>0</v>
      </c>
      <c r="M1782" s="617">
        <f>TT!E272</f>
        <v>0</v>
      </c>
      <c r="N1782" s="617">
        <f>TT!F272</f>
        <v>0</v>
      </c>
      <c r="O1782" s="617">
        <f>TT!G272</f>
        <v>0</v>
      </c>
      <c r="P1782" s="617">
        <f>TT!H272</f>
        <v>0</v>
      </c>
      <c r="Q1782" s="617">
        <f>TT!I272</f>
        <v>0</v>
      </c>
      <c r="R1782" s="618">
        <f>TT!J272</f>
        <v>0</v>
      </c>
    </row>
    <row r="1783" spans="2:18">
      <c r="B1783" s="57"/>
      <c r="C1783" s="582"/>
      <c r="D1783" s="582"/>
      <c r="E1783" s="582"/>
      <c r="F1783" s="582"/>
      <c r="G1783" s="582"/>
      <c r="H1783" s="582"/>
      <c r="I1783" s="582"/>
      <c r="J1783" s="582"/>
      <c r="K1783" s="582"/>
      <c r="L1783" s="582"/>
      <c r="M1783" s="582"/>
      <c r="N1783" s="582"/>
      <c r="O1783" s="582"/>
      <c r="P1783" s="582"/>
      <c r="Q1783" s="582"/>
    </row>
    <row r="1784" spans="2:18">
      <c r="B1784" s="2157" t="s">
        <v>1199</v>
      </c>
      <c r="C1784" s="2157"/>
      <c r="D1784" s="2157"/>
      <c r="E1784" s="2157"/>
      <c r="F1784" s="2157"/>
      <c r="G1784" s="2157"/>
      <c r="H1784" s="2157"/>
      <c r="I1784" s="2157"/>
      <c r="J1784" s="2157"/>
      <c r="K1784" s="2157"/>
      <c r="L1784" s="2157"/>
      <c r="M1784" s="2157"/>
      <c r="N1784" s="2157"/>
      <c r="O1784" s="2157"/>
      <c r="P1784" s="2157"/>
      <c r="Q1784" s="2157"/>
      <c r="R1784" s="2157"/>
    </row>
    <row r="1785" spans="2:18">
      <c r="B1785" s="2159" t="s">
        <v>1200</v>
      </c>
      <c r="C1785" s="2159"/>
      <c r="D1785" s="2159"/>
      <c r="E1785" s="2159"/>
      <c r="F1785" s="2159"/>
      <c r="G1785" s="2159"/>
      <c r="H1785" s="2159"/>
      <c r="I1785" s="2159"/>
      <c r="J1785" s="2159"/>
      <c r="K1785" s="2159"/>
      <c r="L1785" s="2159"/>
      <c r="M1785" s="2159"/>
      <c r="N1785" s="2159"/>
      <c r="O1785" s="2159"/>
      <c r="P1785" s="2159"/>
      <c r="Q1785" s="2159"/>
      <c r="R1785" s="2159"/>
    </row>
    <row r="1786" spans="2:18">
      <c r="B1786" s="2160" t="s">
        <v>1201</v>
      </c>
      <c r="C1786" s="2160"/>
      <c r="D1786" s="2160"/>
      <c r="E1786" s="2160"/>
      <c r="F1786" s="2160"/>
      <c r="G1786" s="2160"/>
      <c r="H1786" s="2160"/>
      <c r="I1786" s="2160"/>
      <c r="J1786" s="2160"/>
      <c r="K1786" s="2160"/>
      <c r="L1786" s="2160"/>
      <c r="M1786" s="2160"/>
      <c r="N1786" s="2160"/>
      <c r="O1786" s="2160"/>
      <c r="P1786" s="2160"/>
      <c r="Q1786" s="2160"/>
      <c r="R1786" s="2160"/>
    </row>
    <row r="1787" spans="2:18">
      <c r="B1787" s="57"/>
      <c r="C1787" s="582"/>
      <c r="D1787" s="582"/>
      <c r="E1787" s="582"/>
      <c r="F1787" s="582"/>
      <c r="G1787" s="582"/>
      <c r="H1787" s="582"/>
      <c r="I1787" s="582"/>
      <c r="J1787" s="582"/>
      <c r="K1787" s="582"/>
      <c r="L1787" s="582"/>
      <c r="M1787" s="582"/>
      <c r="N1787" s="582"/>
      <c r="O1787" s="582"/>
      <c r="P1787" s="582"/>
      <c r="Q1787" s="582"/>
    </row>
    <row r="1788" spans="2:18">
      <c r="B1788" s="612"/>
      <c r="C1788" s="2173" t="s">
        <v>1184</v>
      </c>
      <c r="D1788" s="2174"/>
      <c r="E1788" s="2174"/>
      <c r="F1788" s="2174"/>
      <c r="G1788" s="2174"/>
      <c r="H1788" s="2174"/>
      <c r="I1788" s="2174"/>
      <c r="J1788" s="2174"/>
      <c r="K1788" s="2174"/>
      <c r="L1788" s="2174"/>
      <c r="M1788" s="2174"/>
      <c r="N1788" s="2174"/>
      <c r="O1788" s="2174"/>
      <c r="P1788" s="2174"/>
      <c r="Q1788" s="2174"/>
      <c r="R1788" s="2175"/>
    </row>
    <row r="1789" spans="2:18">
      <c r="B1789" s="583"/>
      <c r="C1789" s="2161" t="s">
        <v>1185</v>
      </c>
      <c r="D1789" s="2162"/>
      <c r="E1789" s="2162"/>
      <c r="F1789" s="2162"/>
      <c r="G1789" s="2162"/>
      <c r="H1789" s="2162"/>
      <c r="I1789" s="2162"/>
      <c r="J1789" s="2163"/>
      <c r="K1789" s="2161" t="s">
        <v>1186</v>
      </c>
      <c r="L1789" s="2162"/>
      <c r="M1789" s="2162"/>
      <c r="N1789" s="2162"/>
      <c r="O1789" s="2162"/>
      <c r="P1789" s="2162"/>
      <c r="Q1789" s="2162"/>
      <c r="R1789" s="2163"/>
    </row>
    <row r="1790" spans="2:18">
      <c r="B1790" s="57"/>
      <c r="C1790" s="585">
        <v>2014</v>
      </c>
      <c r="D1790" s="586">
        <v>2015</v>
      </c>
      <c r="E1790" s="586">
        <v>2016</v>
      </c>
      <c r="F1790" s="586">
        <v>2017</v>
      </c>
      <c r="G1790" s="586">
        <v>2018</v>
      </c>
      <c r="H1790" s="586">
        <v>2019</v>
      </c>
      <c r="I1790" s="586">
        <v>2020</v>
      </c>
      <c r="J1790" s="586">
        <v>2021</v>
      </c>
      <c r="K1790" s="585">
        <v>2014</v>
      </c>
      <c r="L1790" s="586">
        <v>2015</v>
      </c>
      <c r="M1790" s="586">
        <v>2016</v>
      </c>
      <c r="N1790" s="586">
        <v>2017</v>
      </c>
      <c r="O1790" s="586">
        <v>2018</v>
      </c>
      <c r="P1790" s="586">
        <v>2019</v>
      </c>
      <c r="Q1790" s="586">
        <v>2020</v>
      </c>
      <c r="R1790" s="1651">
        <v>2021</v>
      </c>
    </row>
    <row r="1791" spans="2:18">
      <c r="B1791" s="589" t="s">
        <v>1038</v>
      </c>
      <c r="C1791" s="614">
        <v>-71.769090671186532</v>
      </c>
      <c r="D1791" s="615">
        <f t="shared" ref="D1791:J1797" si="691">IF(ISNUMBER((D1743/C1743-1)*100-L30),(D1743/C1743-1)*100-L30,"0")</f>
        <v>-71.833394365168047</v>
      </c>
      <c r="E1791" s="615">
        <f t="shared" si="691"/>
        <v>79.021417738257028</v>
      </c>
      <c r="F1791" s="615">
        <f t="shared" si="691"/>
        <v>-22.927549072664643</v>
      </c>
      <c r="G1791" s="615">
        <f t="shared" si="691"/>
        <v>-83.364499619644619</v>
      </c>
      <c r="H1791" s="615">
        <f t="shared" si="691"/>
        <v>-65.380458778494784</v>
      </c>
      <c r="I1791" s="615">
        <f t="shared" si="691"/>
        <v>-95.511838606584305</v>
      </c>
      <c r="J1791" s="616">
        <f t="shared" si="691"/>
        <v>-33.086049949417799</v>
      </c>
      <c r="K1791" s="614">
        <v>-54.636672899521166</v>
      </c>
      <c r="L1791" s="615">
        <f t="shared" ref="L1791:R1797" si="692">IF(ISNUMBER((L1743/K1743-1)*100-L30),(L1743/K1743-1)*100-L30,"0")</f>
        <v>-44.459981170452579</v>
      </c>
      <c r="M1791" s="615">
        <f t="shared" si="692"/>
        <v>-36.302073482417036</v>
      </c>
      <c r="N1791" s="615">
        <f t="shared" si="692"/>
        <v>-18.771293657966602</v>
      </c>
      <c r="O1791" s="615">
        <f t="shared" si="692"/>
        <v>-85.556923270374355</v>
      </c>
      <c r="P1791" s="615">
        <f t="shared" si="692"/>
        <v>-64.98124329750415</v>
      </c>
      <c r="Q1791" s="615">
        <f t="shared" si="692"/>
        <v>-11.744311245472201</v>
      </c>
      <c r="R1791" s="616">
        <f t="shared" si="692"/>
        <v>-22.24627434952107</v>
      </c>
    </row>
    <row r="1792" spans="2:18">
      <c r="B1792" s="595" t="s">
        <v>1039</v>
      </c>
      <c r="C1792" s="1844">
        <v>0</v>
      </c>
      <c r="D1792" s="609" t="str">
        <f t="shared" si="691"/>
        <v>0</v>
      </c>
      <c r="E1792" s="609" t="str">
        <f t="shared" si="691"/>
        <v>0</v>
      </c>
      <c r="F1792" s="609" t="str">
        <f t="shared" si="691"/>
        <v>0</v>
      </c>
      <c r="G1792" s="609" t="str">
        <f t="shared" si="691"/>
        <v>0</v>
      </c>
      <c r="H1792" s="609" t="str">
        <f t="shared" si="691"/>
        <v>0</v>
      </c>
      <c r="I1792" s="609" t="str">
        <f t="shared" si="691"/>
        <v>0</v>
      </c>
      <c r="J1792" s="603" t="str">
        <f t="shared" si="691"/>
        <v>0</v>
      </c>
      <c r="K1792" s="1844">
        <v>0</v>
      </c>
      <c r="L1792" s="609" t="str">
        <f t="shared" si="692"/>
        <v>0</v>
      </c>
      <c r="M1792" s="609" t="str">
        <f t="shared" si="692"/>
        <v>0</v>
      </c>
      <c r="N1792" s="609" t="str">
        <f t="shared" si="692"/>
        <v>0</v>
      </c>
      <c r="O1792" s="609" t="str">
        <f t="shared" si="692"/>
        <v>0</v>
      </c>
      <c r="P1792" s="609" t="str">
        <f t="shared" si="692"/>
        <v>0</v>
      </c>
      <c r="Q1792" s="609" t="str">
        <f t="shared" si="692"/>
        <v>0</v>
      </c>
      <c r="R1792" s="603" t="str">
        <f t="shared" si="692"/>
        <v>0</v>
      </c>
    </row>
    <row r="1793" spans="2:18">
      <c r="B1793" s="595" t="s">
        <v>1040</v>
      </c>
      <c r="C1793" s="1844" t="str">
        <f>IF(ISNUMBER((C1745/B1745-1)*100-K32),(C1745/B1745-1)*100-K32,"0")</f>
        <v>0</v>
      </c>
      <c r="D1793" s="609" t="str">
        <f t="shared" si="691"/>
        <v>0</v>
      </c>
      <c r="E1793" s="609" t="str">
        <f t="shared" si="691"/>
        <v>0</v>
      </c>
      <c r="F1793" s="609" t="str">
        <f t="shared" si="691"/>
        <v>0</v>
      </c>
      <c r="G1793" s="609" t="str">
        <f t="shared" si="691"/>
        <v>0</v>
      </c>
      <c r="H1793" s="609" t="str">
        <f t="shared" si="691"/>
        <v>0</v>
      </c>
      <c r="I1793" s="609" t="str">
        <f t="shared" si="691"/>
        <v>0</v>
      </c>
      <c r="J1793" s="603" t="str">
        <f t="shared" si="691"/>
        <v>0</v>
      </c>
      <c r="K1793" s="1844">
        <v>6.5648240271795757</v>
      </c>
      <c r="L1793" s="609">
        <f t="shared" si="692"/>
        <v>6.0836627631776885</v>
      </c>
      <c r="M1793" s="609">
        <f t="shared" si="692"/>
        <v>1.8468509457269855</v>
      </c>
      <c r="N1793" s="609">
        <f t="shared" si="692"/>
        <v>6.2237067651280453</v>
      </c>
      <c r="O1793" s="609">
        <f t="shared" si="692"/>
        <v>9.0940846498280585</v>
      </c>
      <c r="P1793" s="609">
        <f t="shared" si="692"/>
        <v>3.7704847970037481</v>
      </c>
      <c r="Q1793" s="609">
        <f t="shared" si="692"/>
        <v>-9.1289357372851825</v>
      </c>
      <c r="R1793" s="603">
        <f t="shared" si="692"/>
        <v>15.764800050191365</v>
      </c>
    </row>
    <row r="1794" spans="2:18">
      <c r="B1794" s="595" t="s">
        <v>1041</v>
      </c>
      <c r="C1794" s="1844">
        <v>0</v>
      </c>
      <c r="D1794" s="609" t="str">
        <f t="shared" si="691"/>
        <v>0</v>
      </c>
      <c r="E1794" s="609" t="str">
        <f t="shared" si="691"/>
        <v>0</v>
      </c>
      <c r="F1794" s="609" t="str">
        <f t="shared" si="691"/>
        <v>0</v>
      </c>
      <c r="G1794" s="609" t="str">
        <f t="shared" si="691"/>
        <v>0</v>
      </c>
      <c r="H1794" s="609" t="str">
        <f t="shared" si="691"/>
        <v>0</v>
      </c>
      <c r="I1794" s="609" t="str">
        <f t="shared" si="691"/>
        <v>0</v>
      </c>
      <c r="J1794" s="603" t="str">
        <f t="shared" si="691"/>
        <v>0</v>
      </c>
      <c r="K1794" s="1844">
        <v>-18.441754817077189</v>
      </c>
      <c r="L1794" s="609">
        <f t="shared" si="692"/>
        <v>-32.743146803792911</v>
      </c>
      <c r="M1794" s="609">
        <f t="shared" si="692"/>
        <v>-9.9639618192659256</v>
      </c>
      <c r="N1794" s="609">
        <f t="shared" si="692"/>
        <v>10.680292384396836</v>
      </c>
      <c r="O1794" s="609">
        <f t="shared" si="692"/>
        <v>-18.148174162686104</v>
      </c>
      <c r="P1794" s="609">
        <f t="shared" si="692"/>
        <v>-5.0176477970660578</v>
      </c>
      <c r="Q1794" s="609">
        <f t="shared" si="692"/>
        <v>-25.995686171808273</v>
      </c>
      <c r="R1794" s="603">
        <f t="shared" si="692"/>
        <v>-35.17925790520777</v>
      </c>
    </row>
    <row r="1795" spans="2:18">
      <c r="B1795" s="595" t="s">
        <v>1042</v>
      </c>
      <c r="C1795" s="1844" t="str">
        <f>IF(ISNUMBER((C1747/B1747-1)*100-K34),(C1747/B1747-1)*100-K34,"0")</f>
        <v>0</v>
      </c>
      <c r="D1795" s="609" t="str">
        <f t="shared" si="691"/>
        <v>0</v>
      </c>
      <c r="E1795" s="609" t="str">
        <f t="shared" si="691"/>
        <v>0</v>
      </c>
      <c r="F1795" s="609" t="str">
        <f t="shared" si="691"/>
        <v>0</v>
      </c>
      <c r="G1795" s="609" t="str">
        <f t="shared" si="691"/>
        <v>0</v>
      </c>
      <c r="H1795" s="609" t="str">
        <f t="shared" si="691"/>
        <v>0</v>
      </c>
      <c r="I1795" s="609" t="str">
        <f t="shared" si="691"/>
        <v>0</v>
      </c>
      <c r="J1795" s="603" t="str">
        <f t="shared" si="691"/>
        <v>0</v>
      </c>
      <c r="K1795" s="1844" t="str">
        <f>IF(ISNUMBER((K1747/J1747-1)*100-K34),(K1747/J1747-1)*100-K34,"0")</f>
        <v>0</v>
      </c>
      <c r="L1795" s="609" t="str">
        <f t="shared" si="692"/>
        <v>0</v>
      </c>
      <c r="M1795" s="609" t="str">
        <f t="shared" si="692"/>
        <v>0</v>
      </c>
      <c r="N1795" s="609" t="str">
        <f t="shared" si="692"/>
        <v>0</v>
      </c>
      <c r="O1795" s="609" t="str">
        <f t="shared" si="692"/>
        <v>0</v>
      </c>
      <c r="P1795" s="609" t="str">
        <f t="shared" si="692"/>
        <v>0</v>
      </c>
      <c r="Q1795" s="609" t="str">
        <f t="shared" si="692"/>
        <v>0</v>
      </c>
      <c r="R1795" s="603" t="str">
        <f t="shared" si="692"/>
        <v>0</v>
      </c>
    </row>
    <row r="1796" spans="2:18">
      <c r="B1796" s="595" t="s">
        <v>1043</v>
      </c>
      <c r="C1796" s="1844">
        <v>0</v>
      </c>
      <c r="D1796" s="609" t="str">
        <f t="shared" si="691"/>
        <v>0</v>
      </c>
      <c r="E1796" s="609" t="str">
        <f t="shared" si="691"/>
        <v>0</v>
      </c>
      <c r="F1796" s="609" t="str">
        <f t="shared" si="691"/>
        <v>0</v>
      </c>
      <c r="G1796" s="609" t="str">
        <f t="shared" si="691"/>
        <v>0</v>
      </c>
      <c r="H1796" s="609" t="str">
        <f t="shared" si="691"/>
        <v>0</v>
      </c>
      <c r="I1796" s="609" t="str">
        <f t="shared" si="691"/>
        <v>0</v>
      </c>
      <c r="J1796" s="603" t="str">
        <f t="shared" si="691"/>
        <v>0</v>
      </c>
      <c r="K1796" s="1844">
        <v>0</v>
      </c>
      <c r="L1796" s="609" t="str">
        <f t="shared" si="692"/>
        <v>0</v>
      </c>
      <c r="M1796" s="609" t="str">
        <f t="shared" si="692"/>
        <v>0</v>
      </c>
      <c r="N1796" s="609" t="str">
        <f t="shared" si="692"/>
        <v>0</v>
      </c>
      <c r="O1796" s="609" t="str">
        <f t="shared" si="692"/>
        <v>0</v>
      </c>
      <c r="P1796" s="609" t="str">
        <f t="shared" si="692"/>
        <v>0</v>
      </c>
      <c r="Q1796" s="609" t="str">
        <f t="shared" si="692"/>
        <v>0</v>
      </c>
      <c r="R1796" s="603" t="str">
        <f t="shared" si="692"/>
        <v>0</v>
      </c>
    </row>
    <row r="1797" spans="2:18">
      <c r="B1797" s="595" t="s">
        <v>1044</v>
      </c>
      <c r="C1797" s="1844">
        <v>0</v>
      </c>
      <c r="D1797" s="609" t="str">
        <f t="shared" si="691"/>
        <v>0</v>
      </c>
      <c r="E1797" s="609" t="str">
        <f t="shared" si="691"/>
        <v>0</v>
      </c>
      <c r="F1797" s="609" t="str">
        <f t="shared" si="691"/>
        <v>0</v>
      </c>
      <c r="G1797" s="609" t="str">
        <f t="shared" si="691"/>
        <v>0</v>
      </c>
      <c r="H1797" s="609" t="str">
        <f t="shared" si="691"/>
        <v>0</v>
      </c>
      <c r="I1797" s="609" t="str">
        <f t="shared" si="691"/>
        <v>0</v>
      </c>
      <c r="J1797" s="603" t="str">
        <f t="shared" si="691"/>
        <v>0</v>
      </c>
      <c r="K1797" s="1844">
        <v>-5.9093424182994729</v>
      </c>
      <c r="L1797" s="609" t="str">
        <f t="shared" si="692"/>
        <v>0</v>
      </c>
      <c r="M1797" s="609" t="str">
        <f t="shared" si="692"/>
        <v>0</v>
      </c>
      <c r="N1797" s="609" t="str">
        <f t="shared" si="692"/>
        <v>0</v>
      </c>
      <c r="O1797" s="609" t="str">
        <f t="shared" si="692"/>
        <v>0</v>
      </c>
      <c r="P1797" s="609" t="str">
        <f t="shared" si="692"/>
        <v>0</v>
      </c>
      <c r="Q1797" s="609" t="str">
        <f t="shared" si="692"/>
        <v>0</v>
      </c>
      <c r="R1797" s="603" t="str">
        <f t="shared" si="692"/>
        <v>0</v>
      </c>
    </row>
    <row r="1798" spans="2:18">
      <c r="B1798" s="595" t="s">
        <v>1061</v>
      </c>
      <c r="C1798" s="1844">
        <v>0</v>
      </c>
      <c r="D1798" s="609" t="str">
        <f>IF(ISNUMBER((D1750/C1750-1)*100-L39),(D1750/C1750-1)*100-L39,"0")</f>
        <v>0</v>
      </c>
      <c r="E1798" s="609" t="str">
        <f t="shared" ref="E1798:J1798" si="693">IF(ISNUMBER((E1750/D1750-1)*100-M39),(E1750/D1750-1)*100-M39,"0")</f>
        <v>0</v>
      </c>
      <c r="F1798" s="609">
        <f t="shared" si="693"/>
        <v>11.664304366061199</v>
      </c>
      <c r="G1798" s="609">
        <f t="shared" si="693"/>
        <v>-9.0642247495506076</v>
      </c>
      <c r="H1798" s="609">
        <f t="shared" si="693"/>
        <v>-1.9885228513269311</v>
      </c>
      <c r="I1798" s="609">
        <f t="shared" si="693"/>
        <v>-30.033677559166151</v>
      </c>
      <c r="J1798" s="603">
        <f t="shared" si="693"/>
        <v>30.327193679558949</v>
      </c>
      <c r="K1798" s="1844">
        <v>0</v>
      </c>
      <c r="L1798" s="609" t="str">
        <f>IF(ISNUMBER((L1750/K1750-1)*100-L39),(L1750/K1750-1)*100-L39,"0")</f>
        <v>0</v>
      </c>
      <c r="M1798" s="609" t="str">
        <f t="shared" ref="M1798:R1798" si="694">IF(ISNUMBER((M1750/L1750-1)*100-M39),(M1750/L1750-1)*100-M39,"0")</f>
        <v>0</v>
      </c>
      <c r="N1798" s="609">
        <f t="shared" si="694"/>
        <v>11.873205931491386</v>
      </c>
      <c r="O1798" s="609">
        <f t="shared" si="694"/>
        <v>10.493305949754163</v>
      </c>
      <c r="P1798" s="609">
        <f t="shared" si="694"/>
        <v>1.7879011318331732</v>
      </c>
      <c r="Q1798" s="609">
        <f t="shared" si="694"/>
        <v>0.92411692638097875</v>
      </c>
      <c r="R1798" s="603">
        <f t="shared" si="694"/>
        <v>3.4166020119919089</v>
      </c>
    </row>
    <row r="1799" spans="2:18">
      <c r="B1799" s="595" t="s">
        <v>1047</v>
      </c>
      <c r="C1799" s="1844">
        <v>0</v>
      </c>
      <c r="D1799" s="609" t="str">
        <f t="shared" ref="D1799:D1807" si="695">IF(ISNUMBER((D1751/C1751-1)*100-L40),(D1751/C1751-1)*100-L40,"0")</f>
        <v>0</v>
      </c>
      <c r="E1799" s="609" t="str">
        <f t="shared" ref="E1799:E1807" si="696">IF(ISNUMBER((E1751/D1751-1)*100-M40),(E1751/D1751-1)*100-M40,"0")</f>
        <v>0</v>
      </c>
      <c r="F1799" s="609" t="str">
        <f t="shared" ref="F1799:F1807" si="697">IF(ISNUMBER((F1751/E1751-1)*100-N40),(F1751/E1751-1)*100-N40,"0")</f>
        <v>0</v>
      </c>
      <c r="G1799" s="609" t="str">
        <f t="shared" ref="G1799:G1807" si="698">IF(ISNUMBER((G1751/F1751-1)*100-O40),(G1751/F1751-1)*100-O40,"0")</f>
        <v>0</v>
      </c>
      <c r="H1799" s="609" t="str">
        <f t="shared" ref="H1799:H1807" si="699">IF(ISNUMBER((H1751/G1751-1)*100-P40),(H1751/G1751-1)*100-P40,"0")</f>
        <v>0</v>
      </c>
      <c r="I1799" s="609" t="str">
        <f t="shared" ref="I1799:I1807" si="700">IF(ISNUMBER((I1751/H1751-1)*100-Q40),(I1751/H1751-1)*100-Q40,"0")</f>
        <v>0</v>
      </c>
      <c r="J1799" s="603" t="str">
        <f t="shared" ref="J1799:J1807" si="701">IF(ISNUMBER((J1751/I1751-1)*100-R40),(J1751/I1751-1)*100-R40,"0")</f>
        <v>0</v>
      </c>
      <c r="K1799" s="1844">
        <v>0</v>
      </c>
      <c r="L1799" s="609" t="str">
        <f t="shared" ref="L1799:R1800" si="702">IF(ISNUMBER((L1751/K1751-1)*100-L40),(L1751/K1751-1)*100-L40,"0")</f>
        <v>0</v>
      </c>
      <c r="M1799" s="609">
        <f t="shared" si="702"/>
        <v>-11.402650103092999</v>
      </c>
      <c r="N1799" s="609">
        <f t="shared" si="702"/>
        <v>6.0313252776105548</v>
      </c>
      <c r="O1799" s="609">
        <f t="shared" si="702"/>
        <v>3.8972649411375797</v>
      </c>
      <c r="P1799" s="609">
        <f t="shared" si="702"/>
        <v>6.0569484405274547</v>
      </c>
      <c r="Q1799" s="609">
        <f t="shared" si="702"/>
        <v>-14.414492280051993</v>
      </c>
      <c r="R1799" s="603">
        <f t="shared" si="702"/>
        <v>16.13159781031602</v>
      </c>
    </row>
    <row r="1800" spans="2:18">
      <c r="B1800" s="595" t="s">
        <v>1048</v>
      </c>
      <c r="C1800" s="1844" t="str">
        <f>IF(ISNUMBER((C1752/B1752-1)*100-K41),(C1752/B1752-1)*100-K41,"0")</f>
        <v>0</v>
      </c>
      <c r="D1800" s="609" t="str">
        <f t="shared" si="695"/>
        <v>0</v>
      </c>
      <c r="E1800" s="609" t="str">
        <f t="shared" si="696"/>
        <v>0</v>
      </c>
      <c r="F1800" s="609" t="str">
        <f t="shared" si="697"/>
        <v>0</v>
      </c>
      <c r="G1800" s="609" t="str">
        <f t="shared" si="698"/>
        <v>0</v>
      </c>
      <c r="H1800" s="609" t="str">
        <f t="shared" si="699"/>
        <v>0</v>
      </c>
      <c r="I1800" s="609" t="str">
        <f t="shared" si="700"/>
        <v>0</v>
      </c>
      <c r="J1800" s="603" t="str">
        <f t="shared" si="701"/>
        <v>0</v>
      </c>
      <c r="K1800" s="1844" t="str">
        <f>IF(ISNUMBER((K1752/J1752-1)*100-K41),(K1752/J1752-1)*100-K41,"0")</f>
        <v>0</v>
      </c>
      <c r="L1800" s="609" t="str">
        <f t="shared" si="702"/>
        <v>0</v>
      </c>
      <c r="M1800" s="609" t="str">
        <f t="shared" si="702"/>
        <v>0</v>
      </c>
      <c r="N1800" s="609" t="str">
        <f t="shared" si="702"/>
        <v>0</v>
      </c>
      <c r="O1800" s="609" t="str">
        <f t="shared" si="702"/>
        <v>0</v>
      </c>
      <c r="P1800" s="609" t="str">
        <f t="shared" si="702"/>
        <v>0</v>
      </c>
      <c r="Q1800" s="609" t="str">
        <f t="shared" si="702"/>
        <v>0</v>
      </c>
      <c r="R1800" s="603" t="str">
        <f t="shared" si="702"/>
        <v>0</v>
      </c>
    </row>
    <row r="1801" spans="2:18">
      <c r="B1801" s="595" t="s">
        <v>1049</v>
      </c>
      <c r="C1801" s="1844">
        <v>5.6593112729108004</v>
      </c>
      <c r="D1801" s="609">
        <f t="shared" si="695"/>
        <v>7.5924355971896755</v>
      </c>
      <c r="E1801" s="609">
        <f t="shared" si="696"/>
        <v>-5.7212270428533403</v>
      </c>
      <c r="F1801" s="609">
        <f t="shared" si="697"/>
        <v>-3.3426903624462083</v>
      </c>
      <c r="G1801" s="609">
        <f t="shared" si="698"/>
        <v>31.019017390376611</v>
      </c>
      <c r="H1801" s="609">
        <f t="shared" si="699"/>
        <v>-7.0803307499267749</v>
      </c>
      <c r="I1801" s="609">
        <f t="shared" si="700"/>
        <v>-46.328747388344027</v>
      </c>
      <c r="J1801" s="603">
        <f t="shared" si="701"/>
        <v>31.838987367299019</v>
      </c>
      <c r="K1801" s="1844">
        <v>8.826493008506116</v>
      </c>
      <c r="L1801" s="609">
        <f t="shared" ref="L1801:R1807" si="703">IF(ISNUMBER((L1753/K1753-1)*100-L42),(L1753/K1753-1)*100-L42,"0")</f>
        <v>9.6230584373872468</v>
      </c>
      <c r="M1801" s="609">
        <f t="shared" si="703"/>
        <v>4.2740215587754742</v>
      </c>
      <c r="N1801" s="609">
        <f t="shared" si="703"/>
        <v>5.0831273378874293</v>
      </c>
      <c r="O1801" s="609">
        <f t="shared" si="703"/>
        <v>1.5999222284084436</v>
      </c>
      <c r="P1801" s="609">
        <f t="shared" si="703"/>
        <v>3.6623938626545591</v>
      </c>
      <c r="Q1801" s="609">
        <f t="shared" si="703"/>
        <v>4.751394236128494</v>
      </c>
      <c r="R1801" s="603">
        <f t="shared" si="703"/>
        <v>0.31692144798467226</v>
      </c>
    </row>
    <row r="1802" spans="2:18">
      <c r="B1802" s="595" t="s">
        <v>1050</v>
      </c>
      <c r="C1802" s="1844" t="str">
        <f>IF(ISNUMBER((C1754/B1754-1)*100-K43),(C1754/B1754-1)*100-K43,"0")</f>
        <v>0</v>
      </c>
      <c r="D1802" s="609" t="str">
        <f t="shared" si="695"/>
        <v>0</v>
      </c>
      <c r="E1802" s="609" t="str">
        <f t="shared" si="696"/>
        <v>0</v>
      </c>
      <c r="F1802" s="609" t="str">
        <f t="shared" si="697"/>
        <v>0</v>
      </c>
      <c r="G1802" s="609" t="str">
        <f t="shared" si="698"/>
        <v>0</v>
      </c>
      <c r="H1802" s="609" t="str">
        <f t="shared" si="699"/>
        <v>0</v>
      </c>
      <c r="I1802" s="609" t="str">
        <f t="shared" si="700"/>
        <v>0</v>
      </c>
      <c r="J1802" s="603" t="str">
        <f t="shared" si="701"/>
        <v>0</v>
      </c>
      <c r="K1802" s="1844">
        <v>0</v>
      </c>
      <c r="L1802" s="609" t="str">
        <f t="shared" si="703"/>
        <v>0</v>
      </c>
      <c r="M1802" s="609" t="str">
        <f t="shared" si="703"/>
        <v>0</v>
      </c>
      <c r="N1802" s="609" t="str">
        <f t="shared" si="703"/>
        <v>0</v>
      </c>
      <c r="O1802" s="609" t="str">
        <f t="shared" si="703"/>
        <v>0</v>
      </c>
      <c r="P1802" s="609" t="str">
        <f t="shared" si="703"/>
        <v>0</v>
      </c>
      <c r="Q1802" s="609" t="str">
        <f t="shared" si="703"/>
        <v>0</v>
      </c>
      <c r="R1802" s="603" t="str">
        <f t="shared" si="703"/>
        <v>0</v>
      </c>
    </row>
    <row r="1803" spans="2:18">
      <c r="B1803" s="595" t="s">
        <v>1051</v>
      </c>
      <c r="C1803" s="1844">
        <v>0</v>
      </c>
      <c r="D1803" s="609" t="str">
        <f t="shared" si="695"/>
        <v>0</v>
      </c>
      <c r="E1803" s="609" t="str">
        <f t="shared" si="696"/>
        <v>0</v>
      </c>
      <c r="F1803" s="609" t="str">
        <f t="shared" si="697"/>
        <v>0</v>
      </c>
      <c r="G1803" s="609" t="str">
        <f t="shared" si="698"/>
        <v>0</v>
      </c>
      <c r="H1803" s="609" t="str">
        <f t="shared" si="699"/>
        <v>0</v>
      </c>
      <c r="I1803" s="609" t="str">
        <f t="shared" si="700"/>
        <v>0</v>
      </c>
      <c r="J1803" s="603" t="str">
        <f t="shared" si="701"/>
        <v>0</v>
      </c>
      <c r="K1803" s="1844">
        <v>-5.4453742759481303</v>
      </c>
      <c r="L1803" s="609">
        <f t="shared" si="703"/>
        <v>5.9130022452825193</v>
      </c>
      <c r="M1803" s="609">
        <f t="shared" si="703"/>
        <v>9.335954489294199</v>
      </c>
      <c r="N1803" s="609">
        <f t="shared" si="703"/>
        <v>12.1466071146539</v>
      </c>
      <c r="O1803" s="609">
        <f t="shared" si="703"/>
        <v>16.490489927134714</v>
      </c>
      <c r="P1803" s="609">
        <f t="shared" si="703"/>
        <v>-8.5752670213537332</v>
      </c>
      <c r="Q1803" s="609">
        <f t="shared" si="703"/>
        <v>-16.798473092160989</v>
      </c>
      <c r="R1803" s="603">
        <f t="shared" si="703"/>
        <v>-12.855665689740327</v>
      </c>
    </row>
    <row r="1804" spans="2:18">
      <c r="B1804" s="595" t="s">
        <v>1052</v>
      </c>
      <c r="C1804" s="1844">
        <v>0</v>
      </c>
      <c r="D1804" s="609" t="str">
        <f t="shared" si="695"/>
        <v>0</v>
      </c>
      <c r="E1804" s="609" t="str">
        <f t="shared" si="696"/>
        <v>0</v>
      </c>
      <c r="F1804" s="609" t="str">
        <f t="shared" si="697"/>
        <v>0</v>
      </c>
      <c r="G1804" s="609" t="str">
        <f t="shared" si="698"/>
        <v>0</v>
      </c>
      <c r="H1804" s="609" t="str">
        <f t="shared" si="699"/>
        <v>0</v>
      </c>
      <c r="I1804" s="609" t="str">
        <f t="shared" si="700"/>
        <v>0</v>
      </c>
      <c r="J1804" s="603" t="str">
        <f t="shared" si="701"/>
        <v>0</v>
      </c>
      <c r="K1804" s="1844">
        <v>0</v>
      </c>
      <c r="L1804" s="609" t="str">
        <f t="shared" si="703"/>
        <v>0</v>
      </c>
      <c r="M1804" s="609" t="str">
        <f t="shared" si="703"/>
        <v>0</v>
      </c>
      <c r="N1804" s="609" t="str">
        <f t="shared" si="703"/>
        <v>0</v>
      </c>
      <c r="O1804" s="609" t="str">
        <f t="shared" si="703"/>
        <v>0</v>
      </c>
      <c r="P1804" s="609" t="str">
        <f t="shared" si="703"/>
        <v>0</v>
      </c>
      <c r="Q1804" s="609" t="str">
        <f t="shared" si="703"/>
        <v>0</v>
      </c>
      <c r="R1804" s="603" t="str">
        <f t="shared" si="703"/>
        <v>0</v>
      </c>
    </row>
    <row r="1805" spans="2:18">
      <c r="B1805" s="595" t="s">
        <v>1053</v>
      </c>
      <c r="C1805" s="1844">
        <v>15.51244663507148</v>
      </c>
      <c r="D1805" s="609" t="str">
        <f t="shared" si="695"/>
        <v>0</v>
      </c>
      <c r="E1805" s="609">
        <f t="shared" si="696"/>
        <v>-4.6986161116099545</v>
      </c>
      <c r="F1805" s="609">
        <f t="shared" si="697"/>
        <v>16.397353252593689</v>
      </c>
      <c r="G1805" s="609">
        <f t="shared" si="698"/>
        <v>-5.7438707560080404</v>
      </c>
      <c r="H1805" s="609">
        <f t="shared" si="699"/>
        <v>-0.57184682173232826</v>
      </c>
      <c r="I1805" s="609">
        <f t="shared" si="700"/>
        <v>-12.236110793942107</v>
      </c>
      <c r="J1805" s="603">
        <f t="shared" si="701"/>
        <v>18.51793860728155</v>
      </c>
      <c r="K1805" s="1844">
        <v>10.282335632236286</v>
      </c>
      <c r="L1805" s="609" t="str">
        <f t="shared" si="703"/>
        <v>0</v>
      </c>
      <c r="M1805" s="609">
        <f t="shared" si="703"/>
        <v>0.60816266789549545</v>
      </c>
      <c r="N1805" s="609">
        <f t="shared" si="703"/>
        <v>3.3179343025426409</v>
      </c>
      <c r="O1805" s="609">
        <f t="shared" si="703"/>
        <v>-3.3263545507848824</v>
      </c>
      <c r="P1805" s="609">
        <f t="shared" si="703"/>
        <v>-5.4067642953157948</v>
      </c>
      <c r="Q1805" s="609">
        <f t="shared" si="703"/>
        <v>-9.5021474814450073</v>
      </c>
      <c r="R1805" s="603">
        <f t="shared" si="703"/>
        <v>0.59547882711814903</v>
      </c>
    </row>
    <row r="1806" spans="2:18">
      <c r="B1806" s="595" t="s">
        <v>1054</v>
      </c>
      <c r="C1806" s="1844">
        <v>0</v>
      </c>
      <c r="D1806" s="609" t="str">
        <f t="shared" si="695"/>
        <v>0</v>
      </c>
      <c r="E1806" s="609" t="str">
        <f t="shared" si="696"/>
        <v>0</v>
      </c>
      <c r="F1806" s="609" t="str">
        <f t="shared" si="697"/>
        <v>0</v>
      </c>
      <c r="G1806" s="609" t="str">
        <f t="shared" si="698"/>
        <v>0</v>
      </c>
      <c r="H1806" s="609" t="str">
        <f t="shared" si="699"/>
        <v>0</v>
      </c>
      <c r="I1806" s="609" t="str">
        <f t="shared" si="700"/>
        <v>0</v>
      </c>
      <c r="J1806" s="603" t="str">
        <f t="shared" si="701"/>
        <v>0</v>
      </c>
      <c r="K1806" s="1844">
        <v>0</v>
      </c>
      <c r="L1806" s="609" t="str">
        <f t="shared" si="703"/>
        <v>0</v>
      </c>
      <c r="M1806" s="609" t="str">
        <f t="shared" si="703"/>
        <v>0</v>
      </c>
      <c r="N1806" s="609" t="str">
        <f t="shared" si="703"/>
        <v>0</v>
      </c>
      <c r="O1806" s="609" t="str">
        <f t="shared" si="703"/>
        <v>0</v>
      </c>
      <c r="P1806" s="609" t="str">
        <f t="shared" si="703"/>
        <v>0</v>
      </c>
      <c r="Q1806" s="609" t="str">
        <f t="shared" si="703"/>
        <v>0</v>
      </c>
      <c r="R1806" s="603" t="str">
        <f t="shared" si="703"/>
        <v>0</v>
      </c>
    </row>
    <row r="1807" spans="2:18">
      <c r="B1807" s="604" t="s">
        <v>1055</v>
      </c>
      <c r="C1807" s="610" t="str">
        <f>IF(ISNUMBER((C1759/B1759-1)*100-K48),(C1759/B1759-1)*100-K48,"0")</f>
        <v>0</v>
      </c>
      <c r="D1807" s="617" t="str">
        <f t="shared" si="695"/>
        <v>0</v>
      </c>
      <c r="E1807" s="617" t="str">
        <f t="shared" si="696"/>
        <v>0</v>
      </c>
      <c r="F1807" s="617" t="str">
        <f t="shared" si="697"/>
        <v>0</v>
      </c>
      <c r="G1807" s="617" t="str">
        <f t="shared" si="698"/>
        <v>0</v>
      </c>
      <c r="H1807" s="617" t="str">
        <f t="shared" si="699"/>
        <v>0</v>
      </c>
      <c r="I1807" s="617" t="str">
        <f t="shared" si="700"/>
        <v>0</v>
      </c>
      <c r="J1807" s="618" t="str">
        <f t="shared" si="701"/>
        <v>0</v>
      </c>
      <c r="K1807" s="610">
        <v>0.60702485132619444</v>
      </c>
      <c r="L1807" s="617">
        <f t="shared" si="703"/>
        <v>1.090627100339332</v>
      </c>
      <c r="M1807" s="617">
        <f t="shared" si="703"/>
        <v>-5.2347085251648373</v>
      </c>
      <c r="N1807" s="617">
        <f t="shared" si="703"/>
        <v>-3.5032362865779576</v>
      </c>
      <c r="O1807" s="617">
        <f t="shared" si="703"/>
        <v>-2.3654315314827685</v>
      </c>
      <c r="P1807" s="617">
        <f t="shared" si="703"/>
        <v>5.9287029277917167</v>
      </c>
      <c r="Q1807" s="617">
        <f t="shared" si="703"/>
        <v>-3.9729670782452842</v>
      </c>
      <c r="R1807" s="618">
        <f t="shared" si="703"/>
        <v>7.9815765995482169</v>
      </c>
    </row>
    <row r="1808" spans="2:18">
      <c r="B1808" s="57"/>
      <c r="C1808" s="582"/>
      <c r="D1808" s="582"/>
      <c r="E1808" s="582"/>
      <c r="F1808" s="582"/>
      <c r="G1808" s="582"/>
      <c r="H1808" s="582"/>
      <c r="I1808" s="582"/>
      <c r="J1808" s="582"/>
      <c r="K1808" s="582"/>
      <c r="L1808" s="582"/>
      <c r="M1808" s="582"/>
      <c r="N1808" s="582"/>
      <c r="O1808" s="582"/>
      <c r="P1808" s="582"/>
      <c r="Q1808" s="582"/>
    </row>
    <row r="1809" spans="2:18">
      <c r="B1809" s="2157" t="s">
        <v>1202</v>
      </c>
      <c r="C1809" s="2157"/>
      <c r="D1809" s="2157"/>
      <c r="E1809" s="2157"/>
      <c r="F1809" s="2157"/>
      <c r="G1809" s="2157"/>
      <c r="H1809" s="2157"/>
      <c r="I1809" s="2157"/>
      <c r="J1809" s="2157"/>
      <c r="K1809" s="2157"/>
      <c r="L1809" s="2157"/>
      <c r="M1809" s="2157"/>
      <c r="N1809" s="2157"/>
      <c r="O1809" s="2157"/>
      <c r="P1809" s="2157"/>
      <c r="Q1809" s="2157"/>
      <c r="R1809" s="2157"/>
    </row>
    <row r="1810" spans="2:18">
      <c r="B1810" s="619"/>
      <c r="C1810" s="644"/>
      <c r="D1810" s="644"/>
      <c r="E1810" s="644"/>
      <c r="F1810" s="644"/>
      <c r="G1810" s="644"/>
      <c r="H1810" s="644"/>
      <c r="I1810" s="644"/>
      <c r="J1810" s="644"/>
      <c r="K1810" s="644"/>
      <c r="L1810" s="644"/>
      <c r="M1810" s="644"/>
      <c r="N1810" s="644"/>
      <c r="O1810" s="644"/>
      <c r="P1810" s="644"/>
      <c r="Q1810" s="644"/>
    </row>
    <row r="1811" spans="2:18">
      <c r="B1811" s="619"/>
      <c r="C1811" s="2167" t="s">
        <v>1189</v>
      </c>
      <c r="D1811" s="2168"/>
      <c r="E1811" s="2168"/>
      <c r="F1811" s="2168"/>
      <c r="G1811" s="2168"/>
      <c r="H1811" s="2168"/>
      <c r="I1811" s="2168"/>
      <c r="J1811" s="2169"/>
      <c r="K1811" s="2170" t="s">
        <v>1190</v>
      </c>
      <c r="L1811" s="2171"/>
      <c r="M1811" s="2171"/>
      <c r="N1811" s="2171"/>
      <c r="O1811" s="2171"/>
      <c r="P1811" s="2171"/>
      <c r="Q1811" s="2171"/>
      <c r="R1811" s="2172"/>
    </row>
    <row r="1812" spans="2:18">
      <c r="B1812" s="583"/>
      <c r="C1812" s="2161" t="s">
        <v>1191</v>
      </c>
      <c r="D1812" s="2162"/>
      <c r="E1812" s="2162"/>
      <c r="F1812" s="2162"/>
      <c r="G1812" s="2162"/>
      <c r="H1812" s="2162"/>
      <c r="I1812" s="2162"/>
      <c r="J1812" s="2162"/>
      <c r="K1812" s="2162"/>
      <c r="L1812" s="2162"/>
      <c r="M1812" s="2162"/>
      <c r="N1812" s="2162"/>
      <c r="O1812" s="2162"/>
      <c r="P1812" s="2162"/>
      <c r="Q1812" s="2162"/>
      <c r="R1812" s="2163"/>
    </row>
    <row r="1813" spans="2:18">
      <c r="B1813" s="57"/>
      <c r="C1813" s="635">
        <v>2014</v>
      </c>
      <c r="D1813" s="636">
        <v>2015</v>
      </c>
      <c r="E1813" s="636">
        <v>2016</v>
      </c>
      <c r="F1813" s="636">
        <v>2017</v>
      </c>
      <c r="G1813" s="636">
        <v>2018</v>
      </c>
      <c r="H1813" s="636">
        <v>2019</v>
      </c>
      <c r="I1813" s="636">
        <v>2020</v>
      </c>
      <c r="J1813" s="636">
        <v>2021</v>
      </c>
      <c r="K1813" s="585">
        <v>2014</v>
      </c>
      <c r="L1813" s="586">
        <v>2015</v>
      </c>
      <c r="M1813" s="586">
        <v>2016</v>
      </c>
      <c r="N1813" s="586">
        <v>2017</v>
      </c>
      <c r="O1813" s="586">
        <v>2018</v>
      </c>
      <c r="P1813" s="586">
        <v>2019</v>
      </c>
      <c r="Q1813" s="586">
        <v>2020</v>
      </c>
      <c r="R1813" s="1651">
        <v>2021</v>
      </c>
    </row>
    <row r="1814" spans="2:18">
      <c r="B1814" s="589" t="s">
        <v>1038</v>
      </c>
      <c r="C1814" s="614">
        <v>-101.37478350583287</v>
      </c>
      <c r="D1814" s="615">
        <f t="shared" ref="D1814:J1820" si="704">IF(ISNUMBER((D1766/C1766-1)*100-L30),(D1766/C1766-1)*100-L30,"0")</f>
        <v>-41.206016665452097</v>
      </c>
      <c r="E1814" s="615">
        <f t="shared" si="704"/>
        <v>1251.6383881941761</v>
      </c>
      <c r="F1814" s="615">
        <f t="shared" si="704"/>
        <v>79.958887893592959</v>
      </c>
      <c r="G1814" s="615">
        <f t="shared" si="704"/>
        <v>-56.128026416819345</v>
      </c>
      <c r="H1814" s="615">
        <f t="shared" si="704"/>
        <v>-103.06482625573693</v>
      </c>
      <c r="I1814" s="615">
        <f t="shared" si="704"/>
        <v>-97.075559769367402</v>
      </c>
      <c r="J1814" s="616">
        <f t="shared" si="704"/>
        <v>-149.19999999999999</v>
      </c>
      <c r="K1814" s="1656">
        <v>0</v>
      </c>
      <c r="L1814" s="1657">
        <f t="shared" ref="L1814:R1820" si="705">IFERROR((L1766/K1766-1)*100-L30,0)</f>
        <v>0</v>
      </c>
      <c r="M1814" s="1657">
        <f t="shared" si="705"/>
        <v>0</v>
      </c>
      <c r="N1814" s="1657">
        <f t="shared" si="705"/>
        <v>0</v>
      </c>
      <c r="O1814" s="1657">
        <f t="shared" si="705"/>
        <v>0</v>
      </c>
      <c r="P1814" s="1657">
        <f t="shared" si="705"/>
        <v>0</v>
      </c>
      <c r="Q1814" s="1657">
        <f t="shared" si="705"/>
        <v>0</v>
      </c>
      <c r="R1814" s="1658">
        <f t="shared" si="705"/>
        <v>0</v>
      </c>
    </row>
    <row r="1815" spans="2:18">
      <c r="B1815" s="595" t="s">
        <v>1039</v>
      </c>
      <c r="C1815" s="608">
        <v>0</v>
      </c>
      <c r="D1815" s="609" t="str">
        <f t="shared" si="704"/>
        <v>0</v>
      </c>
      <c r="E1815" s="609" t="str">
        <f t="shared" si="704"/>
        <v>0</v>
      </c>
      <c r="F1815" s="609" t="str">
        <f t="shared" si="704"/>
        <v>0</v>
      </c>
      <c r="G1815" s="609" t="str">
        <f t="shared" si="704"/>
        <v>0</v>
      </c>
      <c r="H1815" s="609" t="str">
        <f t="shared" si="704"/>
        <v>0</v>
      </c>
      <c r="I1815" s="609" t="str">
        <f t="shared" si="704"/>
        <v>0</v>
      </c>
      <c r="J1815" s="603" t="str">
        <f t="shared" si="704"/>
        <v>0</v>
      </c>
      <c r="K1815" s="1868">
        <v>0</v>
      </c>
      <c r="L1815" s="1869">
        <f t="shared" si="705"/>
        <v>0</v>
      </c>
      <c r="M1815" s="1869">
        <f t="shared" si="705"/>
        <v>0</v>
      </c>
      <c r="N1815" s="1869">
        <f t="shared" si="705"/>
        <v>0</v>
      </c>
      <c r="O1815" s="1869">
        <f t="shared" si="705"/>
        <v>0</v>
      </c>
      <c r="P1815" s="1869">
        <f t="shared" si="705"/>
        <v>0</v>
      </c>
      <c r="Q1815" s="1869">
        <f t="shared" si="705"/>
        <v>0</v>
      </c>
      <c r="R1815" s="1659">
        <f t="shared" si="705"/>
        <v>0</v>
      </c>
    </row>
    <row r="1816" spans="2:18">
      <c r="B1816" s="595" t="s">
        <v>1040</v>
      </c>
      <c r="C1816" s="608">
        <v>0</v>
      </c>
      <c r="D1816" s="609" t="str">
        <f t="shared" si="704"/>
        <v>0</v>
      </c>
      <c r="E1816" s="609" t="str">
        <f t="shared" si="704"/>
        <v>0</v>
      </c>
      <c r="F1816" s="609" t="str">
        <f t="shared" si="704"/>
        <v>0</v>
      </c>
      <c r="G1816" s="609" t="str">
        <f t="shared" si="704"/>
        <v>0</v>
      </c>
      <c r="H1816" s="609" t="str">
        <f t="shared" si="704"/>
        <v>0</v>
      </c>
      <c r="I1816" s="609" t="str">
        <f t="shared" si="704"/>
        <v>0</v>
      </c>
      <c r="J1816" s="603" t="str">
        <f t="shared" si="704"/>
        <v>0</v>
      </c>
      <c r="K1816" s="1868">
        <v>0</v>
      </c>
      <c r="L1816" s="1869">
        <f t="shared" si="705"/>
        <v>0</v>
      </c>
      <c r="M1816" s="1869">
        <f t="shared" si="705"/>
        <v>0</v>
      </c>
      <c r="N1816" s="1869">
        <f t="shared" si="705"/>
        <v>0</v>
      </c>
      <c r="O1816" s="1869">
        <f t="shared" si="705"/>
        <v>0</v>
      </c>
      <c r="P1816" s="1869">
        <f t="shared" si="705"/>
        <v>0</v>
      </c>
      <c r="Q1816" s="1869">
        <f t="shared" si="705"/>
        <v>0</v>
      </c>
      <c r="R1816" s="1659">
        <f t="shared" si="705"/>
        <v>0</v>
      </c>
    </row>
    <row r="1817" spans="2:18">
      <c r="B1817" s="595" t="s">
        <v>1041</v>
      </c>
      <c r="C1817" s="608">
        <v>0</v>
      </c>
      <c r="D1817" s="609" t="str">
        <f t="shared" si="704"/>
        <v>0</v>
      </c>
      <c r="E1817" s="609" t="str">
        <f t="shared" si="704"/>
        <v>0</v>
      </c>
      <c r="F1817" s="609" t="str">
        <f t="shared" si="704"/>
        <v>0</v>
      </c>
      <c r="G1817" s="609" t="str">
        <f t="shared" si="704"/>
        <v>0</v>
      </c>
      <c r="H1817" s="609" t="str">
        <f t="shared" si="704"/>
        <v>0</v>
      </c>
      <c r="I1817" s="609" t="str">
        <f t="shared" si="704"/>
        <v>0</v>
      </c>
      <c r="J1817" s="603" t="str">
        <f t="shared" si="704"/>
        <v>0</v>
      </c>
      <c r="K1817" s="1868">
        <v>0</v>
      </c>
      <c r="L1817" s="1869">
        <f t="shared" si="705"/>
        <v>0</v>
      </c>
      <c r="M1817" s="1869">
        <f t="shared" si="705"/>
        <v>0</v>
      </c>
      <c r="N1817" s="1869">
        <f t="shared" si="705"/>
        <v>0</v>
      </c>
      <c r="O1817" s="1869">
        <f t="shared" si="705"/>
        <v>0</v>
      </c>
      <c r="P1817" s="1869">
        <f t="shared" si="705"/>
        <v>0</v>
      </c>
      <c r="Q1817" s="1869">
        <f t="shared" si="705"/>
        <v>0</v>
      </c>
      <c r="R1817" s="1659">
        <f t="shared" si="705"/>
        <v>0</v>
      </c>
    </row>
    <row r="1818" spans="2:18">
      <c r="B1818" s="595" t="s">
        <v>1042</v>
      </c>
      <c r="C1818" s="608">
        <v>0</v>
      </c>
      <c r="D1818" s="609" t="str">
        <f t="shared" si="704"/>
        <v>0</v>
      </c>
      <c r="E1818" s="609" t="str">
        <f t="shared" si="704"/>
        <v>0</v>
      </c>
      <c r="F1818" s="609" t="str">
        <f t="shared" si="704"/>
        <v>0</v>
      </c>
      <c r="G1818" s="609" t="str">
        <f t="shared" si="704"/>
        <v>0</v>
      </c>
      <c r="H1818" s="609" t="str">
        <f t="shared" si="704"/>
        <v>0</v>
      </c>
      <c r="I1818" s="609" t="str">
        <f t="shared" si="704"/>
        <v>0</v>
      </c>
      <c r="J1818" s="603" t="str">
        <f t="shared" si="704"/>
        <v>0</v>
      </c>
      <c r="K1818" s="1868">
        <v>0</v>
      </c>
      <c r="L1818" s="1869">
        <f t="shared" si="705"/>
        <v>0</v>
      </c>
      <c r="M1818" s="1869">
        <f t="shared" si="705"/>
        <v>0</v>
      </c>
      <c r="N1818" s="1869">
        <f t="shared" si="705"/>
        <v>0</v>
      </c>
      <c r="O1818" s="1869">
        <f t="shared" si="705"/>
        <v>0</v>
      </c>
      <c r="P1818" s="1869">
        <f t="shared" si="705"/>
        <v>0</v>
      </c>
      <c r="Q1818" s="1869">
        <f t="shared" si="705"/>
        <v>0</v>
      </c>
      <c r="R1818" s="1659">
        <f t="shared" si="705"/>
        <v>0</v>
      </c>
    </row>
    <row r="1819" spans="2:18">
      <c r="B1819" s="595" t="s">
        <v>1043</v>
      </c>
      <c r="C1819" s="608">
        <v>0</v>
      </c>
      <c r="D1819" s="609" t="str">
        <f t="shared" si="704"/>
        <v>0</v>
      </c>
      <c r="E1819" s="609" t="str">
        <f t="shared" si="704"/>
        <v>0</v>
      </c>
      <c r="F1819" s="609" t="str">
        <f t="shared" si="704"/>
        <v>0</v>
      </c>
      <c r="G1819" s="609" t="str">
        <f t="shared" si="704"/>
        <v>0</v>
      </c>
      <c r="H1819" s="609" t="str">
        <f t="shared" si="704"/>
        <v>0</v>
      </c>
      <c r="I1819" s="609" t="str">
        <f t="shared" si="704"/>
        <v>0</v>
      </c>
      <c r="J1819" s="603" t="str">
        <f t="shared" si="704"/>
        <v>0</v>
      </c>
      <c r="K1819" s="1868">
        <v>0</v>
      </c>
      <c r="L1819" s="1869">
        <f t="shared" si="705"/>
        <v>0</v>
      </c>
      <c r="M1819" s="1869">
        <f t="shared" si="705"/>
        <v>0</v>
      </c>
      <c r="N1819" s="1869">
        <f t="shared" si="705"/>
        <v>0</v>
      </c>
      <c r="O1819" s="1869">
        <f t="shared" si="705"/>
        <v>0</v>
      </c>
      <c r="P1819" s="1869">
        <f t="shared" si="705"/>
        <v>0</v>
      </c>
      <c r="Q1819" s="1869">
        <f t="shared" si="705"/>
        <v>0</v>
      </c>
      <c r="R1819" s="1659">
        <f t="shared" si="705"/>
        <v>0</v>
      </c>
    </row>
    <row r="1820" spans="2:18">
      <c r="B1820" s="595" t="s">
        <v>1044</v>
      </c>
      <c r="C1820" s="608">
        <v>0</v>
      </c>
      <c r="D1820" s="609" t="str">
        <f t="shared" si="704"/>
        <v>0</v>
      </c>
      <c r="E1820" s="609" t="str">
        <f t="shared" si="704"/>
        <v>0</v>
      </c>
      <c r="F1820" s="609" t="str">
        <f t="shared" si="704"/>
        <v>0</v>
      </c>
      <c r="G1820" s="609" t="str">
        <f t="shared" si="704"/>
        <v>0</v>
      </c>
      <c r="H1820" s="609" t="str">
        <f t="shared" si="704"/>
        <v>0</v>
      </c>
      <c r="I1820" s="609" t="str">
        <f t="shared" si="704"/>
        <v>0</v>
      </c>
      <c r="J1820" s="603" t="str">
        <f t="shared" si="704"/>
        <v>0</v>
      </c>
      <c r="K1820" s="1868">
        <v>0</v>
      </c>
      <c r="L1820" s="1869">
        <f t="shared" si="705"/>
        <v>0</v>
      </c>
      <c r="M1820" s="1869">
        <f t="shared" si="705"/>
        <v>0</v>
      </c>
      <c r="N1820" s="1869">
        <f t="shared" si="705"/>
        <v>0</v>
      </c>
      <c r="O1820" s="1869">
        <f t="shared" si="705"/>
        <v>0</v>
      </c>
      <c r="P1820" s="1869">
        <f t="shared" si="705"/>
        <v>0</v>
      </c>
      <c r="Q1820" s="1869">
        <f t="shared" si="705"/>
        <v>0</v>
      </c>
      <c r="R1820" s="1659">
        <f t="shared" si="705"/>
        <v>0</v>
      </c>
    </row>
    <row r="1821" spans="2:18">
      <c r="B1821" s="595" t="s">
        <v>1061</v>
      </c>
      <c r="C1821" s="608">
        <v>0</v>
      </c>
      <c r="D1821" s="609" t="str">
        <f>IF(ISNUMBER((D1773/C1773-1)*100-L39),(D1773/C1773-1)*100-L39,"0")</f>
        <v>0</v>
      </c>
      <c r="E1821" s="609" t="str">
        <f t="shared" ref="E1821:J1821" si="706">IF(ISNUMBER((E1773/D1773-1)*100-M39),(E1773/D1773-1)*100-M39,"0")</f>
        <v>0</v>
      </c>
      <c r="F1821" s="609">
        <f t="shared" si="706"/>
        <v>6.7672356846094326</v>
      </c>
      <c r="G1821" s="609">
        <f t="shared" si="706"/>
        <v>1.2078572770680811</v>
      </c>
      <c r="H1821" s="609">
        <f t="shared" si="706"/>
        <v>4.155497855178429</v>
      </c>
      <c r="I1821" s="609">
        <f t="shared" si="706"/>
        <v>-20.76790283041127</v>
      </c>
      <c r="J1821" s="609">
        <f t="shared" si="706"/>
        <v>1.3307366781076684</v>
      </c>
      <c r="K1821" s="1868">
        <v>0</v>
      </c>
      <c r="L1821" s="1869">
        <f>IFERROR((L1773/K1773-1)*100-L39,0)</f>
        <v>0</v>
      </c>
      <c r="M1821" s="1869">
        <f t="shared" ref="M1821:R1821" si="707">IFERROR((M1773/L1773-1)*100-M39,0)</f>
        <v>0</v>
      </c>
      <c r="N1821" s="1869">
        <f t="shared" si="707"/>
        <v>0</v>
      </c>
      <c r="O1821" s="1869">
        <f t="shared" si="707"/>
        <v>0</v>
      </c>
      <c r="P1821" s="1869">
        <f t="shared" si="707"/>
        <v>0</v>
      </c>
      <c r="Q1821" s="1869">
        <f t="shared" si="707"/>
        <v>0</v>
      </c>
      <c r="R1821" s="1659">
        <f t="shared" si="707"/>
        <v>0</v>
      </c>
    </row>
    <row r="1822" spans="2:18">
      <c r="B1822" s="595" t="s">
        <v>1047</v>
      </c>
      <c r="C1822" s="608">
        <v>0</v>
      </c>
      <c r="D1822" s="609" t="str">
        <f t="shared" ref="D1822:D1830" si="708">IF(ISNUMBER((D1774/C1774-1)*100-L40),(D1774/C1774-1)*100-L40,"0")</f>
        <v>0</v>
      </c>
      <c r="E1822" s="609" t="str">
        <f t="shared" ref="E1822:E1830" si="709">IF(ISNUMBER((E1774/D1774-1)*100-M40),(E1774/D1774-1)*100-M40,"0")</f>
        <v>0</v>
      </c>
      <c r="F1822" s="609" t="str">
        <f t="shared" ref="F1822:F1830" si="710">IF(ISNUMBER((F1774/E1774-1)*100-N40),(F1774/E1774-1)*100-N40,"0")</f>
        <v>0</v>
      </c>
      <c r="G1822" s="609" t="str">
        <f t="shared" ref="G1822:G1830" si="711">IF(ISNUMBER((G1774/F1774-1)*100-O40),(G1774/F1774-1)*100-O40,"0")</f>
        <v>0</v>
      </c>
      <c r="H1822" s="609" t="str">
        <f t="shared" ref="H1822:H1830" si="712">IF(ISNUMBER((H1774/G1774-1)*100-P40),(H1774/G1774-1)*100-P40,"0")</f>
        <v>0</v>
      </c>
      <c r="I1822" s="609" t="str">
        <f t="shared" ref="I1822:I1830" si="713">IF(ISNUMBER((I1774/H1774-1)*100-Q40),(I1774/H1774-1)*100-Q40,"0")</f>
        <v>0</v>
      </c>
      <c r="J1822" s="603" t="str">
        <f t="shared" ref="J1822:J1830" si="714">IF(ISNUMBER((J1774/I1774-1)*100-R40),(J1774/I1774-1)*100-R40,"0")</f>
        <v>0</v>
      </c>
      <c r="K1822" s="1868">
        <v>0</v>
      </c>
      <c r="L1822" s="1869">
        <f t="shared" ref="L1822:Q1829" si="715">IFERROR((L1774/K1774-1)*100-L40,0)</f>
        <v>0</v>
      </c>
      <c r="M1822" s="1869">
        <f t="shared" si="715"/>
        <v>0</v>
      </c>
      <c r="N1822" s="1869">
        <f t="shared" si="715"/>
        <v>0</v>
      </c>
      <c r="O1822" s="1869">
        <f t="shared" si="715"/>
        <v>0</v>
      </c>
      <c r="P1822" s="1869">
        <f t="shared" si="715"/>
        <v>0</v>
      </c>
      <c r="Q1822" s="1869">
        <f t="shared" si="715"/>
        <v>0</v>
      </c>
      <c r="R1822" s="1659">
        <f t="shared" ref="R1822:R1830" si="716">IFERROR((R1774/Q1774-1)*100-R40,0)</f>
        <v>0</v>
      </c>
    </row>
    <row r="1823" spans="2:18">
      <c r="B1823" s="595" t="s">
        <v>1048</v>
      </c>
      <c r="C1823" s="608" t="str">
        <f>IF(ISNUMBER((C1775/B1775-1)*100-K41),(C1775/B1775-1)*100-K41,"0")</f>
        <v>0</v>
      </c>
      <c r="D1823" s="609" t="str">
        <f t="shared" si="708"/>
        <v>0</v>
      </c>
      <c r="E1823" s="609" t="str">
        <f t="shared" si="709"/>
        <v>0</v>
      </c>
      <c r="F1823" s="609" t="str">
        <f t="shared" si="710"/>
        <v>0</v>
      </c>
      <c r="G1823" s="609" t="str">
        <f t="shared" si="711"/>
        <v>0</v>
      </c>
      <c r="H1823" s="609" t="str">
        <f t="shared" si="712"/>
        <v>0</v>
      </c>
      <c r="I1823" s="609" t="str">
        <f t="shared" si="713"/>
        <v>0</v>
      </c>
      <c r="J1823" s="603" t="str">
        <f t="shared" si="714"/>
        <v>0</v>
      </c>
      <c r="K1823" s="1868">
        <v>0</v>
      </c>
      <c r="L1823" s="1869">
        <f t="shared" si="715"/>
        <v>0</v>
      </c>
      <c r="M1823" s="1869">
        <f t="shared" si="715"/>
        <v>0</v>
      </c>
      <c r="N1823" s="1869">
        <f t="shared" si="715"/>
        <v>0</v>
      </c>
      <c r="O1823" s="1869">
        <f t="shared" si="715"/>
        <v>0</v>
      </c>
      <c r="P1823" s="1869">
        <f t="shared" si="715"/>
        <v>0</v>
      </c>
      <c r="Q1823" s="1869">
        <f t="shared" si="715"/>
        <v>0</v>
      </c>
      <c r="R1823" s="1659">
        <f t="shared" si="716"/>
        <v>0</v>
      </c>
    </row>
    <row r="1824" spans="2:18">
      <c r="B1824" s="595" t="s">
        <v>1049</v>
      </c>
      <c r="C1824" s="608">
        <v>-5.5967105283282415</v>
      </c>
      <c r="D1824" s="609">
        <f t="shared" si="708"/>
        <v>21.727933327926021</v>
      </c>
      <c r="E1824" s="609">
        <f t="shared" si="709"/>
        <v>41.415054729619342</v>
      </c>
      <c r="F1824" s="609">
        <f t="shared" si="710"/>
        <v>-17.544411988710181</v>
      </c>
      <c r="G1824" s="609">
        <f t="shared" si="711"/>
        <v>73.789127968439786</v>
      </c>
      <c r="H1824" s="609">
        <f t="shared" si="712"/>
        <v>1.4063829787233892</v>
      </c>
      <c r="I1824" s="609">
        <f t="shared" si="713"/>
        <v>103.75273369167209</v>
      </c>
      <c r="J1824" s="603">
        <f t="shared" si="714"/>
        <v>-43.540015489281018</v>
      </c>
      <c r="K1824" s="1868">
        <v>0</v>
      </c>
      <c r="L1824" s="1869">
        <f t="shared" si="715"/>
        <v>0</v>
      </c>
      <c r="M1824" s="1869">
        <f t="shared" si="715"/>
        <v>0</v>
      </c>
      <c r="N1824" s="1869">
        <f t="shared" si="715"/>
        <v>0</v>
      </c>
      <c r="O1824" s="1869">
        <f t="shared" si="715"/>
        <v>0</v>
      </c>
      <c r="P1824" s="1869">
        <f t="shared" si="715"/>
        <v>0</v>
      </c>
      <c r="Q1824" s="1869">
        <f t="shared" si="715"/>
        <v>0</v>
      </c>
      <c r="R1824" s="1659">
        <f t="shared" si="716"/>
        <v>0</v>
      </c>
    </row>
    <row r="1825" spans="2:18">
      <c r="B1825" s="595" t="s">
        <v>1050</v>
      </c>
      <c r="C1825" s="608">
        <v>0</v>
      </c>
      <c r="D1825" s="609" t="str">
        <f t="shared" si="708"/>
        <v>0</v>
      </c>
      <c r="E1825" s="609" t="str">
        <f t="shared" si="709"/>
        <v>0</v>
      </c>
      <c r="F1825" s="609" t="str">
        <f t="shared" si="710"/>
        <v>0</v>
      </c>
      <c r="G1825" s="609" t="str">
        <f t="shared" si="711"/>
        <v>0</v>
      </c>
      <c r="H1825" s="609" t="str">
        <f t="shared" si="712"/>
        <v>0</v>
      </c>
      <c r="I1825" s="609" t="str">
        <f t="shared" si="713"/>
        <v>0</v>
      </c>
      <c r="J1825" s="603" t="str">
        <f t="shared" si="714"/>
        <v>0</v>
      </c>
      <c r="K1825" s="1868">
        <v>0</v>
      </c>
      <c r="L1825" s="1869">
        <f t="shared" si="715"/>
        <v>0</v>
      </c>
      <c r="M1825" s="1869">
        <f t="shared" si="715"/>
        <v>0</v>
      </c>
      <c r="N1825" s="1869">
        <f t="shared" si="715"/>
        <v>0</v>
      </c>
      <c r="O1825" s="1869">
        <f t="shared" si="715"/>
        <v>0</v>
      </c>
      <c r="P1825" s="1869">
        <f t="shared" si="715"/>
        <v>0</v>
      </c>
      <c r="Q1825" s="1869">
        <f t="shared" si="715"/>
        <v>0</v>
      </c>
      <c r="R1825" s="1659">
        <f t="shared" si="716"/>
        <v>0</v>
      </c>
    </row>
    <row r="1826" spans="2:18">
      <c r="B1826" s="595" t="s">
        <v>1051</v>
      </c>
      <c r="C1826" s="608">
        <v>0</v>
      </c>
      <c r="D1826" s="609" t="str">
        <f t="shared" si="708"/>
        <v>0</v>
      </c>
      <c r="E1826" s="609" t="str">
        <f t="shared" si="709"/>
        <v>0</v>
      </c>
      <c r="F1826" s="609" t="str">
        <f t="shared" si="710"/>
        <v>0</v>
      </c>
      <c r="G1826" s="609" t="str">
        <f t="shared" si="711"/>
        <v>0</v>
      </c>
      <c r="H1826" s="609" t="str">
        <f t="shared" si="712"/>
        <v>0</v>
      </c>
      <c r="I1826" s="609" t="str">
        <f t="shared" si="713"/>
        <v>0</v>
      </c>
      <c r="J1826" s="603" t="str">
        <f t="shared" si="714"/>
        <v>0</v>
      </c>
      <c r="K1826" s="1868">
        <v>0</v>
      </c>
      <c r="L1826" s="1869">
        <f t="shared" si="715"/>
        <v>0</v>
      </c>
      <c r="M1826" s="1869">
        <f t="shared" si="715"/>
        <v>0</v>
      </c>
      <c r="N1826" s="1869">
        <f t="shared" si="715"/>
        <v>0</v>
      </c>
      <c r="O1826" s="1869">
        <f t="shared" si="715"/>
        <v>0</v>
      </c>
      <c r="P1826" s="1869">
        <f t="shared" si="715"/>
        <v>0</v>
      </c>
      <c r="Q1826" s="1869">
        <f t="shared" si="715"/>
        <v>0</v>
      </c>
      <c r="R1826" s="1659">
        <f t="shared" si="716"/>
        <v>0</v>
      </c>
    </row>
    <row r="1827" spans="2:18">
      <c r="B1827" s="595" t="s">
        <v>1052</v>
      </c>
      <c r="C1827" s="608">
        <v>0</v>
      </c>
      <c r="D1827" s="609" t="str">
        <f t="shared" si="708"/>
        <v>0</v>
      </c>
      <c r="E1827" s="609" t="str">
        <f t="shared" si="709"/>
        <v>0</v>
      </c>
      <c r="F1827" s="609" t="str">
        <f t="shared" si="710"/>
        <v>0</v>
      </c>
      <c r="G1827" s="609" t="str">
        <f t="shared" si="711"/>
        <v>0</v>
      </c>
      <c r="H1827" s="609" t="str">
        <f t="shared" si="712"/>
        <v>0</v>
      </c>
      <c r="I1827" s="609" t="str">
        <f t="shared" si="713"/>
        <v>0</v>
      </c>
      <c r="J1827" s="603" t="str">
        <f t="shared" si="714"/>
        <v>0</v>
      </c>
      <c r="K1827" s="1868">
        <v>0</v>
      </c>
      <c r="L1827" s="1869">
        <f t="shared" si="715"/>
        <v>0</v>
      </c>
      <c r="M1827" s="1869">
        <f t="shared" si="715"/>
        <v>0</v>
      </c>
      <c r="N1827" s="1869">
        <f t="shared" si="715"/>
        <v>0</v>
      </c>
      <c r="O1827" s="1869">
        <f t="shared" si="715"/>
        <v>0</v>
      </c>
      <c r="P1827" s="1869">
        <f t="shared" si="715"/>
        <v>0</v>
      </c>
      <c r="Q1827" s="1869">
        <f t="shared" si="715"/>
        <v>0</v>
      </c>
      <c r="R1827" s="1659">
        <f t="shared" si="716"/>
        <v>0</v>
      </c>
    </row>
    <row r="1828" spans="2:18">
      <c r="B1828" s="595" t="s">
        <v>1053</v>
      </c>
      <c r="C1828" s="608">
        <v>11.567328038529901</v>
      </c>
      <c r="D1828" s="609" t="str">
        <f t="shared" si="708"/>
        <v>0</v>
      </c>
      <c r="E1828" s="609">
        <f t="shared" si="709"/>
        <v>11.444498245974955</v>
      </c>
      <c r="F1828" s="609">
        <f t="shared" si="710"/>
        <v>13.827721453215563</v>
      </c>
      <c r="G1828" s="609">
        <f t="shared" si="711"/>
        <v>-2.3694109520924211</v>
      </c>
      <c r="H1828" s="609">
        <f t="shared" si="712"/>
        <v>0.98875082672713255</v>
      </c>
      <c r="I1828" s="609">
        <f t="shared" si="713"/>
        <v>-26.19855692251663</v>
      </c>
      <c r="J1828" s="603">
        <f t="shared" si="714"/>
        <v>-12.507056070320528</v>
      </c>
      <c r="K1828" s="1868">
        <v>0</v>
      </c>
      <c r="L1828" s="1869">
        <f t="shared" si="715"/>
        <v>0</v>
      </c>
      <c r="M1828" s="1869">
        <f t="shared" si="715"/>
        <v>0</v>
      </c>
      <c r="N1828" s="1869">
        <f t="shared" si="715"/>
        <v>0</v>
      </c>
      <c r="O1828" s="1869">
        <f t="shared" si="715"/>
        <v>0</v>
      </c>
      <c r="P1828" s="1869">
        <f t="shared" si="715"/>
        <v>0</v>
      </c>
      <c r="Q1828" s="1869">
        <f t="shared" si="715"/>
        <v>0</v>
      </c>
      <c r="R1828" s="1659">
        <f t="shared" si="716"/>
        <v>0</v>
      </c>
    </row>
    <row r="1829" spans="2:18">
      <c r="B1829" s="595" t="s">
        <v>1054</v>
      </c>
      <c r="C1829" s="608">
        <v>0</v>
      </c>
      <c r="D1829" s="609" t="str">
        <f t="shared" si="708"/>
        <v>0</v>
      </c>
      <c r="E1829" s="609" t="str">
        <f t="shared" si="709"/>
        <v>0</v>
      </c>
      <c r="F1829" s="609" t="str">
        <f t="shared" si="710"/>
        <v>0</v>
      </c>
      <c r="G1829" s="609" t="str">
        <f t="shared" si="711"/>
        <v>0</v>
      </c>
      <c r="H1829" s="609" t="str">
        <f t="shared" si="712"/>
        <v>0</v>
      </c>
      <c r="I1829" s="609" t="str">
        <f t="shared" si="713"/>
        <v>0</v>
      </c>
      <c r="J1829" s="603" t="str">
        <f t="shared" si="714"/>
        <v>0</v>
      </c>
      <c r="K1829" s="1868">
        <v>0</v>
      </c>
      <c r="L1829" s="1869">
        <f t="shared" si="715"/>
        <v>0</v>
      </c>
      <c r="M1829" s="1869">
        <f t="shared" si="715"/>
        <v>0</v>
      </c>
      <c r="N1829" s="1869">
        <f t="shared" si="715"/>
        <v>0</v>
      </c>
      <c r="O1829" s="1869">
        <f t="shared" si="715"/>
        <v>0</v>
      </c>
      <c r="P1829" s="1869">
        <f t="shared" si="715"/>
        <v>0</v>
      </c>
      <c r="Q1829" s="1869">
        <f t="shared" si="715"/>
        <v>0</v>
      </c>
      <c r="R1829" s="1659">
        <f t="shared" si="716"/>
        <v>0</v>
      </c>
    </row>
    <row r="1830" spans="2:18">
      <c r="B1830" s="604" t="s">
        <v>1055</v>
      </c>
      <c r="C1830" s="610" t="str">
        <f>IF(ISNUMBER((C1782/B1782-1)*100-K48),(C1782/B1782-1)*100-K48,"0")</f>
        <v>0</v>
      </c>
      <c r="D1830" s="617" t="str">
        <f t="shared" si="708"/>
        <v>0</v>
      </c>
      <c r="E1830" s="617" t="str">
        <f t="shared" si="709"/>
        <v>0</v>
      </c>
      <c r="F1830" s="617" t="str">
        <f t="shared" si="710"/>
        <v>0</v>
      </c>
      <c r="G1830" s="617" t="str">
        <f t="shared" si="711"/>
        <v>0</v>
      </c>
      <c r="H1830" s="617" t="str">
        <f t="shared" si="712"/>
        <v>0</v>
      </c>
      <c r="I1830" s="617" t="str">
        <f t="shared" si="713"/>
        <v>0</v>
      </c>
      <c r="J1830" s="618" t="str">
        <f t="shared" si="714"/>
        <v>0</v>
      </c>
      <c r="K1830" s="1660">
        <v>0</v>
      </c>
      <c r="L1830" s="1661">
        <f t="shared" ref="L1830:Q1830" si="717">IFERROR((L1782/K1782-1)*100-L48,0)</f>
        <v>0</v>
      </c>
      <c r="M1830" s="1661">
        <f t="shared" si="717"/>
        <v>0</v>
      </c>
      <c r="N1830" s="1661">
        <f t="shared" si="717"/>
        <v>0</v>
      </c>
      <c r="O1830" s="1661">
        <f t="shared" si="717"/>
        <v>0</v>
      </c>
      <c r="P1830" s="1661">
        <f t="shared" si="717"/>
        <v>0</v>
      </c>
      <c r="Q1830" s="1661">
        <f t="shared" si="717"/>
        <v>0</v>
      </c>
      <c r="R1830" s="1662">
        <f t="shared" si="716"/>
        <v>0</v>
      </c>
    </row>
    <row r="1831" spans="2:18">
      <c r="B1831" s="57"/>
      <c r="C1831" s="582"/>
      <c r="D1831" s="582"/>
      <c r="E1831" s="582"/>
      <c r="F1831" s="582"/>
      <c r="G1831" s="582"/>
      <c r="H1831" s="582"/>
      <c r="I1831" s="582"/>
      <c r="J1831" s="582"/>
      <c r="K1831" s="582"/>
      <c r="L1831" s="582"/>
      <c r="M1831" s="582"/>
      <c r="N1831" s="582"/>
      <c r="O1831" s="582"/>
      <c r="P1831" s="582"/>
      <c r="Q1831" s="582"/>
    </row>
    <row r="1832" spans="2:18">
      <c r="B1832" s="2157" t="s">
        <v>1203</v>
      </c>
      <c r="C1832" s="2157"/>
      <c r="D1832" s="2157"/>
      <c r="E1832" s="2157"/>
      <c r="F1832" s="2157"/>
      <c r="G1832" s="2157"/>
      <c r="H1832" s="2157"/>
      <c r="I1832" s="2157"/>
      <c r="J1832" s="2157"/>
      <c r="K1832" s="2157"/>
      <c r="L1832" s="2157"/>
      <c r="M1832" s="2157"/>
      <c r="N1832" s="2157"/>
      <c r="O1832" s="2157"/>
      <c r="P1832" s="2157"/>
      <c r="Q1832" s="2157"/>
      <c r="R1832" s="2157"/>
    </row>
    <row r="1833" spans="2:18">
      <c r="B1833" s="2159" t="s">
        <v>1204</v>
      </c>
      <c r="C1833" s="2159"/>
      <c r="D1833" s="2159"/>
      <c r="E1833" s="2159"/>
      <c r="F1833" s="2159"/>
      <c r="G1833" s="2159"/>
      <c r="H1833" s="2159"/>
      <c r="I1833" s="2159"/>
      <c r="J1833" s="2159"/>
      <c r="K1833" s="2159"/>
      <c r="L1833" s="2159"/>
      <c r="M1833" s="2159"/>
      <c r="N1833" s="2159"/>
      <c r="O1833" s="2159"/>
      <c r="P1833" s="2159"/>
      <c r="Q1833" s="2159"/>
      <c r="R1833" s="2159"/>
    </row>
    <row r="1834" spans="2:18">
      <c r="B1834" s="2160" t="s">
        <v>1183</v>
      </c>
      <c r="C1834" s="2160"/>
      <c r="D1834" s="2160"/>
      <c r="E1834" s="2160"/>
      <c r="F1834" s="2160"/>
      <c r="G1834" s="2160"/>
      <c r="H1834" s="2160"/>
      <c r="I1834" s="2160"/>
      <c r="J1834" s="2160"/>
      <c r="K1834" s="2160"/>
      <c r="L1834" s="2160"/>
      <c r="M1834" s="2160"/>
      <c r="N1834" s="2160"/>
      <c r="O1834" s="2160"/>
      <c r="P1834" s="2160"/>
      <c r="Q1834" s="2160"/>
      <c r="R1834" s="2160"/>
    </row>
    <row r="1835" spans="2:18">
      <c r="B1835" s="581"/>
      <c r="C1835" s="613"/>
      <c r="D1835" s="613"/>
      <c r="E1835" s="613"/>
      <c r="F1835" s="613"/>
      <c r="G1835" s="613"/>
      <c r="H1835" s="613"/>
      <c r="I1835" s="613"/>
      <c r="J1835" s="613"/>
      <c r="K1835" s="613"/>
      <c r="L1835" s="613"/>
      <c r="M1835" s="613"/>
      <c r="N1835" s="613"/>
      <c r="O1835" s="613"/>
      <c r="P1835" s="613"/>
      <c r="Q1835" s="613"/>
    </row>
    <row r="1836" spans="2:18">
      <c r="B1836" s="612"/>
      <c r="C1836" s="2211" t="s">
        <v>1205</v>
      </c>
      <c r="D1836" s="2212"/>
      <c r="E1836" s="2212"/>
      <c r="F1836" s="2212"/>
      <c r="G1836" s="2212"/>
      <c r="H1836" s="2212"/>
      <c r="I1836" s="2212"/>
      <c r="J1836" s="2212"/>
      <c r="K1836" s="2212"/>
      <c r="L1836" s="2212"/>
      <c r="M1836" s="2212"/>
      <c r="N1836" s="2212"/>
      <c r="O1836" s="2212"/>
      <c r="P1836" s="2212"/>
      <c r="Q1836" s="2212"/>
      <c r="R1836" s="2213"/>
    </row>
    <row r="1837" spans="2:18">
      <c r="B1837" s="583"/>
      <c r="C1837" s="2161" t="s">
        <v>1185</v>
      </c>
      <c r="D1837" s="2162"/>
      <c r="E1837" s="2162"/>
      <c r="F1837" s="2162"/>
      <c r="G1837" s="2162"/>
      <c r="H1837" s="2162"/>
      <c r="I1837" s="2162"/>
      <c r="J1837" s="2163"/>
      <c r="K1837" s="2161" t="s">
        <v>1186</v>
      </c>
      <c r="L1837" s="2162"/>
      <c r="M1837" s="2162"/>
      <c r="N1837" s="2162"/>
      <c r="O1837" s="2162"/>
      <c r="P1837" s="2162"/>
      <c r="Q1837" s="2162"/>
      <c r="R1837" s="2163"/>
    </row>
    <row r="1838" spans="2:18">
      <c r="B1838" s="57"/>
      <c r="C1838" s="585">
        <v>2014</v>
      </c>
      <c r="D1838" s="586">
        <v>2015</v>
      </c>
      <c r="E1838" s="586">
        <v>2016</v>
      </c>
      <c r="F1838" s="586">
        <v>2017</v>
      </c>
      <c r="G1838" s="586">
        <v>2018</v>
      </c>
      <c r="H1838" s="586">
        <v>2019</v>
      </c>
      <c r="I1838" s="586">
        <v>2020</v>
      </c>
      <c r="J1838" s="586">
        <v>2021</v>
      </c>
      <c r="K1838" s="635">
        <v>2014</v>
      </c>
      <c r="L1838" s="636">
        <v>2015</v>
      </c>
      <c r="M1838" s="636">
        <v>2016</v>
      </c>
      <c r="N1838" s="636">
        <v>2017</v>
      </c>
      <c r="O1838" s="636">
        <v>2018</v>
      </c>
      <c r="P1838" s="636">
        <v>2019</v>
      </c>
      <c r="Q1838" s="636">
        <v>2020</v>
      </c>
      <c r="R1838" s="1648">
        <v>2021</v>
      </c>
    </row>
    <row r="1839" spans="2:18">
      <c r="B1839" s="589" t="s">
        <v>1038</v>
      </c>
      <c r="C1839" s="614">
        <f>ARG!C203/1000</f>
        <v>0</v>
      </c>
      <c r="D1839" s="615">
        <f>ARG!D203/1000</f>
        <v>0</v>
      </c>
      <c r="E1839" s="615">
        <f>ARG!E203/1000</f>
        <v>0</v>
      </c>
      <c r="F1839" s="615">
        <f>ARG!F203/1000</f>
        <v>0</v>
      </c>
      <c r="G1839" s="615">
        <f>ARG!G203/1000</f>
        <v>0</v>
      </c>
      <c r="H1839" s="615">
        <f>ARG!H203/1000</f>
        <v>0</v>
      </c>
      <c r="I1839" s="615">
        <f>ARG!I203/1000</f>
        <v>0</v>
      </c>
      <c r="J1839" s="616">
        <f>ARG!J203/1000</f>
        <v>0</v>
      </c>
      <c r="K1839" s="614">
        <f>ARG!C193/1000</f>
        <v>959.28756700000008</v>
      </c>
      <c r="L1839" s="615">
        <f>ARG!D193/1000</f>
        <v>1079.28864</v>
      </c>
      <c r="M1839" s="615">
        <f>ARG!E193/1000</f>
        <v>1243.198036</v>
      </c>
      <c r="N1839" s="615">
        <f>ARG!F193/1000</f>
        <v>1364.553028</v>
      </c>
      <c r="O1839" s="615">
        <f>ARG!G193/1000</f>
        <v>1722.938343</v>
      </c>
      <c r="P1839" s="615">
        <f>ARG!H193/1000</f>
        <v>1769.016259</v>
      </c>
      <c r="Q1839" s="615">
        <f>ARG!I193/1000</f>
        <v>1785.183</v>
      </c>
      <c r="R1839" s="616">
        <f>ARG!J193/1000</f>
        <v>2279.9636989999999</v>
      </c>
    </row>
    <row r="1840" spans="2:18">
      <c r="B1840" s="595" t="s">
        <v>1039</v>
      </c>
      <c r="C1840" s="608">
        <f>BA!C192/1000</f>
        <v>0</v>
      </c>
      <c r="D1840" s="609">
        <f>BA!D192/1000</f>
        <v>0</v>
      </c>
      <c r="E1840" s="609">
        <f>BA!E192/1000</f>
        <v>0</v>
      </c>
      <c r="F1840" s="609">
        <f>BA!F192/1000</f>
        <v>0</v>
      </c>
      <c r="G1840" s="609">
        <f>BA!G192/1000</f>
        <v>0</v>
      </c>
      <c r="H1840" s="609">
        <f>BA!H192/1000</f>
        <v>0</v>
      </c>
      <c r="I1840" s="609">
        <f>BA!I192/1000</f>
        <v>0</v>
      </c>
      <c r="J1840" s="603">
        <f>BA!J192/1000</f>
        <v>0</v>
      </c>
      <c r="K1840" s="608">
        <f>BA!C182/1000</f>
        <v>0</v>
      </c>
      <c r="L1840" s="609">
        <f>BA!D182/1000</f>
        <v>0</v>
      </c>
      <c r="M1840" s="609">
        <f>BA!E182/1000</f>
        <v>0</v>
      </c>
      <c r="N1840" s="609">
        <f>BA!F182/1000</f>
        <v>0</v>
      </c>
      <c r="O1840" s="609">
        <f>BA!G182/1000</f>
        <v>0</v>
      </c>
      <c r="P1840" s="609">
        <f>BA!H182/1000</f>
        <v>0</v>
      </c>
      <c r="Q1840" s="609">
        <f>BA!I182/1000</f>
        <v>0</v>
      </c>
      <c r="R1840" s="603">
        <f>BA!J182/1000</f>
        <v>0</v>
      </c>
    </row>
    <row r="1841" spans="2:23">
      <c r="B1841" s="595" t="s">
        <v>1040</v>
      </c>
      <c r="C1841" s="608">
        <f>BO!C190/1000</f>
        <v>0</v>
      </c>
      <c r="D1841" s="609">
        <f>BO!D190/1000</f>
        <v>0</v>
      </c>
      <c r="E1841" s="609">
        <f>BO!E190/1000</f>
        <v>0</v>
      </c>
      <c r="F1841" s="609">
        <f>BO!F190/1000</f>
        <v>0</v>
      </c>
      <c r="G1841" s="609">
        <f>BO!G190/1000</f>
        <v>0</v>
      </c>
      <c r="H1841" s="609">
        <f>BO!H190/1000</f>
        <v>0</v>
      </c>
      <c r="I1841" s="609">
        <f>BO!I190/1000</f>
        <v>0</v>
      </c>
      <c r="J1841" s="603">
        <f>BO!J190/1000</f>
        <v>0</v>
      </c>
      <c r="K1841" s="608">
        <f>BO!C180/1000</f>
        <v>8.956391</v>
      </c>
      <c r="L1841" s="609">
        <f>BO!D180/1000</f>
        <v>10.425067</v>
      </c>
      <c r="M1841" s="609">
        <f>BO!E180/1000</f>
        <v>12.096582999999999</v>
      </c>
      <c r="N1841" s="609">
        <f>BO!F180/1000</f>
        <v>14.446658999999999</v>
      </c>
      <c r="O1841" s="609">
        <f>BO!G180/1000</f>
        <v>18.742228000000004</v>
      </c>
      <c r="P1841" s="609">
        <f>BO!H180/1000</f>
        <v>24.483497000000003</v>
      </c>
      <c r="Q1841" s="609">
        <f>BO!I180/1000</f>
        <v>22.198143000000002</v>
      </c>
      <c r="R1841" s="603">
        <f>BO!J180/1000</f>
        <v>38.016807</v>
      </c>
    </row>
    <row r="1842" spans="2:23">
      <c r="B1842" s="595" t="s">
        <v>1041</v>
      </c>
      <c r="C1842" s="608">
        <f>BR!C197/1000</f>
        <v>0</v>
      </c>
      <c r="D1842" s="609">
        <f>BR!D197/1000</f>
        <v>0</v>
      </c>
      <c r="E1842" s="609">
        <f>BR!E197/1000</f>
        <v>0</v>
      </c>
      <c r="F1842" s="609">
        <f>BR!F197/1000</f>
        <v>0</v>
      </c>
      <c r="G1842" s="609">
        <f>BR!G197/1000</f>
        <v>0</v>
      </c>
      <c r="H1842" s="609">
        <f>BR!H197/1000</f>
        <v>0</v>
      </c>
      <c r="I1842" s="609">
        <f>BR!I197/1000</f>
        <v>0</v>
      </c>
      <c r="J1842" s="603">
        <f>BR!J197/1000</f>
        <v>0</v>
      </c>
      <c r="K1842" s="608">
        <f>BR!C187/1000</f>
        <v>10860.730380999999</v>
      </c>
      <c r="L1842" s="609">
        <f>BR!D187/1000</f>
        <v>11727.474909</v>
      </c>
      <c r="M1842" s="609">
        <f>BR!E187/1000</f>
        <v>12725.946980000001</v>
      </c>
      <c r="N1842" s="609">
        <f>BR!F187/1000</f>
        <v>14356.569786</v>
      </c>
      <c r="O1842" s="609">
        <f>BR!G187/1000</f>
        <v>16443.305918999999</v>
      </c>
      <c r="P1842" s="609">
        <f>BR!H187/1000</f>
        <v>20841.533893</v>
      </c>
      <c r="Q1842" s="609">
        <f>BR!I187/1000</f>
        <v>22206.620866999998</v>
      </c>
      <c r="R1842" s="603">
        <f>BR!J187/1000</f>
        <v>30150.977744</v>
      </c>
    </row>
    <row r="1843" spans="2:23">
      <c r="B1843" s="595" t="s">
        <v>1042</v>
      </c>
      <c r="C1843" s="608">
        <f>CL!C195/1000</f>
        <v>0</v>
      </c>
      <c r="D1843" s="609">
        <f>CL!D195/1000</f>
        <v>0</v>
      </c>
      <c r="E1843" s="609">
        <f>CL!E195/1000</f>
        <v>0</v>
      </c>
      <c r="F1843" s="609">
        <f>CL!F195/1000</f>
        <v>0</v>
      </c>
      <c r="G1843" s="609">
        <f>CL!G195/1000</f>
        <v>0</v>
      </c>
      <c r="H1843" s="609">
        <f>CL!H195/1000</f>
        <v>0</v>
      </c>
      <c r="I1843" s="609">
        <f>CL!I195/1000</f>
        <v>0</v>
      </c>
      <c r="J1843" s="603">
        <f>CL!J195/1000</f>
        <v>0</v>
      </c>
      <c r="K1843" s="608">
        <f>CL!C185/1000</f>
        <v>0</v>
      </c>
      <c r="L1843" s="609">
        <f>CL!D185/1000</f>
        <v>0</v>
      </c>
      <c r="M1843" s="609">
        <f>CL!E185/1000</f>
        <v>0</v>
      </c>
      <c r="N1843" s="609">
        <f>CL!F185/1000</f>
        <v>0</v>
      </c>
      <c r="O1843" s="609">
        <f>CL!G185/1000</f>
        <v>0</v>
      </c>
      <c r="P1843" s="609">
        <f>CL!H185/1000</f>
        <v>0</v>
      </c>
      <c r="Q1843" s="609">
        <f>CL!I185/1000</f>
        <v>0</v>
      </c>
      <c r="R1843" s="603">
        <f>CL!J185/1000</f>
        <v>0</v>
      </c>
    </row>
    <row r="1844" spans="2:23">
      <c r="B1844" s="595" t="s">
        <v>1043</v>
      </c>
      <c r="C1844" s="608">
        <f>CO!C192/1000</f>
        <v>0</v>
      </c>
      <c r="D1844" s="609">
        <f>CO!D192/1000</f>
        <v>0</v>
      </c>
      <c r="E1844" s="609">
        <f>CO!E192/1000</f>
        <v>0</v>
      </c>
      <c r="F1844" s="609">
        <f>CO!F192/1000</f>
        <v>0</v>
      </c>
      <c r="G1844" s="609">
        <f>CO!G192/1000</f>
        <v>0</v>
      </c>
      <c r="H1844" s="609">
        <f>CO!H192/1000</f>
        <v>0</v>
      </c>
      <c r="I1844" s="609">
        <f>CO!I192/1000</f>
        <v>0</v>
      </c>
      <c r="J1844" s="603">
        <f>CO!J192/1000</f>
        <v>0</v>
      </c>
      <c r="K1844" s="608">
        <f>CO!C182/1000</f>
        <v>0</v>
      </c>
      <c r="L1844" s="609">
        <f>CO!D182/1000</f>
        <v>0</v>
      </c>
      <c r="M1844" s="609">
        <f>CO!E182/1000</f>
        <v>0</v>
      </c>
      <c r="N1844" s="609">
        <f>CO!F182/1000</f>
        <v>0</v>
      </c>
      <c r="O1844" s="609">
        <f>CO!G182/1000</f>
        <v>0</v>
      </c>
      <c r="P1844" s="609">
        <f>CO!H182/1000</f>
        <v>0</v>
      </c>
      <c r="Q1844" s="609">
        <f>CO!I182/1000</f>
        <v>0</v>
      </c>
      <c r="R1844" s="603">
        <f>CO!J182/1000</f>
        <v>0</v>
      </c>
    </row>
    <row r="1845" spans="2:23">
      <c r="B1845" s="595" t="s">
        <v>1044</v>
      </c>
      <c r="C1845" s="608">
        <f>CR!C200/1000</f>
        <v>0</v>
      </c>
      <c r="D1845" s="609">
        <f>CR!D200/1000</f>
        <v>0</v>
      </c>
      <c r="E1845" s="609">
        <f>CR!E200/1000</f>
        <v>0</v>
      </c>
      <c r="F1845" s="609">
        <f>CR!F200/1000</f>
        <v>0</v>
      </c>
      <c r="G1845" s="609">
        <f>CR!G200/1000</f>
        <v>0</v>
      </c>
      <c r="H1845" s="609">
        <f>CR!H200/1000</f>
        <v>0</v>
      </c>
      <c r="I1845" s="609">
        <f>CR!I200/1000</f>
        <v>0</v>
      </c>
      <c r="J1845" s="603">
        <f>CR!J200/1000</f>
        <v>22.878373</v>
      </c>
      <c r="K1845" s="608">
        <f>CR!C190/1000</f>
        <v>0</v>
      </c>
      <c r="L1845" s="609">
        <f>CR!D190/1000</f>
        <v>0</v>
      </c>
      <c r="M1845" s="609">
        <f>CR!E190/1000</f>
        <v>0</v>
      </c>
      <c r="N1845" s="609">
        <f>CR!F190/1000</f>
        <v>0</v>
      </c>
      <c r="O1845" s="609">
        <f>CR!G190/1000</f>
        <v>0</v>
      </c>
      <c r="P1845" s="609">
        <f>CR!H190/1000</f>
        <v>0</v>
      </c>
      <c r="Q1845" s="609">
        <f>CR!I190/1000</f>
        <v>0</v>
      </c>
      <c r="R1845" s="603">
        <f>CR!J190/1000</f>
        <v>517.01917600000002</v>
      </c>
    </row>
    <row r="1846" spans="2:23">
      <c r="B1846" s="595" t="s">
        <v>1061</v>
      </c>
      <c r="C1846" s="608">
        <f>CW!C211/1000</f>
        <v>0</v>
      </c>
      <c r="D1846" s="609">
        <v>3.9</v>
      </c>
      <c r="E1846" s="609">
        <f>CW!E211/1000</f>
        <v>4.4064669999999992</v>
      </c>
      <c r="F1846" s="609">
        <f>CW!F211/1000</f>
        <v>5.3067879999999992</v>
      </c>
      <c r="G1846" s="609">
        <f>CW!G211/1000</f>
        <v>4.4531279999999995</v>
      </c>
      <c r="H1846" s="609">
        <f>CW!H211/1000</f>
        <v>5.3155799999999997</v>
      </c>
      <c r="I1846" s="609">
        <f>CW!I211/1000</f>
        <v>3.742159</v>
      </c>
      <c r="J1846" s="603">
        <f>CW!J211/1000</f>
        <v>7.4455789999999995</v>
      </c>
      <c r="K1846" s="608">
        <f>CW!C201/1000</f>
        <v>0</v>
      </c>
      <c r="L1846" s="609">
        <f>CW!D201/1000</f>
        <v>0</v>
      </c>
      <c r="M1846" s="609">
        <f>CW!E201/1000</f>
        <v>11.298855999999999</v>
      </c>
      <c r="N1846" s="609">
        <f>CW!F201/1000</f>
        <v>13.494026</v>
      </c>
      <c r="O1846" s="609">
        <f>CW!G201/1000</f>
        <v>15.505031000000001</v>
      </c>
      <c r="P1846" s="609">
        <f>CW!H201/1000</f>
        <v>17.152494999999998</v>
      </c>
      <c r="Q1846" s="609">
        <f>CW!I201/1000</f>
        <v>17.748324</v>
      </c>
      <c r="R1846" s="603">
        <f>CW!J201/1000</f>
        <v>20.180046999999998</v>
      </c>
    </row>
    <row r="1847" spans="2:23">
      <c r="B1847" s="595" t="s">
        <v>1047</v>
      </c>
      <c r="C1847" s="608">
        <f>EC!C193/1000</f>
        <v>0</v>
      </c>
      <c r="D1847" s="609">
        <f>EC!D193/1000</f>
        <v>0</v>
      </c>
      <c r="E1847" s="609">
        <f>EC!E193/1000</f>
        <v>0</v>
      </c>
      <c r="F1847" s="609">
        <f>EC!F193/1000</f>
        <v>0</v>
      </c>
      <c r="G1847" s="609">
        <f>EC!G193/1000</f>
        <v>0</v>
      </c>
      <c r="H1847" s="609">
        <f>EC!H193/1000</f>
        <v>0</v>
      </c>
      <c r="I1847" s="609">
        <f>EC!I193/1000</f>
        <v>0</v>
      </c>
      <c r="J1847" s="603">
        <f>EC!J193/1000</f>
        <v>0</v>
      </c>
      <c r="K1847" s="608">
        <f>EC!C183/1000</f>
        <v>0</v>
      </c>
      <c r="L1847" s="609">
        <f>EC!D183/1000</f>
        <v>89.094332999999992</v>
      </c>
      <c r="M1847" s="609">
        <f>EC!E183/1000</f>
        <v>96.797069000000008</v>
      </c>
      <c r="N1847" s="609">
        <f>EC!F183/1000</f>
        <v>109.56228899999998</v>
      </c>
      <c r="O1847" s="609">
        <f>EC!G183/1000</f>
        <v>130.93873500000001</v>
      </c>
      <c r="P1847" s="609">
        <f>EC!H183/1000</f>
        <v>147.18336499999992</v>
      </c>
      <c r="Q1847" s="609">
        <f>EC!I183/1000</f>
        <v>118.04183600000005</v>
      </c>
      <c r="R1847" s="603">
        <f>EC!J183/1000</f>
        <v>158.044254</v>
      </c>
    </row>
    <row r="1848" spans="2:23">
      <c r="B1848" s="595" t="s">
        <v>1048</v>
      </c>
      <c r="C1848" s="608">
        <f>SV!C194/1000</f>
        <v>0</v>
      </c>
      <c r="D1848" s="609">
        <f>SV!D194/1000</f>
        <v>0</v>
      </c>
      <c r="E1848" s="609">
        <f>SV!E194/1000</f>
        <v>0</v>
      </c>
      <c r="F1848" s="609">
        <f>SV!F194/1000</f>
        <v>0</v>
      </c>
      <c r="G1848" s="609">
        <f>SV!G194/1000</f>
        <v>0</v>
      </c>
      <c r="H1848" s="609">
        <f>SV!H194/1000</f>
        <v>0</v>
      </c>
      <c r="I1848" s="609">
        <f>SV!I194/1000</f>
        <v>0</v>
      </c>
      <c r="J1848" s="603">
        <f>SV!J194/1000</f>
        <v>0</v>
      </c>
      <c r="K1848" s="608">
        <f>SV!C184/1000</f>
        <v>0</v>
      </c>
      <c r="L1848" s="609">
        <f>SV!D184/1000</f>
        <v>0</v>
      </c>
      <c r="M1848" s="609">
        <f>SV!E184/1000</f>
        <v>0</v>
      </c>
      <c r="N1848" s="609">
        <f>SV!F184/1000</f>
        <v>0</v>
      </c>
      <c r="O1848" s="609">
        <f>SV!G184/1000</f>
        <v>0</v>
      </c>
      <c r="P1848" s="609">
        <f>SV!H184/1000</f>
        <v>0</v>
      </c>
      <c r="Q1848" s="609">
        <f>SV!I184/1000</f>
        <v>0</v>
      </c>
      <c r="R1848" s="603">
        <f>SV!J184/1000</f>
        <v>0</v>
      </c>
    </row>
    <row r="1849" spans="2:23">
      <c r="B1849" s="595" t="s">
        <v>1049</v>
      </c>
      <c r="C1849" s="608">
        <f>GT!C201/1000</f>
        <v>0</v>
      </c>
      <c r="D1849" s="609">
        <f>GT!D201/1000</f>
        <v>0</v>
      </c>
      <c r="E1849" s="609">
        <f>GT!E201/1000</f>
        <v>0</v>
      </c>
      <c r="F1849" s="609">
        <f>GT!F201/1000</f>
        <v>0</v>
      </c>
      <c r="G1849" s="609">
        <f>GT!G201/1000</f>
        <v>0</v>
      </c>
      <c r="H1849" s="609">
        <f>GT!H201/1000</f>
        <v>0</v>
      </c>
      <c r="I1849" s="609">
        <f>GT!I201/1000</f>
        <v>0</v>
      </c>
      <c r="J1849" s="603">
        <f>GT!J201/1000</f>
        <v>0</v>
      </c>
      <c r="K1849" s="608">
        <f>GT!C191/1000</f>
        <v>0</v>
      </c>
      <c r="L1849" s="609">
        <f>GT!D191/1000</f>
        <v>0</v>
      </c>
      <c r="M1849" s="609">
        <f>GT!E191/1000</f>
        <v>0</v>
      </c>
      <c r="N1849" s="609">
        <f>GT!F191/1000</f>
        <v>0</v>
      </c>
      <c r="O1849" s="609">
        <f>GT!G191/1000</f>
        <v>0</v>
      </c>
      <c r="P1849" s="609">
        <f>GT!H191/1000</f>
        <v>0</v>
      </c>
      <c r="Q1849" s="609">
        <f>GT!I191/1000</f>
        <v>0</v>
      </c>
      <c r="R1849" s="603">
        <f>GT!J191/1000</f>
        <v>0</v>
      </c>
    </row>
    <row r="1850" spans="2:23">
      <c r="B1850" s="595" t="s">
        <v>1050</v>
      </c>
      <c r="C1850" s="608">
        <f>HN!C200/1000</f>
        <v>0</v>
      </c>
      <c r="D1850" s="609">
        <f>HN!D200/1000</f>
        <v>0</v>
      </c>
      <c r="E1850" s="609">
        <f>HN!E200/1000</f>
        <v>0</v>
      </c>
      <c r="F1850" s="609">
        <f>HN!F200/1000</f>
        <v>0</v>
      </c>
      <c r="G1850" s="609">
        <f>HN!G200/1000</f>
        <v>0</v>
      </c>
      <c r="H1850" s="609">
        <f>HN!H200/1000</f>
        <v>0</v>
      </c>
      <c r="I1850" s="609">
        <f>HN!I200/1000</f>
        <v>0</v>
      </c>
      <c r="J1850" s="603">
        <f>HN!J200/1000</f>
        <v>0</v>
      </c>
      <c r="K1850" s="608">
        <f>HN!C190/1000</f>
        <v>0</v>
      </c>
      <c r="L1850" s="609">
        <f>HN!D190/1000</f>
        <v>0</v>
      </c>
      <c r="M1850" s="609">
        <f>HN!E190/1000</f>
        <v>0</v>
      </c>
      <c r="N1850" s="609">
        <f>HN!F190/1000</f>
        <v>0</v>
      </c>
      <c r="O1850" s="609">
        <f>HN!G190/1000</f>
        <v>0</v>
      </c>
      <c r="P1850" s="609">
        <f>HN!H190/1000</f>
        <v>0</v>
      </c>
      <c r="Q1850" s="609">
        <f>HN!I190/1000</f>
        <v>0</v>
      </c>
      <c r="R1850" s="603">
        <f>HN!J190/1000</f>
        <v>0</v>
      </c>
    </row>
    <row r="1851" spans="2:23">
      <c r="B1851" s="595" t="s">
        <v>1051</v>
      </c>
      <c r="C1851" s="608">
        <f>JM!C196/1000</f>
        <v>0</v>
      </c>
      <c r="D1851" s="609">
        <f>JM!D196/1000</f>
        <v>0</v>
      </c>
      <c r="E1851" s="609">
        <f>JM!E196/1000</f>
        <v>0</v>
      </c>
      <c r="F1851" s="609">
        <f>JM!F196/1000</f>
        <v>0</v>
      </c>
      <c r="G1851" s="609">
        <f>JM!G196/1000</f>
        <v>0</v>
      </c>
      <c r="H1851" s="609">
        <f>JM!H196/1000</f>
        <v>0</v>
      </c>
      <c r="I1851" s="609">
        <f>JM!I196/1000</f>
        <v>0</v>
      </c>
      <c r="J1851" s="603">
        <f>JM!J196/1000</f>
        <v>0</v>
      </c>
      <c r="K1851" s="608">
        <f>JM!C186/1000</f>
        <v>22.078306000000001</v>
      </c>
      <c r="L1851" s="609">
        <f>JM!D186/1000</f>
        <v>26.081319000000001</v>
      </c>
      <c r="M1851" s="609">
        <f>JM!E186/1000</f>
        <v>29.368100999999999</v>
      </c>
      <c r="N1851" s="609">
        <f>JM!F186/1000</f>
        <v>32.694600000000001</v>
      </c>
      <c r="O1851" s="609">
        <f>JM!G186/1000</f>
        <v>38.258198</v>
      </c>
      <c r="P1851" s="609">
        <f>JM!H186/1000</f>
        <v>39.278694999999999</v>
      </c>
      <c r="Q1851" s="609">
        <f>JM!I186/1000</f>
        <v>36.293120000000002</v>
      </c>
      <c r="R1851" s="603">
        <f>JM!J186/1000</f>
        <v>38.080765</v>
      </c>
      <c r="V1851" s="645"/>
      <c r="W1851" s="645"/>
    </row>
    <row r="1852" spans="2:23">
      <c r="B1852" s="595" t="s">
        <v>1052</v>
      </c>
      <c r="C1852" s="608">
        <f>RD!C211/1000</f>
        <v>0</v>
      </c>
      <c r="D1852" s="609">
        <f>RD!D211/1000</f>
        <v>6.3516729999999999</v>
      </c>
      <c r="E1852" s="609">
        <f>RD!E211/1000</f>
        <v>9.530308999999999</v>
      </c>
      <c r="F1852" s="609">
        <f>RD!F211/1000</f>
        <v>10.416762</v>
      </c>
      <c r="G1852" s="609">
        <f>RD!G211/1000</f>
        <v>11.470003</v>
      </c>
      <c r="H1852" s="609">
        <f>RD!H211/1000</f>
        <v>12.861495000000001</v>
      </c>
      <c r="I1852" s="609">
        <f>RD!I211/1000</f>
        <v>7.8699810000000001</v>
      </c>
      <c r="J1852" s="603">
        <f>RD!J211/1000</f>
        <v>15.970784</v>
      </c>
      <c r="K1852" s="608">
        <f>RD!C201/1000</f>
        <v>104.65691500000001</v>
      </c>
      <c r="L1852" s="609">
        <f>RD!D201/1000</f>
        <v>126.12701598</v>
      </c>
      <c r="M1852" s="609">
        <f>RD!E201/1000</f>
        <v>142.08994730606668</v>
      </c>
      <c r="N1852" s="609">
        <f>RD!F201/1000</f>
        <v>163.83245857292124</v>
      </c>
      <c r="O1852" s="609">
        <f>RD!G201/1000</f>
        <v>171.25276512799999</v>
      </c>
      <c r="P1852" s="609">
        <f>RD!H201/1000</f>
        <v>188.92754308888885</v>
      </c>
      <c r="Q1852" s="609">
        <f>RD!I201/1000</f>
        <v>165.52597</v>
      </c>
      <c r="R1852" s="603">
        <f>RD!J201/1000</f>
        <v>219.990835</v>
      </c>
      <c r="V1852" s="646"/>
      <c r="W1852" s="646"/>
    </row>
    <row r="1853" spans="2:23">
      <c r="B1853" s="595" t="s">
        <v>1053</v>
      </c>
      <c r="C1853" s="608">
        <f>PY!C194/1000</f>
        <v>0</v>
      </c>
      <c r="D1853" s="609">
        <f>PY!D194/1000</f>
        <v>1.744734</v>
      </c>
      <c r="E1853" s="609">
        <f>PY!E194/1000</f>
        <v>2.6667190000000001</v>
      </c>
      <c r="F1853" s="609">
        <f>PY!F194/1000</f>
        <v>4.089213</v>
      </c>
      <c r="G1853" s="609">
        <f>PY!G194/1000</f>
        <v>3.8979229999999996</v>
      </c>
      <c r="H1853" s="609">
        <f>PY!H194/1000</f>
        <v>3.778467</v>
      </c>
      <c r="I1853" s="609">
        <f>PY!I194/1000</f>
        <v>1.4302940000000002</v>
      </c>
      <c r="J1853" s="603">
        <f>PY!J194/1000</f>
        <v>2.22641</v>
      </c>
      <c r="K1853" s="608">
        <f>PY!C184/1000</f>
        <v>0</v>
      </c>
      <c r="L1853" s="609">
        <f>PY!D184/1000</f>
        <v>29.972711999999998</v>
      </c>
      <c r="M1853" s="609">
        <f>PY!E184/1000</f>
        <v>35.088928000000003</v>
      </c>
      <c r="N1853" s="609">
        <f>PY!F184/1000</f>
        <v>42.047055999999998</v>
      </c>
      <c r="O1853" s="609">
        <f>PY!G184/1000</f>
        <v>45.258035000000007</v>
      </c>
      <c r="P1853" s="609">
        <f>PY!H184/1000</f>
        <v>48.043030999999999</v>
      </c>
      <c r="Q1853" s="609">
        <f>PY!I184/1000</f>
        <v>44.434696000000002</v>
      </c>
      <c r="R1853" s="603">
        <f>PY!J184/1000</f>
        <v>82.050285000000002</v>
      </c>
      <c r="V1853" s="645"/>
      <c r="W1853" s="645"/>
    </row>
    <row r="1854" spans="2:23">
      <c r="B1854" s="595" t="s">
        <v>1054</v>
      </c>
      <c r="C1854" s="608">
        <f>PE!C198/1000</f>
        <v>0</v>
      </c>
      <c r="D1854" s="609">
        <f>PE!D198/1000</f>
        <v>0</v>
      </c>
      <c r="E1854" s="609">
        <f>PE!E198/1000</f>
        <v>0</v>
      </c>
      <c r="F1854" s="609">
        <f>PE!F198/1000</f>
        <v>0</v>
      </c>
      <c r="G1854" s="609">
        <f>PE!G198/1000</f>
        <v>0</v>
      </c>
      <c r="H1854" s="609">
        <f>PE!H198/1000</f>
        <v>0</v>
      </c>
      <c r="I1854" s="609">
        <f>PE!I198/1000</f>
        <v>0</v>
      </c>
      <c r="J1854" s="603">
        <f>PE!J198/1000</f>
        <v>0</v>
      </c>
      <c r="K1854" s="608">
        <f>PE!C188/1000</f>
        <v>0</v>
      </c>
      <c r="L1854" s="609">
        <f>PE!D188/1000</f>
        <v>0</v>
      </c>
      <c r="M1854" s="609">
        <f>PE!E188/1000</f>
        <v>0</v>
      </c>
      <c r="N1854" s="609">
        <f>PE!F188/1000</f>
        <v>0</v>
      </c>
      <c r="O1854" s="609">
        <f>PE!G188/1000</f>
        <v>0</v>
      </c>
      <c r="P1854" s="609">
        <f>PE!H188/1000</f>
        <v>0</v>
      </c>
      <c r="Q1854" s="609">
        <f>PE!I188/1000</f>
        <v>0</v>
      </c>
      <c r="R1854" s="603">
        <f>PE!J188/1000</f>
        <v>0</v>
      </c>
      <c r="V1854" s="646"/>
      <c r="W1854" s="646"/>
    </row>
    <row r="1855" spans="2:23">
      <c r="B1855" s="604" t="s">
        <v>1055</v>
      </c>
      <c r="C1855" s="610">
        <f>TT!C202/1000</f>
        <v>0</v>
      </c>
      <c r="D1855" s="617">
        <f>TT!D202/1000</f>
        <v>0</v>
      </c>
      <c r="E1855" s="617">
        <f>TT!E202/1000</f>
        <v>0</v>
      </c>
      <c r="F1855" s="617">
        <f>TT!F202/1000</f>
        <v>0</v>
      </c>
      <c r="G1855" s="617">
        <f>TT!G202/1000</f>
        <v>0</v>
      </c>
      <c r="H1855" s="617">
        <f>TT!H202/1000</f>
        <v>0</v>
      </c>
      <c r="I1855" s="617">
        <f>TT!I202/1000</f>
        <v>0</v>
      </c>
      <c r="J1855" s="618">
        <f>TT!J202/1000</f>
        <v>0</v>
      </c>
      <c r="K1855" s="610">
        <f>TT!C192/1000</f>
        <v>45.417771000000002</v>
      </c>
      <c r="L1855" s="617">
        <f>TT!D192/1000</f>
        <v>49.344080000000005</v>
      </c>
      <c r="M1855" s="617">
        <f>TT!E192/1000</f>
        <v>54.468437000000002</v>
      </c>
      <c r="N1855" s="617">
        <f>TT!F192/1000</f>
        <v>55.675728999999997</v>
      </c>
      <c r="O1855" s="617">
        <f>TT!G192/1000</f>
        <v>58.460054999999997</v>
      </c>
      <c r="P1855" s="617">
        <f>TT!H192/1000</f>
        <v>62.554593999999994</v>
      </c>
      <c r="Q1855" s="617">
        <f>TT!I192/1000</f>
        <v>57.669339999999998</v>
      </c>
      <c r="R1855" s="618">
        <f>TT!J192/1000</f>
        <v>60.266887000000004</v>
      </c>
    </row>
    <row r="1856" spans="2:23">
      <c r="B1856" s="57"/>
      <c r="C1856" s="582"/>
      <c r="D1856" s="582"/>
      <c r="E1856" s="582"/>
      <c r="F1856" s="582"/>
      <c r="G1856" s="582"/>
      <c r="H1856" s="582"/>
      <c r="I1856" s="582"/>
      <c r="J1856" s="582"/>
      <c r="K1856" s="582"/>
      <c r="L1856" s="582"/>
      <c r="M1856" s="582"/>
      <c r="N1856" s="582"/>
      <c r="O1856" s="582"/>
      <c r="P1856" s="582"/>
      <c r="Q1856" s="582"/>
    </row>
    <row r="1857" spans="2:18">
      <c r="B1857" s="2157" t="s">
        <v>1206</v>
      </c>
      <c r="C1857" s="2157"/>
      <c r="D1857" s="2157"/>
      <c r="E1857" s="2157"/>
      <c r="F1857" s="2157"/>
      <c r="G1857" s="2157"/>
      <c r="H1857" s="2157"/>
      <c r="I1857" s="2157"/>
      <c r="J1857" s="2157"/>
      <c r="K1857" s="2157"/>
      <c r="L1857" s="2157"/>
      <c r="M1857" s="2157"/>
      <c r="N1857" s="2157"/>
      <c r="O1857" s="2157"/>
      <c r="P1857" s="2157"/>
      <c r="Q1857" s="2157"/>
      <c r="R1857" s="2157"/>
    </row>
    <row r="1858" spans="2:18">
      <c r="B1858" s="619"/>
      <c r="C1858" s="621"/>
      <c r="D1858" s="621"/>
      <c r="E1858" s="621"/>
      <c r="F1858" s="621"/>
      <c r="G1858" s="621"/>
      <c r="H1858" s="621"/>
      <c r="I1858" s="621"/>
      <c r="J1858" s="621"/>
      <c r="K1858" s="622"/>
      <c r="L1858" s="622"/>
      <c r="M1858" s="622"/>
      <c r="N1858" s="622"/>
      <c r="O1858" s="622"/>
      <c r="P1858" s="622"/>
      <c r="Q1858" s="622"/>
    </row>
    <row r="1859" spans="2:18">
      <c r="B1859" s="619"/>
      <c r="C1859" s="2170" t="s">
        <v>1207</v>
      </c>
      <c r="D1859" s="2171"/>
      <c r="E1859" s="2171"/>
      <c r="F1859" s="2171"/>
      <c r="G1859" s="2171"/>
      <c r="H1859" s="2171"/>
      <c r="I1859" s="2171"/>
      <c r="J1859" s="2172"/>
      <c r="K1859" s="2170" t="s">
        <v>1208</v>
      </c>
      <c r="L1859" s="2171"/>
      <c r="M1859" s="2171"/>
      <c r="N1859" s="2171"/>
      <c r="O1859" s="2171"/>
      <c r="P1859" s="2171"/>
      <c r="Q1859" s="2171"/>
      <c r="R1859" s="2172"/>
    </row>
    <row r="1860" spans="2:18">
      <c r="B1860" s="583"/>
      <c r="C1860" s="2214" t="s">
        <v>1191</v>
      </c>
      <c r="D1860" s="2215"/>
      <c r="E1860" s="2215"/>
      <c r="F1860" s="2215"/>
      <c r="G1860" s="2215"/>
      <c r="H1860" s="2215"/>
      <c r="I1860" s="2215"/>
      <c r="J1860" s="2215"/>
      <c r="K1860" s="2215"/>
      <c r="L1860" s="2215"/>
      <c r="M1860" s="2215"/>
      <c r="N1860" s="2215"/>
      <c r="O1860" s="2215"/>
      <c r="P1860" s="2215"/>
      <c r="Q1860" s="2215"/>
      <c r="R1860" s="2216"/>
    </row>
    <row r="1861" spans="2:18">
      <c r="B1861" s="57"/>
      <c r="C1861" s="585">
        <v>2014</v>
      </c>
      <c r="D1861" s="586">
        <v>2015</v>
      </c>
      <c r="E1861" s="586">
        <v>2016</v>
      </c>
      <c r="F1861" s="586">
        <v>2017</v>
      </c>
      <c r="G1861" s="586">
        <v>2018</v>
      </c>
      <c r="H1861" s="586">
        <v>2019</v>
      </c>
      <c r="I1861" s="586">
        <v>2020</v>
      </c>
      <c r="J1861" s="586">
        <v>2021</v>
      </c>
      <c r="K1861" s="638">
        <v>2014</v>
      </c>
      <c r="L1861" s="639">
        <v>2015</v>
      </c>
      <c r="M1861" s="639">
        <v>2016</v>
      </c>
      <c r="N1861" s="639">
        <v>2017</v>
      </c>
      <c r="O1861" s="639">
        <v>2018</v>
      </c>
      <c r="P1861" s="639">
        <v>2019</v>
      </c>
      <c r="Q1861" s="639">
        <v>2020</v>
      </c>
      <c r="R1861" s="640">
        <v>2021</v>
      </c>
    </row>
    <row r="1862" spans="2:18">
      <c r="B1862" s="589" t="s">
        <v>1038</v>
      </c>
      <c r="C1862" s="614">
        <f>ARG!C213/1000</f>
        <v>1.948</v>
      </c>
      <c r="D1862" s="615">
        <f>ARG!D213/1000</f>
        <v>3.415</v>
      </c>
      <c r="E1862" s="615">
        <f>ARG!E213/1000</f>
        <v>7.694</v>
      </c>
      <c r="F1862" s="615">
        <f>ARG!F213/1000</f>
        <v>9.7780000000000005</v>
      </c>
      <c r="G1862" s="615">
        <f>ARG!G213/1000</f>
        <v>8.5824800000000003</v>
      </c>
      <c r="H1862" s="615">
        <f>ARG!H213/1000</f>
        <v>5.8412290000000002</v>
      </c>
      <c r="I1862" s="615">
        <f>ARG!I213/1000</f>
        <v>1.484</v>
      </c>
      <c r="J1862" s="616">
        <f>ARG!J213/1000</f>
        <v>0.76428300000000005</v>
      </c>
      <c r="K1862" s="614">
        <f>ARG!C194/1000</f>
        <v>0</v>
      </c>
      <c r="L1862" s="615">
        <f>ARG!D194/1000</f>
        <v>0</v>
      </c>
      <c r="M1862" s="615">
        <f>ARG!E194/1000</f>
        <v>0</v>
      </c>
      <c r="N1862" s="615">
        <f>ARG!F194/1000</f>
        <v>0</v>
      </c>
      <c r="O1862" s="615">
        <f>ARG!G194/1000</f>
        <v>0</v>
      </c>
      <c r="P1862" s="615">
        <f>ARG!H194/1000</f>
        <v>0</v>
      </c>
      <c r="Q1862" s="615">
        <f>ARG!I194/1000</f>
        <v>0</v>
      </c>
      <c r="R1862" s="616">
        <f>ARG!J194/1000</f>
        <v>0</v>
      </c>
    </row>
    <row r="1863" spans="2:18">
      <c r="B1863" s="595" t="s">
        <v>1039</v>
      </c>
      <c r="C1863" s="608">
        <f>BA!C202/1000</f>
        <v>0</v>
      </c>
      <c r="D1863" s="609">
        <f>BA!D202/1000</f>
        <v>0</v>
      </c>
      <c r="E1863" s="609">
        <f>BA!E202/1000</f>
        <v>0</v>
      </c>
      <c r="F1863" s="609">
        <f>BA!F202/1000</f>
        <v>0</v>
      </c>
      <c r="G1863" s="609">
        <f>BA!G202/1000</f>
        <v>0</v>
      </c>
      <c r="H1863" s="609">
        <f>BA!H202/1000</f>
        <v>0</v>
      </c>
      <c r="I1863" s="609">
        <f>BA!I202/1000</f>
        <v>0</v>
      </c>
      <c r="J1863" s="603">
        <f>BA!J202/1000</f>
        <v>0</v>
      </c>
      <c r="K1863" s="608">
        <f>BA!C183/1000</f>
        <v>0</v>
      </c>
      <c r="L1863" s="609">
        <f>BA!D183/1000</f>
        <v>0</v>
      </c>
      <c r="M1863" s="609">
        <f>BA!E183/1000</f>
        <v>0</v>
      </c>
      <c r="N1863" s="609">
        <f>BA!F183/1000</f>
        <v>0</v>
      </c>
      <c r="O1863" s="609">
        <f>BA!G183/1000</f>
        <v>0</v>
      </c>
      <c r="P1863" s="609">
        <f>BA!H183/1000</f>
        <v>0</v>
      </c>
      <c r="Q1863" s="609">
        <f>BA!I183/1000</f>
        <v>0</v>
      </c>
      <c r="R1863" s="603">
        <f>BA!J183/1000</f>
        <v>0</v>
      </c>
    </row>
    <row r="1864" spans="2:18">
      <c r="B1864" s="595" t="s">
        <v>1040</v>
      </c>
      <c r="C1864" s="608">
        <f>BO!C200/1000</f>
        <v>0</v>
      </c>
      <c r="D1864" s="609">
        <f>BO!D200/1000</f>
        <v>0</v>
      </c>
      <c r="E1864" s="609">
        <f>BO!E200/1000</f>
        <v>7.3147060000000002</v>
      </c>
      <c r="F1864" s="609">
        <f>BO!F200/1000</f>
        <v>11.276752</v>
      </c>
      <c r="G1864" s="609">
        <f>BO!G200/1000</f>
        <v>9.1829599999999996</v>
      </c>
      <c r="H1864" s="609">
        <f>BO!H200/1000</f>
        <v>10.678725</v>
      </c>
      <c r="I1864" s="609">
        <f>BO!I200/1000</f>
        <v>16.333462000000001</v>
      </c>
      <c r="J1864" s="603">
        <f>BO!J200/1000</f>
        <v>18.785610000000002</v>
      </c>
      <c r="K1864" s="608">
        <f>BO!C181/1000</f>
        <v>3.8350929999999996</v>
      </c>
      <c r="L1864" s="609">
        <f>BO!D181/1000</f>
        <v>44.879900999999997</v>
      </c>
      <c r="M1864" s="609">
        <f>BO!E181/1000</f>
        <v>109.512558</v>
      </c>
      <c r="N1864" s="609">
        <f>BO!F181/1000</f>
        <v>138.05001800000002</v>
      </c>
      <c r="O1864" s="609">
        <f>BO!G181/1000</f>
        <v>140.429531</v>
      </c>
      <c r="P1864" s="609">
        <f>BO!H181/1000</f>
        <v>117.391147</v>
      </c>
      <c r="Q1864" s="609">
        <f>BO!I181/1000</f>
        <v>89.369257000000005</v>
      </c>
      <c r="R1864" s="603">
        <f>BO!J181/1000</f>
        <v>104.345089</v>
      </c>
    </row>
    <row r="1865" spans="2:18">
      <c r="B1865" s="595" t="s">
        <v>1041</v>
      </c>
      <c r="C1865" s="608">
        <f>BR!C207/1000</f>
        <v>125.778401</v>
      </c>
      <c r="D1865" s="609">
        <f>BR!D207/1000</f>
        <v>95.608913000000001</v>
      </c>
      <c r="E1865" s="609">
        <f>BR!E207/1000</f>
        <v>89.454454999999996</v>
      </c>
      <c r="F1865" s="609">
        <f>BR!F207/1000</f>
        <v>115.98131600000001</v>
      </c>
      <c r="G1865" s="609">
        <f>BR!G207/1000</f>
        <v>95.862028000000009</v>
      </c>
      <c r="H1865" s="609">
        <f>BR!H207/1000</f>
        <v>109.973699</v>
      </c>
      <c r="I1865" s="609">
        <f>BR!I207/1000</f>
        <v>56.065949000000003</v>
      </c>
      <c r="J1865" s="603">
        <f>BR!J207/1000</f>
        <v>57.568719999999999</v>
      </c>
      <c r="K1865" s="608">
        <f>BR!C188/1000</f>
        <v>0</v>
      </c>
      <c r="L1865" s="609">
        <f>BR!D188/1000</f>
        <v>0</v>
      </c>
      <c r="M1865" s="609">
        <f>BR!E188/1000</f>
        <v>0</v>
      </c>
      <c r="N1865" s="609">
        <f>BR!F188/1000</f>
        <v>0</v>
      </c>
      <c r="O1865" s="609">
        <f>BR!G188/1000</f>
        <v>0</v>
      </c>
      <c r="P1865" s="609">
        <f>BR!H188/1000</f>
        <v>0</v>
      </c>
      <c r="Q1865" s="609">
        <f>BR!I188/1000</f>
        <v>0</v>
      </c>
      <c r="R1865" s="603">
        <f>BR!J188/1000</f>
        <v>0</v>
      </c>
    </row>
    <row r="1866" spans="2:18">
      <c r="B1866" s="595" t="s">
        <v>1042</v>
      </c>
      <c r="C1866" s="608">
        <f>CL!C205/1000</f>
        <v>0</v>
      </c>
      <c r="D1866" s="609">
        <f>CL!D205/1000</f>
        <v>0</v>
      </c>
      <c r="E1866" s="609">
        <f>CL!E205/1000</f>
        <v>0</v>
      </c>
      <c r="F1866" s="609">
        <f>CL!F205/1000</f>
        <v>0</v>
      </c>
      <c r="G1866" s="609">
        <f>CL!G205/1000</f>
        <v>0</v>
      </c>
      <c r="H1866" s="609">
        <f>CL!H205/1000</f>
        <v>0</v>
      </c>
      <c r="I1866" s="609">
        <f>CL!I205/1000</f>
        <v>0</v>
      </c>
      <c r="J1866" s="603">
        <f>CL!J205/1000</f>
        <v>0</v>
      </c>
      <c r="K1866" s="608">
        <f>CL!C186/1000</f>
        <v>0</v>
      </c>
      <c r="L1866" s="609">
        <f>CL!D186/1000</f>
        <v>0</v>
      </c>
      <c r="M1866" s="609">
        <f>CL!E186/1000</f>
        <v>0</v>
      </c>
      <c r="N1866" s="609">
        <f>CL!F186/1000</f>
        <v>0</v>
      </c>
      <c r="O1866" s="609">
        <f>CL!G186/1000</f>
        <v>0</v>
      </c>
      <c r="P1866" s="609">
        <f>CL!H186/1000</f>
        <v>0</v>
      </c>
      <c r="Q1866" s="609">
        <f>CL!I186/1000</f>
        <v>0</v>
      </c>
      <c r="R1866" s="603">
        <f>CL!J186/1000</f>
        <v>0</v>
      </c>
    </row>
    <row r="1867" spans="2:18">
      <c r="B1867" s="595" t="s">
        <v>1043</v>
      </c>
      <c r="C1867" s="608">
        <f>CO!C202/1000</f>
        <v>0</v>
      </c>
      <c r="D1867" s="609">
        <f>CO!D202/1000</f>
        <v>0</v>
      </c>
      <c r="E1867" s="609">
        <f>CO!E202/1000</f>
        <v>0</v>
      </c>
      <c r="F1867" s="609">
        <f>CO!F202/1000</f>
        <v>0</v>
      </c>
      <c r="G1867" s="609">
        <f>CO!G202/1000</f>
        <v>0</v>
      </c>
      <c r="H1867" s="609">
        <f>CO!H202/1000</f>
        <v>0</v>
      </c>
      <c r="I1867" s="609">
        <f>CO!I202/1000</f>
        <v>0</v>
      </c>
      <c r="J1867" s="603">
        <f>CO!J202/1000</f>
        <v>0</v>
      </c>
      <c r="K1867" s="608">
        <f>CO!C183/1000</f>
        <v>0</v>
      </c>
      <c r="L1867" s="609">
        <f>CO!D183/1000</f>
        <v>0</v>
      </c>
      <c r="M1867" s="609">
        <f>CO!E183/1000</f>
        <v>0</v>
      </c>
      <c r="N1867" s="609">
        <f>CO!F183/1000</f>
        <v>0</v>
      </c>
      <c r="O1867" s="609">
        <f>CO!G183/1000</f>
        <v>0</v>
      </c>
      <c r="P1867" s="609">
        <f>CO!H183/1000</f>
        <v>0</v>
      </c>
      <c r="Q1867" s="609">
        <f>CO!I183/1000</f>
        <v>0</v>
      </c>
      <c r="R1867" s="603">
        <f>CO!J183/1000</f>
        <v>0</v>
      </c>
    </row>
    <row r="1868" spans="2:18">
      <c r="B1868" s="595" t="s">
        <v>1044</v>
      </c>
      <c r="C1868" s="608">
        <f>CR!C210/1000</f>
        <v>0</v>
      </c>
      <c r="D1868" s="609">
        <f>CR!D210/1000</f>
        <v>0</v>
      </c>
      <c r="E1868" s="609">
        <f>CR!E210/1000</f>
        <v>0</v>
      </c>
      <c r="F1868" s="609">
        <f>CR!F210/1000</f>
        <v>0</v>
      </c>
      <c r="G1868" s="609">
        <f>CR!G210/1000</f>
        <v>0</v>
      </c>
      <c r="H1868" s="609">
        <f>CR!H210/1000</f>
        <v>0</v>
      </c>
      <c r="I1868" s="609">
        <f>CR!I210/1000</f>
        <v>0</v>
      </c>
      <c r="J1868" s="603">
        <f>CR!J210/1000</f>
        <v>86.802521999999996</v>
      </c>
      <c r="K1868" s="608">
        <f>CR!C191/1000</f>
        <v>0</v>
      </c>
      <c r="L1868" s="609">
        <f>CR!D191/1000</f>
        <v>0</v>
      </c>
      <c r="M1868" s="609">
        <f>CR!E191/1000</f>
        <v>0</v>
      </c>
      <c r="N1868" s="609">
        <f>CR!F191/1000</f>
        <v>0</v>
      </c>
      <c r="O1868" s="609">
        <f>CR!G191/1000</f>
        <v>0</v>
      </c>
      <c r="P1868" s="609">
        <f>CR!H191/1000</f>
        <v>0</v>
      </c>
      <c r="Q1868" s="609">
        <f>CR!I191/1000</f>
        <v>0</v>
      </c>
      <c r="R1868" s="603">
        <f>CR!J191/1000</f>
        <v>0</v>
      </c>
    </row>
    <row r="1869" spans="2:18">
      <c r="B1869" s="595" t="s">
        <v>1061</v>
      </c>
      <c r="C1869" s="608">
        <f>CW!C221/1000</f>
        <v>0</v>
      </c>
      <c r="D1869" s="609">
        <v>1.3</v>
      </c>
      <c r="E1869" s="609">
        <f>CW!E221/1000</f>
        <v>1.5154290000000001</v>
      </c>
      <c r="F1869" s="609">
        <f>CW!F221/1000</f>
        <v>1.7638240000000001</v>
      </c>
      <c r="G1869" s="609">
        <f>CW!G221/1000</f>
        <v>1.929484</v>
      </c>
      <c r="H1869" s="609">
        <f>CW!H221/1000</f>
        <v>2.2534009999999998</v>
      </c>
      <c r="I1869" s="609">
        <f>CW!I221/1000</f>
        <v>1.7344999999999999</v>
      </c>
      <c r="J1869" s="603">
        <f>CW!J221/1000</f>
        <v>2.909929</v>
      </c>
      <c r="K1869" s="608">
        <f>CW!C202/1000</f>
        <v>0</v>
      </c>
      <c r="L1869" s="609">
        <v>0.2</v>
      </c>
      <c r="M1869" s="609">
        <f>CW!E202/1000</f>
        <v>0.222085</v>
      </c>
      <c r="N1869" s="609">
        <f>CW!F202/1000</f>
        <v>0.22101600000000002</v>
      </c>
      <c r="O1869" s="609">
        <f>CW!G202/1000</f>
        <v>0.227765</v>
      </c>
      <c r="P1869" s="609">
        <f>CW!H202/1000</f>
        <v>0.24780000000000002</v>
      </c>
      <c r="Q1869" s="609">
        <f>CW!I202/1000</f>
        <v>0.26493299999999997</v>
      </c>
      <c r="R1869" s="603">
        <f>CW!J202/1000</f>
        <v>0.39045399999999997</v>
      </c>
    </row>
    <row r="1870" spans="2:18">
      <c r="B1870" s="595" t="s">
        <v>1047</v>
      </c>
      <c r="C1870" s="608">
        <f>EC!C203/1000</f>
        <v>0</v>
      </c>
      <c r="D1870" s="609">
        <f>EC!D203/1000</f>
        <v>0</v>
      </c>
      <c r="E1870" s="609">
        <f>EC!E203/1000</f>
        <v>0</v>
      </c>
      <c r="F1870" s="609">
        <f>EC!F203/1000</f>
        <v>0</v>
      </c>
      <c r="G1870" s="609">
        <f>EC!G203/1000</f>
        <v>0</v>
      </c>
      <c r="H1870" s="609">
        <f>EC!H203/1000</f>
        <v>0</v>
      </c>
      <c r="I1870" s="609">
        <f>EC!I203/1000</f>
        <v>0</v>
      </c>
      <c r="J1870" s="603">
        <f>EC!J203/1000</f>
        <v>0</v>
      </c>
      <c r="K1870" s="608">
        <f>EC!C184/1000</f>
        <v>0</v>
      </c>
      <c r="L1870" s="609">
        <f>EC!D184/1000</f>
        <v>0</v>
      </c>
      <c r="M1870" s="609">
        <f>EC!E184/1000</f>
        <v>0</v>
      </c>
      <c r="N1870" s="609">
        <f>EC!F184/1000</f>
        <v>0</v>
      </c>
      <c r="O1870" s="609">
        <f>EC!G184/1000</f>
        <v>0</v>
      </c>
      <c r="P1870" s="609">
        <f>EC!H184/1000</f>
        <v>0</v>
      </c>
      <c r="Q1870" s="609">
        <f>EC!I184/1000</f>
        <v>0</v>
      </c>
      <c r="R1870" s="603">
        <f>EC!J184/1000</f>
        <v>0</v>
      </c>
    </row>
    <row r="1871" spans="2:18">
      <c r="B1871" s="595" t="s">
        <v>1048</v>
      </c>
      <c r="C1871" s="608">
        <f>SV!C204/1000</f>
        <v>0</v>
      </c>
      <c r="D1871" s="609">
        <f>SV!D204/1000</f>
        <v>0</v>
      </c>
      <c r="E1871" s="609">
        <f>SV!E204/1000</f>
        <v>0</v>
      </c>
      <c r="F1871" s="609">
        <f>SV!F204/1000</f>
        <v>0</v>
      </c>
      <c r="G1871" s="609">
        <f>SV!G204/1000</f>
        <v>0</v>
      </c>
      <c r="H1871" s="609">
        <f>SV!H204/1000</f>
        <v>0</v>
      </c>
      <c r="I1871" s="609">
        <f>SV!I204/1000</f>
        <v>0</v>
      </c>
      <c r="J1871" s="603">
        <f>SV!J204/1000</f>
        <v>0</v>
      </c>
      <c r="K1871" s="608">
        <f>SV!C185/1000</f>
        <v>0</v>
      </c>
      <c r="L1871" s="609">
        <f>SV!D185/1000</f>
        <v>0</v>
      </c>
      <c r="M1871" s="609">
        <f>SV!E185/1000</f>
        <v>0</v>
      </c>
      <c r="N1871" s="609">
        <f>SV!F185/1000</f>
        <v>0</v>
      </c>
      <c r="O1871" s="609">
        <f>SV!G185/1000</f>
        <v>0</v>
      </c>
      <c r="P1871" s="609">
        <f>SV!H185/1000</f>
        <v>0</v>
      </c>
      <c r="Q1871" s="609">
        <f>SV!I185/1000</f>
        <v>0</v>
      </c>
      <c r="R1871" s="603">
        <f>SV!J185/1000</f>
        <v>0</v>
      </c>
    </row>
    <row r="1872" spans="2:18">
      <c r="B1872" s="595" t="s">
        <v>1049</v>
      </c>
      <c r="C1872" s="608">
        <f>GT!C211/1000</f>
        <v>0</v>
      </c>
      <c r="D1872" s="609">
        <f>GT!D211/1000</f>
        <v>0</v>
      </c>
      <c r="E1872" s="609">
        <f>GT!E211/1000</f>
        <v>0</v>
      </c>
      <c r="F1872" s="609">
        <f>GT!F211/1000</f>
        <v>0</v>
      </c>
      <c r="G1872" s="609">
        <f>GT!G211/1000</f>
        <v>0</v>
      </c>
      <c r="H1872" s="609">
        <f>GT!H211/1000</f>
        <v>0</v>
      </c>
      <c r="I1872" s="609">
        <f>GT!I211/1000</f>
        <v>0</v>
      </c>
      <c r="J1872" s="603">
        <f>GT!J211/1000</f>
        <v>0</v>
      </c>
      <c r="K1872" s="608">
        <f>GT!C192/1000</f>
        <v>0</v>
      </c>
      <c r="L1872" s="609">
        <f>GT!D192/1000</f>
        <v>0</v>
      </c>
      <c r="M1872" s="609">
        <f>GT!E192/1000</f>
        <v>0</v>
      </c>
      <c r="N1872" s="609">
        <f>GT!F192/1000</f>
        <v>0</v>
      </c>
      <c r="O1872" s="609">
        <f>GT!G192/1000</f>
        <v>0</v>
      </c>
      <c r="P1872" s="609">
        <f>GT!H192/1000</f>
        <v>0</v>
      </c>
      <c r="Q1872" s="609">
        <f>GT!I192/1000</f>
        <v>0</v>
      </c>
      <c r="R1872" s="603">
        <f>GT!J192/1000</f>
        <v>0</v>
      </c>
    </row>
    <row r="1873" spans="2:18">
      <c r="B1873" s="595" t="s">
        <v>1050</v>
      </c>
      <c r="C1873" s="608">
        <f>HN!C210/1000</f>
        <v>0</v>
      </c>
      <c r="D1873" s="609">
        <f>HN!D210/1000</f>
        <v>0</v>
      </c>
      <c r="E1873" s="609">
        <f>HN!E210/1000</f>
        <v>0</v>
      </c>
      <c r="F1873" s="609">
        <f>HN!F210/1000</f>
        <v>0</v>
      </c>
      <c r="G1873" s="609">
        <f>HN!G210/1000</f>
        <v>0</v>
      </c>
      <c r="H1873" s="609">
        <f>HN!H210/1000</f>
        <v>0</v>
      </c>
      <c r="I1873" s="609">
        <f>HN!I210/1000</f>
        <v>0</v>
      </c>
      <c r="J1873" s="603">
        <f>HN!J210/1000</f>
        <v>0</v>
      </c>
      <c r="K1873" s="608">
        <f>HN!C191/1000</f>
        <v>0</v>
      </c>
      <c r="L1873" s="609">
        <f>HN!D191/1000</f>
        <v>0</v>
      </c>
      <c r="M1873" s="609">
        <f>HN!E191/1000</f>
        <v>0</v>
      </c>
      <c r="N1873" s="609">
        <f>HN!F191/1000</f>
        <v>0</v>
      </c>
      <c r="O1873" s="609">
        <f>HN!G191/1000</f>
        <v>0</v>
      </c>
      <c r="P1873" s="609">
        <f>HN!H191/1000</f>
        <v>0</v>
      </c>
      <c r="Q1873" s="609">
        <f>HN!I191/1000</f>
        <v>0</v>
      </c>
      <c r="R1873" s="603">
        <f>HN!J191/1000</f>
        <v>0</v>
      </c>
    </row>
    <row r="1874" spans="2:18">
      <c r="B1874" s="595" t="s">
        <v>1051</v>
      </c>
      <c r="C1874" s="608">
        <f>JM!C206/1000</f>
        <v>0</v>
      </c>
      <c r="D1874" s="609">
        <f>JM!D206/1000</f>
        <v>0</v>
      </c>
      <c r="E1874" s="609">
        <f>JM!E206/1000</f>
        <v>0</v>
      </c>
      <c r="F1874" s="609">
        <f>JM!F206/1000</f>
        <v>0</v>
      </c>
      <c r="G1874" s="609">
        <f>JM!G206/1000</f>
        <v>0</v>
      </c>
      <c r="H1874" s="609">
        <f>JM!H206/1000</f>
        <v>0</v>
      </c>
      <c r="I1874" s="609">
        <f>JM!I206/1000</f>
        <v>0</v>
      </c>
      <c r="J1874" s="603">
        <f>JM!J206/1000</f>
        <v>0</v>
      </c>
      <c r="K1874" s="608">
        <f>JM!C187/1000</f>
        <v>0</v>
      </c>
      <c r="L1874" s="609">
        <f>JM!D187/1000</f>
        <v>0</v>
      </c>
      <c r="M1874" s="609">
        <f>JM!E187/1000</f>
        <v>0</v>
      </c>
      <c r="N1874" s="609">
        <f>JM!F187/1000</f>
        <v>0</v>
      </c>
      <c r="O1874" s="609">
        <f>JM!G187/1000</f>
        <v>0</v>
      </c>
      <c r="P1874" s="609">
        <f>JM!H187/1000</f>
        <v>0</v>
      </c>
      <c r="Q1874" s="609">
        <f>JM!I187/1000</f>
        <v>0</v>
      </c>
      <c r="R1874" s="603">
        <f>JM!J187/1000</f>
        <v>0</v>
      </c>
    </row>
    <row r="1875" spans="2:18">
      <c r="B1875" s="595" t="s">
        <v>1052</v>
      </c>
      <c r="C1875" s="608">
        <f>RD!C221/1000</f>
        <v>8.5590270000000004</v>
      </c>
      <c r="D1875" s="609">
        <f>RD!D221/1000</f>
        <v>11.276327310000001</v>
      </c>
      <c r="E1875" s="609">
        <f>RD!E221/1000</f>
        <v>16.346118495451389</v>
      </c>
      <c r="F1875" s="609">
        <f>RD!F221/1000</f>
        <v>21.674501589762112</v>
      </c>
      <c r="G1875" s="609">
        <f>RD!G221/1000</f>
        <v>33.1417452345</v>
      </c>
      <c r="H1875" s="609">
        <f>RD!H221/1000</f>
        <v>41.517025111111117</v>
      </c>
      <c r="I1875" s="609">
        <f>RD!I221/1000</f>
        <v>40.716380500000007</v>
      </c>
      <c r="J1875" s="603">
        <f>RD!J221/1000</f>
        <v>52.677691999999993</v>
      </c>
      <c r="K1875" s="608">
        <f>RD!C202/1000</f>
        <v>0</v>
      </c>
      <c r="L1875" s="609">
        <f>RD!D202/1000</f>
        <v>0</v>
      </c>
      <c r="M1875" s="609">
        <f>RD!E202/1000</f>
        <v>0</v>
      </c>
      <c r="N1875" s="609">
        <f>RD!F202/1000</f>
        <v>0</v>
      </c>
      <c r="O1875" s="609">
        <f>RD!G202/1000</f>
        <v>0</v>
      </c>
      <c r="P1875" s="609">
        <f>RD!H202/1000</f>
        <v>0</v>
      </c>
      <c r="Q1875" s="609">
        <f>RD!I202/1000</f>
        <v>0</v>
      </c>
      <c r="R1875" s="603">
        <f>RD!J202/1000</f>
        <v>0</v>
      </c>
    </row>
    <row r="1876" spans="2:18">
      <c r="B1876" s="595" t="s">
        <v>1053</v>
      </c>
      <c r="C1876" s="608">
        <f>PY!C204/1000</f>
        <v>0</v>
      </c>
      <c r="D1876" s="609">
        <f>PY!D204/1000</f>
        <v>1.0876980000000001</v>
      </c>
      <c r="E1876" s="609">
        <f>PY!E204/1000</f>
        <v>1.31484</v>
      </c>
      <c r="F1876" s="609">
        <f>PY!F204/1000</f>
        <v>1.5361500000000001</v>
      </c>
      <c r="G1876" s="609">
        <f>PY!G204/1000</f>
        <v>2.5392990000000002</v>
      </c>
      <c r="H1876" s="609">
        <f>PY!H204/1000</f>
        <v>2.8979180000000002</v>
      </c>
      <c r="I1876" s="609">
        <f>PY!I204/1000</f>
        <v>1.3896330000000001</v>
      </c>
      <c r="J1876" s="603">
        <f>PY!J204/1000</f>
        <v>1.573922</v>
      </c>
      <c r="K1876" s="608">
        <f>PY!C185/1000</f>
        <v>0</v>
      </c>
      <c r="L1876" s="609">
        <f>PY!D185/1000</f>
        <v>18.397222000000003</v>
      </c>
      <c r="M1876" s="609">
        <f>PY!E185/1000</f>
        <v>20.522413</v>
      </c>
      <c r="N1876" s="609">
        <f>PY!F185/1000</f>
        <v>25.582243000000002</v>
      </c>
      <c r="O1876" s="609">
        <f>PY!G185/1000</f>
        <v>29.185233</v>
      </c>
      <c r="P1876" s="609">
        <f>PY!H185/1000</f>
        <v>34.182695999999993</v>
      </c>
      <c r="Q1876" s="609">
        <f>PY!I185/1000</f>
        <v>43.326331916837795</v>
      </c>
      <c r="R1876" s="603">
        <f>PY!J185/1000</f>
        <v>57.017691999999997</v>
      </c>
    </row>
    <row r="1877" spans="2:18">
      <c r="B1877" s="595" t="s">
        <v>1054</v>
      </c>
      <c r="C1877" s="608">
        <f>PE!C208/1000</f>
        <v>0</v>
      </c>
      <c r="D1877" s="609">
        <f>PE!D208/1000</f>
        <v>0</v>
      </c>
      <c r="E1877" s="609">
        <f>PE!E208/1000</f>
        <v>0</v>
      </c>
      <c r="F1877" s="609">
        <f>PE!F208/1000</f>
        <v>0</v>
      </c>
      <c r="G1877" s="609">
        <f>PE!G208/1000</f>
        <v>0</v>
      </c>
      <c r="H1877" s="609">
        <f>PE!H208/1000</f>
        <v>0</v>
      </c>
      <c r="I1877" s="609">
        <f>PE!I208/1000</f>
        <v>0</v>
      </c>
      <c r="J1877" s="603">
        <f>PE!J208/1000</f>
        <v>0</v>
      </c>
      <c r="K1877" s="608">
        <f>PE!C189/1000</f>
        <v>0</v>
      </c>
      <c r="L1877" s="609">
        <f>PE!D189/1000</f>
        <v>0</v>
      </c>
      <c r="M1877" s="609">
        <f>PE!E189/1000</f>
        <v>0</v>
      </c>
      <c r="N1877" s="609">
        <f>PE!F189/1000</f>
        <v>0</v>
      </c>
      <c r="O1877" s="609">
        <f>PE!G189/1000</f>
        <v>0</v>
      </c>
      <c r="P1877" s="609">
        <f>PE!H189/1000</f>
        <v>0</v>
      </c>
      <c r="Q1877" s="609">
        <f>PE!I189/1000</f>
        <v>0</v>
      </c>
      <c r="R1877" s="603">
        <f>PE!J189/1000</f>
        <v>0</v>
      </c>
    </row>
    <row r="1878" spans="2:18">
      <c r="B1878" s="604" t="s">
        <v>1055</v>
      </c>
      <c r="C1878" s="610">
        <f>TT!C212/1000</f>
        <v>0</v>
      </c>
      <c r="D1878" s="617">
        <f>TT!D212/1000</f>
        <v>0</v>
      </c>
      <c r="E1878" s="617">
        <f>TT!E212/1000</f>
        <v>0</v>
      </c>
      <c r="F1878" s="617">
        <f>TT!F212/1000</f>
        <v>0</v>
      </c>
      <c r="G1878" s="617">
        <f>TT!G212/1000</f>
        <v>0</v>
      </c>
      <c r="H1878" s="617">
        <f>TT!H212/1000</f>
        <v>0</v>
      </c>
      <c r="I1878" s="617">
        <f>TT!I212/1000</f>
        <v>0</v>
      </c>
      <c r="J1878" s="618">
        <f>TT!J212/1000</f>
        <v>0</v>
      </c>
      <c r="K1878" s="610">
        <f>TT!C193/1000</f>
        <v>3.9443000000000001</v>
      </c>
      <c r="L1878" s="617">
        <f>TT!D193/1000</f>
        <v>4.309507</v>
      </c>
      <c r="M1878" s="617">
        <f>TT!E193/1000</f>
        <v>4.6510429999999996</v>
      </c>
      <c r="N1878" s="617">
        <f>TT!F193/1000</f>
        <v>4.6329180000000001</v>
      </c>
      <c r="O1878" s="617">
        <f>TT!G193/1000</f>
        <v>5.1742650000000001</v>
      </c>
      <c r="P1878" s="617">
        <f>TT!H193/1000</f>
        <v>6.0816350000000003</v>
      </c>
      <c r="Q1878" s="617">
        <f>TT!I193/1000</f>
        <v>5.2930929999999998</v>
      </c>
      <c r="R1878" s="618">
        <f>TT!J193/1000</f>
        <v>5.7157440000000008</v>
      </c>
    </row>
    <row r="1879" spans="2:18">
      <c r="B1879" s="57"/>
      <c r="C1879" s="582"/>
      <c r="D1879" s="582"/>
      <c r="E1879" s="582"/>
      <c r="F1879" s="582"/>
      <c r="G1879" s="582"/>
      <c r="H1879" s="582"/>
      <c r="I1879" s="582"/>
      <c r="J1879" s="582"/>
      <c r="K1879" s="582"/>
      <c r="L1879" s="582"/>
      <c r="M1879" s="582"/>
      <c r="N1879" s="582"/>
      <c r="O1879" s="582"/>
      <c r="P1879" s="582"/>
      <c r="Q1879" s="582"/>
    </row>
    <row r="1880" spans="2:18">
      <c r="B1880" s="2157" t="s">
        <v>1209</v>
      </c>
      <c r="C1880" s="2157"/>
      <c r="D1880" s="2157"/>
      <c r="E1880" s="2157"/>
      <c r="F1880" s="2157"/>
      <c r="G1880" s="2157"/>
      <c r="H1880" s="2157"/>
      <c r="I1880" s="2157"/>
      <c r="J1880" s="2157"/>
      <c r="K1880" s="2157"/>
      <c r="L1880" s="2157"/>
      <c r="M1880" s="2157"/>
      <c r="N1880" s="2157"/>
      <c r="O1880" s="2157"/>
      <c r="P1880" s="2157"/>
      <c r="Q1880" s="2157"/>
      <c r="R1880" s="2157"/>
    </row>
    <row r="1881" spans="2:18">
      <c r="B1881" s="2159" t="s">
        <v>1210</v>
      </c>
      <c r="C1881" s="2159"/>
      <c r="D1881" s="2159"/>
      <c r="E1881" s="2159"/>
      <c r="F1881" s="2159"/>
      <c r="G1881" s="2159"/>
      <c r="H1881" s="2159"/>
      <c r="I1881" s="2159"/>
      <c r="J1881" s="2159"/>
      <c r="K1881" s="2159"/>
      <c r="L1881" s="2159"/>
      <c r="M1881" s="2159"/>
      <c r="N1881" s="2159"/>
      <c r="O1881" s="2159"/>
      <c r="P1881" s="2159"/>
      <c r="Q1881" s="2159"/>
      <c r="R1881" s="2159"/>
    </row>
    <row r="1882" spans="2:18">
      <c r="B1882" s="2160" t="s">
        <v>1118</v>
      </c>
      <c r="C1882" s="2160"/>
      <c r="D1882" s="2160"/>
      <c r="E1882" s="2160"/>
      <c r="F1882" s="2160"/>
      <c r="G1882" s="2160"/>
      <c r="H1882" s="2160"/>
      <c r="I1882" s="2160"/>
      <c r="J1882" s="2160"/>
      <c r="K1882" s="2160"/>
      <c r="L1882" s="2160"/>
      <c r="M1882" s="2160"/>
      <c r="N1882" s="2160"/>
      <c r="O1882" s="2160"/>
      <c r="P1882" s="2160"/>
      <c r="Q1882" s="2160"/>
      <c r="R1882" s="2160"/>
    </row>
    <row r="1883" spans="2:18">
      <c r="B1883" s="57"/>
      <c r="C1883" s="582"/>
      <c r="D1883" s="582"/>
      <c r="E1883" s="582"/>
      <c r="F1883" s="582"/>
      <c r="G1883" s="582"/>
      <c r="H1883" s="582"/>
      <c r="I1883" s="582"/>
      <c r="J1883" s="582"/>
      <c r="K1883" s="582"/>
      <c r="L1883" s="582"/>
      <c r="M1883" s="582"/>
      <c r="N1883" s="582"/>
      <c r="O1883" s="582"/>
      <c r="P1883" s="582"/>
      <c r="Q1883" s="582"/>
    </row>
    <row r="1884" spans="2:18">
      <c r="B1884" s="612"/>
      <c r="C1884" s="2211" t="s">
        <v>1205</v>
      </c>
      <c r="D1884" s="2212"/>
      <c r="E1884" s="2212"/>
      <c r="F1884" s="2212"/>
      <c r="G1884" s="2212"/>
      <c r="H1884" s="2212"/>
      <c r="I1884" s="2212"/>
      <c r="J1884" s="2212"/>
      <c r="K1884" s="2212"/>
      <c r="L1884" s="2212"/>
      <c r="M1884" s="2212"/>
      <c r="N1884" s="2212"/>
      <c r="O1884" s="2212"/>
      <c r="P1884" s="2212"/>
      <c r="Q1884" s="2212"/>
      <c r="R1884" s="2213"/>
    </row>
    <row r="1885" spans="2:18">
      <c r="B1885" s="583"/>
      <c r="C1885" s="2217" t="s">
        <v>1185</v>
      </c>
      <c r="D1885" s="2218"/>
      <c r="E1885" s="2218"/>
      <c r="F1885" s="2218"/>
      <c r="G1885" s="2218"/>
      <c r="H1885" s="2218"/>
      <c r="I1885" s="2218"/>
      <c r="J1885" s="2219"/>
      <c r="K1885" s="2170" t="s">
        <v>1186</v>
      </c>
      <c r="L1885" s="2171"/>
      <c r="M1885" s="2171"/>
      <c r="N1885" s="2171"/>
      <c r="O1885" s="2171"/>
      <c r="P1885" s="2171"/>
      <c r="Q1885" s="2171"/>
      <c r="R1885" s="1649"/>
    </row>
    <row r="1886" spans="2:18">
      <c r="B1886" s="57"/>
      <c r="C1886" s="635">
        <v>2014</v>
      </c>
      <c r="D1886" s="636">
        <v>2015</v>
      </c>
      <c r="E1886" s="636">
        <v>2016</v>
      </c>
      <c r="F1886" s="636">
        <v>2017</v>
      </c>
      <c r="G1886" s="636">
        <v>2018</v>
      </c>
      <c r="H1886" s="636">
        <v>2019</v>
      </c>
      <c r="I1886" s="636">
        <v>2020</v>
      </c>
      <c r="J1886" s="636">
        <v>2021</v>
      </c>
      <c r="K1886" s="587">
        <v>2014</v>
      </c>
      <c r="L1886" s="588">
        <v>2015</v>
      </c>
      <c r="M1886" s="588">
        <v>2016</v>
      </c>
      <c r="N1886" s="588">
        <v>2017</v>
      </c>
      <c r="O1886" s="588">
        <v>2018</v>
      </c>
      <c r="P1886" s="588">
        <v>2019</v>
      </c>
      <c r="Q1886" s="588">
        <v>2020</v>
      </c>
      <c r="R1886" s="848">
        <v>2021</v>
      </c>
    </row>
    <row r="1887" spans="2:18">
      <c r="B1887" s="589" t="s">
        <v>1038</v>
      </c>
      <c r="C1887" s="614">
        <v>0</v>
      </c>
      <c r="D1887" s="615" t="str">
        <f t="shared" ref="D1887:J1896" si="718">IF(ISNUMBER((D1839/C1839-1)*100),(D1839/C1839-1)*100,"0")</f>
        <v>0</v>
      </c>
      <c r="E1887" s="615" t="str">
        <f t="shared" si="718"/>
        <v>0</v>
      </c>
      <c r="F1887" s="615" t="str">
        <f t="shared" si="718"/>
        <v>0</v>
      </c>
      <c r="G1887" s="615" t="str">
        <f t="shared" si="718"/>
        <v>0</v>
      </c>
      <c r="H1887" s="615" t="str">
        <f t="shared" si="718"/>
        <v>0</v>
      </c>
      <c r="I1887" s="615" t="str">
        <f t="shared" si="718"/>
        <v>0</v>
      </c>
      <c r="J1887" s="616" t="str">
        <f t="shared" si="718"/>
        <v>0</v>
      </c>
      <c r="K1887" s="614">
        <v>13.006682535870793</v>
      </c>
      <c r="L1887" s="615">
        <f t="shared" ref="L1887:R1896" si="719">IF(ISNUMBER((L1839/K1839-1)*100),(L1839/K1839-1)*100,"0")</f>
        <v>12.509395214542574</v>
      </c>
      <c r="M1887" s="615">
        <f t="shared" si="719"/>
        <v>15.186798964177006</v>
      </c>
      <c r="N1887" s="615">
        <f t="shared" si="719"/>
        <v>9.7615173516892639</v>
      </c>
      <c r="O1887" s="615">
        <f t="shared" si="719"/>
        <v>26.263934610535333</v>
      </c>
      <c r="P1887" s="615">
        <f t="shared" si="719"/>
        <v>2.6743798573644062</v>
      </c>
      <c r="Q1887" s="615">
        <f t="shared" si="719"/>
        <v>0.91388312107085756</v>
      </c>
      <c r="R1887" s="616">
        <f t="shared" si="719"/>
        <v>27.715965197965687</v>
      </c>
    </row>
    <row r="1888" spans="2:18">
      <c r="B1888" s="595" t="s">
        <v>1039</v>
      </c>
      <c r="C1888" s="608">
        <v>0</v>
      </c>
      <c r="D1888" s="609" t="str">
        <f t="shared" si="718"/>
        <v>0</v>
      </c>
      <c r="E1888" s="609" t="str">
        <f t="shared" si="718"/>
        <v>0</v>
      </c>
      <c r="F1888" s="609" t="str">
        <f t="shared" si="718"/>
        <v>0</v>
      </c>
      <c r="G1888" s="609" t="str">
        <f t="shared" si="718"/>
        <v>0</v>
      </c>
      <c r="H1888" s="609" t="str">
        <f t="shared" si="718"/>
        <v>0</v>
      </c>
      <c r="I1888" s="609" t="str">
        <f t="shared" si="718"/>
        <v>0</v>
      </c>
      <c r="J1888" s="603" t="str">
        <f t="shared" si="718"/>
        <v>0</v>
      </c>
      <c r="K1888" s="608">
        <v>0</v>
      </c>
      <c r="L1888" s="609" t="str">
        <f t="shared" si="719"/>
        <v>0</v>
      </c>
      <c r="M1888" s="609" t="str">
        <f t="shared" si="719"/>
        <v>0</v>
      </c>
      <c r="N1888" s="609" t="str">
        <f t="shared" si="719"/>
        <v>0</v>
      </c>
      <c r="O1888" s="609" t="str">
        <f t="shared" si="719"/>
        <v>0</v>
      </c>
      <c r="P1888" s="609" t="str">
        <f t="shared" si="719"/>
        <v>0</v>
      </c>
      <c r="Q1888" s="609" t="str">
        <f t="shared" si="719"/>
        <v>0</v>
      </c>
      <c r="R1888" s="603" t="str">
        <f t="shared" si="719"/>
        <v>0</v>
      </c>
    </row>
    <row r="1889" spans="2:18">
      <c r="B1889" s="595" t="s">
        <v>1040</v>
      </c>
      <c r="C1889" s="608">
        <v>0</v>
      </c>
      <c r="D1889" s="609" t="str">
        <f t="shared" si="718"/>
        <v>0</v>
      </c>
      <c r="E1889" s="609" t="str">
        <f t="shared" si="718"/>
        <v>0</v>
      </c>
      <c r="F1889" s="609" t="str">
        <f t="shared" si="718"/>
        <v>0</v>
      </c>
      <c r="G1889" s="609" t="str">
        <f t="shared" si="718"/>
        <v>0</v>
      </c>
      <c r="H1889" s="609" t="str">
        <f t="shared" si="718"/>
        <v>0</v>
      </c>
      <c r="I1889" s="609" t="str">
        <f t="shared" si="718"/>
        <v>0</v>
      </c>
      <c r="J1889" s="603" t="str">
        <f t="shared" si="718"/>
        <v>0</v>
      </c>
      <c r="K1889" s="608">
        <v>12.638773815219103</v>
      </c>
      <c r="L1889" s="609">
        <f t="shared" si="719"/>
        <v>16.398078199131771</v>
      </c>
      <c r="M1889" s="609">
        <f t="shared" si="719"/>
        <v>16.033623572874856</v>
      </c>
      <c r="N1889" s="609">
        <f t="shared" si="719"/>
        <v>19.427601993058708</v>
      </c>
      <c r="O1889" s="609">
        <f t="shared" si="719"/>
        <v>29.733995936361524</v>
      </c>
      <c r="P1889" s="609">
        <f t="shared" si="719"/>
        <v>30.632798832668119</v>
      </c>
      <c r="Q1889" s="609">
        <f t="shared" si="719"/>
        <v>-9.3342629935584842</v>
      </c>
      <c r="R1889" s="603">
        <f t="shared" si="719"/>
        <v>71.261204146671162</v>
      </c>
    </row>
    <row r="1890" spans="2:18">
      <c r="B1890" s="595" t="s">
        <v>1041</v>
      </c>
      <c r="C1890" s="608">
        <v>0</v>
      </c>
      <c r="D1890" s="609" t="str">
        <f t="shared" si="718"/>
        <v>0</v>
      </c>
      <c r="E1890" s="609" t="str">
        <f t="shared" si="718"/>
        <v>0</v>
      </c>
      <c r="F1890" s="609" t="str">
        <f t="shared" si="718"/>
        <v>0</v>
      </c>
      <c r="G1890" s="609" t="str">
        <f t="shared" si="718"/>
        <v>0</v>
      </c>
      <c r="H1890" s="609" t="str">
        <f t="shared" si="718"/>
        <v>0</v>
      </c>
      <c r="I1890" s="609" t="str">
        <f t="shared" si="718"/>
        <v>0</v>
      </c>
      <c r="J1890" s="603" t="str">
        <f t="shared" si="718"/>
        <v>0</v>
      </c>
      <c r="K1890" s="608">
        <v>12.742428212084041</v>
      </c>
      <c r="L1890" s="609">
        <f t="shared" si="719"/>
        <v>7.9805362769736377</v>
      </c>
      <c r="M1890" s="609">
        <f t="shared" si="719"/>
        <v>8.5139561478297701</v>
      </c>
      <c r="N1890" s="609">
        <f t="shared" si="719"/>
        <v>12.813371048635315</v>
      </c>
      <c r="O1890" s="609">
        <f t="shared" si="719"/>
        <v>14.535060701163506</v>
      </c>
      <c r="P1890" s="609">
        <f t="shared" si="719"/>
        <v>26.747832799959738</v>
      </c>
      <c r="Q1890" s="609">
        <f t="shared" si="719"/>
        <v>6.5498392825035223</v>
      </c>
      <c r="R1890" s="603">
        <f t="shared" si="719"/>
        <v>35.774721983053539</v>
      </c>
    </row>
    <row r="1891" spans="2:18">
      <c r="B1891" s="595" t="s">
        <v>1042</v>
      </c>
      <c r="C1891" s="608" t="str">
        <f>IF(ISNUMBER((C1843/B1843-1)*100),(C1843/B1843-1)*100,"0")</f>
        <v>0</v>
      </c>
      <c r="D1891" s="609" t="str">
        <f t="shared" si="718"/>
        <v>0</v>
      </c>
      <c r="E1891" s="609" t="str">
        <f t="shared" si="718"/>
        <v>0</v>
      </c>
      <c r="F1891" s="609" t="str">
        <f t="shared" si="718"/>
        <v>0</v>
      </c>
      <c r="G1891" s="609" t="str">
        <f t="shared" si="718"/>
        <v>0</v>
      </c>
      <c r="H1891" s="609" t="str">
        <f t="shared" si="718"/>
        <v>0</v>
      </c>
      <c r="I1891" s="609" t="str">
        <f t="shared" si="718"/>
        <v>0</v>
      </c>
      <c r="J1891" s="603" t="str">
        <f t="shared" si="718"/>
        <v>0</v>
      </c>
      <c r="K1891" s="608">
        <v>0</v>
      </c>
      <c r="L1891" s="609" t="str">
        <f t="shared" si="719"/>
        <v>0</v>
      </c>
      <c r="M1891" s="609" t="str">
        <f t="shared" si="719"/>
        <v>0</v>
      </c>
      <c r="N1891" s="609" t="str">
        <f t="shared" si="719"/>
        <v>0</v>
      </c>
      <c r="O1891" s="609" t="str">
        <f t="shared" si="719"/>
        <v>0</v>
      </c>
      <c r="P1891" s="609" t="str">
        <f t="shared" si="719"/>
        <v>0</v>
      </c>
      <c r="Q1891" s="609" t="str">
        <f t="shared" si="719"/>
        <v>0</v>
      </c>
      <c r="R1891" s="603" t="str">
        <f t="shared" si="719"/>
        <v>0</v>
      </c>
    </row>
    <row r="1892" spans="2:18">
      <c r="B1892" s="595" t="s">
        <v>1043</v>
      </c>
      <c r="C1892" s="608">
        <v>0</v>
      </c>
      <c r="D1892" s="609" t="str">
        <f t="shared" si="718"/>
        <v>0</v>
      </c>
      <c r="E1892" s="609" t="str">
        <f t="shared" si="718"/>
        <v>0</v>
      </c>
      <c r="F1892" s="609" t="str">
        <f t="shared" si="718"/>
        <v>0</v>
      </c>
      <c r="G1892" s="609" t="str">
        <f t="shared" si="718"/>
        <v>0</v>
      </c>
      <c r="H1892" s="609" t="str">
        <f t="shared" si="718"/>
        <v>0</v>
      </c>
      <c r="I1892" s="609" t="str">
        <f t="shared" si="718"/>
        <v>0</v>
      </c>
      <c r="J1892" s="603" t="str">
        <f t="shared" si="718"/>
        <v>0</v>
      </c>
      <c r="K1892" s="608">
        <v>0</v>
      </c>
      <c r="L1892" s="609" t="str">
        <f t="shared" si="719"/>
        <v>0</v>
      </c>
      <c r="M1892" s="609" t="str">
        <f t="shared" si="719"/>
        <v>0</v>
      </c>
      <c r="N1892" s="609" t="str">
        <f t="shared" si="719"/>
        <v>0</v>
      </c>
      <c r="O1892" s="609" t="str">
        <f t="shared" si="719"/>
        <v>0</v>
      </c>
      <c r="P1892" s="609" t="str">
        <f t="shared" si="719"/>
        <v>0</v>
      </c>
      <c r="Q1892" s="609" t="str">
        <f t="shared" si="719"/>
        <v>0</v>
      </c>
      <c r="R1892" s="603" t="str">
        <f t="shared" si="719"/>
        <v>0</v>
      </c>
    </row>
    <row r="1893" spans="2:18">
      <c r="B1893" s="595" t="s">
        <v>1044</v>
      </c>
      <c r="C1893" s="608">
        <v>0</v>
      </c>
      <c r="D1893" s="609" t="str">
        <f t="shared" si="718"/>
        <v>0</v>
      </c>
      <c r="E1893" s="609" t="str">
        <f t="shared" si="718"/>
        <v>0</v>
      </c>
      <c r="F1893" s="609" t="str">
        <f t="shared" si="718"/>
        <v>0</v>
      </c>
      <c r="G1893" s="609" t="str">
        <f t="shared" si="718"/>
        <v>0</v>
      </c>
      <c r="H1893" s="609" t="str">
        <f t="shared" si="718"/>
        <v>0</v>
      </c>
      <c r="I1893" s="609" t="str">
        <f t="shared" si="718"/>
        <v>0</v>
      </c>
      <c r="J1893" s="603" t="str">
        <f t="shared" si="718"/>
        <v>0</v>
      </c>
      <c r="K1893" s="608">
        <v>0</v>
      </c>
      <c r="L1893" s="609" t="str">
        <f t="shared" si="719"/>
        <v>0</v>
      </c>
      <c r="M1893" s="609" t="str">
        <f t="shared" si="719"/>
        <v>0</v>
      </c>
      <c r="N1893" s="609" t="str">
        <f t="shared" si="719"/>
        <v>0</v>
      </c>
      <c r="O1893" s="609" t="str">
        <f t="shared" si="719"/>
        <v>0</v>
      </c>
      <c r="P1893" s="609" t="str">
        <f t="shared" si="719"/>
        <v>0</v>
      </c>
      <c r="Q1893" s="609" t="str">
        <f t="shared" si="719"/>
        <v>0</v>
      </c>
      <c r="R1893" s="603" t="str">
        <f t="shared" si="719"/>
        <v>0</v>
      </c>
    </row>
    <row r="1894" spans="2:18">
      <c r="B1894" s="595" t="s">
        <v>1061</v>
      </c>
      <c r="C1894" s="608">
        <v>0</v>
      </c>
      <c r="D1894" s="609" t="str">
        <f t="shared" si="718"/>
        <v>0</v>
      </c>
      <c r="E1894" s="609">
        <f t="shared" si="718"/>
        <v>12.986333333333322</v>
      </c>
      <c r="F1894" s="609">
        <f t="shared" si="718"/>
        <v>20.431810790821771</v>
      </c>
      <c r="G1894" s="609">
        <f t="shared" si="718"/>
        <v>-16.086189989123355</v>
      </c>
      <c r="H1894" s="609">
        <f t="shared" si="718"/>
        <v>19.36733011043026</v>
      </c>
      <c r="I1894" s="609">
        <f t="shared" si="718"/>
        <v>-29.600175333641854</v>
      </c>
      <c r="J1894" s="603">
        <f t="shared" si="718"/>
        <v>98.964795456312785</v>
      </c>
      <c r="K1894" s="608">
        <v>0</v>
      </c>
      <c r="L1894" s="609" t="str">
        <f t="shared" si="719"/>
        <v>0</v>
      </c>
      <c r="M1894" s="609" t="str">
        <f t="shared" si="719"/>
        <v>0</v>
      </c>
      <c r="N1894" s="609">
        <f t="shared" si="719"/>
        <v>19.428250081247178</v>
      </c>
      <c r="O1894" s="609">
        <f t="shared" si="719"/>
        <v>14.902928155022078</v>
      </c>
      <c r="P1894" s="609">
        <f t="shared" si="719"/>
        <v>10.625351216647028</v>
      </c>
      <c r="Q1894" s="609">
        <f t="shared" si="719"/>
        <v>3.4737162144632627</v>
      </c>
      <c r="R1894" s="603">
        <f t="shared" si="719"/>
        <v>13.701141583847566</v>
      </c>
    </row>
    <row r="1895" spans="2:18">
      <c r="B1895" s="595" t="s">
        <v>1047</v>
      </c>
      <c r="C1895" s="608">
        <v>0</v>
      </c>
      <c r="D1895" s="609" t="str">
        <f t="shared" si="718"/>
        <v>0</v>
      </c>
      <c r="E1895" s="609" t="str">
        <f t="shared" si="718"/>
        <v>0</v>
      </c>
      <c r="F1895" s="609" t="str">
        <f t="shared" si="718"/>
        <v>0</v>
      </c>
      <c r="G1895" s="609" t="str">
        <f t="shared" si="718"/>
        <v>0</v>
      </c>
      <c r="H1895" s="609" t="str">
        <f t="shared" si="718"/>
        <v>0</v>
      </c>
      <c r="I1895" s="609" t="str">
        <f t="shared" si="718"/>
        <v>0</v>
      </c>
      <c r="J1895" s="603" t="str">
        <f t="shared" si="718"/>
        <v>0</v>
      </c>
      <c r="K1895" s="608">
        <v>0</v>
      </c>
      <c r="L1895" s="609" t="str">
        <f t="shared" si="719"/>
        <v>0</v>
      </c>
      <c r="M1895" s="609">
        <f t="shared" si="719"/>
        <v>8.6455958988996606</v>
      </c>
      <c r="N1895" s="609">
        <f t="shared" si="719"/>
        <v>13.187610050465448</v>
      </c>
      <c r="O1895" s="609">
        <f t="shared" si="719"/>
        <v>19.510769805110616</v>
      </c>
      <c r="P1895" s="609">
        <f t="shared" si="719"/>
        <v>12.406282984175698</v>
      </c>
      <c r="Q1895" s="609">
        <f t="shared" si="719"/>
        <v>-19.799471903635236</v>
      </c>
      <c r="R1895" s="603">
        <f t="shared" si="719"/>
        <v>33.888339385029511</v>
      </c>
    </row>
    <row r="1896" spans="2:18">
      <c r="B1896" s="595" t="s">
        <v>1048</v>
      </c>
      <c r="C1896" s="608" t="str">
        <f>IF(ISNUMBER((C1848/B1848-1)*100),(C1848/B1848-1)*100,"0")</f>
        <v>0</v>
      </c>
      <c r="D1896" s="609" t="str">
        <f t="shared" si="718"/>
        <v>0</v>
      </c>
      <c r="E1896" s="609" t="str">
        <f t="shared" si="718"/>
        <v>0</v>
      </c>
      <c r="F1896" s="609" t="str">
        <f t="shared" si="718"/>
        <v>0</v>
      </c>
      <c r="G1896" s="609" t="str">
        <f t="shared" si="718"/>
        <v>0</v>
      </c>
      <c r="H1896" s="609" t="str">
        <f t="shared" si="718"/>
        <v>0</v>
      </c>
      <c r="I1896" s="609" t="str">
        <f t="shared" si="718"/>
        <v>0</v>
      </c>
      <c r="J1896" s="603" t="str">
        <f t="shared" si="718"/>
        <v>0</v>
      </c>
      <c r="K1896" s="608">
        <v>0</v>
      </c>
      <c r="L1896" s="609" t="str">
        <f t="shared" si="719"/>
        <v>0</v>
      </c>
      <c r="M1896" s="609" t="str">
        <f t="shared" si="719"/>
        <v>0</v>
      </c>
      <c r="N1896" s="609" t="str">
        <f t="shared" si="719"/>
        <v>0</v>
      </c>
      <c r="O1896" s="609" t="str">
        <f t="shared" si="719"/>
        <v>0</v>
      </c>
      <c r="P1896" s="609" t="str">
        <f t="shared" si="719"/>
        <v>0</v>
      </c>
      <c r="Q1896" s="609" t="str">
        <f t="shared" si="719"/>
        <v>0</v>
      </c>
      <c r="R1896" s="603" t="str">
        <f t="shared" si="719"/>
        <v>0</v>
      </c>
    </row>
    <row r="1897" spans="2:18">
      <c r="B1897" s="595" t="s">
        <v>1049</v>
      </c>
      <c r="C1897" s="608">
        <v>0</v>
      </c>
      <c r="D1897" s="609" t="str">
        <f t="shared" ref="D1897:J1903" si="720">IF(ISNUMBER((D1849/C1849-1)*100),(D1849/C1849-1)*100,"0")</f>
        <v>0</v>
      </c>
      <c r="E1897" s="609" t="str">
        <f t="shared" si="720"/>
        <v>0</v>
      </c>
      <c r="F1897" s="609" t="str">
        <f t="shared" si="720"/>
        <v>0</v>
      </c>
      <c r="G1897" s="609" t="str">
        <f t="shared" si="720"/>
        <v>0</v>
      </c>
      <c r="H1897" s="609" t="str">
        <f t="shared" si="720"/>
        <v>0</v>
      </c>
      <c r="I1897" s="609" t="str">
        <f t="shared" si="720"/>
        <v>0</v>
      </c>
      <c r="J1897" s="603" t="str">
        <f t="shared" si="720"/>
        <v>0</v>
      </c>
      <c r="K1897" s="608">
        <v>0</v>
      </c>
      <c r="L1897" s="609" t="str">
        <f t="shared" ref="L1897:R1903" si="721">IF(ISNUMBER((L1849/K1849-1)*100),(L1849/K1849-1)*100,"0")</f>
        <v>0</v>
      </c>
      <c r="M1897" s="609" t="str">
        <f t="shared" si="721"/>
        <v>0</v>
      </c>
      <c r="N1897" s="609" t="str">
        <f t="shared" si="721"/>
        <v>0</v>
      </c>
      <c r="O1897" s="609" t="str">
        <f t="shared" si="721"/>
        <v>0</v>
      </c>
      <c r="P1897" s="609" t="str">
        <f t="shared" si="721"/>
        <v>0</v>
      </c>
      <c r="Q1897" s="609" t="str">
        <f t="shared" si="721"/>
        <v>0</v>
      </c>
      <c r="R1897" s="603" t="str">
        <f t="shared" si="721"/>
        <v>0</v>
      </c>
    </row>
    <row r="1898" spans="2:18">
      <c r="B1898" s="595" t="s">
        <v>1050</v>
      </c>
      <c r="C1898" s="608">
        <v>0</v>
      </c>
      <c r="D1898" s="609" t="str">
        <f t="shared" si="720"/>
        <v>0</v>
      </c>
      <c r="E1898" s="609" t="str">
        <f t="shared" si="720"/>
        <v>0</v>
      </c>
      <c r="F1898" s="609" t="str">
        <f t="shared" si="720"/>
        <v>0</v>
      </c>
      <c r="G1898" s="609" t="str">
        <f t="shared" si="720"/>
        <v>0</v>
      </c>
      <c r="H1898" s="609" t="str">
        <f t="shared" si="720"/>
        <v>0</v>
      </c>
      <c r="I1898" s="609" t="str">
        <f t="shared" si="720"/>
        <v>0</v>
      </c>
      <c r="J1898" s="603" t="str">
        <f t="shared" si="720"/>
        <v>0</v>
      </c>
      <c r="K1898" s="608">
        <v>0</v>
      </c>
      <c r="L1898" s="609" t="str">
        <f t="shared" si="721"/>
        <v>0</v>
      </c>
      <c r="M1898" s="609" t="str">
        <f t="shared" si="721"/>
        <v>0</v>
      </c>
      <c r="N1898" s="609" t="str">
        <f t="shared" si="721"/>
        <v>0</v>
      </c>
      <c r="O1898" s="609" t="str">
        <f t="shared" si="721"/>
        <v>0</v>
      </c>
      <c r="P1898" s="609" t="str">
        <f t="shared" si="721"/>
        <v>0</v>
      </c>
      <c r="Q1898" s="609" t="str">
        <f t="shared" si="721"/>
        <v>0</v>
      </c>
      <c r="R1898" s="603" t="str">
        <f t="shared" si="721"/>
        <v>0</v>
      </c>
    </row>
    <row r="1899" spans="2:18">
      <c r="B1899" s="595" t="s">
        <v>1051</v>
      </c>
      <c r="C1899" s="608">
        <v>0</v>
      </c>
      <c r="D1899" s="609" t="str">
        <f t="shared" si="720"/>
        <v>0</v>
      </c>
      <c r="E1899" s="609" t="str">
        <f t="shared" si="720"/>
        <v>0</v>
      </c>
      <c r="F1899" s="609" t="str">
        <f t="shared" si="720"/>
        <v>0</v>
      </c>
      <c r="G1899" s="609" t="str">
        <f t="shared" si="720"/>
        <v>0</v>
      </c>
      <c r="H1899" s="609" t="str">
        <f t="shared" si="720"/>
        <v>0</v>
      </c>
      <c r="I1899" s="609" t="str">
        <f t="shared" si="720"/>
        <v>0</v>
      </c>
      <c r="J1899" s="603" t="str">
        <f t="shared" si="720"/>
        <v>0</v>
      </c>
      <c r="K1899" s="608">
        <v>-0.69221666356830158</v>
      </c>
      <c r="L1899" s="609">
        <f t="shared" si="721"/>
        <v>18.130978889412972</v>
      </c>
      <c r="M1899" s="609">
        <f t="shared" si="721"/>
        <v>12.60205436695896</v>
      </c>
      <c r="N1899" s="609">
        <f t="shared" si="721"/>
        <v>11.326912148660906</v>
      </c>
      <c r="O1899" s="609">
        <f t="shared" si="721"/>
        <v>17.016871287613245</v>
      </c>
      <c r="P1899" s="609">
        <f t="shared" si="721"/>
        <v>2.6673943189901461</v>
      </c>
      <c r="Q1899" s="609">
        <f t="shared" si="721"/>
        <v>-7.6010035465791219</v>
      </c>
      <c r="R1899" s="603">
        <f t="shared" si="721"/>
        <v>4.9255754258658246</v>
      </c>
    </row>
    <row r="1900" spans="2:18">
      <c r="B1900" s="595" t="s">
        <v>1052</v>
      </c>
      <c r="C1900" s="608">
        <v>0</v>
      </c>
      <c r="D1900" s="609" t="str">
        <f t="shared" si="720"/>
        <v>0</v>
      </c>
      <c r="E1900" s="609">
        <f t="shared" si="720"/>
        <v>50.044075001971898</v>
      </c>
      <c r="F1900" s="609">
        <f t="shared" si="720"/>
        <v>9.3014088000714423</v>
      </c>
      <c r="G1900" s="609">
        <f t="shared" si="720"/>
        <v>10.111021063935222</v>
      </c>
      <c r="H1900" s="609">
        <f t="shared" si="720"/>
        <v>12.131574856606409</v>
      </c>
      <c r="I1900" s="609">
        <f t="shared" si="720"/>
        <v>-38.809749566438434</v>
      </c>
      <c r="J1900" s="603">
        <f t="shared" si="720"/>
        <v>102.93294227775137</v>
      </c>
      <c r="K1900" s="608">
        <v>24.058854215934545</v>
      </c>
      <c r="L1900" s="609">
        <f t="shared" si="721"/>
        <v>20.514746665330218</v>
      </c>
      <c r="M1900" s="609">
        <f t="shared" si="721"/>
        <v>12.6562348296561</v>
      </c>
      <c r="N1900" s="609">
        <f t="shared" si="721"/>
        <v>15.301934921560957</v>
      </c>
      <c r="O1900" s="609">
        <f t="shared" si="721"/>
        <v>4.5292041758477231</v>
      </c>
      <c r="P1900" s="609">
        <f t="shared" si="721"/>
        <v>10.320871576980473</v>
      </c>
      <c r="Q1900" s="609">
        <f t="shared" si="721"/>
        <v>-12.38653332715951</v>
      </c>
      <c r="R1900" s="603">
        <f t="shared" si="721"/>
        <v>32.904120724983521</v>
      </c>
    </row>
    <row r="1901" spans="2:18">
      <c r="B1901" s="595" t="s">
        <v>1053</v>
      </c>
      <c r="C1901" s="608">
        <v>0</v>
      </c>
      <c r="D1901" s="609" t="str">
        <f t="shared" si="720"/>
        <v>0</v>
      </c>
      <c r="E1901" s="609">
        <f t="shared" si="720"/>
        <v>52.843871902536435</v>
      </c>
      <c r="F1901" s="609">
        <f t="shared" si="720"/>
        <v>53.342478153866239</v>
      </c>
      <c r="G1901" s="609">
        <f t="shared" si="720"/>
        <v>-4.6779172422664272</v>
      </c>
      <c r="H1901" s="609">
        <f t="shared" si="720"/>
        <v>-3.0646064583625621</v>
      </c>
      <c r="I1901" s="609">
        <f t="shared" si="720"/>
        <v>-62.146182565574868</v>
      </c>
      <c r="J1901" s="603">
        <f t="shared" si="720"/>
        <v>55.661003961423305</v>
      </c>
      <c r="K1901" s="608">
        <v>0</v>
      </c>
      <c r="L1901" s="609" t="str">
        <f t="shared" si="721"/>
        <v>0</v>
      </c>
      <c r="M1901" s="609">
        <f t="shared" si="721"/>
        <v>17.069579823140479</v>
      </c>
      <c r="N1901" s="609">
        <f t="shared" si="721"/>
        <v>19.82998169679049</v>
      </c>
      <c r="O1901" s="609">
        <f t="shared" si="721"/>
        <v>7.6366321580279228</v>
      </c>
      <c r="P1901" s="609">
        <f t="shared" si="721"/>
        <v>6.1535946048033141</v>
      </c>
      <c r="Q1901" s="609">
        <f t="shared" si="721"/>
        <v>-7.5106314587020879</v>
      </c>
      <c r="R1901" s="603">
        <f t="shared" si="721"/>
        <v>84.653643180095116</v>
      </c>
    </row>
    <row r="1902" spans="2:18">
      <c r="B1902" s="595" t="s">
        <v>1054</v>
      </c>
      <c r="C1902" s="608">
        <v>0</v>
      </c>
      <c r="D1902" s="609" t="str">
        <f t="shared" si="720"/>
        <v>0</v>
      </c>
      <c r="E1902" s="609" t="str">
        <f t="shared" si="720"/>
        <v>0</v>
      </c>
      <c r="F1902" s="609" t="str">
        <f t="shared" si="720"/>
        <v>0</v>
      </c>
      <c r="G1902" s="609" t="str">
        <f t="shared" si="720"/>
        <v>0</v>
      </c>
      <c r="H1902" s="609" t="str">
        <f t="shared" si="720"/>
        <v>0</v>
      </c>
      <c r="I1902" s="609" t="str">
        <f t="shared" si="720"/>
        <v>0</v>
      </c>
      <c r="J1902" s="603" t="str">
        <f t="shared" si="720"/>
        <v>0</v>
      </c>
      <c r="K1902" s="608">
        <v>0</v>
      </c>
      <c r="L1902" s="609" t="str">
        <f t="shared" si="721"/>
        <v>0</v>
      </c>
      <c r="M1902" s="609" t="str">
        <f t="shared" si="721"/>
        <v>0</v>
      </c>
      <c r="N1902" s="609" t="str">
        <f t="shared" si="721"/>
        <v>0</v>
      </c>
      <c r="O1902" s="609" t="str">
        <f t="shared" si="721"/>
        <v>0</v>
      </c>
      <c r="P1902" s="609" t="str">
        <f t="shared" si="721"/>
        <v>0</v>
      </c>
      <c r="Q1902" s="609" t="str">
        <f t="shared" si="721"/>
        <v>0</v>
      </c>
      <c r="R1902" s="603" t="str">
        <f t="shared" si="721"/>
        <v>0</v>
      </c>
    </row>
    <row r="1903" spans="2:18">
      <c r="B1903" s="604" t="s">
        <v>1055</v>
      </c>
      <c r="C1903" s="610" t="str">
        <f>IF(ISNUMBER((C1855/B1855-1)*100),(C1855/B1855-1)*100,"0")</f>
        <v>0</v>
      </c>
      <c r="D1903" s="617" t="str">
        <f t="shared" si="720"/>
        <v>0</v>
      </c>
      <c r="E1903" s="617" t="str">
        <f t="shared" si="720"/>
        <v>0</v>
      </c>
      <c r="F1903" s="617" t="str">
        <f t="shared" si="720"/>
        <v>0</v>
      </c>
      <c r="G1903" s="617" t="str">
        <f t="shared" si="720"/>
        <v>0</v>
      </c>
      <c r="H1903" s="617" t="str">
        <f t="shared" si="720"/>
        <v>0</v>
      </c>
      <c r="I1903" s="617" t="str">
        <f t="shared" si="720"/>
        <v>0</v>
      </c>
      <c r="J1903" s="618" t="str">
        <f t="shared" si="720"/>
        <v>0</v>
      </c>
      <c r="K1903" s="610">
        <v>0.42511897171373381</v>
      </c>
      <c r="L1903" s="617">
        <f t="shared" si="721"/>
        <v>8.6448738314348397</v>
      </c>
      <c r="M1903" s="617">
        <f t="shared" si="721"/>
        <v>10.38494790053841</v>
      </c>
      <c r="N1903" s="617">
        <f t="shared" si="721"/>
        <v>2.2164983364585833</v>
      </c>
      <c r="O1903" s="617">
        <f t="shared" si="721"/>
        <v>5.0009690937320217</v>
      </c>
      <c r="P1903" s="617">
        <f t="shared" si="721"/>
        <v>7.0039944368851526</v>
      </c>
      <c r="Q1903" s="617">
        <f t="shared" si="721"/>
        <v>-7.809584696529237</v>
      </c>
      <c r="R1903" s="618">
        <f t="shared" si="721"/>
        <v>4.5042079552150449</v>
      </c>
    </row>
    <row r="1904" spans="2:18">
      <c r="B1904" s="57"/>
      <c r="C1904" s="582"/>
      <c r="D1904" s="582"/>
      <c r="E1904" s="582"/>
      <c r="F1904" s="582"/>
      <c r="G1904" s="582"/>
      <c r="H1904" s="582"/>
      <c r="I1904" s="582"/>
      <c r="J1904" s="582"/>
      <c r="K1904" s="582"/>
      <c r="L1904" s="582"/>
      <c r="M1904" s="582"/>
      <c r="N1904" s="582"/>
      <c r="O1904" s="582"/>
      <c r="P1904" s="582"/>
      <c r="Q1904" s="582"/>
    </row>
    <row r="1905" spans="2:18">
      <c r="B1905" s="2157" t="s">
        <v>1211</v>
      </c>
      <c r="C1905" s="2157"/>
      <c r="D1905" s="2157"/>
      <c r="E1905" s="2157"/>
      <c r="F1905" s="2157"/>
      <c r="G1905" s="2157"/>
      <c r="H1905" s="2157"/>
      <c r="I1905" s="2157"/>
      <c r="J1905" s="2157"/>
      <c r="K1905" s="2157"/>
      <c r="L1905" s="2157"/>
      <c r="M1905" s="2157"/>
      <c r="N1905" s="2157"/>
      <c r="O1905" s="2157"/>
      <c r="P1905" s="2157"/>
      <c r="Q1905" s="2157"/>
      <c r="R1905" s="2157"/>
    </row>
    <row r="1906" spans="2:18">
      <c r="B1906" s="619"/>
      <c r="C1906" s="621"/>
      <c r="D1906" s="621"/>
      <c r="E1906" s="621"/>
      <c r="F1906" s="621"/>
      <c r="G1906" s="621"/>
      <c r="H1906" s="621"/>
      <c r="I1906" s="621"/>
      <c r="J1906" s="621"/>
      <c r="K1906" s="622"/>
      <c r="L1906" s="622"/>
      <c r="M1906" s="622"/>
      <c r="N1906" s="622"/>
      <c r="O1906" s="622"/>
      <c r="P1906" s="622"/>
      <c r="Q1906" s="622"/>
    </row>
    <row r="1907" spans="2:18">
      <c r="B1907" s="619"/>
      <c r="C1907" s="2170" t="s">
        <v>1207</v>
      </c>
      <c r="D1907" s="2171"/>
      <c r="E1907" s="2171"/>
      <c r="F1907" s="2171"/>
      <c r="G1907" s="2171"/>
      <c r="H1907" s="2171"/>
      <c r="I1907" s="2171"/>
      <c r="J1907" s="2172"/>
      <c r="K1907" s="2170" t="s">
        <v>1208</v>
      </c>
      <c r="L1907" s="2171"/>
      <c r="M1907" s="2171"/>
      <c r="N1907" s="2171"/>
      <c r="O1907" s="2171"/>
      <c r="P1907" s="2171"/>
      <c r="Q1907" s="2171"/>
      <c r="R1907" s="2172"/>
    </row>
    <row r="1908" spans="2:18">
      <c r="B1908" s="583"/>
      <c r="C1908" s="2220" t="s">
        <v>1191</v>
      </c>
      <c r="D1908" s="2221"/>
      <c r="E1908" s="2221"/>
      <c r="F1908" s="2221"/>
      <c r="G1908" s="2221"/>
      <c r="H1908" s="2221"/>
      <c r="I1908" s="2221"/>
      <c r="J1908" s="2221"/>
      <c r="K1908" s="2221"/>
      <c r="L1908" s="2221"/>
      <c r="M1908" s="2221"/>
      <c r="N1908" s="2221"/>
      <c r="O1908" s="2221"/>
      <c r="P1908" s="2221"/>
      <c r="Q1908" s="2221"/>
      <c r="R1908" s="2222"/>
    </row>
    <row r="1909" spans="2:18">
      <c r="B1909" s="57"/>
      <c r="C1909" s="635">
        <v>2014</v>
      </c>
      <c r="D1909" s="636">
        <v>2015</v>
      </c>
      <c r="E1909" s="636">
        <v>2016</v>
      </c>
      <c r="F1909" s="636">
        <v>2017</v>
      </c>
      <c r="G1909" s="636">
        <v>2018</v>
      </c>
      <c r="H1909" s="636">
        <v>2019</v>
      </c>
      <c r="I1909" s="636">
        <v>2020</v>
      </c>
      <c r="J1909" s="636">
        <v>2021</v>
      </c>
      <c r="K1909" s="587">
        <v>2014</v>
      </c>
      <c r="L1909" s="588">
        <v>2015</v>
      </c>
      <c r="M1909" s="588">
        <v>2016</v>
      </c>
      <c r="N1909" s="588">
        <v>2017</v>
      </c>
      <c r="O1909" s="588">
        <v>2018</v>
      </c>
      <c r="P1909" s="588">
        <v>2019</v>
      </c>
      <c r="Q1909" s="588">
        <v>2020</v>
      </c>
      <c r="R1909" s="848">
        <v>2021</v>
      </c>
    </row>
    <row r="1910" spans="2:18">
      <c r="B1910" s="589" t="s">
        <v>1038</v>
      </c>
      <c r="C1910" s="614">
        <v>-32.384588684484548</v>
      </c>
      <c r="D1910" s="615">
        <f t="shared" ref="D1910:R1910" si="722">IF(ISNUMBER((D1862/C1862-1)*100),(D1862/C1862-1)*100,"0")</f>
        <v>75.30800821355237</v>
      </c>
      <c r="E1910" s="615">
        <f t="shared" si="722"/>
        <v>125.30014641288432</v>
      </c>
      <c r="F1910" s="615">
        <f t="shared" si="722"/>
        <v>27.086041070964395</v>
      </c>
      <c r="G1910" s="615">
        <f t="shared" si="722"/>
        <v>-12.226631212926975</v>
      </c>
      <c r="H1910" s="615">
        <f t="shared" si="722"/>
        <v>-31.940080256522585</v>
      </c>
      <c r="I1910" s="615">
        <f t="shared" si="722"/>
        <v>-74.594387585215372</v>
      </c>
      <c r="J1910" s="616">
        <f t="shared" si="722"/>
        <v>-48.498450134770884</v>
      </c>
      <c r="K1910" s="614">
        <f t="shared" si="722"/>
        <v>-100</v>
      </c>
      <c r="L1910" s="615" t="str">
        <f t="shared" si="722"/>
        <v>0</v>
      </c>
      <c r="M1910" s="615" t="str">
        <f t="shared" si="722"/>
        <v>0</v>
      </c>
      <c r="N1910" s="615" t="str">
        <f t="shared" si="722"/>
        <v>0</v>
      </c>
      <c r="O1910" s="615" t="str">
        <f t="shared" si="722"/>
        <v>0</v>
      </c>
      <c r="P1910" s="615" t="str">
        <f t="shared" si="722"/>
        <v>0</v>
      </c>
      <c r="Q1910" s="615" t="str">
        <f t="shared" si="722"/>
        <v>0</v>
      </c>
      <c r="R1910" s="616" t="str">
        <f t="shared" si="722"/>
        <v>0</v>
      </c>
    </row>
    <row r="1911" spans="2:18">
      <c r="B1911" s="595" t="s">
        <v>1039</v>
      </c>
      <c r="C1911" s="608">
        <v>0</v>
      </c>
      <c r="D1911" s="609" t="str">
        <f t="shared" ref="D1911:J1920" si="723">IF(ISNUMBER((D1863/C1863-1)*100),(D1863/C1863-1)*100,"0")</f>
        <v>0</v>
      </c>
      <c r="E1911" s="609" t="str">
        <f t="shared" si="723"/>
        <v>0</v>
      </c>
      <c r="F1911" s="609" t="str">
        <f t="shared" si="723"/>
        <v>0</v>
      </c>
      <c r="G1911" s="609" t="str">
        <f t="shared" si="723"/>
        <v>0</v>
      </c>
      <c r="H1911" s="609" t="str">
        <f t="shared" si="723"/>
        <v>0</v>
      </c>
      <c r="I1911" s="609" t="str">
        <f t="shared" si="723"/>
        <v>0</v>
      </c>
      <c r="J1911" s="603" t="str">
        <f t="shared" si="723"/>
        <v>0</v>
      </c>
      <c r="K1911" s="608">
        <v>0</v>
      </c>
      <c r="L1911" s="609" t="str">
        <f t="shared" ref="L1911:R1920" si="724">IF(ISNUMBER((L1863/K1863-1)*100),(L1863/K1863-1)*100,"0")</f>
        <v>0</v>
      </c>
      <c r="M1911" s="609" t="str">
        <f t="shared" si="724"/>
        <v>0</v>
      </c>
      <c r="N1911" s="609" t="str">
        <f t="shared" si="724"/>
        <v>0</v>
      </c>
      <c r="O1911" s="609" t="str">
        <f t="shared" si="724"/>
        <v>0</v>
      </c>
      <c r="P1911" s="609" t="str">
        <f t="shared" si="724"/>
        <v>0</v>
      </c>
      <c r="Q1911" s="609" t="str">
        <f t="shared" si="724"/>
        <v>0</v>
      </c>
      <c r="R1911" s="603" t="str">
        <f t="shared" si="724"/>
        <v>0</v>
      </c>
    </row>
    <row r="1912" spans="2:18">
      <c r="B1912" s="595" t="s">
        <v>1040</v>
      </c>
      <c r="C1912" s="608">
        <v>0</v>
      </c>
      <c r="D1912" s="609" t="str">
        <f t="shared" si="723"/>
        <v>0</v>
      </c>
      <c r="E1912" s="609" t="str">
        <f t="shared" si="723"/>
        <v>0</v>
      </c>
      <c r="F1912" s="609">
        <f t="shared" si="723"/>
        <v>54.165485256687006</v>
      </c>
      <c r="G1912" s="609">
        <f t="shared" si="723"/>
        <v>-18.567332153797476</v>
      </c>
      <c r="H1912" s="609">
        <f t="shared" si="723"/>
        <v>16.288484323137652</v>
      </c>
      <c r="I1912" s="609">
        <f t="shared" si="723"/>
        <v>52.953297327162183</v>
      </c>
      <c r="J1912" s="603">
        <f t="shared" si="723"/>
        <v>15.013032754476674</v>
      </c>
      <c r="K1912" s="608">
        <v>0</v>
      </c>
      <c r="L1912" s="609">
        <f t="shared" si="724"/>
        <v>1070.2428337461438</v>
      </c>
      <c r="M1912" s="609">
        <f t="shared" si="724"/>
        <v>144.01247676549022</v>
      </c>
      <c r="N1912" s="609">
        <f t="shared" si="724"/>
        <v>26.058618775026709</v>
      </c>
      <c r="O1912" s="609">
        <f t="shared" si="724"/>
        <v>1.7236600432750215</v>
      </c>
      <c r="P1912" s="609">
        <f t="shared" si="724"/>
        <v>-16.405654733689879</v>
      </c>
      <c r="Q1912" s="609">
        <f t="shared" si="724"/>
        <v>-23.870530884241216</v>
      </c>
      <c r="R1912" s="603">
        <f t="shared" si="724"/>
        <v>16.757252440847736</v>
      </c>
    </row>
    <row r="1913" spans="2:18">
      <c r="B1913" s="595" t="s">
        <v>1041</v>
      </c>
      <c r="C1913" s="608">
        <v>15.540470801161096</v>
      </c>
      <c r="D1913" s="609">
        <f t="shared" si="723"/>
        <v>-23.986223199005362</v>
      </c>
      <c r="E1913" s="609">
        <f t="shared" si="723"/>
        <v>-6.4371174264893138</v>
      </c>
      <c r="F1913" s="609">
        <f t="shared" si="723"/>
        <v>29.654041266027509</v>
      </c>
      <c r="G1913" s="609">
        <f t="shared" si="723"/>
        <v>-17.347007857713905</v>
      </c>
      <c r="H1913" s="609">
        <f t="shared" si="723"/>
        <v>14.720814168463026</v>
      </c>
      <c r="I1913" s="609">
        <f t="shared" si="723"/>
        <v>-49.018765841458148</v>
      </c>
      <c r="J1913" s="603">
        <f t="shared" si="723"/>
        <v>2.6803630845524395</v>
      </c>
      <c r="K1913" s="608">
        <v>0</v>
      </c>
      <c r="L1913" s="609" t="str">
        <f t="shared" si="724"/>
        <v>0</v>
      </c>
      <c r="M1913" s="609" t="str">
        <f t="shared" si="724"/>
        <v>0</v>
      </c>
      <c r="N1913" s="609" t="str">
        <f t="shared" si="724"/>
        <v>0</v>
      </c>
      <c r="O1913" s="609" t="str">
        <f t="shared" si="724"/>
        <v>0</v>
      </c>
      <c r="P1913" s="609" t="str">
        <f t="shared" si="724"/>
        <v>0</v>
      </c>
      <c r="Q1913" s="609" t="str">
        <f t="shared" si="724"/>
        <v>0</v>
      </c>
      <c r="R1913" s="603" t="str">
        <f t="shared" si="724"/>
        <v>0</v>
      </c>
    </row>
    <row r="1914" spans="2:18">
      <c r="B1914" s="595" t="s">
        <v>1042</v>
      </c>
      <c r="C1914" s="608">
        <v>0</v>
      </c>
      <c r="D1914" s="609" t="str">
        <f t="shared" si="723"/>
        <v>0</v>
      </c>
      <c r="E1914" s="609" t="str">
        <f t="shared" si="723"/>
        <v>0</v>
      </c>
      <c r="F1914" s="609" t="str">
        <f t="shared" si="723"/>
        <v>0</v>
      </c>
      <c r="G1914" s="609" t="str">
        <f t="shared" si="723"/>
        <v>0</v>
      </c>
      <c r="H1914" s="609" t="str">
        <f t="shared" si="723"/>
        <v>0</v>
      </c>
      <c r="I1914" s="609" t="str">
        <f t="shared" si="723"/>
        <v>0</v>
      </c>
      <c r="J1914" s="603" t="str">
        <f t="shared" si="723"/>
        <v>0</v>
      </c>
      <c r="K1914" s="608" t="str">
        <f>IF(ISNUMBER((K1866/J1866-1)*100),(K1866/J1866-1)*100,"0")</f>
        <v>0</v>
      </c>
      <c r="L1914" s="609" t="str">
        <f t="shared" si="724"/>
        <v>0</v>
      </c>
      <c r="M1914" s="609" t="str">
        <f t="shared" si="724"/>
        <v>0</v>
      </c>
      <c r="N1914" s="609" t="str">
        <f t="shared" si="724"/>
        <v>0</v>
      </c>
      <c r="O1914" s="609" t="str">
        <f t="shared" si="724"/>
        <v>0</v>
      </c>
      <c r="P1914" s="609" t="str">
        <f t="shared" si="724"/>
        <v>0</v>
      </c>
      <c r="Q1914" s="609" t="str">
        <f t="shared" si="724"/>
        <v>0</v>
      </c>
      <c r="R1914" s="603" t="str">
        <f t="shared" si="724"/>
        <v>0</v>
      </c>
    </row>
    <row r="1915" spans="2:18">
      <c r="B1915" s="595" t="s">
        <v>1043</v>
      </c>
      <c r="C1915" s="608">
        <v>0</v>
      </c>
      <c r="D1915" s="609" t="str">
        <f t="shared" si="723"/>
        <v>0</v>
      </c>
      <c r="E1915" s="609" t="str">
        <f t="shared" si="723"/>
        <v>0</v>
      </c>
      <c r="F1915" s="609" t="str">
        <f t="shared" si="723"/>
        <v>0</v>
      </c>
      <c r="G1915" s="609" t="str">
        <f t="shared" si="723"/>
        <v>0</v>
      </c>
      <c r="H1915" s="609" t="str">
        <f t="shared" si="723"/>
        <v>0</v>
      </c>
      <c r="I1915" s="609" t="str">
        <f t="shared" si="723"/>
        <v>0</v>
      </c>
      <c r="J1915" s="603" t="str">
        <f t="shared" si="723"/>
        <v>0</v>
      </c>
      <c r="K1915" s="608">
        <v>0</v>
      </c>
      <c r="L1915" s="609" t="str">
        <f t="shared" si="724"/>
        <v>0</v>
      </c>
      <c r="M1915" s="609" t="str">
        <f t="shared" si="724"/>
        <v>0</v>
      </c>
      <c r="N1915" s="609" t="str">
        <f t="shared" si="724"/>
        <v>0</v>
      </c>
      <c r="O1915" s="609" t="str">
        <f t="shared" si="724"/>
        <v>0</v>
      </c>
      <c r="P1915" s="609" t="str">
        <f t="shared" si="724"/>
        <v>0</v>
      </c>
      <c r="Q1915" s="609" t="str">
        <f t="shared" si="724"/>
        <v>0</v>
      </c>
      <c r="R1915" s="603" t="str">
        <f t="shared" si="724"/>
        <v>0</v>
      </c>
    </row>
    <row r="1916" spans="2:18">
      <c r="B1916" s="595" t="s">
        <v>1044</v>
      </c>
      <c r="C1916" s="608">
        <v>0</v>
      </c>
      <c r="D1916" s="609" t="str">
        <f t="shared" si="723"/>
        <v>0</v>
      </c>
      <c r="E1916" s="609" t="str">
        <f t="shared" si="723"/>
        <v>0</v>
      </c>
      <c r="F1916" s="609" t="str">
        <f t="shared" si="723"/>
        <v>0</v>
      </c>
      <c r="G1916" s="609" t="str">
        <f t="shared" si="723"/>
        <v>0</v>
      </c>
      <c r="H1916" s="609" t="str">
        <f t="shared" si="723"/>
        <v>0</v>
      </c>
      <c r="I1916" s="609" t="str">
        <f t="shared" si="723"/>
        <v>0</v>
      </c>
      <c r="J1916" s="603" t="str">
        <f t="shared" si="723"/>
        <v>0</v>
      </c>
      <c r="K1916" s="608">
        <v>0</v>
      </c>
      <c r="L1916" s="609" t="str">
        <f t="shared" si="724"/>
        <v>0</v>
      </c>
      <c r="M1916" s="609" t="str">
        <f t="shared" si="724"/>
        <v>0</v>
      </c>
      <c r="N1916" s="609" t="str">
        <f t="shared" si="724"/>
        <v>0</v>
      </c>
      <c r="O1916" s="609" t="str">
        <f t="shared" si="724"/>
        <v>0</v>
      </c>
      <c r="P1916" s="609" t="str">
        <f t="shared" si="724"/>
        <v>0</v>
      </c>
      <c r="Q1916" s="609" t="str">
        <f t="shared" si="724"/>
        <v>0</v>
      </c>
      <c r="R1916" s="603" t="str">
        <f t="shared" si="724"/>
        <v>0</v>
      </c>
    </row>
    <row r="1917" spans="2:18">
      <c r="B1917" s="595" t="s">
        <v>1061</v>
      </c>
      <c r="C1917" s="608">
        <v>0</v>
      </c>
      <c r="D1917" s="609" t="str">
        <f t="shared" si="723"/>
        <v>0</v>
      </c>
      <c r="E1917" s="609">
        <f t="shared" si="723"/>
        <v>16.571461538461541</v>
      </c>
      <c r="F1917" s="609">
        <f t="shared" si="723"/>
        <v>16.391068139780884</v>
      </c>
      <c r="G1917" s="609">
        <f t="shared" si="723"/>
        <v>9.3920935422128196</v>
      </c>
      <c r="H1917" s="609">
        <f t="shared" si="723"/>
        <v>16.787752580482639</v>
      </c>
      <c r="I1917" s="609">
        <f t="shared" si="723"/>
        <v>-23.027459382506699</v>
      </c>
      <c r="J1917" s="603">
        <f t="shared" si="723"/>
        <v>67.76759873162294</v>
      </c>
      <c r="K1917" s="608">
        <v>0</v>
      </c>
      <c r="L1917" s="609" t="str">
        <f t="shared" si="724"/>
        <v>0</v>
      </c>
      <c r="M1917" s="609">
        <f t="shared" si="724"/>
        <v>11.0425</v>
      </c>
      <c r="N1917" s="609">
        <f t="shared" si="724"/>
        <v>-0.48134723191569639</v>
      </c>
      <c r="O1917" s="609">
        <f t="shared" si="724"/>
        <v>3.0536250769174877</v>
      </c>
      <c r="P1917" s="609">
        <f t="shared" si="724"/>
        <v>8.7963471121550896</v>
      </c>
      <c r="Q1917" s="609">
        <f t="shared" si="724"/>
        <v>6.91404358353509</v>
      </c>
      <c r="R1917" s="603">
        <f t="shared" si="724"/>
        <v>47.378393782578996</v>
      </c>
    </row>
    <row r="1918" spans="2:18">
      <c r="B1918" s="595" t="s">
        <v>1047</v>
      </c>
      <c r="C1918" s="608">
        <v>0</v>
      </c>
      <c r="D1918" s="609" t="str">
        <f t="shared" si="723"/>
        <v>0</v>
      </c>
      <c r="E1918" s="609" t="str">
        <f t="shared" si="723"/>
        <v>0</v>
      </c>
      <c r="F1918" s="609" t="str">
        <f t="shared" si="723"/>
        <v>0</v>
      </c>
      <c r="G1918" s="609" t="str">
        <f t="shared" si="723"/>
        <v>0</v>
      </c>
      <c r="H1918" s="609" t="str">
        <f t="shared" si="723"/>
        <v>0</v>
      </c>
      <c r="I1918" s="609" t="str">
        <f t="shared" si="723"/>
        <v>0</v>
      </c>
      <c r="J1918" s="603" t="str">
        <f t="shared" si="723"/>
        <v>0</v>
      </c>
      <c r="K1918" s="608">
        <v>0</v>
      </c>
      <c r="L1918" s="609" t="str">
        <f t="shared" si="724"/>
        <v>0</v>
      </c>
      <c r="M1918" s="609" t="str">
        <f t="shared" si="724"/>
        <v>0</v>
      </c>
      <c r="N1918" s="609" t="str">
        <f t="shared" si="724"/>
        <v>0</v>
      </c>
      <c r="O1918" s="609" t="str">
        <f t="shared" si="724"/>
        <v>0</v>
      </c>
      <c r="P1918" s="609" t="str">
        <f t="shared" si="724"/>
        <v>0</v>
      </c>
      <c r="Q1918" s="609" t="str">
        <f t="shared" si="724"/>
        <v>0</v>
      </c>
      <c r="R1918" s="603" t="str">
        <f t="shared" si="724"/>
        <v>0</v>
      </c>
    </row>
    <row r="1919" spans="2:18">
      <c r="B1919" s="595" t="s">
        <v>1048</v>
      </c>
      <c r="C1919" s="608">
        <v>0</v>
      </c>
      <c r="D1919" s="609" t="str">
        <f t="shared" si="723"/>
        <v>0</v>
      </c>
      <c r="E1919" s="609" t="str">
        <f t="shared" si="723"/>
        <v>0</v>
      </c>
      <c r="F1919" s="609" t="str">
        <f t="shared" si="723"/>
        <v>0</v>
      </c>
      <c r="G1919" s="609" t="str">
        <f t="shared" si="723"/>
        <v>0</v>
      </c>
      <c r="H1919" s="609" t="str">
        <f t="shared" si="723"/>
        <v>0</v>
      </c>
      <c r="I1919" s="609" t="str">
        <f t="shared" si="723"/>
        <v>0</v>
      </c>
      <c r="J1919" s="603" t="str">
        <f t="shared" si="723"/>
        <v>0</v>
      </c>
      <c r="K1919" s="608" t="str">
        <f>IF(ISNUMBER((K1871/J1871-1)*100),(K1871/J1871-1)*100,"0")</f>
        <v>0</v>
      </c>
      <c r="L1919" s="609" t="str">
        <f t="shared" si="724"/>
        <v>0</v>
      </c>
      <c r="M1919" s="609" t="str">
        <f t="shared" si="724"/>
        <v>0</v>
      </c>
      <c r="N1919" s="609" t="str">
        <f t="shared" si="724"/>
        <v>0</v>
      </c>
      <c r="O1919" s="609" t="str">
        <f t="shared" si="724"/>
        <v>0</v>
      </c>
      <c r="P1919" s="609" t="str">
        <f t="shared" si="724"/>
        <v>0</v>
      </c>
      <c r="Q1919" s="609" t="str">
        <f t="shared" si="724"/>
        <v>0</v>
      </c>
      <c r="R1919" s="603" t="str">
        <f t="shared" si="724"/>
        <v>0</v>
      </c>
    </row>
    <row r="1920" spans="2:18">
      <c r="B1920" s="595" t="s">
        <v>1049</v>
      </c>
      <c r="C1920" s="608">
        <v>0</v>
      </c>
      <c r="D1920" s="609" t="str">
        <f t="shared" si="723"/>
        <v>0</v>
      </c>
      <c r="E1920" s="609" t="str">
        <f t="shared" si="723"/>
        <v>0</v>
      </c>
      <c r="F1920" s="609" t="str">
        <f t="shared" si="723"/>
        <v>0</v>
      </c>
      <c r="G1920" s="609" t="str">
        <f t="shared" si="723"/>
        <v>0</v>
      </c>
      <c r="H1920" s="609" t="str">
        <f t="shared" si="723"/>
        <v>0</v>
      </c>
      <c r="I1920" s="609" t="str">
        <f t="shared" si="723"/>
        <v>0</v>
      </c>
      <c r="J1920" s="603" t="str">
        <f t="shared" si="723"/>
        <v>0</v>
      </c>
      <c r="K1920" s="608">
        <v>0</v>
      </c>
      <c r="L1920" s="609" t="str">
        <f t="shared" si="724"/>
        <v>0</v>
      </c>
      <c r="M1920" s="609" t="str">
        <f t="shared" si="724"/>
        <v>0</v>
      </c>
      <c r="N1920" s="609" t="str">
        <f t="shared" si="724"/>
        <v>0</v>
      </c>
      <c r="O1920" s="609" t="str">
        <f t="shared" si="724"/>
        <v>0</v>
      </c>
      <c r="P1920" s="609" t="str">
        <f t="shared" si="724"/>
        <v>0</v>
      </c>
      <c r="Q1920" s="609" t="str">
        <f t="shared" si="724"/>
        <v>0</v>
      </c>
      <c r="R1920" s="603" t="str">
        <f t="shared" si="724"/>
        <v>0</v>
      </c>
    </row>
    <row r="1921" spans="2:18">
      <c r="B1921" s="595" t="s">
        <v>1050</v>
      </c>
      <c r="C1921" s="608" t="str">
        <f>IF(ISNUMBER((C1873/B1873-1)*100),(C1873/B1873-1)*100,"0")</f>
        <v>0</v>
      </c>
      <c r="D1921" s="609" t="str">
        <f t="shared" ref="D1921:J1926" si="725">IF(ISNUMBER((D1873/C1873-1)*100),(D1873/C1873-1)*100,"0")</f>
        <v>0</v>
      </c>
      <c r="E1921" s="609" t="str">
        <f t="shared" si="725"/>
        <v>0</v>
      </c>
      <c r="F1921" s="609" t="str">
        <f t="shared" si="725"/>
        <v>0</v>
      </c>
      <c r="G1921" s="609" t="str">
        <f t="shared" si="725"/>
        <v>0</v>
      </c>
      <c r="H1921" s="609" t="str">
        <f t="shared" si="725"/>
        <v>0</v>
      </c>
      <c r="I1921" s="609" t="str">
        <f t="shared" si="725"/>
        <v>0</v>
      </c>
      <c r="J1921" s="603" t="str">
        <f t="shared" si="725"/>
        <v>0</v>
      </c>
      <c r="K1921" s="608">
        <v>0</v>
      </c>
      <c r="L1921" s="609" t="str">
        <f t="shared" ref="L1921:R1926" si="726">IF(ISNUMBER((L1873/K1873-1)*100),(L1873/K1873-1)*100,"0")</f>
        <v>0</v>
      </c>
      <c r="M1921" s="609" t="str">
        <f t="shared" si="726"/>
        <v>0</v>
      </c>
      <c r="N1921" s="609" t="str">
        <f t="shared" si="726"/>
        <v>0</v>
      </c>
      <c r="O1921" s="609" t="str">
        <f t="shared" si="726"/>
        <v>0</v>
      </c>
      <c r="P1921" s="609" t="str">
        <f t="shared" si="726"/>
        <v>0</v>
      </c>
      <c r="Q1921" s="609" t="str">
        <f t="shared" si="726"/>
        <v>0</v>
      </c>
      <c r="R1921" s="603" t="str">
        <f t="shared" si="726"/>
        <v>0</v>
      </c>
    </row>
    <row r="1922" spans="2:18">
      <c r="B1922" s="595" t="s">
        <v>1051</v>
      </c>
      <c r="C1922" s="608">
        <v>0</v>
      </c>
      <c r="D1922" s="609" t="str">
        <f t="shared" si="725"/>
        <v>0</v>
      </c>
      <c r="E1922" s="609" t="str">
        <f t="shared" si="725"/>
        <v>0</v>
      </c>
      <c r="F1922" s="609" t="str">
        <f t="shared" si="725"/>
        <v>0</v>
      </c>
      <c r="G1922" s="609" t="str">
        <f t="shared" si="725"/>
        <v>0</v>
      </c>
      <c r="H1922" s="609" t="str">
        <f t="shared" si="725"/>
        <v>0</v>
      </c>
      <c r="I1922" s="609" t="str">
        <f t="shared" si="725"/>
        <v>0</v>
      </c>
      <c r="J1922" s="603" t="str">
        <f t="shared" si="725"/>
        <v>0</v>
      </c>
      <c r="K1922" s="608">
        <v>0</v>
      </c>
      <c r="L1922" s="609" t="str">
        <f t="shared" si="726"/>
        <v>0</v>
      </c>
      <c r="M1922" s="609" t="str">
        <f t="shared" si="726"/>
        <v>0</v>
      </c>
      <c r="N1922" s="609" t="str">
        <f t="shared" si="726"/>
        <v>0</v>
      </c>
      <c r="O1922" s="609" t="str">
        <f t="shared" si="726"/>
        <v>0</v>
      </c>
      <c r="P1922" s="609" t="str">
        <f t="shared" si="726"/>
        <v>0</v>
      </c>
      <c r="Q1922" s="609" t="str">
        <f t="shared" si="726"/>
        <v>0</v>
      </c>
      <c r="R1922" s="603" t="str">
        <f t="shared" si="726"/>
        <v>0</v>
      </c>
    </row>
    <row r="1923" spans="2:18">
      <c r="B1923" s="595" t="s">
        <v>1052</v>
      </c>
      <c r="C1923" s="608">
        <v>82.764861172606928</v>
      </c>
      <c r="D1923" s="609">
        <f t="shared" si="725"/>
        <v>31.747771212779206</v>
      </c>
      <c r="E1923" s="609">
        <f t="shared" si="725"/>
        <v>44.959595851349832</v>
      </c>
      <c r="F1923" s="609">
        <f t="shared" si="725"/>
        <v>32.597237660998516</v>
      </c>
      <c r="G1923" s="609">
        <f t="shared" si="725"/>
        <v>52.906608243090616</v>
      </c>
      <c r="H1923" s="609">
        <f t="shared" si="725"/>
        <v>25.271088825740517</v>
      </c>
      <c r="I1923" s="609">
        <f t="shared" si="725"/>
        <v>-1.9284729793822231</v>
      </c>
      <c r="J1923" s="603">
        <f t="shared" si="725"/>
        <v>29.377148344509617</v>
      </c>
      <c r="K1923" s="608">
        <v>0</v>
      </c>
      <c r="L1923" s="609" t="str">
        <f t="shared" si="726"/>
        <v>0</v>
      </c>
      <c r="M1923" s="609" t="str">
        <f t="shared" si="726"/>
        <v>0</v>
      </c>
      <c r="N1923" s="609" t="str">
        <f t="shared" si="726"/>
        <v>0</v>
      </c>
      <c r="O1923" s="609" t="str">
        <f t="shared" si="726"/>
        <v>0</v>
      </c>
      <c r="P1923" s="609" t="str">
        <f t="shared" si="726"/>
        <v>0</v>
      </c>
      <c r="Q1923" s="609" t="str">
        <f t="shared" si="726"/>
        <v>0</v>
      </c>
      <c r="R1923" s="603" t="str">
        <f t="shared" si="726"/>
        <v>0</v>
      </c>
    </row>
    <row r="1924" spans="2:18">
      <c r="B1924" s="595" t="s">
        <v>1053</v>
      </c>
      <c r="C1924" s="608">
        <v>0</v>
      </c>
      <c r="D1924" s="609" t="str">
        <f t="shared" si="725"/>
        <v>0</v>
      </c>
      <c r="E1924" s="609">
        <f t="shared" si="725"/>
        <v>20.882818576479867</v>
      </c>
      <c r="F1924" s="609">
        <f t="shared" si="725"/>
        <v>16.831705758875604</v>
      </c>
      <c r="G1924" s="609">
        <f t="shared" si="725"/>
        <v>65.302802460697194</v>
      </c>
      <c r="H1924" s="609">
        <f t="shared" si="725"/>
        <v>14.122755925946496</v>
      </c>
      <c r="I1924" s="609">
        <f t="shared" si="725"/>
        <v>-52.047193881952495</v>
      </c>
      <c r="J1924" s="603">
        <f t="shared" si="725"/>
        <v>13.261702910048911</v>
      </c>
      <c r="K1924" s="608">
        <v>0</v>
      </c>
      <c r="L1924" s="609" t="str">
        <f t="shared" si="726"/>
        <v>0</v>
      </c>
      <c r="M1924" s="609">
        <f t="shared" si="726"/>
        <v>11.551695141799101</v>
      </c>
      <c r="N1924" s="609">
        <f t="shared" si="726"/>
        <v>24.655141673642376</v>
      </c>
      <c r="O1924" s="609">
        <f t="shared" si="726"/>
        <v>14.083948776500943</v>
      </c>
      <c r="P1924" s="609">
        <f t="shared" si="726"/>
        <v>17.123258875473056</v>
      </c>
      <c r="Q1924" s="609">
        <f t="shared" si="726"/>
        <v>26.749311747785498</v>
      </c>
      <c r="R1924" s="603">
        <f t="shared" si="726"/>
        <v>31.600552083296417</v>
      </c>
    </row>
    <row r="1925" spans="2:18">
      <c r="B1925" s="595" t="s">
        <v>1054</v>
      </c>
      <c r="C1925" s="608">
        <v>0</v>
      </c>
      <c r="D1925" s="609" t="str">
        <f t="shared" si="725"/>
        <v>0</v>
      </c>
      <c r="E1925" s="609" t="str">
        <f t="shared" si="725"/>
        <v>0</v>
      </c>
      <c r="F1925" s="609" t="str">
        <f t="shared" si="725"/>
        <v>0</v>
      </c>
      <c r="G1925" s="609" t="str">
        <f t="shared" si="725"/>
        <v>0</v>
      </c>
      <c r="H1925" s="609" t="str">
        <f t="shared" si="725"/>
        <v>0</v>
      </c>
      <c r="I1925" s="609" t="str">
        <f t="shared" si="725"/>
        <v>0</v>
      </c>
      <c r="J1925" s="603" t="str">
        <f t="shared" si="725"/>
        <v>0</v>
      </c>
      <c r="K1925" s="608">
        <v>0</v>
      </c>
      <c r="L1925" s="609" t="str">
        <f t="shared" si="726"/>
        <v>0</v>
      </c>
      <c r="M1925" s="609" t="str">
        <f t="shared" si="726"/>
        <v>0</v>
      </c>
      <c r="N1925" s="609" t="str">
        <f t="shared" si="726"/>
        <v>0</v>
      </c>
      <c r="O1925" s="609" t="str">
        <f t="shared" si="726"/>
        <v>0</v>
      </c>
      <c r="P1925" s="609" t="str">
        <f t="shared" si="726"/>
        <v>0</v>
      </c>
      <c r="Q1925" s="609" t="str">
        <f t="shared" si="726"/>
        <v>0</v>
      </c>
      <c r="R1925" s="603" t="str">
        <f t="shared" si="726"/>
        <v>0</v>
      </c>
    </row>
    <row r="1926" spans="2:18">
      <c r="B1926" s="604" t="s">
        <v>1055</v>
      </c>
      <c r="C1926" s="610" t="str">
        <f>IF(ISNUMBER((C1878/B1878-1)*100),(C1878/B1878-1)*100,"0")</f>
        <v>0</v>
      </c>
      <c r="D1926" s="617" t="str">
        <f t="shared" si="725"/>
        <v>0</v>
      </c>
      <c r="E1926" s="617" t="str">
        <f t="shared" si="725"/>
        <v>0</v>
      </c>
      <c r="F1926" s="617" t="str">
        <f t="shared" si="725"/>
        <v>0</v>
      </c>
      <c r="G1926" s="617" t="str">
        <f t="shared" si="725"/>
        <v>0</v>
      </c>
      <c r="H1926" s="617" t="str">
        <f t="shared" si="725"/>
        <v>0</v>
      </c>
      <c r="I1926" s="617" t="str">
        <f t="shared" si="725"/>
        <v>0</v>
      </c>
      <c r="J1926" s="618" t="str">
        <f t="shared" si="725"/>
        <v>0</v>
      </c>
      <c r="K1926" s="610" t="str">
        <f>IF(ISNUMBER((K1878/J1878-1)*100),(K1878/J1878-1)*100,"0")</f>
        <v>0</v>
      </c>
      <c r="L1926" s="617">
        <f t="shared" si="726"/>
        <v>9.2591080800142009</v>
      </c>
      <c r="M1926" s="617">
        <f t="shared" si="726"/>
        <v>7.925175663944839</v>
      </c>
      <c r="N1926" s="617">
        <f t="shared" si="726"/>
        <v>-0.38969753666004969</v>
      </c>
      <c r="O1926" s="617">
        <f t="shared" si="726"/>
        <v>11.68479562988165</v>
      </c>
      <c r="P1926" s="617">
        <f t="shared" si="726"/>
        <v>17.536210456944133</v>
      </c>
      <c r="Q1926" s="617">
        <f t="shared" si="726"/>
        <v>-12.965954056762708</v>
      </c>
      <c r="R1926" s="618">
        <f t="shared" si="726"/>
        <v>7.9849532211129004</v>
      </c>
    </row>
    <row r="1927" spans="2:18">
      <c r="B1927" s="57"/>
      <c r="C1927" s="582"/>
      <c r="D1927" s="582"/>
      <c r="E1927" s="582"/>
      <c r="F1927" s="582"/>
      <c r="G1927" s="582"/>
      <c r="H1927" s="582"/>
      <c r="I1927" s="582"/>
      <c r="J1927" s="582"/>
      <c r="K1927" s="582"/>
      <c r="L1927" s="582"/>
      <c r="M1927" s="582"/>
      <c r="N1927" s="582"/>
      <c r="O1927" s="582"/>
      <c r="P1927" s="582"/>
      <c r="Q1927" s="582"/>
    </row>
    <row r="1928" spans="2:18">
      <c r="B1928" s="2157" t="s">
        <v>1212</v>
      </c>
      <c r="C1928" s="2157"/>
      <c r="D1928" s="2157"/>
      <c r="E1928" s="2157"/>
      <c r="F1928" s="2157"/>
      <c r="G1928" s="2157"/>
      <c r="H1928" s="2157"/>
      <c r="I1928" s="2157"/>
      <c r="J1928" s="2157"/>
      <c r="K1928" s="2157"/>
      <c r="L1928" s="2157"/>
      <c r="M1928" s="2157"/>
      <c r="N1928" s="2157"/>
      <c r="O1928" s="2157"/>
      <c r="P1928" s="2157"/>
      <c r="Q1928" s="2157"/>
      <c r="R1928" s="2157"/>
    </row>
    <row r="1929" spans="2:18">
      <c r="B1929" s="2159" t="s">
        <v>1213</v>
      </c>
      <c r="C1929" s="2159"/>
      <c r="D1929" s="2159"/>
      <c r="E1929" s="2159"/>
      <c r="F1929" s="2159"/>
      <c r="G1929" s="2159"/>
      <c r="H1929" s="2159"/>
      <c r="I1929" s="2159"/>
      <c r="J1929" s="2159"/>
      <c r="K1929" s="2159"/>
      <c r="L1929" s="2159"/>
      <c r="M1929" s="2159"/>
      <c r="N1929" s="2159"/>
      <c r="O1929" s="2159"/>
      <c r="P1929" s="2159"/>
      <c r="Q1929" s="2159"/>
      <c r="R1929" s="2159"/>
    </row>
    <row r="1930" spans="2:18">
      <c r="B1930" s="2160" t="s">
        <v>1197</v>
      </c>
      <c r="C1930" s="2160"/>
      <c r="D1930" s="2160"/>
      <c r="E1930" s="2160"/>
      <c r="F1930" s="2160"/>
      <c r="G1930" s="2160"/>
      <c r="H1930" s="2160"/>
      <c r="I1930" s="2160"/>
      <c r="J1930" s="2160"/>
      <c r="K1930" s="2160"/>
      <c r="L1930" s="2160"/>
      <c r="M1930" s="2160"/>
      <c r="N1930" s="2160"/>
      <c r="O1930" s="2160"/>
      <c r="P1930" s="2160"/>
      <c r="Q1930" s="2160"/>
      <c r="R1930" s="2160"/>
    </row>
    <row r="1931" spans="2:18">
      <c r="B1931" s="57"/>
      <c r="C1931" s="582"/>
      <c r="D1931" s="582"/>
      <c r="E1931" s="582"/>
      <c r="F1931" s="582"/>
      <c r="G1931" s="582"/>
      <c r="H1931" s="582"/>
      <c r="I1931" s="582"/>
      <c r="J1931" s="582"/>
      <c r="K1931" s="582"/>
      <c r="L1931" s="582"/>
      <c r="M1931" s="582"/>
      <c r="N1931" s="582"/>
      <c r="O1931" s="582"/>
      <c r="P1931" s="582"/>
      <c r="Q1931" s="582"/>
    </row>
    <row r="1932" spans="2:18">
      <c r="B1932" s="612"/>
      <c r="C1932" s="2211" t="s">
        <v>1205</v>
      </c>
      <c r="D1932" s="2212"/>
      <c r="E1932" s="2212"/>
      <c r="F1932" s="2212"/>
      <c r="G1932" s="2212"/>
      <c r="H1932" s="2212"/>
      <c r="I1932" s="2212"/>
      <c r="J1932" s="2212"/>
      <c r="K1932" s="2212"/>
      <c r="L1932" s="2212"/>
      <c r="M1932" s="2212"/>
      <c r="N1932" s="2212"/>
      <c r="O1932" s="2212"/>
      <c r="P1932" s="2212"/>
      <c r="Q1932" s="2212"/>
      <c r="R1932" s="2213"/>
    </row>
    <row r="1933" spans="2:18">
      <c r="B1933" s="583"/>
      <c r="C1933" s="2217" t="s">
        <v>1185</v>
      </c>
      <c r="D1933" s="2218"/>
      <c r="E1933" s="2218"/>
      <c r="F1933" s="2218"/>
      <c r="G1933" s="2218"/>
      <c r="H1933" s="2218"/>
      <c r="I1933" s="2218"/>
      <c r="J1933" s="2219"/>
      <c r="K1933" s="2170" t="s">
        <v>1186</v>
      </c>
      <c r="L1933" s="2171"/>
      <c r="M1933" s="2171"/>
      <c r="N1933" s="2171"/>
      <c r="O1933" s="2171"/>
      <c r="P1933" s="2171"/>
      <c r="Q1933" s="2171"/>
      <c r="R1933" s="2172"/>
    </row>
    <row r="1934" spans="2:18">
      <c r="B1934" s="57"/>
      <c r="C1934" s="585">
        <v>2014</v>
      </c>
      <c r="D1934" s="586">
        <v>2015</v>
      </c>
      <c r="E1934" s="586">
        <v>2016</v>
      </c>
      <c r="F1934" s="586">
        <v>2017</v>
      </c>
      <c r="G1934" s="586">
        <v>2018</v>
      </c>
      <c r="H1934" s="586">
        <v>2019</v>
      </c>
      <c r="I1934" s="586">
        <v>2020</v>
      </c>
      <c r="J1934" s="586">
        <v>2021</v>
      </c>
      <c r="K1934" s="587">
        <v>2014</v>
      </c>
      <c r="L1934" s="588">
        <v>2015</v>
      </c>
      <c r="M1934" s="588">
        <v>2016</v>
      </c>
      <c r="N1934" s="588">
        <v>2017</v>
      </c>
      <c r="O1934" s="588">
        <v>2018</v>
      </c>
      <c r="P1934" s="588">
        <v>2019</v>
      </c>
      <c r="Q1934" s="588">
        <v>2020</v>
      </c>
      <c r="R1934" s="848">
        <v>2021</v>
      </c>
    </row>
    <row r="1935" spans="2:18">
      <c r="B1935" s="589" t="s">
        <v>1038</v>
      </c>
      <c r="C1935" s="614">
        <f>ARG!C269</f>
        <v>0</v>
      </c>
      <c r="D1935" s="615">
        <f>ARG!D269</f>
        <v>0</v>
      </c>
      <c r="E1935" s="615">
        <f>ARG!E269</f>
        <v>0</v>
      </c>
      <c r="F1935" s="615">
        <f>ARG!F269</f>
        <v>0</v>
      </c>
      <c r="G1935" s="615">
        <f>ARG!G269</f>
        <v>0</v>
      </c>
      <c r="H1935" s="615">
        <f>ARG!H269</f>
        <v>0</v>
      </c>
      <c r="I1935" s="615">
        <f>ARG!I269</f>
        <v>0</v>
      </c>
      <c r="J1935" s="616">
        <f>ARG!J269</f>
        <v>0</v>
      </c>
      <c r="K1935" s="614">
        <f>ARG!C259</f>
        <v>49469.993346034542</v>
      </c>
      <c r="L1935" s="615">
        <f>ARG!D259</f>
        <v>45081.87972847213</v>
      </c>
      <c r="M1935" s="615">
        <f>ARG!E259</f>
        <v>53010.104896099736</v>
      </c>
      <c r="N1935" s="615">
        <f>ARG!F259</f>
        <v>60481.840839398057</v>
      </c>
      <c r="O1935" s="615">
        <f>ARG!G259</f>
        <v>42518.009136687971</v>
      </c>
      <c r="P1935" s="615">
        <f>ARG!H259</f>
        <v>38959.541491944234</v>
      </c>
      <c r="Q1935" s="615">
        <f>ARG!I259</f>
        <v>40433.384834799144</v>
      </c>
      <c r="R1935" s="616">
        <f>ARG!J259</f>
        <v>60109.373091482652</v>
      </c>
    </row>
    <row r="1936" spans="2:18">
      <c r="B1936" s="595" t="s">
        <v>1039</v>
      </c>
      <c r="C1936" s="608">
        <f>BA!C258</f>
        <v>0</v>
      </c>
      <c r="D1936" s="609">
        <f>BA!D258</f>
        <v>0</v>
      </c>
      <c r="E1936" s="609">
        <f>BA!E258</f>
        <v>0</v>
      </c>
      <c r="F1936" s="609">
        <f>BA!F258</f>
        <v>0</v>
      </c>
      <c r="G1936" s="609">
        <f>BA!G258</f>
        <v>0</v>
      </c>
      <c r="H1936" s="609">
        <f>BA!H258</f>
        <v>0</v>
      </c>
      <c r="I1936" s="609">
        <f>BA!I258</f>
        <v>0</v>
      </c>
      <c r="J1936" s="603">
        <f>BA!J258</f>
        <v>0</v>
      </c>
      <c r="K1936" s="608">
        <f>BA!C248</f>
        <v>0</v>
      </c>
      <c r="L1936" s="609">
        <f>BA!D248</f>
        <v>0</v>
      </c>
      <c r="M1936" s="609">
        <f>BA!E248</f>
        <v>0</v>
      </c>
      <c r="N1936" s="609">
        <f>BA!F248</f>
        <v>0</v>
      </c>
      <c r="O1936" s="609">
        <f>BA!G248</f>
        <v>0</v>
      </c>
      <c r="P1936" s="609">
        <f>BA!H248</f>
        <v>0</v>
      </c>
      <c r="Q1936" s="609">
        <f>BA!I248</f>
        <v>0</v>
      </c>
      <c r="R1936" s="603">
        <f>BA!J248</f>
        <v>0</v>
      </c>
    </row>
    <row r="1937" spans="2:18">
      <c r="B1937" s="595" t="s">
        <v>1040</v>
      </c>
      <c r="C1937" s="608">
        <f>BO!C256</f>
        <v>0</v>
      </c>
      <c r="D1937" s="609">
        <f>BO!D256</f>
        <v>0</v>
      </c>
      <c r="E1937" s="609">
        <f>BO!E256</f>
        <v>0</v>
      </c>
      <c r="F1937" s="609">
        <f>BO!F256</f>
        <v>0</v>
      </c>
      <c r="G1937" s="609">
        <f>BO!G256</f>
        <v>0</v>
      </c>
      <c r="H1937" s="609">
        <f>BO!H256</f>
        <v>0</v>
      </c>
      <c r="I1937" s="609">
        <f>BO!I256</f>
        <v>0</v>
      </c>
      <c r="J1937" s="603">
        <f>BO!J256</f>
        <v>0</v>
      </c>
      <c r="K1937" s="608">
        <f>BO!C246</f>
        <v>450.42448206997085</v>
      </c>
      <c r="L1937" s="609">
        <f>BO!D246</f>
        <v>508.44299300291539</v>
      </c>
      <c r="M1937" s="609">
        <f>BO!E246</f>
        <v>558.45928556851311</v>
      </c>
      <c r="N1937" s="609">
        <f>BO!F246</f>
        <v>651.1344950437317</v>
      </c>
      <c r="O1937" s="609">
        <f>BO!G246</f>
        <v>774.8129338466938</v>
      </c>
      <c r="P1937" s="609">
        <f>BO!H246</f>
        <v>922.76110386152322</v>
      </c>
      <c r="Q1937" s="609">
        <f>BO!I246</f>
        <v>881.5703648416968</v>
      </c>
      <c r="R1937" s="603">
        <f>BO!J246</f>
        <v>1245.3122751554979</v>
      </c>
    </row>
    <row r="1938" spans="2:18">
      <c r="B1938" s="595" t="s">
        <v>1041</v>
      </c>
      <c r="C1938" s="608">
        <f>BR!C264</f>
        <v>0</v>
      </c>
      <c r="D1938" s="609">
        <f>BR!D264</f>
        <v>0</v>
      </c>
      <c r="E1938" s="609">
        <f>BR!E264</f>
        <v>0</v>
      </c>
      <c r="F1938" s="609">
        <f>BR!F264</f>
        <v>0</v>
      </c>
      <c r="G1938" s="609">
        <f>BR!G264</f>
        <v>0</v>
      </c>
      <c r="H1938" s="609">
        <f>BR!H264</f>
        <v>0</v>
      </c>
      <c r="I1938" s="609">
        <f>BR!I264</f>
        <v>0</v>
      </c>
      <c r="J1938" s="603">
        <f>BR!J264</f>
        <v>0</v>
      </c>
      <c r="K1938" s="608">
        <f>BR!C254</f>
        <v>400585.55314902117</v>
      </c>
      <c r="L1938" s="609">
        <f>BR!D254</f>
        <v>310787.08179830475</v>
      </c>
      <c r="M1938" s="609">
        <f>BR!E254</f>
        <v>318516.96552120114</v>
      </c>
      <c r="N1938" s="609">
        <f>BR!F254</f>
        <v>385268.54865527013</v>
      </c>
      <c r="O1938" s="609">
        <f>BR!G254</f>
        <v>383922.8908209611</v>
      </c>
      <c r="P1938" s="609">
        <f>BR!H254</f>
        <v>444945.82899748615</v>
      </c>
      <c r="Q1938" s="609">
        <f>BR!I254</f>
        <v>385667.85748447984</v>
      </c>
      <c r="R1938" s="603">
        <f>BR!J254</f>
        <v>480533.80870712065</v>
      </c>
    </row>
    <row r="1939" spans="2:18">
      <c r="B1939" s="595" t="s">
        <v>1042</v>
      </c>
      <c r="C1939" s="608">
        <f>CL!C261</f>
        <v>0</v>
      </c>
      <c r="D1939" s="609">
        <f>CL!D261</f>
        <v>0</v>
      </c>
      <c r="E1939" s="609">
        <f>CL!E261</f>
        <v>0</v>
      </c>
      <c r="F1939" s="609">
        <f>CL!F261</f>
        <v>0</v>
      </c>
      <c r="G1939" s="609">
        <f>CL!G261</f>
        <v>0</v>
      </c>
      <c r="H1939" s="609">
        <f>CL!H261</f>
        <v>0</v>
      </c>
      <c r="I1939" s="609">
        <f>CL!I261</f>
        <v>0</v>
      </c>
      <c r="J1939" s="603">
        <f>CL!J261</f>
        <v>0</v>
      </c>
      <c r="K1939" s="608">
        <f>CL!C251</f>
        <v>0</v>
      </c>
      <c r="L1939" s="609">
        <f>CL!D251</f>
        <v>0</v>
      </c>
      <c r="M1939" s="609">
        <f>CL!E251</f>
        <v>0</v>
      </c>
      <c r="N1939" s="609">
        <f>CL!F251</f>
        <v>0</v>
      </c>
      <c r="O1939" s="609">
        <f>CL!G251</f>
        <v>0</v>
      </c>
      <c r="P1939" s="609">
        <f>CL!H251</f>
        <v>0</v>
      </c>
      <c r="Q1939" s="609">
        <f>CL!I251</f>
        <v>0</v>
      </c>
      <c r="R1939" s="603">
        <f>CL!J251</f>
        <v>0</v>
      </c>
    </row>
    <row r="1940" spans="2:18">
      <c r="B1940" s="595" t="s">
        <v>1043</v>
      </c>
      <c r="C1940" s="608">
        <f>CO!C258</f>
        <v>0</v>
      </c>
      <c r="D1940" s="609">
        <f>CO!D258</f>
        <v>0</v>
      </c>
      <c r="E1940" s="609">
        <f>CO!E258</f>
        <v>0</v>
      </c>
      <c r="F1940" s="609">
        <f>CO!F258</f>
        <v>0</v>
      </c>
      <c r="G1940" s="609">
        <f>CO!G258</f>
        <v>0</v>
      </c>
      <c r="H1940" s="609">
        <f>CO!H258</f>
        <v>0</v>
      </c>
      <c r="I1940" s="609">
        <f>CO!I258</f>
        <v>0</v>
      </c>
      <c r="J1940" s="603">
        <f>CO!J258</f>
        <v>0</v>
      </c>
      <c r="K1940" s="608">
        <f>CO!C248</f>
        <v>0</v>
      </c>
      <c r="L1940" s="609">
        <f>CO!D248</f>
        <v>0</v>
      </c>
      <c r="M1940" s="609">
        <f>CO!E248</f>
        <v>0</v>
      </c>
      <c r="N1940" s="609">
        <f>CO!F248</f>
        <v>0</v>
      </c>
      <c r="O1940" s="609">
        <f>CO!G248</f>
        <v>0</v>
      </c>
      <c r="P1940" s="609">
        <f>CO!H248</f>
        <v>0</v>
      </c>
      <c r="Q1940" s="609">
        <f>CO!I248</f>
        <v>0</v>
      </c>
      <c r="R1940" s="603">
        <f>CO!J248</f>
        <v>0</v>
      </c>
    </row>
    <row r="1941" spans="2:18">
      <c r="B1941" s="595" t="s">
        <v>1044</v>
      </c>
      <c r="C1941" s="608">
        <f>CR!C270</f>
        <v>0</v>
      </c>
      <c r="D1941" s="609">
        <f>CR!D270</f>
        <v>0</v>
      </c>
      <c r="E1941" s="609">
        <f>CR!E270</f>
        <v>0</v>
      </c>
      <c r="F1941" s="609">
        <f>CR!F270</f>
        <v>0</v>
      </c>
      <c r="G1941" s="609">
        <f>CR!G270</f>
        <v>0</v>
      </c>
      <c r="H1941" s="609">
        <f>CR!H270</f>
        <v>0</v>
      </c>
      <c r="I1941" s="609">
        <f>CR!I270</f>
        <v>0</v>
      </c>
      <c r="J1941" s="603">
        <f>CR!J270</f>
        <v>1978.3957657477661</v>
      </c>
      <c r="K1941" s="608">
        <f>CR!C260</f>
        <v>0</v>
      </c>
      <c r="L1941" s="609">
        <f>CR!D260</f>
        <v>0</v>
      </c>
      <c r="M1941" s="609">
        <f>CR!E260</f>
        <v>0</v>
      </c>
      <c r="N1941" s="609">
        <f>CR!F260</f>
        <v>0</v>
      </c>
      <c r="O1941" s="609">
        <f>CR!G260</f>
        <v>0</v>
      </c>
      <c r="P1941" s="609">
        <f>CR!H260</f>
        <v>0</v>
      </c>
      <c r="Q1941" s="609">
        <f>CR!I260</f>
        <v>0</v>
      </c>
      <c r="R1941" s="603">
        <f>CR!J260</f>
        <v>13225.985700550953</v>
      </c>
    </row>
    <row r="1942" spans="2:18">
      <c r="B1942" s="595" t="s">
        <v>1061</v>
      </c>
      <c r="C1942" s="608">
        <f>CW!C280</f>
        <v>0</v>
      </c>
      <c r="D1942" s="609">
        <v>613.4</v>
      </c>
      <c r="E1942" s="609">
        <f>CW!E280</f>
        <v>611.41910874860332</v>
      </c>
      <c r="F1942" s="609">
        <f>CW!F280</f>
        <v>578.27007572625689</v>
      </c>
      <c r="G1942" s="609">
        <f>CW!G280</f>
        <v>487.83422526815644</v>
      </c>
      <c r="H1942" s="609">
        <f>CW!H280</f>
        <v>571.49899497206707</v>
      </c>
      <c r="I1942" s="609">
        <f>CW!I280</f>
        <v>339.26931955307265</v>
      </c>
      <c r="J1942" s="603">
        <f>CW!J280</f>
        <v>578.63763910614523</v>
      </c>
      <c r="K1942" s="608">
        <f>CW!C270</f>
        <v>0</v>
      </c>
      <c r="L1942" s="609">
        <v>532</v>
      </c>
      <c r="M1942" s="609">
        <f>CW!E270</f>
        <v>600.35850322688816</v>
      </c>
      <c r="N1942" s="609">
        <f>CW!F270</f>
        <v>691.65576043078056</v>
      </c>
      <c r="O1942" s="609">
        <f>CW!G270</f>
        <v>780.20851023463683</v>
      </c>
      <c r="P1942" s="609">
        <f>CW!H270</f>
        <v>815.9052709497206</v>
      </c>
      <c r="Q1942" s="609">
        <f>CW!I270</f>
        <v>825.3594279329609</v>
      </c>
      <c r="R1942" s="603">
        <f>CW!J270</f>
        <v>897.02272960893845</v>
      </c>
    </row>
    <row r="1943" spans="2:18">
      <c r="B1943" s="595" t="s">
        <v>1047</v>
      </c>
      <c r="C1943" s="608">
        <f>EC!C260</f>
        <v>0</v>
      </c>
      <c r="D1943" s="609">
        <f>EC!D260</f>
        <v>0</v>
      </c>
      <c r="E1943" s="609">
        <f>EC!E260</f>
        <v>0</v>
      </c>
      <c r="F1943" s="609">
        <f>EC!F260</f>
        <v>0</v>
      </c>
      <c r="G1943" s="609">
        <f>EC!G260</f>
        <v>0</v>
      </c>
      <c r="H1943" s="609">
        <f>EC!H260</f>
        <v>0</v>
      </c>
      <c r="I1943" s="609">
        <f>EC!I260</f>
        <v>0</v>
      </c>
      <c r="J1943" s="603">
        <f>EC!J260</f>
        <v>0</v>
      </c>
      <c r="K1943" s="608">
        <f>EC!C250</f>
        <v>0</v>
      </c>
      <c r="L1943" s="609">
        <f>EC!D250</f>
        <v>6755.2680957520006</v>
      </c>
      <c r="M1943" s="609">
        <f>EC!E250</f>
        <v>6761.0683737599975</v>
      </c>
      <c r="N1943" s="609">
        <f>EC!F250</f>
        <v>7525.0870968586114</v>
      </c>
      <c r="O1943" s="609">
        <f>EC!G250</f>
        <v>8748.6292921646436</v>
      </c>
      <c r="P1943" s="609">
        <f>EC!H250</f>
        <v>9682.7063774299859</v>
      </c>
      <c r="Q1943" s="609">
        <f>EC!I250</f>
        <v>7847.2113815700022</v>
      </c>
      <c r="R1943" s="603">
        <f>EC!J250</f>
        <v>9365.6834404399979</v>
      </c>
    </row>
    <row r="1944" spans="2:18">
      <c r="B1944" s="595" t="s">
        <v>1048</v>
      </c>
      <c r="C1944" s="608">
        <f>SV!C262</f>
        <v>0</v>
      </c>
      <c r="D1944" s="609">
        <f>SV!D262</f>
        <v>0</v>
      </c>
      <c r="E1944" s="609">
        <f>SV!E262</f>
        <v>0</v>
      </c>
      <c r="F1944" s="609">
        <f>SV!F262</f>
        <v>0</v>
      </c>
      <c r="G1944" s="609">
        <f>SV!G262</f>
        <v>0</v>
      </c>
      <c r="H1944" s="609">
        <f>SV!H262</f>
        <v>0</v>
      </c>
      <c r="I1944" s="609">
        <f>SV!I262</f>
        <v>0</v>
      </c>
      <c r="J1944" s="603">
        <f>SV!J262</f>
        <v>0</v>
      </c>
      <c r="K1944" s="608">
        <f>SV!C252</f>
        <v>0</v>
      </c>
      <c r="L1944" s="609">
        <f>SV!D252</f>
        <v>0</v>
      </c>
      <c r="M1944" s="609">
        <f>SV!E252</f>
        <v>0</v>
      </c>
      <c r="N1944" s="609">
        <f>SV!F252</f>
        <v>0</v>
      </c>
      <c r="O1944" s="609">
        <f>SV!G252</f>
        <v>0</v>
      </c>
      <c r="P1944" s="609">
        <f>SV!H252</f>
        <v>0</v>
      </c>
      <c r="Q1944" s="609">
        <f>SV!I252</f>
        <v>0</v>
      </c>
      <c r="R1944" s="603">
        <f>SV!J252</f>
        <v>0</v>
      </c>
    </row>
    <row r="1945" spans="2:18">
      <c r="B1945" s="595" t="s">
        <v>1049</v>
      </c>
      <c r="C1945" s="608">
        <f>GT!C268</f>
        <v>0</v>
      </c>
      <c r="D1945" s="609">
        <f>GT!D268</f>
        <v>0</v>
      </c>
      <c r="E1945" s="609">
        <f>GT!E268</f>
        <v>0</v>
      </c>
      <c r="F1945" s="609">
        <f>GT!F268</f>
        <v>0</v>
      </c>
      <c r="G1945" s="609">
        <f>GT!G268</f>
        <v>0</v>
      </c>
      <c r="H1945" s="609">
        <f>GT!H268</f>
        <v>0</v>
      </c>
      <c r="I1945" s="609">
        <f>GT!I268</f>
        <v>0</v>
      </c>
      <c r="J1945" s="603">
        <f>GT!J268</f>
        <v>0</v>
      </c>
      <c r="K1945" s="608">
        <f>GT!C258</f>
        <v>0</v>
      </c>
      <c r="L1945" s="609">
        <f>GT!D258</f>
        <v>0</v>
      </c>
      <c r="M1945" s="609">
        <f>GT!E258</f>
        <v>0</v>
      </c>
      <c r="N1945" s="609">
        <f>GT!F258</f>
        <v>0</v>
      </c>
      <c r="O1945" s="609">
        <f>GT!G258</f>
        <v>0</v>
      </c>
      <c r="P1945" s="609">
        <f>GT!H258</f>
        <v>0</v>
      </c>
      <c r="Q1945" s="609">
        <f>GT!I258</f>
        <v>0</v>
      </c>
      <c r="R1945" s="603">
        <f>GT!J258</f>
        <v>0</v>
      </c>
    </row>
    <row r="1946" spans="2:18">
      <c r="B1946" s="595" t="s">
        <v>1050</v>
      </c>
      <c r="C1946" s="608">
        <f>HN!C267</f>
        <v>0</v>
      </c>
      <c r="D1946" s="609">
        <f>HN!D267</f>
        <v>0</v>
      </c>
      <c r="E1946" s="609">
        <f>HN!E267</f>
        <v>0</v>
      </c>
      <c r="F1946" s="609">
        <f>HN!F267</f>
        <v>0</v>
      </c>
      <c r="G1946" s="609">
        <f>HN!G267</f>
        <v>0</v>
      </c>
      <c r="H1946" s="609">
        <f>HN!H267</f>
        <v>0</v>
      </c>
      <c r="I1946" s="609">
        <f>HN!I267</f>
        <v>0</v>
      </c>
      <c r="J1946" s="603">
        <f>HN!J267</f>
        <v>0</v>
      </c>
      <c r="K1946" s="608">
        <f>HN!C257</f>
        <v>0</v>
      </c>
      <c r="L1946" s="609">
        <f>HN!D257</f>
        <v>0</v>
      </c>
      <c r="M1946" s="609">
        <f>HN!E257</f>
        <v>0</v>
      </c>
      <c r="N1946" s="609">
        <f>HN!F257</f>
        <v>0</v>
      </c>
      <c r="O1946" s="609">
        <f>HN!G257</f>
        <v>0</v>
      </c>
      <c r="P1946" s="609">
        <f>HN!H257</f>
        <v>0</v>
      </c>
      <c r="Q1946" s="609">
        <f>HN!I257</f>
        <v>0</v>
      </c>
      <c r="R1946" s="603">
        <f>HN!J257</f>
        <v>0</v>
      </c>
    </row>
    <row r="1947" spans="2:18">
      <c r="B1947" s="595" t="s">
        <v>1051</v>
      </c>
      <c r="C1947" s="608">
        <f>JM!C263</f>
        <v>0</v>
      </c>
      <c r="D1947" s="609">
        <f>JM!D263</f>
        <v>0</v>
      </c>
      <c r="E1947" s="609">
        <f>JM!E263</f>
        <v>0</v>
      </c>
      <c r="F1947" s="609">
        <f>JM!F263</f>
        <v>0</v>
      </c>
      <c r="G1947" s="609">
        <f>JM!G263</f>
        <v>0</v>
      </c>
      <c r="H1947" s="609">
        <f>JM!H263</f>
        <v>0</v>
      </c>
      <c r="I1947" s="609">
        <f>JM!I263</f>
        <v>0</v>
      </c>
      <c r="J1947" s="603">
        <f>JM!J263</f>
        <v>0</v>
      </c>
      <c r="K1947" s="608">
        <f>JM!C253</f>
        <v>1582.665394356857</v>
      </c>
      <c r="L1947" s="609">
        <f>JM!D253</f>
        <v>1924.6120385620025</v>
      </c>
      <c r="M1947" s="609">
        <f>JM!E253</f>
        <v>2200.3227944288515</v>
      </c>
      <c r="N1947" s="609">
        <f>JM!F253</f>
        <v>2769.6895017801967</v>
      </c>
      <c r="O1947" s="609">
        <f>JM!G253</f>
        <v>1547.796884669134</v>
      </c>
      <c r="P1947" s="609">
        <f>JM!H253</f>
        <v>3349.1435433992115</v>
      </c>
      <c r="Q1947" s="609">
        <f>JM!I253</f>
        <v>3315.1350148508263</v>
      </c>
      <c r="R1947" s="603">
        <f>JM!J253</f>
        <v>3444.7324959885304</v>
      </c>
    </row>
    <row r="1948" spans="2:18">
      <c r="B1948" s="595" t="s">
        <v>1052</v>
      </c>
      <c r="C1948" s="608">
        <f>RD!C279</f>
        <v>0</v>
      </c>
      <c r="D1948" s="609">
        <f>RD!D279</f>
        <v>961.7561191324387</v>
      </c>
      <c r="E1948" s="609">
        <f>RD!E279</f>
        <v>1492.3185759486089</v>
      </c>
      <c r="F1948" s="609">
        <f>RD!F279</f>
        <v>1391.4943829097538</v>
      </c>
      <c r="G1948" s="609">
        <f>RD!G279</f>
        <v>1469.7701410520276</v>
      </c>
      <c r="H1948" s="609">
        <f>RD!H279</f>
        <v>1527.9571002195062</v>
      </c>
      <c r="I1948" s="609">
        <f>RD!I279</f>
        <v>827.96741383311564</v>
      </c>
      <c r="J1948" s="603">
        <f>RD!J279</f>
        <v>1796.9345370184874</v>
      </c>
      <c r="K1948" s="608">
        <f>RD!C269</f>
        <v>4834.1116131798062</v>
      </c>
      <c r="L1948" s="609">
        <f>RD!D269</f>
        <v>5542.1012221964547</v>
      </c>
      <c r="M1948" s="609">
        <f>RD!E269</f>
        <v>5963.1968045189788</v>
      </c>
      <c r="N1948" s="609">
        <f>RD!F269</f>
        <v>6713.4853184017666</v>
      </c>
      <c r="O1948" s="609">
        <f>RD!G269</f>
        <v>6820.7732031992846</v>
      </c>
      <c r="P1948" s="609">
        <f>RD!H269</f>
        <v>7280.3469345329167</v>
      </c>
      <c r="Q1948" s="609">
        <f>RD!I269</f>
        <v>6443.0431666204149</v>
      </c>
      <c r="R1948" s="603">
        <f>RD!J269</f>
        <v>8895.966162466555</v>
      </c>
    </row>
    <row r="1949" spans="2:18">
      <c r="B1949" s="595" t="s">
        <v>1053</v>
      </c>
      <c r="C1949" s="608">
        <f>PY!C261</f>
        <v>0</v>
      </c>
      <c r="D1949" s="609">
        <f>PY!D261</f>
        <v>105.64572042237525</v>
      </c>
      <c r="E1949" s="609">
        <f>PY!E261</f>
        <v>124.55819302501723</v>
      </c>
      <c r="F1949" s="609">
        <f>PY!F261</f>
        <v>146.4605244860976</v>
      </c>
      <c r="G1949" s="609">
        <f>PY!G261</f>
        <v>214.80012543152509</v>
      </c>
      <c r="H1949" s="609">
        <f>PY!H261</f>
        <v>216.47940714479853</v>
      </c>
      <c r="I1949" s="609">
        <f>PY!I261</f>
        <v>86.441810915965846</v>
      </c>
      <c r="J1949" s="603">
        <f>PY!J261</f>
        <v>138.04753008452937</v>
      </c>
      <c r="K1949" s="608">
        <f>PY!C251</f>
        <v>0</v>
      </c>
      <c r="L1949" s="609">
        <f>PY!D251</f>
        <v>1035.3459381524476</v>
      </c>
      <c r="M1949" s="609">
        <f>PY!E251</f>
        <v>1174.9035327561151</v>
      </c>
      <c r="N1949" s="609">
        <f>PY!F251</f>
        <v>1424.1890079000425</v>
      </c>
      <c r="O1949" s="609">
        <f>PY!G251</f>
        <v>1597.81925121977</v>
      </c>
      <c r="P1949" s="609">
        <f>PY!H251</f>
        <v>1697.2595602649972</v>
      </c>
      <c r="Q1949" s="609">
        <f>PY!I251</f>
        <v>1593.5773751686024</v>
      </c>
      <c r="R1949" s="603">
        <f>PY!J251</f>
        <v>1931.9063750268338</v>
      </c>
    </row>
    <row r="1950" spans="2:18">
      <c r="B1950" s="595" t="s">
        <v>1054</v>
      </c>
      <c r="C1950" s="608">
        <f>PE!C264</f>
        <v>0</v>
      </c>
      <c r="D1950" s="609">
        <f>PE!D264</f>
        <v>0</v>
      </c>
      <c r="E1950" s="609">
        <f>PE!E264</f>
        <v>0</v>
      </c>
      <c r="F1950" s="609">
        <f>PE!F264</f>
        <v>0</v>
      </c>
      <c r="G1950" s="609">
        <f>PE!G264</f>
        <v>0</v>
      </c>
      <c r="H1950" s="609">
        <f>PE!H264</f>
        <v>0</v>
      </c>
      <c r="I1950" s="609">
        <f>PE!I264</f>
        <v>0</v>
      </c>
      <c r="J1950" s="603">
        <f>PE!J264</f>
        <v>0</v>
      </c>
      <c r="K1950" s="608">
        <f>PE!C254</f>
        <v>0</v>
      </c>
      <c r="L1950" s="609">
        <f>PE!D254</f>
        <v>0</v>
      </c>
      <c r="M1950" s="609">
        <f>PE!E254</f>
        <v>0</v>
      </c>
      <c r="N1950" s="609">
        <f>PE!F254</f>
        <v>0</v>
      </c>
      <c r="O1950" s="609">
        <f>PE!G254</f>
        <v>0</v>
      </c>
      <c r="P1950" s="609">
        <f>PE!H254</f>
        <v>0</v>
      </c>
      <c r="Q1950" s="609">
        <f>PE!I254</f>
        <v>0</v>
      </c>
      <c r="R1950" s="603">
        <f>PE!J254</f>
        <v>0</v>
      </c>
    </row>
    <row r="1951" spans="2:18">
      <c r="B1951" s="604" t="s">
        <v>1055</v>
      </c>
      <c r="C1951" s="610">
        <f>TT!C270</f>
        <v>0</v>
      </c>
      <c r="D1951" s="617">
        <f>TT!D270</f>
        <v>0</v>
      </c>
      <c r="E1951" s="617">
        <f>TT!E270</f>
        <v>0</v>
      </c>
      <c r="F1951" s="617">
        <f>TT!F270</f>
        <v>0</v>
      </c>
      <c r="G1951" s="617">
        <f>TT!G270</f>
        <v>0</v>
      </c>
      <c r="H1951" s="617">
        <f>TT!H270</f>
        <v>0</v>
      </c>
      <c r="I1951" s="617">
        <f>TT!I270</f>
        <v>0</v>
      </c>
      <c r="J1951" s="618">
        <f>TT!J270</f>
        <v>0</v>
      </c>
      <c r="K1951" s="610">
        <f>TT!C260</f>
        <v>2827.2379614939941</v>
      </c>
      <c r="L1951" s="617">
        <f>TT!D260</f>
        <v>3175.5103298899135</v>
      </c>
      <c r="M1951" s="617">
        <f>TT!E260</f>
        <v>3285.0192388613859</v>
      </c>
      <c r="N1951" s="617">
        <f>TT!F260</f>
        <v>3277.8000972619766</v>
      </c>
      <c r="O1951" s="617">
        <f>TT!G260</f>
        <v>3283.2977024579604</v>
      </c>
      <c r="P1951" s="617">
        <f>TT!H260</f>
        <v>3493.1253103864201</v>
      </c>
      <c r="Q1951" s="617">
        <f>TT!I260</f>
        <v>3479.5467476439298</v>
      </c>
      <c r="R1951" s="618">
        <f>TT!J260</f>
        <v>3615.5322676949231</v>
      </c>
    </row>
    <row r="1952" spans="2:18">
      <c r="B1952" s="57"/>
      <c r="C1952" s="582"/>
      <c r="D1952" s="582"/>
      <c r="E1952" s="582"/>
      <c r="F1952" s="582"/>
      <c r="G1952" s="582"/>
      <c r="H1952" s="582"/>
      <c r="I1952" s="582"/>
      <c r="J1952" s="582"/>
      <c r="K1952" s="582"/>
      <c r="L1952" s="582"/>
      <c r="M1952" s="582"/>
      <c r="N1952" s="582"/>
      <c r="O1952" s="582"/>
      <c r="P1952" s="582"/>
      <c r="Q1952" s="582"/>
    </row>
    <row r="1953" spans="2:18">
      <c r="B1953" s="2157" t="s">
        <v>1214</v>
      </c>
      <c r="C1953" s="2157"/>
      <c r="D1953" s="2157"/>
      <c r="E1953" s="2157"/>
      <c r="F1953" s="2157"/>
      <c r="G1953" s="2157"/>
      <c r="H1953" s="2157"/>
      <c r="I1953" s="2157"/>
      <c r="J1953" s="2157"/>
      <c r="K1953" s="2157"/>
      <c r="L1953" s="2157"/>
      <c r="M1953" s="2157"/>
      <c r="N1953" s="2157"/>
      <c r="O1953" s="2157"/>
      <c r="P1953" s="2157"/>
      <c r="Q1953" s="2157"/>
      <c r="R1953" s="2157"/>
    </row>
    <row r="1954" spans="2:18">
      <c r="B1954" s="619"/>
      <c r="C1954" s="621"/>
      <c r="D1954" s="621"/>
      <c r="E1954" s="621"/>
      <c r="F1954" s="621"/>
      <c r="G1954" s="621"/>
      <c r="H1954" s="621"/>
      <c r="I1954" s="621"/>
      <c r="J1954" s="621"/>
      <c r="K1954" s="622"/>
      <c r="L1954" s="622"/>
      <c r="M1954" s="622"/>
      <c r="N1954" s="622"/>
      <c r="O1954" s="622"/>
      <c r="P1954" s="622"/>
      <c r="Q1954" s="622"/>
    </row>
    <row r="1955" spans="2:18">
      <c r="B1955" s="619"/>
      <c r="C1955" s="2167" t="s">
        <v>1207</v>
      </c>
      <c r="D1955" s="2168"/>
      <c r="E1955" s="2168"/>
      <c r="F1955" s="2168"/>
      <c r="G1955" s="2168"/>
      <c r="H1955" s="2168"/>
      <c r="I1955" s="2168"/>
      <c r="J1955" s="2169"/>
      <c r="K1955" s="2170" t="s">
        <v>1208</v>
      </c>
      <c r="L1955" s="2171"/>
      <c r="M1955" s="2171"/>
      <c r="N1955" s="2171"/>
      <c r="O1955" s="2171"/>
      <c r="P1955" s="2171"/>
      <c r="Q1955" s="2171"/>
      <c r="R1955" s="2172"/>
    </row>
    <row r="1956" spans="2:18">
      <c r="B1956" s="583"/>
      <c r="C1956" s="2211" t="s">
        <v>1191</v>
      </c>
      <c r="D1956" s="2212"/>
      <c r="E1956" s="2212"/>
      <c r="F1956" s="2212"/>
      <c r="G1956" s="2212"/>
      <c r="H1956" s="2212"/>
      <c r="I1956" s="2212"/>
      <c r="J1956" s="2212"/>
      <c r="K1956" s="2212"/>
      <c r="L1956" s="2212"/>
      <c r="M1956" s="2212"/>
      <c r="N1956" s="2212"/>
      <c r="O1956" s="2212"/>
      <c r="P1956" s="2212"/>
      <c r="Q1956" s="2212"/>
      <c r="R1956" s="2213"/>
    </row>
    <row r="1957" spans="2:18">
      <c r="B1957" s="57"/>
      <c r="C1957" s="585">
        <v>2014</v>
      </c>
      <c r="D1957" s="586">
        <v>2015</v>
      </c>
      <c r="E1957" s="586">
        <v>2016</v>
      </c>
      <c r="F1957" s="586">
        <v>2017</v>
      </c>
      <c r="G1957" s="586">
        <v>2018</v>
      </c>
      <c r="H1957" s="586">
        <v>2019</v>
      </c>
      <c r="I1957" s="586">
        <v>2020</v>
      </c>
      <c r="J1957" s="586">
        <v>2021</v>
      </c>
      <c r="K1957" s="587">
        <v>2014</v>
      </c>
      <c r="L1957" s="588">
        <v>2015</v>
      </c>
      <c r="M1957" s="588">
        <v>2016</v>
      </c>
      <c r="N1957" s="588">
        <v>2017</v>
      </c>
      <c r="O1957" s="588">
        <v>2018</v>
      </c>
      <c r="P1957" s="588">
        <v>2019</v>
      </c>
      <c r="Q1957" s="588">
        <v>2020</v>
      </c>
      <c r="R1957" s="848">
        <v>2021</v>
      </c>
    </row>
    <row r="1958" spans="2:18">
      <c r="B1958" s="589" t="s">
        <v>1038</v>
      </c>
      <c r="C1958" s="614">
        <f>ARG!C279</f>
        <v>164.27792685443728</v>
      </c>
      <c r="D1958" s="615">
        <f>ARG!D279</f>
        <v>233.73995770857363</v>
      </c>
      <c r="E1958" s="615">
        <f>ARG!E279</f>
        <v>338.5590916833857</v>
      </c>
      <c r="F1958" s="615">
        <f>ARG!F279</f>
        <v>431.79598093464205</v>
      </c>
      <c r="G1958" s="615">
        <f>ARG!G279</f>
        <v>340.91902383900322</v>
      </c>
      <c r="H1958" s="615">
        <f>ARG!H279</f>
        <v>177.72284876867849</v>
      </c>
      <c r="I1958" s="615">
        <f>ARG!I279</f>
        <v>50.137591295209731</v>
      </c>
      <c r="J1958" s="616">
        <f>ARG!J279</f>
        <v>0</v>
      </c>
      <c r="K1958" s="614">
        <f>ARG!C260</f>
        <v>0</v>
      </c>
      <c r="L1958" s="615">
        <f>ARG!D260</f>
        <v>0</v>
      </c>
      <c r="M1958" s="615">
        <f>ARG!E260</f>
        <v>0</v>
      </c>
      <c r="N1958" s="615">
        <f>ARG!F260</f>
        <v>0</v>
      </c>
      <c r="O1958" s="615">
        <f>ARG!G260</f>
        <v>0</v>
      </c>
      <c r="P1958" s="615">
        <f>ARG!H260</f>
        <v>0</v>
      </c>
      <c r="Q1958" s="615">
        <f>ARG!I260</f>
        <v>0</v>
      </c>
      <c r="R1958" s="616">
        <f>ARG!J260</f>
        <v>0</v>
      </c>
    </row>
    <row r="1959" spans="2:18">
      <c r="B1959" s="595" t="s">
        <v>1039</v>
      </c>
      <c r="C1959" s="608">
        <f>BA!C268</f>
        <v>0</v>
      </c>
      <c r="D1959" s="609">
        <f>BA!D268</f>
        <v>0</v>
      </c>
      <c r="E1959" s="609">
        <f>BA!E268</f>
        <v>0</v>
      </c>
      <c r="F1959" s="609">
        <f>BA!F268</f>
        <v>0</v>
      </c>
      <c r="G1959" s="609">
        <f>BA!G268</f>
        <v>0</v>
      </c>
      <c r="H1959" s="609">
        <f>BA!H268</f>
        <v>0</v>
      </c>
      <c r="I1959" s="609">
        <f>BA!I268</f>
        <v>0</v>
      </c>
      <c r="J1959" s="603">
        <f>BA!J268</f>
        <v>0</v>
      </c>
      <c r="K1959" s="608">
        <f>BA!C249</f>
        <v>0</v>
      </c>
      <c r="L1959" s="609">
        <f>BA!D249</f>
        <v>0</v>
      </c>
      <c r="M1959" s="609">
        <f>BA!E249</f>
        <v>0</v>
      </c>
      <c r="N1959" s="609">
        <f>BA!F249</f>
        <v>0</v>
      </c>
      <c r="O1959" s="609">
        <f>BA!G249</f>
        <v>0</v>
      </c>
      <c r="P1959" s="609">
        <f>BA!H249</f>
        <v>0</v>
      </c>
      <c r="Q1959" s="609">
        <f>BA!I249</f>
        <v>0</v>
      </c>
      <c r="R1959" s="603">
        <f>BA!J249</f>
        <v>0</v>
      </c>
    </row>
    <row r="1960" spans="2:18">
      <c r="B1960" s="595" t="s">
        <v>1040</v>
      </c>
      <c r="C1960" s="608">
        <f>BO!C266</f>
        <v>0</v>
      </c>
      <c r="D1960" s="609">
        <f>BO!D266</f>
        <v>0</v>
      </c>
      <c r="E1960" s="609">
        <f>BO!E266</f>
        <v>691.12985903603305</v>
      </c>
      <c r="F1960" s="609">
        <f>BO!F266</f>
        <v>792.09879024372435</v>
      </c>
      <c r="G1960" s="609">
        <f>BO!G266</f>
        <v>668.9179308468955</v>
      </c>
      <c r="H1960" s="609">
        <f>BO!H266</f>
        <v>613.85307369388545</v>
      </c>
      <c r="I1960" s="609">
        <f>BO!I266</f>
        <v>521.34157301484788</v>
      </c>
      <c r="J1960" s="603">
        <f>BO!J266</f>
        <v>676.51848530203995</v>
      </c>
      <c r="K1960" s="608">
        <f>BO!C247</f>
        <v>50.088746983542215</v>
      </c>
      <c r="L1960" s="609">
        <f>BO!D247</f>
        <v>155.06784807481063</v>
      </c>
      <c r="M1960" s="609">
        <f>BO!E247</f>
        <v>271.31267781284384</v>
      </c>
      <c r="N1960" s="609">
        <f>BO!F247</f>
        <v>352.84167283721933</v>
      </c>
      <c r="O1960" s="609">
        <f>BO!G247</f>
        <v>458.97328618287276</v>
      </c>
      <c r="P1960" s="609">
        <f>BO!H247</f>
        <v>554.4339825474018</v>
      </c>
      <c r="Q1960" s="609">
        <f>BO!I247</f>
        <v>754.5294231354394</v>
      </c>
      <c r="R1960" s="603">
        <f>BO!J247</f>
        <v>1077.2339163932147</v>
      </c>
    </row>
    <row r="1961" spans="2:18">
      <c r="B1961" s="595" t="s">
        <v>1041</v>
      </c>
      <c r="C1961" s="608">
        <f>BR!C274</f>
        <v>11098.791353463288</v>
      </c>
      <c r="D1961" s="609">
        <f>BR!D274</f>
        <v>7371.0270464552077</v>
      </c>
      <c r="E1961" s="609">
        <f>BR!E274</f>
        <v>6240.2448827261505</v>
      </c>
      <c r="F1961" s="609">
        <f>BR!F274</f>
        <v>8309.3801096319494</v>
      </c>
      <c r="G1961" s="609">
        <f>BR!G274</f>
        <v>8536.1754826467532</v>
      </c>
      <c r="H1961" s="609">
        <f>BR!H274</f>
        <v>9213.0542475355414</v>
      </c>
      <c r="I1961" s="609">
        <f>BR!I274</f>
        <v>3417.9386535363915</v>
      </c>
      <c r="J1961" s="603">
        <f>BR!J274</f>
        <v>3510.3465478130329</v>
      </c>
      <c r="K1961" s="608">
        <f>BR!C255</f>
        <v>0</v>
      </c>
      <c r="L1961" s="609">
        <f>BR!D255</f>
        <v>0</v>
      </c>
      <c r="M1961" s="609">
        <f>BR!E255</f>
        <v>0</v>
      </c>
      <c r="N1961" s="609">
        <f>BR!F255</f>
        <v>0</v>
      </c>
      <c r="O1961" s="609">
        <f>BR!G255</f>
        <v>0</v>
      </c>
      <c r="P1961" s="609">
        <f>BR!H255</f>
        <v>0</v>
      </c>
      <c r="Q1961" s="609">
        <f>BR!I255</f>
        <v>0</v>
      </c>
      <c r="R1961" s="603">
        <f>BR!J255</f>
        <v>0</v>
      </c>
    </row>
    <row r="1962" spans="2:18">
      <c r="B1962" s="595" t="s">
        <v>1042</v>
      </c>
      <c r="C1962" s="608">
        <f>CL!C271</f>
        <v>0</v>
      </c>
      <c r="D1962" s="609">
        <f>CL!D271</f>
        <v>0</v>
      </c>
      <c r="E1962" s="609">
        <f>CL!E271</f>
        <v>0</v>
      </c>
      <c r="F1962" s="609">
        <f>CL!F271</f>
        <v>0</v>
      </c>
      <c r="G1962" s="609">
        <f>CL!G271</f>
        <v>0</v>
      </c>
      <c r="H1962" s="609">
        <f>CL!H271</f>
        <v>0</v>
      </c>
      <c r="I1962" s="609">
        <f>CL!I271</f>
        <v>0</v>
      </c>
      <c r="J1962" s="603">
        <f>CL!J271</f>
        <v>0</v>
      </c>
      <c r="K1962" s="608">
        <f>CL!C252</f>
        <v>0</v>
      </c>
      <c r="L1962" s="609">
        <f>CL!D252</f>
        <v>0</v>
      </c>
      <c r="M1962" s="609">
        <f>CL!E252</f>
        <v>0</v>
      </c>
      <c r="N1962" s="609">
        <f>CL!F252</f>
        <v>0</v>
      </c>
      <c r="O1962" s="609">
        <f>CL!G252</f>
        <v>0</v>
      </c>
      <c r="P1962" s="609">
        <f>CL!H252</f>
        <v>0</v>
      </c>
      <c r="Q1962" s="609">
        <f>CL!I252</f>
        <v>0</v>
      </c>
      <c r="R1962" s="603">
        <f>CL!J252</f>
        <v>0</v>
      </c>
    </row>
    <row r="1963" spans="2:18">
      <c r="B1963" s="595" t="s">
        <v>1043</v>
      </c>
      <c r="C1963" s="608">
        <f>CO!C268</f>
        <v>0</v>
      </c>
      <c r="D1963" s="609">
        <f>CO!D268</f>
        <v>0</v>
      </c>
      <c r="E1963" s="609">
        <f>CO!E268</f>
        <v>0</v>
      </c>
      <c r="F1963" s="609">
        <f>CO!F268</f>
        <v>0</v>
      </c>
      <c r="G1963" s="609">
        <f>CO!G268</f>
        <v>0</v>
      </c>
      <c r="H1963" s="609">
        <f>CO!H268</f>
        <v>0</v>
      </c>
      <c r="I1963" s="609">
        <f>CO!I268</f>
        <v>0</v>
      </c>
      <c r="J1963" s="603">
        <f>CO!J268</f>
        <v>0</v>
      </c>
      <c r="K1963" s="608">
        <f>CO!C249</f>
        <v>0</v>
      </c>
      <c r="L1963" s="609">
        <f>CO!D249</f>
        <v>0</v>
      </c>
      <c r="M1963" s="609">
        <f>CO!E249</f>
        <v>0</v>
      </c>
      <c r="N1963" s="609">
        <f>CO!F249</f>
        <v>0</v>
      </c>
      <c r="O1963" s="609">
        <f>CO!G249</f>
        <v>0</v>
      </c>
      <c r="P1963" s="609">
        <f>CO!H249</f>
        <v>0</v>
      </c>
      <c r="Q1963" s="609">
        <f>CO!I249</f>
        <v>0</v>
      </c>
      <c r="R1963" s="603">
        <f>CO!J249</f>
        <v>0</v>
      </c>
    </row>
    <row r="1964" spans="2:18">
      <c r="B1964" s="595" t="s">
        <v>1044</v>
      </c>
      <c r="C1964" s="608">
        <f>CR!C280</f>
        <v>0</v>
      </c>
      <c r="D1964" s="609">
        <f>CR!D280</f>
        <v>0</v>
      </c>
      <c r="E1964" s="609">
        <f>CR!E280</f>
        <v>0</v>
      </c>
      <c r="F1964" s="609">
        <f>CR!F280</f>
        <v>0</v>
      </c>
      <c r="G1964" s="609">
        <f>CR!G280</f>
        <v>0</v>
      </c>
      <c r="H1964" s="609">
        <f>CR!H280</f>
        <v>0</v>
      </c>
      <c r="I1964" s="609">
        <f>CR!I280</f>
        <v>0</v>
      </c>
      <c r="J1964" s="603">
        <f>CR!J280</f>
        <v>498.456626576904</v>
      </c>
      <c r="K1964" s="608">
        <f>CR!C261</f>
        <v>0</v>
      </c>
      <c r="L1964" s="609">
        <f>CR!D261</f>
        <v>0</v>
      </c>
      <c r="M1964" s="609">
        <f>CR!E261</f>
        <v>0</v>
      </c>
      <c r="N1964" s="609">
        <f>CR!F261</f>
        <v>0</v>
      </c>
      <c r="O1964" s="609">
        <f>CR!G261</f>
        <v>0</v>
      </c>
      <c r="P1964" s="609">
        <f>CR!H261</f>
        <v>0</v>
      </c>
      <c r="Q1964" s="609">
        <f>CR!I261</f>
        <v>0</v>
      </c>
      <c r="R1964" s="603">
        <f>CR!J261</f>
        <v>0</v>
      </c>
    </row>
    <row r="1965" spans="2:18">
      <c r="B1965" s="595" t="s">
        <v>1061</v>
      </c>
      <c r="C1965" s="608">
        <f>CW!C290</f>
        <v>0</v>
      </c>
      <c r="D1965" s="609">
        <v>202</v>
      </c>
      <c r="E1965" s="609">
        <f>CW!E290</f>
        <v>223.08717302553072</v>
      </c>
      <c r="F1965" s="609">
        <f>CW!F290</f>
        <v>237.12125176290502</v>
      </c>
      <c r="G1965" s="609">
        <f>CW!G290</f>
        <v>262.89243550279332</v>
      </c>
      <c r="H1965" s="609">
        <f>CW!H290</f>
        <v>273.5225223463687</v>
      </c>
      <c r="I1965" s="609">
        <f>CW!I290</f>
        <v>177.13290614525138</v>
      </c>
      <c r="J1965" s="603">
        <f>CW!J290</f>
        <v>283.84577039106148</v>
      </c>
      <c r="K1965" s="608">
        <f>CW!C271</f>
        <v>0</v>
      </c>
      <c r="L1965" s="609">
        <v>38.1</v>
      </c>
      <c r="M1965" s="609">
        <f>CW!E271</f>
        <v>38.356463106759776</v>
      </c>
      <c r="N1965" s="609">
        <f>CW!F271</f>
        <v>35.693552899217877</v>
      </c>
      <c r="O1965" s="609">
        <f>CW!G271</f>
        <v>36.995797987653631</v>
      </c>
      <c r="P1965" s="609">
        <f>CW!H271</f>
        <v>37.649831843575413</v>
      </c>
      <c r="Q1965" s="609">
        <f>CW!I271</f>
        <v>32.572820111731843</v>
      </c>
      <c r="R1965" s="603">
        <f>CW!J271</f>
        <v>41.906405586592179</v>
      </c>
    </row>
    <row r="1966" spans="2:18">
      <c r="B1966" s="595" t="s">
        <v>1047</v>
      </c>
      <c r="C1966" s="608">
        <f>EC!C270</f>
        <v>0</v>
      </c>
      <c r="D1966" s="609">
        <f>EC!D270</f>
        <v>0</v>
      </c>
      <c r="E1966" s="609">
        <f>EC!E270</f>
        <v>0</v>
      </c>
      <c r="F1966" s="609">
        <f>EC!F270</f>
        <v>0</v>
      </c>
      <c r="G1966" s="609">
        <f>EC!G270</f>
        <v>0</v>
      </c>
      <c r="H1966" s="609">
        <f>EC!H270</f>
        <v>0</v>
      </c>
      <c r="I1966" s="609">
        <f>EC!I270</f>
        <v>0</v>
      </c>
      <c r="J1966" s="603">
        <f>EC!J270</f>
        <v>0</v>
      </c>
      <c r="K1966" s="608">
        <f>EC!C251</f>
        <v>0</v>
      </c>
      <c r="L1966" s="609">
        <f>EC!D251</f>
        <v>0</v>
      </c>
      <c r="M1966" s="609">
        <f>EC!E251</f>
        <v>0</v>
      </c>
      <c r="N1966" s="609">
        <f>EC!F251</f>
        <v>0</v>
      </c>
      <c r="O1966" s="609">
        <f>EC!G251</f>
        <v>0</v>
      </c>
      <c r="P1966" s="609">
        <f>EC!H251</f>
        <v>0</v>
      </c>
      <c r="Q1966" s="609">
        <f>EC!I251</f>
        <v>0</v>
      </c>
      <c r="R1966" s="603">
        <f>EC!J251</f>
        <v>0</v>
      </c>
    </row>
    <row r="1967" spans="2:18">
      <c r="B1967" s="595" t="s">
        <v>1048</v>
      </c>
      <c r="C1967" s="608">
        <f>SV!C272</f>
        <v>0</v>
      </c>
      <c r="D1967" s="609">
        <f>SV!D272</f>
        <v>0</v>
      </c>
      <c r="E1967" s="609">
        <f>SV!E272</f>
        <v>0</v>
      </c>
      <c r="F1967" s="609">
        <f>SV!F272</f>
        <v>0</v>
      </c>
      <c r="G1967" s="609">
        <f>SV!G272</f>
        <v>0</v>
      </c>
      <c r="H1967" s="609">
        <f>SV!H272</f>
        <v>0</v>
      </c>
      <c r="I1967" s="609">
        <f>SV!I272</f>
        <v>0</v>
      </c>
      <c r="J1967" s="603">
        <f>SV!J272</f>
        <v>0</v>
      </c>
      <c r="K1967" s="608">
        <f>SV!C253</f>
        <v>0</v>
      </c>
      <c r="L1967" s="609">
        <f>SV!D253</f>
        <v>0</v>
      </c>
      <c r="M1967" s="609">
        <f>SV!E253</f>
        <v>0</v>
      </c>
      <c r="N1967" s="609">
        <f>SV!F253</f>
        <v>0</v>
      </c>
      <c r="O1967" s="609">
        <f>SV!G253</f>
        <v>0</v>
      </c>
      <c r="P1967" s="609">
        <f>SV!H253</f>
        <v>0</v>
      </c>
      <c r="Q1967" s="609">
        <f>SV!I253</f>
        <v>0</v>
      </c>
      <c r="R1967" s="603">
        <f>SV!J253</f>
        <v>0</v>
      </c>
    </row>
    <row r="1968" spans="2:18">
      <c r="B1968" s="595" t="s">
        <v>1049</v>
      </c>
      <c r="C1968" s="608">
        <f>GT!C278</f>
        <v>0</v>
      </c>
      <c r="D1968" s="609">
        <f>GT!D278</f>
        <v>0</v>
      </c>
      <c r="E1968" s="609">
        <f>GT!E278</f>
        <v>0</v>
      </c>
      <c r="F1968" s="609">
        <f>GT!F278</f>
        <v>0</v>
      </c>
      <c r="G1968" s="609">
        <f>GT!G278</f>
        <v>0</v>
      </c>
      <c r="H1968" s="609">
        <f>GT!H278</f>
        <v>0</v>
      </c>
      <c r="I1968" s="609">
        <f>GT!I278</f>
        <v>0</v>
      </c>
      <c r="J1968" s="603">
        <f>GT!J278</f>
        <v>0</v>
      </c>
      <c r="K1968" s="608">
        <f>GT!C259</f>
        <v>0</v>
      </c>
      <c r="L1968" s="609">
        <f>GT!D259</f>
        <v>0</v>
      </c>
      <c r="M1968" s="609">
        <f>GT!E259</f>
        <v>0</v>
      </c>
      <c r="N1968" s="609">
        <f>GT!F259</f>
        <v>0</v>
      </c>
      <c r="O1968" s="609">
        <f>GT!G259</f>
        <v>0</v>
      </c>
      <c r="P1968" s="609">
        <f>GT!H259</f>
        <v>0</v>
      </c>
      <c r="Q1968" s="609">
        <f>GT!I259</f>
        <v>0</v>
      </c>
      <c r="R1968" s="603">
        <f>GT!J259</f>
        <v>0</v>
      </c>
    </row>
    <row r="1969" spans="2:18">
      <c r="B1969" s="595" t="s">
        <v>1050</v>
      </c>
      <c r="C1969" s="608">
        <f>HN!C277</f>
        <v>0</v>
      </c>
      <c r="D1969" s="609">
        <f>HN!D277</f>
        <v>0</v>
      </c>
      <c r="E1969" s="609">
        <f>HN!E277</f>
        <v>0</v>
      </c>
      <c r="F1969" s="609">
        <f>HN!F277</f>
        <v>0</v>
      </c>
      <c r="G1969" s="609">
        <f>HN!G277</f>
        <v>0</v>
      </c>
      <c r="H1969" s="609">
        <f>HN!H277</f>
        <v>0</v>
      </c>
      <c r="I1969" s="609">
        <f>HN!I277</f>
        <v>0</v>
      </c>
      <c r="J1969" s="603">
        <f>HN!J277</f>
        <v>0</v>
      </c>
      <c r="K1969" s="608">
        <f>HN!C258</f>
        <v>0</v>
      </c>
      <c r="L1969" s="609">
        <f>HN!D258</f>
        <v>0</v>
      </c>
      <c r="M1969" s="609">
        <f>HN!E258</f>
        <v>0</v>
      </c>
      <c r="N1969" s="609">
        <f>HN!F258</f>
        <v>0</v>
      </c>
      <c r="O1969" s="609">
        <f>HN!G258</f>
        <v>0</v>
      </c>
      <c r="P1969" s="609">
        <f>HN!H258</f>
        <v>0</v>
      </c>
      <c r="Q1969" s="609">
        <f>HN!I258</f>
        <v>0</v>
      </c>
      <c r="R1969" s="603">
        <f>HN!J258</f>
        <v>0</v>
      </c>
    </row>
    <row r="1970" spans="2:18">
      <c r="B1970" s="595" t="s">
        <v>1051</v>
      </c>
      <c r="C1970" s="608">
        <f>JM!C273</f>
        <v>0</v>
      </c>
      <c r="D1970" s="609">
        <f>JM!D273</f>
        <v>0</v>
      </c>
      <c r="E1970" s="609">
        <f>JM!E273</f>
        <v>0</v>
      </c>
      <c r="F1970" s="609">
        <f>JM!F273</f>
        <v>0</v>
      </c>
      <c r="G1970" s="609">
        <f>JM!G273</f>
        <v>0</v>
      </c>
      <c r="H1970" s="609">
        <f>JM!H273</f>
        <v>0</v>
      </c>
      <c r="I1970" s="609">
        <f>JM!I273</f>
        <v>0</v>
      </c>
      <c r="J1970" s="603">
        <f>JM!J273</f>
        <v>0</v>
      </c>
      <c r="K1970" s="608">
        <f>JM!C254</f>
        <v>0</v>
      </c>
      <c r="L1970" s="609">
        <f>JM!D254</f>
        <v>0</v>
      </c>
      <c r="M1970" s="609">
        <f>JM!E254</f>
        <v>0</v>
      </c>
      <c r="N1970" s="609">
        <f>JM!F254</f>
        <v>0</v>
      </c>
      <c r="O1970" s="609">
        <f>JM!G254</f>
        <v>0</v>
      </c>
      <c r="P1970" s="609">
        <f>JM!H254</f>
        <v>0</v>
      </c>
      <c r="Q1970" s="609">
        <f>JM!I254</f>
        <v>0</v>
      </c>
      <c r="R1970" s="603">
        <f>JM!J254</f>
        <v>0</v>
      </c>
    </row>
    <row r="1971" spans="2:18">
      <c r="B1971" s="595" t="s">
        <v>1052</v>
      </c>
      <c r="C1971" s="608">
        <f>RD!C289</f>
        <v>1093.4067362027386</v>
      </c>
      <c r="D1971" s="609">
        <f>RD!D289</f>
        <v>1284.0106782206133</v>
      </c>
      <c r="E1971" s="609">
        <f>RD!E289</f>
        <v>1492.813236052004</v>
      </c>
      <c r="F1971" s="609">
        <f>RD!F289</f>
        <v>1663.1503576060788</v>
      </c>
      <c r="G1971" s="609">
        <f>RD!G289</f>
        <v>1957.158377086758</v>
      </c>
      <c r="H1971" s="609">
        <f>RD!H289</f>
        <v>2084.9802943835339</v>
      </c>
      <c r="I1971" s="609">
        <f>RD!I289</f>
        <v>1634.8915019237068</v>
      </c>
      <c r="J1971" s="603">
        <f>RD!J289</f>
        <v>2328.5669941061105</v>
      </c>
      <c r="K1971" s="608">
        <f>RD!C270</f>
        <v>0</v>
      </c>
      <c r="L1971" s="609">
        <f>RD!D270</f>
        <v>0</v>
      </c>
      <c r="M1971" s="609">
        <f>RD!E270</f>
        <v>0</v>
      </c>
      <c r="N1971" s="609">
        <f>RD!F270</f>
        <v>0</v>
      </c>
      <c r="O1971" s="609">
        <f>RD!G270</f>
        <v>0</v>
      </c>
      <c r="P1971" s="609">
        <f>RD!H270</f>
        <v>0</v>
      </c>
      <c r="Q1971" s="609">
        <f>RD!I270</f>
        <v>0</v>
      </c>
      <c r="R1971" s="603">
        <f>RD!J270</f>
        <v>0</v>
      </c>
    </row>
    <row r="1972" spans="2:18">
      <c r="B1972" s="595" t="s">
        <v>1053</v>
      </c>
      <c r="C1972" s="608">
        <f>PY!C271</f>
        <v>0</v>
      </c>
      <c r="D1972" s="609">
        <f>PY!D271</f>
        <v>105.64572042237525</v>
      </c>
      <c r="E1972" s="609">
        <f>PY!E271</f>
        <v>124.55819302501723</v>
      </c>
      <c r="F1972" s="609">
        <f>PY!F271</f>
        <v>146.4605244860976</v>
      </c>
      <c r="G1972" s="609">
        <f>PY!G271</f>
        <v>214.80012543152509</v>
      </c>
      <c r="H1972" s="609">
        <f>PY!H271</f>
        <v>216.47940714479853</v>
      </c>
      <c r="I1972" s="609">
        <f>PY!I271</f>
        <v>86.441810915965846</v>
      </c>
      <c r="J1972" s="603">
        <f>PY!J271</f>
        <v>105.00999499769219</v>
      </c>
      <c r="K1972" s="608">
        <f>PY!C252</f>
        <v>0</v>
      </c>
      <c r="L1972" s="609">
        <f>PY!D252</f>
        <v>872.82454418980353</v>
      </c>
      <c r="M1972" s="609">
        <f>PY!E252</f>
        <v>935.30657823945228</v>
      </c>
      <c r="N1972" s="609">
        <f>PY!F252</f>
        <v>1188.1831948779293</v>
      </c>
      <c r="O1972" s="609">
        <f>PY!G252</f>
        <v>1233.559500483881</v>
      </c>
      <c r="P1972" s="609">
        <f>PY!H252</f>
        <v>1249.4143295518859</v>
      </c>
      <c r="Q1972" s="609">
        <f>PY!I252</f>
        <v>1526.6848962839929</v>
      </c>
      <c r="R1972" s="603">
        <f>PY!J252</f>
        <v>1772.8904731294979</v>
      </c>
    </row>
    <row r="1973" spans="2:18">
      <c r="B1973" s="595" t="s">
        <v>1054</v>
      </c>
      <c r="C1973" s="608">
        <f>PE!C274</f>
        <v>0</v>
      </c>
      <c r="D1973" s="609">
        <f>PE!D274</f>
        <v>0</v>
      </c>
      <c r="E1973" s="609">
        <f>PE!E274</f>
        <v>0</v>
      </c>
      <c r="F1973" s="609">
        <f>PE!F274</f>
        <v>0</v>
      </c>
      <c r="G1973" s="609">
        <f>PE!G274</f>
        <v>0</v>
      </c>
      <c r="H1973" s="609">
        <f>PE!H274</f>
        <v>0</v>
      </c>
      <c r="I1973" s="609">
        <f>PE!I274</f>
        <v>0</v>
      </c>
      <c r="J1973" s="603">
        <f>PE!J274</f>
        <v>0</v>
      </c>
      <c r="K1973" s="608">
        <f>PE!C255</f>
        <v>0</v>
      </c>
      <c r="L1973" s="609">
        <f>PE!D255</f>
        <v>0</v>
      </c>
      <c r="M1973" s="609">
        <f>PE!E255</f>
        <v>0</v>
      </c>
      <c r="N1973" s="609">
        <f>PE!F255</f>
        <v>0</v>
      </c>
      <c r="O1973" s="609">
        <f>PE!G255</f>
        <v>0</v>
      </c>
      <c r="P1973" s="609">
        <f>PE!H255</f>
        <v>0</v>
      </c>
      <c r="Q1973" s="609">
        <f>PE!I255</f>
        <v>0</v>
      </c>
      <c r="R1973" s="603">
        <f>PE!J255</f>
        <v>0</v>
      </c>
    </row>
    <row r="1974" spans="2:18">
      <c r="B1974" s="604" t="s">
        <v>1055</v>
      </c>
      <c r="C1974" s="610">
        <f>TT!C280</f>
        <v>0</v>
      </c>
      <c r="D1974" s="617">
        <f>TT!D280</f>
        <v>0</v>
      </c>
      <c r="E1974" s="617">
        <f>TT!E280</f>
        <v>0</v>
      </c>
      <c r="F1974" s="617">
        <f>TT!F280</f>
        <v>0</v>
      </c>
      <c r="G1974" s="617">
        <f>TT!G280</f>
        <v>0</v>
      </c>
      <c r="H1974" s="617">
        <f>TT!H280</f>
        <v>0</v>
      </c>
      <c r="I1974" s="617">
        <f>TT!I280</f>
        <v>0</v>
      </c>
      <c r="J1974" s="618">
        <f>TT!J280</f>
        <v>0</v>
      </c>
      <c r="K1974" s="610">
        <f>TT!C261</f>
        <v>362.78819374220342</v>
      </c>
      <c r="L1974" s="617">
        <f>TT!D261</f>
        <v>400.46315387280009</v>
      </c>
      <c r="M1974" s="617">
        <f>TT!E261</f>
        <v>426.20871736881759</v>
      </c>
      <c r="N1974" s="617">
        <f>TT!F261</f>
        <v>462.6651114226338</v>
      </c>
      <c r="O1974" s="617">
        <f>TT!G261</f>
        <v>466.03921437758333</v>
      </c>
      <c r="P1974" s="617">
        <f>TT!H261</f>
        <v>513.90705605952621</v>
      </c>
      <c r="Q1974" s="617">
        <f>TT!I261</f>
        <v>428.74309672407946</v>
      </c>
      <c r="R1974" s="618">
        <f>TT!J261</f>
        <v>482.8543520061022</v>
      </c>
    </row>
    <row r="1975" spans="2:18">
      <c r="B1975" s="57"/>
      <c r="C1975" s="582"/>
      <c r="D1975" s="582"/>
      <c r="E1975" s="582"/>
      <c r="F1975" s="582"/>
      <c r="G1975" s="582"/>
      <c r="H1975" s="582"/>
      <c r="I1975" s="582"/>
      <c r="J1975" s="582"/>
      <c r="K1975" s="582"/>
      <c r="L1975" s="582"/>
      <c r="M1975" s="582"/>
      <c r="N1975" s="582"/>
      <c r="O1975" s="582"/>
      <c r="P1975" s="582"/>
      <c r="Q1975" s="582"/>
    </row>
    <row r="1976" spans="2:18">
      <c r="B1976" s="2157" t="s">
        <v>1215</v>
      </c>
      <c r="C1976" s="2157"/>
      <c r="D1976" s="2157"/>
      <c r="E1976" s="2157"/>
      <c r="F1976" s="2157"/>
      <c r="G1976" s="2157"/>
      <c r="H1976" s="2157"/>
      <c r="I1976" s="2157"/>
      <c r="J1976" s="2157"/>
      <c r="K1976" s="2157"/>
      <c r="L1976" s="2157"/>
      <c r="M1976" s="2157"/>
      <c r="N1976" s="2157"/>
      <c r="O1976" s="2157"/>
      <c r="P1976" s="2157"/>
      <c r="Q1976" s="2157"/>
      <c r="R1976" s="2157"/>
    </row>
    <row r="1977" spans="2:18">
      <c r="B1977" s="2159" t="s">
        <v>1216</v>
      </c>
      <c r="C1977" s="2159"/>
      <c r="D1977" s="2159"/>
      <c r="E1977" s="2159"/>
      <c r="F1977" s="2159"/>
      <c r="G1977" s="2159"/>
      <c r="H1977" s="2159"/>
      <c r="I1977" s="2159"/>
      <c r="J1977" s="2159"/>
      <c r="K1977" s="2159"/>
      <c r="L1977" s="2159"/>
      <c r="M1977" s="2159"/>
      <c r="N1977" s="2159"/>
      <c r="O1977" s="2159"/>
      <c r="P1977" s="2159"/>
      <c r="Q1977" s="2159"/>
      <c r="R1977" s="2159"/>
    </row>
    <row r="1978" spans="2:18">
      <c r="B1978" s="2160" t="s">
        <v>1201</v>
      </c>
      <c r="C1978" s="2160"/>
      <c r="D1978" s="2160"/>
      <c r="E1978" s="2160"/>
      <c r="F1978" s="2160"/>
      <c r="G1978" s="2160"/>
      <c r="H1978" s="2160"/>
      <c r="I1978" s="2160"/>
      <c r="J1978" s="2160"/>
      <c r="K1978" s="2160"/>
      <c r="L1978" s="2160"/>
      <c r="M1978" s="2160"/>
      <c r="N1978" s="2160"/>
      <c r="O1978" s="2160"/>
      <c r="P1978" s="2160"/>
      <c r="Q1978" s="2160"/>
      <c r="R1978" s="2160"/>
    </row>
    <row r="1979" spans="2:18">
      <c r="B1979" s="57"/>
      <c r="C1979" s="582"/>
      <c r="D1979" s="582"/>
      <c r="E1979" s="582"/>
      <c r="F1979" s="582"/>
      <c r="G1979" s="582"/>
      <c r="H1979" s="582"/>
      <c r="I1979" s="582"/>
      <c r="J1979" s="582"/>
      <c r="K1979" s="582"/>
      <c r="L1979" s="582"/>
      <c r="M1979" s="582"/>
      <c r="N1979" s="582"/>
      <c r="O1979" s="582"/>
      <c r="P1979" s="582"/>
      <c r="Q1979" s="582"/>
    </row>
    <row r="1980" spans="2:18">
      <c r="B1980" s="612"/>
      <c r="C1980" s="2173" t="s">
        <v>1205</v>
      </c>
      <c r="D1980" s="2174"/>
      <c r="E1980" s="2174"/>
      <c r="F1980" s="2174"/>
      <c r="G1980" s="2174"/>
      <c r="H1980" s="2174"/>
      <c r="I1980" s="2174"/>
      <c r="J1980" s="2174"/>
      <c r="K1980" s="2174"/>
      <c r="L1980" s="2174"/>
      <c r="M1980" s="2174"/>
      <c r="N1980" s="2174"/>
      <c r="O1980" s="2174"/>
      <c r="P1980" s="2174"/>
      <c r="Q1980" s="2174"/>
      <c r="R1980" s="2175"/>
    </row>
    <row r="1981" spans="2:18">
      <c r="B1981" s="583"/>
      <c r="C1981" s="2170" t="s">
        <v>1185</v>
      </c>
      <c r="D1981" s="2171"/>
      <c r="E1981" s="2171"/>
      <c r="F1981" s="2171"/>
      <c r="G1981" s="2171"/>
      <c r="H1981" s="2171"/>
      <c r="I1981" s="2171"/>
      <c r="J1981" s="2172"/>
      <c r="K1981" s="2170" t="s">
        <v>1186</v>
      </c>
      <c r="L1981" s="2171"/>
      <c r="M1981" s="2171"/>
      <c r="N1981" s="2171"/>
      <c r="O1981" s="2171"/>
      <c r="P1981" s="2171"/>
      <c r="Q1981" s="2171"/>
      <c r="R1981" s="2172"/>
    </row>
    <row r="1982" spans="2:18">
      <c r="B1982" s="647"/>
      <c r="C1982" s="585">
        <v>2014</v>
      </c>
      <c r="D1982" s="586">
        <v>2015</v>
      </c>
      <c r="E1982" s="586">
        <v>2016</v>
      </c>
      <c r="F1982" s="586">
        <v>2017</v>
      </c>
      <c r="G1982" s="586">
        <v>2018</v>
      </c>
      <c r="H1982" s="586">
        <v>2019</v>
      </c>
      <c r="I1982" s="586">
        <v>2020</v>
      </c>
      <c r="J1982" s="586">
        <v>2021</v>
      </c>
      <c r="K1982" s="587">
        <v>2014</v>
      </c>
      <c r="L1982" s="588">
        <v>2015</v>
      </c>
      <c r="M1982" s="588">
        <v>2016</v>
      </c>
      <c r="N1982" s="588">
        <v>2017</v>
      </c>
      <c r="O1982" s="588">
        <v>2018</v>
      </c>
      <c r="P1982" s="588">
        <v>2019</v>
      </c>
      <c r="Q1982" s="588">
        <v>2020</v>
      </c>
      <c r="R1982" s="848">
        <v>2021</v>
      </c>
    </row>
    <row r="1983" spans="2:18">
      <c r="B1983" s="595" t="s">
        <v>1038</v>
      </c>
      <c r="C1983" s="614">
        <v>0</v>
      </c>
      <c r="D1983" s="615">
        <v>0</v>
      </c>
      <c r="E1983" s="615">
        <v>0</v>
      </c>
      <c r="F1983" s="615">
        <v>0</v>
      </c>
      <c r="G1983" s="615">
        <v>0</v>
      </c>
      <c r="H1983" s="615">
        <v>0</v>
      </c>
      <c r="I1983" s="615">
        <v>0</v>
      </c>
      <c r="J1983" s="616">
        <v>0</v>
      </c>
      <c r="K1983" s="614">
        <v>-41.93535564102617</v>
      </c>
      <c r="L1983" s="615">
        <f t="shared" ref="L1983:R1989" si="727">IF(ISNUMBER((L1935/K1935-1)*100-L30),(L1935/K1935-1)*100-L30,"0")</f>
        <v>-35.770253098415182</v>
      </c>
      <c r="M1983" s="615">
        <f t="shared" si="727"/>
        <v>-23.413720955338921</v>
      </c>
      <c r="N1983" s="615">
        <f t="shared" si="727"/>
        <v>-12.005072329241784</v>
      </c>
      <c r="O1983" s="615">
        <f t="shared" si="727"/>
        <v>-75.201198662935525</v>
      </c>
      <c r="P1983" s="615">
        <f t="shared" si="727"/>
        <v>-58.969318594631019</v>
      </c>
      <c r="Q1983" s="615">
        <f t="shared" si="727"/>
        <v>-26.716990019865456</v>
      </c>
      <c r="R1983" s="616">
        <f t="shared" si="727"/>
        <v>-0.53727157131476133</v>
      </c>
    </row>
    <row r="1984" spans="2:18">
      <c r="B1984" s="595" t="s">
        <v>1039</v>
      </c>
      <c r="C1984" s="1844">
        <v>0</v>
      </c>
      <c r="D1984" s="609" t="str">
        <f t="shared" ref="D1984:J1989" si="728">IF(ISNUMBER((D1936/C1936-1)*100-L7),(D1936/C1936-1)*100-L7,"0")</f>
        <v>0</v>
      </c>
      <c r="E1984" s="609" t="str">
        <f t="shared" si="728"/>
        <v>0</v>
      </c>
      <c r="F1984" s="609" t="str">
        <f t="shared" si="728"/>
        <v>0</v>
      </c>
      <c r="G1984" s="609" t="str">
        <f t="shared" si="728"/>
        <v>0</v>
      </c>
      <c r="H1984" s="609" t="str">
        <f t="shared" si="728"/>
        <v>0</v>
      </c>
      <c r="I1984" s="609" t="str">
        <f t="shared" si="728"/>
        <v>0</v>
      </c>
      <c r="J1984" s="603" t="str">
        <f t="shared" si="728"/>
        <v>0</v>
      </c>
      <c r="K1984" s="1844">
        <v>0</v>
      </c>
      <c r="L1984" s="609" t="str">
        <f t="shared" si="727"/>
        <v>0</v>
      </c>
      <c r="M1984" s="609" t="str">
        <f t="shared" si="727"/>
        <v>0</v>
      </c>
      <c r="N1984" s="609" t="str">
        <f t="shared" si="727"/>
        <v>0</v>
      </c>
      <c r="O1984" s="609" t="str">
        <f t="shared" si="727"/>
        <v>0</v>
      </c>
      <c r="P1984" s="609" t="str">
        <f t="shared" si="727"/>
        <v>0</v>
      </c>
      <c r="Q1984" s="609" t="str">
        <f t="shared" si="727"/>
        <v>0</v>
      </c>
      <c r="R1984" s="603" t="str">
        <f t="shared" si="727"/>
        <v>0</v>
      </c>
    </row>
    <row r="1985" spans="2:18">
      <c r="B1985" s="595" t="s">
        <v>1040</v>
      </c>
      <c r="C1985" s="1844">
        <v>0</v>
      </c>
      <c r="D1985" s="609" t="str">
        <f t="shared" si="728"/>
        <v>0</v>
      </c>
      <c r="E1985" s="609" t="str">
        <f t="shared" si="728"/>
        <v>0</v>
      </c>
      <c r="F1985" s="609" t="str">
        <f t="shared" si="728"/>
        <v>0</v>
      </c>
      <c r="G1985" s="609" t="str">
        <f t="shared" si="728"/>
        <v>0</v>
      </c>
      <c r="H1985" s="609" t="str">
        <f t="shared" si="728"/>
        <v>0</v>
      </c>
      <c r="I1985" s="609" t="str">
        <f t="shared" si="728"/>
        <v>0</v>
      </c>
      <c r="J1985" s="603" t="str">
        <f t="shared" si="728"/>
        <v>0</v>
      </c>
      <c r="K1985" s="1844">
        <v>6.5570366649014833</v>
      </c>
      <c r="L1985" s="609">
        <f t="shared" si="727"/>
        <v>9.9277058632248458</v>
      </c>
      <c r="M1985" s="609">
        <f t="shared" si="727"/>
        <v>5.8342092126276279</v>
      </c>
      <c r="N1985" s="609">
        <f t="shared" si="727"/>
        <v>13.880133081937586</v>
      </c>
      <c r="O1985" s="609">
        <f t="shared" si="727"/>
        <v>17.487233120166135</v>
      </c>
      <c r="P1985" s="609">
        <f t="shared" si="727"/>
        <v>17.625651362703486</v>
      </c>
      <c r="Q1985" s="609">
        <f t="shared" si="727"/>
        <v>-5.13432932168707</v>
      </c>
      <c r="R1985" s="603">
        <f t="shared" si="727"/>
        <v>40.359727624460007</v>
      </c>
    </row>
    <row r="1986" spans="2:18">
      <c r="B1986" s="595" t="s">
        <v>1041</v>
      </c>
      <c r="C1986" s="1844">
        <v>0</v>
      </c>
      <c r="D1986" s="609" t="str">
        <f t="shared" si="728"/>
        <v>0</v>
      </c>
      <c r="E1986" s="609" t="str">
        <f t="shared" si="728"/>
        <v>0</v>
      </c>
      <c r="F1986" s="609" t="str">
        <f t="shared" si="728"/>
        <v>0</v>
      </c>
      <c r="G1986" s="609" t="str">
        <f t="shared" si="728"/>
        <v>0</v>
      </c>
      <c r="H1986" s="609" t="str">
        <f t="shared" si="728"/>
        <v>0</v>
      </c>
      <c r="I1986" s="609" t="str">
        <f t="shared" si="728"/>
        <v>0</v>
      </c>
      <c r="J1986" s="603" t="str">
        <f t="shared" si="728"/>
        <v>0</v>
      </c>
      <c r="K1986" s="1844">
        <v>-1.9574010286986354</v>
      </c>
      <c r="L1986" s="609">
        <f t="shared" si="727"/>
        <v>-33.086802264786286</v>
      </c>
      <c r="M1986" s="609">
        <f t="shared" si="727"/>
        <v>-3.8028040463686397</v>
      </c>
      <c r="N1986" s="609">
        <f t="shared" si="727"/>
        <v>18.006994559093858</v>
      </c>
      <c r="O1986" s="609">
        <f t="shared" si="727"/>
        <v>-4.099277883960653</v>
      </c>
      <c r="P1986" s="609">
        <f t="shared" si="727"/>
        <v>11.584581864091696</v>
      </c>
      <c r="Q1986" s="609">
        <f t="shared" si="727"/>
        <v>-17.842514258997852</v>
      </c>
      <c r="R1986" s="603">
        <f t="shared" si="727"/>
        <v>14.537837071879503</v>
      </c>
    </row>
    <row r="1987" spans="2:18">
      <c r="B1987" s="595" t="s">
        <v>1042</v>
      </c>
      <c r="C1987" s="1844">
        <v>0</v>
      </c>
      <c r="D1987" s="609" t="str">
        <f t="shared" si="728"/>
        <v>0</v>
      </c>
      <c r="E1987" s="609" t="str">
        <f t="shared" si="728"/>
        <v>0</v>
      </c>
      <c r="F1987" s="609" t="str">
        <f t="shared" si="728"/>
        <v>0</v>
      </c>
      <c r="G1987" s="609" t="str">
        <f t="shared" si="728"/>
        <v>0</v>
      </c>
      <c r="H1987" s="609" t="str">
        <f t="shared" si="728"/>
        <v>0</v>
      </c>
      <c r="I1987" s="609" t="str">
        <f t="shared" si="728"/>
        <v>0</v>
      </c>
      <c r="J1987" s="603" t="str">
        <f t="shared" si="728"/>
        <v>0</v>
      </c>
      <c r="K1987" s="1844">
        <v>0</v>
      </c>
      <c r="L1987" s="609" t="str">
        <f t="shared" si="727"/>
        <v>0</v>
      </c>
      <c r="M1987" s="609" t="str">
        <f t="shared" si="727"/>
        <v>0</v>
      </c>
      <c r="N1987" s="609" t="str">
        <f t="shared" si="727"/>
        <v>0</v>
      </c>
      <c r="O1987" s="609" t="str">
        <f t="shared" si="727"/>
        <v>0</v>
      </c>
      <c r="P1987" s="609" t="str">
        <f t="shared" si="727"/>
        <v>0</v>
      </c>
      <c r="Q1987" s="609" t="str">
        <f t="shared" si="727"/>
        <v>0</v>
      </c>
      <c r="R1987" s="603" t="str">
        <f t="shared" si="727"/>
        <v>0</v>
      </c>
    </row>
    <row r="1988" spans="2:18">
      <c r="B1988" s="595" t="s">
        <v>1043</v>
      </c>
      <c r="C1988" s="1844">
        <v>0</v>
      </c>
      <c r="D1988" s="609" t="str">
        <f t="shared" si="728"/>
        <v>0</v>
      </c>
      <c r="E1988" s="609" t="str">
        <f t="shared" si="728"/>
        <v>0</v>
      </c>
      <c r="F1988" s="609" t="str">
        <f t="shared" si="728"/>
        <v>0</v>
      </c>
      <c r="G1988" s="609" t="str">
        <f t="shared" si="728"/>
        <v>0</v>
      </c>
      <c r="H1988" s="609" t="str">
        <f t="shared" si="728"/>
        <v>0</v>
      </c>
      <c r="I1988" s="609" t="str">
        <f t="shared" si="728"/>
        <v>0</v>
      </c>
      <c r="J1988" s="603" t="str">
        <f t="shared" si="728"/>
        <v>0</v>
      </c>
      <c r="K1988" s="1844">
        <v>0</v>
      </c>
      <c r="L1988" s="609" t="str">
        <f t="shared" si="727"/>
        <v>0</v>
      </c>
      <c r="M1988" s="609" t="str">
        <f t="shared" si="727"/>
        <v>0</v>
      </c>
      <c r="N1988" s="609" t="str">
        <f t="shared" si="727"/>
        <v>0</v>
      </c>
      <c r="O1988" s="609" t="str">
        <f t="shared" si="727"/>
        <v>0</v>
      </c>
      <c r="P1988" s="609" t="str">
        <f t="shared" si="727"/>
        <v>0</v>
      </c>
      <c r="Q1988" s="609" t="str">
        <f t="shared" si="727"/>
        <v>0</v>
      </c>
      <c r="R1988" s="603" t="str">
        <f t="shared" si="727"/>
        <v>0</v>
      </c>
    </row>
    <row r="1989" spans="2:18">
      <c r="B1989" s="595" t="s">
        <v>1044</v>
      </c>
      <c r="C1989" s="1844">
        <v>0</v>
      </c>
      <c r="D1989" s="609" t="str">
        <f t="shared" si="728"/>
        <v>0</v>
      </c>
      <c r="E1989" s="609" t="str">
        <f t="shared" si="728"/>
        <v>0</v>
      </c>
      <c r="F1989" s="609" t="str">
        <f t="shared" si="728"/>
        <v>0</v>
      </c>
      <c r="G1989" s="609" t="str">
        <f t="shared" si="728"/>
        <v>0</v>
      </c>
      <c r="H1989" s="609" t="str">
        <f t="shared" si="728"/>
        <v>0</v>
      </c>
      <c r="I1989" s="609" t="str">
        <f t="shared" si="728"/>
        <v>0</v>
      </c>
      <c r="J1989" s="603" t="str">
        <f t="shared" si="728"/>
        <v>0</v>
      </c>
      <c r="K1989" s="1844">
        <v>-2.2564372264770696</v>
      </c>
      <c r="L1989" s="609" t="str">
        <f t="shared" si="727"/>
        <v>0</v>
      </c>
      <c r="M1989" s="609" t="str">
        <f t="shared" si="727"/>
        <v>0</v>
      </c>
      <c r="N1989" s="609" t="str">
        <f t="shared" si="727"/>
        <v>0</v>
      </c>
      <c r="O1989" s="609" t="str">
        <f t="shared" si="727"/>
        <v>0</v>
      </c>
      <c r="P1989" s="609" t="str">
        <f t="shared" si="727"/>
        <v>0</v>
      </c>
      <c r="Q1989" s="609" t="str">
        <f t="shared" si="727"/>
        <v>0</v>
      </c>
      <c r="R1989" s="603" t="str">
        <f t="shared" si="727"/>
        <v>0</v>
      </c>
    </row>
    <row r="1990" spans="2:18">
      <c r="B1990" s="595" t="s">
        <v>1061</v>
      </c>
      <c r="C1990" s="1844">
        <v>1</v>
      </c>
      <c r="D1990" s="609" t="str">
        <f t="shared" ref="D1990:D1999" si="729">IF(ISNUMBER((D1942/C1942-1)*100-L15),(D1942/C1942-1)*100-L15,"0")</f>
        <v>0</v>
      </c>
      <c r="E1990" s="609">
        <f t="shared" ref="E1990:J1990" si="730">IF(ISNUMBER((E1942/D1942-1)*100-M15),(E1942/D1942-1)*100-M15,"0")</f>
        <v>-201.20293629791271</v>
      </c>
      <c r="F1990" s="609">
        <f t="shared" si="730"/>
        <v>-206.04165472881488</v>
      </c>
      <c r="G1990" s="609">
        <f t="shared" si="730"/>
        <v>-215.47903342992822</v>
      </c>
      <c r="H1990" s="609">
        <f t="shared" si="730"/>
        <v>-181.1097540003633</v>
      </c>
      <c r="I1990" s="609">
        <f t="shared" si="730"/>
        <v>-236.88518526928382</v>
      </c>
      <c r="J1990" s="603">
        <f t="shared" si="730"/>
        <v>-80.515928129193043</v>
      </c>
      <c r="K1990" s="1844">
        <v>0</v>
      </c>
      <c r="L1990" s="609" t="str">
        <f>IF(ISNUMBER((L1942/K1942-1)*100-L39),(L1942/K1942-1)*100-L39,"0")</f>
        <v>0</v>
      </c>
      <c r="M1990" s="609">
        <f t="shared" ref="M1990:R1990" si="731">IF(ISNUMBER((M1942/L1942-1)*100-M39),(M1942/L1942-1)*100-M39,"0")</f>
        <v>12.849342711821077</v>
      </c>
      <c r="N1990" s="609">
        <f t="shared" si="731"/>
        <v>15.171123196086258</v>
      </c>
      <c r="O1990" s="609">
        <f t="shared" si="731"/>
        <v>12.747009079068951</v>
      </c>
      <c r="P1990" s="609">
        <f t="shared" si="731"/>
        <v>4.549284715152428</v>
      </c>
      <c r="Q1990" s="609">
        <f t="shared" si="731"/>
        <v>1.126732186180833</v>
      </c>
      <c r="R1990" s="603">
        <f t="shared" si="731"/>
        <v>8.6166780249487083</v>
      </c>
    </row>
    <row r="1991" spans="2:18">
      <c r="B1991" s="595" t="s">
        <v>1047</v>
      </c>
      <c r="C1991" s="1844">
        <v>0</v>
      </c>
      <c r="D1991" s="609" t="str">
        <f t="shared" si="729"/>
        <v>0</v>
      </c>
      <c r="E1991" s="609" t="str">
        <f t="shared" ref="E1991:E1999" si="732">IF(ISNUMBER((E1943/D1943-1)*100-M16),(E1943/D1943-1)*100-M16,"0")</f>
        <v>0</v>
      </c>
      <c r="F1991" s="609" t="str">
        <f t="shared" ref="F1991:F1999" si="733">IF(ISNUMBER((F1943/E1943-1)*100-N16),(F1943/E1943-1)*100-N16,"0")</f>
        <v>0</v>
      </c>
      <c r="G1991" s="609" t="str">
        <f t="shared" ref="G1991:G1999" si="734">IF(ISNUMBER((G1943/F1943-1)*100-O16),(G1943/F1943-1)*100-O16,"0")</f>
        <v>0</v>
      </c>
      <c r="H1991" s="609" t="str">
        <f t="shared" ref="H1991:H1999" si="735">IF(ISNUMBER((H1943/G1943-1)*100-P16),(H1943/G1943-1)*100-P16,"0")</f>
        <v>0</v>
      </c>
      <c r="I1991" s="609" t="str">
        <f t="shared" ref="I1991:I1999" si="736">IF(ISNUMBER((I1943/H1943-1)*100-Q16),(I1943/H1943-1)*100-Q16,"0")</f>
        <v>0</v>
      </c>
      <c r="J1991" s="603" t="str">
        <f t="shared" ref="J1991:J1999" si="737">IF(ISNUMBER((J1943/I1943-1)*100-R16),(J1943/I1943-1)*100-R16,"0")</f>
        <v>0</v>
      </c>
      <c r="K1991" s="1844">
        <v>0</v>
      </c>
      <c r="L1991" s="609" t="str">
        <f t="shared" ref="L1991:R1992" si="738">IF(ISNUMBER((L1943/K1943-1)*100-L40),(L1943/K1943-1)*100-L40,"0")</f>
        <v>0</v>
      </c>
      <c r="M1991" s="609">
        <f t="shared" si="738"/>
        <v>-1.033928415141335</v>
      </c>
      <c r="N1991" s="609">
        <f t="shared" si="738"/>
        <v>11.496966726825287</v>
      </c>
      <c r="O1991" s="609">
        <f t="shared" si="738"/>
        <v>15.993338396519441</v>
      </c>
      <c r="P1991" s="609">
        <f t="shared" si="738"/>
        <v>10.742172421179507</v>
      </c>
      <c r="Q1991" s="609">
        <f t="shared" si="738"/>
        <v>-18.023436053361284</v>
      </c>
      <c r="R1991" s="603">
        <f t="shared" si="738"/>
        <v>17.410467128186287</v>
      </c>
    </row>
    <row r="1992" spans="2:18">
      <c r="B1992" s="595" t="s">
        <v>1048</v>
      </c>
      <c r="C1992" s="1844">
        <v>0</v>
      </c>
      <c r="D1992" s="609" t="str">
        <f t="shared" si="729"/>
        <v>0</v>
      </c>
      <c r="E1992" s="609" t="str">
        <f t="shared" si="732"/>
        <v>0</v>
      </c>
      <c r="F1992" s="609" t="str">
        <f t="shared" si="733"/>
        <v>0</v>
      </c>
      <c r="G1992" s="609" t="str">
        <f t="shared" si="734"/>
        <v>0</v>
      </c>
      <c r="H1992" s="609" t="str">
        <f t="shared" si="735"/>
        <v>0</v>
      </c>
      <c r="I1992" s="609" t="str">
        <f t="shared" si="736"/>
        <v>0</v>
      </c>
      <c r="J1992" s="603" t="str">
        <f t="shared" si="737"/>
        <v>0</v>
      </c>
      <c r="K1992" s="1844">
        <v>0</v>
      </c>
      <c r="L1992" s="609" t="str">
        <f t="shared" si="738"/>
        <v>0</v>
      </c>
      <c r="M1992" s="609" t="str">
        <f t="shared" si="738"/>
        <v>0</v>
      </c>
      <c r="N1992" s="609" t="str">
        <f t="shared" si="738"/>
        <v>0</v>
      </c>
      <c r="O1992" s="609" t="str">
        <f t="shared" si="738"/>
        <v>0</v>
      </c>
      <c r="P1992" s="609" t="str">
        <f t="shared" si="738"/>
        <v>0</v>
      </c>
      <c r="Q1992" s="609" t="str">
        <f t="shared" si="738"/>
        <v>0</v>
      </c>
      <c r="R1992" s="603" t="str">
        <f t="shared" si="738"/>
        <v>0</v>
      </c>
    </row>
    <row r="1993" spans="2:18">
      <c r="B1993" s="595" t="s">
        <v>1049</v>
      </c>
      <c r="C1993" s="1844">
        <v>0</v>
      </c>
      <c r="D1993" s="609" t="str">
        <f t="shared" si="729"/>
        <v>0</v>
      </c>
      <c r="E1993" s="609" t="str">
        <f t="shared" si="732"/>
        <v>0</v>
      </c>
      <c r="F1993" s="609" t="str">
        <f t="shared" si="733"/>
        <v>0</v>
      </c>
      <c r="G1993" s="609" t="str">
        <f t="shared" si="734"/>
        <v>0</v>
      </c>
      <c r="H1993" s="609" t="str">
        <f t="shared" si="735"/>
        <v>0</v>
      </c>
      <c r="I1993" s="609" t="str">
        <f t="shared" si="736"/>
        <v>0</v>
      </c>
      <c r="J1993" s="603" t="str">
        <f t="shared" si="737"/>
        <v>0</v>
      </c>
      <c r="K1993" s="1844">
        <v>0</v>
      </c>
      <c r="L1993" s="609" t="str">
        <f t="shared" ref="L1993:R1999" si="739">IF(ISNUMBER((L1945/K1945-1)*100-L42),(L1945/K1945-1)*100-L42,"0")</f>
        <v>0</v>
      </c>
      <c r="M1993" s="609" t="str">
        <f t="shared" si="739"/>
        <v>0</v>
      </c>
      <c r="N1993" s="609" t="str">
        <f t="shared" si="739"/>
        <v>0</v>
      </c>
      <c r="O1993" s="609" t="str">
        <f t="shared" si="739"/>
        <v>0</v>
      </c>
      <c r="P1993" s="609" t="str">
        <f t="shared" si="739"/>
        <v>0</v>
      </c>
      <c r="Q1993" s="609" t="str">
        <f t="shared" si="739"/>
        <v>0</v>
      </c>
      <c r="R1993" s="603" t="str">
        <f t="shared" si="739"/>
        <v>0</v>
      </c>
    </row>
    <row r="1994" spans="2:18">
      <c r="B1994" s="595" t="s">
        <v>1050</v>
      </c>
      <c r="C1994" s="1844">
        <v>0</v>
      </c>
      <c r="D1994" s="609" t="str">
        <f t="shared" si="729"/>
        <v>0</v>
      </c>
      <c r="E1994" s="609" t="str">
        <f t="shared" si="732"/>
        <v>0</v>
      </c>
      <c r="F1994" s="609" t="str">
        <f t="shared" si="733"/>
        <v>0</v>
      </c>
      <c r="G1994" s="609" t="str">
        <f t="shared" si="734"/>
        <v>0</v>
      </c>
      <c r="H1994" s="609" t="str">
        <f t="shared" si="735"/>
        <v>0</v>
      </c>
      <c r="I1994" s="609" t="str">
        <f t="shared" si="736"/>
        <v>0</v>
      </c>
      <c r="J1994" s="603" t="str">
        <f t="shared" si="737"/>
        <v>0</v>
      </c>
      <c r="K1994" s="1844">
        <v>0</v>
      </c>
      <c r="L1994" s="609" t="str">
        <f t="shared" si="739"/>
        <v>0</v>
      </c>
      <c r="M1994" s="609" t="str">
        <f t="shared" si="739"/>
        <v>0</v>
      </c>
      <c r="N1994" s="609" t="str">
        <f t="shared" si="739"/>
        <v>0</v>
      </c>
      <c r="O1994" s="609" t="str">
        <f t="shared" si="739"/>
        <v>0</v>
      </c>
      <c r="P1994" s="609" t="str">
        <f t="shared" si="739"/>
        <v>0</v>
      </c>
      <c r="Q1994" s="609" t="str">
        <f t="shared" si="739"/>
        <v>0</v>
      </c>
      <c r="R1994" s="603" t="str">
        <f t="shared" si="739"/>
        <v>0</v>
      </c>
    </row>
    <row r="1995" spans="2:18">
      <c r="B1995" s="595" t="s">
        <v>1051</v>
      </c>
      <c r="C1995" s="1844">
        <v>0</v>
      </c>
      <c r="D1995" s="609" t="str">
        <f t="shared" si="729"/>
        <v>0</v>
      </c>
      <c r="E1995" s="609" t="str">
        <f t="shared" si="732"/>
        <v>0</v>
      </c>
      <c r="F1995" s="609" t="str">
        <f t="shared" si="733"/>
        <v>0</v>
      </c>
      <c r="G1995" s="609" t="str">
        <f t="shared" si="734"/>
        <v>0</v>
      </c>
      <c r="H1995" s="609" t="str">
        <f t="shared" si="735"/>
        <v>0</v>
      </c>
      <c r="I1995" s="609" t="str">
        <f t="shared" si="736"/>
        <v>0</v>
      </c>
      <c r="J1995" s="603" t="str">
        <f t="shared" si="737"/>
        <v>0</v>
      </c>
      <c r="K1995" s="1844">
        <v>7.6259973250158009</v>
      </c>
      <c r="L1995" s="609">
        <f t="shared" si="739"/>
        <v>17.905744677579275</v>
      </c>
      <c r="M1995" s="609">
        <f t="shared" si="739"/>
        <v>12.625523811689856</v>
      </c>
      <c r="N1995" s="609">
        <f t="shared" si="739"/>
        <v>20.676508155665335</v>
      </c>
      <c r="O1995" s="609">
        <f t="shared" si="739"/>
        <v>-46.516591997973073</v>
      </c>
      <c r="P1995" s="609">
        <f t="shared" si="739"/>
        <v>110.16247731762776</v>
      </c>
      <c r="Q1995" s="609">
        <f t="shared" si="739"/>
        <v>-6.2067178038133184</v>
      </c>
      <c r="R1995" s="603">
        <f t="shared" si="739"/>
        <v>-3.4004835423653983</v>
      </c>
    </row>
    <row r="1996" spans="2:18">
      <c r="B1996" s="595" t="s">
        <v>1052</v>
      </c>
      <c r="C1996" s="1844">
        <v>0</v>
      </c>
      <c r="D1996" s="609" t="str">
        <f t="shared" si="729"/>
        <v>0</v>
      </c>
      <c r="E1996" s="609">
        <f t="shared" si="732"/>
        <v>45.09096291630722</v>
      </c>
      <c r="F1996" s="609">
        <f t="shared" si="733"/>
        <v>-16.925383084135643</v>
      </c>
      <c r="G1996" s="609">
        <f t="shared" si="734"/>
        <v>-4.6408472306467257</v>
      </c>
      <c r="H1996" s="609">
        <f t="shared" si="735"/>
        <v>-6.3994044157012508</v>
      </c>
      <c r="I1996" s="609">
        <f t="shared" si="736"/>
        <v>-56.260628560825374</v>
      </c>
      <c r="J1996" s="603">
        <f t="shared" si="737"/>
        <v>106.49408561024734</v>
      </c>
      <c r="K1996" s="1844">
        <v>12.185116207206807</v>
      </c>
      <c r="L1996" s="609">
        <f t="shared" si="739"/>
        <v>12.305702575140662</v>
      </c>
      <c r="M1996" s="609">
        <f t="shared" si="739"/>
        <v>5.9027857012514895</v>
      </c>
      <c r="N1996" s="609">
        <f t="shared" si="739"/>
        <v>8.3777073061831224</v>
      </c>
      <c r="O1996" s="609">
        <f t="shared" si="739"/>
        <v>0.42750051067446115</v>
      </c>
      <c r="P1996" s="609">
        <f t="shared" si="739"/>
        <v>3.0815749451786667</v>
      </c>
      <c r="Q1996" s="609">
        <f t="shared" si="739"/>
        <v>-17.054525111226791</v>
      </c>
      <c r="R1996" s="603">
        <f t="shared" si="739"/>
        <v>29.575177343368342</v>
      </c>
    </row>
    <row r="1997" spans="2:18">
      <c r="B1997" s="595" t="s">
        <v>1053</v>
      </c>
      <c r="C1997" s="1844">
        <v>0</v>
      </c>
      <c r="D1997" s="609" t="str">
        <f t="shared" si="729"/>
        <v>0</v>
      </c>
      <c r="E1997" s="609">
        <f t="shared" si="732"/>
        <v>-6836.6342122824954</v>
      </c>
      <c r="F1997" s="609">
        <f t="shared" si="733"/>
        <v>-6936.0619849070054</v>
      </c>
      <c r="G1997" s="609">
        <f t="shared" si="734"/>
        <v>-7006.3222351384666</v>
      </c>
      <c r="H1997" s="609">
        <f t="shared" si="735"/>
        <v>-7151.920943549997</v>
      </c>
      <c r="I1997" s="609">
        <f t="shared" si="736"/>
        <v>-7312.741237754949</v>
      </c>
      <c r="J1997" s="603">
        <f t="shared" si="737"/>
        <v>-7293.3382598416492</v>
      </c>
      <c r="K1997" s="1844">
        <v>0</v>
      </c>
      <c r="L1997" s="609" t="str">
        <f t="shared" si="739"/>
        <v>0</v>
      </c>
      <c r="M1997" s="609">
        <f t="shared" si="739"/>
        <v>9.557751613347488</v>
      </c>
      <c r="N1997" s="609">
        <f t="shared" si="739"/>
        <v>16.702702275136353</v>
      </c>
      <c r="O1997" s="609">
        <f t="shared" si="739"/>
        <v>8.9915168812982227</v>
      </c>
      <c r="P1997" s="609">
        <f t="shared" si="739"/>
        <v>3.4134242296017767</v>
      </c>
      <c r="Q1997" s="609">
        <f t="shared" si="739"/>
        <v>-8.2765658504676374</v>
      </c>
      <c r="R1997" s="603">
        <f t="shared" si="739"/>
        <v>14.404217583196257</v>
      </c>
    </row>
    <row r="1998" spans="2:18">
      <c r="B1998" s="595" t="s">
        <v>1054</v>
      </c>
      <c r="C1998" s="1844">
        <v>0</v>
      </c>
      <c r="D1998" s="609" t="str">
        <f t="shared" si="729"/>
        <v>0</v>
      </c>
      <c r="E1998" s="609" t="str">
        <f t="shared" si="732"/>
        <v>0</v>
      </c>
      <c r="F1998" s="609" t="str">
        <f t="shared" si="733"/>
        <v>0</v>
      </c>
      <c r="G1998" s="609" t="str">
        <f t="shared" si="734"/>
        <v>0</v>
      </c>
      <c r="H1998" s="609" t="str">
        <f t="shared" si="735"/>
        <v>0</v>
      </c>
      <c r="I1998" s="609" t="str">
        <f t="shared" si="736"/>
        <v>0</v>
      </c>
      <c r="J1998" s="603" t="str">
        <f t="shared" si="737"/>
        <v>0</v>
      </c>
      <c r="K1998" s="1844">
        <v>0</v>
      </c>
      <c r="L1998" s="609" t="str">
        <f t="shared" si="739"/>
        <v>0</v>
      </c>
      <c r="M1998" s="609" t="str">
        <f t="shared" si="739"/>
        <v>0</v>
      </c>
      <c r="N1998" s="609" t="str">
        <f t="shared" si="739"/>
        <v>0</v>
      </c>
      <c r="O1998" s="609" t="str">
        <f t="shared" si="739"/>
        <v>0</v>
      </c>
      <c r="P1998" s="609" t="str">
        <f t="shared" si="739"/>
        <v>0</v>
      </c>
      <c r="Q1998" s="609" t="str">
        <f t="shared" si="739"/>
        <v>0</v>
      </c>
      <c r="R1998" s="603" t="str">
        <f t="shared" si="739"/>
        <v>0</v>
      </c>
    </row>
    <row r="1999" spans="2:18">
      <c r="B1999" s="604" t="s">
        <v>1055</v>
      </c>
      <c r="C1999" s="610">
        <v>0</v>
      </c>
      <c r="D1999" s="617" t="str">
        <f t="shared" si="729"/>
        <v>0</v>
      </c>
      <c r="E1999" s="617" t="str">
        <f t="shared" si="732"/>
        <v>0</v>
      </c>
      <c r="F1999" s="617" t="str">
        <f t="shared" si="733"/>
        <v>0</v>
      </c>
      <c r="G1999" s="617" t="str">
        <f t="shared" si="734"/>
        <v>0</v>
      </c>
      <c r="H1999" s="617" t="str">
        <f t="shared" si="735"/>
        <v>0</v>
      </c>
      <c r="I1999" s="617" t="str">
        <f t="shared" si="736"/>
        <v>0</v>
      </c>
      <c r="J1999" s="618" t="str">
        <f t="shared" si="737"/>
        <v>0</v>
      </c>
      <c r="K1999" s="610">
        <v>-3.4619992519922471</v>
      </c>
      <c r="L1999" s="617">
        <f t="shared" si="739"/>
        <v>7.6490037558680513</v>
      </c>
      <c r="M1999" s="617">
        <f t="shared" si="739"/>
        <v>0.3785451973090832</v>
      </c>
      <c r="N1999" s="617">
        <f t="shared" si="739"/>
        <v>-2.0964934922430767</v>
      </c>
      <c r="O1999" s="617">
        <f t="shared" si="739"/>
        <v>-0.85104859372586006</v>
      </c>
      <c r="P1999" s="617">
        <f t="shared" si="739"/>
        <v>5.3904269191304408</v>
      </c>
      <c r="Q1999" s="617">
        <f t="shared" si="739"/>
        <v>-0.98663926300800664</v>
      </c>
      <c r="R1999" s="618">
        <f t="shared" si="739"/>
        <v>1.8470701995100525</v>
      </c>
    </row>
    <row r="2000" spans="2:18">
      <c r="B2000" s="57"/>
      <c r="C2000" s="582"/>
      <c r="D2000" s="582"/>
      <c r="E2000" s="582"/>
      <c r="F2000" s="582"/>
      <c r="G2000" s="582"/>
      <c r="H2000" s="582"/>
      <c r="I2000" s="582"/>
      <c r="J2000" s="582"/>
      <c r="K2000" s="582"/>
      <c r="L2000" s="582"/>
      <c r="M2000" s="582"/>
      <c r="N2000" s="582"/>
      <c r="O2000" s="582"/>
      <c r="P2000" s="582"/>
      <c r="Q2000" s="582"/>
    </row>
    <row r="2001" spans="2:18">
      <c r="B2001" s="2157" t="s">
        <v>1217</v>
      </c>
      <c r="C2001" s="2157"/>
      <c r="D2001" s="2157"/>
      <c r="E2001" s="2157"/>
      <c r="F2001" s="2157"/>
      <c r="G2001" s="2157"/>
      <c r="H2001" s="2157"/>
      <c r="I2001" s="2157"/>
      <c r="J2001" s="2157"/>
      <c r="K2001" s="2157"/>
      <c r="L2001" s="2157"/>
      <c r="M2001" s="2157"/>
      <c r="N2001" s="2157"/>
      <c r="O2001" s="2157"/>
      <c r="P2001" s="2157"/>
      <c r="Q2001" s="2157"/>
      <c r="R2001" s="2157"/>
    </row>
    <row r="2002" spans="2:18">
      <c r="B2002" s="619"/>
      <c r="C2002" s="621"/>
      <c r="D2002" s="621"/>
      <c r="E2002" s="621"/>
      <c r="F2002" s="621"/>
      <c r="G2002" s="621"/>
      <c r="H2002" s="621"/>
      <c r="I2002" s="621"/>
      <c r="J2002" s="621"/>
      <c r="K2002" s="622"/>
      <c r="L2002" s="622"/>
      <c r="M2002" s="622"/>
      <c r="N2002" s="622"/>
      <c r="O2002" s="622"/>
      <c r="P2002" s="622"/>
      <c r="Q2002" s="622"/>
    </row>
    <row r="2003" spans="2:18">
      <c r="B2003" s="619"/>
      <c r="C2003" s="2167" t="s">
        <v>1207</v>
      </c>
      <c r="D2003" s="2168"/>
      <c r="E2003" s="2168"/>
      <c r="F2003" s="2168"/>
      <c r="G2003" s="2168"/>
      <c r="H2003" s="2168"/>
      <c r="I2003" s="2168"/>
      <c r="J2003" s="2169"/>
      <c r="K2003" s="2170" t="s">
        <v>1208</v>
      </c>
      <c r="L2003" s="2171"/>
      <c r="M2003" s="2171"/>
      <c r="N2003" s="2171"/>
      <c r="O2003" s="2171"/>
      <c r="P2003" s="2171"/>
      <c r="Q2003" s="2171"/>
      <c r="R2003" s="2172"/>
    </row>
    <row r="2004" spans="2:18">
      <c r="B2004" s="583"/>
      <c r="C2004" s="2211" t="s">
        <v>1191</v>
      </c>
      <c r="D2004" s="2212"/>
      <c r="E2004" s="2212"/>
      <c r="F2004" s="2212"/>
      <c r="G2004" s="2212"/>
      <c r="H2004" s="2212"/>
      <c r="I2004" s="2212"/>
      <c r="J2004" s="2212"/>
      <c r="K2004" s="2212"/>
      <c r="L2004" s="2212"/>
      <c r="M2004" s="2212"/>
      <c r="N2004" s="2212"/>
      <c r="O2004" s="2212"/>
      <c r="P2004" s="2212"/>
      <c r="Q2004" s="2212"/>
      <c r="R2004" s="2213"/>
    </row>
    <row r="2005" spans="2:18">
      <c r="B2005" s="57"/>
      <c r="C2005" s="635">
        <v>2014</v>
      </c>
      <c r="D2005" s="636">
        <v>2015</v>
      </c>
      <c r="E2005" s="636">
        <v>2016</v>
      </c>
      <c r="F2005" s="636">
        <v>2017</v>
      </c>
      <c r="G2005" s="636">
        <v>2018</v>
      </c>
      <c r="H2005" s="636">
        <v>2019</v>
      </c>
      <c r="I2005" s="636">
        <v>2020</v>
      </c>
      <c r="J2005" s="636">
        <v>2021</v>
      </c>
      <c r="K2005" s="587">
        <v>2014</v>
      </c>
      <c r="L2005" s="588">
        <v>2015</v>
      </c>
      <c r="M2005" s="588">
        <v>2016</v>
      </c>
      <c r="N2005" s="588">
        <v>2017</v>
      </c>
      <c r="O2005" s="588">
        <v>2018</v>
      </c>
      <c r="P2005" s="588">
        <v>2019</v>
      </c>
      <c r="Q2005" s="588">
        <v>2020</v>
      </c>
      <c r="R2005" s="848">
        <v>2021</v>
      </c>
    </row>
    <row r="2006" spans="2:18">
      <c r="B2006" s="589" t="s">
        <v>1038</v>
      </c>
      <c r="C2006" s="614">
        <v>142.45057394592416</v>
      </c>
      <c r="D2006" s="615">
        <f t="shared" ref="D2006:J2012" si="740">IF(ISNUMBER((D1958/C1958-1)*100-L30),(D1958/C1958-1)*100-L30,"0")</f>
        <v>15.383240471913783</v>
      </c>
      <c r="E2006" s="615">
        <f t="shared" si="740"/>
        <v>3.8443368444090709</v>
      </c>
      <c r="F2006" s="615">
        <f t="shared" si="740"/>
        <v>1.4393251995281737</v>
      </c>
      <c r="G2006" s="615">
        <f t="shared" si="740"/>
        <v>-66.546272107241833</v>
      </c>
      <c r="H2006" s="615">
        <f t="shared" si="740"/>
        <v>-98.469483266910061</v>
      </c>
      <c r="I2006" s="615">
        <f t="shared" si="740"/>
        <v>-102.28888834914632</v>
      </c>
      <c r="J2006" s="616">
        <f t="shared" si="740"/>
        <v>-149.19999999999999</v>
      </c>
      <c r="K2006" s="614">
        <v>0</v>
      </c>
      <c r="L2006" s="615" t="str">
        <f t="shared" ref="L2006:R2012" si="741">IF(ISNUMBER((L1958/K1958-1)*100-L6),(L1958/K1958-1)*100-L6,"0")</f>
        <v>0</v>
      </c>
      <c r="M2006" s="615" t="str">
        <f t="shared" si="741"/>
        <v>0</v>
      </c>
      <c r="N2006" s="615" t="str">
        <f t="shared" si="741"/>
        <v>0</v>
      </c>
      <c r="O2006" s="615" t="str">
        <f t="shared" si="741"/>
        <v>0</v>
      </c>
      <c r="P2006" s="615" t="str">
        <f t="shared" si="741"/>
        <v>0</v>
      </c>
      <c r="Q2006" s="615" t="str">
        <f t="shared" si="741"/>
        <v>0</v>
      </c>
      <c r="R2006" s="616" t="str">
        <f t="shared" si="741"/>
        <v>0</v>
      </c>
    </row>
    <row r="2007" spans="2:18">
      <c r="B2007" s="595" t="s">
        <v>1039</v>
      </c>
      <c r="C2007" s="1844">
        <v>0</v>
      </c>
      <c r="D2007" s="609" t="str">
        <f t="shared" si="740"/>
        <v>0</v>
      </c>
      <c r="E2007" s="609" t="str">
        <f t="shared" si="740"/>
        <v>0</v>
      </c>
      <c r="F2007" s="609" t="str">
        <f t="shared" si="740"/>
        <v>0</v>
      </c>
      <c r="G2007" s="609" t="str">
        <f t="shared" si="740"/>
        <v>0</v>
      </c>
      <c r="H2007" s="609" t="str">
        <f t="shared" si="740"/>
        <v>0</v>
      </c>
      <c r="I2007" s="609" t="str">
        <f t="shared" si="740"/>
        <v>0</v>
      </c>
      <c r="J2007" s="603" t="str">
        <f t="shared" si="740"/>
        <v>0</v>
      </c>
      <c r="K2007" s="1844">
        <v>0</v>
      </c>
      <c r="L2007" s="609" t="str">
        <f t="shared" si="741"/>
        <v>0</v>
      </c>
      <c r="M2007" s="609" t="str">
        <f t="shared" si="741"/>
        <v>0</v>
      </c>
      <c r="N2007" s="609" t="str">
        <f t="shared" si="741"/>
        <v>0</v>
      </c>
      <c r="O2007" s="609" t="str">
        <f t="shared" si="741"/>
        <v>0</v>
      </c>
      <c r="P2007" s="609" t="str">
        <f t="shared" si="741"/>
        <v>0</v>
      </c>
      <c r="Q2007" s="609" t="str">
        <f t="shared" si="741"/>
        <v>0</v>
      </c>
      <c r="R2007" s="603" t="str">
        <f t="shared" si="741"/>
        <v>0</v>
      </c>
    </row>
    <row r="2008" spans="2:18">
      <c r="B2008" s="595" t="s">
        <v>1040</v>
      </c>
      <c r="C2008" s="1844">
        <v>0</v>
      </c>
      <c r="D2008" s="609" t="str">
        <f t="shared" si="740"/>
        <v>0</v>
      </c>
      <c r="E2008" s="609" t="str">
        <f t="shared" si="740"/>
        <v>0</v>
      </c>
      <c r="F2008" s="609">
        <f t="shared" si="740"/>
        <v>11.894587774724609</v>
      </c>
      <c r="G2008" s="609">
        <f t="shared" si="740"/>
        <v>-17.058265820846831</v>
      </c>
      <c r="H2008" s="609">
        <f t="shared" si="740"/>
        <v>-9.7009742845196243</v>
      </c>
      <c r="I2008" s="609">
        <f t="shared" si="740"/>
        <v>-15.741097968081796</v>
      </c>
      <c r="J2008" s="603">
        <f t="shared" si="740"/>
        <v>28.863971488703257</v>
      </c>
      <c r="K2008" s="1844">
        <v>0</v>
      </c>
      <c r="L2008" s="609">
        <f t="shared" si="741"/>
        <v>-10357.152173347387</v>
      </c>
      <c r="M2008" s="609">
        <f t="shared" si="741"/>
        <v>-10677.977262498549</v>
      </c>
      <c r="N2008" s="609">
        <f t="shared" si="741"/>
        <v>-10912.375213009882</v>
      </c>
      <c r="O2008" s="609">
        <f t="shared" si="741"/>
        <v>-11105.168874913201</v>
      </c>
      <c r="P2008" s="609">
        <f t="shared" si="741"/>
        <v>-11310.670014945095</v>
      </c>
      <c r="Q2008" s="609">
        <f t="shared" si="741"/>
        <v>-11641.315960989643</v>
      </c>
      <c r="R2008" s="603">
        <f t="shared" si="741"/>
        <v>-11799.186025939747</v>
      </c>
    </row>
    <row r="2009" spans="2:18">
      <c r="B2009" s="595" t="s">
        <v>1041</v>
      </c>
      <c r="C2009" s="1844">
        <v>4.9053698480694123</v>
      </c>
      <c r="D2009" s="609">
        <f t="shared" si="740"/>
        <v>-44.25711942850301</v>
      </c>
      <c r="E2009" s="609">
        <f t="shared" si="740"/>
        <v>-21.63090373841268</v>
      </c>
      <c r="F2009" s="609">
        <f t="shared" si="740"/>
        <v>30.207917129717895</v>
      </c>
      <c r="G2009" s="609">
        <f t="shared" si="740"/>
        <v>-1.020610201693497</v>
      </c>
      <c r="H2009" s="609">
        <f t="shared" si="740"/>
        <v>3.6195319814455482</v>
      </c>
      <c r="I2009" s="609">
        <f t="shared" si="740"/>
        <v>-67.421133959450231</v>
      </c>
      <c r="J2009" s="603">
        <f t="shared" si="740"/>
        <v>-7.3563852297047188</v>
      </c>
      <c r="K2009" s="1844">
        <v>0</v>
      </c>
      <c r="L2009" s="609" t="str">
        <f t="shared" si="741"/>
        <v>0</v>
      </c>
      <c r="M2009" s="609" t="str">
        <f t="shared" si="741"/>
        <v>0</v>
      </c>
      <c r="N2009" s="609" t="str">
        <f t="shared" si="741"/>
        <v>0</v>
      </c>
      <c r="O2009" s="609" t="str">
        <f t="shared" si="741"/>
        <v>0</v>
      </c>
      <c r="P2009" s="609" t="str">
        <f t="shared" si="741"/>
        <v>0</v>
      </c>
      <c r="Q2009" s="609" t="str">
        <f t="shared" si="741"/>
        <v>0</v>
      </c>
      <c r="R2009" s="603" t="str">
        <f t="shared" si="741"/>
        <v>0</v>
      </c>
    </row>
    <row r="2010" spans="2:18">
      <c r="B2010" s="595" t="s">
        <v>1042</v>
      </c>
      <c r="C2010" s="1844">
        <v>0</v>
      </c>
      <c r="D2010" s="609" t="str">
        <f t="shared" si="740"/>
        <v>0</v>
      </c>
      <c r="E2010" s="609" t="str">
        <f t="shared" si="740"/>
        <v>0</v>
      </c>
      <c r="F2010" s="609" t="str">
        <f t="shared" si="740"/>
        <v>0</v>
      </c>
      <c r="G2010" s="609" t="str">
        <f t="shared" si="740"/>
        <v>0</v>
      </c>
      <c r="H2010" s="609" t="str">
        <f t="shared" si="740"/>
        <v>0</v>
      </c>
      <c r="I2010" s="609" t="str">
        <f t="shared" si="740"/>
        <v>0</v>
      </c>
      <c r="J2010" s="603" t="str">
        <f t="shared" si="740"/>
        <v>0</v>
      </c>
      <c r="K2010" s="1844">
        <v>0</v>
      </c>
      <c r="L2010" s="609" t="str">
        <f t="shared" si="741"/>
        <v>0</v>
      </c>
      <c r="M2010" s="609" t="str">
        <f t="shared" si="741"/>
        <v>0</v>
      </c>
      <c r="N2010" s="609" t="str">
        <f t="shared" si="741"/>
        <v>0</v>
      </c>
      <c r="O2010" s="609" t="str">
        <f t="shared" si="741"/>
        <v>0</v>
      </c>
      <c r="P2010" s="609" t="str">
        <f t="shared" si="741"/>
        <v>0</v>
      </c>
      <c r="Q2010" s="609" t="str">
        <f t="shared" si="741"/>
        <v>0</v>
      </c>
      <c r="R2010" s="603" t="str">
        <f t="shared" si="741"/>
        <v>0</v>
      </c>
    </row>
    <row r="2011" spans="2:18">
      <c r="B2011" s="595" t="s">
        <v>1043</v>
      </c>
      <c r="C2011" s="1844">
        <v>0</v>
      </c>
      <c r="D2011" s="609" t="str">
        <f t="shared" si="740"/>
        <v>0</v>
      </c>
      <c r="E2011" s="609" t="str">
        <f t="shared" si="740"/>
        <v>0</v>
      </c>
      <c r="F2011" s="609" t="str">
        <f t="shared" si="740"/>
        <v>0</v>
      </c>
      <c r="G2011" s="609" t="str">
        <f t="shared" si="740"/>
        <v>0</v>
      </c>
      <c r="H2011" s="609" t="str">
        <f t="shared" si="740"/>
        <v>0</v>
      </c>
      <c r="I2011" s="609" t="str">
        <f t="shared" si="740"/>
        <v>0</v>
      </c>
      <c r="J2011" s="603" t="str">
        <f t="shared" si="740"/>
        <v>0</v>
      </c>
      <c r="K2011" s="1844">
        <v>0</v>
      </c>
      <c r="L2011" s="609" t="str">
        <f t="shared" si="741"/>
        <v>0</v>
      </c>
      <c r="M2011" s="609" t="str">
        <f t="shared" si="741"/>
        <v>0</v>
      </c>
      <c r="N2011" s="609" t="str">
        <f t="shared" si="741"/>
        <v>0</v>
      </c>
      <c r="O2011" s="609" t="str">
        <f t="shared" si="741"/>
        <v>0</v>
      </c>
      <c r="P2011" s="609" t="str">
        <f t="shared" si="741"/>
        <v>0</v>
      </c>
      <c r="Q2011" s="609" t="str">
        <f t="shared" si="741"/>
        <v>0</v>
      </c>
      <c r="R2011" s="603" t="str">
        <f t="shared" si="741"/>
        <v>0</v>
      </c>
    </row>
    <row r="2012" spans="2:18">
      <c r="B2012" s="595" t="s">
        <v>1044</v>
      </c>
      <c r="C2012" s="1844">
        <v>0</v>
      </c>
      <c r="D2012" s="609" t="str">
        <f t="shared" si="740"/>
        <v>0</v>
      </c>
      <c r="E2012" s="609" t="str">
        <f t="shared" si="740"/>
        <v>0</v>
      </c>
      <c r="F2012" s="609" t="str">
        <f t="shared" si="740"/>
        <v>0</v>
      </c>
      <c r="G2012" s="609" t="str">
        <f t="shared" si="740"/>
        <v>0</v>
      </c>
      <c r="H2012" s="609" t="str">
        <f t="shared" si="740"/>
        <v>0</v>
      </c>
      <c r="I2012" s="609" t="str">
        <f t="shared" si="740"/>
        <v>0</v>
      </c>
      <c r="J2012" s="603" t="str">
        <f t="shared" si="740"/>
        <v>0</v>
      </c>
      <c r="K2012" s="1844">
        <v>0</v>
      </c>
      <c r="L2012" s="609" t="str">
        <f t="shared" si="741"/>
        <v>0</v>
      </c>
      <c r="M2012" s="609" t="str">
        <f t="shared" si="741"/>
        <v>0</v>
      </c>
      <c r="N2012" s="609" t="str">
        <f t="shared" si="741"/>
        <v>0</v>
      </c>
      <c r="O2012" s="609" t="str">
        <f t="shared" si="741"/>
        <v>0</v>
      </c>
      <c r="P2012" s="609" t="str">
        <f t="shared" si="741"/>
        <v>0</v>
      </c>
      <c r="Q2012" s="609" t="str">
        <f t="shared" si="741"/>
        <v>0</v>
      </c>
      <c r="R2012" s="603" t="str">
        <f t="shared" si="741"/>
        <v>0</v>
      </c>
    </row>
    <row r="2013" spans="2:18">
      <c r="B2013" s="595" t="s">
        <v>1061</v>
      </c>
      <c r="C2013" s="1844">
        <v>0</v>
      </c>
      <c r="D2013" s="609" t="str">
        <f>IF(ISNUMBER((D1965/C1965-1)*100-L39),(D1965/C1965-1)*100-L39,"0")</f>
        <v>0</v>
      </c>
      <c r="E2013" s="609">
        <f t="shared" ref="E2013:J2013" si="742">IF(ISNUMBER((E1965/D1965-1)*100-M39),(E1965/D1965-1)*100-M39,"0")</f>
        <v>10.439194567094411</v>
      </c>
      <c r="F2013" s="609">
        <f t="shared" si="742"/>
        <v>6.2548496920924377</v>
      </c>
      <c r="G2013" s="609">
        <f t="shared" si="742"/>
        <v>10.812356820946869</v>
      </c>
      <c r="H2013" s="609">
        <f t="shared" si="742"/>
        <v>4.0175118733047173</v>
      </c>
      <c r="I2013" s="609">
        <f t="shared" si="742"/>
        <v>-35.272102121848903</v>
      </c>
      <c r="J2013" s="603">
        <f t="shared" si="742"/>
        <v>60.178517276933334</v>
      </c>
      <c r="K2013" s="1844">
        <v>0</v>
      </c>
      <c r="L2013" s="609" t="str">
        <f t="shared" ref="L2013:L2022" si="743">IF(ISNUMBER((L1965/K1965-1)*100-L15),(L1965/K1965-1)*100-L15,"0")</f>
        <v>0</v>
      </c>
      <c r="M2013" s="609">
        <f t="shared" ref="M2013:R2013" si="744">IF(ISNUMBER((M1965/L1965-1)*100-M15),(M1965/L1965-1)*100-M15,"0")</f>
        <v>-200.20686848619479</v>
      </c>
      <c r="N2013" s="609">
        <f t="shared" si="744"/>
        <v>-207.56253325738106</v>
      </c>
      <c r="O2013" s="609">
        <f t="shared" si="744"/>
        <v>-196.19159578506324</v>
      </c>
      <c r="P2013" s="609">
        <f t="shared" si="744"/>
        <v>-196.49214015780913</v>
      </c>
      <c r="Q2013" s="609">
        <f t="shared" si="744"/>
        <v>-209.73481914324915</v>
      </c>
      <c r="R2013" s="603">
        <f t="shared" si="744"/>
        <v>-122.41547932035324</v>
      </c>
    </row>
    <row r="2014" spans="2:18">
      <c r="B2014" s="595" t="s">
        <v>1047</v>
      </c>
      <c r="C2014" s="1844">
        <v>0</v>
      </c>
      <c r="D2014" s="609" t="str">
        <f t="shared" ref="D2014:D2022" si="745">IF(ISNUMBER((D1966/C1966-1)*100-L40),(D1966/C1966-1)*100-L40,"0")</f>
        <v>0</v>
      </c>
      <c r="E2014" s="609" t="str">
        <f t="shared" ref="E2014:E2022" si="746">IF(ISNUMBER((E1966/D1966-1)*100-M40),(E1966/D1966-1)*100-M40,"0")</f>
        <v>0</v>
      </c>
      <c r="F2014" s="609" t="str">
        <f t="shared" ref="F2014:F2022" si="747">IF(ISNUMBER((F1966/E1966-1)*100-N40),(F1966/E1966-1)*100-N40,"0")</f>
        <v>0</v>
      </c>
      <c r="G2014" s="609" t="str">
        <f t="shared" ref="G2014:G2022" si="748">IF(ISNUMBER((G1966/F1966-1)*100-O40),(G1966/F1966-1)*100-O40,"0")</f>
        <v>0</v>
      </c>
      <c r="H2014" s="609" t="str">
        <f t="shared" ref="H2014:H2022" si="749">IF(ISNUMBER((H1966/G1966-1)*100-P40),(H1966/G1966-1)*100-P40,"0")</f>
        <v>0</v>
      </c>
      <c r="I2014" s="609" t="str">
        <f t="shared" ref="I2014:I2022" si="750">IF(ISNUMBER((I1966/H1966-1)*100-Q40),(I1966/H1966-1)*100-Q40,"0")</f>
        <v>0</v>
      </c>
      <c r="J2014" s="603" t="str">
        <f t="shared" ref="J2014:J2022" si="751">IF(ISNUMBER((J1966/I1966-1)*100-R40),(J1966/I1966-1)*100-R40,"0")</f>
        <v>0</v>
      </c>
      <c r="K2014" s="1844">
        <v>0</v>
      </c>
      <c r="L2014" s="609" t="str">
        <f t="shared" si="743"/>
        <v>0</v>
      </c>
      <c r="M2014" s="609" t="str">
        <f t="shared" ref="M2014:R2022" si="752">IF(ISNUMBER((M1966/L1966-1)*100-M16),(M1966/L1966-1)*100-M16,"0")</f>
        <v>0</v>
      </c>
      <c r="N2014" s="609" t="str">
        <f t="shared" si="752"/>
        <v>0</v>
      </c>
      <c r="O2014" s="609" t="str">
        <f t="shared" si="752"/>
        <v>0</v>
      </c>
      <c r="P2014" s="609" t="str">
        <f t="shared" si="752"/>
        <v>0</v>
      </c>
      <c r="Q2014" s="609" t="str">
        <f t="shared" si="752"/>
        <v>0</v>
      </c>
      <c r="R2014" s="603" t="str">
        <f t="shared" si="752"/>
        <v>0</v>
      </c>
    </row>
    <row r="2015" spans="2:18">
      <c r="B2015" s="595" t="s">
        <v>1048</v>
      </c>
      <c r="C2015" s="1844">
        <v>0</v>
      </c>
      <c r="D2015" s="609" t="str">
        <f t="shared" si="745"/>
        <v>0</v>
      </c>
      <c r="E2015" s="609" t="str">
        <f t="shared" si="746"/>
        <v>0</v>
      </c>
      <c r="F2015" s="609" t="str">
        <f t="shared" si="747"/>
        <v>0</v>
      </c>
      <c r="G2015" s="609" t="str">
        <f t="shared" si="748"/>
        <v>0</v>
      </c>
      <c r="H2015" s="609" t="str">
        <f t="shared" si="749"/>
        <v>0</v>
      </c>
      <c r="I2015" s="609" t="str">
        <f t="shared" si="750"/>
        <v>0</v>
      </c>
      <c r="J2015" s="603" t="str">
        <f t="shared" si="751"/>
        <v>0</v>
      </c>
      <c r="K2015" s="1844">
        <v>0</v>
      </c>
      <c r="L2015" s="609" t="str">
        <f t="shared" si="743"/>
        <v>0</v>
      </c>
      <c r="M2015" s="609" t="str">
        <f t="shared" si="752"/>
        <v>0</v>
      </c>
      <c r="N2015" s="609" t="str">
        <f t="shared" si="752"/>
        <v>0</v>
      </c>
      <c r="O2015" s="609" t="str">
        <f t="shared" si="752"/>
        <v>0</v>
      </c>
      <c r="P2015" s="609" t="str">
        <f t="shared" si="752"/>
        <v>0</v>
      </c>
      <c r="Q2015" s="609" t="str">
        <f t="shared" si="752"/>
        <v>0</v>
      </c>
      <c r="R2015" s="603" t="str">
        <f t="shared" si="752"/>
        <v>0</v>
      </c>
    </row>
    <row r="2016" spans="2:18">
      <c r="B2016" s="595" t="s">
        <v>1049</v>
      </c>
      <c r="C2016" s="1844">
        <v>0</v>
      </c>
      <c r="D2016" s="609" t="str">
        <f t="shared" si="745"/>
        <v>0</v>
      </c>
      <c r="E2016" s="609" t="str">
        <f t="shared" si="746"/>
        <v>0</v>
      </c>
      <c r="F2016" s="609" t="str">
        <f t="shared" si="747"/>
        <v>0</v>
      </c>
      <c r="G2016" s="609" t="str">
        <f t="shared" si="748"/>
        <v>0</v>
      </c>
      <c r="H2016" s="609" t="str">
        <f t="shared" si="749"/>
        <v>0</v>
      </c>
      <c r="I2016" s="609" t="str">
        <f t="shared" si="750"/>
        <v>0</v>
      </c>
      <c r="J2016" s="603" t="str">
        <f t="shared" si="751"/>
        <v>0</v>
      </c>
      <c r="K2016" s="1844">
        <v>0</v>
      </c>
      <c r="L2016" s="609" t="str">
        <f t="shared" si="743"/>
        <v>0</v>
      </c>
      <c r="M2016" s="609" t="str">
        <f t="shared" si="752"/>
        <v>0</v>
      </c>
      <c r="N2016" s="609" t="str">
        <f t="shared" si="752"/>
        <v>0</v>
      </c>
      <c r="O2016" s="609" t="str">
        <f t="shared" si="752"/>
        <v>0</v>
      </c>
      <c r="P2016" s="609" t="str">
        <f t="shared" si="752"/>
        <v>0</v>
      </c>
      <c r="Q2016" s="609" t="str">
        <f t="shared" si="752"/>
        <v>0</v>
      </c>
      <c r="R2016" s="603" t="str">
        <f t="shared" si="752"/>
        <v>0</v>
      </c>
    </row>
    <row r="2017" spans="2:33">
      <c r="B2017" s="595" t="s">
        <v>1050</v>
      </c>
      <c r="C2017" s="1844">
        <v>0</v>
      </c>
      <c r="D2017" s="609" t="str">
        <f t="shared" si="745"/>
        <v>0</v>
      </c>
      <c r="E2017" s="609" t="str">
        <f t="shared" si="746"/>
        <v>0</v>
      </c>
      <c r="F2017" s="609" t="str">
        <f t="shared" si="747"/>
        <v>0</v>
      </c>
      <c r="G2017" s="609" t="str">
        <f t="shared" si="748"/>
        <v>0</v>
      </c>
      <c r="H2017" s="609" t="str">
        <f t="shared" si="749"/>
        <v>0</v>
      </c>
      <c r="I2017" s="609" t="str">
        <f t="shared" si="750"/>
        <v>0</v>
      </c>
      <c r="J2017" s="603" t="str">
        <f t="shared" si="751"/>
        <v>0</v>
      </c>
      <c r="K2017" s="1844">
        <v>0</v>
      </c>
      <c r="L2017" s="609" t="str">
        <f t="shared" si="743"/>
        <v>0</v>
      </c>
      <c r="M2017" s="609" t="str">
        <f t="shared" si="752"/>
        <v>0</v>
      </c>
      <c r="N2017" s="609" t="str">
        <f t="shared" si="752"/>
        <v>0</v>
      </c>
      <c r="O2017" s="609" t="str">
        <f t="shared" si="752"/>
        <v>0</v>
      </c>
      <c r="P2017" s="609" t="str">
        <f t="shared" si="752"/>
        <v>0</v>
      </c>
      <c r="Q2017" s="609" t="str">
        <f t="shared" si="752"/>
        <v>0</v>
      </c>
      <c r="R2017" s="603" t="str">
        <f t="shared" si="752"/>
        <v>0</v>
      </c>
    </row>
    <row r="2018" spans="2:33">
      <c r="B2018" s="595" t="s">
        <v>1051</v>
      </c>
      <c r="C2018" s="1844">
        <v>0</v>
      </c>
      <c r="D2018" s="609" t="str">
        <f t="shared" si="745"/>
        <v>0</v>
      </c>
      <c r="E2018" s="609" t="str">
        <f t="shared" si="746"/>
        <v>0</v>
      </c>
      <c r="F2018" s="609" t="str">
        <f t="shared" si="747"/>
        <v>0</v>
      </c>
      <c r="G2018" s="609" t="str">
        <f t="shared" si="748"/>
        <v>0</v>
      </c>
      <c r="H2018" s="609" t="str">
        <f t="shared" si="749"/>
        <v>0</v>
      </c>
      <c r="I2018" s="609" t="str">
        <f t="shared" si="750"/>
        <v>0</v>
      </c>
      <c r="J2018" s="603" t="str">
        <f t="shared" si="751"/>
        <v>0</v>
      </c>
      <c r="K2018" s="1844">
        <v>0</v>
      </c>
      <c r="L2018" s="609" t="str">
        <f t="shared" si="743"/>
        <v>0</v>
      </c>
      <c r="M2018" s="609" t="str">
        <f t="shared" si="752"/>
        <v>0</v>
      </c>
      <c r="N2018" s="609" t="str">
        <f t="shared" si="752"/>
        <v>0</v>
      </c>
      <c r="O2018" s="609" t="str">
        <f t="shared" si="752"/>
        <v>0</v>
      </c>
      <c r="P2018" s="609" t="str">
        <f t="shared" si="752"/>
        <v>0</v>
      </c>
      <c r="Q2018" s="609" t="str">
        <f t="shared" si="752"/>
        <v>0</v>
      </c>
      <c r="R2018" s="603" t="str">
        <f t="shared" si="752"/>
        <v>0</v>
      </c>
    </row>
    <row r="2019" spans="2:33">
      <c r="B2019" s="595" t="s">
        <v>1052</v>
      </c>
      <c r="C2019" s="1844">
        <v>12.193247114574568</v>
      </c>
      <c r="D2019" s="609">
        <f t="shared" si="745"/>
        <v>15.092117043637185</v>
      </c>
      <c r="E2019" s="609">
        <f t="shared" si="746"/>
        <v>14.566410453145505</v>
      </c>
      <c r="F2019" s="609">
        <f t="shared" si="747"/>
        <v>7.206200244114247</v>
      </c>
      <c r="G2019" s="609">
        <f t="shared" si="748"/>
        <v>16.507182824240154</v>
      </c>
      <c r="H2019" s="609">
        <f t="shared" si="749"/>
        <v>2.8747161527939324</v>
      </c>
      <c r="I2019" s="609">
        <f t="shared" si="750"/>
        <v>-27.140844279434138</v>
      </c>
      <c r="J2019" s="603">
        <f t="shared" si="751"/>
        <v>33.933752225746545</v>
      </c>
      <c r="K2019" s="1844">
        <v>0</v>
      </c>
      <c r="L2019" s="609" t="str">
        <f t="shared" si="743"/>
        <v>0</v>
      </c>
      <c r="M2019" s="609" t="str">
        <f t="shared" si="752"/>
        <v>0</v>
      </c>
      <c r="N2019" s="609" t="str">
        <f t="shared" si="752"/>
        <v>0</v>
      </c>
      <c r="O2019" s="609" t="str">
        <f t="shared" si="752"/>
        <v>0</v>
      </c>
      <c r="P2019" s="609" t="str">
        <f t="shared" si="752"/>
        <v>0</v>
      </c>
      <c r="Q2019" s="609" t="str">
        <f t="shared" si="752"/>
        <v>0</v>
      </c>
      <c r="R2019" s="603" t="str">
        <f t="shared" si="752"/>
        <v>0</v>
      </c>
    </row>
    <row r="2020" spans="2:33">
      <c r="B2020" s="595" t="s">
        <v>1053</v>
      </c>
      <c r="C2020" s="1844">
        <v>0</v>
      </c>
      <c r="D2020" s="609" t="str">
        <f t="shared" si="745"/>
        <v>0</v>
      </c>
      <c r="E2020" s="609">
        <f t="shared" si="746"/>
        <v>13.980219090053602</v>
      </c>
      <c r="F2020" s="609">
        <f t="shared" si="747"/>
        <v>13.069190295150928</v>
      </c>
      <c r="G2020" s="609">
        <f t="shared" si="748"/>
        <v>43.460764861534052</v>
      </c>
      <c r="H2020" s="609">
        <f t="shared" si="749"/>
        <v>-2.0282894687910149</v>
      </c>
      <c r="I2020" s="609">
        <f t="shared" si="750"/>
        <v>-62.237034713815703</v>
      </c>
      <c r="J2020" s="603">
        <f t="shared" si="751"/>
        <v>14.653990603887259</v>
      </c>
      <c r="K2020" s="1844">
        <v>0</v>
      </c>
      <c r="L2020" s="609" t="str">
        <f t="shared" si="743"/>
        <v>0</v>
      </c>
      <c r="M2020" s="609">
        <f t="shared" si="752"/>
        <v>-6847.377398140603</v>
      </c>
      <c r="N2020" s="609">
        <f t="shared" si="752"/>
        <v>-6926.6092376675388</v>
      </c>
      <c r="O2020" s="609">
        <f t="shared" si="752"/>
        <v>-7049.1640345575024</v>
      </c>
      <c r="P2020" s="609">
        <f t="shared" si="752"/>
        <v>-7151.4174406144775</v>
      </c>
      <c r="Q2020" s="609">
        <f t="shared" si="752"/>
        <v>-7230.4799261817416</v>
      </c>
      <c r="R2020" s="603">
        <f t="shared" si="752"/>
        <v>-7336.9114010307285</v>
      </c>
    </row>
    <row r="2021" spans="2:33">
      <c r="B2021" s="595" t="s">
        <v>1054</v>
      </c>
      <c r="C2021" s="1844">
        <v>0</v>
      </c>
      <c r="D2021" s="609" t="str">
        <f t="shared" si="745"/>
        <v>0</v>
      </c>
      <c r="E2021" s="609" t="str">
        <f t="shared" si="746"/>
        <v>0</v>
      </c>
      <c r="F2021" s="609" t="str">
        <f t="shared" si="747"/>
        <v>0</v>
      </c>
      <c r="G2021" s="609" t="str">
        <f t="shared" si="748"/>
        <v>0</v>
      </c>
      <c r="H2021" s="609" t="str">
        <f t="shared" si="749"/>
        <v>0</v>
      </c>
      <c r="I2021" s="609" t="str">
        <f t="shared" si="750"/>
        <v>0</v>
      </c>
      <c r="J2021" s="603" t="str">
        <f t="shared" si="751"/>
        <v>0</v>
      </c>
      <c r="K2021" s="1844">
        <v>0</v>
      </c>
      <c r="L2021" s="609" t="str">
        <f t="shared" si="743"/>
        <v>0</v>
      </c>
      <c r="M2021" s="609" t="str">
        <f t="shared" si="752"/>
        <v>0</v>
      </c>
      <c r="N2021" s="609" t="str">
        <f t="shared" si="752"/>
        <v>0</v>
      </c>
      <c r="O2021" s="609" t="str">
        <f t="shared" si="752"/>
        <v>0</v>
      </c>
      <c r="P2021" s="609" t="str">
        <f t="shared" si="752"/>
        <v>0</v>
      </c>
      <c r="Q2021" s="609" t="str">
        <f t="shared" si="752"/>
        <v>0</v>
      </c>
      <c r="R2021" s="603" t="str">
        <f t="shared" si="752"/>
        <v>0</v>
      </c>
    </row>
    <row r="2022" spans="2:33">
      <c r="B2022" s="604" t="s">
        <v>1055</v>
      </c>
      <c r="C2022" s="610">
        <v>0</v>
      </c>
      <c r="D2022" s="617" t="str">
        <f t="shared" si="745"/>
        <v>0</v>
      </c>
      <c r="E2022" s="617" t="str">
        <f t="shared" si="746"/>
        <v>0</v>
      </c>
      <c r="F2022" s="617" t="str">
        <f t="shared" si="747"/>
        <v>0</v>
      </c>
      <c r="G2022" s="617" t="str">
        <f t="shared" si="748"/>
        <v>0</v>
      </c>
      <c r="H2022" s="617" t="str">
        <f t="shared" si="749"/>
        <v>0</v>
      </c>
      <c r="I2022" s="617" t="str">
        <f t="shared" si="750"/>
        <v>0</v>
      </c>
      <c r="J2022" s="618" t="str">
        <f t="shared" si="751"/>
        <v>0</v>
      </c>
      <c r="K2022" s="610">
        <v>0</v>
      </c>
      <c r="L2022" s="617">
        <f t="shared" si="743"/>
        <v>-1339.282163673885</v>
      </c>
      <c r="M2022" s="617">
        <f t="shared" si="752"/>
        <v>-1347.4660531051265</v>
      </c>
      <c r="N2022" s="617">
        <f t="shared" si="752"/>
        <v>-1348.0793518534117</v>
      </c>
      <c r="O2022" s="617">
        <f t="shared" si="752"/>
        <v>-1358.4637245755846</v>
      </c>
      <c r="P2022" s="617">
        <f t="shared" si="752"/>
        <v>-1353.7137953019419</v>
      </c>
      <c r="Q2022" s="617">
        <f t="shared" si="752"/>
        <v>-1383.2968602870442</v>
      </c>
      <c r="R2022" s="618">
        <f t="shared" si="752"/>
        <v>-1354.9370958512279</v>
      </c>
    </row>
    <row r="2023" spans="2:33">
      <c r="B2023" s="619"/>
      <c r="C2023" s="609"/>
      <c r="D2023" s="609"/>
      <c r="E2023" s="609"/>
      <c r="F2023" s="609"/>
      <c r="G2023" s="609"/>
      <c r="H2023" s="609"/>
      <c r="I2023" s="609"/>
      <c r="J2023" s="609"/>
      <c r="K2023" s="609"/>
      <c r="L2023" s="609"/>
      <c r="M2023" s="609"/>
      <c r="N2023" s="609"/>
      <c r="O2023" s="609"/>
      <c r="P2023" s="609"/>
      <c r="Q2023" s="609"/>
    </row>
    <row r="2024" spans="2:33" s="57" customFormat="1" ht="13">
      <c r="B2024" s="2158" t="s">
        <v>115</v>
      </c>
      <c r="C2024" s="2158"/>
      <c r="D2024" s="2158"/>
      <c r="E2024" s="2158"/>
      <c r="F2024" s="2158"/>
      <c r="G2024" s="2158"/>
      <c r="H2024" s="2158"/>
      <c r="I2024" s="2158"/>
      <c r="J2024" s="2158"/>
      <c r="K2024" s="2158"/>
      <c r="L2024" s="2158"/>
      <c r="M2024" s="2158"/>
      <c r="N2024" s="2158"/>
      <c r="O2024" s="2158"/>
      <c r="P2024" s="2158"/>
      <c r="Q2024" s="2158"/>
      <c r="R2024" s="2158"/>
    </row>
    <row r="2025" spans="2:33" s="57" customFormat="1" ht="13">
      <c r="B2025" s="2159" t="s">
        <v>1218</v>
      </c>
      <c r="C2025" s="2159"/>
      <c r="D2025" s="2159"/>
      <c r="E2025" s="2159"/>
      <c r="F2025" s="2159"/>
      <c r="G2025" s="2159"/>
      <c r="H2025" s="2159"/>
      <c r="I2025" s="2159"/>
      <c r="J2025" s="2159"/>
      <c r="K2025" s="2159"/>
      <c r="L2025" s="2159"/>
      <c r="M2025" s="2159"/>
      <c r="N2025" s="2159"/>
      <c r="O2025" s="2159"/>
      <c r="P2025" s="2159"/>
      <c r="Q2025" s="2159"/>
      <c r="R2025" s="2159"/>
    </row>
    <row r="2026" spans="2:33" s="57" customFormat="1" ht="13">
      <c r="B2026" s="581" t="s">
        <v>1219</v>
      </c>
      <c r="C2026" s="613"/>
      <c r="D2026" s="613"/>
      <c r="E2026" s="644"/>
      <c r="F2026" s="648"/>
      <c r="G2026" s="648"/>
      <c r="H2026" s="648"/>
      <c r="I2026" s="648"/>
      <c r="J2026" s="648"/>
      <c r="K2026" s="648"/>
      <c r="L2026" s="648"/>
      <c r="M2026" s="648"/>
      <c r="N2026" s="648"/>
      <c r="O2026" s="648"/>
      <c r="P2026" s="648"/>
      <c r="Q2026" s="648"/>
    </row>
    <row r="2027" spans="2:33" s="57" customFormat="1">
      <c r="B2027" s="581" t="s">
        <v>2165</v>
      </c>
      <c r="C2027" s="613"/>
      <c r="D2027" s="613"/>
      <c r="E2027" s="644"/>
      <c r="F2027" s="648"/>
      <c r="G2027" s="648"/>
      <c r="H2027" s="648"/>
      <c r="I2027" s="648"/>
      <c r="J2027" s="648"/>
      <c r="K2027" s="648"/>
      <c r="L2027" s="648"/>
      <c r="M2027" s="648"/>
      <c r="N2027" s="648"/>
      <c r="O2027" s="648"/>
      <c r="P2027" s="648"/>
      <c r="Q2027" s="648"/>
      <c r="S2027"/>
      <c r="T2027"/>
      <c r="U2027"/>
      <c r="V2027"/>
    </row>
    <row r="2028" spans="2:33" s="57" customFormat="1" ht="27" customHeight="1">
      <c r="B2028" s="2236" t="s">
        <v>11</v>
      </c>
      <c r="C2028" s="2238" t="s">
        <v>604</v>
      </c>
      <c r="D2028" s="2235" t="s">
        <v>113</v>
      </c>
      <c r="E2028" s="2223" t="s">
        <v>1220</v>
      </c>
      <c r="F2028" s="2235" t="s">
        <v>112</v>
      </c>
      <c r="G2028" s="2235" t="s">
        <v>111</v>
      </c>
      <c r="H2028" s="2223" t="s">
        <v>110</v>
      </c>
      <c r="I2028" s="2235" t="s">
        <v>610</v>
      </c>
      <c r="J2028" s="2223" t="s">
        <v>101</v>
      </c>
      <c r="K2028" s="2223" t="s">
        <v>100</v>
      </c>
      <c r="L2028" s="2223" t="s">
        <v>99</v>
      </c>
      <c r="M2028" s="2225" t="s">
        <v>98</v>
      </c>
      <c r="N2028" s="2226"/>
      <c r="O2028"/>
      <c r="P2028"/>
      <c r="Q2028"/>
      <c r="R2028"/>
      <c r="S2028"/>
      <c r="T2028"/>
      <c r="U2028"/>
      <c r="V2028"/>
      <c r="W2028"/>
      <c r="X2028"/>
      <c r="Y2028"/>
      <c r="Z2028"/>
      <c r="AA2028"/>
    </row>
    <row r="2029" spans="2:33" s="57" customFormat="1">
      <c r="B2029" s="2237"/>
      <c r="C2029" s="2239"/>
      <c r="D2029" s="2224"/>
      <c r="E2029" s="2224"/>
      <c r="F2029" s="2224"/>
      <c r="G2029" s="2224"/>
      <c r="H2029" s="2224"/>
      <c r="I2029" s="2224"/>
      <c r="J2029" s="2224"/>
      <c r="K2029" s="2224"/>
      <c r="L2029" s="2224"/>
      <c r="M2029" s="1940" t="s">
        <v>97</v>
      </c>
      <c r="N2029" s="740" t="s">
        <v>96</v>
      </c>
      <c r="O2029"/>
      <c r="P2029"/>
      <c r="Q2029"/>
      <c r="R2029"/>
      <c r="S2029"/>
      <c r="T2029"/>
      <c r="U2029"/>
      <c r="V2029"/>
      <c r="W2029"/>
      <c r="X2029"/>
      <c r="Y2029"/>
      <c r="Z2029"/>
      <c r="AA2029"/>
      <c r="AB2029" s="627"/>
      <c r="AC2029" s="627"/>
      <c r="AD2029" s="627"/>
      <c r="AE2029" s="627"/>
      <c r="AF2029" s="627"/>
      <c r="AG2029" s="627"/>
    </row>
    <row r="2030" spans="2:33" s="57" customFormat="1">
      <c r="B2030" s="1941" t="s">
        <v>1038</v>
      </c>
      <c r="C2030" s="1863"/>
      <c r="D2030" s="1863"/>
      <c r="E2030" s="1863"/>
      <c r="F2030" s="1863"/>
      <c r="G2030" s="1863"/>
      <c r="H2030" s="1863"/>
      <c r="I2030" s="1863"/>
      <c r="J2030" s="1923"/>
      <c r="K2030" s="1863"/>
      <c r="L2030" s="1923"/>
      <c r="M2030" s="1927"/>
      <c r="N2030" s="1924"/>
      <c r="O2030"/>
      <c r="P2030"/>
      <c r="Q2030"/>
      <c r="R2030"/>
      <c r="S2030"/>
      <c r="T2030"/>
      <c r="U2030"/>
      <c r="V2030"/>
      <c r="W2030"/>
      <c r="X2030"/>
      <c r="Y2030"/>
      <c r="Z2030"/>
      <c r="AA2030"/>
      <c r="AB2030" s="627"/>
      <c r="AC2030" s="627"/>
      <c r="AD2030" s="627"/>
      <c r="AE2030" s="627"/>
      <c r="AF2030" s="627"/>
      <c r="AG2030" s="627"/>
    </row>
    <row r="2031" spans="2:33" s="57" customFormat="1">
      <c r="B2031" s="1942" t="str">
        <f>ARG!B1692</f>
        <v>MEP</v>
      </c>
      <c r="C2031" s="1358"/>
      <c r="D2031" s="1855" t="str">
        <f>ARG!C1692</f>
        <v>RTGS</v>
      </c>
      <c r="E2031" s="1855" t="str">
        <f>ARG!D1692</f>
        <v>CB</v>
      </c>
      <c r="F2031" s="1855" t="str">
        <f>ARG!E1692</f>
        <v>RTT</v>
      </c>
      <c r="G2031" s="1855" t="str">
        <f>ARG!F1692</f>
        <v>R</v>
      </c>
      <c r="H2031" s="1855" t="str">
        <f>ARG!G1692</f>
        <v>C</v>
      </c>
      <c r="I2031" s="1358"/>
      <c r="J2031" s="1852">
        <f>ARG!C1702</f>
        <v>0.8125</v>
      </c>
      <c r="K2031" s="1855" t="str">
        <f>ARG!D1702</f>
        <v>RTGS</v>
      </c>
      <c r="L2031" s="1852">
        <f>ARG!E1702</f>
        <v>0</v>
      </c>
      <c r="M2031" s="1928">
        <f>ARG!F1702</f>
        <v>0.33333333333333331</v>
      </c>
      <c r="N2031" s="1870">
        <f>ARG!G1702</f>
        <v>0.83333333333333337</v>
      </c>
      <c r="O2031"/>
      <c r="P2031"/>
      <c r="Q2031"/>
      <c r="R2031"/>
      <c r="S2031"/>
      <c r="T2031"/>
      <c r="U2031"/>
      <c r="V2031"/>
      <c r="W2031"/>
      <c r="X2031"/>
      <c r="Y2031"/>
      <c r="Z2031"/>
      <c r="AA2031"/>
      <c r="AB2031" s="627"/>
      <c r="AC2031" s="627"/>
      <c r="AD2031" s="627"/>
      <c r="AE2031" s="627"/>
      <c r="AF2031" s="627"/>
      <c r="AG2031" s="627"/>
    </row>
    <row r="2032" spans="2:33" s="57" customFormat="1">
      <c r="B2032" s="1942" t="str">
        <f>ARG!B1693</f>
        <v>INTERBANKING</v>
      </c>
      <c r="C2032" s="1358"/>
      <c r="D2032" s="1855" t="str">
        <f>ARG!C1693</f>
        <v>MN</v>
      </c>
      <c r="E2032" s="1855" t="str">
        <f>ARG!D1693</f>
        <v>B</v>
      </c>
      <c r="F2032" s="1855" t="str">
        <f>ARG!E1693</f>
        <v>RTT, ACH</v>
      </c>
      <c r="G2032" s="1855" t="str">
        <f>ARG!F1693</f>
        <v>R</v>
      </c>
      <c r="H2032" s="1855" t="str">
        <f>ARG!G1693</f>
        <v>C</v>
      </c>
      <c r="I2032" s="1358"/>
      <c r="J2032" s="1852">
        <f>ARG!C1703</f>
        <v>0.80208333333333337</v>
      </c>
      <c r="K2032" s="1855" t="str">
        <f>ARG!D1703</f>
        <v>Intraday</v>
      </c>
      <c r="L2032" s="1852">
        <f>ARG!E1703</f>
        <v>0</v>
      </c>
      <c r="M2032" s="1928">
        <f>ARG!F1703</f>
        <v>0.33333333333333331</v>
      </c>
      <c r="N2032" s="1870">
        <f>ARG!G1703</f>
        <v>0.75</v>
      </c>
      <c r="O2032"/>
      <c r="P2032"/>
      <c r="Q2032"/>
      <c r="R2032"/>
      <c r="S2032"/>
      <c r="T2032"/>
      <c r="U2032"/>
      <c r="V2032"/>
      <c r="W2032"/>
      <c r="X2032"/>
      <c r="Y2032"/>
      <c r="Z2032"/>
      <c r="AA2032"/>
      <c r="AB2032" s="627"/>
      <c r="AC2032" s="627"/>
      <c r="AD2032" s="627"/>
      <c r="AE2032" s="627"/>
      <c r="AF2032" s="627"/>
      <c r="AG2032" s="627"/>
    </row>
    <row r="2033" spans="2:33" s="57" customFormat="1">
      <c r="B2033" s="1942" t="str">
        <f>ARG!B1694</f>
        <v>ALADI</v>
      </c>
      <c r="C2033" s="1358"/>
      <c r="D2033" s="1855" t="str">
        <f>ARG!C1694</f>
        <v>MN,BN</v>
      </c>
      <c r="E2033" s="1855" t="str">
        <f>ARG!D1694</f>
        <v>PA</v>
      </c>
      <c r="F2033" s="1855" t="str">
        <f>ARG!E1694</f>
        <v>RTT</v>
      </c>
      <c r="G2033" s="1855" t="str">
        <f>ARG!F1694</f>
        <v>R</v>
      </c>
      <c r="H2033" s="1855" t="str">
        <f>ARG!G1694</f>
        <v>C</v>
      </c>
      <c r="I2033" s="1358"/>
      <c r="J2033" s="1852" t="str">
        <f>ARG!C1704</f>
        <v>18:30</v>
      </c>
      <c r="K2033" s="1855" t="str">
        <f>ARG!D1704</f>
        <v>Intraday</v>
      </c>
      <c r="L2033" s="1852">
        <f>ARG!E1704</f>
        <v>0</v>
      </c>
      <c r="M2033" s="1928" t="str">
        <f>ARG!F1704</f>
        <v>09:00</v>
      </c>
      <c r="N2033" s="1870" t="str">
        <f>ARG!G1704</f>
        <v>16:30</v>
      </c>
      <c r="O2033"/>
      <c r="P2033"/>
      <c r="Q2033"/>
      <c r="R2033"/>
      <c r="S2033"/>
      <c r="T2033"/>
      <c r="U2033"/>
      <c r="V2033"/>
      <c r="W2033"/>
      <c r="X2033"/>
      <c r="Y2033"/>
      <c r="Z2033"/>
      <c r="AA2033"/>
      <c r="AB2033" s="627"/>
      <c r="AC2033" s="627"/>
      <c r="AD2033" s="627"/>
      <c r="AE2033" s="627"/>
      <c r="AF2033" s="627"/>
      <c r="AG2033" s="627"/>
    </row>
    <row r="2034" spans="2:33" s="57" customFormat="1">
      <c r="B2034" s="1942" t="str">
        <f>ARG!B1695</f>
        <v>SML</v>
      </c>
      <c r="C2034" s="1358"/>
      <c r="D2034" s="1855" t="str">
        <f>ARG!C1695</f>
        <v>BN</v>
      </c>
      <c r="E2034" s="1855" t="str">
        <f>ARG!D1695</f>
        <v>CB</v>
      </c>
      <c r="F2034" s="1855" t="str">
        <f>ARG!E1695</f>
        <v>RTT</v>
      </c>
      <c r="G2034" s="1855" t="str">
        <f>ARG!F1695</f>
        <v>R</v>
      </c>
      <c r="H2034" s="1855" t="str">
        <f>ARG!G1695</f>
        <v>C</v>
      </c>
      <c r="I2034" s="1358"/>
      <c r="J2034" s="1852" t="str">
        <f>ARG!C1705</f>
        <v>16:00</v>
      </c>
      <c r="K2034" s="1855" t="str">
        <f>ARG!D1705</f>
        <v>Intraday</v>
      </c>
      <c r="L2034" s="1852">
        <f>ARG!E1705</f>
        <v>0</v>
      </c>
      <c r="M2034" s="1928" t="str">
        <f>ARG!F1705</f>
        <v>09:00</v>
      </c>
      <c r="N2034" s="1870" t="str">
        <f>ARG!G1705</f>
        <v>12:00</v>
      </c>
      <c r="O2034"/>
      <c r="P2034"/>
      <c r="Q2034"/>
      <c r="R2034"/>
      <c r="S2034"/>
      <c r="T2034"/>
      <c r="U2034"/>
      <c r="V2034"/>
      <c r="W2034"/>
      <c r="X2034"/>
      <c r="Y2034"/>
      <c r="Z2034"/>
      <c r="AA2034"/>
      <c r="AB2034" s="627"/>
      <c r="AC2034" s="627"/>
      <c r="AD2034" s="627"/>
      <c r="AE2034" s="627"/>
      <c r="AF2034" s="627"/>
      <c r="AG2034" s="627"/>
    </row>
    <row r="2035" spans="2:33" s="57" customFormat="1">
      <c r="B2035" s="1942" t="str">
        <f>ARG!B1696</f>
        <v>COELSA</v>
      </c>
      <c r="C2035" s="1358"/>
      <c r="D2035" s="1855" t="str">
        <f>ARG!C1696</f>
        <v>MN</v>
      </c>
      <c r="E2035" s="1855" t="str">
        <f>ARG!D1696</f>
        <v>B</v>
      </c>
      <c r="F2035" s="1855" t="str">
        <f>ARG!E1696</f>
        <v>RTT, ACH</v>
      </c>
      <c r="G2035" s="1855" t="str">
        <f>ARG!F1696</f>
        <v>R</v>
      </c>
      <c r="H2035" s="1855" t="str">
        <f>ARG!G1696</f>
        <v>C</v>
      </c>
      <c r="I2035" s="1358"/>
      <c r="J2035" s="1852">
        <f>ARG!C1706</f>
        <v>0.75</v>
      </c>
      <c r="K2035" s="1855" t="str">
        <f>ARG!D1706</f>
        <v>Intraday</v>
      </c>
      <c r="L2035" s="1852">
        <f>ARG!E1706</f>
        <v>0</v>
      </c>
      <c r="M2035" s="1928">
        <f>ARG!F1706</f>
        <v>0.375</v>
      </c>
      <c r="N2035" s="1870">
        <f>ARG!G1706</f>
        <v>0.75</v>
      </c>
      <c r="O2035"/>
      <c r="P2035"/>
      <c r="Q2035"/>
      <c r="R2035"/>
      <c r="S2035"/>
      <c r="T2035"/>
      <c r="U2035"/>
      <c r="V2035"/>
      <c r="W2035"/>
      <c r="X2035"/>
      <c r="Y2035"/>
      <c r="Z2035"/>
      <c r="AA2035"/>
      <c r="AB2035" s="627"/>
      <c r="AC2035" s="627"/>
      <c r="AD2035" s="627"/>
      <c r="AE2035" s="627"/>
      <c r="AF2035" s="627"/>
      <c r="AG2035" s="627"/>
    </row>
    <row r="2036" spans="2:33" s="57" customFormat="1" ht="24">
      <c r="B2036" s="1942" t="str">
        <f>ARG!B1697</f>
        <v>LINK</v>
      </c>
      <c r="C2036" s="1358"/>
      <c r="D2036" s="1855" t="str">
        <f>ARG!C1697</f>
        <v>MN</v>
      </c>
      <c r="E2036" s="1855" t="str">
        <f>ARG!D1697</f>
        <v>B</v>
      </c>
      <c r="F2036" s="1855" t="str">
        <f>ARG!E1697</f>
        <v>RTT, ACH</v>
      </c>
      <c r="G2036" s="1855" t="str">
        <f>ARG!F1697</f>
        <v>R</v>
      </c>
      <c r="H2036" s="1855" t="str">
        <f>ARG!G1697</f>
        <v>C</v>
      </c>
      <c r="I2036" s="1358"/>
      <c r="J2036" s="1852">
        <f>ARG!C1707</f>
        <v>0.70833333333333337</v>
      </c>
      <c r="K2036" s="1855" t="str">
        <f>ARG!D1707</f>
        <v>Intraday and Real Time</v>
      </c>
      <c r="L2036" s="1852">
        <f>ARG!E1707</f>
        <v>0</v>
      </c>
      <c r="M2036" s="1928">
        <f>ARG!F1707</f>
        <v>0</v>
      </c>
      <c r="N2036" s="1870" t="str">
        <f>ARG!G1707</f>
        <v>23:59</v>
      </c>
      <c r="O2036"/>
      <c r="P2036"/>
      <c r="Q2036"/>
      <c r="R2036"/>
      <c r="S2036"/>
      <c r="T2036"/>
      <c r="U2036"/>
      <c r="V2036"/>
      <c r="W2036"/>
      <c r="X2036"/>
      <c r="Y2036"/>
      <c r="Z2036"/>
      <c r="AA2036"/>
      <c r="AB2036" s="627"/>
      <c r="AC2036" s="627"/>
      <c r="AD2036" s="627"/>
      <c r="AE2036" s="627"/>
      <c r="AF2036" s="627"/>
      <c r="AG2036" s="627"/>
    </row>
    <row r="2037" spans="2:33" s="57" customFormat="1" ht="24">
      <c r="B2037" s="1942" t="str">
        <f>ARG!B1698</f>
        <v>BANELCO</v>
      </c>
      <c r="C2037" s="1358"/>
      <c r="D2037" s="1855" t="str">
        <f>ARG!C1698</f>
        <v>MN</v>
      </c>
      <c r="E2037" s="1855" t="str">
        <f>ARG!D1698</f>
        <v>B</v>
      </c>
      <c r="F2037" s="1855" t="str">
        <f>ARG!E1698</f>
        <v>RTT, ACH</v>
      </c>
      <c r="G2037" s="1855" t="str">
        <f>ARG!F1698</f>
        <v>R</v>
      </c>
      <c r="H2037" s="1855" t="str">
        <f>ARG!G1698</f>
        <v>C</v>
      </c>
      <c r="I2037" s="1358"/>
      <c r="J2037" s="1852">
        <f>ARG!C1708</f>
        <v>0.70833333333333337</v>
      </c>
      <c r="K2037" s="1855" t="str">
        <f>ARG!D1708</f>
        <v>Intraday and Real Time</v>
      </c>
      <c r="L2037" s="1852">
        <f>ARG!E1708</f>
        <v>0</v>
      </c>
      <c r="M2037" s="1928">
        <f>ARG!F1708</f>
        <v>0</v>
      </c>
      <c r="N2037" s="1870" t="str">
        <f>ARG!G1708</f>
        <v>23:59</v>
      </c>
      <c r="O2037"/>
      <c r="P2037"/>
      <c r="Q2037"/>
      <c r="R2037"/>
      <c r="S2037"/>
      <c r="T2037"/>
      <c r="U2037"/>
      <c r="V2037"/>
      <c r="W2037"/>
      <c r="X2037"/>
      <c r="Y2037"/>
      <c r="Z2037"/>
      <c r="AA2037"/>
      <c r="AB2037" s="627"/>
      <c r="AC2037" s="627"/>
      <c r="AD2037" s="627"/>
      <c r="AE2037" s="627"/>
      <c r="AF2037" s="627"/>
      <c r="AG2037" s="627"/>
    </row>
    <row r="2038" spans="2:33" s="57" customFormat="1">
      <c r="B2038" s="1943"/>
      <c r="C2038" s="795"/>
      <c r="D2038" s="795"/>
      <c r="E2038" s="1847"/>
      <c r="F2038" s="795"/>
      <c r="G2038" s="795"/>
      <c r="H2038" s="795"/>
      <c r="I2038" s="795"/>
      <c r="J2038" s="1839"/>
      <c r="K2038" s="795"/>
      <c r="L2038" s="1839"/>
      <c r="M2038" s="1929"/>
      <c r="N2038" s="1871"/>
      <c r="O2038"/>
      <c r="P2038"/>
      <c r="Q2038"/>
      <c r="R2038"/>
      <c r="S2038"/>
      <c r="T2038"/>
      <c r="U2038"/>
      <c r="V2038"/>
      <c r="W2038"/>
      <c r="X2038"/>
      <c r="Y2038"/>
      <c r="Z2038"/>
      <c r="AA2038"/>
      <c r="AB2038" s="627"/>
      <c r="AC2038" s="627"/>
      <c r="AD2038" s="627"/>
      <c r="AE2038" s="627"/>
      <c r="AF2038" s="627"/>
      <c r="AG2038" s="627"/>
    </row>
    <row r="2039" spans="2:33" s="57" customFormat="1">
      <c r="B2039" s="1944" t="s">
        <v>1039</v>
      </c>
      <c r="C2039" s="795"/>
      <c r="D2039" s="795"/>
      <c r="E2039" s="1847"/>
      <c r="F2039" s="795"/>
      <c r="G2039" s="795"/>
      <c r="H2039" s="795"/>
      <c r="I2039" s="795"/>
      <c r="J2039" s="1839"/>
      <c r="K2039" s="795"/>
      <c r="L2039" s="1839"/>
      <c r="M2039" s="1929"/>
      <c r="N2039" s="1871"/>
      <c r="O2039"/>
      <c r="P2039"/>
      <c r="Q2039"/>
      <c r="R2039"/>
      <c r="S2039"/>
      <c r="T2039"/>
      <c r="U2039"/>
      <c r="V2039"/>
      <c r="W2039"/>
      <c r="X2039"/>
      <c r="Y2039"/>
      <c r="Z2039"/>
      <c r="AA2039"/>
      <c r="AD2039" s="627"/>
      <c r="AE2039" s="627"/>
      <c r="AF2039" s="627"/>
      <c r="AG2039" s="627"/>
    </row>
    <row r="2040" spans="2:33" s="57" customFormat="1" ht="12.5">
      <c r="B2040" s="1942">
        <f>BA!B694</f>
        <v>0</v>
      </c>
      <c r="C2040" s="1855">
        <f>BA!C694</f>
        <v>0</v>
      </c>
      <c r="D2040" s="1855">
        <f>BA!D694</f>
        <v>0</v>
      </c>
      <c r="E2040" s="1855">
        <f>BA!E694</f>
        <v>0</v>
      </c>
      <c r="F2040" s="1855">
        <f>BA!F694</f>
        <v>0</v>
      </c>
      <c r="G2040" s="1855">
        <f>BA!G694</f>
        <v>0</v>
      </c>
      <c r="H2040" s="1855">
        <f>BA!H694</f>
        <v>0</v>
      </c>
      <c r="I2040" s="1855">
        <f>BA!C698</f>
        <v>0</v>
      </c>
      <c r="J2040" s="1852">
        <f>BA!D698</f>
        <v>0</v>
      </c>
      <c r="K2040" s="1855">
        <f>BA!E698</f>
        <v>0</v>
      </c>
      <c r="L2040" s="1852">
        <f>BA!F698</f>
        <v>0</v>
      </c>
      <c r="M2040" s="1928">
        <f>BA!G698</f>
        <v>0</v>
      </c>
      <c r="N2040" s="1870">
        <f>BA!H698</f>
        <v>0</v>
      </c>
      <c r="AD2040" s="627"/>
      <c r="AE2040" s="627"/>
      <c r="AF2040" s="627"/>
      <c r="AG2040" s="627"/>
    </row>
    <row r="2041" spans="2:33" s="57" customFormat="1" ht="12.5">
      <c r="B2041" s="1943"/>
      <c r="C2041" s="795"/>
      <c r="D2041" s="795"/>
      <c r="E2041" s="1847"/>
      <c r="F2041" s="795"/>
      <c r="G2041" s="795"/>
      <c r="H2041" s="795"/>
      <c r="I2041" s="795"/>
      <c r="J2041" s="1781"/>
      <c r="K2041" s="655"/>
      <c r="L2041" s="1781"/>
      <c r="M2041" s="1930"/>
      <c r="N2041" s="1939"/>
      <c r="AD2041" s="627"/>
      <c r="AE2041" s="627"/>
      <c r="AF2041" s="627"/>
      <c r="AG2041" s="627"/>
    </row>
    <row r="2042" spans="2:33" s="57" customFormat="1">
      <c r="B2042" s="1945" t="s">
        <v>1040</v>
      </c>
      <c r="C2042" s="665"/>
      <c r="D2042" s="665"/>
      <c r="E2042" s="665"/>
      <c r="F2042" s="665"/>
      <c r="G2042" s="665"/>
      <c r="H2042" s="665"/>
      <c r="I2042" s="665"/>
      <c r="J2042" s="1781"/>
      <c r="K2042" s="1830"/>
      <c r="L2042" s="1919"/>
      <c r="M2042" s="1931"/>
      <c r="N2042" s="1925"/>
      <c r="O2042"/>
      <c r="P2042"/>
      <c r="Q2042"/>
      <c r="R2042"/>
      <c r="S2042"/>
      <c r="AD2042" s="627"/>
      <c r="AE2042" s="627"/>
      <c r="AF2042" s="627"/>
      <c r="AG2042" s="627"/>
    </row>
    <row r="2043" spans="2:33" s="57" customFormat="1" ht="35.5">
      <c r="B2043" s="1946" t="str">
        <f>BO!B993</f>
        <v>Módulo de Liquidación Híbrida (MLH) del Sistema de Liquidación Integrada de Pagos (LIP)</v>
      </c>
      <c r="C2043" s="1855" t="str">
        <f>BO!C993</f>
        <v>L</v>
      </c>
      <c r="D2043" s="1855" t="str">
        <f>BO!D993</f>
        <v>RTGS</v>
      </c>
      <c r="E2043" s="1855" t="str">
        <f>BO!E993</f>
        <v>CB</v>
      </c>
      <c r="F2043" s="1855" t="str">
        <f>BO!F993</f>
        <v>RTT</v>
      </c>
      <c r="G2043" s="1855" t="str">
        <f>BO!G993</f>
        <v>R</v>
      </c>
      <c r="H2043" s="1855" t="str">
        <f>BO!H993</f>
        <v>C</v>
      </c>
      <c r="I2043" s="1855" t="str">
        <f>BO!I993</f>
        <v>S</v>
      </c>
      <c r="J2043" s="1852">
        <f>BO!J993</f>
        <v>0.66666666666666663</v>
      </c>
      <c r="K2043" s="1855" t="str">
        <f>BO!K993</f>
        <v>REAL TIME</v>
      </c>
      <c r="L2043" s="1852">
        <f>BO!L993</f>
        <v>0</v>
      </c>
      <c r="M2043" s="1928">
        <f>BO!M993</f>
        <v>0.29166666666666669</v>
      </c>
      <c r="N2043" s="1870">
        <f>BO!N993</f>
        <v>0.66666666666666663</v>
      </c>
      <c r="O2043"/>
      <c r="P2043"/>
      <c r="Q2043"/>
      <c r="R2043"/>
      <c r="S2043"/>
      <c r="T2043"/>
      <c r="U2043"/>
      <c r="V2043"/>
      <c r="W2043"/>
      <c r="X2043"/>
      <c r="Y2043"/>
      <c r="Z2043"/>
      <c r="AA2043"/>
      <c r="AD2043" s="627"/>
      <c r="AE2043" s="627"/>
      <c r="AF2043" s="627"/>
      <c r="AG2043" s="627"/>
    </row>
    <row r="2044" spans="2:33" s="57" customFormat="1" ht="35.5">
      <c r="B2044" s="1946" t="str">
        <f>BO!B994</f>
        <v>Módulo de Liquidación Diferida (MLD) del Sistema de Liquidación Integrada de Pagos (LIP)</v>
      </c>
      <c r="C2044" s="1855" t="str">
        <f>BO!C994</f>
        <v>R</v>
      </c>
      <c r="D2044" s="1855" t="str">
        <f>BO!D994</f>
        <v>N</v>
      </c>
      <c r="E2044" s="1855" t="str">
        <f>BO!E994</f>
        <v>CB</v>
      </c>
      <c r="F2044" s="1855" t="str">
        <f>BO!F994</f>
        <v>ACH</v>
      </c>
      <c r="G2044" s="1855" t="str">
        <f>BO!G994</f>
        <v>R</v>
      </c>
      <c r="H2044" s="1855" t="str">
        <f>BO!H994</f>
        <v>C</v>
      </c>
      <c r="I2044" s="1855" t="str">
        <f>BO!I994</f>
        <v>S</v>
      </c>
      <c r="J2044" s="1852" t="str">
        <f>BO!J994</f>
        <v>23:45:00 p. m.</v>
      </c>
      <c r="K2044" s="1855" t="str">
        <f>BO!K994</f>
        <v>INTRADAY</v>
      </c>
      <c r="L2044" s="1852">
        <f>BO!L994</f>
        <v>0</v>
      </c>
      <c r="M2044" s="1928">
        <f>BO!M994</f>
        <v>6.9444444444444447E-4</v>
      </c>
      <c r="N2044" s="1870" t="str">
        <f>BO!N994</f>
        <v>23:55:00 p. m.</v>
      </c>
      <c r="O2044"/>
      <c r="P2044"/>
      <c r="Q2044"/>
      <c r="R2044"/>
      <c r="S2044"/>
      <c r="T2044"/>
      <c r="U2044"/>
      <c r="V2044"/>
      <c r="W2044"/>
      <c r="X2044"/>
      <c r="Y2044"/>
      <c r="Z2044"/>
      <c r="AA2044"/>
      <c r="AD2044" s="627"/>
      <c r="AE2044" s="627"/>
      <c r="AF2044" s="627"/>
      <c r="AG2044" s="627"/>
    </row>
    <row r="2045" spans="2:33" s="57" customFormat="1" ht="23">
      <c r="B2045" s="1946" t="str">
        <f>BO!B995</f>
        <v>Cámara de Compensación y Liquidación de Transferencias Electrónicas -ACH</v>
      </c>
      <c r="C2045" s="1855" t="str">
        <f>BO!C995</f>
        <v>R</v>
      </c>
      <c r="D2045" s="1855" t="str">
        <f>BO!D995</f>
        <v>N</v>
      </c>
      <c r="E2045" s="1855" t="str">
        <f>BO!E995</f>
        <v>PA</v>
      </c>
      <c r="F2045" s="1855" t="str">
        <f>BO!F995</f>
        <v>ACH</v>
      </c>
      <c r="G2045" s="1855" t="str">
        <f>BO!G995</f>
        <v>R</v>
      </c>
      <c r="H2045" s="1855" t="str">
        <f>BO!H995</f>
        <v>C</v>
      </c>
      <c r="I2045" s="1855" t="str">
        <f>BO!I995</f>
        <v>V</v>
      </c>
      <c r="J2045" s="1852" t="str">
        <f>BO!J995</f>
        <v>23:45:00 p. m.</v>
      </c>
      <c r="K2045" s="1855" t="str">
        <f>BO!K995</f>
        <v>INTRADAY</v>
      </c>
      <c r="L2045" s="1852">
        <f>BO!L995</f>
        <v>0</v>
      </c>
      <c r="M2045" s="1928">
        <f>BO!M995</f>
        <v>6.9444444444444447E-4</v>
      </c>
      <c r="N2045" s="1870" t="str">
        <f>BO!N995</f>
        <v>23:55:00 p. m.</v>
      </c>
    </row>
    <row r="2046" spans="2:33" s="57" customFormat="1" ht="23">
      <c r="B2046" s="1946" t="str">
        <f>BO!B996</f>
        <v>Cámara de Compensación y Liquidación de Transferencias Electrónicas UNILINK</v>
      </c>
      <c r="C2046" s="1855" t="str">
        <f>BO!C996</f>
        <v>R</v>
      </c>
      <c r="D2046" s="1855" t="str">
        <f>BO!D996</f>
        <v>N</v>
      </c>
      <c r="E2046" s="1855" t="str">
        <f>BO!E996</f>
        <v>PA</v>
      </c>
      <c r="F2046" s="1855" t="str">
        <f>BO!F996</f>
        <v>ACH</v>
      </c>
      <c r="G2046" s="1855" t="str">
        <f>BO!G996</f>
        <v>R</v>
      </c>
      <c r="H2046" s="1855" t="str">
        <f>BO!H996</f>
        <v>C</v>
      </c>
      <c r="I2046" s="1855" t="str">
        <f>BO!I996</f>
        <v>V</v>
      </c>
      <c r="J2046" s="1852" t="str">
        <f>BO!J996</f>
        <v>23:45:00 p. m.</v>
      </c>
      <c r="K2046" s="1855" t="str">
        <f>BO!K996</f>
        <v>INTRADAY</v>
      </c>
      <c r="L2046" s="1852">
        <f>BO!L996</f>
        <v>0</v>
      </c>
      <c r="M2046" s="1928">
        <f>BO!M996</f>
        <v>6.9444444444444447E-4</v>
      </c>
      <c r="N2046" s="1870" t="str">
        <f>BO!N996</f>
        <v>23:55:00 p. m.</v>
      </c>
    </row>
    <row r="2047" spans="2:33" s="57" customFormat="1" ht="12.5">
      <c r="B2047" s="1943"/>
      <c r="C2047" s="795"/>
      <c r="D2047" s="795"/>
      <c r="E2047" s="1847"/>
      <c r="F2047" s="795"/>
      <c r="G2047" s="795"/>
      <c r="H2047" s="795"/>
      <c r="I2047" s="795"/>
      <c r="J2047" s="1849"/>
      <c r="K2047" s="657"/>
      <c r="L2047" s="1780"/>
      <c r="M2047" s="1932"/>
      <c r="N2047" s="1873"/>
    </row>
    <row r="2048" spans="2:33" s="57" customFormat="1" ht="13">
      <c r="B2048" s="1945" t="s">
        <v>1041</v>
      </c>
      <c r="C2048" s="657"/>
      <c r="D2048" s="657"/>
      <c r="E2048" s="657"/>
      <c r="F2048" s="657"/>
      <c r="G2048" s="1847"/>
      <c r="H2048" s="657"/>
      <c r="I2048" s="657"/>
      <c r="J2048" s="1849"/>
      <c r="K2048" s="1920"/>
      <c r="L2048" s="1780"/>
      <c r="M2048" s="1932"/>
      <c r="N2048" s="1873"/>
    </row>
    <row r="2049" spans="2:21" s="57" customFormat="1" ht="12.5">
      <c r="B2049" s="1942" t="str">
        <f>BR!B1532</f>
        <v>STR</v>
      </c>
      <c r="C2049" s="1855" t="str">
        <f>BR!C1532</f>
        <v>L</v>
      </c>
      <c r="D2049" s="1855" t="str">
        <f>BR!D1532</f>
        <v>RTGS</v>
      </c>
      <c r="E2049" s="1855" t="str">
        <f>BR!E1532</f>
        <v>CB</v>
      </c>
      <c r="F2049" s="1855" t="str">
        <f>BR!F1532</f>
        <v>RTT</v>
      </c>
      <c r="G2049" s="1855" t="str">
        <f>BR!G1532</f>
        <v>O(1)</v>
      </c>
      <c r="H2049" s="1855" t="str">
        <f>BR!H1532</f>
        <v>C</v>
      </c>
      <c r="I2049" s="1855" t="str">
        <f>BR!C1541</f>
        <v>F</v>
      </c>
      <c r="J2049" s="1852" t="str">
        <f>BR!D1541</f>
        <v>18:30</v>
      </c>
      <c r="K2049" s="1855" t="str">
        <f>BR!E1541</f>
        <v>Real time</v>
      </c>
      <c r="L2049" s="1852" t="str">
        <f>BR!F1541</f>
        <v>17:30</v>
      </c>
      <c r="M2049" s="1928" t="str">
        <f>BR!G1541</f>
        <v>06:30</v>
      </c>
      <c r="N2049" s="1870" t="str">
        <f>BR!H1541</f>
        <v>18:30</v>
      </c>
    </row>
    <row r="2050" spans="2:21" s="57" customFormat="1" ht="12.5">
      <c r="B2050" s="1942" t="str">
        <f>BR!B1533</f>
        <v>SPI9</v>
      </c>
      <c r="C2050" s="1855" t="str">
        <f>BR!C1533</f>
        <v>R</v>
      </c>
      <c r="D2050" s="1855" t="str">
        <f>BR!D1533</f>
        <v>RTGS</v>
      </c>
      <c r="E2050" s="1855" t="str">
        <f>BR!E1533</f>
        <v>CB</v>
      </c>
      <c r="F2050" s="1855" t="str">
        <f>BR!F1533</f>
        <v>RTT</v>
      </c>
      <c r="G2050" s="1855" t="str">
        <f>BR!G1533</f>
        <v>O</v>
      </c>
      <c r="H2050" s="1855" t="str">
        <f>BR!H1533</f>
        <v>C</v>
      </c>
      <c r="I2050" s="1855" t="str">
        <f>BR!C1542</f>
        <v>F</v>
      </c>
      <c r="J2050" s="1852" t="str">
        <f>BR!D1542</f>
        <v>24:00</v>
      </c>
      <c r="K2050" s="1855" t="str">
        <f>BR!E1542</f>
        <v>Real time</v>
      </c>
      <c r="L2050" s="1852">
        <f>BR!F1542</f>
        <v>0</v>
      </c>
      <c r="M2050" s="1928" t="str">
        <f>BR!G1542</f>
        <v>24/7/365</v>
      </c>
      <c r="N2050" s="1870" t="str">
        <f>BR!H1542</f>
        <v>24/7/365</v>
      </c>
    </row>
    <row r="2051" spans="2:21" s="57" customFormat="1" ht="12.5">
      <c r="B2051" s="1942" t="str">
        <f>BR!B1534</f>
        <v>SITRAF</v>
      </c>
      <c r="C2051" s="1855" t="str">
        <f>BR!C1534</f>
        <v>R</v>
      </c>
      <c r="D2051" s="1855" t="str">
        <f>BR!D1534</f>
        <v>MN, BN, G</v>
      </c>
      <c r="E2051" s="1855" t="str">
        <f>BR!E1534</f>
        <v>PA(2)</v>
      </c>
      <c r="F2051" s="1855" t="str">
        <f>BR!F1534</f>
        <v>RTT</v>
      </c>
      <c r="G2051" s="1855" t="str">
        <f>BR!G1534</f>
        <v>O(1)</v>
      </c>
      <c r="H2051" s="1855" t="str">
        <f>BR!H1534</f>
        <v>C</v>
      </c>
      <c r="I2051" s="1855" t="str">
        <f>BR!C1543</f>
        <v>F</v>
      </c>
      <c r="J2051" s="1852" t="str">
        <f>BR!D1543</f>
        <v>17:00</v>
      </c>
      <c r="K2051" s="1855" t="str">
        <f>BR!E1543</f>
        <v>Intraday6</v>
      </c>
      <c r="L2051" s="1852" t="str">
        <f>BR!F1543</f>
        <v>17:00</v>
      </c>
      <c r="M2051" s="1928">
        <f>BR!G1543</f>
        <v>0</v>
      </c>
      <c r="N2051" s="1870">
        <f>BR!H1543</f>
        <v>0</v>
      </c>
    </row>
    <row r="2052" spans="2:21" s="57" customFormat="1" ht="12.5">
      <c r="B2052" s="1942" t="str">
        <f>BR!B1535</f>
        <v>BmfBovespa-FX</v>
      </c>
      <c r="C2052" s="1855" t="str">
        <f>BR!C1535</f>
        <v>L</v>
      </c>
      <c r="D2052" s="1855" t="str">
        <f>BR!D1535</f>
        <v>MN</v>
      </c>
      <c r="E2052" s="1855" t="str">
        <f>BR!E1535</f>
        <v>Other(3)</v>
      </c>
      <c r="F2052" s="1855" t="str">
        <f>BR!F1535</f>
        <v>ACH</v>
      </c>
      <c r="G2052" s="1855" t="str">
        <f>BR!G1535</f>
        <v>O(4)</v>
      </c>
      <c r="H2052" s="1855" t="str">
        <f>BR!H1535</f>
        <v>C</v>
      </c>
      <c r="I2052" s="1855" t="str">
        <f>BR!C1544</f>
        <v>F</v>
      </c>
      <c r="J2052" s="1852" t="str">
        <f>BR!D1544</f>
        <v>10:00</v>
      </c>
      <c r="K2052" s="1855" t="str">
        <f>BR!E1544</f>
        <v xml:space="preserve"> T+2: 14:057</v>
      </c>
      <c r="L2052" s="1852">
        <f>BR!F1544</f>
        <v>0</v>
      </c>
      <c r="M2052" s="1928">
        <f>BR!G1544</f>
        <v>0</v>
      </c>
      <c r="N2052" s="1870">
        <f>BR!H1544</f>
        <v>0</v>
      </c>
    </row>
    <row r="2053" spans="2:21" s="57" customFormat="1" ht="12.5">
      <c r="B2053" s="1942" t="str">
        <f>BR!B1536</f>
        <v>SILOC</v>
      </c>
      <c r="C2053" s="1855" t="str">
        <f>BR!C1536</f>
        <v>R</v>
      </c>
      <c r="D2053" s="1855" t="str">
        <f>BR!D1536</f>
        <v>MN</v>
      </c>
      <c r="E2053" s="1855" t="str">
        <f>BR!E1536</f>
        <v>PA(2)</v>
      </c>
      <c r="F2053" s="1855" t="str">
        <f>BR!F1536</f>
        <v>ACH</v>
      </c>
      <c r="G2053" s="1855" t="str">
        <f>BR!G1536</f>
        <v>O(1)</v>
      </c>
      <c r="H2053" s="1855" t="str">
        <f>BR!H1536</f>
        <v>C</v>
      </c>
      <c r="I2053" s="1855" t="str">
        <f>BR!C1545</f>
        <v>F</v>
      </c>
      <c r="J2053" s="1852">
        <f>BR!D1545</f>
        <v>0</v>
      </c>
      <c r="K2053" s="1855" t="str">
        <f>BR!E1545</f>
        <v>T+1: 08:20; 16:10</v>
      </c>
      <c r="L2053" s="1852" t="str">
        <f>BR!F1545</f>
        <v>21:59</v>
      </c>
      <c r="M2053" s="1928">
        <f>BR!G1545</f>
        <v>0</v>
      </c>
      <c r="N2053" s="1870">
        <f>BR!H1545</f>
        <v>0</v>
      </c>
    </row>
    <row r="2054" spans="2:21" s="57" customFormat="1" ht="23">
      <c r="B2054" s="1942" t="str">
        <f>BR!B1537</f>
        <v>COMPE</v>
      </c>
      <c r="C2054" s="1855" t="str">
        <f>BR!C1537</f>
        <v>R</v>
      </c>
      <c r="D2054" s="1855" t="str">
        <f>BR!D1537</f>
        <v>MN</v>
      </c>
      <c r="E2054" s="1855" t="str">
        <f>BR!E1537</f>
        <v>B</v>
      </c>
      <c r="F2054" s="1855" t="str">
        <f>BR!F1537</f>
        <v>ACH</v>
      </c>
      <c r="G2054" s="1855" t="str">
        <f>BR!G1537</f>
        <v>O(1)</v>
      </c>
      <c r="H2054" s="1855" t="str">
        <f>BR!H1537</f>
        <v>C</v>
      </c>
      <c r="I2054" s="1855" t="str">
        <f>BR!C1546</f>
        <v>F</v>
      </c>
      <c r="J2054" s="1852">
        <f>BR!D1546</f>
        <v>0</v>
      </c>
      <c r="K2054" s="1855" t="str">
        <f>BR!E1546</f>
        <v>T+1: 09:00, 17:158</v>
      </c>
      <c r="L2054" s="1852">
        <f>BR!F1546</f>
        <v>0</v>
      </c>
      <c r="M2054" s="1928">
        <f>BR!G1546</f>
        <v>0</v>
      </c>
      <c r="N2054" s="1870">
        <f>BR!H1546</f>
        <v>0</v>
      </c>
    </row>
    <row r="2055" spans="2:21" s="57" customFormat="1" ht="12.5">
      <c r="B2055" s="1947"/>
      <c r="C2055" s="657"/>
      <c r="D2055" s="657"/>
      <c r="E2055" s="657"/>
      <c r="F2055" s="657"/>
      <c r="G2055" s="1847"/>
      <c r="H2055" s="657"/>
      <c r="I2055" s="657"/>
      <c r="J2055" s="1849"/>
      <c r="K2055" s="657"/>
      <c r="L2055" s="1780"/>
      <c r="M2055" s="1932"/>
      <c r="N2055" s="1873"/>
    </row>
    <row r="2056" spans="2:21" s="57" customFormat="1" ht="15" customHeight="1">
      <c r="B2056" s="1945" t="s">
        <v>1042</v>
      </c>
      <c r="C2056" s="657"/>
      <c r="D2056" s="657"/>
      <c r="E2056" s="657"/>
      <c r="F2056" s="657"/>
      <c r="G2056" s="1847"/>
      <c r="H2056" s="657"/>
      <c r="I2056" s="657"/>
      <c r="J2056" s="1836"/>
      <c r="K2056" s="1850"/>
      <c r="L2056" s="1849"/>
      <c r="M2056" s="1933"/>
      <c r="N2056" s="1874"/>
      <c r="O2056"/>
      <c r="P2056"/>
      <c r="Q2056"/>
      <c r="R2056"/>
      <c r="S2056"/>
      <c r="T2056"/>
      <c r="U2056"/>
    </row>
    <row r="2057" spans="2:21" s="57" customFormat="1">
      <c r="B2057" s="1947" t="s">
        <v>94</v>
      </c>
      <c r="C2057" s="657" t="s">
        <v>701</v>
      </c>
      <c r="D2057" s="657" t="s">
        <v>94</v>
      </c>
      <c r="E2057" s="657" t="s">
        <v>1</v>
      </c>
      <c r="F2057" s="657" t="s">
        <v>106</v>
      </c>
      <c r="G2057" s="1847" t="s">
        <v>103</v>
      </c>
      <c r="H2057" s="657" t="s">
        <v>102</v>
      </c>
      <c r="I2057" s="657" t="s">
        <v>611</v>
      </c>
      <c r="J2057" s="1849">
        <v>0.72916666666666663</v>
      </c>
      <c r="K2057" s="1850">
        <v>0.76041666666666663</v>
      </c>
      <c r="L2057" s="1849">
        <v>0.71875</v>
      </c>
      <c r="M2057" s="1933">
        <v>42184.375</v>
      </c>
      <c r="N2057" s="1874">
        <v>0.72916666666666663</v>
      </c>
      <c r="O2057"/>
      <c r="P2057"/>
      <c r="Q2057"/>
      <c r="R2057"/>
      <c r="S2057"/>
      <c r="T2057"/>
      <c r="U2057"/>
    </row>
    <row r="2058" spans="2:21" s="57" customFormat="1">
      <c r="B2058" s="1947" t="s">
        <v>1230</v>
      </c>
      <c r="C2058" s="657" t="s">
        <v>701</v>
      </c>
      <c r="D2058" s="657" t="s">
        <v>105</v>
      </c>
      <c r="E2058" s="657" t="s">
        <v>108</v>
      </c>
      <c r="F2058" s="657" t="s">
        <v>489</v>
      </c>
      <c r="G2058" s="1847" t="s">
        <v>103</v>
      </c>
      <c r="H2058" s="657" t="s">
        <v>102</v>
      </c>
      <c r="I2058" s="657">
        <v>0</v>
      </c>
      <c r="J2058" s="1849">
        <v>0.6875</v>
      </c>
      <c r="K2058" s="1850">
        <v>0.6875</v>
      </c>
      <c r="L2058" s="1849">
        <v>0.71875</v>
      </c>
      <c r="M2058" s="1933">
        <v>42184.375</v>
      </c>
      <c r="N2058" s="1874">
        <v>0.6875</v>
      </c>
      <c r="O2058"/>
      <c r="P2058"/>
      <c r="Q2058"/>
      <c r="R2058"/>
      <c r="S2058"/>
      <c r="T2058"/>
      <c r="U2058"/>
    </row>
    <row r="2059" spans="2:21" s="57" customFormat="1" ht="12.5">
      <c r="B2059" s="1947"/>
      <c r="C2059" s="657"/>
      <c r="D2059" s="657"/>
      <c r="E2059" s="657"/>
      <c r="F2059" s="657"/>
      <c r="G2059" s="1847"/>
      <c r="H2059" s="657"/>
      <c r="I2059" s="657"/>
      <c r="J2059" s="1836"/>
      <c r="K2059" s="794"/>
      <c r="L2059" s="1839"/>
      <c r="M2059" s="1934"/>
      <c r="N2059" s="1875"/>
      <c r="Q2059" s="660"/>
    </row>
    <row r="2060" spans="2:21" s="57" customFormat="1" ht="13">
      <c r="B2060" s="1945" t="s">
        <v>1043</v>
      </c>
      <c r="C2060" s="1851"/>
      <c r="D2060" s="1851"/>
      <c r="E2060" s="1851"/>
      <c r="F2060" s="1851"/>
      <c r="G2060" s="1851"/>
      <c r="H2060" s="1851"/>
      <c r="I2060" s="794"/>
      <c r="J2060" s="1836"/>
      <c r="K2060" s="1920"/>
      <c r="L2060" s="1839"/>
      <c r="M2060" s="1934"/>
      <c r="N2060" s="1875"/>
    </row>
    <row r="2061" spans="2:21" s="57" customFormat="1" ht="12.5">
      <c r="B2061" s="1942" t="str">
        <f>CO!B1043</f>
        <v xml:space="preserve">CUD </v>
      </c>
      <c r="C2061" s="1855" t="str">
        <f>CO!C1043</f>
        <v>L</v>
      </c>
      <c r="D2061" s="1855" t="str">
        <f>CO!D1043</f>
        <v>RTGS</v>
      </c>
      <c r="E2061" s="1855" t="str">
        <f>CO!E1043</f>
        <v>CB</v>
      </c>
      <c r="F2061" s="1855" t="str">
        <f>CO!F1043</f>
        <v>RTT</v>
      </c>
      <c r="G2061" s="1855" t="str">
        <f>CO!G1043</f>
        <v>O</v>
      </c>
      <c r="H2061" s="1855" t="str">
        <f>CO!H1043</f>
        <v>C</v>
      </c>
      <c r="I2061" s="1855" t="str">
        <f>CO!C1051</f>
        <v>F</v>
      </c>
      <c r="J2061" s="1852">
        <f>CO!D1051</f>
        <v>0.83333333333333337</v>
      </c>
      <c r="K2061" s="1855" t="str">
        <f>CO!E1051</f>
        <v>Real time</v>
      </c>
      <c r="L2061" s="1852">
        <f>CO!F1051</f>
        <v>0.83333333333333337</v>
      </c>
      <c r="M2061" s="1928">
        <f>CO!G1051</f>
        <v>0.29166666666666669</v>
      </c>
      <c r="N2061" s="1870">
        <f>CO!H1051</f>
        <v>0.83333333333333337</v>
      </c>
    </row>
    <row r="2062" spans="2:21" s="57" customFormat="1" ht="12.5">
      <c r="B2062" s="1942" t="str">
        <f>CO!B1044</f>
        <v>CEDEC</v>
      </c>
      <c r="C2062" s="1855" t="str">
        <f>CO!C1044</f>
        <v>R</v>
      </c>
      <c r="D2062" s="1855" t="str">
        <f>CO!D1044</f>
        <v>MN</v>
      </c>
      <c r="E2062" s="1855" t="str">
        <f>CO!E1044</f>
        <v>CB</v>
      </c>
      <c r="F2062" s="1855" t="str">
        <f>CO!F1044</f>
        <v>ACH</v>
      </c>
      <c r="G2062" s="1855" t="str">
        <f>CO!G1044</f>
        <v>O</v>
      </c>
      <c r="H2062" s="1855" t="str">
        <f>CO!H1044</f>
        <v>D</v>
      </c>
      <c r="I2062" s="1855" t="str">
        <f>CO!C1052</f>
        <v>F</v>
      </c>
      <c r="J2062" s="1852">
        <f>CO!D1052</f>
        <v>0.85416666666666663</v>
      </c>
      <c r="K2062" s="1855" t="str">
        <f>CO!E1052</f>
        <v>Real time</v>
      </c>
      <c r="L2062" s="1852">
        <f>CO!F1052</f>
        <v>0.85416666666666663</v>
      </c>
      <c r="M2062" s="1928">
        <f>CO!G1052</f>
        <v>0.29166666666666669</v>
      </c>
      <c r="N2062" s="1870">
        <f>CO!H1052</f>
        <v>0.85416666666666663</v>
      </c>
    </row>
    <row r="2063" spans="2:21" s="57" customFormat="1" ht="12.5">
      <c r="B2063" s="1942" t="str">
        <f>CO!B1045</f>
        <v xml:space="preserve">CENIT </v>
      </c>
      <c r="C2063" s="1855" t="str">
        <f>CO!C1045</f>
        <v>R</v>
      </c>
      <c r="D2063" s="1855" t="str">
        <f>CO!D1045</f>
        <v>MN</v>
      </c>
      <c r="E2063" s="1855" t="str">
        <f>CO!E1045</f>
        <v>CB</v>
      </c>
      <c r="F2063" s="1855" t="str">
        <f>CO!F1045</f>
        <v>ACH</v>
      </c>
      <c r="G2063" s="1855" t="str">
        <f>CO!G1045</f>
        <v>O</v>
      </c>
      <c r="H2063" s="1855" t="str">
        <f>CO!H1045</f>
        <v>C</v>
      </c>
      <c r="I2063" s="1855" t="str">
        <f>CO!C1053</f>
        <v>F</v>
      </c>
      <c r="J2063" s="1852">
        <f>CO!D1053</f>
        <v>0.77083333333333337</v>
      </c>
      <c r="K2063" s="1855" t="str">
        <f>CO!E1053</f>
        <v>Real time</v>
      </c>
      <c r="L2063" s="1852">
        <f>CO!F1053</f>
        <v>0.8125</v>
      </c>
      <c r="M2063" s="1928">
        <f>CO!G1053</f>
        <v>0.35416666666666669</v>
      </c>
      <c r="N2063" s="1870">
        <f>CO!H1053</f>
        <v>0.77083333333333337</v>
      </c>
    </row>
    <row r="2064" spans="2:21" s="57" customFormat="1" ht="12.5">
      <c r="B2064" s="1942" t="str">
        <f>CO!B1046</f>
        <v xml:space="preserve">ACH-Colombia </v>
      </c>
      <c r="C2064" s="1855" t="str">
        <f>CO!C1046</f>
        <v>R</v>
      </c>
      <c r="D2064" s="1855" t="str">
        <f>CO!D1046</f>
        <v>MN</v>
      </c>
      <c r="E2064" s="1855" t="str">
        <f>CO!E1046</f>
        <v>PA</v>
      </c>
      <c r="F2064" s="1855" t="str">
        <f>CO!F1046</f>
        <v>ACH</v>
      </c>
      <c r="G2064" s="1855" t="str">
        <f>CO!G1046</f>
        <v>O</v>
      </c>
      <c r="H2064" s="1855" t="str">
        <f>CO!H1046</f>
        <v>C</v>
      </c>
      <c r="I2064" s="1855" t="str">
        <f>CO!C1054</f>
        <v>F</v>
      </c>
      <c r="J2064" s="1852">
        <f>CO!D1054</f>
        <v>0.77083333333333337</v>
      </c>
      <c r="K2064" s="1855" t="str">
        <f>CO!E1054</f>
        <v>Real time</v>
      </c>
      <c r="L2064" s="1852">
        <f>CO!F1054</f>
        <v>0.77083333333333337</v>
      </c>
      <c r="M2064" s="1928">
        <f>CO!G1054</f>
        <v>0.29166666666666669</v>
      </c>
      <c r="N2064" s="1870">
        <f>CO!H1054</f>
        <v>0.77083333333333337</v>
      </c>
    </row>
    <row r="2065" spans="2:25" s="57" customFormat="1" ht="12.5">
      <c r="B2065" s="1948"/>
      <c r="C2065" s="1851"/>
      <c r="D2065" s="1851"/>
      <c r="E2065" s="1851"/>
      <c r="F2065" s="1851"/>
      <c r="G2065" s="1851"/>
      <c r="H2065" s="1851"/>
      <c r="I2065" s="794"/>
      <c r="J2065" s="1839"/>
      <c r="K2065" s="795"/>
      <c r="L2065" s="1839"/>
      <c r="M2065" s="1929"/>
      <c r="N2065" s="1871"/>
    </row>
    <row r="2066" spans="2:25" s="57" customFormat="1" ht="13">
      <c r="B2066" s="1945" t="s">
        <v>1044</v>
      </c>
      <c r="C2066" s="795"/>
      <c r="D2066" s="795"/>
      <c r="E2066" s="795"/>
      <c r="F2066" s="795"/>
      <c r="G2066" s="795"/>
      <c r="H2066" s="795"/>
      <c r="I2066" s="795"/>
      <c r="J2066" s="1852"/>
      <c r="K2066" s="795"/>
      <c r="L2066" s="1839"/>
      <c r="M2066" s="1929"/>
      <c r="N2066" s="1871"/>
    </row>
    <row r="2067" spans="2:25" s="57" customFormat="1" ht="12.5">
      <c r="B2067" s="1942" t="str">
        <f>CR!B940</f>
        <v>CCD</v>
      </c>
      <c r="C2067" s="1855" t="str">
        <f>CR!C940</f>
        <v>R</v>
      </c>
      <c r="D2067" s="1855" t="str">
        <f>CR!D940</f>
        <v>MN</v>
      </c>
      <c r="E2067" s="1855" t="str">
        <f>CR!E940</f>
        <v>CB</v>
      </c>
      <c r="F2067" s="1855" t="str">
        <f>CR!F940</f>
        <v>ACH</v>
      </c>
      <c r="G2067" s="1855" t="str">
        <f>CR!G940</f>
        <v>O</v>
      </c>
      <c r="H2067" s="1855" t="str">
        <f>CR!H940</f>
        <v>C</v>
      </c>
      <c r="I2067" s="1855" t="str">
        <f>CR!C953</f>
        <v>F and V</v>
      </c>
      <c r="J2067" s="1852" t="str">
        <f>CR!D953</f>
        <v>19:00</v>
      </c>
      <c r="K2067" s="1855" t="str">
        <f>CR!E953</f>
        <v>21:35</v>
      </c>
      <c r="L2067" s="1852">
        <f>CR!F953</f>
        <v>0</v>
      </c>
      <c r="M2067" s="1928" t="str">
        <f>CR!G953</f>
        <v>12:30</v>
      </c>
      <c r="N2067" s="1870">
        <f>CR!H953</f>
        <v>0.77083333333333337</v>
      </c>
    </row>
    <row r="2068" spans="2:25" s="57" customFormat="1" ht="12.5">
      <c r="B2068" s="1942" t="str">
        <f>CR!B941</f>
        <v>CLC</v>
      </c>
      <c r="C2068" s="1855" t="str">
        <f>CR!C941</f>
        <v>R</v>
      </c>
      <c r="D2068" s="1855" t="str">
        <f>CR!D941</f>
        <v>MN</v>
      </c>
      <c r="E2068" s="1855" t="str">
        <f>CR!E941</f>
        <v>CB</v>
      </c>
      <c r="F2068" s="1855" t="str">
        <f>CR!F941</f>
        <v>ACH</v>
      </c>
      <c r="G2068" s="1855" t="str">
        <f>CR!G941</f>
        <v>O</v>
      </c>
      <c r="H2068" s="1855" t="str">
        <f>CR!H941</f>
        <v>C</v>
      </c>
      <c r="I2068" s="1855" t="str">
        <f>CR!C954</f>
        <v>F and V</v>
      </c>
      <c r="J2068" s="1852">
        <f>CR!D954</f>
        <v>0</v>
      </c>
      <c r="K2068" s="1855" t="str">
        <f>CR!E954</f>
        <v>11:00 (1)</v>
      </c>
      <c r="L2068" s="1852">
        <f>CR!F954</f>
        <v>0</v>
      </c>
      <c r="M2068" s="1928" t="str">
        <f>CR!G954</f>
        <v>12:00</v>
      </c>
      <c r="N2068" s="1870">
        <f>CR!H954</f>
        <v>0.46875</v>
      </c>
    </row>
    <row r="2069" spans="2:25" s="57" customFormat="1" ht="12.5">
      <c r="B2069" s="1942" t="str">
        <f>CR!B942</f>
        <v>PIN</v>
      </c>
      <c r="C2069" s="1855" t="str">
        <f>CR!C942</f>
        <v>R</v>
      </c>
      <c r="D2069" s="1855" t="str">
        <f>CR!D942</f>
        <v>RTGS</v>
      </c>
      <c r="E2069" s="1855" t="str">
        <f>CR!E942</f>
        <v>CB</v>
      </c>
      <c r="F2069" s="1855" t="str">
        <f>CR!F942</f>
        <v>RTT</v>
      </c>
      <c r="G2069" s="1855" t="str">
        <f>CR!G942</f>
        <v>O</v>
      </c>
      <c r="H2069" s="1855" t="str">
        <f>CR!H942</f>
        <v>C</v>
      </c>
      <c r="I2069" s="1855" t="str">
        <f>CR!C955</f>
        <v>F and V</v>
      </c>
      <c r="J2069" s="1852" t="str">
        <f>CR!D955</f>
        <v>00:00</v>
      </c>
      <c r="K2069" s="1855" t="str">
        <f>CR!E955</f>
        <v>00:00</v>
      </c>
      <c r="L2069" s="1852">
        <f>CR!F955</f>
        <v>0</v>
      </c>
      <c r="M2069" s="1928" t="str">
        <f>CR!G955</f>
        <v>00:00</v>
      </c>
      <c r="N2069" s="1870" t="str">
        <f>CR!H955</f>
        <v>00:00</v>
      </c>
    </row>
    <row r="2070" spans="2:25" s="57" customFormat="1" ht="12.5">
      <c r="B2070" s="1942" t="str">
        <f>CR!B943</f>
        <v>DTR</v>
      </c>
      <c r="C2070" s="1855" t="str">
        <f>CR!C943</f>
        <v>R</v>
      </c>
      <c r="D2070" s="1855" t="str">
        <f>CR!D943</f>
        <v>RTGS</v>
      </c>
      <c r="E2070" s="1855" t="str">
        <f>CR!E943</f>
        <v>CB</v>
      </c>
      <c r="F2070" s="1855" t="str">
        <f>CR!F943</f>
        <v>RTT</v>
      </c>
      <c r="G2070" s="1855" t="str">
        <f>CR!G943</f>
        <v>O</v>
      </c>
      <c r="H2070" s="1855" t="str">
        <f>CR!H943</f>
        <v>C</v>
      </c>
      <c r="I2070" s="1855" t="str">
        <f>CR!C956</f>
        <v>F and V</v>
      </c>
      <c r="J2070" s="1852" t="str">
        <f>CR!D956</f>
        <v>00:00</v>
      </c>
      <c r="K2070" s="1855" t="str">
        <f>CR!E956</f>
        <v>00:00</v>
      </c>
      <c r="L2070" s="1852">
        <f>CR!F956</f>
        <v>0</v>
      </c>
      <c r="M2070" s="1928" t="str">
        <f>CR!G956</f>
        <v>00:00</v>
      </c>
      <c r="N2070" s="1870" t="str">
        <f>CR!H956</f>
        <v>00:00</v>
      </c>
    </row>
    <row r="2071" spans="2:25" s="57" customFormat="1" ht="12.5">
      <c r="B2071" s="1942" t="str">
        <f>CR!B944</f>
        <v>LSE(1)</v>
      </c>
      <c r="C2071" s="1855" t="str">
        <f>CR!C944</f>
        <v>R</v>
      </c>
      <c r="D2071" s="1855" t="str">
        <f>CR!D944</f>
        <v>BN</v>
      </c>
      <c r="E2071" s="1855" t="str">
        <f>CR!E944</f>
        <v>CB</v>
      </c>
      <c r="F2071" s="1855" t="str">
        <f>CR!F944</f>
        <v>ACH</v>
      </c>
      <c r="G2071" s="1855" t="str">
        <f>CR!G944</f>
        <v>O</v>
      </c>
      <c r="H2071" s="1855" t="str">
        <f>CR!H944</f>
        <v>C</v>
      </c>
      <c r="I2071" s="1855" t="str">
        <f>CR!C957</f>
        <v>F</v>
      </c>
      <c r="J2071" s="1852">
        <f>CR!D957</f>
        <v>0</v>
      </c>
      <c r="K2071" s="1855" t="str">
        <f>CR!E957</f>
        <v>10:30</v>
      </c>
      <c r="L2071" s="1852">
        <f>CR!F957</f>
        <v>0</v>
      </c>
      <c r="M2071" s="1928" t="str">
        <f>CR!G957</f>
        <v>08:00</v>
      </c>
      <c r="N2071" s="1870" t="str">
        <f>CR!H957</f>
        <v>9:30</v>
      </c>
    </row>
    <row r="2072" spans="2:25" s="57" customFormat="1" ht="12.5">
      <c r="B2072" s="1942" t="str">
        <f>CR!B945</f>
        <v>ILI</v>
      </c>
      <c r="C2072" s="1855" t="str">
        <f>CR!C945</f>
        <v>R</v>
      </c>
      <c r="D2072" s="1855" t="str">
        <f>CR!D945</f>
        <v>BN</v>
      </c>
      <c r="E2072" s="1855" t="str">
        <f>CR!E945</f>
        <v>CB</v>
      </c>
      <c r="F2072" s="1855" t="str">
        <f>CR!F945</f>
        <v>ACH</v>
      </c>
      <c r="G2072" s="1855" t="str">
        <f>CR!G945</f>
        <v>O</v>
      </c>
      <c r="H2072" s="1855" t="str">
        <f>CR!H945</f>
        <v>C</v>
      </c>
      <c r="I2072" s="1855" t="str">
        <f>CR!C958</f>
        <v>F</v>
      </c>
      <c r="J2072" s="1852">
        <f>CR!D958</f>
        <v>0</v>
      </c>
      <c r="K2072" s="1855" t="str">
        <f>CR!E958</f>
        <v>14:30</v>
      </c>
      <c r="L2072" s="1852">
        <f>CR!F958</f>
        <v>0</v>
      </c>
      <c r="M2072" s="1928" t="str">
        <f>CR!G958</f>
        <v>08:00</v>
      </c>
      <c r="N2072" s="1870" t="str">
        <f>CR!H958</f>
        <v>14:00</v>
      </c>
    </row>
    <row r="2073" spans="2:25" s="57" customFormat="1" ht="12.5">
      <c r="B2073" s="1942" t="str">
        <f>CR!B946</f>
        <v>CDD</v>
      </c>
      <c r="C2073" s="1855" t="str">
        <f>CR!C946</f>
        <v>R</v>
      </c>
      <c r="D2073" s="1855" t="str">
        <f>CR!D946</f>
        <v>MN</v>
      </c>
      <c r="E2073" s="1855" t="str">
        <f>CR!E946</f>
        <v>CB</v>
      </c>
      <c r="F2073" s="1855" t="str">
        <f>CR!F946</f>
        <v>ACH</v>
      </c>
      <c r="G2073" s="1855" t="str">
        <f>CR!G946</f>
        <v>O</v>
      </c>
      <c r="H2073" s="1855" t="str">
        <f>CR!H946</f>
        <v>C</v>
      </c>
      <c r="I2073" s="1855" t="str">
        <f>CR!C959</f>
        <v>F and V</v>
      </c>
      <c r="J2073" s="1852" t="str">
        <f>CR!D959</f>
        <v>19:00</v>
      </c>
      <c r="K2073" s="1855" t="str">
        <f>CR!E959</f>
        <v>21:35</v>
      </c>
      <c r="L2073" s="1852">
        <f>CR!F959</f>
        <v>0</v>
      </c>
      <c r="M2073" s="1928" t="str">
        <f>CR!G959</f>
        <v>12:30</v>
      </c>
      <c r="N2073" s="1870" t="str">
        <f>CR!H959</f>
        <v>18:30</v>
      </c>
    </row>
    <row r="2074" spans="2:25" s="57" customFormat="1" ht="12.5">
      <c r="B2074" s="1942" t="str">
        <f>CR!B947</f>
        <v>TFI</v>
      </c>
      <c r="C2074" s="1855" t="str">
        <f>CR!C947</f>
        <v>L</v>
      </c>
      <c r="D2074" s="1855" t="str">
        <f>CR!D947</f>
        <v>RTGS</v>
      </c>
      <c r="E2074" s="1855" t="str">
        <f>CR!E947</f>
        <v>CB</v>
      </c>
      <c r="F2074" s="1855" t="str">
        <f>CR!F947</f>
        <v>RTT</v>
      </c>
      <c r="G2074" s="1855" t="str">
        <f>CR!G947</f>
        <v>O</v>
      </c>
      <c r="H2074" s="1855" t="str">
        <f>CR!H947</f>
        <v>C</v>
      </c>
      <c r="I2074" s="1855" t="str">
        <f>CR!C960</f>
        <v>F and V</v>
      </c>
      <c r="J2074" s="1852" t="str">
        <f>CR!D960</f>
        <v>00:00</v>
      </c>
      <c r="K2074" s="1855" t="str">
        <f>CR!E960</f>
        <v>00:00</v>
      </c>
      <c r="L2074" s="1852">
        <f>CR!F960</f>
        <v>0</v>
      </c>
      <c r="M2074" s="1928" t="str">
        <f>CR!G960</f>
        <v>00:00</v>
      </c>
      <c r="N2074" s="1870" t="str">
        <f>CR!H960</f>
        <v>00:00</v>
      </c>
    </row>
    <row r="2075" spans="2:25" s="57" customFormat="1" ht="12.5">
      <c r="B2075" s="1942" t="str">
        <f>CR!B948</f>
        <v>COV</v>
      </c>
      <c r="C2075" s="1855" t="str">
        <f>CR!C948</f>
        <v>R</v>
      </c>
      <c r="D2075" s="1855" t="str">
        <f>CR!D948</f>
        <v>MN</v>
      </c>
      <c r="E2075" s="1855" t="str">
        <f>CR!E948</f>
        <v>CB</v>
      </c>
      <c r="F2075" s="1855" t="str">
        <f>CR!F948</f>
        <v>ACH</v>
      </c>
      <c r="G2075" s="1855" t="str">
        <f>CR!G948</f>
        <v>O</v>
      </c>
      <c r="H2075" s="1855" t="str">
        <f>CR!H948</f>
        <v>C</v>
      </c>
      <c r="I2075" s="1855" t="str">
        <f>CR!C961</f>
        <v>F and V</v>
      </c>
      <c r="J2075" s="1852">
        <f>CR!D961</f>
        <v>0</v>
      </c>
      <c r="K2075" s="1855" t="str">
        <f>CR!E961</f>
        <v>11:00 (1)</v>
      </c>
      <c r="L2075" s="1852">
        <f>CR!F961</f>
        <v>0</v>
      </c>
      <c r="M2075" s="1928" t="str">
        <f>CR!G961</f>
        <v>12:00</v>
      </c>
      <c r="N2075" s="1870">
        <f>CR!H961</f>
        <v>0.46875</v>
      </c>
    </row>
    <row r="2076" spans="2:25" s="57" customFormat="1" ht="12.5">
      <c r="B2076" s="1942" t="str">
        <f>CR!B949</f>
        <v>SINPE MOVIL</v>
      </c>
      <c r="C2076" s="1855" t="str">
        <f>CR!C949</f>
        <v>R</v>
      </c>
      <c r="D2076" s="1855" t="str">
        <f>CR!D949</f>
        <v>MN</v>
      </c>
      <c r="E2076" s="1855" t="str">
        <f>CR!E949</f>
        <v>CB</v>
      </c>
      <c r="F2076" s="1855" t="str">
        <f>CR!F949</f>
        <v>RTT</v>
      </c>
      <c r="G2076" s="1855" t="str">
        <f>CR!G949</f>
        <v>O</v>
      </c>
      <c r="H2076" s="1855" t="str">
        <f>CR!H949</f>
        <v>C</v>
      </c>
      <c r="I2076" s="1855" t="str">
        <f>CR!C962</f>
        <v>F</v>
      </c>
      <c r="J2076" s="1852" t="str">
        <f>CR!D962</f>
        <v>18:00</v>
      </c>
      <c r="K2076" s="1855" t="str">
        <f>CR!E962</f>
        <v>00:00</v>
      </c>
      <c r="L2076" s="1852">
        <f>CR!F962</f>
        <v>0</v>
      </c>
      <c r="M2076" s="1928" t="str">
        <f>CR!G962</f>
        <v>00:00</v>
      </c>
      <c r="N2076" s="1870" t="str">
        <f>CR!H962</f>
        <v>00:00</v>
      </c>
    </row>
    <row r="2077" spans="2:25" s="57" customFormat="1" ht="12.5">
      <c r="B2077" s="1948"/>
      <c r="C2077" s="1851"/>
      <c r="D2077" s="1851"/>
      <c r="E2077" s="1851"/>
      <c r="F2077" s="1851"/>
      <c r="G2077" s="1851"/>
      <c r="H2077" s="1851"/>
      <c r="I2077" s="794"/>
      <c r="J2077" s="1852"/>
      <c r="K2077" s="794"/>
      <c r="L2077" s="1839"/>
      <c r="M2077" s="1934"/>
      <c r="N2077" s="1875"/>
    </row>
    <row r="2078" spans="2:25" s="57" customFormat="1">
      <c r="B2078" s="1945" t="s">
        <v>1243</v>
      </c>
      <c r="C2078" s="1851"/>
      <c r="D2078" s="1851"/>
      <c r="E2078" s="1851"/>
      <c r="F2078" s="1851"/>
      <c r="G2078" s="1851"/>
      <c r="H2078" s="1851"/>
      <c r="I2078" s="794"/>
      <c r="J2078" s="1852"/>
      <c r="K2078" s="664"/>
      <c r="L2078" s="1781"/>
      <c r="M2078" s="1930"/>
      <c r="N2078" s="1872"/>
      <c r="O2078"/>
      <c r="P2078"/>
      <c r="Q2078"/>
      <c r="R2078"/>
      <c r="S2078"/>
      <c r="T2078"/>
      <c r="U2078"/>
      <c r="V2078"/>
      <c r="W2078"/>
      <c r="X2078"/>
      <c r="Y2078"/>
    </row>
    <row r="2079" spans="2:25" s="57" customFormat="1">
      <c r="B2079" s="1942" t="str">
        <f>CW!B721</f>
        <v>NACS2/3 RTGS</v>
      </c>
      <c r="C2079" s="1855" t="str">
        <f>CW!C721</f>
        <v>CB</v>
      </c>
      <c r="D2079" s="1855" t="str">
        <f>CW!D721</f>
        <v>RTT</v>
      </c>
      <c r="E2079" s="1855" t="str">
        <f>CW!E721</f>
        <v>R</v>
      </c>
      <c r="F2079" s="1855" t="str">
        <f>CW!F721</f>
        <v>C</v>
      </c>
      <c r="G2079" s="1855">
        <f>CW!G721</f>
        <v>0</v>
      </c>
      <c r="H2079" s="1855">
        <f>CW!H721</f>
        <v>0</v>
      </c>
      <c r="I2079" s="1855">
        <f>CW!I721</f>
        <v>0</v>
      </c>
      <c r="J2079" s="1852">
        <f>CW!J721</f>
        <v>0</v>
      </c>
      <c r="K2079" s="1855" t="str">
        <f>CW!C726</f>
        <v>Real time</v>
      </c>
      <c r="L2079" s="1852">
        <f>CW!D726</f>
        <v>0.625</v>
      </c>
      <c r="M2079" s="1928">
        <f>CW!E726</f>
        <v>0.33333333333333331</v>
      </c>
      <c r="N2079" s="1870">
        <f>CW!F726</f>
        <v>0.66666666666666663</v>
      </c>
      <c r="O2079"/>
      <c r="P2079"/>
      <c r="Q2079"/>
      <c r="R2079"/>
      <c r="S2079"/>
      <c r="T2079"/>
      <c r="U2079"/>
      <c r="V2079"/>
      <c r="W2079"/>
      <c r="X2079"/>
      <c r="Y2079"/>
    </row>
    <row r="2080" spans="2:25" s="57" customFormat="1">
      <c r="B2080" s="1942" t="str">
        <f>CW!B722</f>
        <v>NACS2/3 ACH</v>
      </c>
      <c r="C2080" s="1855" t="str">
        <f>CW!C722</f>
        <v>CB</v>
      </c>
      <c r="D2080" s="1855" t="str">
        <f>CW!D722</f>
        <v>RTT</v>
      </c>
      <c r="E2080" s="1855" t="str">
        <f>CW!E722</f>
        <v>R</v>
      </c>
      <c r="F2080" s="1855" t="str">
        <f>CW!F722</f>
        <v>C</v>
      </c>
      <c r="G2080" s="1855">
        <f>CW!G722</f>
        <v>0</v>
      </c>
      <c r="H2080" s="1855">
        <f>CW!H722</f>
        <v>0</v>
      </c>
      <c r="I2080" s="1855">
        <f>CW!I722</f>
        <v>0</v>
      </c>
      <c r="J2080" s="1852">
        <f>CW!J722</f>
        <v>0</v>
      </c>
      <c r="K2080" s="1855" t="str">
        <f>CW!C727</f>
        <v>Real time</v>
      </c>
      <c r="L2080" s="1852">
        <f>CW!D727</f>
        <v>0.625</v>
      </c>
      <c r="M2080" s="1928">
        <f>CW!E727</f>
        <v>0.33333333333333331</v>
      </c>
      <c r="N2080" s="1870">
        <f>CW!F727</f>
        <v>0.66666666666666663</v>
      </c>
      <c r="O2080"/>
      <c r="P2080"/>
      <c r="Q2080"/>
      <c r="R2080"/>
      <c r="S2080"/>
      <c r="T2080"/>
      <c r="U2080"/>
      <c r="V2080"/>
      <c r="W2080"/>
      <c r="X2080"/>
      <c r="Y2080"/>
    </row>
    <row r="2081" spans="2:28" s="57" customFormat="1">
      <c r="B2081" s="1949"/>
      <c r="C2081" s="795"/>
      <c r="D2081" s="795"/>
      <c r="E2081" s="795"/>
      <c r="F2081" s="795"/>
      <c r="G2081" s="795"/>
      <c r="H2081" s="795"/>
      <c r="I2081" s="795"/>
      <c r="J2081" s="1781"/>
      <c r="K2081" s="657"/>
      <c r="L2081" s="1780"/>
      <c r="M2081" s="1930"/>
      <c r="N2081" s="1872"/>
      <c r="O2081"/>
      <c r="P2081"/>
      <c r="Q2081"/>
      <c r="R2081"/>
      <c r="S2081"/>
      <c r="T2081"/>
      <c r="U2081"/>
      <c r="V2081"/>
      <c r="W2081"/>
      <c r="X2081"/>
      <c r="Y2081"/>
      <c r="Z2081"/>
      <c r="AA2081"/>
      <c r="AB2081"/>
    </row>
    <row r="2082" spans="2:28" s="57" customFormat="1">
      <c r="B2082" s="1945" t="s">
        <v>1047</v>
      </c>
      <c r="C2082" s="795"/>
      <c r="D2082" s="795"/>
      <c r="E2082" s="795"/>
      <c r="F2082" s="795"/>
      <c r="G2082" s="795"/>
      <c r="H2082" s="795"/>
      <c r="I2082" s="795"/>
      <c r="J2082" s="1781"/>
      <c r="K2082" s="657"/>
      <c r="L2082" s="1780"/>
      <c r="M2082" s="1930"/>
      <c r="N2082" s="1872"/>
      <c r="O2082"/>
    </row>
    <row r="2083" spans="2:28" s="57" customFormat="1" ht="49.5" customHeight="1">
      <c r="B2083" s="1942" t="str">
        <f>EC!B757</f>
        <v>Sistema SPI</v>
      </c>
      <c r="C2083" s="1855" t="str">
        <f>EC!C757</f>
        <v xml:space="preserve"> L+R</v>
      </c>
      <c r="D2083" s="1855" t="str">
        <f>EC!D757</f>
        <v>BN</v>
      </c>
      <c r="E2083" s="1855" t="str">
        <f>EC!E757</f>
        <v>CB</v>
      </c>
      <c r="F2083" s="1855" t="str">
        <f>EC!F757</f>
        <v>ACH</v>
      </c>
      <c r="G2083" s="1855" t="str">
        <f>EC!G757</f>
        <v>O</v>
      </c>
      <c r="H2083" s="1855" t="str">
        <f>EC!H757</f>
        <v>C</v>
      </c>
      <c r="I2083" s="1855" t="str">
        <f>EC!C768</f>
        <v>F</v>
      </c>
      <c r="J2083" s="1852" t="str">
        <f>EC!D768</f>
        <v>CORTE 1: 11:00
CORTE 2: 15:00</v>
      </c>
      <c r="K2083" s="1855" t="str">
        <f>EC!E768</f>
        <v>INTRADAY</v>
      </c>
      <c r="L2083" s="1852" t="str">
        <f>EC!F768</f>
        <v>CORTE 1: 11:00
CORTE 2: 15:00</v>
      </c>
      <c r="M2083" s="1928" t="str">
        <f>EC!G768</f>
        <v>CORTE 1: 09:00
CORTE 2: 13:00
CORTE 3: 16:30</v>
      </c>
      <c r="N2083" s="1870" t="str">
        <f>EC!H768</f>
        <v>CORTE 1: 11:00
CORTE 2: 15:00
CORTE 3: 08:00 T+1</v>
      </c>
      <c r="O2083"/>
    </row>
    <row r="2084" spans="2:28" s="57" customFormat="1">
      <c r="B2084" s="1942" t="str">
        <f>EC!B758</f>
        <v>Sistema SCI</v>
      </c>
      <c r="C2084" s="1855" t="str">
        <f>EC!C758</f>
        <v xml:space="preserve"> L+R</v>
      </c>
      <c r="D2084" s="1855" t="str">
        <f>EC!D758</f>
        <v>BN</v>
      </c>
      <c r="E2084" s="1855" t="str">
        <f>EC!E758</f>
        <v>CB</v>
      </c>
      <c r="F2084" s="1855" t="str">
        <f>EC!F758</f>
        <v>ACH</v>
      </c>
      <c r="G2084" s="1855" t="str">
        <f>EC!G758</f>
        <v>O</v>
      </c>
      <c r="H2084" s="1855" t="str">
        <f>EC!H758</f>
        <v>C</v>
      </c>
      <c r="I2084" s="1855" t="str">
        <f>EC!C769</f>
        <v>F</v>
      </c>
      <c r="J2084" s="1852">
        <f>EC!D769</f>
        <v>0.66666666666666663</v>
      </c>
      <c r="K2084" s="1855" t="str">
        <f>EC!E769</f>
        <v>INTRADAY</v>
      </c>
      <c r="L2084" s="1852">
        <f>EC!F769</f>
        <v>0.66666666666666663</v>
      </c>
      <c r="M2084" s="1928">
        <f>EC!G769</f>
        <v>0.5</v>
      </c>
      <c r="N2084" s="1870">
        <f>EC!H769</f>
        <v>0.66666666666666663</v>
      </c>
      <c r="O2084"/>
    </row>
    <row r="2085" spans="2:28" s="57" customFormat="1">
      <c r="B2085" s="1942" t="str">
        <f>EC!B759</f>
        <v>Sistema CCC</v>
      </c>
      <c r="C2085" s="1855" t="str">
        <f>EC!C759</f>
        <v xml:space="preserve"> L+R</v>
      </c>
      <c r="D2085" s="1855" t="str">
        <f>EC!D759</f>
        <v>BN</v>
      </c>
      <c r="E2085" s="1855" t="str">
        <f>EC!E759</f>
        <v>CB</v>
      </c>
      <c r="F2085" s="1855" t="str">
        <f>EC!F759</f>
        <v>ACH</v>
      </c>
      <c r="G2085" s="1855" t="str">
        <f>EC!G759</f>
        <v>O</v>
      </c>
      <c r="H2085" s="1855" t="str">
        <f>EC!H759</f>
        <v>C</v>
      </c>
      <c r="I2085" s="1855">
        <f>EC!C770</f>
        <v>0</v>
      </c>
      <c r="J2085" s="1852">
        <f>EC!D770</f>
        <v>0.5</v>
      </c>
      <c r="K2085" s="1855" t="str">
        <f>EC!E770</f>
        <v>INTRADAY</v>
      </c>
      <c r="L2085" s="1852">
        <f>EC!F770</f>
        <v>0.5</v>
      </c>
      <c r="M2085" s="1928">
        <f>EC!G770</f>
        <v>0.79166666666666663</v>
      </c>
      <c r="N2085" s="1870">
        <f>EC!H770</f>
        <v>0.5</v>
      </c>
      <c r="O2085"/>
    </row>
    <row r="2086" spans="2:28" s="57" customFormat="1">
      <c r="B2086" s="1942" t="str">
        <f>EC!B760</f>
        <v>Sistema A (ALADI)</v>
      </c>
      <c r="C2086" s="1855" t="str">
        <f>EC!C760</f>
        <v>R</v>
      </c>
      <c r="D2086" s="1855" t="str">
        <f>EC!D760</f>
        <v>MN</v>
      </c>
      <c r="E2086" s="1855" t="str">
        <f>EC!E760</f>
        <v>PA</v>
      </c>
      <c r="F2086" s="1855" t="str">
        <f>EC!F760</f>
        <v>M</v>
      </c>
      <c r="G2086" s="1855" t="str">
        <f>EC!G760</f>
        <v>O</v>
      </c>
      <c r="H2086" s="1855" t="str">
        <f>EC!H760</f>
        <v>C</v>
      </c>
      <c r="I2086" s="1855" t="str">
        <f>EC!C771</f>
        <v>F</v>
      </c>
      <c r="J2086" s="1852" t="str">
        <f>EC!D771</f>
        <v>NAP</v>
      </c>
      <c r="K2086" s="1855" t="str">
        <f>EC!E771</f>
        <v>NAV</v>
      </c>
      <c r="L2086" s="1852" t="str">
        <f>EC!F771</f>
        <v>HORA LOCAL</v>
      </c>
      <c r="M2086" s="1928" t="str">
        <f>EC!G771</f>
        <v>NAV</v>
      </c>
      <c r="N2086" s="1870" t="str">
        <f>EC!H771</f>
        <v>NAV</v>
      </c>
      <c r="O2086"/>
    </row>
    <row r="2087" spans="2:28" s="57" customFormat="1">
      <c r="B2087" s="1942" t="str">
        <f>EC!B761</f>
        <v>Sistema B (SUCRE)</v>
      </c>
      <c r="C2087" s="1855" t="str">
        <f>EC!C761</f>
        <v>R</v>
      </c>
      <c r="D2087" s="1855" t="str">
        <f>EC!D761</f>
        <v>MN</v>
      </c>
      <c r="E2087" s="1855" t="str">
        <f>EC!E761</f>
        <v>PA</v>
      </c>
      <c r="F2087" s="1855" t="str">
        <f>EC!F761</f>
        <v>M</v>
      </c>
      <c r="G2087" s="1855" t="str">
        <f>EC!G761</f>
        <v>A</v>
      </c>
      <c r="H2087" s="1855" t="str">
        <f>EC!H761</f>
        <v>C</v>
      </c>
      <c r="I2087" s="1855" t="str">
        <f>EC!C772</f>
        <v>F</v>
      </c>
      <c r="J2087" s="1852" t="str">
        <f>EC!D772</f>
        <v>NAP</v>
      </c>
      <c r="K2087" s="1855" t="str">
        <f>EC!E772</f>
        <v>NAV</v>
      </c>
      <c r="L2087" s="1852" t="str">
        <f>EC!F772</f>
        <v>HORA LOCAL</v>
      </c>
      <c r="M2087" s="1928" t="str">
        <f>EC!G772</f>
        <v>NAV</v>
      </c>
      <c r="N2087" s="1870" t="str">
        <f>EC!H772</f>
        <v>NAV</v>
      </c>
      <c r="O2087"/>
    </row>
    <row r="2088" spans="2:28" s="57" customFormat="1" ht="12.5">
      <c r="B2088" s="1949"/>
      <c r="C2088" s="795"/>
      <c r="D2088" s="795"/>
      <c r="E2088" s="795"/>
      <c r="F2088" s="795"/>
      <c r="G2088" s="795"/>
      <c r="H2088" s="795"/>
      <c r="I2088" s="795"/>
      <c r="J2088" s="1781"/>
      <c r="K2088" s="657"/>
      <c r="L2088" s="1780"/>
      <c r="M2088" s="1930"/>
      <c r="N2088" s="1872"/>
    </row>
    <row r="2089" spans="2:28" s="57" customFormat="1" ht="13">
      <c r="B2089" s="1945" t="s">
        <v>1048</v>
      </c>
      <c r="C2089" s="657"/>
      <c r="D2089" s="657"/>
      <c r="E2089" s="657"/>
      <c r="F2089" s="657"/>
      <c r="G2089" s="657"/>
      <c r="H2089" s="657"/>
      <c r="I2089" s="657"/>
      <c r="J2089" s="1780"/>
      <c r="K2089" s="1830"/>
      <c r="L2089" s="1919"/>
      <c r="M2089" s="1931"/>
      <c r="N2089" s="1925"/>
    </row>
    <row r="2090" spans="2:28" s="57" customFormat="1" ht="12.5">
      <c r="B2090" s="1942" t="str">
        <f>SV!B722</f>
        <v>RTGS</v>
      </c>
      <c r="C2090" s="1855">
        <f>SV!C722</f>
        <v>0</v>
      </c>
      <c r="D2090" s="1855">
        <f>SV!D722</f>
        <v>0</v>
      </c>
      <c r="E2090" s="1855">
        <f>SV!E722</f>
        <v>0</v>
      </c>
      <c r="F2090" s="1855">
        <f>SV!F722</f>
        <v>0</v>
      </c>
      <c r="G2090" s="1855">
        <f>SV!G722</f>
        <v>0</v>
      </c>
      <c r="H2090" s="1855">
        <f>SV!H722</f>
        <v>0</v>
      </c>
      <c r="I2090" s="1855">
        <f>SV!I726</f>
        <v>0</v>
      </c>
      <c r="J2090" s="1852">
        <f>SV!J726</f>
        <v>0</v>
      </c>
      <c r="K2090" s="1855">
        <f>SV!K726</f>
        <v>0</v>
      </c>
      <c r="L2090" s="1852">
        <f>SV!L726</f>
        <v>0</v>
      </c>
      <c r="M2090" s="1928">
        <f>SV!M726</f>
        <v>0</v>
      </c>
      <c r="N2090" s="1870">
        <f>SV!N726</f>
        <v>0</v>
      </c>
    </row>
    <row r="2091" spans="2:28" s="57" customFormat="1">
      <c r="B2091" s="1947"/>
      <c r="C2091" s="657"/>
      <c r="D2091" s="657"/>
      <c r="E2091" s="657"/>
      <c r="F2091" s="657"/>
      <c r="G2091" s="657"/>
      <c r="H2091" s="657"/>
      <c r="I2091" s="657"/>
      <c r="J2091" s="1780"/>
      <c r="K2091" s="795"/>
      <c r="L2091" s="1780"/>
      <c r="M2091" s="1929"/>
      <c r="N2091" s="1871"/>
      <c r="O2091"/>
    </row>
    <row r="2092" spans="2:28" s="57" customFormat="1">
      <c r="B2092" s="1945" t="s">
        <v>1049</v>
      </c>
      <c r="C2092" s="795"/>
      <c r="D2092" s="795"/>
      <c r="E2092" s="795"/>
      <c r="F2092" s="795"/>
      <c r="G2092" s="795"/>
      <c r="H2092" s="795"/>
      <c r="I2092" s="795"/>
      <c r="J2092" s="1780"/>
      <c r="K2092" s="1830"/>
      <c r="L2092" s="1919"/>
      <c r="M2092" s="1931"/>
      <c r="N2092" s="1925"/>
      <c r="O2092"/>
    </row>
    <row r="2093" spans="2:28" s="57" customFormat="1">
      <c r="B2093" s="1942" t="str">
        <f>GT!B983</f>
        <v>RTGS</v>
      </c>
      <c r="C2093" s="1855" t="str">
        <f>GT!C983</f>
        <v>L</v>
      </c>
      <c r="D2093" s="1855" t="str">
        <f>GT!D983</f>
        <v>RTGS</v>
      </c>
      <c r="E2093" s="1855" t="str">
        <f>GT!E983</f>
        <v>CB</v>
      </c>
      <c r="F2093" s="1855" t="str">
        <f>GT!F983</f>
        <v>RTT</v>
      </c>
      <c r="G2093" s="1855" t="str">
        <f>GT!G983</f>
        <v>R</v>
      </c>
      <c r="H2093" s="1855" t="str">
        <f>GT!H983</f>
        <v>C</v>
      </c>
      <c r="I2093" s="1855" t="str">
        <f>GT!C989</f>
        <v>V</v>
      </c>
      <c r="J2093" s="1852">
        <f>GT!D989</f>
        <v>0.75</v>
      </c>
      <c r="K2093" s="1855" t="str">
        <f>GT!E989</f>
        <v>REAL TIME</v>
      </c>
      <c r="L2093" s="1852">
        <f>GT!F989</f>
        <v>0.72916666666666663</v>
      </c>
      <c r="M2093" s="1928">
        <f>GT!G989</f>
        <v>0.29166666666666669</v>
      </c>
      <c r="N2093" s="1870">
        <f>GT!H989</f>
        <v>0.75</v>
      </c>
      <c r="O2093"/>
    </row>
    <row r="2094" spans="2:28" s="57" customFormat="1">
      <c r="B2094" s="1942" t="str">
        <f>GT!B984</f>
        <v>CCB</v>
      </c>
      <c r="C2094" s="1855" t="str">
        <f>GT!C984</f>
        <v>L+R</v>
      </c>
      <c r="D2094" s="1855" t="str">
        <f>GT!D984</f>
        <v>MN</v>
      </c>
      <c r="E2094" s="1855" t="str">
        <f>GT!E984</f>
        <v>PA</v>
      </c>
      <c r="F2094" s="1855" t="str">
        <f>GT!F984</f>
        <v>ACH</v>
      </c>
      <c r="G2094" s="1855" t="str">
        <f>GT!G984</f>
        <v>R</v>
      </c>
      <c r="H2094" s="1855" t="str">
        <f>GT!H984</f>
        <v>C</v>
      </c>
      <c r="I2094" s="1855" t="str">
        <f>GT!C990</f>
        <v>V</v>
      </c>
      <c r="J2094" s="1852">
        <f>GT!D990</f>
        <v>0</v>
      </c>
      <c r="K2094" s="1855" t="str">
        <f>GT!E990</f>
        <v>INTRADAY</v>
      </c>
      <c r="L2094" s="1852" t="str">
        <f>GT!F990</f>
        <v>no</v>
      </c>
      <c r="M2094" s="1928">
        <f>GT!G990</f>
        <v>0.75</v>
      </c>
      <c r="N2094" s="1870">
        <f>GT!H990</f>
        <v>0.25</v>
      </c>
      <c r="O2094"/>
    </row>
    <row r="2095" spans="2:28" s="57" customFormat="1">
      <c r="B2095" s="1942" t="str">
        <f>GT!B985</f>
        <v>CCA</v>
      </c>
      <c r="C2095" s="1855" t="str">
        <f>GT!C985</f>
        <v>L+R</v>
      </c>
      <c r="D2095" s="1855" t="str">
        <f>GT!D985</f>
        <v>MN</v>
      </c>
      <c r="E2095" s="1855" t="str">
        <f>GT!E985</f>
        <v>PA</v>
      </c>
      <c r="F2095" s="1855" t="str">
        <f>GT!F985</f>
        <v>ACH</v>
      </c>
      <c r="G2095" s="1855" t="str">
        <f>GT!G985</f>
        <v>R</v>
      </c>
      <c r="H2095" s="1855" t="str">
        <f>GT!H985</f>
        <v>C</v>
      </c>
      <c r="I2095" s="1855" t="str">
        <f>GT!C991</f>
        <v>T</v>
      </c>
      <c r="J2095" s="1852">
        <f>GT!D991</f>
        <v>0.875</v>
      </c>
      <c r="K2095" s="1855" t="str">
        <f>GT!E991</f>
        <v>INTRADAY</v>
      </c>
      <c r="L2095" s="1852" t="str">
        <f>GT!F991</f>
        <v>no</v>
      </c>
      <c r="M2095" s="1928">
        <f>GT!G991</f>
        <v>0.29166666666666669</v>
      </c>
      <c r="N2095" s="1870">
        <f>GT!H991</f>
        <v>0.875</v>
      </c>
      <c r="O2095"/>
    </row>
    <row r="2096" spans="2:28" s="57" customFormat="1">
      <c r="B2096" s="1950"/>
      <c r="C2096" s="795"/>
      <c r="D2096" s="795"/>
      <c r="E2096" s="795"/>
      <c r="F2096" s="795"/>
      <c r="G2096" s="795"/>
      <c r="H2096" s="795"/>
      <c r="I2096" s="795"/>
      <c r="J2096" s="1780"/>
      <c r="K2096" s="1853"/>
      <c r="L2096" s="1780"/>
      <c r="M2096" s="1929"/>
      <c r="N2096" s="1871"/>
      <c r="O2096"/>
    </row>
    <row r="2097" spans="2:27" s="57" customFormat="1">
      <c r="B2097" s="1945" t="s">
        <v>1050</v>
      </c>
      <c r="C2097" s="795"/>
      <c r="D2097" s="795"/>
      <c r="E2097" s="795"/>
      <c r="F2097" s="795"/>
      <c r="G2097" s="795"/>
      <c r="H2097" s="795"/>
      <c r="I2097" s="795"/>
      <c r="J2097" s="1852"/>
      <c r="K2097" s="1830"/>
      <c r="L2097" s="1919"/>
      <c r="M2097" s="1931"/>
      <c r="N2097" s="1925"/>
      <c r="O2097"/>
    </row>
    <row r="2098" spans="2:27" s="57" customFormat="1" ht="24">
      <c r="B2098" s="1946" t="str">
        <f>HN!B850</f>
        <v>System A: Sistema Banco Central de Honduras en Tiempo Real (BCH-TR)</v>
      </c>
      <c r="C2098" s="1855" t="str">
        <f>HN!C850</f>
        <v>L</v>
      </c>
      <c r="D2098" s="1855" t="str">
        <f>HN!D850</f>
        <v>RGTS</v>
      </c>
      <c r="E2098" s="1855" t="str">
        <f>HN!E850</f>
        <v>CB</v>
      </c>
      <c r="F2098" s="1855" t="str">
        <f>HN!F850</f>
        <v>RTT</v>
      </c>
      <c r="G2098" s="1855" t="str">
        <f>HN!G850</f>
        <v>R</v>
      </c>
      <c r="H2098" s="1855" t="str">
        <f>HN!H850</f>
        <v>C</v>
      </c>
      <c r="I2098" s="1855" t="str">
        <f>HN!C857</f>
        <v>S</v>
      </c>
      <c r="J2098" s="1852" t="str">
        <f>HN!D857</f>
        <v>19:00 Hours</v>
      </c>
      <c r="K2098" s="1855" t="str">
        <f>HN!E857</f>
        <v>Real time</v>
      </c>
      <c r="L2098" s="1852" t="str">
        <f>HN!F857</f>
        <v>17:00 Hours</v>
      </c>
      <c r="M2098" s="1928" t="str">
        <f>HN!G857</f>
        <v>8:30 Hours</v>
      </c>
      <c r="N2098" s="1870" t="str">
        <f>HN!H857</f>
        <v>17:00 Hours</v>
      </c>
      <c r="O2098"/>
    </row>
    <row r="2099" spans="2:27" s="57" customFormat="1" ht="24">
      <c r="B2099" s="1946" t="str">
        <f>HN!B851</f>
        <v>System B: Cámara de Compensación Electrónica de Cheques (CCECh)</v>
      </c>
      <c r="C2099" s="1855" t="str">
        <f>HN!C851</f>
        <v>L+R</v>
      </c>
      <c r="D2099" s="1855" t="str">
        <f>HN!D851</f>
        <v>NM</v>
      </c>
      <c r="E2099" s="1855" t="str">
        <f>HN!E851</f>
        <v>PA</v>
      </c>
      <c r="F2099" s="1855" t="str">
        <f>HN!F851</f>
        <v>ACH</v>
      </c>
      <c r="G2099" s="1855" t="str">
        <f>HN!G851</f>
        <v>O</v>
      </c>
      <c r="H2099" s="1855" t="str">
        <f>HN!H851</f>
        <v>C</v>
      </c>
      <c r="I2099" s="1855" t="str">
        <f>HN!C858</f>
        <v>F/V</v>
      </c>
      <c r="J2099" s="1852" t="str">
        <f>HN!D858</f>
        <v>18:00 Hours</v>
      </c>
      <c r="K2099" s="1855" t="str">
        <f>HN!E858</f>
        <v>Intraday</v>
      </c>
      <c r="L2099" s="1852" t="str">
        <f>HN!F858</f>
        <v>18:00 Hours</v>
      </c>
      <c r="M2099" s="1928" t="str">
        <f>HN!G858</f>
        <v>9:00 Hours</v>
      </c>
      <c r="N2099" s="1870" t="str">
        <f>HN!H858</f>
        <v>17:30 Hours</v>
      </c>
      <c r="O2099"/>
    </row>
    <row r="2100" spans="2:27" s="57" customFormat="1" ht="35.5">
      <c r="B2100" s="1946" t="str">
        <f>HN!B852</f>
        <v>System C: Cámara de Compensación de Transacciones Elctrónicas de Pago (ACH-Pronto)</v>
      </c>
      <c r="C2100" s="1855" t="str">
        <f>HN!C852</f>
        <v>R</v>
      </c>
      <c r="D2100" s="1855" t="str">
        <f>HN!D852</f>
        <v>NM</v>
      </c>
      <c r="E2100" s="1855" t="str">
        <f>HN!E852</f>
        <v>PA</v>
      </c>
      <c r="F2100" s="1855" t="str">
        <f>HN!F852</f>
        <v>ACH</v>
      </c>
      <c r="G2100" s="1855" t="str">
        <f>HN!G852</f>
        <v>O</v>
      </c>
      <c r="H2100" s="1855" t="str">
        <f>HN!H852</f>
        <v>C</v>
      </c>
      <c r="I2100" s="1855" t="str">
        <f>HN!C859</f>
        <v>F/V</v>
      </c>
      <c r="J2100" s="1852" t="str">
        <f>HN!D859</f>
        <v>22:00 Hours</v>
      </c>
      <c r="K2100" s="1855" t="str">
        <f>HN!E859</f>
        <v>Intraday</v>
      </c>
      <c r="L2100" s="1852" t="str">
        <f>HN!F859</f>
        <v>22:00 Hours</v>
      </c>
      <c r="M2100" s="1928" t="str">
        <f>HN!G859</f>
        <v>5:00 Hours</v>
      </c>
      <c r="N2100" s="1870" t="str">
        <f>HN!H859</f>
        <v>22:00 Hours</v>
      </c>
      <c r="O2100"/>
    </row>
    <row r="2101" spans="2:27" s="57" customFormat="1">
      <c r="B2101" s="1951"/>
      <c r="C2101" s="665"/>
      <c r="D2101" s="665"/>
      <c r="E2101" s="665"/>
      <c r="F2101" s="665"/>
      <c r="G2101" s="665"/>
      <c r="H2101" s="665"/>
      <c r="I2101" s="665"/>
      <c r="J2101" s="1852"/>
      <c r="K2101" s="655"/>
      <c r="L2101" s="1781"/>
      <c r="M2101" s="1930"/>
      <c r="N2101" s="1872"/>
      <c r="O2101"/>
    </row>
    <row r="2102" spans="2:27" s="57" customFormat="1">
      <c r="B2102" s="1952" t="s">
        <v>1051</v>
      </c>
      <c r="C2102" s="795"/>
      <c r="D2102" s="795"/>
      <c r="E2102" s="795"/>
      <c r="F2102" s="795"/>
      <c r="G2102" s="795"/>
      <c r="H2102" s="795"/>
      <c r="I2102" s="795"/>
      <c r="J2102" s="1852"/>
      <c r="K2102" s="795"/>
      <c r="L2102" s="1839"/>
      <c r="M2102" s="1929"/>
      <c r="N2102" s="1871"/>
      <c r="O2102"/>
    </row>
    <row r="2103" spans="2:27" s="57" customFormat="1">
      <c r="B2103" s="1942" t="str">
        <f>JM!B986</f>
        <v>JamClear-RTGS</v>
      </c>
      <c r="C2103" s="1855" t="str">
        <f>JM!C986</f>
        <v>L, R</v>
      </c>
      <c r="D2103" s="1855" t="str">
        <f>JM!D986</f>
        <v>RTGS</v>
      </c>
      <c r="E2103" s="1855" t="str">
        <f>JM!E986</f>
        <v>CB</v>
      </c>
      <c r="F2103" s="1855" t="str">
        <f>JM!F986</f>
        <v>RTT</v>
      </c>
      <c r="G2103" s="1855" t="str">
        <f>JM!G986</f>
        <v>R</v>
      </c>
      <c r="H2103" s="1855" t="str">
        <f>JM!H986</f>
        <v>C</v>
      </c>
      <c r="I2103" s="1855" t="str">
        <f>JM!C993</f>
        <v>V</v>
      </c>
      <c r="J2103" s="1852" t="str">
        <f>JM!D993</f>
        <v>15:30</v>
      </c>
      <c r="K2103" s="1855" t="str">
        <f>JM!E993</f>
        <v>REAL TIME</v>
      </c>
      <c r="L2103" s="1852">
        <f>JM!F993</f>
        <v>0.61805555555555558</v>
      </c>
      <c r="M2103" s="1928">
        <f>JM!G993</f>
        <v>0.3125</v>
      </c>
      <c r="N2103" s="1870">
        <f>JM!H993</f>
        <v>0.64583333333333337</v>
      </c>
      <c r="O2103"/>
    </row>
    <row r="2104" spans="2:27" s="57" customFormat="1">
      <c r="B2104" s="1942" t="str">
        <f>JM!B987</f>
        <v xml:space="preserve">Automated Clearing House </v>
      </c>
      <c r="C2104" s="1855" t="str">
        <f>JM!C987</f>
        <v>R</v>
      </c>
      <c r="D2104" s="1855" t="str">
        <f>JM!D987</f>
        <v>MN</v>
      </c>
      <c r="E2104" s="1855" t="str">
        <f>JM!E987</f>
        <v>B</v>
      </c>
      <c r="F2104" s="1855" t="str">
        <f>JM!F987</f>
        <v>ACH</v>
      </c>
      <c r="G2104" s="1855" t="str">
        <f>JM!G987</f>
        <v>R</v>
      </c>
      <c r="H2104" s="1855" t="str">
        <f>JM!H987</f>
        <v>C</v>
      </c>
      <c r="I2104" s="1855" t="str">
        <f>JM!C994</f>
        <v>V</v>
      </c>
      <c r="J2104" s="1852" t="str">
        <f>JM!D994</f>
        <v>13:00</v>
      </c>
      <c r="K2104" s="1855" t="str">
        <f>JM!E994</f>
        <v>INTRADAY</v>
      </c>
      <c r="L2104" s="1852">
        <f>JM!F994</f>
        <v>0</v>
      </c>
      <c r="M2104" s="1928">
        <f>JM!G994</f>
        <v>0</v>
      </c>
      <c r="N2104" s="1870">
        <f>JM!H994</f>
        <v>0</v>
      </c>
      <c r="O2104"/>
    </row>
    <row r="2105" spans="2:27" s="57" customFormat="1">
      <c r="B2105" s="1942" t="str">
        <f>JM!B988</f>
        <v>Multilink</v>
      </c>
      <c r="C2105" s="1855" t="str">
        <f>JM!C988</f>
        <v>R</v>
      </c>
      <c r="D2105" s="1855" t="str">
        <f>JM!D988</f>
        <v>MN</v>
      </c>
      <c r="E2105" s="1855" t="str">
        <f>JM!E988</f>
        <v>B</v>
      </c>
      <c r="F2105" s="1855" t="str">
        <f>JM!F988</f>
        <v>ACH</v>
      </c>
      <c r="G2105" s="1855" t="str">
        <f>JM!G988</f>
        <v>R</v>
      </c>
      <c r="H2105" s="1855" t="str">
        <f>JM!H988</f>
        <v>C</v>
      </c>
      <c r="I2105" s="1855" t="str">
        <f>JM!C995</f>
        <v>V</v>
      </c>
      <c r="J2105" s="1852" t="str">
        <f>JM!D995</f>
        <v>00:00</v>
      </c>
      <c r="K2105" s="1855" t="str">
        <f>JM!E995</f>
        <v>INTRADAY</v>
      </c>
      <c r="L2105" s="1852">
        <f>JM!F995</f>
        <v>0</v>
      </c>
      <c r="M2105" s="1928">
        <f>JM!G995</f>
        <v>0</v>
      </c>
      <c r="N2105" s="1870">
        <f>JM!H995</f>
        <v>0</v>
      </c>
      <c r="O2105"/>
    </row>
    <row r="2106" spans="2:27" s="57" customFormat="1">
      <c r="B2106" s="1942"/>
      <c r="C2106" s="1855"/>
      <c r="D2106" s="1855"/>
      <c r="E2106" s="1855"/>
      <c r="F2106" s="1855"/>
      <c r="G2106" s="1855"/>
      <c r="H2106" s="1855"/>
      <c r="I2106" s="1855"/>
      <c r="J2106" s="1852"/>
      <c r="K2106" s="1855"/>
      <c r="L2106" s="1852"/>
      <c r="M2106" s="1928"/>
      <c r="N2106" s="1870"/>
      <c r="O2106"/>
      <c r="P2106"/>
      <c r="Q2106"/>
      <c r="R2106"/>
      <c r="S2106"/>
      <c r="T2106"/>
      <c r="U2106"/>
      <c r="V2106"/>
      <c r="W2106"/>
      <c r="X2106"/>
      <c r="Y2106"/>
      <c r="Z2106"/>
      <c r="AA2106"/>
    </row>
    <row r="2107" spans="2:27" s="57" customFormat="1">
      <c r="B2107" s="1945" t="s">
        <v>1052</v>
      </c>
      <c r="C2107" s="795"/>
      <c r="D2107" s="795"/>
      <c r="E2107" s="795"/>
      <c r="F2107" s="795"/>
      <c r="G2107" s="795"/>
      <c r="H2107" s="795"/>
      <c r="I2107" s="795"/>
      <c r="J2107" s="1780"/>
      <c r="K2107" s="666"/>
      <c r="L2107" s="1780"/>
      <c r="M2107" s="1932"/>
      <c r="N2107" s="1873"/>
      <c r="O2107"/>
      <c r="P2107"/>
      <c r="Q2107"/>
      <c r="R2107"/>
      <c r="S2107"/>
      <c r="T2107"/>
      <c r="U2107"/>
      <c r="V2107"/>
      <c r="W2107"/>
      <c r="X2107"/>
      <c r="Y2107"/>
      <c r="Z2107"/>
      <c r="AA2107"/>
    </row>
    <row r="2108" spans="2:27" s="57" customFormat="1">
      <c r="B2108" s="1942" t="str">
        <f>RD!B838</f>
        <v>RTGS-DR</v>
      </c>
      <c r="C2108" s="1855" t="str">
        <f>RD!C838</f>
        <v>L, R</v>
      </c>
      <c r="D2108" s="1855" t="str">
        <f>RD!D838</f>
        <v>RTGS</v>
      </c>
      <c r="E2108" s="1855" t="str">
        <f>RD!E838</f>
        <v>CB</v>
      </c>
      <c r="F2108" s="1855" t="str">
        <f>RD!F838</f>
        <v>RTT</v>
      </c>
      <c r="G2108" s="1855" t="str">
        <f>RD!G838</f>
        <v>O</v>
      </c>
      <c r="H2108" s="1855" t="str">
        <f>RD!H838</f>
        <v>C</v>
      </c>
      <c r="I2108" s="1855">
        <f>RD!C852</f>
        <v>0</v>
      </c>
      <c r="J2108" s="1852">
        <f>RD!D852</f>
        <v>0.70833333333333337</v>
      </c>
      <c r="K2108" s="1855" t="str">
        <f>RD!E852</f>
        <v>RTGS</v>
      </c>
      <c r="L2108" s="1852">
        <f>RD!F852</f>
        <v>0.70833333333333337</v>
      </c>
      <c r="M2108" s="1928">
        <f>RD!G852</f>
        <v>0.375</v>
      </c>
      <c r="N2108" s="1870">
        <f>RD!H852</f>
        <v>0.70833333333333337</v>
      </c>
      <c r="O2108"/>
      <c r="P2108"/>
      <c r="Q2108"/>
      <c r="R2108"/>
      <c r="S2108"/>
      <c r="T2108"/>
      <c r="U2108"/>
      <c r="V2108"/>
      <c r="W2108"/>
      <c r="X2108"/>
      <c r="Y2108"/>
      <c r="Z2108"/>
      <c r="AA2108"/>
    </row>
    <row r="2109" spans="2:27" s="57" customFormat="1" ht="24">
      <c r="B2109" s="1942" t="str">
        <f>RD!B839</f>
        <v>Cheque Clearinghouse-DR</v>
      </c>
      <c r="C2109" s="1855" t="str">
        <f>RD!C839</f>
        <v>R</v>
      </c>
      <c r="D2109" s="1855" t="str">
        <f>RD!D839</f>
        <v>MN</v>
      </c>
      <c r="E2109" s="1855" t="str">
        <f>RD!E839</f>
        <v>CB</v>
      </c>
      <c r="F2109" s="1855" t="str">
        <f>RD!F839</f>
        <v>ACH</v>
      </c>
      <c r="G2109" s="1855" t="str">
        <f>RD!G839</f>
        <v>R</v>
      </c>
      <c r="H2109" s="1855" t="str">
        <f>RD!H839</f>
        <v>C</v>
      </c>
      <c r="I2109" s="1855">
        <f>RD!C853</f>
        <v>0</v>
      </c>
      <c r="J2109" s="1852">
        <f>RD!D853</f>
        <v>0.34375</v>
      </c>
      <c r="K2109" s="1855" t="str">
        <f>RD!E853</f>
        <v>INTRADAY</v>
      </c>
      <c r="L2109" s="1852" t="str">
        <f>RD!F853</f>
        <v>17:00 (DAY BEFORE)</v>
      </c>
      <c r="M2109" s="1928" t="str">
        <f>RD!G853</f>
        <v xml:space="preserve">10:00 (DAY BEFORE) </v>
      </c>
      <c r="N2109" s="1870" t="str">
        <f>RD!H853</f>
        <v>23:00 (DAY BEFORE)</v>
      </c>
      <c r="O2109"/>
      <c r="P2109"/>
      <c r="Q2109"/>
      <c r="R2109"/>
      <c r="S2109"/>
      <c r="T2109"/>
      <c r="U2109"/>
      <c r="V2109"/>
      <c r="W2109"/>
      <c r="X2109"/>
      <c r="Y2109"/>
      <c r="Z2109"/>
      <c r="AA2109"/>
    </row>
    <row r="2110" spans="2:27" s="57" customFormat="1" ht="35.5">
      <c r="B2110" s="1942" t="str">
        <f>RD!B840</f>
        <v>Direct debits and credits*</v>
      </c>
      <c r="C2110" s="1855" t="str">
        <f>RD!C840</f>
        <v>R</v>
      </c>
      <c r="D2110" s="1855" t="str">
        <f>RD!D840</f>
        <v>MN</v>
      </c>
      <c r="E2110" s="1855" t="str">
        <f>RD!E840</f>
        <v>PA</v>
      </c>
      <c r="F2110" s="1855" t="str">
        <f>RD!F840</f>
        <v>ACH</v>
      </c>
      <c r="G2110" s="1855" t="str">
        <f>RD!G840</f>
        <v>O</v>
      </c>
      <c r="H2110" s="1855" t="str">
        <f>RD!H840</f>
        <v>C</v>
      </c>
      <c r="I2110" s="1855" t="str">
        <f>RD!C854</f>
        <v>F, V</v>
      </c>
      <c r="J2110" s="1852" t="str">
        <f>RD!D854</f>
        <v>10:45
15:45</v>
      </c>
      <c r="K2110" s="1855" t="str">
        <f>RD!E854</f>
        <v>INTRADAY</v>
      </c>
      <c r="L2110" s="1852" t="str">
        <f>RD!F854</f>
        <v>08:00
13:00</v>
      </c>
      <c r="M2110" s="1928" t="str">
        <f>RD!G854</f>
        <v>13:01 (DAY BEFORE)
08:01</v>
      </c>
      <c r="N2110" s="1870" t="str">
        <f>RD!H854</f>
        <v>08:00
13:00</v>
      </c>
      <c r="O2110"/>
      <c r="P2110"/>
      <c r="Q2110"/>
      <c r="R2110"/>
      <c r="S2110"/>
      <c r="T2110"/>
      <c r="U2110"/>
      <c r="V2110"/>
      <c r="W2110"/>
      <c r="X2110"/>
      <c r="Y2110"/>
      <c r="Z2110"/>
      <c r="AA2110"/>
    </row>
    <row r="2111" spans="2:27" s="57" customFormat="1">
      <c r="B2111" s="1942" t="str">
        <f>RD!B841</f>
        <v>ATH ATMs*</v>
      </c>
      <c r="C2111" s="1855" t="str">
        <f>RD!C841</f>
        <v>R</v>
      </c>
      <c r="D2111" s="1855" t="str">
        <f>RD!D841</f>
        <v>MN</v>
      </c>
      <c r="E2111" s="1855" t="str">
        <f>RD!E841</f>
        <v>PA</v>
      </c>
      <c r="F2111" s="1855" t="str">
        <f>RD!F841</f>
        <v>ACH</v>
      </c>
      <c r="G2111" s="1855" t="str">
        <f>RD!G841</f>
        <v>O</v>
      </c>
      <c r="H2111" s="1855" t="str">
        <f>RD!H841</f>
        <v>C</v>
      </c>
      <c r="I2111" s="1855" t="str">
        <f>RD!C855</f>
        <v>F, V</v>
      </c>
      <c r="J2111" s="1852">
        <f>RD!D855</f>
        <v>0.45833333333333331</v>
      </c>
      <c r="K2111" s="1855" t="str">
        <f>RD!E855</f>
        <v>INTRADAY</v>
      </c>
      <c r="L2111" s="1852">
        <f>RD!F855</f>
        <v>0</v>
      </c>
      <c r="M2111" s="1928">
        <f>RD!G855</f>
        <v>0</v>
      </c>
      <c r="N2111" s="1870">
        <f>RD!H855</f>
        <v>0</v>
      </c>
      <c r="O2111"/>
      <c r="P2111"/>
      <c r="Q2111"/>
      <c r="R2111"/>
      <c r="S2111"/>
      <c r="T2111"/>
      <c r="U2111"/>
      <c r="V2111"/>
      <c r="W2111"/>
      <c r="X2111"/>
      <c r="Y2111"/>
      <c r="Z2111"/>
      <c r="AA2111"/>
    </row>
    <row r="2112" spans="2:27" s="57" customFormat="1">
      <c r="B2112" s="1942" t="str">
        <f>RD!B842</f>
        <v>ATH POS*</v>
      </c>
      <c r="C2112" s="1855" t="str">
        <f>RD!C842</f>
        <v>R</v>
      </c>
      <c r="D2112" s="1855" t="str">
        <f>RD!D842</f>
        <v>MN</v>
      </c>
      <c r="E2112" s="1855" t="str">
        <f>RD!E842</f>
        <v>PA</v>
      </c>
      <c r="F2112" s="1855" t="str">
        <f>RD!F842</f>
        <v>ACH</v>
      </c>
      <c r="G2112" s="1855" t="str">
        <f>RD!G842</f>
        <v>O</v>
      </c>
      <c r="H2112" s="1855" t="str">
        <f>RD!H842</f>
        <v>C</v>
      </c>
      <c r="I2112" s="1855" t="str">
        <f>RD!C856</f>
        <v>F, V</v>
      </c>
      <c r="J2112" s="1852">
        <f>RD!D856</f>
        <v>0.45833333333333331</v>
      </c>
      <c r="K2112" s="1855" t="str">
        <f>RD!E856</f>
        <v>INTRADAY</v>
      </c>
      <c r="L2112" s="1852">
        <f>RD!F856</f>
        <v>0</v>
      </c>
      <c r="M2112" s="1928">
        <f>RD!G856</f>
        <v>0</v>
      </c>
      <c r="N2112" s="1870">
        <f>RD!H856</f>
        <v>0</v>
      </c>
      <c r="O2112"/>
      <c r="P2112"/>
      <c r="Q2112"/>
      <c r="R2112"/>
      <c r="S2112"/>
      <c r="T2112"/>
      <c r="U2112"/>
      <c r="V2112"/>
      <c r="W2112"/>
      <c r="X2112"/>
      <c r="Y2112"/>
      <c r="Z2112"/>
      <c r="AA2112"/>
    </row>
    <row r="2113" spans="2:168" s="57" customFormat="1">
      <c r="B2113" s="1942" t="str">
        <f>RD!B843</f>
        <v>Mobile Payments*</v>
      </c>
      <c r="C2113" s="1855" t="str">
        <f>RD!C843</f>
        <v>R</v>
      </c>
      <c r="D2113" s="1855" t="str">
        <f>RD!D843</f>
        <v>MN</v>
      </c>
      <c r="E2113" s="1855" t="str">
        <f>RD!E843</f>
        <v>PA</v>
      </c>
      <c r="F2113" s="1855" t="str">
        <f>RD!F843</f>
        <v>ACH</v>
      </c>
      <c r="G2113" s="1855" t="str">
        <f>RD!G843</f>
        <v>O</v>
      </c>
      <c r="H2113" s="1855" t="str">
        <f>RD!H843</f>
        <v>C</v>
      </c>
      <c r="I2113" s="1855" t="str">
        <f>RD!C857</f>
        <v>F, V</v>
      </c>
      <c r="J2113" s="1852">
        <f>RD!D857</f>
        <v>0.65972222222222221</v>
      </c>
      <c r="K2113" s="1855" t="str">
        <f>RD!E857</f>
        <v>INTRADAY</v>
      </c>
      <c r="L2113" s="1852">
        <f>RD!F857</f>
        <v>0</v>
      </c>
      <c r="M2113" s="1928">
        <f>RD!G857</f>
        <v>0</v>
      </c>
      <c r="N2113" s="1870">
        <f>RD!H857</f>
        <v>0</v>
      </c>
      <c r="O2113"/>
      <c r="P2113"/>
      <c r="Q2113"/>
      <c r="R2113"/>
      <c r="S2113"/>
      <c r="T2113"/>
      <c r="U2113"/>
      <c r="V2113"/>
      <c r="W2113"/>
      <c r="X2113"/>
      <c r="Y2113"/>
      <c r="Z2113"/>
      <c r="AA2113"/>
    </row>
    <row r="2114" spans="2:168" s="57" customFormat="1">
      <c r="B2114" s="1942" t="str">
        <f>RD!B844</f>
        <v>FX trading</v>
      </c>
      <c r="C2114" s="1855" t="str">
        <f>RD!C844</f>
        <v>L</v>
      </c>
      <c r="D2114" s="1855" t="str">
        <f>RD!D844</f>
        <v>MN</v>
      </c>
      <c r="E2114" s="1855" t="str">
        <f>RD!E844</f>
        <v>PA</v>
      </c>
      <c r="F2114" s="1855" t="str">
        <f>RD!F844</f>
        <v>ACH</v>
      </c>
      <c r="G2114" s="1855" t="str">
        <f>RD!G844</f>
        <v>O</v>
      </c>
      <c r="H2114" s="1855" t="str">
        <f>RD!H844</f>
        <v>C</v>
      </c>
      <c r="I2114" s="1358"/>
      <c r="J2114" s="1858"/>
      <c r="K2114" s="1358"/>
      <c r="L2114" s="1858"/>
      <c r="M2114" s="1935"/>
      <c r="N2114" s="1876"/>
      <c r="O2114"/>
      <c r="P2114"/>
      <c r="Q2114"/>
      <c r="R2114"/>
      <c r="S2114"/>
      <c r="T2114"/>
      <c r="U2114"/>
      <c r="V2114"/>
      <c r="W2114"/>
      <c r="X2114"/>
      <c r="Y2114"/>
      <c r="Z2114"/>
      <c r="AA2114"/>
    </row>
    <row r="2115" spans="2:168" s="57" customFormat="1">
      <c r="B2115" s="1942" t="str">
        <f>RD!B845</f>
        <v>Collection payments*</v>
      </c>
      <c r="C2115" s="1855" t="str">
        <f>RD!C845</f>
        <v>R</v>
      </c>
      <c r="D2115" s="1855" t="str">
        <f>RD!D845</f>
        <v>MN</v>
      </c>
      <c r="E2115" s="1855" t="str">
        <f>RD!E845</f>
        <v>PA</v>
      </c>
      <c r="F2115" s="1855" t="str">
        <f>RD!F845</f>
        <v>ACH</v>
      </c>
      <c r="G2115" s="1855" t="str">
        <f>RD!G845</f>
        <v>O</v>
      </c>
      <c r="H2115" s="1855" t="str">
        <f>RD!H845</f>
        <v>C</v>
      </c>
      <c r="I2115" s="1855" t="str">
        <f>RD!C858</f>
        <v>F, V</v>
      </c>
      <c r="J2115" s="1852">
        <f>RD!D858</f>
        <v>0.58333333333333337</v>
      </c>
      <c r="K2115" s="1855" t="str">
        <f>RD!E858</f>
        <v>INTRADAY</v>
      </c>
      <c r="L2115" s="1852">
        <f>RD!F858</f>
        <v>0</v>
      </c>
      <c r="M2115" s="1928">
        <f>RD!G858</f>
        <v>0</v>
      </c>
      <c r="N2115" s="1870">
        <f>RD!H858</f>
        <v>0</v>
      </c>
      <c r="O2115"/>
      <c r="P2115"/>
      <c r="Q2115"/>
      <c r="R2115"/>
      <c r="S2115"/>
      <c r="T2115"/>
      <c r="U2115"/>
      <c r="V2115"/>
      <c r="W2115"/>
      <c r="X2115"/>
      <c r="Y2115"/>
      <c r="Z2115"/>
      <c r="AA2115"/>
    </row>
    <row r="2116" spans="2:168" s="57" customFormat="1">
      <c r="B2116" s="1942" t="str">
        <f>RD!B846</f>
        <v>Cards, VISA*</v>
      </c>
      <c r="C2116" s="1855" t="str">
        <f>RD!C846</f>
        <v>R</v>
      </c>
      <c r="D2116" s="1855" t="str">
        <f>RD!D846</f>
        <v>MN</v>
      </c>
      <c r="E2116" s="1855" t="str">
        <f>RD!E846</f>
        <v>PA</v>
      </c>
      <c r="F2116" s="1855" t="str">
        <f>RD!F846</f>
        <v>ACH</v>
      </c>
      <c r="G2116" s="1855" t="str">
        <f>RD!G846</f>
        <v>O</v>
      </c>
      <c r="H2116" s="1855" t="str">
        <f>RD!H846</f>
        <v>D</v>
      </c>
      <c r="I2116" s="1855" t="str">
        <f>RD!C859</f>
        <v>F, V</v>
      </c>
      <c r="J2116" s="1852">
        <f>RD!D859</f>
        <v>0.38541666666666669</v>
      </c>
      <c r="K2116" s="1855" t="str">
        <f>RD!E859</f>
        <v>INTRADAY</v>
      </c>
      <c r="L2116" s="1852">
        <f>RD!F859</f>
        <v>0</v>
      </c>
      <c r="M2116" s="1928">
        <f>RD!G859</f>
        <v>0</v>
      </c>
      <c r="N2116" s="1870">
        <f>RD!H859</f>
        <v>0</v>
      </c>
      <c r="O2116"/>
      <c r="P2116"/>
      <c r="Q2116"/>
      <c r="R2116"/>
      <c r="S2116"/>
      <c r="T2116"/>
      <c r="U2116"/>
      <c r="V2116"/>
      <c r="W2116"/>
      <c r="X2116"/>
      <c r="Y2116"/>
      <c r="Z2116"/>
      <c r="AA2116"/>
    </row>
    <row r="2117" spans="2:168" s="57" customFormat="1">
      <c r="B2117" s="1942" t="str">
        <f>RD!B847</f>
        <v>Cards, Mastercard*</v>
      </c>
      <c r="C2117" s="1855" t="str">
        <f>RD!C847</f>
        <v>R</v>
      </c>
      <c r="D2117" s="1855" t="str">
        <f>RD!D847</f>
        <v>MN</v>
      </c>
      <c r="E2117" s="1855" t="str">
        <f>RD!E847</f>
        <v>PA</v>
      </c>
      <c r="F2117" s="1855" t="str">
        <f>RD!F847</f>
        <v>ACH</v>
      </c>
      <c r="G2117" s="1855" t="str">
        <f>RD!G847</f>
        <v>O</v>
      </c>
      <c r="H2117" s="1855" t="str">
        <f>RD!H847</f>
        <v>D</v>
      </c>
      <c r="I2117" s="1855" t="str">
        <f>RD!C860</f>
        <v>F, V</v>
      </c>
      <c r="J2117" s="1852">
        <f>RD!D860</f>
        <v>0.4375</v>
      </c>
      <c r="K2117" s="1855" t="str">
        <f>RD!E860</f>
        <v>INTRADAY</v>
      </c>
      <c r="L2117" s="1852">
        <f>RD!F860</f>
        <v>0</v>
      </c>
      <c r="M2117" s="1928">
        <f>RD!G860</f>
        <v>0</v>
      </c>
      <c r="N2117" s="1870">
        <f>RD!H860</f>
        <v>0</v>
      </c>
      <c r="O2117"/>
      <c r="P2117"/>
      <c r="Q2117"/>
      <c r="R2117"/>
      <c r="S2117"/>
      <c r="T2117"/>
      <c r="U2117"/>
      <c r="V2117"/>
      <c r="W2117"/>
      <c r="X2117"/>
      <c r="Y2117"/>
      <c r="Z2117"/>
      <c r="AA2117"/>
    </row>
    <row r="2118" spans="2:168" s="57" customFormat="1">
      <c r="B2118" s="1942" t="str">
        <f>RD!B848</f>
        <v>Bank Agents*</v>
      </c>
      <c r="C2118" s="1855" t="str">
        <f>RD!C848</f>
        <v>R</v>
      </c>
      <c r="D2118" s="1855" t="str">
        <f>RD!D848</f>
        <v>MN</v>
      </c>
      <c r="E2118" s="1855" t="str">
        <f>RD!E848</f>
        <v>PA</v>
      </c>
      <c r="F2118" s="1855" t="str">
        <f>RD!F848</f>
        <v>ACH</v>
      </c>
      <c r="G2118" s="1855" t="str">
        <f>RD!G848</f>
        <v>O</v>
      </c>
      <c r="H2118" s="1855" t="str">
        <f>RD!H848</f>
        <v>C</v>
      </c>
      <c r="I2118" s="1855" t="str">
        <f>RD!C861</f>
        <v>F, V</v>
      </c>
      <c r="J2118" s="1852">
        <f>RD!D861</f>
        <v>0.58333333333333337</v>
      </c>
      <c r="K2118" s="1855" t="str">
        <f>RD!E861</f>
        <v>INTRADAY</v>
      </c>
      <c r="L2118" s="1852">
        <f>RD!F861</f>
        <v>0</v>
      </c>
      <c r="M2118" s="1928">
        <f>RD!G861</f>
        <v>0</v>
      </c>
      <c r="N2118" s="1870">
        <f>RD!H861</f>
        <v>0</v>
      </c>
      <c r="O2118"/>
      <c r="P2118"/>
      <c r="Q2118"/>
      <c r="R2118"/>
      <c r="S2118"/>
      <c r="T2118"/>
      <c r="U2118"/>
      <c r="V2118"/>
      <c r="W2118"/>
      <c r="X2118"/>
      <c r="Y2118"/>
      <c r="Z2118"/>
      <c r="AA2118"/>
    </row>
    <row r="2119" spans="2:168" s="57" customFormat="1">
      <c r="B2119" s="1947"/>
      <c r="C2119" s="795"/>
      <c r="D2119" s="795"/>
      <c r="E2119" s="795"/>
      <c r="F2119" s="795"/>
      <c r="G2119" s="795"/>
      <c r="H2119" s="795"/>
      <c r="I2119" s="795"/>
      <c r="J2119" s="1852"/>
      <c r="K2119" s="795"/>
      <c r="L2119" s="1839"/>
      <c r="M2119" s="1929"/>
      <c r="N2119" s="1871"/>
      <c r="O2119"/>
      <c r="P2119"/>
      <c r="Q2119"/>
      <c r="R2119"/>
      <c r="S2119"/>
      <c r="T2119"/>
      <c r="U2119"/>
      <c r="V2119"/>
      <c r="W2119"/>
      <c r="X2119"/>
      <c r="Y2119"/>
      <c r="Z2119"/>
      <c r="AA2119"/>
      <c r="AB2119"/>
      <c r="AC2119"/>
    </row>
    <row r="2120" spans="2:168" s="57" customFormat="1">
      <c r="B2120" s="1945" t="s">
        <v>1053</v>
      </c>
      <c r="C2120" s="1921"/>
      <c r="D2120" s="1921"/>
      <c r="E2120" s="1921"/>
      <c r="F2120" s="1921"/>
      <c r="G2120" s="1921"/>
      <c r="H2120" s="1921"/>
      <c r="I2120" s="1921"/>
      <c r="J2120" s="1852"/>
      <c r="K2120" s="1921"/>
      <c r="L2120" s="1922"/>
      <c r="M2120" s="1936"/>
      <c r="N2120" s="1926"/>
      <c r="O2120"/>
      <c r="P2120"/>
      <c r="Q2120"/>
      <c r="R2120"/>
      <c r="S2120"/>
      <c r="T2120"/>
      <c r="U2120"/>
      <c r="V2120"/>
      <c r="W2120"/>
      <c r="X2120"/>
      <c r="Y2120"/>
      <c r="Z2120"/>
      <c r="AA2120"/>
      <c r="AB2120"/>
      <c r="AC2120"/>
    </row>
    <row r="2121" spans="2:168" s="57" customFormat="1">
      <c r="B2121" s="1942" t="str">
        <f>PY!B1279</f>
        <v>SIPAP</v>
      </c>
      <c r="C2121" s="1855" t="str">
        <f>PY!C1279</f>
        <v>L,R</v>
      </c>
      <c r="D2121" s="1855" t="str">
        <f>PY!D1279</f>
        <v>LBTR/NM/LL</v>
      </c>
      <c r="E2121" s="1855" t="str">
        <f>PY!E1279</f>
        <v>CB</v>
      </c>
      <c r="F2121" s="1855" t="str">
        <f>PY!F1279</f>
        <v>ACH, RTT</v>
      </c>
      <c r="G2121" s="1855" t="str">
        <f>PY!G1279</f>
        <v>R</v>
      </c>
      <c r="H2121" s="1855" t="str">
        <f>PY!H1279</f>
        <v>C</v>
      </c>
      <c r="I2121" s="1855">
        <f>PY!C1283</f>
        <v>0</v>
      </c>
      <c r="J2121" s="1852">
        <f>PY!D1283</f>
        <v>0.83333333333333337</v>
      </c>
      <c r="K2121" s="1855" t="str">
        <f>PY!E1283</f>
        <v>REAL TIME</v>
      </c>
      <c r="L2121" s="1852">
        <f>PY!F1283</f>
        <v>0.83333333333333337</v>
      </c>
      <c r="M2121" s="1928">
        <f>PY!G1283</f>
        <v>0.33333333333333331</v>
      </c>
      <c r="N2121" s="1870">
        <f>PY!H1283</f>
        <v>0.83333333333333337</v>
      </c>
      <c r="O2121"/>
      <c r="P2121"/>
      <c r="Q2121"/>
      <c r="R2121"/>
      <c r="S2121"/>
      <c r="T2121"/>
      <c r="U2121"/>
      <c r="V2121"/>
      <c r="W2121"/>
      <c r="X2121"/>
      <c r="Y2121"/>
      <c r="Z2121"/>
      <c r="AA2121"/>
      <c r="AB2121"/>
      <c r="AC2121"/>
    </row>
    <row r="2122" spans="2:168" s="57" customFormat="1">
      <c r="B2122" s="1953"/>
      <c r="C2122" s="795"/>
      <c r="D2122" s="795"/>
      <c r="E2122" s="795"/>
      <c r="F2122" s="1854"/>
      <c r="G2122" s="795"/>
      <c r="H2122" s="795"/>
      <c r="I2122" s="795"/>
      <c r="J2122" s="1852"/>
      <c r="K2122" s="795"/>
      <c r="L2122" s="1839"/>
      <c r="M2122" s="1929"/>
      <c r="N2122" s="1871"/>
      <c r="O2122"/>
      <c r="P2122"/>
      <c r="Q2122"/>
      <c r="R2122"/>
      <c r="S2122"/>
      <c r="T2122"/>
      <c r="U2122"/>
      <c r="V2122"/>
      <c r="W2122"/>
      <c r="X2122"/>
      <c r="Y2122"/>
      <c r="Z2122"/>
      <c r="AA2122"/>
    </row>
    <row r="2123" spans="2:168" s="668" customFormat="1" ht="15" customHeight="1">
      <c r="B2123" s="1945" t="s">
        <v>1054</v>
      </c>
      <c r="C2123" s="795"/>
      <c r="D2123" s="795"/>
      <c r="E2123" s="795"/>
      <c r="F2123" s="795"/>
      <c r="G2123" s="795"/>
      <c r="H2123" s="795"/>
      <c r="I2123" s="795"/>
      <c r="J2123" s="1852"/>
      <c r="K2123" s="795"/>
      <c r="L2123" s="1839"/>
      <c r="M2123" s="1929"/>
      <c r="N2123" s="1871"/>
      <c r="O2123"/>
      <c r="P2123"/>
      <c r="Q2123"/>
      <c r="R2123"/>
      <c r="S2123"/>
      <c r="T2123"/>
      <c r="U2123"/>
      <c r="V2123"/>
      <c r="W2123"/>
      <c r="X2123"/>
      <c r="Y2123"/>
      <c r="Z2123"/>
      <c r="AA2123"/>
      <c r="AB2123" s="750"/>
      <c r="AC2123" s="750"/>
      <c r="AD2123" s="750"/>
      <c r="AE2123" s="750"/>
      <c r="AF2123" s="750"/>
      <c r="AG2123" s="750"/>
      <c r="AH2123" s="750"/>
      <c r="AI2123" s="750"/>
      <c r="AJ2123" s="750"/>
      <c r="AK2123" s="750"/>
      <c r="AL2123" s="750"/>
      <c r="AM2123" s="750"/>
      <c r="AN2123" s="750"/>
      <c r="AO2123" s="750"/>
      <c r="AP2123" s="750"/>
      <c r="AQ2123" s="750"/>
      <c r="AR2123" s="750"/>
      <c r="AS2123" s="750"/>
      <c r="AT2123" s="750"/>
      <c r="AU2123" s="750"/>
      <c r="AV2123" s="750"/>
      <c r="AW2123" s="750"/>
      <c r="AX2123" s="750"/>
      <c r="AY2123" s="750"/>
      <c r="AZ2123" s="750"/>
      <c r="BA2123" s="750"/>
      <c r="BB2123" s="750"/>
      <c r="BC2123" s="750"/>
      <c r="BD2123" s="750"/>
      <c r="BE2123" s="750"/>
      <c r="BF2123" s="750"/>
      <c r="BG2123" s="750"/>
      <c r="BH2123" s="750"/>
      <c r="BI2123" s="750"/>
      <c r="BJ2123" s="750"/>
      <c r="BK2123" s="750"/>
      <c r="BL2123" s="750"/>
      <c r="BM2123" s="750"/>
      <c r="BN2123" s="750"/>
      <c r="BO2123" s="750"/>
      <c r="BP2123" s="750"/>
      <c r="BQ2123" s="750"/>
      <c r="BR2123" s="750"/>
      <c r="BS2123" s="750"/>
      <c r="BT2123" s="750"/>
      <c r="BU2123" s="750"/>
      <c r="BV2123" s="750"/>
      <c r="BW2123" s="750"/>
      <c r="BX2123" s="750"/>
      <c r="BY2123" s="750"/>
      <c r="BZ2123" s="750"/>
      <c r="CA2123" s="750"/>
      <c r="CB2123" s="750"/>
      <c r="CC2123" s="750"/>
      <c r="CD2123" s="750"/>
      <c r="CE2123" s="750"/>
      <c r="CF2123" s="750"/>
      <c r="CG2123" s="750"/>
      <c r="CH2123" s="750"/>
      <c r="CI2123" s="750"/>
      <c r="CJ2123" s="750"/>
      <c r="CK2123" s="750"/>
      <c r="CL2123" s="750"/>
      <c r="CM2123" s="750"/>
      <c r="CN2123" s="750"/>
      <c r="CO2123" s="750"/>
      <c r="CP2123" s="750"/>
      <c r="CQ2123" s="750"/>
      <c r="CR2123" s="750"/>
      <c r="CS2123" s="750"/>
      <c r="CT2123" s="750"/>
      <c r="CU2123" s="750"/>
      <c r="CV2123" s="750"/>
      <c r="CW2123" s="750"/>
      <c r="CX2123" s="750"/>
      <c r="CY2123" s="750"/>
      <c r="CZ2123" s="750"/>
      <c r="DA2123" s="750"/>
      <c r="DB2123" s="750"/>
      <c r="DC2123" s="750"/>
      <c r="DD2123" s="750"/>
      <c r="DE2123" s="750"/>
      <c r="DF2123" s="750"/>
      <c r="DG2123" s="750"/>
      <c r="DH2123" s="750"/>
      <c r="DI2123" s="750"/>
      <c r="DJ2123" s="750"/>
      <c r="DK2123" s="750"/>
      <c r="DL2123" s="750"/>
      <c r="DM2123" s="750"/>
      <c r="DN2123" s="750"/>
      <c r="DO2123" s="750"/>
      <c r="DP2123" s="750"/>
      <c r="DQ2123" s="750"/>
      <c r="DR2123" s="750"/>
      <c r="DS2123" s="750"/>
      <c r="DT2123" s="750"/>
      <c r="DU2123" s="750"/>
      <c r="DV2123" s="750"/>
      <c r="DW2123" s="750"/>
      <c r="DX2123" s="750"/>
      <c r="DY2123" s="750"/>
      <c r="DZ2123" s="750"/>
      <c r="EA2123" s="750"/>
      <c r="EB2123" s="750"/>
      <c r="EC2123" s="750"/>
      <c r="ED2123" s="750"/>
      <c r="EE2123" s="750"/>
      <c r="EF2123" s="750"/>
      <c r="EG2123" s="750"/>
      <c r="EH2123" s="750"/>
      <c r="EI2123" s="750"/>
      <c r="EJ2123" s="750"/>
      <c r="EK2123" s="750"/>
      <c r="EL2123" s="750"/>
      <c r="EM2123" s="750"/>
      <c r="EN2123" s="750"/>
      <c r="EO2123" s="750"/>
      <c r="EP2123" s="750"/>
      <c r="EQ2123" s="750"/>
      <c r="ER2123" s="750"/>
      <c r="ES2123" s="750"/>
      <c r="ET2123" s="750"/>
      <c r="EU2123" s="750"/>
      <c r="EV2123" s="750"/>
      <c r="EW2123" s="750"/>
      <c r="EX2123" s="750"/>
      <c r="EY2123" s="750"/>
      <c r="EZ2123" s="750"/>
      <c r="FA2123" s="750"/>
      <c r="FB2123" s="750"/>
      <c r="FC2123" s="750"/>
      <c r="FD2123" s="750"/>
      <c r="FE2123" s="750"/>
      <c r="FF2123" s="750"/>
      <c r="FG2123" s="750"/>
      <c r="FH2123" s="750"/>
      <c r="FI2123" s="750"/>
      <c r="FJ2123" s="750"/>
      <c r="FK2123" s="750"/>
      <c r="FL2123" s="750"/>
    </row>
    <row r="2124" spans="2:168" s="668" customFormat="1" ht="15" customHeight="1">
      <c r="B2124" s="1942" t="str">
        <f>PE!B758</f>
        <v>RTGS</v>
      </c>
      <c r="C2124" s="1855" t="str">
        <f>PE!C758</f>
        <v>L</v>
      </c>
      <c r="D2124" s="1855" t="str">
        <f>PE!D758</f>
        <v>RTGS</v>
      </c>
      <c r="E2124" s="1855" t="str">
        <f>PE!E758</f>
        <v>CB</v>
      </c>
      <c r="F2124" s="1855" t="str">
        <f>PE!F758</f>
        <v>RTT</v>
      </c>
      <c r="G2124" s="1855" t="str">
        <f>PE!G758</f>
        <v>A</v>
      </c>
      <c r="H2124" s="1855" t="str">
        <f>PE!H758</f>
        <v>C</v>
      </c>
      <c r="I2124" s="1855">
        <f>PE!C763</f>
        <v>0</v>
      </c>
      <c r="J2124" s="1852">
        <f>PE!D763</f>
        <v>0</v>
      </c>
      <c r="K2124" s="1855" t="str">
        <f>PE!E763</f>
        <v>REAL TIME</v>
      </c>
      <c r="L2124" s="1852">
        <f>PE!F763</f>
        <v>0</v>
      </c>
      <c r="M2124" s="1928">
        <f>PE!G763</f>
        <v>0</v>
      </c>
      <c r="N2124" s="1870">
        <f>PE!H763</f>
        <v>0</v>
      </c>
      <c r="O2124"/>
      <c r="P2124"/>
      <c r="Q2124"/>
      <c r="R2124"/>
      <c r="S2124"/>
      <c r="T2124"/>
      <c r="U2124"/>
      <c r="V2124"/>
      <c r="W2124"/>
      <c r="X2124"/>
      <c r="Y2124"/>
      <c r="Z2124"/>
      <c r="AA2124"/>
      <c r="AB2124" s="750"/>
      <c r="AC2124" s="750"/>
      <c r="AD2124" s="750"/>
      <c r="AE2124" s="750"/>
      <c r="AF2124" s="750"/>
      <c r="AG2124" s="750"/>
      <c r="AH2124" s="750"/>
      <c r="AI2124" s="750"/>
      <c r="AJ2124" s="750"/>
      <c r="AK2124" s="750"/>
      <c r="AL2124" s="750"/>
      <c r="AM2124" s="750"/>
      <c r="AN2124" s="750"/>
      <c r="AO2124" s="750"/>
      <c r="AP2124" s="750"/>
      <c r="AQ2124" s="750"/>
      <c r="AR2124" s="750"/>
      <c r="AS2124" s="750"/>
      <c r="AT2124" s="750"/>
      <c r="AU2124" s="750"/>
      <c r="AV2124" s="750"/>
      <c r="AW2124" s="750"/>
      <c r="AX2124" s="750"/>
      <c r="AY2124" s="750"/>
      <c r="AZ2124" s="750"/>
      <c r="BA2124" s="750"/>
      <c r="BB2124" s="750"/>
      <c r="BC2124" s="750"/>
      <c r="BD2124" s="750"/>
      <c r="BE2124" s="750"/>
      <c r="BF2124" s="750"/>
      <c r="BG2124" s="750"/>
      <c r="BH2124" s="750"/>
      <c r="BI2124" s="750"/>
      <c r="BJ2124" s="750"/>
      <c r="BK2124" s="750"/>
      <c r="BL2124" s="750"/>
      <c r="BM2124" s="750"/>
      <c r="BN2124" s="750"/>
      <c r="BO2124" s="750"/>
      <c r="BP2124" s="750"/>
      <c r="BQ2124" s="750"/>
      <c r="BR2124" s="750"/>
      <c r="BS2124" s="750"/>
      <c r="BT2124" s="750"/>
      <c r="BU2124" s="750"/>
      <c r="BV2124" s="750"/>
      <c r="BW2124" s="750"/>
      <c r="BX2124" s="750"/>
      <c r="BY2124" s="750"/>
      <c r="BZ2124" s="750"/>
      <c r="CA2124" s="750"/>
      <c r="CB2124" s="750"/>
      <c r="CC2124" s="750"/>
      <c r="CD2124" s="750"/>
      <c r="CE2124" s="750"/>
      <c r="CF2124" s="750"/>
      <c r="CG2124" s="750"/>
      <c r="CH2124" s="750"/>
      <c r="CI2124" s="750"/>
      <c r="CJ2124" s="750"/>
      <c r="CK2124" s="750"/>
      <c r="CL2124" s="750"/>
      <c r="CM2124" s="750"/>
      <c r="CN2124" s="750"/>
      <c r="CO2124" s="750"/>
      <c r="CP2124" s="750"/>
      <c r="CQ2124" s="750"/>
      <c r="CR2124" s="750"/>
      <c r="CS2124" s="750"/>
      <c r="CT2124" s="750"/>
      <c r="CU2124" s="750"/>
      <c r="CV2124" s="750"/>
      <c r="CW2124" s="750"/>
      <c r="CX2124" s="750"/>
      <c r="CY2124" s="750"/>
      <c r="CZ2124" s="750"/>
      <c r="DA2124" s="750"/>
      <c r="DB2124" s="750"/>
      <c r="DC2124" s="750"/>
      <c r="DD2124" s="750"/>
      <c r="DE2124" s="750"/>
      <c r="DF2124" s="750"/>
      <c r="DG2124" s="750"/>
      <c r="DH2124" s="750"/>
      <c r="DI2124" s="750"/>
      <c r="DJ2124" s="750"/>
      <c r="DK2124" s="750"/>
      <c r="DL2124" s="750"/>
      <c r="DM2124" s="750"/>
      <c r="DN2124" s="750"/>
      <c r="DO2124" s="750"/>
      <c r="DP2124" s="750"/>
      <c r="DQ2124" s="750"/>
      <c r="DR2124" s="750"/>
      <c r="DS2124" s="750"/>
      <c r="DT2124" s="750"/>
      <c r="DU2124" s="750"/>
      <c r="DV2124" s="750"/>
      <c r="DW2124" s="750"/>
      <c r="DX2124" s="750"/>
      <c r="DY2124" s="750"/>
      <c r="DZ2124" s="750"/>
      <c r="EA2124" s="750"/>
      <c r="EB2124" s="750"/>
      <c r="EC2124" s="750"/>
      <c r="ED2124" s="750"/>
      <c r="EE2124" s="750"/>
      <c r="EF2124" s="750"/>
      <c r="EG2124" s="750"/>
      <c r="EH2124" s="750"/>
      <c r="EI2124" s="750"/>
      <c r="EJ2124" s="750"/>
      <c r="EK2124" s="750"/>
      <c r="EL2124" s="750"/>
      <c r="EM2124" s="750"/>
      <c r="EN2124" s="750"/>
      <c r="EO2124" s="750"/>
      <c r="EP2124" s="750"/>
      <c r="EQ2124" s="750"/>
      <c r="ER2124" s="750"/>
      <c r="ES2124" s="750"/>
      <c r="ET2124" s="750"/>
      <c r="EU2124" s="750"/>
      <c r="EV2124" s="750"/>
      <c r="EW2124" s="750"/>
      <c r="EX2124" s="750"/>
      <c r="EY2124" s="750"/>
      <c r="EZ2124" s="750"/>
      <c r="FA2124" s="750"/>
      <c r="FB2124" s="750"/>
      <c r="FC2124" s="750"/>
      <c r="FD2124" s="750"/>
      <c r="FE2124" s="750"/>
      <c r="FF2124" s="750"/>
      <c r="FG2124" s="750"/>
      <c r="FH2124" s="750"/>
      <c r="FI2124" s="750"/>
      <c r="FJ2124" s="750"/>
      <c r="FK2124" s="750"/>
      <c r="FL2124" s="750"/>
    </row>
    <row r="2125" spans="2:168" s="668" customFormat="1" ht="15" customHeight="1">
      <c r="B2125" s="1942" t="str">
        <f>PE!B759</f>
        <v>CCE</v>
      </c>
      <c r="C2125" s="1855" t="str">
        <f>PE!C759</f>
        <v>R</v>
      </c>
      <c r="D2125" s="1855" t="str">
        <f>PE!D759</f>
        <v>MN</v>
      </c>
      <c r="E2125" s="1855" t="str">
        <f>PE!E759</f>
        <v>PA</v>
      </c>
      <c r="F2125" s="1855" t="str">
        <f>PE!F759</f>
        <v>ACH</v>
      </c>
      <c r="G2125" s="1855" t="str">
        <f>PE!G759</f>
        <v>R</v>
      </c>
      <c r="H2125" s="1855" t="str">
        <f>PE!H759</f>
        <v>C</v>
      </c>
      <c r="I2125" s="1855">
        <f>PE!C764</f>
        <v>0</v>
      </c>
      <c r="J2125" s="1852">
        <f>PE!D764</f>
        <v>0</v>
      </c>
      <c r="K2125" s="1855" t="str">
        <f>PE!E764</f>
        <v>REAL TIME</v>
      </c>
      <c r="L2125" s="1852">
        <f>PE!F764</f>
        <v>0</v>
      </c>
      <c r="M2125" s="1928">
        <f>PE!G764</f>
        <v>0</v>
      </c>
      <c r="N2125" s="1870">
        <f>PE!H764</f>
        <v>0</v>
      </c>
      <c r="O2125"/>
      <c r="P2125"/>
      <c r="Q2125"/>
      <c r="R2125"/>
      <c r="S2125"/>
      <c r="T2125"/>
      <c r="U2125"/>
      <c r="V2125"/>
      <c r="W2125"/>
      <c r="X2125"/>
      <c r="Y2125"/>
      <c r="Z2125"/>
      <c r="AA2125"/>
      <c r="AB2125" s="750"/>
      <c r="AC2125" s="750"/>
      <c r="AD2125" s="750"/>
      <c r="AE2125" s="750"/>
      <c r="AF2125" s="750"/>
      <c r="AG2125" s="750"/>
      <c r="AH2125" s="750"/>
      <c r="AI2125" s="750"/>
      <c r="AJ2125" s="750"/>
      <c r="AK2125" s="750"/>
      <c r="AL2125" s="750"/>
      <c r="AM2125" s="750"/>
      <c r="AN2125" s="750"/>
      <c r="AO2125" s="750"/>
      <c r="AP2125" s="750"/>
      <c r="AQ2125" s="750"/>
      <c r="AR2125" s="750"/>
      <c r="AS2125" s="750"/>
      <c r="AT2125" s="750"/>
      <c r="AU2125" s="750"/>
      <c r="AV2125" s="750"/>
      <c r="AW2125" s="750"/>
      <c r="AX2125" s="750"/>
      <c r="AY2125" s="750"/>
      <c r="AZ2125" s="750"/>
      <c r="BA2125" s="750"/>
      <c r="BB2125" s="750"/>
      <c r="BC2125" s="750"/>
      <c r="BD2125" s="750"/>
      <c r="BE2125" s="750"/>
      <c r="BF2125" s="750"/>
      <c r="BG2125" s="750"/>
      <c r="BH2125" s="750"/>
      <c r="BI2125" s="750"/>
      <c r="BJ2125" s="750"/>
      <c r="BK2125" s="750"/>
      <c r="BL2125" s="750"/>
      <c r="BM2125" s="750"/>
      <c r="BN2125" s="750"/>
      <c r="BO2125" s="750"/>
      <c r="BP2125" s="750"/>
      <c r="BQ2125" s="750"/>
      <c r="BR2125" s="750"/>
      <c r="BS2125" s="750"/>
      <c r="BT2125" s="750"/>
      <c r="BU2125" s="750"/>
      <c r="BV2125" s="750"/>
      <c r="BW2125" s="750"/>
      <c r="BX2125" s="750"/>
      <c r="BY2125" s="750"/>
      <c r="BZ2125" s="750"/>
      <c r="CA2125" s="750"/>
      <c r="CB2125" s="750"/>
      <c r="CC2125" s="750"/>
      <c r="CD2125" s="750"/>
      <c r="CE2125" s="750"/>
      <c r="CF2125" s="750"/>
      <c r="CG2125" s="750"/>
      <c r="CH2125" s="750"/>
      <c r="CI2125" s="750"/>
      <c r="CJ2125" s="750"/>
      <c r="CK2125" s="750"/>
      <c r="CL2125" s="750"/>
      <c r="CM2125" s="750"/>
      <c r="CN2125" s="750"/>
      <c r="CO2125" s="750"/>
      <c r="CP2125" s="750"/>
      <c r="CQ2125" s="750"/>
      <c r="CR2125" s="750"/>
      <c r="CS2125" s="750"/>
      <c r="CT2125" s="750"/>
      <c r="CU2125" s="750"/>
      <c r="CV2125" s="750"/>
      <c r="CW2125" s="750"/>
      <c r="CX2125" s="750"/>
      <c r="CY2125" s="750"/>
      <c r="CZ2125" s="750"/>
      <c r="DA2125" s="750"/>
      <c r="DB2125" s="750"/>
      <c r="DC2125" s="750"/>
      <c r="DD2125" s="750"/>
      <c r="DE2125" s="750"/>
      <c r="DF2125" s="750"/>
      <c r="DG2125" s="750"/>
      <c r="DH2125" s="750"/>
      <c r="DI2125" s="750"/>
      <c r="DJ2125" s="750"/>
      <c r="DK2125" s="750"/>
      <c r="DL2125" s="750"/>
      <c r="DM2125" s="750"/>
      <c r="DN2125" s="750"/>
      <c r="DO2125" s="750"/>
      <c r="DP2125" s="750"/>
      <c r="DQ2125" s="750"/>
      <c r="DR2125" s="750"/>
      <c r="DS2125" s="750"/>
      <c r="DT2125" s="750"/>
      <c r="DU2125" s="750"/>
      <c r="DV2125" s="750"/>
      <c r="DW2125" s="750"/>
      <c r="DX2125" s="750"/>
      <c r="DY2125" s="750"/>
      <c r="DZ2125" s="750"/>
      <c r="EA2125" s="750"/>
      <c r="EB2125" s="750"/>
      <c r="EC2125" s="750"/>
      <c r="ED2125" s="750"/>
      <c r="EE2125" s="750"/>
      <c r="EF2125" s="750"/>
      <c r="EG2125" s="750"/>
      <c r="EH2125" s="750"/>
      <c r="EI2125" s="750"/>
      <c r="EJ2125" s="750"/>
      <c r="EK2125" s="750"/>
      <c r="EL2125" s="750"/>
      <c r="EM2125" s="750"/>
      <c r="EN2125" s="750"/>
      <c r="EO2125" s="750"/>
      <c r="EP2125" s="750"/>
      <c r="EQ2125" s="750"/>
      <c r="ER2125" s="750"/>
      <c r="ES2125" s="750"/>
      <c r="ET2125" s="750"/>
      <c r="EU2125" s="750"/>
      <c r="EV2125" s="750"/>
      <c r="EW2125" s="750"/>
      <c r="EX2125" s="750"/>
      <c r="EY2125" s="750"/>
      <c r="EZ2125" s="750"/>
      <c r="FA2125" s="750"/>
      <c r="FB2125" s="750"/>
      <c r="FC2125" s="750"/>
      <c r="FD2125" s="750"/>
      <c r="FE2125" s="750"/>
      <c r="FF2125" s="750"/>
      <c r="FG2125" s="750"/>
      <c r="FH2125" s="750"/>
      <c r="FI2125" s="750"/>
      <c r="FJ2125" s="750"/>
      <c r="FK2125" s="750"/>
      <c r="FL2125" s="750"/>
    </row>
    <row r="2126" spans="2:168" s="57" customFormat="1">
      <c r="B2126" s="1953"/>
      <c r="C2126" s="795"/>
      <c r="D2126" s="795"/>
      <c r="E2126" s="795"/>
      <c r="F2126" s="1854"/>
      <c r="G2126" s="795"/>
      <c r="H2126" s="795"/>
      <c r="I2126" s="795"/>
      <c r="J2126" s="1839"/>
      <c r="K2126" s="795"/>
      <c r="L2126" s="1839"/>
      <c r="M2126" s="1929"/>
      <c r="N2126" s="1871"/>
      <c r="O2126"/>
      <c r="P2126"/>
      <c r="Q2126"/>
      <c r="R2126"/>
      <c r="S2126"/>
      <c r="T2126"/>
      <c r="U2126"/>
      <c r="V2126"/>
      <c r="W2126"/>
      <c r="X2126"/>
      <c r="Y2126"/>
      <c r="Z2126"/>
      <c r="AA2126"/>
    </row>
    <row r="2127" spans="2:168" s="57" customFormat="1">
      <c r="B2127" s="1945" t="s">
        <v>1055</v>
      </c>
      <c r="C2127" s="795"/>
      <c r="D2127" s="795"/>
      <c r="E2127" s="795"/>
      <c r="F2127" s="795"/>
      <c r="G2127" s="795"/>
      <c r="H2127" s="795"/>
      <c r="I2127" s="795"/>
      <c r="J2127" s="1839"/>
      <c r="K2127" s="795"/>
      <c r="L2127" s="1839"/>
      <c r="M2127" s="1929"/>
      <c r="N2127" s="1871"/>
      <c r="O2127"/>
      <c r="P2127"/>
      <c r="Q2127"/>
      <c r="R2127"/>
      <c r="S2127"/>
      <c r="T2127"/>
      <c r="U2127"/>
      <c r="V2127"/>
      <c r="W2127"/>
      <c r="X2127"/>
      <c r="Y2127"/>
      <c r="Z2127"/>
      <c r="AA2127"/>
    </row>
    <row r="2128" spans="2:168" s="57" customFormat="1">
      <c r="B2128" s="1942" t="str">
        <f>TT!B950</f>
        <v>Safe-tt</v>
      </c>
      <c r="C2128" s="1855" t="str">
        <f>TT!C950</f>
        <v>L</v>
      </c>
      <c r="D2128" s="1855" t="str">
        <f>TT!D950</f>
        <v>RTGS</v>
      </c>
      <c r="E2128" s="1855" t="str">
        <f>TT!E950</f>
        <v>CB</v>
      </c>
      <c r="F2128" s="1855" t="str">
        <f>TT!F950</f>
        <v>RTT</v>
      </c>
      <c r="G2128" s="1855" t="str">
        <f>TT!G950</f>
        <v>O</v>
      </c>
      <c r="H2128" s="1855" t="str">
        <f>TT!H950</f>
        <v>C</v>
      </c>
      <c r="I2128" s="1855" t="str">
        <f>TT!C957</f>
        <v>F</v>
      </c>
      <c r="J2128" s="1852" t="str">
        <f>TT!D957</f>
        <v>03:15 (1)</v>
      </c>
      <c r="K2128" s="1855" t="str">
        <f>TT!E957</f>
        <v>REAL TIME</v>
      </c>
      <c r="L2128" s="1852">
        <f>TT!F957</f>
        <v>0.61458333333333337</v>
      </c>
      <c r="M2128" s="1928">
        <f>TT!G957</f>
        <v>0.35416666666666669</v>
      </c>
      <c r="N2128" s="1870">
        <f>TT!H957</f>
        <v>0.64583333333333337</v>
      </c>
      <c r="O2128"/>
      <c r="P2128"/>
      <c r="Q2128"/>
      <c r="R2128"/>
      <c r="S2128"/>
      <c r="T2128"/>
      <c r="U2128"/>
      <c r="V2128"/>
      <c r="W2128"/>
      <c r="X2128"/>
      <c r="Y2128"/>
      <c r="Z2128"/>
      <c r="AA2128"/>
    </row>
    <row r="2129" spans="2:27" s="57" customFormat="1">
      <c r="B2129" s="1942" t="str">
        <f>TT!B951</f>
        <v>LINX (Debit Card)</v>
      </c>
      <c r="C2129" s="1855" t="str">
        <f>TT!C951</f>
        <v>R</v>
      </c>
      <c r="D2129" s="1855" t="str">
        <f>TT!D951</f>
        <v>MN</v>
      </c>
      <c r="E2129" s="1855" t="str">
        <f>TT!E951</f>
        <v>B</v>
      </c>
      <c r="F2129" s="1855" t="str">
        <f>TT!F951</f>
        <v>ACH</v>
      </c>
      <c r="G2129" s="1855" t="str">
        <f>TT!G951</f>
        <v>O</v>
      </c>
      <c r="H2129" s="1855" t="str">
        <f>TT!H951</f>
        <v>C</v>
      </c>
      <c r="I2129" s="1855" t="str">
        <f>TT!C958</f>
        <v>F</v>
      </c>
      <c r="J2129" s="1852">
        <f>TT!D958</f>
        <v>0</v>
      </c>
      <c r="K2129" s="1855" t="str">
        <f>TT!E958</f>
        <v>REAL TIME</v>
      </c>
      <c r="L2129" s="1856" t="str">
        <f>TT!F958</f>
        <v>0</v>
      </c>
      <c r="M2129" s="1937" t="str">
        <f>TT!G958</f>
        <v>0</v>
      </c>
      <c r="N2129" s="1877" t="str">
        <f>TT!H958</f>
        <v>0</v>
      </c>
      <c r="O2129"/>
      <c r="P2129"/>
      <c r="Q2129"/>
      <c r="R2129"/>
      <c r="S2129"/>
      <c r="T2129"/>
      <c r="U2129"/>
      <c r="V2129"/>
      <c r="W2129"/>
      <c r="X2129"/>
      <c r="Y2129"/>
      <c r="Z2129"/>
      <c r="AA2129"/>
    </row>
    <row r="2130" spans="2:27" s="57" customFormat="1">
      <c r="B2130" s="1942" t="str">
        <f>TT!B952</f>
        <v>ACH</v>
      </c>
      <c r="C2130" s="1855" t="str">
        <f>TT!C952</f>
        <v>R</v>
      </c>
      <c r="D2130" s="1855" t="str">
        <f>TT!D952</f>
        <v>MN</v>
      </c>
      <c r="E2130" s="1855" t="str">
        <f>TT!E952</f>
        <v>CB, B</v>
      </c>
      <c r="F2130" s="1855" t="str">
        <f>TT!F952</f>
        <v>ACH</v>
      </c>
      <c r="G2130" s="1855" t="str">
        <f>TT!G952</f>
        <v>O</v>
      </c>
      <c r="H2130" s="1855" t="str">
        <f>TT!H952</f>
        <v>C</v>
      </c>
      <c r="I2130" s="1855" t="str">
        <f>TT!C959</f>
        <v>F</v>
      </c>
      <c r="J2130" s="1852">
        <f>TT!D959</f>
        <v>0</v>
      </c>
      <c r="K2130" s="1855" t="str">
        <f>TT!E959</f>
        <v>REAL TIME</v>
      </c>
      <c r="L2130" s="1856" t="str">
        <f>TT!F959</f>
        <v>0</v>
      </c>
      <c r="M2130" s="1937" t="str">
        <f>TT!G959</f>
        <v>0</v>
      </c>
      <c r="N2130" s="1877" t="str">
        <f>TT!H959</f>
        <v>0</v>
      </c>
      <c r="O2130"/>
      <c r="P2130"/>
      <c r="Q2130"/>
      <c r="R2130"/>
      <c r="S2130"/>
      <c r="T2130"/>
      <c r="U2130"/>
      <c r="V2130"/>
      <c r="W2130"/>
      <c r="X2130"/>
      <c r="Y2130"/>
      <c r="Z2130"/>
      <c r="AA2130"/>
    </row>
    <row r="2131" spans="2:27" s="57" customFormat="1">
      <c r="B2131" s="1954" t="str">
        <f>TT!B953</f>
        <v>Cheques</v>
      </c>
      <c r="C2131" s="1848" t="str">
        <f>TT!C953</f>
        <v>L+R</v>
      </c>
      <c r="D2131" s="1848" t="str">
        <f>TT!D953</f>
        <v>MN</v>
      </c>
      <c r="E2131" s="1848" t="str">
        <f>TT!E953</f>
        <v>CB</v>
      </c>
      <c r="F2131" s="1848" t="str">
        <f>TT!F953</f>
        <v>M</v>
      </c>
      <c r="G2131" s="1848" t="str">
        <f>TT!G953</f>
        <v>O</v>
      </c>
      <c r="H2131" s="1848" t="str">
        <f>TT!H953</f>
        <v>C</v>
      </c>
      <c r="I2131" s="1848" t="str">
        <f>TT!C960</f>
        <v>O</v>
      </c>
      <c r="J2131" s="1859">
        <f>TT!D960</f>
        <v>0</v>
      </c>
      <c r="K2131" s="1848" t="str">
        <f>TT!E960</f>
        <v>REAL TIME</v>
      </c>
      <c r="L2131" s="1857" t="str">
        <f>TT!F960</f>
        <v>0</v>
      </c>
      <c r="M2131" s="1938" t="str">
        <f>TT!G960</f>
        <v>0</v>
      </c>
      <c r="N2131" s="1878" t="str">
        <f>TT!H960</f>
        <v>0</v>
      </c>
      <c r="O2131"/>
      <c r="P2131"/>
      <c r="Q2131"/>
      <c r="R2131"/>
      <c r="S2131"/>
      <c r="T2131"/>
      <c r="U2131"/>
      <c r="V2131"/>
      <c r="W2131"/>
      <c r="X2131"/>
      <c r="Y2131"/>
      <c r="Z2131"/>
      <c r="AA2131"/>
    </row>
    <row r="2132" spans="2:27" s="57" customFormat="1" ht="13">
      <c r="B2132" s="672"/>
      <c r="C2132" s="622"/>
      <c r="D2132" s="622"/>
      <c r="E2132" s="644"/>
      <c r="F2132" s="648"/>
      <c r="G2132" s="648"/>
      <c r="H2132" s="648"/>
      <c r="I2132" s="667"/>
      <c r="J2132" s="667"/>
      <c r="K2132" s="648"/>
      <c r="M2132" s="648"/>
      <c r="N2132" s="648"/>
      <c r="O2132" s="648"/>
      <c r="P2132" s="648"/>
      <c r="Q2132" s="648"/>
    </row>
    <row r="2133" spans="2:27" s="57" customFormat="1" ht="13">
      <c r="B2133" s="2158" t="s">
        <v>742</v>
      </c>
      <c r="C2133" s="2158"/>
      <c r="D2133" s="2158"/>
      <c r="E2133" s="2158"/>
      <c r="F2133" s="2158"/>
      <c r="G2133" s="2158"/>
      <c r="H2133" s="2158"/>
      <c r="I2133" s="2158"/>
      <c r="J2133" s="2158"/>
      <c r="K2133" s="2158"/>
      <c r="L2133" s="2158"/>
      <c r="M2133" s="2158"/>
      <c r="N2133" s="2158"/>
      <c r="O2133" s="2158"/>
      <c r="P2133" s="2158"/>
      <c r="Q2133" s="2158"/>
      <c r="R2133" s="2158"/>
    </row>
    <row r="2134" spans="2:27" s="57" customFormat="1" ht="13">
      <c r="B2134" s="2159" t="s">
        <v>741</v>
      </c>
      <c r="C2134" s="2159"/>
      <c r="D2134" s="2159"/>
      <c r="E2134" s="2159"/>
      <c r="F2134" s="2159"/>
      <c r="G2134" s="2159"/>
      <c r="H2134" s="2159"/>
      <c r="I2134" s="2159"/>
      <c r="J2134" s="2159"/>
      <c r="K2134" s="2159"/>
      <c r="L2134" s="2159"/>
      <c r="M2134" s="2159"/>
      <c r="N2134" s="2159"/>
      <c r="O2134" s="2159"/>
      <c r="P2134" s="2159"/>
      <c r="Q2134" s="2159"/>
      <c r="R2134" s="2159"/>
    </row>
    <row r="2135" spans="2:27" s="57" customFormat="1" ht="13">
      <c r="B2135" s="581" t="s">
        <v>1098</v>
      </c>
      <c r="C2135" s="611"/>
      <c r="D2135" s="611"/>
      <c r="E2135" s="644"/>
      <c r="F2135" s="644"/>
      <c r="G2135" s="644"/>
      <c r="H2135" s="644"/>
      <c r="I2135" s="644"/>
      <c r="J2135" s="644"/>
      <c r="K2135" s="644"/>
      <c r="L2135" s="644"/>
      <c r="M2135" s="644"/>
      <c r="N2135" s="644"/>
      <c r="O2135" s="644"/>
      <c r="P2135" s="644"/>
      <c r="Q2135" s="644"/>
    </row>
    <row r="2136" spans="2:27" s="57" customFormat="1" ht="13">
      <c r="B2136" s="612" t="s">
        <v>2139</v>
      </c>
      <c r="C2136" s="613"/>
      <c r="D2136" s="613"/>
      <c r="E2136" s="644"/>
      <c r="F2136" s="644"/>
      <c r="G2136" s="644"/>
      <c r="H2136" s="644"/>
      <c r="I2136" s="644"/>
      <c r="J2136" s="644"/>
      <c r="K2136" s="644"/>
      <c r="L2136" s="644"/>
      <c r="M2136" s="644"/>
      <c r="N2136" s="644"/>
      <c r="O2136" s="644"/>
      <c r="P2136" s="644"/>
      <c r="Q2136" s="644"/>
    </row>
    <row r="2137" spans="2:27" s="57" customFormat="1" ht="28.9" customHeight="1">
      <c r="B2137" s="2233" t="s">
        <v>11</v>
      </c>
      <c r="C2137" s="2230" t="s">
        <v>1260</v>
      </c>
      <c r="D2137" s="2231"/>
      <c r="E2137" s="2231"/>
      <c r="F2137" s="2231"/>
      <c r="G2137" s="2231"/>
      <c r="H2137" s="2231"/>
      <c r="I2137" s="2231"/>
      <c r="J2137" s="2232"/>
      <c r="K2137" s="2227" t="s">
        <v>1261</v>
      </c>
      <c r="L2137" s="2228"/>
      <c r="M2137" s="2228"/>
      <c r="N2137" s="2228"/>
      <c r="O2137" s="2228"/>
      <c r="P2137" s="2228"/>
      <c r="Q2137" s="2228"/>
      <c r="R2137" s="2229"/>
    </row>
    <row r="2138" spans="2:27" s="57" customFormat="1" ht="12.5">
      <c r="B2138" s="2234"/>
      <c r="C2138" s="587">
        <v>2014</v>
      </c>
      <c r="D2138" s="588">
        <v>2015</v>
      </c>
      <c r="E2138" s="588">
        <v>2016</v>
      </c>
      <c r="F2138" s="588">
        <v>2017</v>
      </c>
      <c r="G2138" s="588">
        <v>2018</v>
      </c>
      <c r="H2138" s="588">
        <v>2019</v>
      </c>
      <c r="I2138" s="588">
        <v>2020</v>
      </c>
      <c r="J2138" s="848">
        <v>2021</v>
      </c>
      <c r="K2138" s="587">
        <v>2014</v>
      </c>
      <c r="L2138" s="588">
        <v>2015</v>
      </c>
      <c r="M2138" s="588">
        <v>2016</v>
      </c>
      <c r="N2138" s="588">
        <v>2017</v>
      </c>
      <c r="O2138" s="588">
        <v>2018</v>
      </c>
      <c r="P2138" s="588">
        <v>2019</v>
      </c>
      <c r="Q2138" s="588">
        <v>2020</v>
      </c>
      <c r="R2138" s="848">
        <v>2021</v>
      </c>
    </row>
    <row r="2139" spans="2:27" s="57" customFormat="1" ht="13">
      <c r="B2139" s="673" t="s">
        <v>1038</v>
      </c>
      <c r="C2139" s="743"/>
      <c r="D2139" s="743"/>
      <c r="E2139" s="743"/>
      <c r="F2139" s="743"/>
      <c r="G2139" s="743"/>
      <c r="H2139" s="743"/>
      <c r="I2139" s="743"/>
      <c r="J2139" s="743"/>
      <c r="K2139" s="675"/>
      <c r="L2139" s="676"/>
      <c r="M2139" s="676"/>
      <c r="N2139" s="676"/>
      <c r="O2139" s="676"/>
      <c r="P2139" s="676"/>
      <c r="Q2139" s="676"/>
      <c r="R2139" s="793"/>
    </row>
    <row r="2140" spans="2:27" s="57" customFormat="1" ht="12.5">
      <c r="B2140" s="678" t="s">
        <v>95</v>
      </c>
      <c r="C2140" s="102">
        <f>ARG!C396</f>
        <v>1.671845</v>
      </c>
      <c r="D2140" s="102">
        <f>ARG!D396</f>
        <v>1.832902</v>
      </c>
      <c r="E2140" s="102">
        <f>ARG!E396</f>
        <v>1.9241630000000001</v>
      </c>
      <c r="F2140" s="102">
        <f>ARG!F396</f>
        <v>2.1383019999999999</v>
      </c>
      <c r="G2140" s="102">
        <f>ARG!G396</f>
        <v>2.2050329999999998</v>
      </c>
      <c r="H2140" s="102">
        <f>ARG!H396</f>
        <v>2.5373299999999999</v>
      </c>
      <c r="I2140" s="102">
        <f>ARG!I396</f>
        <v>2.621</v>
      </c>
      <c r="J2140" s="102">
        <f>ARG!J396</f>
        <v>2.956</v>
      </c>
      <c r="K2140" s="1700">
        <v>5.0764525993883769</v>
      </c>
      <c r="L2140" s="679">
        <f>IFERROR((D2140/C2140-1)*100,0)</f>
        <v>9.6334887504523348</v>
      </c>
      <c r="M2140" s="679">
        <f t="shared" ref="M2140:R2140" si="753">IFERROR((E2140/D2140-1)*100,0)</f>
        <v>4.9790441605715996</v>
      </c>
      <c r="N2140" s="679">
        <f t="shared" si="753"/>
        <v>11.128942818253961</v>
      </c>
      <c r="O2140" s="679">
        <f t="shared" si="753"/>
        <v>3.1207472097019018</v>
      </c>
      <c r="P2140" s="679">
        <f t="shared" si="753"/>
        <v>15.069933193743591</v>
      </c>
      <c r="Q2140" s="679">
        <f t="shared" si="753"/>
        <v>3.2975608218087649</v>
      </c>
      <c r="R2140" s="680">
        <f t="shared" si="753"/>
        <v>12.781381152231974</v>
      </c>
    </row>
    <row r="2141" spans="2:27" s="57" customFormat="1" ht="12.5">
      <c r="B2141" s="681" t="s">
        <v>93</v>
      </c>
      <c r="C2141" s="102">
        <f>ARG!C421</f>
        <v>0</v>
      </c>
      <c r="D2141" s="102">
        <f>ARG!D421</f>
        <v>47.415227999999999</v>
      </c>
      <c r="E2141" s="102">
        <f>ARG!E421</f>
        <v>53.157995999999997</v>
      </c>
      <c r="F2141" s="102">
        <f>ARG!F421</f>
        <v>63.350816999999999</v>
      </c>
      <c r="G2141" s="102">
        <f>ARG!G421</f>
        <v>75.649491999999995</v>
      </c>
      <c r="H2141" s="102">
        <f>ARG!H421</f>
        <v>95.808566999999996</v>
      </c>
      <c r="I2141" s="102">
        <f>ARG!I421</f>
        <v>100.54600000000001</v>
      </c>
      <c r="J2141" s="102">
        <f>ARG!J421</f>
        <v>115.605</v>
      </c>
      <c r="K2141" s="1700">
        <v>10.912641018035881</v>
      </c>
      <c r="L2141" s="679">
        <f t="shared" ref="L2141:L2148" si="754">IFERROR((D2141/C2141-1)*100,0)</f>
        <v>0</v>
      </c>
      <c r="M2141" s="679">
        <f t="shared" ref="M2141:M2148" si="755">IFERROR((E2141/D2141-1)*100,0)</f>
        <v>12.111653243552901</v>
      </c>
      <c r="N2141" s="679">
        <f t="shared" ref="N2141:N2148" si="756">IFERROR((F2141/E2141-1)*100,0)</f>
        <v>19.174577235755841</v>
      </c>
      <c r="O2141" s="679">
        <f t="shared" ref="O2141:O2148" si="757">IFERROR((G2141/F2141-1)*100,0)</f>
        <v>19.413601248425884</v>
      </c>
      <c r="P2141" s="679">
        <f t="shared" ref="P2141:P2148" si="758">IFERROR((H2141/G2141-1)*100,0)</f>
        <v>26.647997847758198</v>
      </c>
      <c r="Q2141" s="679">
        <f t="shared" ref="Q2141:Q2148" si="759">IFERROR((I2141/H2141-1)*100,0)</f>
        <v>4.9446862095328115</v>
      </c>
      <c r="R2141" s="680">
        <f t="shared" ref="R2141:R2148" si="760">IFERROR((J2141/I2141-1)*100,0)</f>
        <v>14.97722435502158</v>
      </c>
    </row>
    <row r="2142" spans="2:27" s="57" customFormat="1" ht="12.5">
      <c r="B2142" s="681" t="s">
        <v>92</v>
      </c>
      <c r="C2142" s="102">
        <f>ARG!C405</f>
        <v>5.2030000000000002E-3</v>
      </c>
      <c r="D2142" s="102">
        <f>ARG!D405</f>
        <v>3.591E-3</v>
      </c>
      <c r="E2142" s="102">
        <f>ARG!E405</f>
        <v>3.1520000000000003E-3</v>
      </c>
      <c r="F2142" s="102">
        <f>ARG!F405</f>
        <v>2.7160000000000001E-3</v>
      </c>
      <c r="G2142" s="102">
        <f>ARG!G405</f>
        <v>2.8279999999999998E-3</v>
      </c>
      <c r="H2142" s="102">
        <f>ARG!H405</f>
        <v>2.1450000000000002E-3</v>
      </c>
      <c r="I2142" s="102">
        <f>ARG!I405</f>
        <v>2.297E-3</v>
      </c>
      <c r="J2142" s="102">
        <f>ARG!J405</f>
        <v>1E-3</v>
      </c>
      <c r="K2142" s="1700">
        <v>2.2401257614462646</v>
      </c>
      <c r="L2142" s="679">
        <f>IFERROR((D2142/C2142-1)*100,0)</f>
        <v>-30.982125696713435</v>
      </c>
      <c r="M2142" s="679">
        <f t="shared" si="755"/>
        <v>-12.225006961849061</v>
      </c>
      <c r="N2142" s="679">
        <f t="shared" si="756"/>
        <v>-13.832487309644669</v>
      </c>
      <c r="O2142" s="679">
        <f t="shared" si="757"/>
        <v>4.1237113402061709</v>
      </c>
      <c r="P2142" s="679">
        <f t="shared" si="758"/>
        <v>-24.151343705799132</v>
      </c>
      <c r="Q2142" s="679">
        <f t="shared" si="759"/>
        <v>7.0862470862470772</v>
      </c>
      <c r="R2142" s="680">
        <f t="shared" si="760"/>
        <v>-56.464954288201994</v>
      </c>
    </row>
    <row r="2143" spans="2:27" s="57" customFormat="1" ht="12.5">
      <c r="B2143" s="681" t="s">
        <v>89</v>
      </c>
      <c r="C2143" s="102">
        <f>ARG!C412</f>
        <v>9.3089999999999996E-3</v>
      </c>
      <c r="D2143" s="102">
        <f>ARG!D412</f>
        <v>1.0988E-2</v>
      </c>
      <c r="E2143" s="102">
        <f>ARG!E412</f>
        <v>9.196000000000001E-3</v>
      </c>
      <c r="F2143" s="102">
        <f>ARG!F412</f>
        <v>8.4860000000000005E-3</v>
      </c>
      <c r="G2143" s="102">
        <f>ARG!G412</f>
        <v>8.3419999999999987E-3</v>
      </c>
      <c r="H2143" s="102">
        <f>ARG!H412</f>
        <v>7.0009999999999994E-3</v>
      </c>
      <c r="I2143" s="102">
        <f>ARG!I412</f>
        <v>7.0009999999999994E-3</v>
      </c>
      <c r="J2143" s="102">
        <f>ARG!J412</f>
        <v>1.1999999999999999E-3</v>
      </c>
      <c r="K2143" s="1700">
        <v>1.7488250081976027</v>
      </c>
      <c r="L2143" s="679">
        <f t="shared" si="754"/>
        <v>18.03630894832957</v>
      </c>
      <c r="M2143" s="679">
        <f t="shared" si="755"/>
        <v>-16.308700400436827</v>
      </c>
      <c r="N2143" s="679">
        <f t="shared" si="756"/>
        <v>-7.7207481513701719</v>
      </c>
      <c r="O2143" s="679">
        <f t="shared" si="757"/>
        <v>-1.6969125618666259</v>
      </c>
      <c r="P2143" s="679">
        <f t="shared" si="758"/>
        <v>-16.07528170702469</v>
      </c>
      <c r="Q2143" s="679">
        <f t="shared" si="759"/>
        <v>0</v>
      </c>
      <c r="R2143" s="680">
        <f t="shared" si="760"/>
        <v>-82.859591486930441</v>
      </c>
    </row>
    <row r="2144" spans="2:27" s="57" customFormat="1" ht="12.5">
      <c r="B2144" s="678" t="s">
        <v>85</v>
      </c>
      <c r="C2144" s="102">
        <f>ARG!C441</f>
        <v>217.987234</v>
      </c>
      <c r="D2144" s="102">
        <f>ARG!D441</f>
        <v>179.513948</v>
      </c>
      <c r="E2144" s="102">
        <f>ARG!E441</f>
        <v>189.604195</v>
      </c>
      <c r="F2144" s="102">
        <f>ARG!F441</f>
        <v>202.96888499999997</v>
      </c>
      <c r="G2144" s="102">
        <f>ARG!G441</f>
        <v>214.08256800000001</v>
      </c>
      <c r="H2144" s="102">
        <f>ARG!H441</f>
        <v>222.07666499999999</v>
      </c>
      <c r="I2144" s="102">
        <f>ARG!I441</f>
        <v>299.77154999999999</v>
      </c>
      <c r="J2144" s="102">
        <f>ARG!J441</f>
        <v>622.83399999999995</v>
      </c>
      <c r="K2144" s="1700">
        <v>5.8740774298142346</v>
      </c>
      <c r="L2144" s="679">
        <f t="shared" si="754"/>
        <v>-17.649329868555519</v>
      </c>
      <c r="M2144" s="679">
        <f t="shared" si="755"/>
        <v>5.6208707526169466</v>
      </c>
      <c r="N2144" s="679">
        <f t="shared" si="756"/>
        <v>7.0487311739067637</v>
      </c>
      <c r="O2144" s="679">
        <f t="shared" si="757"/>
        <v>5.4755599608284911</v>
      </c>
      <c r="P2144" s="679">
        <f t="shared" si="758"/>
        <v>3.7341186041826457</v>
      </c>
      <c r="Q2144" s="679">
        <f t="shared" si="759"/>
        <v>34.985614089620796</v>
      </c>
      <c r="R2144" s="680">
        <f t="shared" si="760"/>
        <v>107.76954984554069</v>
      </c>
    </row>
    <row r="2145" spans="2:18" s="57" customFormat="1" ht="12.5">
      <c r="B2145" s="682" t="s">
        <v>83</v>
      </c>
      <c r="C2145" s="102">
        <f>ARG!C481</f>
        <v>668.094562</v>
      </c>
      <c r="D2145" s="102">
        <f>ARG!D481</f>
        <v>773.13066300000003</v>
      </c>
      <c r="E2145" s="102">
        <f>ARG!E481</f>
        <v>886.23897299999999</v>
      </c>
      <c r="F2145" s="102">
        <f>ARG!F481</f>
        <v>975.81856800000003</v>
      </c>
      <c r="G2145" s="102">
        <f>ARG!G481</f>
        <v>1123.9076110000001</v>
      </c>
      <c r="H2145" s="102">
        <f>ARG!H481</f>
        <v>1311.514463</v>
      </c>
      <c r="I2145" s="102">
        <f>ARG!I481</f>
        <v>1362.992943</v>
      </c>
      <c r="J2145" s="102">
        <f>ARG!J481</f>
        <v>443.15899999999999</v>
      </c>
      <c r="K2145" s="1700">
        <v>15.458883167848702</v>
      </c>
      <c r="L2145" s="679">
        <f t="shared" si="754"/>
        <v>15.721741647704057</v>
      </c>
      <c r="M2145" s="679">
        <f t="shared" si="755"/>
        <v>14.629908683365711</v>
      </c>
      <c r="N2145" s="679">
        <f t="shared" si="756"/>
        <v>10.107837471507807</v>
      </c>
      <c r="O2145" s="679">
        <f t="shared" si="757"/>
        <v>15.175878780777619</v>
      </c>
      <c r="P2145" s="679">
        <f t="shared" si="758"/>
        <v>16.69237312425318</v>
      </c>
      <c r="Q2145" s="679">
        <f t="shared" si="759"/>
        <v>3.9251172177122928</v>
      </c>
      <c r="R2145" s="680">
        <f t="shared" si="760"/>
        <v>-67.486332025711746</v>
      </c>
    </row>
    <row r="2146" spans="2:18" s="57" customFormat="1" ht="12.5">
      <c r="B2146" s="682" t="s">
        <v>299</v>
      </c>
      <c r="C2146" s="102">
        <f>ARG!C501</f>
        <v>0</v>
      </c>
      <c r="D2146" s="102">
        <f>ARG!D501</f>
        <v>0</v>
      </c>
      <c r="E2146" s="102">
        <f>ARG!E501</f>
        <v>0</v>
      </c>
      <c r="F2146" s="102">
        <f>ARG!F501</f>
        <v>0</v>
      </c>
      <c r="G2146" s="102">
        <f>ARG!G501</f>
        <v>404875.875</v>
      </c>
      <c r="H2146" s="102">
        <f>ARG!H501</f>
        <v>729542.98199999996</v>
      </c>
      <c r="I2146" s="102">
        <f>ARG!I501</f>
        <v>777741.28</v>
      </c>
      <c r="J2146" s="102">
        <f>ARG!J501</f>
        <v>633004.36199999996</v>
      </c>
      <c r="K2146" s="1700">
        <v>0</v>
      </c>
      <c r="L2146" s="679">
        <f t="shared" ref="L2146:L2147" si="761">IFERROR((D2146/C2146-1)*100,0)</f>
        <v>0</v>
      </c>
      <c r="M2146" s="679">
        <f t="shared" ref="M2146:M2147" si="762">IFERROR((E2146/D2146-1)*100,0)</f>
        <v>0</v>
      </c>
      <c r="N2146" s="679">
        <f t="shared" ref="N2146:N2147" si="763">IFERROR((F2146/E2146-1)*100,0)</f>
        <v>0</v>
      </c>
      <c r="O2146" s="679">
        <f t="shared" ref="O2146:O2147" si="764">IFERROR((G2146/F2146-1)*100,0)</f>
        <v>0</v>
      </c>
      <c r="P2146" s="679">
        <f t="shared" ref="P2146:P2147" si="765">IFERROR((H2146/G2146-1)*100,0)</f>
        <v>80.189294311497306</v>
      </c>
      <c r="Q2146" s="679">
        <f t="shared" ref="Q2146:Q2147" si="766">IFERROR((I2146/H2146-1)*100,0)</f>
        <v>6.6066426775660547</v>
      </c>
      <c r="R2146" s="680">
        <f t="shared" ref="R2146:R2147" si="767">IFERROR((J2146/I2146-1)*100,0)</f>
        <v>-18.609905597398669</v>
      </c>
    </row>
    <row r="2147" spans="2:18" s="57" customFormat="1" ht="12.5">
      <c r="B2147" s="682" t="s">
        <v>315</v>
      </c>
      <c r="C2147" s="102">
        <f>ARG!C521</f>
        <v>0</v>
      </c>
      <c r="D2147" s="102">
        <f>ARG!D521</f>
        <v>0</v>
      </c>
      <c r="E2147" s="102">
        <f>ARG!E521</f>
        <v>0</v>
      </c>
      <c r="F2147" s="102">
        <f>ARG!F521</f>
        <v>0</v>
      </c>
      <c r="G2147" s="102">
        <f>ARG!G521</f>
        <v>0</v>
      </c>
      <c r="H2147" s="102">
        <f>ARG!H521</f>
        <v>0</v>
      </c>
      <c r="I2147" s="102">
        <f>ARG!I521</f>
        <v>295.87299999999999</v>
      </c>
      <c r="J2147" s="102">
        <f>ARG!J521</f>
        <v>699.54200000000003</v>
      </c>
      <c r="K2147" s="1700">
        <v>0</v>
      </c>
      <c r="L2147" s="679">
        <f t="shared" si="761"/>
        <v>0</v>
      </c>
      <c r="M2147" s="679">
        <f t="shared" si="762"/>
        <v>0</v>
      </c>
      <c r="N2147" s="679">
        <f t="shared" si="763"/>
        <v>0</v>
      </c>
      <c r="O2147" s="679">
        <f t="shared" si="764"/>
        <v>0</v>
      </c>
      <c r="P2147" s="679">
        <f t="shared" si="765"/>
        <v>0</v>
      </c>
      <c r="Q2147" s="679">
        <f t="shared" si="766"/>
        <v>0</v>
      </c>
      <c r="R2147" s="680">
        <f t="shared" si="767"/>
        <v>136.4331993794635</v>
      </c>
    </row>
    <row r="2148" spans="2:18" s="57" customFormat="1" ht="12.5">
      <c r="B2148" s="678" t="s">
        <v>300</v>
      </c>
      <c r="C2148" s="102">
        <f>ARG!C461</f>
        <v>1126.955046</v>
      </c>
      <c r="D2148" s="102">
        <f>ARG!D461</f>
        <v>1266.2061960000001</v>
      </c>
      <c r="E2148" s="102">
        <f>ARG!E461</f>
        <v>1413.2468630000001</v>
      </c>
      <c r="F2148" s="102">
        <f>ARG!F461</f>
        <v>1557.962865</v>
      </c>
      <c r="G2148" s="102">
        <f>ARG!G461</f>
        <v>1893.174</v>
      </c>
      <c r="H2148" s="102">
        <f>ARG!H461</f>
        <v>1923.645</v>
      </c>
      <c r="I2148" s="102">
        <f>ARG!I461</f>
        <v>2031.6</v>
      </c>
      <c r="J2148" s="102">
        <f>ARG!J461</f>
        <v>1934.53</v>
      </c>
      <c r="K2148" s="1700">
        <v>9.3841375269158664</v>
      </c>
      <c r="L2148" s="679">
        <f t="shared" si="754"/>
        <v>12.356406805600306</v>
      </c>
      <c r="M2148" s="679">
        <f t="shared" si="755"/>
        <v>11.612695267524975</v>
      </c>
      <c r="N2148" s="679">
        <f t="shared" si="756"/>
        <v>10.239966264124645</v>
      </c>
      <c r="O2148" s="679">
        <f t="shared" si="757"/>
        <v>21.515990048966916</v>
      </c>
      <c r="P2148" s="679">
        <f t="shared" si="758"/>
        <v>1.6095192517961987</v>
      </c>
      <c r="Q2148" s="679">
        <f t="shared" si="759"/>
        <v>5.6120022145458304</v>
      </c>
      <c r="R2148" s="680">
        <f t="shared" si="760"/>
        <v>-4.7780074817877498</v>
      </c>
    </row>
    <row r="2149" spans="2:18" s="57" customFormat="1" ht="12.5">
      <c r="B2149" s="678"/>
      <c r="C2149" s="102"/>
      <c r="D2149" s="102"/>
      <c r="E2149" s="102"/>
      <c r="F2149" s="102"/>
      <c r="G2149" s="102"/>
      <c r="H2149" s="102"/>
      <c r="I2149" s="102"/>
      <c r="J2149" s="102"/>
      <c r="K2149" s="1700"/>
      <c r="L2149" s="679"/>
      <c r="M2149" s="679"/>
      <c r="N2149" s="679"/>
      <c r="O2149" s="679"/>
      <c r="P2149" s="679"/>
      <c r="Q2149" s="679"/>
      <c r="R2149" s="680"/>
    </row>
    <row r="2150" spans="2:18" s="57" customFormat="1" ht="13">
      <c r="B2150" s="683" t="s">
        <v>1039</v>
      </c>
      <c r="C2150" s="102"/>
      <c r="D2150" s="102"/>
      <c r="E2150" s="102"/>
      <c r="F2150" s="102"/>
      <c r="G2150" s="102"/>
      <c r="H2150" s="102"/>
      <c r="I2150" s="102"/>
      <c r="J2150" s="102"/>
      <c r="K2150" s="1700"/>
      <c r="L2150" s="679"/>
      <c r="M2150" s="679"/>
      <c r="N2150" s="679"/>
      <c r="O2150" s="679"/>
      <c r="P2150" s="679"/>
      <c r="Q2150" s="679"/>
      <c r="R2150" s="680"/>
    </row>
    <row r="2151" spans="2:18" s="57" customFormat="1" ht="12.5">
      <c r="B2151" s="678" t="s">
        <v>94</v>
      </c>
      <c r="C2151" s="102">
        <f>BA!C306</f>
        <v>0.65254000000000001</v>
      </c>
      <c r="D2151" s="102">
        <f>BA!D306</f>
        <v>0.75653999999999999</v>
      </c>
      <c r="E2151" s="102">
        <f>BA!E306</f>
        <v>0.85504000000000002</v>
      </c>
      <c r="F2151" s="102">
        <f>BA!F306</f>
        <v>0.94157000000000002</v>
      </c>
      <c r="G2151" s="102">
        <f>BA!G306</f>
        <v>0.115068</v>
      </c>
      <c r="H2151" s="102">
        <f>BA!H306</f>
        <v>0.13681499999999999</v>
      </c>
      <c r="I2151" s="102">
        <f>BA!I306</f>
        <v>0.21302499999999999</v>
      </c>
      <c r="J2151" s="102">
        <f>BA!J306</f>
        <v>0.273115</v>
      </c>
      <c r="K2151" s="1700">
        <f>IFERROR((C2151/B2151-1)*100,0)</f>
        <v>0</v>
      </c>
      <c r="L2151" s="679">
        <f>IFERROR((D2151/C2151-1)*100,0)</f>
        <v>15.937720293008862</v>
      </c>
      <c r="M2151" s="679">
        <f t="shared" ref="M2151:R2152" si="768">IFERROR((E2151/D2151-1)*100,0)</f>
        <v>13.019800671478055</v>
      </c>
      <c r="N2151" s="679">
        <f t="shared" si="768"/>
        <v>10.11999438622755</v>
      </c>
      <c r="O2151" s="679">
        <f t="shared" si="768"/>
        <v>-87.77913484924116</v>
      </c>
      <c r="P2151" s="679">
        <f t="shared" si="768"/>
        <v>18.899259568255289</v>
      </c>
      <c r="Q2151" s="679">
        <f t="shared" si="768"/>
        <v>55.702956547162216</v>
      </c>
      <c r="R2151" s="680">
        <f t="shared" si="768"/>
        <v>28.207956812580683</v>
      </c>
    </row>
    <row r="2152" spans="2:18" s="57" customFormat="1" ht="12.5">
      <c r="B2152" s="678" t="s">
        <v>489</v>
      </c>
      <c r="C2152" s="102">
        <f>BA!C316</f>
        <v>2.8084120000000001</v>
      </c>
      <c r="D2152" s="102">
        <f>BA!D316</f>
        <v>2.7431839999999998</v>
      </c>
      <c r="E2152" s="102">
        <f>BA!E316</f>
        <v>2.6111019999999998</v>
      </c>
      <c r="F2152" s="102">
        <f>BA!F316</f>
        <v>2.521096</v>
      </c>
      <c r="G2152" s="102">
        <f>BA!G316</f>
        <v>2.4140999999999999</v>
      </c>
      <c r="H2152" s="102">
        <f>BA!H316</f>
        <v>2.1773159999999998</v>
      </c>
      <c r="I2152" s="102">
        <f>BA!I316</f>
        <v>1.395346</v>
      </c>
      <c r="J2152" s="102">
        <f>BA!J316</f>
        <v>1.2887789999999999</v>
      </c>
      <c r="K2152" s="1700">
        <f>IFERROR((C2152/B2152-1)*100,0)</f>
        <v>0</v>
      </c>
      <c r="L2152" s="679">
        <f>IFERROR((D2152/C2152-1)*100,0)</f>
        <v>-2.3225936935179159</v>
      </c>
      <c r="M2152" s="679">
        <f t="shared" si="768"/>
        <v>-4.8149158058664714</v>
      </c>
      <c r="N2152" s="679">
        <f t="shared" si="768"/>
        <v>-3.4470503258777208</v>
      </c>
      <c r="O2152" s="679">
        <f t="shared" si="768"/>
        <v>-4.2440272008681941</v>
      </c>
      <c r="P2152" s="679">
        <f t="shared" si="768"/>
        <v>-9.8083757922207031</v>
      </c>
      <c r="Q2152" s="679">
        <f t="shared" si="768"/>
        <v>-35.914401033198672</v>
      </c>
      <c r="R2152" s="680">
        <f t="shared" si="768"/>
        <v>-7.6373171958783015</v>
      </c>
    </row>
    <row r="2153" spans="2:18" s="57" customFormat="1" ht="12.5">
      <c r="B2153" s="678"/>
      <c r="C2153" s="679"/>
      <c r="D2153" s="679"/>
      <c r="E2153" s="679"/>
      <c r="F2153" s="679"/>
      <c r="G2153" s="679"/>
      <c r="H2153" s="679"/>
      <c r="I2153" s="679"/>
      <c r="K2153" s="1700"/>
      <c r="L2153" s="679"/>
      <c r="M2153" s="679"/>
      <c r="N2153" s="679"/>
      <c r="O2153" s="679"/>
      <c r="P2153" s="679"/>
      <c r="Q2153" s="679"/>
      <c r="R2153" s="656"/>
    </row>
    <row r="2154" spans="2:18" s="57" customFormat="1" ht="13">
      <c r="B2154" s="683" t="s">
        <v>1040</v>
      </c>
      <c r="C2154" s="679"/>
      <c r="D2154" s="679"/>
      <c r="E2154" s="679"/>
      <c r="F2154" s="679"/>
      <c r="G2154" s="679"/>
      <c r="H2154" s="679"/>
      <c r="I2154" s="679"/>
      <c r="K2154" s="1700"/>
      <c r="L2154" s="679"/>
      <c r="M2154" s="679"/>
      <c r="N2154" s="679"/>
      <c r="O2154" s="679"/>
      <c r="P2154" s="679"/>
      <c r="Q2154" s="679"/>
      <c r="R2154" s="656"/>
    </row>
    <row r="2155" spans="2:18" s="57" customFormat="1" ht="12.5">
      <c r="B2155" s="678" t="s">
        <v>1262</v>
      </c>
      <c r="C2155" s="102">
        <f>BO!C371</f>
        <v>7.5971999999999998E-2</v>
      </c>
      <c r="D2155" s="102">
        <f>BO!D371</f>
        <v>9.5062999999999995E-2</v>
      </c>
      <c r="E2155" s="102">
        <f>BO!E371</f>
        <v>0.120353</v>
      </c>
      <c r="F2155" s="102">
        <f>BO!F371</f>
        <v>0.137743</v>
      </c>
      <c r="G2155" s="102">
        <f>BO!G371</f>
        <v>0.13645299999999999</v>
      </c>
      <c r="H2155" s="102">
        <f>BO!H371</f>
        <v>0.15304100000000001</v>
      </c>
      <c r="I2155" s="102">
        <f>BO!I371</f>
        <v>0.14846699999999999</v>
      </c>
      <c r="J2155" s="102">
        <f>BO!J371</f>
        <v>0.17538500000000001</v>
      </c>
      <c r="K2155" s="1700">
        <v>15.299509796482056</v>
      </c>
      <c r="L2155" s="679">
        <f>IFERROR((D2155/C2155-1)*100,0)</f>
        <v>25.12899489285525</v>
      </c>
      <c r="M2155" s="679">
        <f t="shared" ref="M2155:R2155" si="769">IFERROR((E2155/D2155-1)*100,0)</f>
        <v>26.603410369965186</v>
      </c>
      <c r="N2155" s="679">
        <f t="shared" si="769"/>
        <v>14.449162048307906</v>
      </c>
      <c r="O2155" s="679">
        <f t="shared" si="769"/>
        <v>-0.93652672005112292</v>
      </c>
      <c r="P2155" s="679">
        <f t="shared" si="769"/>
        <v>12.156566729936324</v>
      </c>
      <c r="Q2155" s="679">
        <f t="shared" si="769"/>
        <v>-2.9887415790539884</v>
      </c>
      <c r="R2155" s="680">
        <f t="shared" si="769"/>
        <v>18.130628355122713</v>
      </c>
    </row>
    <row r="2156" spans="2:18" s="57" customFormat="1" ht="12.5">
      <c r="B2156" s="678" t="s">
        <v>489</v>
      </c>
      <c r="C2156" s="102">
        <f>BO!C380</f>
        <v>1.30646</v>
      </c>
      <c r="D2156" s="102">
        <f>BO!D380</f>
        <v>1.9275519999999999</v>
      </c>
      <c r="E2156" s="102">
        <f>BO!E380</f>
        <v>3.0306700000000002</v>
      </c>
      <c r="F2156" s="102">
        <f>BO!F380</f>
        <v>5.008114</v>
      </c>
      <c r="G2156" s="102">
        <f>BO!G380</f>
        <v>8.144577</v>
      </c>
      <c r="H2156" s="102">
        <f>BO!H380</f>
        <v>13.737387</v>
      </c>
      <c r="I2156" s="102">
        <f>BO!I380</f>
        <v>28.063564</v>
      </c>
      <c r="J2156" s="102">
        <f>BO!J380</f>
        <v>54.892294999999997</v>
      </c>
      <c r="K2156" s="1700">
        <v>38.354709340314294</v>
      </c>
      <c r="L2156" s="679">
        <f t="shared" ref="L2156:L2160" si="770">IFERROR((D2156/C2156-1)*100,0)</f>
        <v>47.540070113130128</v>
      </c>
      <c r="M2156" s="679">
        <f t="shared" ref="M2156:M2160" si="771">IFERROR((E2156/D2156-1)*100,0)</f>
        <v>57.228961916461941</v>
      </c>
      <c r="N2156" s="679">
        <f t="shared" ref="N2156:N2160" si="772">IFERROR((F2156/E2156-1)*100,0)</f>
        <v>65.247750497414756</v>
      </c>
      <c r="O2156" s="679">
        <f t="shared" ref="O2156:O2160" si="773">IFERROR((G2156/F2156-1)*100,0)</f>
        <v>62.627627885467476</v>
      </c>
      <c r="P2156" s="679">
        <f t="shared" ref="P2156:P2160" si="774">IFERROR((H2156/G2156-1)*100,0)</f>
        <v>68.669127936294288</v>
      </c>
      <c r="Q2156" s="679">
        <f t="shared" ref="Q2156:Q2160" si="775">IFERROR((I2156/H2156-1)*100,0)</f>
        <v>104.28604071502096</v>
      </c>
      <c r="R2156" s="680">
        <f t="shared" ref="R2156" si="776">IFERROR((J2156/I2156-1)*100,0)</f>
        <v>95.59987106413142</v>
      </c>
    </row>
    <row r="2157" spans="2:18" s="57" customFormat="1" ht="12.5">
      <c r="B2157" s="678" t="s">
        <v>1263</v>
      </c>
      <c r="C2157" s="102">
        <f>BO!C420</f>
        <v>0</v>
      </c>
      <c r="D2157" s="102">
        <f>BO!D420</f>
        <v>2.03464</v>
      </c>
      <c r="E2157" s="102">
        <f>BO!E420</f>
        <v>1.9414130000000001</v>
      </c>
      <c r="F2157" s="102">
        <f>BO!F420</f>
        <v>1.857443</v>
      </c>
      <c r="G2157" s="102">
        <f>BO!G420</f>
        <v>1.7440389999999999</v>
      </c>
      <c r="H2157" s="102">
        <f>BO!H420</f>
        <v>1.589081</v>
      </c>
      <c r="I2157" s="102">
        <f>BO!I420</f>
        <v>0.84394499999999995</v>
      </c>
      <c r="J2157" s="102">
        <f>BO!J420</f>
        <v>0.85152399999999995</v>
      </c>
      <c r="K2157" s="1700"/>
      <c r="L2157" s="679">
        <f t="shared" ref="L2157:R2157" si="777">IFERROR((D2158/C2158-1)*100,0)</f>
        <v>0</v>
      </c>
      <c r="M2157" s="679">
        <f t="shared" si="777"/>
        <v>0</v>
      </c>
      <c r="N2157" s="679">
        <f t="shared" si="777"/>
        <v>0</v>
      </c>
      <c r="O2157" s="679">
        <f t="shared" si="777"/>
        <v>0</v>
      </c>
      <c r="P2157" s="679">
        <f t="shared" si="777"/>
        <v>0</v>
      </c>
      <c r="Q2157" s="679">
        <f t="shared" si="777"/>
        <v>0</v>
      </c>
      <c r="R2157" s="680">
        <f t="shared" si="777"/>
        <v>1900</v>
      </c>
    </row>
    <row r="2158" spans="2:18" s="57" customFormat="1" ht="12.5">
      <c r="B2158" s="678" t="s">
        <v>2116</v>
      </c>
      <c r="C2158" s="102" t="str">
        <f>BO!C400</f>
        <v>0</v>
      </c>
      <c r="D2158" s="102" t="str">
        <f>BO!D400</f>
        <v>0</v>
      </c>
      <c r="E2158" s="102" t="str">
        <f>BO!E400</f>
        <v>0</v>
      </c>
      <c r="F2158" s="102" t="str">
        <f>BO!F400</f>
        <v>0</v>
      </c>
      <c r="G2158" s="102" t="str">
        <f>BO!G400</f>
        <v>0</v>
      </c>
      <c r="H2158" s="102" t="str">
        <f>BO!H400</f>
        <v>0</v>
      </c>
      <c r="I2158" s="102">
        <f>BO!I400</f>
        <v>1.4E-5</v>
      </c>
      <c r="J2158" s="102">
        <f>BO!J400</f>
        <v>2.7999999999999998E-4</v>
      </c>
      <c r="K2158" s="1700">
        <v>3.2863886423095714</v>
      </c>
      <c r="L2158" s="679">
        <f t="shared" ref="L2158:R2158" si="778">IFERROR((D2157/C2157-1)*100,0)</f>
        <v>0</v>
      </c>
      <c r="M2158" s="679">
        <f t="shared" si="778"/>
        <v>-4.5819899343372716</v>
      </c>
      <c r="N2158" s="679">
        <f t="shared" si="778"/>
        <v>-4.3252002536297018</v>
      </c>
      <c r="O2158" s="679">
        <f t="shared" si="778"/>
        <v>-6.1053825070271355</v>
      </c>
      <c r="P2158" s="679">
        <f t="shared" si="778"/>
        <v>-8.8850077320518643</v>
      </c>
      <c r="Q2158" s="679">
        <f t="shared" si="778"/>
        <v>-46.891001780274266</v>
      </c>
      <c r="R2158" s="680">
        <f t="shared" si="778"/>
        <v>0.89804430383495504</v>
      </c>
    </row>
    <row r="2159" spans="2:18" s="57" customFormat="1" ht="12.5">
      <c r="B2159" s="678" t="s">
        <v>2128</v>
      </c>
      <c r="C2159" s="102">
        <f>BO!C441</f>
        <v>0</v>
      </c>
      <c r="D2159" s="102">
        <f>BO!D441</f>
        <v>50.940327618200762</v>
      </c>
      <c r="E2159" s="102">
        <f>BO!E441</f>
        <v>49.887750999999994</v>
      </c>
      <c r="F2159" s="102">
        <f>BO!F441</f>
        <v>55.960178999999997</v>
      </c>
      <c r="G2159" s="102">
        <f>BO!G441</f>
        <v>62.241268210000001</v>
      </c>
      <c r="H2159" s="102">
        <f>BO!H441</f>
        <v>72.318009000000004</v>
      </c>
      <c r="I2159" s="102">
        <f>BO!I441</f>
        <v>61.473779999999998</v>
      </c>
      <c r="J2159" s="102">
        <f>BO!J441</f>
        <v>80.939918000000006</v>
      </c>
      <c r="K2159" s="1700"/>
      <c r="L2159" s="679">
        <f t="shared" ref="L2159" si="779">IFERROR((D2159/C2159-1)*100,0)</f>
        <v>0</v>
      </c>
      <c r="M2159" s="679">
        <f t="shared" ref="M2159" si="780">IFERROR((E2159/D2159-1)*100,0)</f>
        <v>-2.06629338171882</v>
      </c>
      <c r="N2159" s="679">
        <f t="shared" ref="N2159" si="781">IFERROR((F2159/E2159-1)*100,0)</f>
        <v>12.172182305832946</v>
      </c>
      <c r="O2159" s="679">
        <f t="shared" ref="O2159" si="782">IFERROR((G2159/F2159-1)*100,0)</f>
        <v>11.224212149142708</v>
      </c>
      <c r="P2159" s="679">
        <f t="shared" ref="P2159" si="783">IFERROR((H2159/G2159-1)*100,0)</f>
        <v>16.189806345207192</v>
      </c>
      <c r="Q2159" s="679">
        <f t="shared" ref="Q2159" si="784">IFERROR((I2159/H2159-1)*100,0)</f>
        <v>-14.995198498896734</v>
      </c>
      <c r="R2159" s="680">
        <f t="shared" ref="R2159" si="785">IFERROR((J2159/I2159-1)*100,0)</f>
        <v>31.665757335891833</v>
      </c>
    </row>
    <row r="2160" spans="2:18" s="57" customFormat="1" ht="12.5">
      <c r="B2160" s="678" t="s">
        <v>2129</v>
      </c>
      <c r="C2160" s="102">
        <f>BO!C461</f>
        <v>0</v>
      </c>
      <c r="D2160" s="102">
        <f>BO!D461</f>
        <v>7.8869669999999994</v>
      </c>
      <c r="E2160" s="102">
        <f>BO!E461</f>
        <v>9.7272577699999996</v>
      </c>
      <c r="F2160" s="102">
        <f>BO!F461</f>
        <v>10.766479</v>
      </c>
      <c r="G2160" s="102">
        <f>BO!G461</f>
        <v>13.664197</v>
      </c>
      <c r="H2160" s="102">
        <f>BO!H461</f>
        <v>17.494216999999999</v>
      </c>
      <c r="I2160" s="102">
        <f>BO!I461</f>
        <v>15.202349999999999</v>
      </c>
      <c r="J2160" s="102">
        <f>BO!J461</f>
        <v>24.834733999999997</v>
      </c>
      <c r="K2160" s="1700">
        <v>8.5802544471174915</v>
      </c>
      <c r="L2160" s="679">
        <f t="shared" si="770"/>
        <v>0</v>
      </c>
      <c r="M2160" s="679">
        <f t="shared" si="771"/>
        <v>23.33331393424114</v>
      </c>
      <c r="N2160" s="679">
        <f t="shared" si="772"/>
        <v>10.683599166098801</v>
      </c>
      <c r="O2160" s="679">
        <f t="shared" si="773"/>
        <v>26.914258598377415</v>
      </c>
      <c r="P2160" s="679">
        <f t="shared" si="774"/>
        <v>28.029601739494826</v>
      </c>
      <c r="Q2160" s="679">
        <f t="shared" si="775"/>
        <v>-13.100712081026543</v>
      </c>
      <c r="R2160" s="680">
        <f>IFERROR((J2159/I2160-1)*100,0)</f>
        <v>432.41714603334361</v>
      </c>
    </row>
    <row r="2161" spans="2:18" s="57" customFormat="1" ht="12.5">
      <c r="B2161" s="1882"/>
      <c r="K2161" s="1700"/>
      <c r="L2161" s="679"/>
      <c r="M2161" s="679"/>
      <c r="N2161" s="679"/>
      <c r="O2161" s="679"/>
      <c r="P2161" s="679"/>
      <c r="Q2161" s="679"/>
      <c r="R2161" s="656"/>
    </row>
    <row r="2162" spans="2:18" s="57" customFormat="1" ht="13">
      <c r="B2162" s="683" t="s">
        <v>1041</v>
      </c>
      <c r="C2162" s="679"/>
      <c r="D2162" s="679"/>
      <c r="E2162" s="679"/>
      <c r="F2162" s="679"/>
      <c r="G2162" s="679"/>
      <c r="H2162" s="679"/>
      <c r="I2162" s="679"/>
      <c r="J2162" s="679"/>
      <c r="K2162" s="1700"/>
      <c r="L2162" s="679"/>
      <c r="M2162" s="679"/>
      <c r="N2162" s="679"/>
      <c r="O2162" s="679"/>
      <c r="P2162" s="679"/>
      <c r="Q2162" s="679"/>
      <c r="R2162" s="656"/>
    </row>
    <row r="2163" spans="2:18" s="57" customFormat="1" ht="12.5">
      <c r="B2163" s="684" t="s">
        <v>940</v>
      </c>
      <c r="C2163" s="102">
        <f>BR!C392</f>
        <v>36.502000000000002</v>
      </c>
      <c r="D2163" s="102">
        <f>BR!D392</f>
        <v>42.537999999999997</v>
      </c>
      <c r="E2163" s="102">
        <f>BR!E392</f>
        <v>69.584999999999994</v>
      </c>
      <c r="F2163" s="102">
        <f>BR!F392</f>
        <v>74.602999999999994</v>
      </c>
      <c r="G2163" s="102">
        <f>BR!G392</f>
        <v>78.497</v>
      </c>
      <c r="H2163" s="102">
        <f>BR!H392</f>
        <v>213.56100000000001</v>
      </c>
      <c r="I2163" s="102">
        <f>BR!I392</f>
        <v>532.05758700000001</v>
      </c>
      <c r="J2163" s="102">
        <f>BR!J392</f>
        <v>417.25</v>
      </c>
      <c r="K2163" s="1700">
        <v>20.021043632657097</v>
      </c>
      <c r="L2163" s="679">
        <f>IFERROR((D2163/C2163-1)*100,0)</f>
        <v>16.536080214782743</v>
      </c>
      <c r="M2163" s="679">
        <f t="shared" ref="M2163:R2163" si="786">IFERROR((E2163/D2163-1)*100,0)</f>
        <v>63.583149184258779</v>
      </c>
      <c r="N2163" s="679">
        <f t="shared" si="786"/>
        <v>7.2113242796579824</v>
      </c>
      <c r="O2163" s="679">
        <f t="shared" si="786"/>
        <v>5.2196292374301345</v>
      </c>
      <c r="P2163" s="679">
        <f t="shared" si="786"/>
        <v>172.06262659719482</v>
      </c>
      <c r="Q2163" s="679">
        <f t="shared" si="786"/>
        <v>149.13611895430344</v>
      </c>
      <c r="R2163" s="680">
        <f t="shared" si="786"/>
        <v>-21.578037754774094</v>
      </c>
    </row>
    <row r="2164" spans="2:18" s="57" customFormat="1" ht="12.5">
      <c r="B2164" s="684" t="s">
        <v>984</v>
      </c>
      <c r="C2164" s="102">
        <f>BR!C415</f>
        <v>226.941</v>
      </c>
      <c r="D2164" s="102">
        <f>BR!D415</f>
        <v>294.10000000000002</v>
      </c>
      <c r="E2164" s="102">
        <f>BR!E415</f>
        <v>411.31099999999998</v>
      </c>
      <c r="F2164" s="102">
        <f>BR!F415</f>
        <v>534.58500000000004</v>
      </c>
      <c r="G2164" s="102">
        <f>BR!G415</f>
        <v>637.29499999999996</v>
      </c>
      <c r="H2164" s="102">
        <f>BR!H415</f>
        <v>839.47446000000002</v>
      </c>
      <c r="I2164" s="102">
        <f>BR!I415</f>
        <v>1331.5828690000001</v>
      </c>
      <c r="J2164" s="102">
        <f>BR!J415</f>
        <v>893.43643499999996</v>
      </c>
      <c r="K2164" s="1700">
        <v>29.178620218579233</v>
      </c>
      <c r="L2164" s="679">
        <f t="shared" ref="L2164:L2168" si="787">IFERROR((D2164/C2164-1)*100,0)</f>
        <v>29.593154167823354</v>
      </c>
      <c r="M2164" s="679">
        <f t="shared" ref="M2164:M2168" si="788">IFERROR((E2164/D2164-1)*100,0)</f>
        <v>39.854131247874847</v>
      </c>
      <c r="N2164" s="679">
        <f t="shared" ref="N2164:N2168" si="789">IFERROR((F2164/E2164-1)*100,0)</f>
        <v>29.970995183693127</v>
      </c>
      <c r="O2164" s="679">
        <f t="shared" ref="O2164:O2168" si="790">IFERROR((G2164/F2164-1)*100,0)</f>
        <v>19.213034409869323</v>
      </c>
      <c r="P2164" s="679">
        <f t="shared" ref="P2164:P2168" si="791">IFERROR((H2164/G2164-1)*100,0)</f>
        <v>31.724626742717277</v>
      </c>
      <c r="Q2164" s="679">
        <f t="shared" ref="Q2164:Q2168" si="792">IFERROR((I2164/H2164-1)*100,0)</f>
        <v>58.621010221085236</v>
      </c>
      <c r="R2164" s="680">
        <f t="shared" ref="R2164:R2168" si="793">IFERROR((J2164/I2164-1)*100,0)</f>
        <v>-32.904180746110221</v>
      </c>
    </row>
    <row r="2165" spans="2:18" s="57" customFormat="1" ht="12.5">
      <c r="B2165" s="684" t="s">
        <v>942</v>
      </c>
      <c r="C2165" s="102">
        <f>BR!C406</f>
        <v>2.9000000000000001E-2</v>
      </c>
      <c r="D2165" s="102">
        <f>BR!D406</f>
        <v>3.2000000000000001E-2</v>
      </c>
      <c r="E2165" s="102">
        <f>BR!E406</f>
        <v>2.4E-2</v>
      </c>
      <c r="F2165" s="102">
        <f>BR!F406</f>
        <v>2.4E-2</v>
      </c>
      <c r="G2165" s="102">
        <f>BR!G406</f>
        <v>2.1000000000000001E-2</v>
      </c>
      <c r="H2165" s="102">
        <f>BR!H406</f>
        <v>2.1999999999999999E-2</v>
      </c>
      <c r="I2165" s="102">
        <f>BR!I406</f>
        <v>1.7377E-2</v>
      </c>
      <c r="J2165" s="102">
        <f>BR!J406</f>
        <v>1.8329000000000002E-2</v>
      </c>
      <c r="K2165" s="1700">
        <v>-15.049230502699732</v>
      </c>
      <c r="L2165" s="679">
        <f t="shared" si="787"/>
        <v>10.344827586206895</v>
      </c>
      <c r="M2165" s="679">
        <f t="shared" si="788"/>
        <v>-25</v>
      </c>
      <c r="N2165" s="679">
        <f t="shared" si="789"/>
        <v>0</v>
      </c>
      <c r="O2165" s="679">
        <f t="shared" si="790"/>
        <v>-12.5</v>
      </c>
      <c r="P2165" s="679">
        <f t="shared" si="791"/>
        <v>4.761904761904745</v>
      </c>
      <c r="Q2165" s="679">
        <f t="shared" si="792"/>
        <v>-21.013636363636358</v>
      </c>
      <c r="R2165" s="680">
        <f t="shared" si="793"/>
        <v>5.4785060712436051</v>
      </c>
    </row>
    <row r="2166" spans="2:18" s="57" customFormat="1" ht="12.5">
      <c r="B2166" s="684" t="s">
        <v>944</v>
      </c>
      <c r="C2166" s="102">
        <f>BR!C455</f>
        <v>5877.518</v>
      </c>
      <c r="D2166" s="102">
        <f>BR!D455</f>
        <v>6582.2920000000004</v>
      </c>
      <c r="E2166" s="102">
        <f>BR!E455</f>
        <v>7613.3819999999996</v>
      </c>
      <c r="F2166" s="102">
        <f>BR!F455</f>
        <v>9144.8639999999996</v>
      </c>
      <c r="G2166" s="102">
        <f>BR!G455</f>
        <v>3899.893</v>
      </c>
      <c r="H2166" s="102">
        <f>BR!H455</f>
        <v>4279.01</v>
      </c>
      <c r="I2166" s="102">
        <f>BR!I455</f>
        <v>4976.7767720000002</v>
      </c>
      <c r="J2166" s="102">
        <f>BR!J455</f>
        <v>5398.9395160000004</v>
      </c>
      <c r="K2166" s="1700">
        <v>15.796985209356961</v>
      </c>
      <c r="L2166" s="679">
        <f t="shared" si="787"/>
        <v>11.991013893960002</v>
      </c>
      <c r="M2166" s="679">
        <f t="shared" si="788"/>
        <v>15.664604365774103</v>
      </c>
      <c r="N2166" s="679">
        <f t="shared" si="789"/>
        <v>20.1156595058543</v>
      </c>
      <c r="O2166" s="679">
        <f t="shared" si="790"/>
        <v>-57.354281047809998</v>
      </c>
      <c r="P2166" s="679">
        <f t="shared" si="791"/>
        <v>9.7212154282181551</v>
      </c>
      <c r="Q2166" s="679">
        <f t="shared" si="792"/>
        <v>16.306733847315158</v>
      </c>
      <c r="R2166" s="680">
        <f t="shared" si="793"/>
        <v>8.4826538006515193</v>
      </c>
    </row>
    <row r="2167" spans="2:18" s="57" customFormat="1" ht="12.5">
      <c r="B2167" s="684" t="s">
        <v>945</v>
      </c>
      <c r="C2167" s="102">
        <f>BR!C475</f>
        <v>0</v>
      </c>
      <c r="D2167" s="102">
        <f>BR!D475</f>
        <v>0</v>
      </c>
      <c r="E2167" s="102">
        <f>BR!E475</f>
        <v>0</v>
      </c>
      <c r="F2167" s="102">
        <f>BR!F475</f>
        <v>0</v>
      </c>
      <c r="G2167" s="102">
        <f>BR!G475</f>
        <v>0</v>
      </c>
      <c r="H2167" s="102">
        <f>BR!H475</f>
        <v>0</v>
      </c>
      <c r="I2167" s="102">
        <f>BR!I475</f>
        <v>154.41584800000001</v>
      </c>
      <c r="J2167" s="102">
        <f>BR!J475</f>
        <v>7979.11</v>
      </c>
      <c r="K2167" s="1700"/>
      <c r="L2167" s="679">
        <f t="shared" si="787"/>
        <v>0</v>
      </c>
      <c r="M2167" s="679">
        <f t="shared" si="788"/>
        <v>0</v>
      </c>
      <c r="N2167" s="679">
        <f t="shared" si="789"/>
        <v>0</v>
      </c>
      <c r="O2167" s="679">
        <f t="shared" si="790"/>
        <v>0</v>
      </c>
      <c r="P2167" s="679">
        <f t="shared" si="791"/>
        <v>0</v>
      </c>
      <c r="Q2167" s="679">
        <f t="shared" si="792"/>
        <v>0</v>
      </c>
      <c r="R2167" s="680">
        <f t="shared" si="793"/>
        <v>5067.2869743266237</v>
      </c>
    </row>
    <row r="2168" spans="2:18" s="57" customFormat="1" ht="12.5">
      <c r="B2168" s="684" t="s">
        <v>943</v>
      </c>
      <c r="C2168" s="102">
        <f>BR!C435</f>
        <v>799.73500000000001</v>
      </c>
      <c r="D2168" s="102">
        <f>BR!D435</f>
        <v>711.6</v>
      </c>
      <c r="E2168" s="102">
        <f>BR!E435</f>
        <v>694.33</v>
      </c>
      <c r="F2168" s="102">
        <f>BR!F435</f>
        <v>517.53700000000003</v>
      </c>
      <c r="G2168" s="102">
        <f>BR!G435</f>
        <v>449.25900000000001</v>
      </c>
      <c r="H2168" s="102">
        <f>BR!H435</f>
        <v>399.74299999999999</v>
      </c>
      <c r="I2168" s="102">
        <f>BR!I435</f>
        <v>294.96826800000002</v>
      </c>
      <c r="J2168" s="102">
        <f>BR!J435</f>
        <v>239.621793</v>
      </c>
      <c r="K2168" s="1700">
        <v>-9.8772346582764623</v>
      </c>
      <c r="L2168" s="679">
        <f t="shared" si="787"/>
        <v>-11.020525549088134</v>
      </c>
      <c r="M2168" s="679">
        <f t="shared" si="788"/>
        <v>-2.4269252388982587</v>
      </c>
      <c r="N2168" s="679">
        <f t="shared" si="789"/>
        <v>-25.462388201575614</v>
      </c>
      <c r="O2168" s="679">
        <f t="shared" si="790"/>
        <v>-13.192873166556208</v>
      </c>
      <c r="P2168" s="679">
        <f t="shared" si="791"/>
        <v>-11.021704629178275</v>
      </c>
      <c r="Q2168" s="679">
        <f t="shared" si="792"/>
        <v>-26.210523261195306</v>
      </c>
      <c r="R2168" s="680">
        <f t="shared" si="793"/>
        <v>-18.763535269495502</v>
      </c>
    </row>
    <row r="2169" spans="2:18" s="57" customFormat="1" ht="12.5">
      <c r="B2169" s="684"/>
      <c r="C2169" s="679"/>
      <c r="E2169" s="679"/>
      <c r="F2169" s="679"/>
      <c r="G2169" s="679"/>
      <c r="H2169" s="679"/>
      <c r="I2169" s="679"/>
      <c r="J2169" s="679"/>
      <c r="K2169" s="1700"/>
      <c r="L2169" s="679"/>
      <c r="M2169" s="679"/>
      <c r="N2169" s="679"/>
      <c r="O2169" s="679"/>
      <c r="P2169" s="679"/>
      <c r="Q2169" s="679"/>
      <c r="R2169" s="656"/>
    </row>
    <row r="2170" spans="2:18" s="57" customFormat="1" ht="13">
      <c r="B2170" s="685" t="s">
        <v>1042</v>
      </c>
      <c r="C2170" s="679"/>
      <c r="D2170" s="679"/>
      <c r="E2170" s="679"/>
      <c r="F2170" s="679"/>
      <c r="G2170" s="679"/>
      <c r="H2170" s="679"/>
      <c r="I2170" s="679"/>
      <c r="J2170" s="679"/>
      <c r="K2170" s="1700"/>
      <c r="L2170" s="679"/>
      <c r="M2170" s="679"/>
      <c r="N2170" s="679"/>
      <c r="O2170" s="679"/>
      <c r="P2170" s="679"/>
      <c r="Q2170" s="679"/>
      <c r="R2170" s="656"/>
    </row>
    <row r="2171" spans="2:18" s="57" customFormat="1" ht="12.5">
      <c r="B2171" s="684" t="s">
        <v>94</v>
      </c>
      <c r="C2171" s="102">
        <f>CL!C336</f>
        <v>383942</v>
      </c>
      <c r="D2171" s="102">
        <f>CL!D336</f>
        <v>380932</v>
      </c>
      <c r="E2171" s="102">
        <f>CL!E336</f>
        <v>338696</v>
      </c>
      <c r="F2171" s="102">
        <f>CL!F336</f>
        <v>318204</v>
      </c>
      <c r="G2171" s="102">
        <f>CL!G336</f>
        <v>400276</v>
      </c>
      <c r="H2171" s="102">
        <f>CL!H336</f>
        <v>438637</v>
      </c>
      <c r="I2171" s="102">
        <f>CL!I336</f>
        <v>412230</v>
      </c>
      <c r="J2171" s="102">
        <f>CL!J336</f>
        <v>403499</v>
      </c>
      <c r="K2171" s="1700">
        <v>6.4910811233678904</v>
      </c>
      <c r="L2171" s="679">
        <f>IFERROR((D2171/C2171-1)*100,0)</f>
        <v>-0.78397257919164964</v>
      </c>
      <c r="M2171" s="679">
        <f t="shared" ref="M2171:R2171" si="794">IFERROR((E2171/D2171-1)*100,0)</f>
        <v>-11.087543183560323</v>
      </c>
      <c r="N2171" s="679">
        <f t="shared" si="794"/>
        <v>-6.0502633630158069</v>
      </c>
      <c r="O2171" s="679">
        <f t="shared" si="794"/>
        <v>25.792259053940249</v>
      </c>
      <c r="P2171" s="679">
        <f t="shared" si="794"/>
        <v>9.5836372902697207</v>
      </c>
      <c r="Q2171" s="679">
        <f t="shared" si="794"/>
        <v>-6.0202399706363092</v>
      </c>
      <c r="R2171" s="680">
        <f t="shared" si="794"/>
        <v>-2.1179923828930414</v>
      </c>
    </row>
    <row r="2172" spans="2:18" s="57" customFormat="1" ht="12.5">
      <c r="B2172" s="684" t="s">
        <v>489</v>
      </c>
      <c r="C2172" s="102">
        <f>CL!C348</f>
        <v>0</v>
      </c>
      <c r="D2172" s="102">
        <f>CL!D348</f>
        <v>0</v>
      </c>
      <c r="E2172" s="102">
        <f>CL!E348</f>
        <v>0</v>
      </c>
      <c r="F2172" s="102">
        <f>CL!F348</f>
        <v>0</v>
      </c>
      <c r="G2172" s="102">
        <f>CL!G348</f>
        <v>0</v>
      </c>
      <c r="H2172" s="102">
        <f>CL!H348</f>
        <v>0</v>
      </c>
      <c r="I2172" s="102">
        <f>CL!I348</f>
        <v>0</v>
      </c>
      <c r="J2172" s="102">
        <f>CL!J348</f>
        <v>0</v>
      </c>
      <c r="K2172" s="1700"/>
      <c r="L2172" s="679">
        <f t="shared" ref="L2172:L2173" si="795">IFERROR((D2172/C2172-1)*100,0)</f>
        <v>0</v>
      </c>
      <c r="M2172" s="679">
        <f t="shared" ref="M2172:M2173" si="796">IFERROR((E2172/D2172-1)*100,0)</f>
        <v>0</v>
      </c>
      <c r="N2172" s="679">
        <f t="shared" ref="N2172:N2173" si="797">IFERROR((F2172/E2172-1)*100,0)</f>
        <v>0</v>
      </c>
      <c r="O2172" s="679">
        <f t="shared" ref="O2172:O2173" si="798">IFERROR((G2172/F2172-1)*100,0)</f>
        <v>0</v>
      </c>
      <c r="P2172" s="679">
        <f t="shared" ref="P2172:P2173" si="799">IFERROR((H2172/G2172-1)*100,0)</f>
        <v>0</v>
      </c>
      <c r="Q2172" s="679">
        <f t="shared" ref="Q2172:Q2173" si="800">IFERROR((I2172/H2172-1)*100,0)</f>
        <v>0</v>
      </c>
      <c r="R2172" s="680">
        <f t="shared" ref="R2172:R2173" si="801">IFERROR((J2172/I2172-1)*100,0)</f>
        <v>0</v>
      </c>
    </row>
    <row r="2173" spans="2:18" s="57" customFormat="1" ht="12.5">
      <c r="B2173" s="684" t="s">
        <v>1230</v>
      </c>
      <c r="C2173" s="102">
        <f>CL!C343/1000000</f>
        <v>1.426515</v>
      </c>
      <c r="D2173" s="102">
        <f>CL!D343/1000000</f>
        <v>1.4834700000000001</v>
      </c>
      <c r="E2173" s="102">
        <f>CL!E343/1000000</f>
        <v>1.499263</v>
      </c>
      <c r="F2173" s="102">
        <f>CL!F343/1000000</f>
        <v>1.5262119999999999</v>
      </c>
      <c r="G2173" s="102">
        <f>CL!G343/1000000</f>
        <v>1.513652</v>
      </c>
      <c r="H2173" s="102">
        <f>CL!H343/1000000</f>
        <v>1.5141340000000001</v>
      </c>
      <c r="I2173" s="102">
        <f>CL!I343/1000000</f>
        <v>1.540311</v>
      </c>
      <c r="J2173" s="102">
        <f>CL!J343/1000000</f>
        <v>1.598444</v>
      </c>
      <c r="K2173" s="1700">
        <v>12.998383342545052</v>
      </c>
      <c r="L2173" s="679">
        <f t="shared" si="795"/>
        <v>3.9925973438765139</v>
      </c>
      <c r="M2173" s="679">
        <f t="shared" si="796"/>
        <v>1.0645985426061877</v>
      </c>
      <c r="N2173" s="679">
        <f t="shared" si="797"/>
        <v>1.7974831633942756</v>
      </c>
      <c r="O2173" s="679">
        <f t="shared" si="798"/>
        <v>-0.82295251249497881</v>
      </c>
      <c r="P2173" s="679">
        <f t="shared" si="799"/>
        <v>3.1843514889828839E-2</v>
      </c>
      <c r="Q2173" s="679">
        <f t="shared" si="800"/>
        <v>1.7288430218197259</v>
      </c>
      <c r="R2173" s="680">
        <f t="shared" si="801"/>
        <v>3.7741079561205426</v>
      </c>
    </row>
    <row r="2174" spans="2:18" s="57" customFormat="1" ht="12.5">
      <c r="B2174" s="684"/>
      <c r="C2174" s="679"/>
      <c r="D2174" s="679"/>
      <c r="E2174" s="679"/>
      <c r="F2174" s="679"/>
      <c r="G2174" s="679"/>
      <c r="H2174" s="679"/>
      <c r="I2174" s="679"/>
      <c r="J2174" s="679"/>
      <c r="K2174" s="1700"/>
      <c r="L2174" s="679"/>
      <c r="M2174" s="679"/>
      <c r="N2174" s="679"/>
      <c r="O2174" s="679"/>
      <c r="P2174" s="679"/>
      <c r="Q2174" s="679"/>
      <c r="R2174" s="656"/>
    </row>
    <row r="2175" spans="2:18" s="57" customFormat="1" ht="13">
      <c r="B2175" s="685" t="s">
        <v>1043</v>
      </c>
      <c r="C2175" s="679"/>
      <c r="D2175" s="679"/>
      <c r="E2175" s="679"/>
      <c r="F2175" s="679"/>
      <c r="G2175" s="679"/>
      <c r="H2175" s="679"/>
      <c r="I2175" s="679"/>
      <c r="J2175" s="679"/>
      <c r="K2175" s="1700"/>
      <c r="L2175" s="679"/>
      <c r="M2175" s="679"/>
      <c r="N2175" s="679"/>
      <c r="O2175" s="679"/>
      <c r="P2175" s="679"/>
      <c r="Q2175" s="679"/>
      <c r="R2175" s="656"/>
    </row>
    <row r="2176" spans="2:18" s="57" customFormat="1" ht="12.5">
      <c r="B2176" s="686" t="s">
        <v>605</v>
      </c>
      <c r="C2176" s="102">
        <f>CO!C345</f>
        <v>1.8470390000000001</v>
      </c>
      <c r="D2176" s="102">
        <f>CO!D345</f>
        <v>1.8054539999999999</v>
      </c>
      <c r="E2176" s="102">
        <f>CO!E345</f>
        <v>1.8630899999999999</v>
      </c>
      <c r="F2176" s="102">
        <f>CO!F345</f>
        <v>1.932687</v>
      </c>
      <c r="G2176" s="102">
        <f>CO!G345</f>
        <v>1.97</v>
      </c>
      <c r="H2176" s="102">
        <f>CO!H345</f>
        <v>1.653</v>
      </c>
      <c r="I2176" s="102">
        <f>CO!I345</f>
        <v>1.5893520000000001</v>
      </c>
      <c r="J2176" s="102">
        <f>CO!J345</f>
        <v>1.516294</v>
      </c>
      <c r="K2176" s="1700">
        <v>9.3188990452110225</v>
      </c>
      <c r="L2176" s="679">
        <f>IFERROR((D2176/C2176-1)*100,0)</f>
        <v>-2.2514413610107975</v>
      </c>
      <c r="M2176" s="679">
        <f t="shared" ref="M2176:R2176" si="802">IFERROR((E2176/D2176-1)*100,0)</f>
        <v>3.1923272484372323</v>
      </c>
      <c r="N2176" s="679">
        <f t="shared" si="802"/>
        <v>3.7355683300323683</v>
      </c>
      <c r="O2176" s="679">
        <f t="shared" si="802"/>
        <v>1.9306281875958176</v>
      </c>
      <c r="P2176" s="679">
        <f t="shared" si="802"/>
        <v>-16.09137055837563</v>
      </c>
      <c r="Q2176" s="679">
        <f t="shared" si="802"/>
        <v>-3.8504537205081624</v>
      </c>
      <c r="R2176" s="680">
        <f t="shared" si="802"/>
        <v>-4.5967161459513068</v>
      </c>
    </row>
    <row r="2177" spans="2:18" s="57" customFormat="1" ht="12.5">
      <c r="B2177" s="686" t="s">
        <v>573</v>
      </c>
      <c r="C2177" s="102">
        <f>CO!C354</f>
        <v>23.853919999999999</v>
      </c>
      <c r="D2177" s="102">
        <f>CO!D354</f>
        <v>20.9</v>
      </c>
      <c r="E2177" s="102">
        <f>CO!E354</f>
        <v>18.093720999999999</v>
      </c>
      <c r="F2177" s="102">
        <f>CO!F354</f>
        <v>13.472</v>
      </c>
      <c r="G2177" s="102">
        <f>CO!G354</f>
        <v>11.481999999999999</v>
      </c>
      <c r="H2177" s="102">
        <f>CO!H354</f>
        <v>9.9350000000000005</v>
      </c>
      <c r="I2177" s="102">
        <f>CO!I354</f>
        <v>5.3696149999999996</v>
      </c>
      <c r="J2177" s="102">
        <f>CO!J354</f>
        <v>5.5905329999999998</v>
      </c>
      <c r="K2177" s="1700">
        <v>-8.8375444740439146</v>
      </c>
      <c r="L2177" s="679">
        <f t="shared" ref="L2177:L2179" si="803">IFERROR((D2177/C2177-1)*100,0)</f>
        <v>-12.383373466499425</v>
      </c>
      <c r="M2177" s="679">
        <f t="shared" ref="M2177:M2179" si="804">IFERROR((E2177/D2177-1)*100,0)</f>
        <v>-13.427172248803831</v>
      </c>
      <c r="N2177" s="679">
        <f t="shared" ref="N2177:N2179" si="805">IFERROR((F2177/E2177-1)*100,0)</f>
        <v>-25.543231267907796</v>
      </c>
      <c r="O2177" s="679">
        <f t="shared" ref="O2177:O2179" si="806">IFERROR((G2177/F2177-1)*100,0)</f>
        <v>-14.771377672209029</v>
      </c>
      <c r="P2177" s="679">
        <f t="shared" ref="P2177:P2179" si="807">IFERROR((H2177/G2177-1)*100,0)</f>
        <v>-13.473262497822668</v>
      </c>
      <c r="Q2177" s="679">
        <f t="shared" ref="Q2177:Q2179" si="808">IFERROR((I2177/H2177-1)*100,0)</f>
        <v>-45.952541519879219</v>
      </c>
      <c r="R2177" s="680">
        <f t="shared" ref="R2177:R2179" si="809">IFERROR((J2177/I2177-1)*100,0)</f>
        <v>4.1142242041561694</v>
      </c>
    </row>
    <row r="2178" spans="2:18" s="57" customFormat="1" ht="12.5">
      <c r="B2178" s="686" t="s">
        <v>608</v>
      </c>
      <c r="C2178" s="102">
        <f>CO!C374</f>
        <v>11.610922</v>
      </c>
      <c r="D2178" s="102">
        <f>CO!D374</f>
        <v>10.82775</v>
      </c>
      <c r="E2178" s="102">
        <f>CO!E374</f>
        <v>11.195679</v>
      </c>
      <c r="F2178" s="102">
        <f>CO!F374</f>
        <v>11.754534</v>
      </c>
      <c r="G2178" s="102">
        <f>CO!G374</f>
        <v>11.733000000000001</v>
      </c>
      <c r="H2178" s="102">
        <f>CO!H374</f>
        <v>11.451427000000001</v>
      </c>
      <c r="I2178" s="102">
        <f>CO!I374</f>
        <v>10.083778000000001</v>
      </c>
      <c r="J2178" s="102">
        <f>CO!J374</f>
        <v>16.22514</v>
      </c>
      <c r="K2178" s="1700">
        <v>19.40751835346304</v>
      </c>
      <c r="L2178" s="679">
        <f t="shared" si="803"/>
        <v>-6.745131868080767</v>
      </c>
      <c r="M2178" s="679">
        <f t="shared" si="804"/>
        <v>3.3980189790122628</v>
      </c>
      <c r="N2178" s="679">
        <f t="shared" si="805"/>
        <v>4.9917026024058009</v>
      </c>
      <c r="O2178" s="679">
        <f t="shared" si="806"/>
        <v>-0.18319739429907278</v>
      </c>
      <c r="P2178" s="679">
        <f t="shared" si="807"/>
        <v>-2.3998380635813499</v>
      </c>
      <c r="Q2178" s="679">
        <f t="shared" si="808"/>
        <v>-11.943044303561468</v>
      </c>
      <c r="R2178" s="680">
        <f t="shared" si="809"/>
        <v>60.903383632602768</v>
      </c>
    </row>
    <row r="2179" spans="2:18" s="57" customFormat="1" ht="12.5">
      <c r="B2179" s="686" t="s">
        <v>609</v>
      </c>
      <c r="C2179" s="102">
        <f>CO!C394</f>
        <v>135.773574</v>
      </c>
      <c r="D2179" s="102">
        <f>CO!D394</f>
        <v>147.91714999999999</v>
      </c>
      <c r="E2179" s="102">
        <f>CO!E394</f>
        <v>158.97026199999999</v>
      </c>
      <c r="F2179" s="102">
        <f>CO!F394</f>
        <v>174.49826200000001</v>
      </c>
      <c r="G2179" s="102">
        <f>CO!G394</f>
        <v>196.54626099999999</v>
      </c>
      <c r="H2179" s="102">
        <f>CO!H394</f>
        <v>221.95</v>
      </c>
      <c r="I2179" s="102">
        <f>CO!I394</f>
        <v>255.856641</v>
      </c>
      <c r="J2179" s="102">
        <f>CO!J394</f>
        <v>294.29752000000002</v>
      </c>
      <c r="K2179" s="1700">
        <v>7.7130305282442153</v>
      </c>
      <c r="L2179" s="679">
        <f t="shared" si="803"/>
        <v>8.943990824017046</v>
      </c>
      <c r="M2179" s="679">
        <f t="shared" si="804"/>
        <v>7.4725020053455493</v>
      </c>
      <c r="N2179" s="679">
        <f t="shared" si="805"/>
        <v>9.7678646337011177</v>
      </c>
      <c r="O2179" s="679">
        <f t="shared" si="806"/>
        <v>12.635082290962863</v>
      </c>
      <c r="P2179" s="679">
        <f t="shared" si="807"/>
        <v>12.925068566936515</v>
      </c>
      <c r="Q2179" s="679">
        <f t="shared" si="808"/>
        <v>15.276702410452803</v>
      </c>
      <c r="R2179" s="680">
        <f t="shared" si="809"/>
        <v>15.02438195458058</v>
      </c>
    </row>
    <row r="2180" spans="2:18" s="57" customFormat="1" ht="12.5">
      <c r="B2180" s="686"/>
      <c r="C2180" s="679"/>
      <c r="D2180" s="679"/>
      <c r="E2180" s="679"/>
      <c r="F2180" s="679"/>
      <c r="G2180" s="679"/>
      <c r="H2180" s="679"/>
      <c r="I2180" s="679"/>
      <c r="J2180" s="679"/>
      <c r="K2180" s="1700"/>
      <c r="L2180" s="679"/>
      <c r="M2180" s="679"/>
      <c r="N2180" s="679"/>
      <c r="O2180" s="679"/>
      <c r="P2180" s="679"/>
      <c r="Q2180" s="679"/>
      <c r="R2180" s="656"/>
    </row>
    <row r="2181" spans="2:18" s="57" customFormat="1" ht="13">
      <c r="B2181" s="685" t="s">
        <v>1044</v>
      </c>
      <c r="C2181" s="679"/>
      <c r="D2181" s="679"/>
      <c r="E2181" s="679"/>
      <c r="F2181" s="679"/>
      <c r="G2181" s="679"/>
      <c r="H2181" s="679"/>
      <c r="I2181" s="679"/>
      <c r="J2181" s="679"/>
      <c r="K2181" s="1700"/>
      <c r="L2181" s="679"/>
      <c r="M2181" s="679"/>
      <c r="N2181" s="679"/>
      <c r="O2181" s="679"/>
      <c r="P2181" s="679"/>
      <c r="Q2181" s="679"/>
      <c r="R2181" s="656"/>
    </row>
    <row r="2182" spans="2:18" s="57" customFormat="1" ht="12.5">
      <c r="B2182" s="686" t="s">
        <v>1264</v>
      </c>
      <c r="C2182" s="102">
        <f>CR!C319</f>
        <v>29.452235000000002</v>
      </c>
      <c r="D2182" s="102">
        <f>CR!D319</f>
        <v>33.419443000000008</v>
      </c>
      <c r="E2182" s="102">
        <f>CR!E319</f>
        <v>37.760286999999991</v>
      </c>
      <c r="F2182" s="102">
        <f>CR!F319</f>
        <v>42.437877</v>
      </c>
      <c r="G2182" s="102">
        <f>CR!G319</f>
        <v>48.019450999999997</v>
      </c>
      <c r="H2182" s="102">
        <f>CR!H319</f>
        <v>56.718286000000013</v>
      </c>
      <c r="I2182" s="102">
        <f>CR!I319</f>
        <v>98.804517000000004</v>
      </c>
      <c r="J2182" s="102">
        <f>CR!J319</f>
        <v>216.50653600000001</v>
      </c>
      <c r="K2182" s="1700">
        <v>11.827319068490279</v>
      </c>
      <c r="L2182" s="679">
        <f>IFERROR((D2182/C2182-1)*100,0)</f>
        <v>13.469972652330142</v>
      </c>
      <c r="M2182" s="679">
        <f t="shared" ref="M2182:R2182" si="810">IFERROR((E2182/D2182-1)*100,0)</f>
        <v>12.98897770378753</v>
      </c>
      <c r="N2182" s="679">
        <f t="shared" si="810"/>
        <v>12.387591227789162</v>
      </c>
      <c r="O2182" s="679">
        <f t="shared" si="810"/>
        <v>13.152340302037246</v>
      </c>
      <c r="P2182" s="679">
        <f t="shared" si="810"/>
        <v>18.115232096260357</v>
      </c>
      <c r="Q2182" s="679">
        <f t="shared" si="810"/>
        <v>74.202226421299073</v>
      </c>
      <c r="R2182" s="680">
        <f t="shared" si="810"/>
        <v>119.12615189445236</v>
      </c>
    </row>
    <row r="2183" spans="2:18" s="57" customFormat="1" ht="12.5">
      <c r="B2183" s="686" t="s">
        <v>94</v>
      </c>
      <c r="C2183" s="102">
        <f>CR!C322</f>
        <v>8.6345000000000005E-2</v>
      </c>
      <c r="D2183" s="102">
        <f>CR!D322</f>
        <v>8.551099999999999E-2</v>
      </c>
      <c r="E2183" s="102">
        <f>CR!E322</f>
        <v>7.9334000000000002E-2</v>
      </c>
      <c r="F2183" s="102">
        <f>CR!F322</f>
        <v>7.3719000000000007E-2</v>
      </c>
      <c r="G2183" s="102">
        <f>CR!G322</f>
        <v>7.1682999999999997E-2</v>
      </c>
      <c r="H2183" s="102">
        <f>CR!H322</f>
        <v>6.5049999999999997E-2</v>
      </c>
      <c r="I2183" s="102">
        <f>CR!I322</f>
        <v>5.8340000000000003E-2</v>
      </c>
      <c r="J2183" s="102">
        <f>CR!J322</f>
        <v>5.8071999999999999E-2</v>
      </c>
      <c r="K2183" s="1700">
        <v>0</v>
      </c>
      <c r="L2183" s="679">
        <f t="shared" ref="L2183:L2185" si="811">IFERROR((D2183/C2183-1)*100,0)</f>
        <v>-0.96589263999075081</v>
      </c>
      <c r="M2183" s="679">
        <f t="shared" ref="M2183:M2185" si="812">IFERROR((E2183/D2183-1)*100,0)</f>
        <v>-7.2236320473389242</v>
      </c>
      <c r="N2183" s="679">
        <f t="shared" ref="N2183:N2185" si="813">IFERROR((F2183/E2183-1)*100,0)</f>
        <v>-7.0776716162048947</v>
      </c>
      <c r="O2183" s="679">
        <f t="shared" ref="O2183:O2185" si="814">IFERROR((G2183/F2183-1)*100,0)</f>
        <v>-2.7618388746456279</v>
      </c>
      <c r="P2183" s="679">
        <f t="shared" ref="P2183:P2185" si="815">IFERROR((H2183/G2183-1)*100,0)</f>
        <v>-9.2532399592651018</v>
      </c>
      <c r="Q2183" s="679">
        <f t="shared" ref="Q2183:Q2185" si="816">IFERROR((I2183/H2183-1)*100,0)</f>
        <v>-10.31514219830898</v>
      </c>
      <c r="R2183" s="680">
        <f t="shared" ref="R2183:R2185" si="817">IFERROR((J2183/I2183-1)*100,0)</f>
        <v>-0.459376071306139</v>
      </c>
    </row>
    <row r="2184" spans="2:18" s="57" customFormat="1" ht="12.5">
      <c r="B2184" s="686" t="s">
        <v>1265</v>
      </c>
      <c r="C2184" s="102">
        <f>CR!C330</f>
        <v>29.214642000000001</v>
      </c>
      <c r="D2184" s="102">
        <f>CR!D330</f>
        <v>33.228043000000014</v>
      </c>
      <c r="E2184" s="102">
        <f>CR!E330</f>
        <v>37.703398999999983</v>
      </c>
      <c r="F2184" s="102">
        <f>CR!F330</f>
        <v>42.275390999999999</v>
      </c>
      <c r="G2184" s="102">
        <f>CR!G330</f>
        <v>47.862785999999993</v>
      </c>
      <c r="H2184" s="102">
        <f>CR!H330</f>
        <v>56.56554400000001</v>
      </c>
      <c r="I2184" s="102">
        <f>CR!I330</f>
        <v>98.656844000000007</v>
      </c>
      <c r="J2184" s="102">
        <f>CR!J330</f>
        <v>216.347238</v>
      </c>
      <c r="K2184" s="1700">
        <v>0</v>
      </c>
      <c r="L2184" s="679">
        <f t="shared" si="811"/>
        <v>13.73763539529258</v>
      </c>
      <c r="M2184" s="679">
        <f t="shared" si="812"/>
        <v>13.46861143763407</v>
      </c>
      <c r="N2184" s="679">
        <f t="shared" si="813"/>
        <v>12.126206446267673</v>
      </c>
      <c r="O2184" s="679">
        <f t="shared" si="814"/>
        <v>13.216660728223651</v>
      </c>
      <c r="P2184" s="679">
        <f t="shared" si="815"/>
        <v>18.182723421072943</v>
      </c>
      <c r="Q2184" s="679">
        <f t="shared" si="816"/>
        <v>74.41155343613417</v>
      </c>
      <c r="R2184" s="680">
        <f t="shared" si="817"/>
        <v>119.29268079972233</v>
      </c>
    </row>
    <row r="2185" spans="2:18" s="57" customFormat="1" ht="12.5">
      <c r="B2185" s="686" t="s">
        <v>1266</v>
      </c>
      <c r="C2185" s="102">
        <f>CR!C350</f>
        <v>0.14795</v>
      </c>
      <c r="D2185" s="102">
        <f>CR!D350</f>
        <v>0.12947700000000001</v>
      </c>
      <c r="E2185" s="102">
        <f>CR!E350</f>
        <v>0.10624600000000001</v>
      </c>
      <c r="F2185" s="102">
        <f>CR!F350</f>
        <v>0.11671899999999999</v>
      </c>
      <c r="G2185" s="102">
        <f>CR!G350</f>
        <v>0.114332</v>
      </c>
      <c r="H2185" s="102">
        <f>CR!H350</f>
        <v>0.118021</v>
      </c>
      <c r="I2185" s="102">
        <f>CR!I350</f>
        <v>9.897800000000001E-2</v>
      </c>
      <c r="J2185" s="102">
        <f>CR!J350</f>
        <v>0.104502</v>
      </c>
      <c r="K2185" s="1700">
        <v>0</v>
      </c>
      <c r="L2185" s="679">
        <f t="shared" si="811"/>
        <v>-12.485974991551196</v>
      </c>
      <c r="M2185" s="679">
        <f t="shared" si="812"/>
        <v>-17.942182781497873</v>
      </c>
      <c r="N2185" s="679">
        <f t="shared" si="813"/>
        <v>9.8573122752856346</v>
      </c>
      <c r="O2185" s="679">
        <f t="shared" si="814"/>
        <v>-2.0450826343611506</v>
      </c>
      <c r="P2185" s="679">
        <f t="shared" si="815"/>
        <v>3.2265682398628481</v>
      </c>
      <c r="Q2185" s="679">
        <f t="shared" si="816"/>
        <v>-16.135264063175192</v>
      </c>
      <c r="R2185" s="680">
        <f t="shared" si="817"/>
        <v>5.5810382105114131</v>
      </c>
    </row>
    <row r="2186" spans="2:18" s="57" customFormat="1" ht="12.5">
      <c r="B2186" s="686"/>
      <c r="C2186" s="679"/>
      <c r="D2186" s="679"/>
      <c r="E2186" s="679"/>
      <c r="F2186" s="679"/>
      <c r="G2186" s="679"/>
      <c r="H2186" s="679"/>
      <c r="I2186" s="679"/>
      <c r="J2186" s="679"/>
      <c r="K2186" s="1700"/>
      <c r="L2186" s="679"/>
      <c r="M2186" s="679"/>
      <c r="N2186" s="679"/>
      <c r="O2186" s="679"/>
      <c r="P2186" s="679"/>
      <c r="Q2186" s="679"/>
      <c r="R2186" s="656"/>
    </row>
    <row r="2187" spans="2:18" s="57" customFormat="1" ht="13">
      <c r="B2187" s="683" t="s">
        <v>1061</v>
      </c>
      <c r="C2187" s="679"/>
      <c r="D2187" s="679"/>
      <c r="E2187" s="679"/>
      <c r="F2187" s="679"/>
      <c r="G2187" s="679"/>
      <c r="H2187" s="679"/>
      <c r="I2187" s="679"/>
      <c r="J2187" s="679"/>
      <c r="K2187" s="1700"/>
      <c r="L2187" s="679"/>
      <c r="M2187" s="679"/>
      <c r="N2187" s="679"/>
      <c r="O2187" s="679"/>
      <c r="P2187" s="679"/>
      <c r="Q2187" s="679"/>
      <c r="R2187" s="656"/>
    </row>
    <row r="2188" spans="2:18" s="57" customFormat="1" ht="12.5">
      <c r="B2188" s="686" t="s">
        <v>1267</v>
      </c>
      <c r="C2188" s="102">
        <v>0.02</v>
      </c>
      <c r="D2188" s="102">
        <v>0.02</v>
      </c>
      <c r="E2188" s="102">
        <f>CW!E341</f>
        <v>1.7999999999999999E-2</v>
      </c>
      <c r="F2188" s="102">
        <f>CW!F341</f>
        <v>1.7999999999999999E-2</v>
      </c>
      <c r="G2188" s="102">
        <f>CW!G341</f>
        <v>1.9E-2</v>
      </c>
      <c r="H2188" s="102">
        <f>CW!H341</f>
        <v>2.1000000000000001E-2</v>
      </c>
      <c r="I2188" s="102">
        <f>CW!I341</f>
        <v>2.1999999999999999E-2</v>
      </c>
      <c r="J2188" s="102">
        <f>CW!J341</f>
        <v>0.02</v>
      </c>
      <c r="K2188" s="1700">
        <v>12.886597938144325</v>
      </c>
      <c r="L2188" s="679">
        <f>IFERROR((D2188/C2188-1)*100,0)</f>
        <v>0</v>
      </c>
      <c r="M2188" s="679">
        <f t="shared" ref="M2188:R2188" si="818">IFERROR((E2188/D2188-1)*100,0)</f>
        <v>-10.000000000000009</v>
      </c>
      <c r="N2188" s="679">
        <f t="shared" si="818"/>
        <v>0</v>
      </c>
      <c r="O2188" s="679">
        <f t="shared" si="818"/>
        <v>5.555555555555558</v>
      </c>
      <c r="P2188" s="679">
        <f t="shared" si="818"/>
        <v>10.526315789473696</v>
      </c>
      <c r="Q2188" s="679">
        <f t="shared" si="818"/>
        <v>4.761904761904745</v>
      </c>
      <c r="R2188" s="680">
        <f t="shared" si="818"/>
        <v>-9.0909090909090828</v>
      </c>
    </row>
    <row r="2189" spans="2:18" s="57" customFormat="1" ht="12.5">
      <c r="B2189" s="686" t="s">
        <v>1268</v>
      </c>
      <c r="C2189" s="102">
        <v>1.58</v>
      </c>
      <c r="D2189" s="102">
        <v>1.64</v>
      </c>
      <c r="E2189" s="102">
        <f>CW!E351</f>
        <v>1.669</v>
      </c>
      <c r="F2189" s="102">
        <f>CW!F351</f>
        <v>1.637</v>
      </c>
      <c r="G2189" s="102">
        <f>CW!G351</f>
        <v>1.677</v>
      </c>
      <c r="H2189" s="102">
        <f>CW!H351</f>
        <v>1.7589999999999999</v>
      </c>
      <c r="I2189" s="102">
        <f>CW!I351</f>
        <v>1.61</v>
      </c>
      <c r="J2189" s="102">
        <f>CW!J351</f>
        <v>1.68</v>
      </c>
      <c r="K2189" s="1700">
        <v>0.83014048531290707</v>
      </c>
      <c r="L2189" s="679">
        <f>IFERROR((D2189/C2189-1)*100,0)</f>
        <v>3.7974683544303778</v>
      </c>
      <c r="M2189" s="679">
        <f t="shared" ref="M2189" si="819">IFERROR((E2189/D2189-1)*100,0)</f>
        <v>1.7682926829268419</v>
      </c>
      <c r="N2189" s="679">
        <f t="shared" ref="N2189" si="820">IFERROR((F2189/E2189-1)*100,0)</f>
        <v>-1.9173157579388866</v>
      </c>
      <c r="O2189" s="679">
        <f t="shared" ref="O2189" si="821">IFERROR((G2189/F2189-1)*100,0)</f>
        <v>2.4434941967012902</v>
      </c>
      <c r="P2189" s="679">
        <f t="shared" ref="P2189" si="822">IFERROR((H2189/G2189-1)*100,0)</f>
        <v>4.8896839594513963</v>
      </c>
      <c r="Q2189" s="679">
        <f t="shared" ref="Q2189" si="823">IFERROR((I2189/H2189-1)*100,0)</f>
        <v>-8.4707220011369984</v>
      </c>
      <c r="R2189" s="680">
        <f t="shared" ref="R2189" si="824">IFERROR((J2189/I2189-1)*100,0)</f>
        <v>4.3478260869565188</v>
      </c>
    </row>
    <row r="2190" spans="2:18" s="57" customFormat="1" ht="12.5">
      <c r="B2190" s="686"/>
      <c r="C2190" s="102"/>
      <c r="D2190" s="102"/>
      <c r="E2190" s="102"/>
      <c r="F2190" s="102"/>
      <c r="G2190" s="102"/>
      <c r="H2190" s="102"/>
      <c r="I2190" s="102"/>
      <c r="J2190" s="102"/>
      <c r="K2190" s="1700"/>
      <c r="L2190" s="679"/>
      <c r="M2190" s="679"/>
      <c r="N2190" s="679"/>
      <c r="O2190" s="679"/>
      <c r="P2190" s="679"/>
      <c r="Q2190" s="679"/>
      <c r="R2190" s="680"/>
    </row>
    <row r="2191" spans="2:18" s="57" customFormat="1" ht="13">
      <c r="B2191" s="683" t="s">
        <v>1047</v>
      </c>
      <c r="C2191" s="102"/>
      <c r="D2191" s="102"/>
      <c r="E2191" s="102"/>
      <c r="F2191" s="102"/>
      <c r="G2191" s="102"/>
      <c r="H2191" s="102"/>
      <c r="I2191" s="102"/>
      <c r="J2191" s="102"/>
      <c r="K2191" s="1700"/>
      <c r="L2191" s="679"/>
      <c r="M2191" s="679"/>
      <c r="N2191" s="679"/>
      <c r="O2191" s="679"/>
      <c r="P2191" s="679"/>
      <c r="Q2191" s="679"/>
      <c r="R2191" s="680"/>
    </row>
    <row r="2192" spans="2:18" s="57" customFormat="1" ht="25">
      <c r="B2192" s="1880" t="s">
        <v>849</v>
      </c>
      <c r="C2192" s="102">
        <f>EC!C350</f>
        <v>46.913004000000001</v>
      </c>
      <c r="D2192" s="102">
        <f>EC!D350</f>
        <v>50.759461999999999</v>
      </c>
      <c r="E2192" s="102">
        <f>EC!E350</f>
        <v>56.510404000000001</v>
      </c>
      <c r="F2192" s="102">
        <f>EC!F350</f>
        <v>61.867663999999998</v>
      </c>
      <c r="G2192" s="102">
        <f>EC!G350</f>
        <v>68.910497000000007</v>
      </c>
      <c r="H2192" s="102">
        <f>EC!H350</f>
        <v>75.324727999999993</v>
      </c>
      <c r="I2192" s="102">
        <f>EC!I350</f>
        <v>81.576898999999997</v>
      </c>
      <c r="J2192" s="102">
        <f>EC!J350</f>
        <v>100.90592100000001</v>
      </c>
      <c r="K2192" s="1700">
        <f>IFERROR((C2192/B2192-1)*100,0)</f>
        <v>0</v>
      </c>
      <c r="L2192" s="679">
        <f>IFERROR((D2192/C2192-1)*100,0)</f>
        <v>8.1991296059403815</v>
      </c>
      <c r="M2192" s="679">
        <f t="shared" ref="M2192:R2195" si="825">IFERROR((E2192/D2192-1)*100,0)</f>
        <v>11.329793054150183</v>
      </c>
      <c r="N2192" s="679">
        <f t="shared" si="825"/>
        <v>9.4801304198780745</v>
      </c>
      <c r="O2192" s="679">
        <f t="shared" si="825"/>
        <v>11.383706034221696</v>
      </c>
      <c r="P2192" s="679">
        <f t="shared" si="825"/>
        <v>9.3080608604520609</v>
      </c>
      <c r="Q2192" s="679">
        <f t="shared" si="825"/>
        <v>8.3002901782798446</v>
      </c>
      <c r="R2192" s="680">
        <f t="shared" si="825"/>
        <v>23.69423481027393</v>
      </c>
    </row>
    <row r="2193" spans="2:18" s="57" customFormat="1" ht="25">
      <c r="B2193" s="1881" t="s">
        <v>850</v>
      </c>
      <c r="C2193" s="102">
        <f>EC!C357</f>
        <v>6.4585910000000002</v>
      </c>
      <c r="D2193" s="102">
        <f>EC!D357</f>
        <v>7.5949799999999996</v>
      </c>
      <c r="E2193" s="102">
        <f>EC!E357</f>
        <v>8.0662400000000005</v>
      </c>
      <c r="F2193" s="102">
        <f>EC!F357</f>
        <v>8.2663569999999993</v>
      </c>
      <c r="G2193" s="102">
        <f>EC!G357</f>
        <v>8.6576140000000006</v>
      </c>
      <c r="H2193" s="102">
        <f>EC!H357</f>
        <v>9.4461589999999998</v>
      </c>
      <c r="I2193" s="102">
        <f>EC!I357</f>
        <v>9.2109719999999999</v>
      </c>
      <c r="J2193" s="102">
        <f>EC!J357</f>
        <v>9.95716</v>
      </c>
      <c r="K2193" s="1700">
        <f t="shared" ref="K2193:L2195" si="826">IFERROR((C2193/B2193-1)*100,0)</f>
        <v>0</v>
      </c>
      <c r="L2193" s="679">
        <f t="shared" si="826"/>
        <v>17.594998661472737</v>
      </c>
      <c r="M2193" s="679">
        <f t="shared" si="825"/>
        <v>6.2048879654719391</v>
      </c>
      <c r="N2193" s="679">
        <f t="shared" si="825"/>
        <v>2.4809204784385086</v>
      </c>
      <c r="O2193" s="679">
        <f t="shared" si="825"/>
        <v>4.733124881976436</v>
      </c>
      <c r="P2193" s="679">
        <f t="shared" si="825"/>
        <v>9.1081099249747055</v>
      </c>
      <c r="Q2193" s="679">
        <f t="shared" si="825"/>
        <v>-2.4897632995591112</v>
      </c>
      <c r="R2193" s="680">
        <f t="shared" si="825"/>
        <v>8.1010777147080724</v>
      </c>
    </row>
    <row r="2194" spans="2:18" s="57" customFormat="1" ht="25">
      <c r="B2194" s="1881" t="s">
        <v>851</v>
      </c>
      <c r="C2194" s="102">
        <f>EC!C364</f>
        <v>0.94166000000000005</v>
      </c>
      <c r="D2194" s="102">
        <f>EC!D364</f>
        <v>0.80433600000000005</v>
      </c>
      <c r="E2194" s="102">
        <f>EC!E364</f>
        <v>0.71692</v>
      </c>
      <c r="F2194" s="102">
        <f>EC!F364</f>
        <v>0.86178200000000005</v>
      </c>
      <c r="G2194" s="102">
        <f>EC!G364</f>
        <v>0.89222900000000005</v>
      </c>
      <c r="H2194" s="102">
        <f>EC!H364</f>
        <v>0.86148100000000005</v>
      </c>
      <c r="I2194" s="102">
        <f>EC!I364</f>
        <v>0.86570400000000003</v>
      </c>
      <c r="J2194" s="102">
        <f>EC!J364</f>
        <v>0.87597499999999995</v>
      </c>
      <c r="K2194" s="1700">
        <f t="shared" si="826"/>
        <v>0</v>
      </c>
      <c r="L2194" s="679">
        <f t="shared" si="826"/>
        <v>-14.583182889790368</v>
      </c>
      <c r="M2194" s="679">
        <f t="shared" si="825"/>
        <v>-10.86809492550378</v>
      </c>
      <c r="N2194" s="679">
        <f t="shared" si="825"/>
        <v>20.206159683088764</v>
      </c>
      <c r="O2194" s="679">
        <f t="shared" si="825"/>
        <v>3.5330280743854026</v>
      </c>
      <c r="P2194" s="679">
        <f t="shared" si="825"/>
        <v>-3.4462004709553296</v>
      </c>
      <c r="Q2194" s="679">
        <f t="shared" si="825"/>
        <v>0.49020233760233012</v>
      </c>
      <c r="R2194" s="680">
        <f t="shared" si="825"/>
        <v>1.1864332381506859</v>
      </c>
    </row>
    <row r="2195" spans="2:18" s="57" customFormat="1" ht="37.5">
      <c r="B2195" s="1881" t="s">
        <v>844</v>
      </c>
      <c r="C2195" s="102">
        <f>EC!C371</f>
        <v>39.230355000000003</v>
      </c>
      <c r="D2195" s="102">
        <f>EC!D371</f>
        <v>35.272517000000001</v>
      </c>
      <c r="E2195" s="102">
        <f>EC!E371</f>
        <v>31.428602999999999</v>
      </c>
      <c r="F2195" s="102">
        <f>EC!F371</f>
        <v>31.233322000000001</v>
      </c>
      <c r="G2195" s="102">
        <f>EC!G371</f>
        <v>30.711740200000001</v>
      </c>
      <c r="H2195" s="102">
        <f>EC!H371</f>
        <v>29.116758000000001</v>
      </c>
      <c r="I2195" s="102">
        <f>EC!I371</f>
        <v>18.357436</v>
      </c>
      <c r="J2195" s="102">
        <f>EC!J371</f>
        <v>19.850753999999998</v>
      </c>
      <c r="K2195" s="1700">
        <f t="shared" si="826"/>
        <v>0</v>
      </c>
      <c r="L2195" s="679">
        <f t="shared" si="826"/>
        <v>-10.0887131916089</v>
      </c>
      <c r="M2195" s="679">
        <f t="shared" si="825"/>
        <v>-10.897759295147559</v>
      </c>
      <c r="N2195" s="679">
        <f t="shared" si="825"/>
        <v>-0.62134801219130287</v>
      </c>
      <c r="O2195" s="679">
        <f t="shared" si="825"/>
        <v>-1.6699530072401547</v>
      </c>
      <c r="P2195" s="679">
        <f t="shared" si="825"/>
        <v>-5.1933957164693627</v>
      </c>
      <c r="Q2195" s="679">
        <f t="shared" si="825"/>
        <v>-36.952335146653347</v>
      </c>
      <c r="R2195" s="680">
        <f t="shared" si="825"/>
        <v>8.1346763240792264</v>
      </c>
    </row>
    <row r="2196" spans="2:18" s="57" customFormat="1" ht="12.5">
      <c r="B2196" s="684"/>
      <c r="C2196" s="679"/>
      <c r="D2196" s="679"/>
      <c r="E2196" s="679"/>
      <c r="F2196" s="679"/>
      <c r="G2196" s="679"/>
      <c r="H2196" s="679"/>
      <c r="I2196" s="679"/>
      <c r="J2196" s="679"/>
      <c r="K2196" s="1700"/>
      <c r="L2196" s="679"/>
      <c r="M2196" s="679"/>
      <c r="N2196" s="679"/>
      <c r="O2196" s="679"/>
      <c r="P2196" s="679"/>
      <c r="Q2196" s="679"/>
      <c r="R2196" s="656"/>
    </row>
    <row r="2197" spans="2:18" s="57" customFormat="1" ht="13">
      <c r="B2197" s="683" t="s">
        <v>1048</v>
      </c>
      <c r="C2197" s="679"/>
      <c r="D2197" s="679"/>
      <c r="E2197" s="679"/>
      <c r="F2197" s="679"/>
      <c r="G2197" s="679"/>
      <c r="H2197" s="679"/>
      <c r="I2197" s="679"/>
      <c r="J2197" s="679"/>
      <c r="K2197" s="1700"/>
      <c r="L2197" s="679"/>
      <c r="M2197" s="679"/>
      <c r="N2197" s="679"/>
      <c r="O2197" s="679"/>
      <c r="P2197" s="679"/>
      <c r="Q2197" s="679"/>
      <c r="R2197" s="656"/>
    </row>
    <row r="2198" spans="2:18" s="57" customFormat="1" ht="12.5">
      <c r="B2198" s="686" t="s">
        <v>94</v>
      </c>
      <c r="C2198" s="102">
        <f>SV!C325/1000000</f>
        <v>5.6491E-2</v>
      </c>
      <c r="D2198" s="102">
        <f>SV!D325/1000000</f>
        <v>7.0237999999999995E-2</v>
      </c>
      <c r="E2198" s="102">
        <f>SV!E325/1000000</f>
        <v>8.1608E-2</v>
      </c>
      <c r="F2198" s="102">
        <f>SV!F325/1000000</f>
        <v>8.6253999999999997E-2</v>
      </c>
      <c r="G2198" s="102">
        <f>SV!G325/1000000</f>
        <v>9.1871999999999995E-2</v>
      </c>
      <c r="H2198" s="102">
        <f>SV!H325/1000000</f>
        <v>9.6756999999999996E-2</v>
      </c>
      <c r="I2198" s="102">
        <f>SV!I325/1000000</f>
        <v>0.108472</v>
      </c>
      <c r="J2198" s="102">
        <f>SV!J325/1000000</f>
        <v>1.347691</v>
      </c>
      <c r="K2198" s="1700">
        <v>26.298831110797522</v>
      </c>
      <c r="L2198" s="679">
        <f>IFERROR((D2198/C2198-1)*100,0)</f>
        <v>24.334849799083024</v>
      </c>
      <c r="M2198" s="679">
        <f t="shared" ref="M2198:Q2198" si="827">IFERROR((E2198/D2198-1)*100,0)</f>
        <v>16.187818559753996</v>
      </c>
      <c r="N2198" s="679">
        <f t="shared" si="827"/>
        <v>5.6930693069306981</v>
      </c>
      <c r="O2198" s="679">
        <f t="shared" si="827"/>
        <v>6.5133211213392883</v>
      </c>
      <c r="P2198" s="679">
        <f t="shared" si="827"/>
        <v>5.3171804249390497</v>
      </c>
      <c r="Q2198" s="679">
        <f t="shared" si="827"/>
        <v>12.107651126016727</v>
      </c>
      <c r="R2198" s="680">
        <f>IFERROR((J2198/I2198-1)*100,0)</f>
        <v>1142.4321483885242</v>
      </c>
    </row>
    <row r="2199" spans="2:18" s="57" customFormat="1" ht="12.5">
      <c r="B2199" s="686" t="s">
        <v>1270</v>
      </c>
      <c r="C2199" s="102">
        <f>SV!C334</f>
        <v>6.0835779999999993</v>
      </c>
      <c r="D2199" s="102">
        <f>SV!D334</f>
        <v>5.9242574680000004</v>
      </c>
      <c r="E2199" s="102">
        <f>SV!E334</f>
        <v>5.9332080000000005</v>
      </c>
      <c r="F2199" s="102">
        <f>SV!F334</f>
        <v>5.8288060000000002</v>
      </c>
      <c r="G2199" s="102">
        <f>SV!G334</f>
        <v>5.6962530000000005</v>
      </c>
      <c r="H2199" s="102">
        <f>SV!H334</f>
        <v>5.3676560000000002</v>
      </c>
      <c r="I2199" s="102">
        <f>SV!I334</f>
        <v>3.7566130000000002</v>
      </c>
      <c r="J2199" s="102">
        <f>SV!J334</f>
        <v>5.7114029330000005</v>
      </c>
      <c r="K2199" s="1700">
        <v>0</v>
      </c>
      <c r="L2199" s="679">
        <f>IFERROR((D2199/C2199-1)*100,0)</f>
        <v>-2.6188623208249995</v>
      </c>
      <c r="M2199" s="679">
        <f t="shared" ref="M2199" si="828">IFERROR((E2199/D2199-1)*100,0)</f>
        <v>0.15108276519626429</v>
      </c>
      <c r="N2199" s="679">
        <f t="shared" ref="N2199" si="829">IFERROR((F2199/E2199-1)*100,0)</f>
        <v>-1.7596214391944476</v>
      </c>
      <c r="O2199" s="679">
        <f t="shared" ref="O2199" si="830">IFERROR((G2199/F2199-1)*100,0)</f>
        <v>-2.2741021059887734</v>
      </c>
      <c r="P2199" s="679">
        <f t="shared" ref="P2199" si="831">IFERROR((H2199/G2199-1)*100,0)</f>
        <v>-5.7686517786341369</v>
      </c>
      <c r="Q2199" s="679">
        <f t="shared" ref="Q2199" si="832">IFERROR((I2199/H2199-1)*100,0)</f>
        <v>-30.013901785062234</v>
      </c>
      <c r="R2199" s="680">
        <f>IFERROR((J2199/I2199-1)*100,0)</f>
        <v>52.035967851892131</v>
      </c>
    </row>
    <row r="2200" spans="2:18" s="57" customFormat="1" ht="12.5">
      <c r="B2200" s="686"/>
      <c r="C2200" s="679"/>
      <c r="D2200" s="679"/>
      <c r="E2200" s="679"/>
      <c r="F2200" s="679"/>
      <c r="G2200" s="679"/>
      <c r="H2200" s="679"/>
      <c r="I2200" s="679"/>
      <c r="J2200" s="679"/>
      <c r="K2200" s="1700"/>
      <c r="L2200" s="679"/>
      <c r="M2200" s="679"/>
      <c r="N2200" s="679"/>
      <c r="O2200" s="679"/>
      <c r="P2200" s="679"/>
      <c r="Q2200" s="679"/>
      <c r="R2200" s="656"/>
    </row>
    <row r="2201" spans="2:18" s="57" customFormat="1" ht="13">
      <c r="B2201" s="685" t="s">
        <v>1049</v>
      </c>
      <c r="C2201" s="679"/>
      <c r="D2201" s="679"/>
      <c r="E2201" s="679"/>
      <c r="F2201" s="679"/>
      <c r="G2201" s="679"/>
      <c r="H2201" s="679"/>
      <c r="I2201" s="679"/>
      <c r="J2201" s="679"/>
      <c r="K2201" s="1700"/>
      <c r="L2201" s="679"/>
      <c r="M2201" s="679"/>
      <c r="N2201" s="679"/>
      <c r="O2201" s="679"/>
      <c r="P2201" s="679"/>
      <c r="Q2201" s="679"/>
      <c r="R2201" s="656"/>
    </row>
    <row r="2202" spans="2:18" s="57" customFormat="1" ht="12.5">
      <c r="B2202" s="688" t="s">
        <v>94</v>
      </c>
      <c r="C2202" s="102">
        <f>GT!C344+GT!C351</f>
        <v>9.9000000000000005E-2</v>
      </c>
      <c r="D2202" s="102">
        <f>GT!D344+GT!D351</f>
        <v>0.10100000000000001</v>
      </c>
      <c r="E2202" s="102">
        <f>GT!E344+GT!E351</f>
        <v>9.9000000000000005E-2</v>
      </c>
      <c r="F2202" s="102">
        <f>GT!F344+GT!F351</f>
        <v>0.10100000000000001</v>
      </c>
      <c r="G2202" s="102">
        <f>GT!G344+GT!G351</f>
        <v>0.109</v>
      </c>
      <c r="H2202" s="102">
        <f>GT!H344+GT!H351</f>
        <v>0.11299999999999999</v>
      </c>
      <c r="I2202" s="102">
        <f>GT!I344+GT!I351</f>
        <v>0.106254</v>
      </c>
      <c r="J2202" s="102">
        <f>GT!J344+GT!J351</f>
        <v>0.120034</v>
      </c>
      <c r="K2202" s="1700">
        <v>1.1111111111111123</v>
      </c>
      <c r="L2202" s="679">
        <f>IFERROR((D2202/C2202-1)*100,0)</f>
        <v>2.020202020202011</v>
      </c>
      <c r="M2202" s="679">
        <f t="shared" ref="M2202:R2202" si="833">IFERROR((E2202/D2202-1)*100,0)</f>
        <v>-1.980198019801982</v>
      </c>
      <c r="N2202" s="679">
        <f t="shared" si="833"/>
        <v>2.020202020202011</v>
      </c>
      <c r="O2202" s="679">
        <f t="shared" si="833"/>
        <v>7.9207920792079056</v>
      </c>
      <c r="P2202" s="679">
        <f t="shared" si="833"/>
        <v>3.669724770642202</v>
      </c>
      <c r="Q2202" s="679">
        <f t="shared" si="833"/>
        <v>-5.9699115044247737</v>
      </c>
      <c r="R2202" s="680">
        <f t="shared" si="833"/>
        <v>12.96892352287915</v>
      </c>
    </row>
    <row r="2203" spans="2:18" s="57" customFormat="1" ht="12.5">
      <c r="B2203" s="688" t="s">
        <v>1247</v>
      </c>
      <c r="C2203" s="102">
        <f>GT!C361+GT!C381</f>
        <v>21.033999999999999</v>
      </c>
      <c r="D2203" s="102">
        <f>GT!D361+GT!D381</f>
        <v>20.112000000000002</v>
      </c>
      <c r="E2203" s="102">
        <f>GT!E361+GT!E381</f>
        <v>18.974</v>
      </c>
      <c r="F2203" s="102">
        <f>GT!F361+GT!F381</f>
        <v>17.494</v>
      </c>
      <c r="G2203" s="102">
        <f>GT!G361+GT!G381</f>
        <v>16.637</v>
      </c>
      <c r="H2203" s="102">
        <f>GT!H361+GT!H381</f>
        <v>15.753</v>
      </c>
      <c r="I2203" s="102">
        <f>GT!I361+GT!I381</f>
        <v>11.717118999999999</v>
      </c>
      <c r="J2203" s="102">
        <f>GT!J361+GT!J381</f>
        <v>11.064026</v>
      </c>
      <c r="K2203" s="1700">
        <v>-4.8971366980645685</v>
      </c>
      <c r="L2203" s="679">
        <f>IFERROR((D2203/C2203-1)*100,0)</f>
        <v>-4.3833792906722291</v>
      </c>
      <c r="M2203" s="679">
        <f t="shared" ref="M2203:M2204" si="834">IFERROR((E2203/D2203-1)*100,0)</f>
        <v>-5.6583134447096288</v>
      </c>
      <c r="N2203" s="679">
        <f t="shared" ref="N2203:N2204" si="835">IFERROR((F2203/E2203-1)*100,0)</f>
        <v>-7.8001475703594387</v>
      </c>
      <c r="O2203" s="679">
        <f t="shared" ref="O2203:O2204" si="836">IFERROR((G2203/F2203-1)*100,0)</f>
        <v>-4.898822453412599</v>
      </c>
      <c r="P2203" s="679">
        <f t="shared" ref="P2203:P2204" si="837">IFERROR((H2203/G2203-1)*100,0)</f>
        <v>-5.3134579551601835</v>
      </c>
      <c r="Q2203" s="679">
        <f t="shared" ref="Q2203:Q2204" si="838">IFERROR((I2203/H2203-1)*100,0)</f>
        <v>-25.619761315305034</v>
      </c>
      <c r="R2203" s="680">
        <f t="shared" ref="R2203:R2204" si="839">IFERROR((J2203/I2203-1)*100,0)</f>
        <v>-5.5738360257329367</v>
      </c>
    </row>
    <row r="2204" spans="2:18" s="57" customFormat="1" ht="12.5">
      <c r="B2204" s="688" t="s">
        <v>1249</v>
      </c>
      <c r="C2204" s="102">
        <f>GT!C402+GT!C422</f>
        <v>1.46</v>
      </c>
      <c r="D2204" s="102">
        <f>GT!D402+GT!D422</f>
        <v>2.157</v>
      </c>
      <c r="E2204" s="102">
        <f>GT!E402+GT!E422</f>
        <v>2.976</v>
      </c>
      <c r="F2204" s="102">
        <f>GT!F402+GT!F422</f>
        <v>4.1040000000000001</v>
      </c>
      <c r="G2204" s="102">
        <f>GT!G402+GT!G422</f>
        <v>5.79</v>
      </c>
      <c r="H2204" s="102">
        <f>GT!H402+GT!H422</f>
        <v>7.9339999999999993</v>
      </c>
      <c r="I2204" s="102">
        <f>GT!I402+GT!I422</f>
        <v>16.179041000000002</v>
      </c>
      <c r="J2204" s="102">
        <f>GT!J402+GT!J422</f>
        <v>33.453817000000001</v>
      </c>
      <c r="K2204" s="1700">
        <v>55.32150776053215</v>
      </c>
      <c r="L2204" s="679">
        <f>IFERROR((D2204/C2204-1)*100,0)</f>
        <v>47.739726027397268</v>
      </c>
      <c r="M2204" s="679">
        <f t="shared" si="834"/>
        <v>37.969401947148818</v>
      </c>
      <c r="N2204" s="679">
        <f t="shared" si="835"/>
        <v>37.903225806451623</v>
      </c>
      <c r="O2204" s="679">
        <f t="shared" si="836"/>
        <v>41.081871345029228</v>
      </c>
      <c r="P2204" s="679">
        <f t="shared" si="837"/>
        <v>37.029360967184786</v>
      </c>
      <c r="Q2204" s="679">
        <f t="shared" si="838"/>
        <v>103.92035543231665</v>
      </c>
      <c r="R2204" s="680">
        <f t="shared" si="839"/>
        <v>106.7725583982388</v>
      </c>
    </row>
    <row r="2205" spans="2:18" s="57" customFormat="1" ht="12.5">
      <c r="B2205" s="688"/>
      <c r="C2205" s="679"/>
      <c r="D2205" s="679"/>
      <c r="E2205" s="679"/>
      <c r="F2205" s="679"/>
      <c r="G2205" s="679"/>
      <c r="H2205" s="679"/>
      <c r="I2205" s="679"/>
      <c r="J2205" s="679"/>
      <c r="K2205" s="1700"/>
      <c r="L2205" s="679"/>
      <c r="M2205" s="679"/>
      <c r="N2205" s="679"/>
      <c r="O2205" s="679"/>
      <c r="P2205" s="679"/>
      <c r="Q2205" s="679"/>
      <c r="R2205" s="656"/>
    </row>
    <row r="2206" spans="2:18" s="57" customFormat="1" ht="13">
      <c r="B2206" s="683" t="s">
        <v>1050</v>
      </c>
      <c r="C2206" s="679"/>
      <c r="D2206" s="679"/>
      <c r="E2206" s="679"/>
      <c r="F2206" s="679"/>
      <c r="G2206" s="679"/>
      <c r="H2206" s="679"/>
      <c r="I2206" s="679"/>
      <c r="J2206" s="679"/>
      <c r="K2206" s="1700"/>
      <c r="L2206" s="679"/>
      <c r="M2206" s="679"/>
      <c r="N2206" s="679"/>
      <c r="O2206" s="679"/>
      <c r="P2206" s="679"/>
      <c r="Q2206" s="679"/>
      <c r="R2206" s="656"/>
    </row>
    <row r="2207" spans="2:18" s="57" customFormat="1" ht="12.5">
      <c r="B2207" s="686" t="s">
        <v>94</v>
      </c>
      <c r="C2207" s="102">
        <f>HN!C341</f>
        <v>0.28776300000000005</v>
      </c>
      <c r="D2207" s="102">
        <f>HN!D341</f>
        <v>0.32504999999999995</v>
      </c>
      <c r="E2207" s="102">
        <f>HN!E341</f>
        <v>0.37879000000000002</v>
      </c>
      <c r="F2207" s="102">
        <f>HN!F341</f>
        <v>0.39350299999999999</v>
      </c>
      <c r="G2207" s="102">
        <f>HN!G341</f>
        <v>0.44414399999999998</v>
      </c>
      <c r="H2207" s="102">
        <f>HN!H341</f>
        <v>0.44320599999999999</v>
      </c>
      <c r="I2207" s="102">
        <f>HN!I341</f>
        <v>0.38963899999999996</v>
      </c>
      <c r="J2207" s="102">
        <f>HN!J341</f>
        <v>0.47278899999999996</v>
      </c>
      <c r="K2207" s="1700">
        <v>93.682237790906257</v>
      </c>
      <c r="L2207" s="679">
        <f>IFERROR((D2207/C2207-1)*100,0)</f>
        <v>12.957537973957711</v>
      </c>
      <c r="M2207" s="679">
        <f t="shared" ref="M2207:Q2208" si="840">IFERROR((E2207/D2207-1)*100,0)</f>
        <v>16.532841101369034</v>
      </c>
      <c r="N2207" s="679">
        <f t="shared" si="840"/>
        <v>3.8842102484226038</v>
      </c>
      <c r="O2207" s="679">
        <f>IFERROR((G2207/F2207-1)*100,0)</f>
        <v>12.869279268518907</v>
      </c>
      <c r="P2207" s="679">
        <f t="shared" si="840"/>
        <v>-0.21119276631001993</v>
      </c>
      <c r="Q2207" s="679">
        <f t="shared" si="840"/>
        <v>-12.086253344945696</v>
      </c>
      <c r="R2207" s="680">
        <f>IFERROR((J2207/I2207-1)*100,0)</f>
        <v>21.340266246448646</v>
      </c>
    </row>
    <row r="2208" spans="2:18" s="57" customFormat="1" ht="12.5">
      <c r="B2208" s="688" t="s">
        <v>1271</v>
      </c>
      <c r="C2208" s="102">
        <f>HN!C351</f>
        <v>4.9499649999999997</v>
      </c>
      <c r="D2208" s="102">
        <f>HN!D351</f>
        <v>4.6813359999999999</v>
      </c>
      <c r="E2208" s="102">
        <f>HN!E351</f>
        <v>4.4965840000000004</v>
      </c>
      <c r="F2208" s="102">
        <f>HN!F351</f>
        <v>4.2271809999999999</v>
      </c>
      <c r="G2208" s="102">
        <f>HN!G351</f>
        <v>3.8437250000000001</v>
      </c>
      <c r="H2208" s="102">
        <f>HN!H351</f>
        <v>3.6289400000000001</v>
      </c>
      <c r="I2208" s="102">
        <f>HN!I351</f>
        <v>2.1101160000000001</v>
      </c>
      <c r="J2208" s="102">
        <f>HN!J351</f>
        <v>2.208437</v>
      </c>
      <c r="K2208" s="1700">
        <v>-9.8819384541835973</v>
      </c>
      <c r="L2208" s="679">
        <f>IFERROR((D2208/C2208-1)*100,0)</f>
        <v>-5.4268868567757478</v>
      </c>
      <c r="M2208" s="679">
        <f t="shared" si="840"/>
        <v>-3.9465656812499583</v>
      </c>
      <c r="N2208" s="679">
        <f t="shared" si="840"/>
        <v>-5.9912813815999115</v>
      </c>
      <c r="O2208" s="679">
        <f t="shared" ref="O2208" si="841">IFERROR((G2208/F2208-1)*100,0)</f>
        <v>-9.0711989858016437</v>
      </c>
      <c r="P2208" s="679">
        <f t="shared" ref="P2208" si="842">IFERROR((H2208/G2208-1)*100,0)</f>
        <v>-5.5879387833416843</v>
      </c>
      <c r="Q2208" s="679">
        <f t="shared" ref="Q2208:R2208" si="843">IFERROR((I2208/H2208-1)*100,0)</f>
        <v>-41.853103109999054</v>
      </c>
      <c r="R2208" s="680">
        <f t="shared" si="843"/>
        <v>4.6595068707123044</v>
      </c>
    </row>
    <row r="2209" spans="2:18" s="57" customFormat="1" ht="12.5">
      <c r="B2209" s="688" t="s">
        <v>1272</v>
      </c>
      <c r="C2209" s="102">
        <f>HN!C372</f>
        <v>1.6114979999999999</v>
      </c>
      <c r="D2209" s="102">
        <f>HN!D372</f>
        <v>1.9283649999999999</v>
      </c>
      <c r="E2209" s="102">
        <f>HN!E372</f>
        <v>2.2690359999999998</v>
      </c>
      <c r="F2209" s="102">
        <f>HN!F372</f>
        <v>2.8636150000000002</v>
      </c>
      <c r="G2209" s="102">
        <f>HN!G372</f>
        <v>3.9952200000000002</v>
      </c>
      <c r="H2209" s="102">
        <f>HN!H372</f>
        <v>5.1444610000000006</v>
      </c>
      <c r="I2209" s="102">
        <f>HN!I372</f>
        <v>8.438244000000001</v>
      </c>
      <c r="J2209" s="102">
        <f>HN!J372</f>
        <v>11.63331</v>
      </c>
      <c r="K2209" s="1700">
        <v>35.680670748992597</v>
      </c>
      <c r="L2209" s="679">
        <f>IFERROR((D2209/C2209-1)*100,0)</f>
        <v>19.662885092007553</v>
      </c>
      <c r="M2209" s="679">
        <f t="shared" ref="M2209" si="844">IFERROR((E2209/D2209-1)*100,0)</f>
        <v>17.666313172039526</v>
      </c>
      <c r="N2209" s="679">
        <f t="shared" ref="N2209" si="845">IFERROR((F2209/E2209-1)*100,0)</f>
        <v>26.204035546373028</v>
      </c>
      <c r="O2209" s="679">
        <f t="shared" ref="O2209" si="846">IFERROR((G2209/F2209-1)*100,0)</f>
        <v>39.516659886192798</v>
      </c>
      <c r="P2209" s="679">
        <f t="shared" ref="P2209" si="847">IFERROR((H2209/G2209-1)*100,0)</f>
        <v>28.765399652584843</v>
      </c>
      <c r="Q2209" s="679">
        <f t="shared" ref="Q2209" si="848">IFERROR((I2209/H2209-1)*100,0)</f>
        <v>64.025813394250648</v>
      </c>
      <c r="R2209" s="680">
        <f t="shared" ref="R2209" si="849">IFERROR((J2209/I2209-1)*100,0)</f>
        <v>37.864110115801331</v>
      </c>
    </row>
    <row r="2210" spans="2:18" s="57" customFormat="1" ht="12.5">
      <c r="B2210" s="688"/>
      <c r="C2210" s="679"/>
      <c r="D2210" s="679"/>
      <c r="E2210" s="679"/>
      <c r="F2210" s="679"/>
      <c r="G2210" s="679"/>
      <c r="H2210" s="679"/>
      <c r="I2210" s="679"/>
      <c r="J2210" s="679"/>
      <c r="K2210" s="1700"/>
      <c r="L2210" s="679"/>
      <c r="M2210" s="679"/>
      <c r="N2210" s="679"/>
      <c r="O2210" s="679"/>
      <c r="P2210" s="679"/>
      <c r="Q2210" s="679"/>
      <c r="R2210" s="656"/>
    </row>
    <row r="2211" spans="2:18" s="57" customFormat="1" ht="13">
      <c r="B2211" s="689" t="s">
        <v>1051</v>
      </c>
      <c r="C2211" s="679"/>
      <c r="D2211" s="679"/>
      <c r="E2211" s="679"/>
      <c r="F2211" s="679"/>
      <c r="G2211" s="679"/>
      <c r="H2211" s="679"/>
      <c r="I2211" s="679"/>
      <c r="J2211" s="679"/>
      <c r="K2211" s="1700"/>
      <c r="L2211" s="679"/>
      <c r="M2211" s="679"/>
      <c r="N2211" s="679"/>
      <c r="O2211" s="679"/>
      <c r="P2211" s="679"/>
      <c r="Q2211" s="679"/>
      <c r="R2211" s="656"/>
    </row>
    <row r="2212" spans="2:18" s="57" customFormat="1" ht="12.5">
      <c r="B2212" s="684" t="s">
        <v>1251</v>
      </c>
      <c r="C2212" s="102">
        <f>JM!C337</f>
        <v>0</v>
      </c>
      <c r="D2212" s="102">
        <f>JM!D337</f>
        <v>0</v>
      </c>
      <c r="E2212" s="102">
        <f>JM!E337</f>
        <v>0</v>
      </c>
      <c r="F2212" s="102">
        <f>JM!F337</f>
        <v>0</v>
      </c>
      <c r="G2212" s="102">
        <f>JM!G337</f>
        <v>0</v>
      </c>
      <c r="H2212" s="102">
        <f>JM!H337</f>
        <v>0</v>
      </c>
      <c r="I2212" s="102">
        <f>JM!I337</f>
        <v>0</v>
      </c>
      <c r="J2212" s="102">
        <f>JM!J337</f>
        <v>0</v>
      </c>
      <c r="K2212" s="1700">
        <v>14.584537064509581</v>
      </c>
      <c r="L2212" s="679">
        <f>IFERROR((D2212/C2212-1)*100,0)</f>
        <v>0</v>
      </c>
      <c r="M2212" s="679">
        <f t="shared" ref="M2212:R2212" si="850">IFERROR((E2212/D2212-1)*100,0)</f>
        <v>0</v>
      </c>
      <c r="N2212" s="679">
        <f t="shared" si="850"/>
        <v>0</v>
      </c>
      <c r="O2212" s="679">
        <f t="shared" si="850"/>
        <v>0</v>
      </c>
      <c r="P2212" s="679">
        <f t="shared" si="850"/>
        <v>0</v>
      </c>
      <c r="Q2212" s="679">
        <f t="shared" si="850"/>
        <v>0</v>
      </c>
      <c r="R2212" s="680">
        <f t="shared" si="850"/>
        <v>0</v>
      </c>
    </row>
    <row r="2213" spans="2:18" s="57" customFormat="1" ht="12.5">
      <c r="B2213" s="684" t="s">
        <v>1252</v>
      </c>
      <c r="C2213" s="102">
        <f>JM!C346</f>
        <v>0</v>
      </c>
      <c r="D2213" s="102">
        <f>JM!D346</f>
        <v>20.816367</v>
      </c>
      <c r="E2213" s="102">
        <f>JM!E346</f>
        <v>22.274935999999997</v>
      </c>
      <c r="F2213" s="102">
        <f>JM!F346</f>
        <v>22.749208000000003</v>
      </c>
      <c r="G2213" s="102">
        <f>JM!G346</f>
        <v>24.576644999999999</v>
      </c>
      <c r="H2213" s="102">
        <f>JM!H346</f>
        <v>26.539055000000001</v>
      </c>
      <c r="I2213" s="102">
        <f>JM!I346</f>
        <v>25.524391999999999</v>
      </c>
      <c r="J2213" s="102">
        <f>JM!J346</f>
        <v>28.624172000000002</v>
      </c>
      <c r="K2213" s="1700">
        <v>-1.873441013499074</v>
      </c>
      <c r="L2213" s="679">
        <f>IFERROR((D2213/C2213-1)*100,0)</f>
        <v>0</v>
      </c>
      <c r="M2213" s="679">
        <f t="shared" ref="M2213:M2214" si="851">IFERROR((E2213/D2213-1)*100,0)</f>
        <v>7.0068374563150071</v>
      </c>
      <c r="N2213" s="679">
        <f t="shared" ref="N2213:N2214" si="852">IFERROR((F2213/E2213-1)*100,0)</f>
        <v>2.1291733453241202</v>
      </c>
      <c r="O2213" s="679">
        <f t="shared" ref="O2213:O2214" si="853">IFERROR((G2213/F2213-1)*100,0)</f>
        <v>8.0329697631671202</v>
      </c>
      <c r="P2213" s="679">
        <f t="shared" ref="P2213:P2214" si="854">IFERROR((H2213/G2213-1)*100,0)</f>
        <v>7.984857168258741</v>
      </c>
      <c r="Q2213" s="679">
        <f t="shared" ref="Q2213:Q2214" si="855">IFERROR((I2213/H2213-1)*100,0)</f>
        <v>-3.8232823286285189</v>
      </c>
      <c r="R2213" s="680">
        <f t="shared" ref="R2213:R2214" si="856">IFERROR((J2213/I2213-1)*100,0)</f>
        <v>12.144383302058692</v>
      </c>
    </row>
    <row r="2214" spans="2:18" s="57" customFormat="1" ht="12.5">
      <c r="B2214" s="684" t="s">
        <v>1254</v>
      </c>
      <c r="C2214" s="102">
        <f>JM!C366</f>
        <v>10.872999999999999</v>
      </c>
      <c r="D2214" s="102">
        <f>JM!D366</f>
        <v>11.478046000000001</v>
      </c>
      <c r="E2214" s="102">
        <f>JM!E366</f>
        <v>12.353287</v>
      </c>
      <c r="F2214" s="102">
        <f>JM!F366</f>
        <v>12.759302</v>
      </c>
      <c r="G2214" s="102">
        <f>JM!G366</f>
        <v>13.897608999999999</v>
      </c>
      <c r="H2214" s="102">
        <f>JM!H366</f>
        <v>15.278928000000001</v>
      </c>
      <c r="I2214" s="102">
        <f>JM!I366</f>
        <v>13.743677</v>
      </c>
      <c r="J2214" s="102">
        <f>JM!J366</f>
        <v>15.67144</v>
      </c>
      <c r="K2214" s="1700">
        <v>3.8788573612305228</v>
      </c>
      <c r="L2214" s="679">
        <f>IFERROR((D2214/C2214-1)*100,0)</f>
        <v>5.5646647659339799</v>
      </c>
      <c r="M2214" s="679">
        <f t="shared" si="851"/>
        <v>7.6253484260299986</v>
      </c>
      <c r="N2214" s="679">
        <f t="shared" si="852"/>
        <v>3.286696083398688</v>
      </c>
      <c r="O2214" s="679">
        <f t="shared" si="853"/>
        <v>8.921389273488467</v>
      </c>
      <c r="P2214" s="679">
        <f t="shared" si="854"/>
        <v>9.9392564577115436</v>
      </c>
      <c r="Q2214" s="679">
        <f t="shared" si="855"/>
        <v>-10.04815913786622</v>
      </c>
      <c r="R2214" s="680">
        <f t="shared" si="856"/>
        <v>14.026544715799139</v>
      </c>
    </row>
    <row r="2215" spans="2:18" s="57" customFormat="1" ht="12.5">
      <c r="B2215" s="684"/>
      <c r="C2215" s="102"/>
      <c r="D2215" s="102"/>
      <c r="E2215" s="102"/>
      <c r="F2215" s="102"/>
      <c r="G2215" s="102"/>
      <c r="H2215" s="102"/>
      <c r="I2215" s="102"/>
      <c r="J2215" s="102"/>
      <c r="K2215" s="1700"/>
      <c r="L2215" s="679"/>
      <c r="M2215" s="679"/>
      <c r="N2215" s="679"/>
      <c r="O2215" s="679"/>
      <c r="P2215" s="679"/>
      <c r="Q2215" s="679"/>
      <c r="R2215" s="680"/>
    </row>
    <row r="2216" spans="2:18" s="57" customFormat="1" ht="13">
      <c r="B2216" s="685" t="s">
        <v>1052</v>
      </c>
      <c r="C2216" s="679"/>
      <c r="D2216" s="679"/>
      <c r="E2216" s="679"/>
      <c r="F2216" s="679"/>
      <c r="G2216" s="679"/>
      <c r="H2216" s="679"/>
      <c r="I2216" s="679"/>
      <c r="J2216" s="679"/>
      <c r="K2216" s="1700"/>
      <c r="L2216" s="679"/>
      <c r="M2216" s="679"/>
      <c r="N2216" s="679"/>
      <c r="O2216" s="679"/>
      <c r="P2216" s="679"/>
      <c r="Q2216" s="679"/>
      <c r="R2216" s="656"/>
    </row>
    <row r="2217" spans="2:18" s="57" customFormat="1" ht="12.5">
      <c r="B2217" s="687" t="s">
        <v>671</v>
      </c>
      <c r="C2217" s="102">
        <f>RD!C380</f>
        <v>0.48043799999999998</v>
      </c>
      <c r="D2217" s="102">
        <f>RD!D380</f>
        <v>0.79985100000000009</v>
      </c>
      <c r="E2217" s="102">
        <f>RD!E380</f>
        <v>1.3222050000000001</v>
      </c>
      <c r="F2217" s="102">
        <f>RD!F380</f>
        <v>2.0877380000000003</v>
      </c>
      <c r="G2217" s="102">
        <f>RD!G380</f>
        <v>3.112422</v>
      </c>
      <c r="H2217" s="102">
        <f>RD!H380</f>
        <v>4.9538469999999997</v>
      </c>
      <c r="I2217" s="102">
        <f>RD!I380</f>
        <v>8.7008849999999995</v>
      </c>
      <c r="J2217" s="102">
        <f>RD!J380</f>
        <v>12.683094000000001</v>
      </c>
      <c r="K2217" s="1700">
        <v>29.032258064516125</v>
      </c>
      <c r="L2217" s="679">
        <f>IFERROR((D2217/C2217-1)*100,0)</f>
        <v>66.483708615888034</v>
      </c>
      <c r="M2217" s="679">
        <f t="shared" ref="M2217:R2217" si="857">IFERROR((E2217/D2217-1)*100,0)</f>
        <v>65.306413319480754</v>
      </c>
      <c r="N2217" s="679">
        <f t="shared" si="857"/>
        <v>57.898207917834242</v>
      </c>
      <c r="O2217" s="679">
        <f t="shared" si="857"/>
        <v>49.081062853672243</v>
      </c>
      <c r="P2217" s="679">
        <f t="shared" si="857"/>
        <v>59.16373165335547</v>
      </c>
      <c r="Q2217" s="679">
        <f t="shared" si="857"/>
        <v>75.638952918812393</v>
      </c>
      <c r="R2217" s="680">
        <f t="shared" si="857"/>
        <v>45.767861545118691</v>
      </c>
    </row>
    <row r="2218" spans="2:18" s="57" customFormat="1" ht="12.5">
      <c r="B2218" s="687" t="s">
        <v>684</v>
      </c>
      <c r="C2218" s="102">
        <f>RD!C389</f>
        <v>10.616270999999999</v>
      </c>
      <c r="D2218" s="102">
        <f>RD!D389</f>
        <v>10.430356</v>
      </c>
      <c r="E2218" s="102">
        <f>RD!E389</f>
        <v>10.059469999999999</v>
      </c>
      <c r="F2218" s="102">
        <f>RD!F389</f>
        <v>9.5126810000000006</v>
      </c>
      <c r="G2218" s="102">
        <f>RD!G389</f>
        <v>9.0344280000000001</v>
      </c>
      <c r="H2218" s="102">
        <f>RD!H389</f>
        <v>8.6227330000000002</v>
      </c>
      <c r="I2218" s="102">
        <f>RD!I389</f>
        <v>6.0818149999999997</v>
      </c>
      <c r="J2218" s="102">
        <f>RD!J389</f>
        <v>6.2233330000000002</v>
      </c>
      <c r="K2218" s="1700">
        <v>-4.0357851993019018</v>
      </c>
      <c r="L2218" s="679">
        <f t="shared" ref="L2218:L2225" si="858">IFERROR((D2218/C2218-1)*100,0)</f>
        <v>-1.751226960954555</v>
      </c>
      <c r="M2218" s="679">
        <f t="shared" ref="M2218:M2225" si="859">IFERROR((E2218/D2218-1)*100,0)</f>
        <v>-3.5558326101237658</v>
      </c>
      <c r="N2218" s="679">
        <f t="shared" ref="N2218:N2225" si="860">IFERROR((F2218/E2218-1)*100,0)</f>
        <v>-5.4355646967484184</v>
      </c>
      <c r="O2218" s="679">
        <f t="shared" ref="O2218:O2225" si="861">IFERROR((G2218/F2218-1)*100,0)</f>
        <v>-5.0275311450052929</v>
      </c>
      <c r="P2218" s="679">
        <f t="shared" ref="P2218:P2225" si="862">IFERROR((H2218/G2218-1)*100,0)</f>
        <v>-4.5569570093424883</v>
      </c>
      <c r="Q2218" s="679">
        <f t="shared" ref="Q2218:Q2225" si="863">IFERROR((I2218/H2218-1)*100,0)</f>
        <v>-29.467664138504578</v>
      </c>
      <c r="R2218" s="680">
        <f t="shared" ref="R2218:R2225" si="864">IFERROR((J2218/I2218-1)*100,0)</f>
        <v>2.3269040574236621</v>
      </c>
    </row>
    <row r="2219" spans="2:18" s="57" customFormat="1" ht="12.5">
      <c r="B2219" s="681" t="s">
        <v>674</v>
      </c>
      <c r="C2219" s="679">
        <v>4.7970550000000003</v>
      </c>
      <c r="D2219" s="679">
        <v>6.5100850000000001</v>
      </c>
      <c r="E2219" s="679">
        <v>9.8379490000000001</v>
      </c>
      <c r="F2219" s="679">
        <v>14.007085</v>
      </c>
      <c r="G2219" s="679">
        <v>20.448181999999999</v>
      </c>
      <c r="H2219" s="679">
        <v>25.683847130000004</v>
      </c>
      <c r="I2219" s="679">
        <v>32.320498000000001</v>
      </c>
      <c r="J2219" s="102">
        <f>RD!J395</f>
        <v>43.863509999999998</v>
      </c>
      <c r="K2219" s="1700">
        <v>15.193063233470895</v>
      </c>
      <c r="L2219" s="679">
        <f t="shared" si="858"/>
        <v>35.710034594141618</v>
      </c>
      <c r="M2219" s="679">
        <f t="shared" si="859"/>
        <v>51.118595225715183</v>
      </c>
      <c r="N2219" s="679">
        <f t="shared" si="860"/>
        <v>42.378101370519403</v>
      </c>
      <c r="O2219" s="679">
        <f t="shared" si="861"/>
        <v>45.98456424016846</v>
      </c>
      <c r="P2219" s="679">
        <f t="shared" si="862"/>
        <v>25.604550712625731</v>
      </c>
      <c r="Q2219" s="679">
        <f t="shared" si="863"/>
        <v>25.839784968382173</v>
      </c>
      <c r="R2219" s="680">
        <f t="shared" si="864"/>
        <v>35.714214552015868</v>
      </c>
    </row>
    <row r="2220" spans="2:18" s="57" customFormat="1" ht="12.5">
      <c r="B2220" s="681" t="s">
        <v>1269</v>
      </c>
      <c r="C2220" s="102">
        <f>RD!C402</f>
        <v>9.5628019999999996</v>
      </c>
      <c r="D2220" s="102">
        <f>RD!D402</f>
        <v>4.293901</v>
      </c>
      <c r="E2220" s="102">
        <f>RD!E402</f>
        <v>2.7890389999999998</v>
      </c>
      <c r="F2220" s="102">
        <f>RD!F402</f>
        <v>2.5230939999999999</v>
      </c>
      <c r="G2220" s="102">
        <f>RD!G402</f>
        <v>2.5814789999999999</v>
      </c>
      <c r="H2220" s="102">
        <f>RD!H402</f>
        <v>2.6490390000000001</v>
      </c>
      <c r="I2220" s="102">
        <f>RD!I402</f>
        <v>1.092193</v>
      </c>
      <c r="J2220" s="102">
        <f>RD!J402</f>
        <v>8.7410000000000002E-2</v>
      </c>
      <c r="K2220" s="1700">
        <v>0</v>
      </c>
      <c r="L2220" s="679">
        <f t="shared" si="858"/>
        <v>-55.097878216029152</v>
      </c>
      <c r="M2220" s="679">
        <f t="shared" si="859"/>
        <v>-35.046499674771269</v>
      </c>
      <c r="N2220" s="679">
        <f t="shared" si="860"/>
        <v>-9.5353632559458603</v>
      </c>
      <c r="O2220" s="679">
        <f t="shared" si="861"/>
        <v>2.3140239721548106</v>
      </c>
      <c r="P2220" s="679">
        <f t="shared" si="862"/>
        <v>2.6171043808607575</v>
      </c>
      <c r="Q2220" s="679">
        <f t="shared" si="863"/>
        <v>-58.770218181008296</v>
      </c>
      <c r="R2220" s="680">
        <f t="shared" si="864"/>
        <v>-91.996835724089053</v>
      </c>
    </row>
    <row r="2221" spans="2:18" s="57" customFormat="1" ht="12.5">
      <c r="B2221" s="681" t="s">
        <v>677</v>
      </c>
      <c r="C2221" s="102">
        <f>RD!C407</f>
        <v>5.8852760000000002</v>
      </c>
      <c r="D2221" s="102">
        <f>RD!D407</f>
        <v>6.9471030000000003</v>
      </c>
      <c r="E2221" s="102">
        <f>RD!E407</f>
        <v>7.9618209999999996</v>
      </c>
      <c r="F2221" s="102">
        <f>RD!F407</f>
        <v>9.2421930000000003</v>
      </c>
      <c r="G2221" s="102">
        <f>RD!G407</f>
        <v>9.5928550000000001</v>
      </c>
      <c r="H2221" s="102">
        <f>RD!H407</f>
        <v>10.31874</v>
      </c>
      <c r="I2221" s="102">
        <f>RD!I407</f>
        <v>11.888451</v>
      </c>
      <c r="J2221" s="102">
        <f>RD!J407</f>
        <v>10.879531</v>
      </c>
      <c r="K2221" s="1700">
        <v>14.668680532255943</v>
      </c>
      <c r="L2221" s="679">
        <f t="shared" si="858"/>
        <v>18.042093522886617</v>
      </c>
      <c r="M2221" s="679">
        <f t="shared" si="859"/>
        <v>14.606347422803424</v>
      </c>
      <c r="N2221" s="679">
        <f t="shared" si="860"/>
        <v>16.081396454404096</v>
      </c>
      <c r="O2221" s="679">
        <f t="shared" si="861"/>
        <v>3.7941427970612507</v>
      </c>
      <c r="P2221" s="679">
        <f t="shared" si="862"/>
        <v>7.5669339315563411</v>
      </c>
      <c r="Q2221" s="679">
        <f t="shared" si="863"/>
        <v>15.212235214764602</v>
      </c>
      <c r="R2221" s="680">
        <f t="shared" si="864"/>
        <v>-8.4865555655652685</v>
      </c>
    </row>
    <row r="2222" spans="2:18" s="57" customFormat="1" ht="12.5">
      <c r="B2222" s="681" t="s">
        <v>678</v>
      </c>
      <c r="C2222" s="102">
        <f>RD!C413</f>
        <v>0</v>
      </c>
      <c r="D2222" s="102">
        <f>RD!D413</f>
        <v>3.7077840000000002</v>
      </c>
      <c r="E2222" s="102">
        <f>RD!E413</f>
        <v>4.4361059999999997</v>
      </c>
      <c r="F2222" s="102">
        <f>RD!F413</f>
        <v>4.7835780000000003</v>
      </c>
      <c r="G2222" s="102">
        <f>RD!G413</f>
        <v>5.1612080000000002</v>
      </c>
      <c r="H2222" s="102">
        <f>RD!H413</f>
        <v>5.0438900000000002</v>
      </c>
      <c r="I2222" s="102">
        <f>RD!I413</f>
        <v>5.2325379999999999</v>
      </c>
      <c r="J2222" s="102">
        <f>RD!J413</f>
        <v>5.3104800000000001</v>
      </c>
      <c r="K2222" s="1700">
        <v>0</v>
      </c>
      <c r="L2222" s="679">
        <f t="shared" si="858"/>
        <v>0</v>
      </c>
      <c r="M2222" s="679">
        <f t="shared" si="859"/>
        <v>19.643053640665144</v>
      </c>
      <c r="N2222" s="679">
        <f t="shared" si="860"/>
        <v>7.8328155368695196</v>
      </c>
      <c r="O2222" s="679">
        <f t="shared" si="861"/>
        <v>7.894300040680835</v>
      </c>
      <c r="P2222" s="679">
        <f t="shared" si="862"/>
        <v>-2.2730725055064682</v>
      </c>
      <c r="Q2222" s="679">
        <f t="shared" si="863"/>
        <v>3.7401291463533104</v>
      </c>
      <c r="R2222" s="680">
        <f t="shared" si="864"/>
        <v>1.4895639553883733</v>
      </c>
    </row>
    <row r="2223" spans="2:18" s="57" customFormat="1" ht="12.5">
      <c r="B2223" s="681" t="s">
        <v>2117</v>
      </c>
      <c r="C2223" s="102">
        <f>RD!C419</f>
        <v>0</v>
      </c>
      <c r="D2223" s="102">
        <f>RD!D419</f>
        <v>0</v>
      </c>
      <c r="E2223" s="102">
        <f>RD!E419</f>
        <v>0</v>
      </c>
      <c r="F2223" s="102">
        <f>RD!F419</f>
        <v>0</v>
      </c>
      <c r="G2223" s="102">
        <f>RD!G419</f>
        <v>0</v>
      </c>
      <c r="H2223" s="102">
        <f>RD!H419</f>
        <v>0</v>
      </c>
      <c r="I2223" s="102">
        <f>RD!I419</f>
        <v>0</v>
      </c>
      <c r="J2223" s="102">
        <f>RD!J419</f>
        <v>0</v>
      </c>
      <c r="K2223" s="1700">
        <v>0</v>
      </c>
      <c r="L2223" s="679">
        <f t="shared" si="858"/>
        <v>0</v>
      </c>
      <c r="M2223" s="679">
        <f t="shared" si="859"/>
        <v>0</v>
      </c>
      <c r="N2223" s="679">
        <f t="shared" si="860"/>
        <v>0</v>
      </c>
      <c r="O2223" s="679">
        <f t="shared" si="861"/>
        <v>0</v>
      </c>
      <c r="P2223" s="679">
        <f t="shared" si="862"/>
        <v>0</v>
      </c>
      <c r="Q2223" s="679">
        <f t="shared" si="863"/>
        <v>0</v>
      </c>
      <c r="R2223" s="680">
        <f t="shared" si="864"/>
        <v>0</v>
      </c>
    </row>
    <row r="2224" spans="2:18" s="57" customFormat="1" ht="12.5">
      <c r="B2224" s="681" t="s">
        <v>2118</v>
      </c>
      <c r="C2224" s="102">
        <f>RD!C425</f>
        <v>0</v>
      </c>
      <c r="D2224" s="102">
        <f>RD!D425</f>
        <v>0</v>
      </c>
      <c r="E2224" s="102">
        <f>RD!E425</f>
        <v>0</v>
      </c>
      <c r="F2224" s="102">
        <f>RD!F425</f>
        <v>0</v>
      </c>
      <c r="G2224" s="102">
        <f>RD!G425</f>
        <v>0</v>
      </c>
      <c r="H2224" s="102">
        <f>RD!H425</f>
        <v>0</v>
      </c>
      <c r="I2224" s="102">
        <f>RD!I425</f>
        <v>0</v>
      </c>
      <c r="J2224" s="102">
        <f>RD!J425</f>
        <v>0</v>
      </c>
      <c r="K2224" s="1700">
        <v>0</v>
      </c>
      <c r="L2224" s="679">
        <f t="shared" si="858"/>
        <v>0</v>
      </c>
      <c r="M2224" s="679">
        <f t="shared" si="859"/>
        <v>0</v>
      </c>
      <c r="N2224" s="679">
        <f t="shared" si="860"/>
        <v>0</v>
      </c>
      <c r="O2224" s="679">
        <f t="shared" si="861"/>
        <v>0</v>
      </c>
      <c r="P2224" s="679">
        <f t="shared" si="862"/>
        <v>0</v>
      </c>
      <c r="Q2224" s="679">
        <f t="shared" si="863"/>
        <v>0</v>
      </c>
      <c r="R2224" s="680">
        <f t="shared" si="864"/>
        <v>0</v>
      </c>
    </row>
    <row r="2225" spans="2:18" s="57" customFormat="1" ht="12.5">
      <c r="B2225" s="681" t="s">
        <v>719</v>
      </c>
      <c r="C2225" s="102">
        <f>RD!C431</f>
        <v>0</v>
      </c>
      <c r="D2225" s="102">
        <f>RD!D431</f>
        <v>0</v>
      </c>
      <c r="E2225" s="102">
        <f>RD!E431</f>
        <v>0</v>
      </c>
      <c r="F2225" s="102">
        <f>RD!F431</f>
        <v>0.68704699999999996</v>
      </c>
      <c r="G2225" s="102">
        <f>RD!G431</f>
        <v>2.142633</v>
      </c>
      <c r="H2225" s="102">
        <f>RD!H431</f>
        <v>2.7447620000000001</v>
      </c>
      <c r="I2225" s="102">
        <f>RD!I431</f>
        <v>3.2172890000000001</v>
      </c>
      <c r="J2225" s="102">
        <f>RD!J431</f>
        <v>4.1145670000000001</v>
      </c>
      <c r="K2225" s="1700">
        <v>0</v>
      </c>
      <c r="L2225" s="679">
        <f t="shared" si="858"/>
        <v>0</v>
      </c>
      <c r="M2225" s="679">
        <f t="shared" si="859"/>
        <v>0</v>
      </c>
      <c r="N2225" s="679">
        <f t="shared" si="860"/>
        <v>0</v>
      </c>
      <c r="O2225" s="679">
        <f t="shared" si="861"/>
        <v>211.86119726889137</v>
      </c>
      <c r="P2225" s="679">
        <f t="shared" si="862"/>
        <v>28.102292833163677</v>
      </c>
      <c r="Q2225" s="679">
        <f t="shared" si="863"/>
        <v>17.215591005704688</v>
      </c>
      <c r="R2225" s="680">
        <f t="shared" si="864"/>
        <v>27.889257073268837</v>
      </c>
    </row>
    <row r="2226" spans="2:18" s="57" customFormat="1" ht="12.5">
      <c r="B2226" s="684"/>
      <c r="C2226" s="679"/>
      <c r="D2226" s="679"/>
      <c r="E2226" s="679"/>
      <c r="F2226" s="679"/>
      <c r="G2226" s="679"/>
      <c r="H2226" s="679"/>
      <c r="I2226" s="679"/>
      <c r="J2226" s="679"/>
      <c r="K2226" s="1700"/>
      <c r="L2226" s="679"/>
      <c r="M2226" s="679"/>
      <c r="N2226" s="679"/>
      <c r="O2226" s="679"/>
      <c r="P2226" s="679"/>
      <c r="Q2226" s="679"/>
      <c r="R2226" s="656"/>
    </row>
    <row r="2227" spans="2:18" s="57" customFormat="1" ht="13">
      <c r="B2227" s="685" t="s">
        <v>1053</v>
      </c>
      <c r="C2227" s="679"/>
      <c r="D2227" s="679"/>
      <c r="E2227" s="679"/>
      <c r="F2227" s="679"/>
      <c r="G2227" s="679"/>
      <c r="H2227" s="679"/>
      <c r="I2227" s="679"/>
      <c r="J2227" s="679"/>
      <c r="K2227" s="1700"/>
      <c r="L2227" s="679"/>
      <c r="M2227" s="679"/>
      <c r="N2227" s="679"/>
      <c r="O2227" s="679"/>
      <c r="P2227" s="679"/>
      <c r="Q2227" s="679"/>
      <c r="R2227" s="656"/>
    </row>
    <row r="2228" spans="2:18" s="57" customFormat="1" ht="12.5">
      <c r="B2228" s="678" t="s">
        <v>2127</v>
      </c>
      <c r="C2228" s="102">
        <f>PY!C417</f>
        <v>0.129106</v>
      </c>
      <c r="D2228" s="102">
        <f>PY!D417</f>
        <v>0.161186</v>
      </c>
      <c r="E2228" s="102">
        <f>PY!E417</f>
        <v>0.17439099999999999</v>
      </c>
      <c r="F2228" s="102">
        <f>PY!F417</f>
        <v>0.21229700000000001</v>
      </c>
      <c r="G2228" s="102">
        <f>PY!G417</f>
        <v>0.23457599999999998</v>
      </c>
      <c r="H2228" s="102">
        <f>PY!H417</f>
        <v>0.23746800000000001</v>
      </c>
      <c r="I2228" s="102">
        <f>PY!I417</f>
        <v>0.22555800000000001</v>
      </c>
      <c r="J2228" s="102">
        <f>PY!J417</f>
        <v>0.24716099999999999</v>
      </c>
      <c r="K2228" s="1700">
        <v>114.58</v>
      </c>
      <c r="L2228" s="679">
        <f>IFERROR((D2228/C2228-1)*100,0)</f>
        <v>24.8477994825957</v>
      </c>
      <c r="M2228" s="679">
        <f t="shared" ref="M2228:R2228" si="865">IFERROR((E2228/D2228-1)*100,0)</f>
        <v>8.192398843572013</v>
      </c>
      <c r="N2228" s="679">
        <f t="shared" si="865"/>
        <v>21.736213451382259</v>
      </c>
      <c r="O2228" s="679">
        <f t="shared" si="865"/>
        <v>10.494260399346178</v>
      </c>
      <c r="P2228" s="679">
        <f t="shared" si="865"/>
        <v>1.2328626969511092</v>
      </c>
      <c r="Q2228" s="679">
        <f t="shared" si="865"/>
        <v>-5.0154126029612449</v>
      </c>
      <c r="R2228" s="680">
        <f t="shared" si="865"/>
        <v>9.5775809326204211</v>
      </c>
    </row>
    <row r="2229" spans="2:18" s="57" customFormat="1" ht="12.5">
      <c r="B2229" s="678" t="s">
        <v>2119</v>
      </c>
      <c r="C2229" s="102">
        <f>PY!C426</f>
        <v>0</v>
      </c>
      <c r="D2229" s="102">
        <f>PY!D426</f>
        <v>0.62227500000000002</v>
      </c>
      <c r="E2229" s="102">
        <f>PY!E426</f>
        <v>1.1921480000000002</v>
      </c>
      <c r="F2229" s="102">
        <f>PY!F426</f>
        <v>2.2209100000000004</v>
      </c>
      <c r="G2229" s="102">
        <f>PY!G426</f>
        <v>4.1723619999999997</v>
      </c>
      <c r="H2229" s="102">
        <f>PY!H426</f>
        <v>6.6742270000000001</v>
      </c>
      <c r="I2229" s="102">
        <f>PY!I426</f>
        <v>12.497413</v>
      </c>
      <c r="J2229" s="102">
        <f>PY!J426</f>
        <v>22.418823142000001</v>
      </c>
      <c r="K2229" s="1700">
        <f t="shared" ref="K2229:L2236" si="866">IFERROR((C2229/B2229-1)*100,0)</f>
        <v>0</v>
      </c>
      <c r="L2229" s="679">
        <f t="shared" si="866"/>
        <v>0</v>
      </c>
      <c r="M2229" s="679">
        <f t="shared" ref="M2229:M2236" si="867">IFERROR((E2229/D2229-1)*100,0)</f>
        <v>91.578964284279479</v>
      </c>
      <c r="N2229" s="679">
        <f t="shared" ref="N2229:N2236" si="868">IFERROR((F2229/E2229-1)*100,0)</f>
        <v>86.294822454930099</v>
      </c>
      <c r="O2229" s="679">
        <f t="shared" ref="O2229:O2236" si="869">IFERROR((G2229/F2229-1)*100,0)</f>
        <v>87.867225596714803</v>
      </c>
      <c r="P2229" s="679">
        <f t="shared" ref="P2229:P2236" si="870">IFERROR((H2229/G2229-1)*100,0)</f>
        <v>59.962798050600611</v>
      </c>
      <c r="Q2229" s="679">
        <f t="shared" ref="Q2229:Q2236" si="871">IFERROR((I2229/H2229-1)*100,0)</f>
        <v>87.248845446821036</v>
      </c>
      <c r="R2229" s="680">
        <f t="shared" ref="R2229:R2236" si="872">IFERROR((J2229/I2229-1)*100,0)</f>
        <v>79.387711216713413</v>
      </c>
    </row>
    <row r="2230" spans="2:18" s="57" customFormat="1" ht="12.5">
      <c r="B2230" s="678" t="s">
        <v>489</v>
      </c>
      <c r="C2230" s="102">
        <f>PY!C446</f>
        <v>0</v>
      </c>
      <c r="D2230" s="102">
        <f>PY!D446</f>
        <v>0.197993</v>
      </c>
      <c r="E2230" s="102">
        <f>PY!E446</f>
        <v>0.25795400000000002</v>
      </c>
      <c r="F2230" s="102">
        <f>PY!F446</f>
        <v>0.35827799999999999</v>
      </c>
      <c r="G2230" s="102">
        <f>PY!G446</f>
        <v>0.511436</v>
      </c>
      <c r="H2230" s="102">
        <f>PY!H446</f>
        <v>0.52676299999999998</v>
      </c>
      <c r="I2230" s="102">
        <f>PY!I446</f>
        <v>1.418021</v>
      </c>
      <c r="J2230" s="102">
        <f>PY!J446</f>
        <v>4.2155791420000002</v>
      </c>
      <c r="K2230" s="1700">
        <f t="shared" si="866"/>
        <v>0</v>
      </c>
      <c r="L2230" s="679">
        <f t="shared" si="866"/>
        <v>0</v>
      </c>
      <c r="M2230" s="679">
        <f t="shared" si="867"/>
        <v>30.284403994080613</v>
      </c>
      <c r="N2230" s="679">
        <f t="shared" si="868"/>
        <v>38.892205587042625</v>
      </c>
      <c r="O2230" s="679">
        <f t="shared" si="869"/>
        <v>42.748368585288517</v>
      </c>
      <c r="P2230" s="679">
        <f t="shared" si="870"/>
        <v>2.9968559115901128</v>
      </c>
      <c r="Q2230" s="679">
        <f t="shared" si="871"/>
        <v>169.19525479200325</v>
      </c>
      <c r="R2230" s="680">
        <f t="shared" si="872"/>
        <v>197.28608687741578</v>
      </c>
    </row>
    <row r="2231" spans="2:18" s="57" customFormat="1" ht="12.5">
      <c r="B2231" s="678" t="s">
        <v>2120</v>
      </c>
      <c r="C2231" s="102">
        <f>PY!C466</f>
        <v>0</v>
      </c>
      <c r="D2231" s="102">
        <f>PY!D466</f>
        <v>142.79779699999997</v>
      </c>
      <c r="E2231" s="102">
        <f>PY!E466</f>
        <v>155.78488099999998</v>
      </c>
      <c r="F2231" s="102">
        <f>PY!F466</f>
        <v>177.925634</v>
      </c>
      <c r="G2231" s="102">
        <f>PY!G466</f>
        <v>107.483891</v>
      </c>
      <c r="H2231" s="102">
        <f>PY!H466</f>
        <v>121.65569000000001</v>
      </c>
      <c r="I2231" s="102">
        <f>PY!I466</f>
        <v>112.594605</v>
      </c>
      <c r="J2231" s="102">
        <f>PY!J466</f>
        <v>134.16040299999997</v>
      </c>
      <c r="K2231" s="1700">
        <f t="shared" si="866"/>
        <v>0</v>
      </c>
      <c r="L2231" s="679">
        <f t="shared" si="866"/>
        <v>0</v>
      </c>
      <c r="M2231" s="679">
        <f t="shared" si="867"/>
        <v>9.0947369447163204</v>
      </c>
      <c r="N2231" s="679">
        <f t="shared" si="868"/>
        <v>14.21238881326361</v>
      </c>
      <c r="O2231" s="679">
        <f t="shared" si="869"/>
        <v>-39.590553320720502</v>
      </c>
      <c r="P2231" s="679">
        <f t="shared" si="870"/>
        <v>13.185044631478782</v>
      </c>
      <c r="Q2231" s="679">
        <f t="shared" si="871"/>
        <v>-7.4481390882744636</v>
      </c>
      <c r="R2231" s="680">
        <f t="shared" si="872"/>
        <v>19.153491412843415</v>
      </c>
    </row>
    <row r="2232" spans="2:18" s="57" customFormat="1" ht="12.5">
      <c r="B2232" s="678" t="s">
        <v>2121</v>
      </c>
      <c r="C2232" s="102">
        <f>PY!C486</f>
        <v>0</v>
      </c>
      <c r="D2232" s="102">
        <f>PY!D486</f>
        <v>23.167296</v>
      </c>
      <c r="E2232" s="102">
        <f>PY!E486</f>
        <v>23.218726000000004</v>
      </c>
      <c r="F2232" s="102">
        <f>PY!F486</f>
        <v>22.988997999999999</v>
      </c>
      <c r="G2232" s="102">
        <f>PY!G486</f>
        <v>12.180732000000001</v>
      </c>
      <c r="H2232" s="102">
        <f>PY!H486</f>
        <v>13.919269000000002</v>
      </c>
      <c r="I2232" s="102">
        <f>PY!I486</f>
        <v>17.890086</v>
      </c>
      <c r="J2232" s="102">
        <f>PY!J486</f>
        <v>19.505030699999999</v>
      </c>
      <c r="K2232" s="1700">
        <f t="shared" si="866"/>
        <v>0</v>
      </c>
      <c r="L2232" s="679">
        <f t="shared" si="866"/>
        <v>0</v>
      </c>
      <c r="M2232" s="679">
        <f t="shared" si="867"/>
        <v>0.22199396943003435</v>
      </c>
      <c r="N2232" s="679">
        <f t="shared" si="868"/>
        <v>-0.98940829053241197</v>
      </c>
      <c r="O2232" s="679">
        <f t="shared" si="869"/>
        <v>-47.014950368867744</v>
      </c>
      <c r="P2232" s="679">
        <f t="shared" si="870"/>
        <v>14.272845014568913</v>
      </c>
      <c r="Q2232" s="679">
        <f t="shared" si="871"/>
        <v>28.527482298100558</v>
      </c>
      <c r="R2232" s="680">
        <f t="shared" si="872"/>
        <v>9.0270370975298775</v>
      </c>
    </row>
    <row r="2233" spans="2:18" s="57" customFormat="1" ht="12.5">
      <c r="B2233" s="678" t="s">
        <v>2122</v>
      </c>
      <c r="C2233" s="102">
        <f>PY!C506</f>
        <v>0</v>
      </c>
      <c r="D2233" s="102">
        <f>PY!D506</f>
        <v>3.613969</v>
      </c>
      <c r="E2233" s="102">
        <f>PY!E506</f>
        <v>3.6550250000000002</v>
      </c>
      <c r="F2233" s="102">
        <f>PY!F506</f>
        <v>3.2301919999999997</v>
      </c>
      <c r="G2233" s="102">
        <f>PY!G506</f>
        <v>1.7778039999999999</v>
      </c>
      <c r="H2233" s="102">
        <f>PY!H506</f>
        <v>1.901527</v>
      </c>
      <c r="I2233" s="102">
        <f>PY!I506</f>
        <v>1.3783639999999999</v>
      </c>
      <c r="J2233" s="102">
        <f>PY!J506</f>
        <v>1.5049150000000002</v>
      </c>
      <c r="K2233" s="1700">
        <f t="shared" si="866"/>
        <v>0</v>
      </c>
      <c r="L2233" s="679">
        <f t="shared" si="866"/>
        <v>0</v>
      </c>
      <c r="M2233" s="679">
        <f t="shared" si="867"/>
        <v>1.1360363080037628</v>
      </c>
      <c r="N2233" s="679">
        <f t="shared" si="868"/>
        <v>-11.623258390845493</v>
      </c>
      <c r="O2233" s="679">
        <f t="shared" si="869"/>
        <v>-44.962900038140141</v>
      </c>
      <c r="P2233" s="679">
        <f t="shared" si="870"/>
        <v>6.9593161000875314</v>
      </c>
      <c r="Q2233" s="679">
        <f t="shared" si="871"/>
        <v>-27.512783147438881</v>
      </c>
      <c r="R2233" s="680">
        <f t="shared" si="872"/>
        <v>9.1812467533975308</v>
      </c>
    </row>
    <row r="2234" spans="2:18" s="57" customFormat="1" ht="12.5">
      <c r="B2234" s="678" t="s">
        <v>2123</v>
      </c>
      <c r="C2234" s="102">
        <f>PY!C526</f>
        <v>0</v>
      </c>
      <c r="D2234" s="102">
        <f>PY!D526</f>
        <v>0</v>
      </c>
      <c r="E2234" s="102">
        <f>PY!E526</f>
        <v>1.445068</v>
      </c>
      <c r="F2234" s="102">
        <f>PY!F526</f>
        <v>1.5701100000000001</v>
      </c>
      <c r="G2234" s="102">
        <f>PY!G526</f>
        <v>0.98846100000000003</v>
      </c>
      <c r="H2234" s="102">
        <f>PY!H526</f>
        <v>1.0430140000000001</v>
      </c>
      <c r="I2234" s="102">
        <f>PY!I526</f>
        <v>0.72705699999999995</v>
      </c>
      <c r="J2234" s="102">
        <f>PY!J526</f>
        <v>0.59649399999999997</v>
      </c>
      <c r="K2234" s="1700">
        <f t="shared" si="866"/>
        <v>0</v>
      </c>
      <c r="L2234" s="679">
        <f t="shared" si="866"/>
        <v>0</v>
      </c>
      <c r="M2234" s="679">
        <f t="shared" si="867"/>
        <v>0</v>
      </c>
      <c r="N2234" s="679">
        <f t="shared" si="868"/>
        <v>8.653018404670231</v>
      </c>
      <c r="O2234" s="679">
        <f t="shared" si="869"/>
        <v>-37.045111489003958</v>
      </c>
      <c r="P2234" s="679">
        <f t="shared" si="870"/>
        <v>5.5189835511972651</v>
      </c>
      <c r="Q2234" s="679">
        <f t="shared" si="871"/>
        <v>-30.292690222758289</v>
      </c>
      <c r="R2234" s="680">
        <f t="shared" si="872"/>
        <v>-17.957739214394465</v>
      </c>
    </row>
    <row r="2235" spans="2:18" s="57" customFormat="1" ht="12.5">
      <c r="B2235" s="678" t="s">
        <v>2124</v>
      </c>
      <c r="C2235" s="102">
        <f>PY!C546</f>
        <v>0</v>
      </c>
      <c r="D2235" s="102">
        <f>PY!D546</f>
        <v>0.68394699999999997</v>
      </c>
      <c r="E2235" s="102">
        <f>PY!E546</f>
        <v>2.300986</v>
      </c>
      <c r="F2235" s="102">
        <f>PY!F546</f>
        <v>2.9589469999999998</v>
      </c>
      <c r="G2235" s="102">
        <f>PY!G546</f>
        <v>1.2195590000000001</v>
      </c>
      <c r="H2235" s="102">
        <f>PY!H546</f>
        <v>1.383149</v>
      </c>
      <c r="I2235" s="102">
        <f>PY!I546</f>
        <v>1.1164690000000002</v>
      </c>
      <c r="J2235" s="102">
        <f>PY!J546</f>
        <v>0.8231620999999999</v>
      </c>
      <c r="K2235" s="1700">
        <f t="shared" si="866"/>
        <v>0</v>
      </c>
      <c r="L2235" s="679">
        <f t="shared" si="866"/>
        <v>0</v>
      </c>
      <c r="M2235" s="679">
        <f t="shared" si="867"/>
        <v>236.42753020336374</v>
      </c>
      <c r="N2235" s="679">
        <f t="shared" si="868"/>
        <v>28.594741558618786</v>
      </c>
      <c r="O2235" s="679">
        <f t="shared" si="869"/>
        <v>-58.78402012607863</v>
      </c>
      <c r="P2235" s="679">
        <f t="shared" si="870"/>
        <v>13.413865175854545</v>
      </c>
      <c r="Q2235" s="679">
        <f t="shared" si="871"/>
        <v>-19.280641492709737</v>
      </c>
      <c r="R2235" s="680">
        <f t="shared" si="872"/>
        <v>-26.270939900704825</v>
      </c>
    </row>
    <row r="2236" spans="2:18" s="57" customFormat="1" ht="12.5">
      <c r="B2236" s="1883" t="s">
        <v>2125</v>
      </c>
      <c r="C2236" s="102">
        <f>PY!C566</f>
        <v>0</v>
      </c>
      <c r="D2236" s="102">
        <f>PY!D566</f>
        <v>0</v>
      </c>
      <c r="E2236" s="102">
        <f>PY!E566</f>
        <v>0</v>
      </c>
      <c r="F2236" s="102">
        <f>PY!F566</f>
        <v>0</v>
      </c>
      <c r="G2236" s="102">
        <f>PY!G566</f>
        <v>0</v>
      </c>
      <c r="H2236" s="102">
        <f>PY!H566</f>
        <v>0</v>
      </c>
      <c r="I2236" s="102">
        <f>PY!I566</f>
        <v>7.4342000000000005E-2</v>
      </c>
      <c r="J2236" s="102">
        <f>PY!J566</f>
        <v>0.94765999999999995</v>
      </c>
      <c r="K2236" s="1700">
        <f t="shared" si="866"/>
        <v>0</v>
      </c>
      <c r="L2236" s="679">
        <f t="shared" si="866"/>
        <v>0</v>
      </c>
      <c r="M2236" s="679">
        <f t="shared" si="867"/>
        <v>0</v>
      </c>
      <c r="N2236" s="679">
        <f t="shared" si="868"/>
        <v>0</v>
      </c>
      <c r="O2236" s="679">
        <f t="shared" si="869"/>
        <v>0</v>
      </c>
      <c r="P2236" s="679">
        <f t="shared" si="870"/>
        <v>0</v>
      </c>
      <c r="Q2236" s="679">
        <f t="shared" si="871"/>
        <v>0</v>
      </c>
      <c r="R2236" s="680">
        <f t="shared" si="872"/>
        <v>1174.7303005030801</v>
      </c>
    </row>
    <row r="2237" spans="2:18" s="57" customFormat="1" ht="12.5">
      <c r="B2237" s="1882"/>
      <c r="K2237" s="1703"/>
      <c r="R2237" s="656"/>
    </row>
    <row r="2238" spans="2:18" s="57" customFormat="1" ht="13">
      <c r="B2238" s="689" t="s">
        <v>1054</v>
      </c>
      <c r="C2238" s="679"/>
      <c r="D2238" s="679"/>
      <c r="E2238" s="679"/>
      <c r="F2238" s="679"/>
      <c r="G2238" s="679"/>
      <c r="H2238" s="679"/>
      <c r="I2238" s="679"/>
      <c r="J2238" s="679"/>
      <c r="K2238" s="1700"/>
      <c r="L2238" s="679"/>
      <c r="M2238" s="679"/>
      <c r="N2238" s="679"/>
      <c r="O2238" s="679"/>
      <c r="P2238" s="679"/>
      <c r="Q2238" s="679"/>
      <c r="R2238" s="656"/>
    </row>
    <row r="2239" spans="2:18" s="57" customFormat="1" ht="12.5">
      <c r="B2239" s="684" t="s">
        <v>94</v>
      </c>
      <c r="C2239" s="102">
        <f>PE!C327</f>
        <v>0.82913599999999998</v>
      </c>
      <c r="D2239" s="102">
        <f>PE!D327</f>
        <v>0.78653799999999996</v>
      </c>
      <c r="E2239" s="102">
        <f>PE!E327</f>
        <v>0.80179</v>
      </c>
      <c r="F2239" s="102">
        <f>PE!F327</f>
        <v>0.853495</v>
      </c>
      <c r="G2239" s="102">
        <f>PE!G327</f>
        <v>0.96003899999999998</v>
      </c>
      <c r="H2239" s="102">
        <f>PE!H327</f>
        <v>0.98333300000000001</v>
      </c>
      <c r="I2239" s="102">
        <f>PE!I327</f>
        <v>0.86230700000000005</v>
      </c>
      <c r="J2239" s="102">
        <f>PE!J327</f>
        <v>0.95622200000000002</v>
      </c>
      <c r="K2239" s="1700">
        <v>11.967482090166982</v>
      </c>
      <c r="L2239" s="679">
        <f>IFERROR((D2239/C2239-1)*100,0)</f>
        <v>-5.1376372513073925</v>
      </c>
      <c r="M2239" s="679">
        <f t="shared" ref="M2239:R2239" si="873">IFERROR((E2239/D2239-1)*100,0)</f>
        <v>1.9391307222283105</v>
      </c>
      <c r="N2239" s="679">
        <f t="shared" si="873"/>
        <v>6.4486960426046736</v>
      </c>
      <c r="O2239" s="679">
        <f t="shared" si="873"/>
        <v>12.483260007381404</v>
      </c>
      <c r="P2239" s="679">
        <f t="shared" si="873"/>
        <v>2.4263597624679889</v>
      </c>
      <c r="Q2239" s="679">
        <f t="shared" si="873"/>
        <v>-12.307732985672192</v>
      </c>
      <c r="R2239" s="680">
        <f t="shared" si="873"/>
        <v>10.8911327404277</v>
      </c>
    </row>
    <row r="2240" spans="2:18" s="57" customFormat="1" ht="12.5">
      <c r="B2240" s="684" t="s">
        <v>1270</v>
      </c>
      <c r="C2240" s="102">
        <f>PE!C336</f>
        <v>16.533323999999997</v>
      </c>
      <c r="D2240" s="102">
        <f>PE!D336</f>
        <v>18.173548</v>
      </c>
      <c r="E2240" s="102">
        <f>PE!E336</f>
        <v>20.492685999999999</v>
      </c>
      <c r="F2240" s="102">
        <f>PE!F336</f>
        <v>24.894942</v>
      </c>
      <c r="G2240" s="102">
        <f>PE!G336</f>
        <v>30.230205999999999</v>
      </c>
      <c r="H2240" s="102">
        <f>PE!H336</f>
        <v>38.634247999999999</v>
      </c>
      <c r="I2240" s="102">
        <f>PE!I336</f>
        <v>62.309848000000002</v>
      </c>
      <c r="J2240" s="102">
        <f>PE!J336</f>
        <v>105.46029700000003</v>
      </c>
      <c r="K2240" s="1700">
        <v>11.085419607156478</v>
      </c>
      <c r="L2240" s="679">
        <f>IFERROR((D2240/C2240-1)*100,0)</f>
        <v>9.9207152778231666</v>
      </c>
      <c r="M2240" s="679">
        <f t="shared" ref="M2240" si="874">IFERROR((E2240/D2240-1)*100,0)</f>
        <v>12.761063497342384</v>
      </c>
      <c r="N2240" s="679">
        <f t="shared" ref="N2240" si="875">IFERROR((F2240/E2240-1)*100,0)</f>
        <v>21.482083900568249</v>
      </c>
      <c r="O2240" s="679">
        <f t="shared" ref="O2240" si="876">IFERROR((G2240/F2240-1)*100,0)</f>
        <v>21.431116409108309</v>
      </c>
      <c r="P2240" s="679">
        <f t="shared" ref="P2240" si="877">IFERROR((H2240/G2240-1)*100,0)</f>
        <v>27.800147971204691</v>
      </c>
      <c r="Q2240" s="679">
        <f t="shared" ref="Q2240" si="878">IFERROR((I2240/H2240-1)*100,0)</f>
        <v>61.281379153542744</v>
      </c>
      <c r="R2240" s="680">
        <f t="shared" ref="R2240" si="879">IFERROR((J2240/I2240-1)*100,0)</f>
        <v>69.251411109203829</v>
      </c>
    </row>
    <row r="2241" spans="2:18" s="57" customFormat="1" ht="12.5">
      <c r="B2241" s="678"/>
      <c r="C2241" s="679"/>
      <c r="D2241" s="679"/>
      <c r="E2241" s="679"/>
      <c r="F2241" s="679"/>
      <c r="G2241" s="679"/>
      <c r="H2241" s="679"/>
      <c r="I2241" s="679"/>
      <c r="J2241" s="679"/>
      <c r="K2241" s="1700"/>
      <c r="L2241" s="679"/>
      <c r="M2241" s="679"/>
      <c r="N2241" s="679"/>
      <c r="O2241" s="679"/>
      <c r="P2241" s="679"/>
      <c r="Q2241" s="679"/>
      <c r="R2241" s="656"/>
    </row>
    <row r="2242" spans="2:18" s="57" customFormat="1" ht="13">
      <c r="B2242" s="685" t="s">
        <v>1055</v>
      </c>
      <c r="C2242" s="679"/>
      <c r="D2242" s="679"/>
      <c r="E2242" s="679"/>
      <c r="F2242" s="679"/>
      <c r="G2242" s="679"/>
      <c r="H2242" s="679"/>
      <c r="I2242" s="679"/>
      <c r="J2242" s="679"/>
      <c r="K2242" s="1700"/>
      <c r="L2242" s="679"/>
      <c r="M2242" s="679"/>
      <c r="N2242" s="679"/>
      <c r="O2242" s="679"/>
      <c r="P2242" s="679"/>
      <c r="Q2242" s="679"/>
      <c r="R2242" s="656"/>
    </row>
    <row r="2243" spans="2:18" s="57" customFormat="1" ht="12.5">
      <c r="B2243" s="684" t="s">
        <v>2126</v>
      </c>
      <c r="C2243" s="102">
        <f>TT!C347</f>
        <v>5.9966999999999999E-2</v>
      </c>
      <c r="D2243" s="102">
        <f>TT!D347</f>
        <v>6.0260000000000001E-2</v>
      </c>
      <c r="E2243" s="102">
        <f>TT!E347</f>
        <v>6.1693999999999999E-2</v>
      </c>
      <c r="F2243" s="102">
        <f>TT!F347</f>
        <v>6.5656999999999993E-2</v>
      </c>
      <c r="G2243" s="102">
        <f>TT!G347</f>
        <v>7.0921999999999999E-2</v>
      </c>
      <c r="H2243" s="102">
        <f>TT!H347</f>
        <v>7.0696999999999996E-2</v>
      </c>
      <c r="I2243" s="102">
        <f>TT!I347</f>
        <v>7.9021999999999995E-2</v>
      </c>
      <c r="J2243" s="102">
        <f>TT!J347</f>
        <v>8.0156000000000005E-2</v>
      </c>
      <c r="K2243" s="1700">
        <v>4.7699999999999996</v>
      </c>
      <c r="L2243" s="679">
        <f>IFERROR((D2243/C2243-1)*100,0)</f>
        <v>0.48860206446879051</v>
      </c>
      <c r="M2243" s="679">
        <f t="shared" ref="M2243:R2243" si="880">IFERROR((E2243/D2243-1)*100,0)</f>
        <v>2.3796880185861236</v>
      </c>
      <c r="N2243" s="679">
        <f t="shared" si="880"/>
        <v>6.4236392517910801</v>
      </c>
      <c r="O2243" s="679">
        <f t="shared" si="880"/>
        <v>8.018946951581718</v>
      </c>
      <c r="P2243" s="679">
        <f t="shared" si="880"/>
        <v>-0.31724993655001255</v>
      </c>
      <c r="Q2243" s="679">
        <f t="shared" si="880"/>
        <v>11.775605754133833</v>
      </c>
      <c r="R2243" s="680">
        <f t="shared" si="880"/>
        <v>1.4350434056338957</v>
      </c>
    </row>
    <row r="2244" spans="2:18" s="57" customFormat="1" ht="12.5">
      <c r="B2244" s="684" t="s">
        <v>489</v>
      </c>
      <c r="C2244" s="102">
        <f>TT!C356</f>
        <v>3.8853689999999999</v>
      </c>
      <c r="D2244" s="102">
        <f>TT!D356</f>
        <v>4.1176589999999997</v>
      </c>
      <c r="E2244" s="102">
        <f>TT!E356</f>
        <v>4.2614989999999997</v>
      </c>
      <c r="F2244" s="102">
        <f>TT!F356</f>
        <v>4.4579449999999996</v>
      </c>
      <c r="G2244" s="102">
        <f>TT!G356</f>
        <v>4.9209680000000002</v>
      </c>
      <c r="H2244" s="102">
        <f>TT!H356</f>
        <v>5.409319</v>
      </c>
      <c r="I2244" s="102">
        <f>TT!I356</f>
        <v>6.1497299999999999</v>
      </c>
      <c r="J2244" s="102">
        <f>TT!J356</f>
        <v>7.8953420000000003</v>
      </c>
      <c r="K2244" s="1700">
        <v>7.1952495356693014</v>
      </c>
      <c r="L2244" s="679">
        <f>IFERROR((D2244/C2244-1)*100,0)</f>
        <v>5.9785827292079485</v>
      </c>
      <c r="M2244" s="679">
        <f t="shared" ref="M2244:M2246" si="881">IFERROR((E2244/D2244-1)*100,0)</f>
        <v>3.4932470124408033</v>
      </c>
      <c r="N2244" s="679">
        <f t="shared" ref="N2244:N2246" si="882">IFERROR((F2244/E2244-1)*100,0)</f>
        <v>4.6097863685994112</v>
      </c>
      <c r="O2244" s="679">
        <f t="shared" ref="O2244:O2246" si="883">IFERROR((G2244/F2244-1)*100,0)</f>
        <v>10.386467307245839</v>
      </c>
      <c r="P2244" s="679">
        <f t="shared" ref="P2244:P2246" si="884">IFERROR((H2244/G2244-1)*100,0)</f>
        <v>9.9238808299505266</v>
      </c>
      <c r="Q2244" s="679">
        <f t="shared" ref="Q2244:Q2246" si="885">IFERROR((I2244/H2244-1)*100,0)</f>
        <v>13.68769340465963</v>
      </c>
      <c r="R2244" s="680">
        <f t="shared" ref="R2244:R2246" si="886">IFERROR((J2244/I2244-1)*100,0)</f>
        <v>28.385181138033701</v>
      </c>
    </row>
    <row r="2245" spans="2:18" s="57" customFormat="1" ht="12.5">
      <c r="B2245" s="684" t="s">
        <v>353</v>
      </c>
      <c r="C2245" s="102">
        <f>TT!C376</f>
        <v>8.8859820000000003</v>
      </c>
      <c r="D2245" s="102">
        <f>TT!D376</f>
        <v>8.9110630000000004</v>
      </c>
      <c r="E2245" s="102">
        <f>TT!E376</f>
        <v>8.3206779999999991</v>
      </c>
      <c r="F2245" s="102">
        <f>TT!F376</f>
        <v>8.0610280000000003</v>
      </c>
      <c r="G2245" s="102">
        <f>TT!G376</f>
        <v>7.5470030000000001</v>
      </c>
      <c r="H2245" s="102">
        <f>TT!H376</f>
        <v>7.134182</v>
      </c>
      <c r="I2245" s="102">
        <f>TT!I376</f>
        <v>6.0286179999999998</v>
      </c>
      <c r="J2245" s="102">
        <f>TT!J376</f>
        <v>5.5339429999999998</v>
      </c>
      <c r="K2245" s="1700">
        <v>-3.5034738711181235</v>
      </c>
      <c r="L2245" s="679">
        <f>IFERROR((D2245/C2245-1)*100,0)</f>
        <v>0.28225355396849228</v>
      </c>
      <c r="M2245" s="679">
        <f t="shared" si="881"/>
        <v>-6.6253038498325196</v>
      </c>
      <c r="N2245" s="679">
        <f t="shared" si="882"/>
        <v>-3.1205389753094503</v>
      </c>
      <c r="O2245" s="679">
        <f t="shared" si="883"/>
        <v>-6.3766680874945525</v>
      </c>
      <c r="P2245" s="679">
        <f t="shared" si="884"/>
        <v>-5.469999150656224</v>
      </c>
      <c r="Q2245" s="679">
        <f t="shared" si="885"/>
        <v>-15.496717072819289</v>
      </c>
      <c r="R2245" s="680">
        <f t="shared" si="886"/>
        <v>-8.2054460906297315</v>
      </c>
    </row>
    <row r="2246" spans="2:18" s="57" customFormat="1" ht="12.5">
      <c r="B2246" s="690" t="s">
        <v>1259</v>
      </c>
      <c r="C2246" s="1702">
        <f>TT!C396</f>
        <v>32.647689</v>
      </c>
      <c r="D2246" s="1702">
        <f>TT!D396</f>
        <v>33.466606999999996</v>
      </c>
      <c r="E2246" s="1702">
        <f>TT!E396</f>
        <v>35.584923000000003</v>
      </c>
      <c r="F2246" s="1702">
        <f>TT!F396</f>
        <v>35.280664000000002</v>
      </c>
      <c r="G2246" s="1702">
        <f>TT!G396</f>
        <v>36.674363999999997</v>
      </c>
      <c r="H2246" s="1702">
        <f>TT!H396</f>
        <v>39.008600000000001</v>
      </c>
      <c r="I2246" s="1702">
        <f>TT!I396</f>
        <v>35.648553</v>
      </c>
      <c r="J2246" s="1702">
        <f>TT!J396</f>
        <v>35.547854999999998</v>
      </c>
      <c r="K2246" s="691">
        <v>3.5379395552373794</v>
      </c>
      <c r="L2246" s="692">
        <f>IFERROR((D2246/C2246-1)*100,0)</f>
        <v>2.5083490595612989</v>
      </c>
      <c r="M2246" s="692">
        <f t="shared" si="881"/>
        <v>6.3296407669890309</v>
      </c>
      <c r="N2246" s="692">
        <f t="shared" si="882"/>
        <v>-0.85502222387835447</v>
      </c>
      <c r="O2246" s="692">
        <f t="shared" si="883"/>
        <v>3.9503224769238843</v>
      </c>
      <c r="P2246" s="692">
        <f t="shared" si="884"/>
        <v>6.3647620446805941</v>
      </c>
      <c r="Q2246" s="692">
        <f t="shared" si="885"/>
        <v>-8.6136057177135346</v>
      </c>
      <c r="R2246" s="693">
        <f t="shared" si="886"/>
        <v>-0.28247429846591787</v>
      </c>
    </row>
    <row r="2247" spans="2:18" s="57" customFormat="1" ht="12.5"/>
    <row r="2248" spans="2:18" s="57" customFormat="1" ht="13">
      <c r="B2248" s="2158" t="s">
        <v>744</v>
      </c>
      <c r="C2248" s="2158"/>
      <c r="D2248" s="2158"/>
      <c r="E2248" s="2158"/>
      <c r="F2248" s="2158"/>
      <c r="G2248" s="2158"/>
      <c r="H2248" s="2158"/>
      <c r="I2248" s="2158"/>
      <c r="J2248" s="2158"/>
      <c r="K2248" s="2158"/>
      <c r="L2248" s="2158"/>
      <c r="M2248" s="2158"/>
      <c r="N2248" s="2158"/>
      <c r="O2248" s="2158"/>
      <c r="P2248" s="2158"/>
      <c r="Q2248" s="2158"/>
      <c r="R2248" s="2158"/>
    </row>
    <row r="2249" spans="2:18" s="57" customFormat="1" ht="13">
      <c r="B2249" s="2159" t="s">
        <v>743</v>
      </c>
      <c r="C2249" s="2159"/>
      <c r="D2249" s="2159"/>
      <c r="E2249" s="2159"/>
      <c r="F2249" s="2159"/>
      <c r="G2249" s="2159"/>
      <c r="H2249" s="2159"/>
      <c r="I2249" s="2159"/>
      <c r="J2249" s="2159"/>
      <c r="K2249" s="2159"/>
      <c r="L2249" s="2159"/>
      <c r="M2249" s="2159"/>
      <c r="N2249" s="2159"/>
      <c r="O2249" s="2159"/>
      <c r="P2249" s="2159"/>
      <c r="Q2249" s="2159"/>
      <c r="R2249" s="2159"/>
    </row>
    <row r="2250" spans="2:18" s="57" customFormat="1" ht="13">
      <c r="B2250" s="581" t="s">
        <v>1273</v>
      </c>
      <c r="C2250" s="611"/>
      <c r="D2250" s="611"/>
      <c r="E2250" s="644"/>
      <c r="F2250" s="644"/>
      <c r="G2250" s="644"/>
      <c r="H2250" s="644"/>
      <c r="I2250" s="644"/>
      <c r="J2250" s="644"/>
      <c r="K2250" s="644"/>
      <c r="L2250" s="644"/>
      <c r="M2250" s="644"/>
      <c r="N2250" s="644"/>
      <c r="O2250" s="644"/>
      <c r="P2250" s="644"/>
      <c r="Q2250" s="644"/>
    </row>
    <row r="2251" spans="2:18" s="57" customFormat="1" ht="13">
      <c r="B2251" s="612" t="s">
        <v>2140</v>
      </c>
      <c r="C2251" s="613"/>
      <c r="D2251" s="613"/>
      <c r="E2251" s="644"/>
      <c r="F2251" s="644"/>
      <c r="G2251" s="644"/>
      <c r="H2251" s="644"/>
      <c r="I2251" s="644"/>
      <c r="J2251" s="644"/>
      <c r="K2251" s="644"/>
      <c r="L2251" s="644"/>
      <c r="M2251" s="644"/>
      <c r="N2251" s="644"/>
      <c r="O2251" s="644"/>
      <c r="P2251" s="644"/>
      <c r="Q2251" s="644"/>
    </row>
    <row r="2252" spans="2:18" s="57" customFormat="1" ht="13.9" customHeight="1">
      <c r="B2252" s="2233" t="s">
        <v>11</v>
      </c>
      <c r="C2252" s="2230" t="s">
        <v>1274</v>
      </c>
      <c r="D2252" s="2231"/>
      <c r="E2252" s="2231"/>
      <c r="F2252" s="2231"/>
      <c r="G2252" s="2231"/>
      <c r="H2252" s="2231"/>
      <c r="I2252" s="2231"/>
      <c r="J2252" s="2232"/>
      <c r="K2252" s="2230" t="s">
        <v>1275</v>
      </c>
      <c r="L2252" s="2231"/>
      <c r="M2252" s="2231"/>
      <c r="N2252" s="2231"/>
      <c r="O2252" s="2231"/>
      <c r="P2252" s="2231"/>
      <c r="Q2252" s="2231"/>
      <c r="R2252" s="2232"/>
    </row>
    <row r="2253" spans="2:18" s="57" customFormat="1" ht="12.5">
      <c r="B2253" s="2234"/>
      <c r="C2253" s="587">
        <v>2014</v>
      </c>
      <c r="D2253" s="588">
        <v>2015</v>
      </c>
      <c r="E2253" s="588">
        <v>2016</v>
      </c>
      <c r="F2253" s="588">
        <v>2017</v>
      </c>
      <c r="G2253" s="588">
        <v>2018</v>
      </c>
      <c r="H2253" s="588">
        <v>2019</v>
      </c>
      <c r="I2253" s="588">
        <v>2020</v>
      </c>
      <c r="J2253" s="848">
        <v>2021</v>
      </c>
      <c r="K2253" s="587">
        <v>2014</v>
      </c>
      <c r="L2253" s="588">
        <v>2015</v>
      </c>
      <c r="M2253" s="588">
        <v>2016</v>
      </c>
      <c r="N2253" s="588">
        <v>2017</v>
      </c>
      <c r="O2253" s="588">
        <v>2018</v>
      </c>
      <c r="P2253" s="588">
        <v>2019</v>
      </c>
      <c r="Q2253" s="588">
        <v>2020</v>
      </c>
      <c r="R2253" s="848">
        <v>2021</v>
      </c>
    </row>
    <row r="2254" spans="2:18" s="57" customFormat="1" ht="13">
      <c r="B2254" s="673" t="s">
        <v>1038</v>
      </c>
      <c r="C2254" s="743"/>
      <c r="D2254" s="743"/>
      <c r="E2254" s="743"/>
      <c r="F2254" s="743"/>
      <c r="G2254" s="743"/>
      <c r="H2254" s="743"/>
      <c r="I2254" s="743"/>
      <c r="J2254" s="743"/>
      <c r="K2254" s="675"/>
      <c r="L2254" s="676"/>
      <c r="M2254" s="676"/>
      <c r="N2254" s="676"/>
      <c r="O2254" s="676"/>
      <c r="P2254" s="676"/>
      <c r="Q2254" s="676"/>
      <c r="R2254" s="793"/>
    </row>
    <row r="2255" spans="2:18" s="57" customFormat="1" ht="12.5">
      <c r="B2255" s="678" t="s">
        <v>95</v>
      </c>
      <c r="C2255" s="102">
        <f>ARG!C549</f>
        <v>1662186.509015217</v>
      </c>
      <c r="D2255" s="102">
        <f>ARG!D549</f>
        <v>1427328.7710993465</v>
      </c>
      <c r="E2255" s="102">
        <f>ARG!E549</f>
        <v>1965655.8397037261</v>
      </c>
      <c r="F2255" s="102">
        <f>ARG!F549</f>
        <v>2440679.642053403</v>
      </c>
      <c r="G2255" s="102">
        <f>ARG!G549</f>
        <v>1473658.3876874652</v>
      </c>
      <c r="H2255" s="102">
        <f>ARG!H549</f>
        <v>3369307.2713037315</v>
      </c>
      <c r="I2255" s="102">
        <f>ARG!I549</f>
        <v>5441881.6338602323</v>
      </c>
      <c r="J2255" s="102">
        <f>ARG!J549</f>
        <v>4866678.9799319068</v>
      </c>
      <c r="K2255" s="1700">
        <f t="shared" ref="K2255:K2263" si="887">IFERROR((C2255/C2140/1000),0)</f>
        <v>994.22285499864938</v>
      </c>
      <c r="L2255" s="679">
        <f t="shared" ref="L2255:L2263" si="888">IFERROR((D2255/D2140/1000),0)</f>
        <v>778.7261790861412</v>
      </c>
      <c r="M2255" s="679">
        <f t="shared" ref="M2255:M2263" si="889">IFERROR((E2255/E2140/1000),0)</f>
        <v>1021.5640981058913</v>
      </c>
      <c r="N2255" s="679">
        <f t="shared" ref="N2255:N2263" si="890">IFERROR((F2255/F2140/1000),0)</f>
        <v>1141.4101665963942</v>
      </c>
      <c r="O2255" s="679">
        <f t="shared" ref="O2255:O2263" si="891">IFERROR((G2255/G2140/1000),0)</f>
        <v>668.31579739961501</v>
      </c>
      <c r="P2255" s="679">
        <f t="shared" ref="P2255:P2263" si="892">IFERROR((H2255/H2140/1000),0)</f>
        <v>1327.8947836125897</v>
      </c>
      <c r="Q2255" s="679">
        <f t="shared" ref="Q2255:Q2263" si="893">IFERROR((I2255/I2140/1000),0)</f>
        <v>2076.261592468612</v>
      </c>
      <c r="R2255" s="680">
        <f t="shared" ref="R2255:R2263" si="894">IFERROR((J2255/J2140/1000),0)</f>
        <v>1646.3731325886017</v>
      </c>
    </row>
    <row r="2256" spans="2:18" s="57" customFormat="1" ht="12.5">
      <c r="B2256" s="681" t="s">
        <v>93</v>
      </c>
      <c r="C2256" s="102">
        <f>ARG!C574</f>
        <v>0</v>
      </c>
      <c r="D2256" s="102">
        <f>ARG!D574</f>
        <v>715478.0297467896</v>
      </c>
      <c r="E2256" s="102">
        <f>ARG!E574</f>
        <v>852407.14325301896</v>
      </c>
      <c r="F2256" s="102">
        <f>ARG!F574</f>
        <v>929004.963849272</v>
      </c>
      <c r="G2256" s="102">
        <f>ARG!G574</f>
        <v>680187.57164342212</v>
      </c>
      <c r="H2256" s="102">
        <f>ARG!H574</f>
        <v>679822.44315692456</v>
      </c>
      <c r="I2256" s="102">
        <f>ARG!I574</f>
        <v>684089.51716761349</v>
      </c>
      <c r="J2256" s="102">
        <f>ARG!J574</f>
        <v>1017838.9866666667</v>
      </c>
      <c r="K2256" s="1700">
        <f t="shared" si="887"/>
        <v>0</v>
      </c>
      <c r="L2256" s="679">
        <f t="shared" si="888"/>
        <v>15.089625420482838</v>
      </c>
      <c r="M2256" s="679">
        <f t="shared" si="889"/>
        <v>16.035351356229061</v>
      </c>
      <c r="N2256" s="679">
        <f t="shared" si="890"/>
        <v>14.664451191675587</v>
      </c>
      <c r="O2256" s="679">
        <f t="shared" si="891"/>
        <v>8.9913038893033423</v>
      </c>
      <c r="P2256" s="679">
        <f t="shared" si="892"/>
        <v>7.0956331405825592</v>
      </c>
      <c r="Q2256" s="679">
        <f t="shared" si="893"/>
        <v>6.8037467146143396</v>
      </c>
      <c r="R2256" s="680">
        <f t="shared" si="894"/>
        <v>8.8044547092830463</v>
      </c>
    </row>
    <row r="2257" spans="2:18" s="57" customFormat="1" ht="12.5">
      <c r="B2257" s="681" t="s">
        <v>92</v>
      </c>
      <c r="C2257" s="102">
        <f>ARG!C558</f>
        <v>99.398728644585603</v>
      </c>
      <c r="D2257" s="102">
        <f>ARG!D558</f>
        <v>60.8996539792387</v>
      </c>
      <c r="E2257" s="102">
        <f>ARG!E558</f>
        <v>49.778551690199492</v>
      </c>
      <c r="F2257" s="102">
        <f>ARG!F558</f>
        <v>42.718198378625985</v>
      </c>
      <c r="G2257" s="102">
        <f>ARG!G558</f>
        <v>21.820605528415715</v>
      </c>
      <c r="H2257" s="102">
        <f>ARG!H558</f>
        <v>10.601886634944485</v>
      </c>
      <c r="I2257" s="102">
        <f>ARG!I558</f>
        <v>7.5267538644470875</v>
      </c>
      <c r="J2257" s="102">
        <f>ARG!J558</f>
        <v>0.58885383806519453</v>
      </c>
      <c r="K2257" s="1700">
        <f t="shared" si="887"/>
        <v>19.104118517121968</v>
      </c>
      <c r="L2257" s="679">
        <f t="shared" si="888"/>
        <v>16.958967969712809</v>
      </c>
      <c r="M2257" s="679">
        <f t="shared" si="889"/>
        <v>15.792687718971917</v>
      </c>
      <c r="N2257" s="679">
        <f t="shared" si="890"/>
        <v>15.728349918492629</v>
      </c>
      <c r="O2257" s="679">
        <f t="shared" si="891"/>
        <v>7.7159142604015969</v>
      </c>
      <c r="P2257" s="679">
        <f t="shared" si="892"/>
        <v>4.9426044918156107</v>
      </c>
      <c r="Q2257" s="679">
        <f t="shared" si="893"/>
        <v>3.2767757355015621</v>
      </c>
      <c r="R2257" s="680">
        <f t="shared" si="894"/>
        <v>0.58885383806519453</v>
      </c>
    </row>
    <row r="2258" spans="2:18" s="57" customFormat="1" ht="12.5">
      <c r="B2258" s="681" t="s">
        <v>89</v>
      </c>
      <c r="C2258" s="102">
        <f>ARG!C565</f>
        <v>123.04749679794426</v>
      </c>
      <c r="D2258" s="102">
        <f>ARG!D565</f>
        <v>46.289888504421377</v>
      </c>
      <c r="E2258" s="102">
        <f>ARG!E565</f>
        <v>30.283529545368513</v>
      </c>
      <c r="F2258" s="102">
        <f>ARG!F565</f>
        <v>12.357384069627468</v>
      </c>
      <c r="G2258" s="102">
        <f>ARG!G565</f>
        <v>6.0039726726671123</v>
      </c>
      <c r="H2258" s="102">
        <f>ARG!H565</f>
        <v>3.5228316220051754</v>
      </c>
      <c r="I2258" s="102">
        <f>ARG!I565</f>
        <v>2.3305588585017838</v>
      </c>
      <c r="J2258" s="102">
        <f>ARG!J565</f>
        <v>8.885383806519453</v>
      </c>
      <c r="K2258" s="1700">
        <f t="shared" si="887"/>
        <v>13.218121903313381</v>
      </c>
      <c r="L2258" s="679">
        <f t="shared" si="888"/>
        <v>4.2127674285057681</v>
      </c>
      <c r="M2258" s="679">
        <f t="shared" si="889"/>
        <v>3.2931197852727827</v>
      </c>
      <c r="N2258" s="679">
        <f t="shared" si="890"/>
        <v>1.4562083513584101</v>
      </c>
      <c r="O2258" s="679">
        <f t="shared" si="891"/>
        <v>0.7197282033885295</v>
      </c>
      <c r="P2258" s="679">
        <f t="shared" si="892"/>
        <v>0.50318977603273474</v>
      </c>
      <c r="Q2258" s="679">
        <f t="shared" si="893"/>
        <v>0.33288942415394718</v>
      </c>
      <c r="R2258" s="680">
        <f t="shared" si="894"/>
        <v>7.4044865054328781</v>
      </c>
    </row>
    <row r="2259" spans="2:18" s="57" customFormat="1" ht="12.5">
      <c r="B2259" s="678" t="s">
        <v>85</v>
      </c>
      <c r="C2259" s="102">
        <f>ARG!C594</f>
        <v>913459.06007918832</v>
      </c>
      <c r="D2259" s="102">
        <f>ARG!D594</f>
        <v>238869.64316052516</v>
      </c>
      <c r="E2259" s="102">
        <f>ARG!E594</f>
        <v>246026.46884841518</v>
      </c>
      <c r="F2259" s="102">
        <f>ARG!F594</f>
        <v>267526.84334758914</v>
      </c>
      <c r="G2259" s="102">
        <f>ARG!G594</f>
        <v>166620.20452859215</v>
      </c>
      <c r="H2259" s="102">
        <f>ARG!H594</f>
        <v>143137.88222357043</v>
      </c>
      <c r="I2259" s="102">
        <f>ARG!I594</f>
        <v>108789.60055656786</v>
      </c>
      <c r="J2259" s="102">
        <f>ARG!J594</f>
        <v>132901.84007360676</v>
      </c>
      <c r="K2259" s="1700">
        <f t="shared" si="887"/>
        <v>4.1904245643998967</v>
      </c>
      <c r="L2259" s="679">
        <f t="shared" si="888"/>
        <v>1.330646703622858</v>
      </c>
      <c r="M2259" s="679">
        <f t="shared" si="889"/>
        <v>1.2975792484360127</v>
      </c>
      <c r="N2259" s="679">
        <f t="shared" si="890"/>
        <v>1.3180682514346431</v>
      </c>
      <c r="O2259" s="679">
        <f t="shared" si="891"/>
        <v>0.77829879417642323</v>
      </c>
      <c r="P2259" s="679">
        <f t="shared" si="892"/>
        <v>0.64454265027606761</v>
      </c>
      <c r="Q2259" s="679">
        <f t="shared" si="893"/>
        <v>0.36290835656875331</v>
      </c>
      <c r="R2259" s="680">
        <f t="shared" si="894"/>
        <v>0.2133824423098398</v>
      </c>
    </row>
    <row r="2260" spans="2:18" s="57" customFormat="1" ht="12.5">
      <c r="B2260" s="682" t="s">
        <v>83</v>
      </c>
      <c r="C2260" s="102">
        <f>ARG!C634</f>
        <v>100954.45299482199</v>
      </c>
      <c r="D2260" s="102">
        <f>ARG!D634</f>
        <v>91364.214513544779</v>
      </c>
      <c r="E2260" s="102">
        <f>ARG!E634</f>
        <v>108265.33250067507</v>
      </c>
      <c r="F2260" s="102">
        <f>ARG!F634</f>
        <v>134922.08880640366</v>
      </c>
      <c r="G2260" s="102">
        <f>ARG!G634</f>
        <v>85978.704144066287</v>
      </c>
      <c r="H2260" s="102">
        <f>ARG!H634</f>
        <v>85953.888776875508</v>
      </c>
      <c r="I2260" s="102">
        <f>ARG!I634</f>
        <v>109239.26835159125</v>
      </c>
      <c r="J2260" s="102">
        <f>ARG!J634</f>
        <v>112787.11356466878</v>
      </c>
      <c r="K2260" s="1700">
        <f t="shared" si="887"/>
        <v>0.15110802981632707</v>
      </c>
      <c r="L2260" s="679">
        <f t="shared" si="888"/>
        <v>0.11817435122676641</v>
      </c>
      <c r="M2260" s="679">
        <f t="shared" si="889"/>
        <v>0.12216268500829637</v>
      </c>
      <c r="N2260" s="679">
        <f t="shared" si="890"/>
        <v>0.13826554774719521</v>
      </c>
      <c r="O2260" s="679">
        <f t="shared" si="891"/>
        <v>7.6499797049658272E-2</v>
      </c>
      <c r="P2260" s="679">
        <f t="shared" si="892"/>
        <v>6.5537888602663102E-2</v>
      </c>
      <c r="Q2260" s="679">
        <f t="shared" si="893"/>
        <v>8.0146613313456641E-2</v>
      </c>
      <c r="R2260" s="680">
        <f t="shared" si="894"/>
        <v>0.25450710369115548</v>
      </c>
    </row>
    <row r="2261" spans="2:18" s="57" customFormat="1" ht="12.5">
      <c r="B2261" s="682" t="s">
        <v>299</v>
      </c>
      <c r="C2261" s="102">
        <f>ARG!C654</f>
        <v>0</v>
      </c>
      <c r="D2261" s="102">
        <f>ARG!D654</f>
        <v>0</v>
      </c>
      <c r="E2261" s="102">
        <f>ARG!E654</f>
        <v>0</v>
      </c>
      <c r="F2261" s="102">
        <f>ARG!F654</f>
        <v>0</v>
      </c>
      <c r="G2261" s="102">
        <f>ARG!G654</f>
        <v>4553.7867402733964</v>
      </c>
      <c r="H2261" s="102">
        <f>ARG!H654</f>
        <v>10764.814963196637</v>
      </c>
      <c r="I2261" s="102">
        <f>ARG!I654</f>
        <v>16115.952513144061</v>
      </c>
      <c r="J2261" s="102">
        <f>ARG!J654</f>
        <v>17216.481062039958</v>
      </c>
      <c r="K2261" s="1700">
        <f t="shared" si="887"/>
        <v>0</v>
      </c>
      <c r="L2261" s="679">
        <f t="shared" si="888"/>
        <v>0</v>
      </c>
      <c r="M2261" s="679">
        <f t="shared" si="889"/>
        <v>0</v>
      </c>
      <c r="N2261" s="679">
        <f t="shared" si="890"/>
        <v>0</v>
      </c>
      <c r="O2261" s="679">
        <f t="shared" si="891"/>
        <v>1.1247364986302026E-5</v>
      </c>
      <c r="P2261" s="679">
        <f t="shared" si="892"/>
        <v>1.4755559615809774E-5</v>
      </c>
      <c r="Q2261" s="679">
        <f t="shared" si="893"/>
        <v>2.0721482744421203E-5</v>
      </c>
      <c r="R2261" s="680">
        <f t="shared" si="894"/>
        <v>2.7198044903899033E-5</v>
      </c>
    </row>
    <row r="2262" spans="2:18" s="57" customFormat="1" ht="12.5">
      <c r="B2262" s="682" t="s">
        <v>315</v>
      </c>
      <c r="C2262" s="102">
        <f>ARG!C674</f>
        <v>0</v>
      </c>
      <c r="D2262" s="102">
        <f>ARG!D674</f>
        <v>0</v>
      </c>
      <c r="E2262" s="102">
        <f>ARG!E674</f>
        <v>0</v>
      </c>
      <c r="F2262" s="102">
        <f>ARG!F674</f>
        <v>0</v>
      </c>
      <c r="G2262" s="102">
        <f>ARG!G674</f>
        <v>0</v>
      </c>
      <c r="H2262" s="102">
        <f>ARG!H674</f>
        <v>0</v>
      </c>
      <c r="I2262" s="102">
        <f>ARG!I674</f>
        <v>5256.5058464773929</v>
      </c>
      <c r="J2262" s="102">
        <f>ARG!J674</f>
        <v>14109.603427970558</v>
      </c>
      <c r="K2262" s="1700">
        <f t="shared" si="887"/>
        <v>0</v>
      </c>
      <c r="L2262" s="679">
        <f t="shared" si="888"/>
        <v>0</v>
      </c>
      <c r="M2262" s="679">
        <f t="shared" si="889"/>
        <v>0</v>
      </c>
      <c r="N2262" s="679">
        <f t="shared" si="890"/>
        <v>0</v>
      </c>
      <c r="O2262" s="679">
        <f t="shared" si="891"/>
        <v>0</v>
      </c>
      <c r="P2262" s="679">
        <f t="shared" si="892"/>
        <v>0</v>
      </c>
      <c r="Q2262" s="679">
        <f t="shared" si="893"/>
        <v>1.7766088309772752E-2</v>
      </c>
      <c r="R2262" s="680">
        <f t="shared" si="894"/>
        <v>2.0169773120085083E-2</v>
      </c>
    </row>
    <row r="2263" spans="2:18" s="57" customFormat="1" ht="12.5">
      <c r="B2263" s="678" t="s">
        <v>1276</v>
      </c>
      <c r="C2263" s="102">
        <f>ARG!C614</f>
        <v>102882.23463125544</v>
      </c>
      <c r="D2263" s="102">
        <f>ARG!D614</f>
        <v>89815.477714718407</v>
      </c>
      <c r="E2263" s="102">
        <f>ARG!E614</f>
        <v>101808.13307546701</v>
      </c>
      <c r="F2263" s="102">
        <f>ARG!F614</f>
        <v>118865.37266347471</v>
      </c>
      <c r="G2263" s="102">
        <f>ARG!G614</f>
        <v>83108.107051382962</v>
      </c>
      <c r="H2263" s="102">
        <f>ARG!H614</f>
        <v>80402.93851004442</v>
      </c>
      <c r="I2263" s="102">
        <f>ARG!I614</f>
        <v>98780.649478268009</v>
      </c>
      <c r="J2263" s="102">
        <f>ARG!J614</f>
        <v>127672.01492113566</v>
      </c>
      <c r="K2263" s="1700">
        <f t="shared" si="887"/>
        <v>9.1292225893503332E-2</v>
      </c>
      <c r="L2263" s="679">
        <f t="shared" si="888"/>
        <v>7.0932742233018098E-2</v>
      </c>
      <c r="M2263" s="679">
        <f t="shared" si="889"/>
        <v>7.2038463867063973E-2</v>
      </c>
      <c r="N2263" s="679">
        <f t="shared" si="890"/>
        <v>7.6295382472723258E-2</v>
      </c>
      <c r="O2263" s="679">
        <f t="shared" si="891"/>
        <v>4.3898821265970785E-2</v>
      </c>
      <c r="P2263" s="679">
        <f t="shared" si="892"/>
        <v>4.179718113791496E-2</v>
      </c>
      <c r="Q2263" s="679">
        <f t="shared" si="893"/>
        <v>4.8622095628208316E-2</v>
      </c>
      <c r="R2263" s="680">
        <f t="shared" si="894"/>
        <v>6.5996399601523703E-2</v>
      </c>
    </row>
    <row r="2264" spans="2:18" s="57" customFormat="1" ht="12.5">
      <c r="B2264" s="678"/>
      <c r="C2264" s="102"/>
      <c r="D2264" s="102"/>
      <c r="E2264" s="102"/>
      <c r="F2264" s="102"/>
      <c r="G2264" s="102"/>
      <c r="H2264" s="102"/>
      <c r="I2264" s="102"/>
      <c r="J2264" s="102"/>
      <c r="K2264" s="1700"/>
      <c r="L2264" s="679"/>
      <c r="M2264" s="679"/>
      <c r="N2264" s="679"/>
      <c r="O2264" s="679"/>
      <c r="P2264" s="679"/>
      <c r="Q2264" s="679"/>
      <c r="R2264" s="680"/>
    </row>
    <row r="2265" spans="2:18" s="57" customFormat="1" ht="13">
      <c r="B2265" s="683" t="s">
        <v>1039</v>
      </c>
      <c r="C2265" s="102"/>
      <c r="D2265" s="102"/>
      <c r="E2265" s="102"/>
      <c r="F2265" s="102"/>
      <c r="G2265" s="102"/>
      <c r="H2265" s="102"/>
      <c r="I2265" s="102"/>
      <c r="J2265" s="102"/>
      <c r="K2265" s="1700"/>
      <c r="L2265" s="679"/>
      <c r="M2265" s="679"/>
      <c r="N2265" s="679"/>
      <c r="O2265" s="679"/>
      <c r="P2265" s="679"/>
      <c r="Q2265" s="679"/>
      <c r="R2265" s="680"/>
    </row>
    <row r="2266" spans="2:18" s="57" customFormat="1" ht="12.5">
      <c r="B2266" s="678" t="s">
        <v>94</v>
      </c>
      <c r="C2266" s="102">
        <f>BA!C345</f>
        <v>17965.851999999999</v>
      </c>
      <c r="D2266" s="102">
        <f>BA!D345</f>
        <v>22161.963</v>
      </c>
      <c r="E2266" s="102">
        <f>BA!E345</f>
        <v>25454.531999999999</v>
      </c>
      <c r="F2266" s="102">
        <f>BA!F345</f>
        <v>29288.666000000001</v>
      </c>
      <c r="G2266" s="102">
        <f>BA!G345</f>
        <v>30005.722000000002</v>
      </c>
      <c r="H2266" s="102">
        <f>BA!H345</f>
        <v>32153.38</v>
      </c>
      <c r="I2266" s="102">
        <f>BA!I345</f>
        <v>42246.222000000002</v>
      </c>
      <c r="J2266" s="102">
        <f>BA!J345</f>
        <v>36000.192000000003</v>
      </c>
      <c r="K2266" s="1700">
        <f>IFERROR((C2266/C2151/1000),0)</f>
        <v>27.532185000153245</v>
      </c>
      <c r="L2266" s="679">
        <f t="shared" ref="L2266:R2266" si="895">IFERROR((D2266/D2151/1000),0)</f>
        <v>29.293841700372749</v>
      </c>
      <c r="M2266" s="679">
        <f t="shared" si="895"/>
        <v>29.76998970808383</v>
      </c>
      <c r="N2266" s="679">
        <f t="shared" si="895"/>
        <v>31.106201344562802</v>
      </c>
      <c r="O2266" s="679">
        <f t="shared" si="895"/>
        <v>260.7651301838913</v>
      </c>
      <c r="P2266" s="679">
        <f t="shared" si="895"/>
        <v>235.01355845484781</v>
      </c>
      <c r="Q2266" s="679">
        <f t="shared" si="895"/>
        <v>198.31579392090131</v>
      </c>
      <c r="R2266" s="680">
        <f t="shared" si="895"/>
        <v>131.81330941178626</v>
      </c>
    </row>
    <row r="2267" spans="2:18" s="57" customFormat="1" ht="12.5">
      <c r="B2267" s="678" t="s">
        <v>489</v>
      </c>
      <c r="C2267" s="102">
        <f>BA!C355</f>
        <v>6.9308820000000004</v>
      </c>
      <c r="D2267" s="102">
        <f>BA!D355</f>
        <v>7.122776</v>
      </c>
      <c r="E2267" s="102">
        <f>BA!E355</f>
        <v>7.0335840000000003</v>
      </c>
      <c r="F2267" s="102">
        <f>BA!F355</f>
        <v>7.157368</v>
      </c>
      <c r="G2267" s="102">
        <f>BA!G355</f>
        <v>7.1493820000000001</v>
      </c>
      <c r="H2267" s="102">
        <f>BA!H355</f>
        <v>7.1510569999999998</v>
      </c>
      <c r="I2267" s="102">
        <f>BA!I355</f>
        <v>4.5642250000000004</v>
      </c>
      <c r="J2267" s="102">
        <f>BA!J355</f>
        <v>4.2461640000000003</v>
      </c>
      <c r="K2267" s="1886">
        <f>IFERROR((C2267/C2152/1000),0)</f>
        <v>2.4679007211192657E-3</v>
      </c>
      <c r="L2267" s="1884">
        <f t="shared" ref="L2267:R2267" si="896">IFERROR((D2267/D2152/1000),0)</f>
        <v>2.5965359961271283E-3</v>
      </c>
      <c r="M2267" s="1884">
        <f t="shared" si="896"/>
        <v>2.693722420648447E-3</v>
      </c>
      <c r="N2267" s="1884">
        <f t="shared" si="896"/>
        <v>2.8389906612044918E-3</v>
      </c>
      <c r="O2267" s="1884">
        <f t="shared" si="896"/>
        <v>2.9615102936912312E-3</v>
      </c>
      <c r="P2267" s="1884">
        <f t="shared" si="896"/>
        <v>3.2843450376518614E-3</v>
      </c>
      <c r="Q2267" s="1884">
        <f t="shared" si="896"/>
        <v>3.2710345677702882E-3</v>
      </c>
      <c r="R2267" s="1887">
        <f t="shared" si="896"/>
        <v>3.2947184893608607E-3</v>
      </c>
    </row>
    <row r="2268" spans="2:18" s="57" customFormat="1" ht="12.5">
      <c r="B2268" s="678"/>
      <c r="C2268" s="679"/>
      <c r="D2268" s="679"/>
      <c r="E2268" s="679"/>
      <c r="F2268" s="679"/>
      <c r="G2268" s="679"/>
      <c r="H2268" s="679"/>
      <c r="I2268" s="679"/>
      <c r="K2268" s="1700"/>
      <c r="L2268" s="679"/>
      <c r="M2268" s="679"/>
      <c r="N2268" s="679"/>
      <c r="O2268" s="679"/>
      <c r="P2268" s="679"/>
      <c r="Q2268" s="679"/>
      <c r="R2268" s="656"/>
    </row>
    <row r="2269" spans="2:18" s="57" customFormat="1" ht="13">
      <c r="B2269" s="683" t="s">
        <v>1040</v>
      </c>
      <c r="C2269" s="679"/>
      <c r="D2269" s="679"/>
      <c r="E2269" s="679"/>
      <c r="F2269" s="679"/>
      <c r="G2269" s="679"/>
      <c r="H2269" s="679"/>
      <c r="I2269" s="679"/>
      <c r="K2269" s="1700"/>
      <c r="L2269" s="679"/>
      <c r="M2269" s="679"/>
      <c r="N2269" s="679"/>
      <c r="O2269" s="679"/>
      <c r="P2269" s="679"/>
      <c r="Q2269" s="679"/>
      <c r="R2269" s="656"/>
    </row>
    <row r="2270" spans="2:18" s="57" customFormat="1" ht="12.5">
      <c r="B2270" s="678" t="s">
        <v>1262</v>
      </c>
      <c r="C2270" s="102">
        <f>BO!C490</f>
        <v>63539.575240452112</v>
      </c>
      <c r="D2270" s="102">
        <f>BO!D490</f>
        <v>66576.63103697708</v>
      </c>
      <c r="E2270" s="102">
        <f>BO!E490</f>
        <v>81287.096753029851</v>
      </c>
      <c r="F2270" s="102">
        <f>BO!F490</f>
        <v>83559.522471082892</v>
      </c>
      <c r="G2270" s="102">
        <f>BO!G490</f>
        <v>92526.321536197473</v>
      </c>
      <c r="H2270" s="102">
        <f>BO!H490</f>
        <v>88336.172237468883</v>
      </c>
      <c r="I2270" s="102">
        <f>BO!I490</f>
        <v>83767.293207276176</v>
      </c>
      <c r="J2270" s="102">
        <f>BO!J490</f>
        <v>84543.480817980773</v>
      </c>
      <c r="K2270" s="1700">
        <f t="shared" ref="K2270:R2271" si="897">IFERROR((C2270/C2155/1000),0)</f>
        <v>836.35517349091913</v>
      </c>
      <c r="L2270" s="679">
        <f t="shared" si="897"/>
        <v>700.34220503221115</v>
      </c>
      <c r="M2270" s="679">
        <f t="shared" si="897"/>
        <v>675.40565464117924</v>
      </c>
      <c r="N2270" s="679">
        <f t="shared" si="897"/>
        <v>606.63353107659111</v>
      </c>
      <c r="O2270" s="679">
        <f t="shared" si="897"/>
        <v>678.08198820251289</v>
      </c>
      <c r="P2270" s="679">
        <f t="shared" si="897"/>
        <v>577.20592676125273</v>
      </c>
      <c r="Q2270" s="679">
        <f t="shared" si="897"/>
        <v>564.21489763567786</v>
      </c>
      <c r="R2270" s="680">
        <f t="shared" si="897"/>
        <v>482.04510544220295</v>
      </c>
    </row>
    <row r="2271" spans="2:18" s="57" customFormat="1" ht="12.5">
      <c r="B2271" s="678" t="s">
        <v>489</v>
      </c>
      <c r="C2271" s="102">
        <f>BO!C500</f>
        <v>18214.139941690963</v>
      </c>
      <c r="D2271" s="102">
        <f>BO!D500</f>
        <v>22030.75801749271</v>
      </c>
      <c r="E2271" s="102">
        <f>BO!E500</f>
        <v>25166.845173254747</v>
      </c>
      <c r="F2271" s="102">
        <f>BO!F500</f>
        <v>26777.468349758627</v>
      </c>
      <c r="G2271" s="102">
        <f>BO!G500</f>
        <v>31848.307717872103</v>
      </c>
      <c r="H2271" s="102">
        <f>BO!H500</f>
        <v>38041.493658640407</v>
      </c>
      <c r="I2271" s="102">
        <f>BO!I500</f>
        <v>38786.350770851022</v>
      </c>
      <c r="J2271" s="102">
        <f>BO!J500</f>
        <v>49115.290880156623</v>
      </c>
      <c r="K2271" s="1700">
        <f t="shared" si="897"/>
        <v>13.941597861159901</v>
      </c>
      <c r="L2271" s="679">
        <f t="shared" si="897"/>
        <v>11.429397503928667</v>
      </c>
      <c r="M2271" s="679">
        <f t="shared" si="897"/>
        <v>8.3040532863210927</v>
      </c>
      <c r="N2271" s="679">
        <f t="shared" si="897"/>
        <v>5.3468168555585249</v>
      </c>
      <c r="O2271" s="679">
        <f t="shared" si="897"/>
        <v>3.9103697733930325</v>
      </c>
      <c r="P2271" s="679">
        <f t="shared" si="897"/>
        <v>2.7691942913627177</v>
      </c>
      <c r="Q2271" s="679">
        <f t="shared" si="897"/>
        <v>1.3820892731532968</v>
      </c>
      <c r="R2271" s="680">
        <f t="shared" si="897"/>
        <v>0.89475746787698751</v>
      </c>
    </row>
    <row r="2272" spans="2:18" s="57" customFormat="1" ht="12.5">
      <c r="B2272" s="678" t="s">
        <v>1263</v>
      </c>
      <c r="C2272" s="102">
        <f>BO!C520</f>
        <v>14557.871720116618</v>
      </c>
      <c r="D2272" s="102">
        <f>BO!D520</f>
        <v>13673.469387755102</v>
      </c>
      <c r="E2272" s="102">
        <f>BO!E520</f>
        <v>12583.340358588774</v>
      </c>
      <c r="F2272" s="102">
        <f>BO!F520</f>
        <v>12135.653920826704</v>
      </c>
      <c r="G2272" s="102">
        <f>BO!G520</f>
        <v>11391.013858604752</v>
      </c>
      <c r="H2272" s="102">
        <f>BO!H520</f>
        <v>10432.858404881137</v>
      </c>
      <c r="I2272" s="102">
        <f>BO!I520</f>
        <v>6296.4711619928285</v>
      </c>
      <c r="J2272" s="102">
        <f>BO!J520</f>
        <v>6854.6298340083667</v>
      </c>
      <c r="K2272" s="1700">
        <f t="shared" ref="K2272:R2272" si="898">IFERROR((C2272/C2158/1000),0)</f>
        <v>0</v>
      </c>
      <c r="L2272" s="679">
        <f t="shared" si="898"/>
        <v>0</v>
      </c>
      <c r="M2272" s="679">
        <f t="shared" si="898"/>
        <v>0</v>
      </c>
      <c r="N2272" s="679">
        <f t="shared" si="898"/>
        <v>0</v>
      </c>
      <c r="O2272" s="679">
        <f t="shared" si="898"/>
        <v>0</v>
      </c>
      <c r="P2272" s="679">
        <f t="shared" si="898"/>
        <v>0</v>
      </c>
      <c r="Q2272" s="679">
        <f t="shared" si="898"/>
        <v>449747.94014234492</v>
      </c>
      <c r="R2272" s="680">
        <f t="shared" si="898"/>
        <v>24480.820835744169</v>
      </c>
    </row>
    <row r="2273" spans="2:19" s="57" customFormat="1" ht="12.5">
      <c r="B2273" s="678" t="s">
        <v>2116</v>
      </c>
      <c r="C2273" s="102">
        <f>BO!C540</f>
        <v>0</v>
      </c>
      <c r="D2273" s="102">
        <f>BO!D540</f>
        <v>0</v>
      </c>
      <c r="E2273" s="102">
        <f>BO!E540</f>
        <v>0</v>
      </c>
      <c r="F2273" s="102">
        <f>BO!F540</f>
        <v>0</v>
      </c>
      <c r="G2273" s="102">
        <f>BO!G540</f>
        <v>0</v>
      </c>
      <c r="H2273" s="102">
        <f>BO!H540</f>
        <v>0</v>
      </c>
      <c r="I2273" s="102">
        <f>BO!I540</f>
        <v>2.5000000000000001E-5</v>
      </c>
      <c r="J2273" s="102">
        <f>BO!J540</f>
        <v>0.46936690087463551</v>
      </c>
      <c r="K2273" s="1700">
        <f t="shared" ref="K2273:R2273" si="899">IFERROR((C2273/C2157/1000),0)</f>
        <v>0</v>
      </c>
      <c r="L2273" s="679">
        <f t="shared" si="899"/>
        <v>0</v>
      </c>
      <c r="M2273" s="679">
        <f t="shared" si="899"/>
        <v>0</v>
      </c>
      <c r="N2273" s="679">
        <f t="shared" si="899"/>
        <v>0</v>
      </c>
      <c r="O2273" s="679">
        <f t="shared" si="899"/>
        <v>0</v>
      </c>
      <c r="P2273" s="679">
        <f t="shared" si="899"/>
        <v>0</v>
      </c>
      <c r="Q2273" s="679">
        <f t="shared" si="899"/>
        <v>2.9622783475226469E-8</v>
      </c>
      <c r="R2273" s="680">
        <f t="shared" si="899"/>
        <v>5.5120807032407249E-4</v>
      </c>
    </row>
    <row r="2274" spans="2:19" s="57" customFormat="1" ht="12.5">
      <c r="B2274" s="678" t="s">
        <v>2128</v>
      </c>
      <c r="C2274" s="102">
        <f>BO!C561</f>
        <v>0</v>
      </c>
      <c r="D2274" s="102">
        <f>BO!D561</f>
        <v>3071.2406406457167</v>
      </c>
      <c r="E2274" s="102">
        <f>BO!E561</f>
        <v>3229.1435294919984</v>
      </c>
      <c r="F2274" s="102">
        <f>BO!F561</f>
        <v>3559.2593645502361</v>
      </c>
      <c r="G2274" s="102">
        <f>BO!G561</f>
        <v>3989.3517456911363</v>
      </c>
      <c r="H2274" s="102">
        <f>BO!H561</f>
        <v>4358.3663875057791</v>
      </c>
      <c r="I2274" s="102">
        <f>BO!I561</f>
        <v>3942.1581960749018</v>
      </c>
      <c r="J2274" s="102">
        <f>BO!J561</f>
        <v>4524.7877747139437</v>
      </c>
      <c r="K2274" s="1700">
        <f t="shared" ref="K2274:R2275" si="900">IFERROR((C2274/C2159/1000),0)</f>
        <v>0</v>
      </c>
      <c r="L2274" s="679">
        <f t="shared" si="900"/>
        <v>6.0290947943341763E-2</v>
      </c>
      <c r="M2274" s="679">
        <f t="shared" si="900"/>
        <v>6.4728184068510108E-2</v>
      </c>
      <c r="N2274" s="679">
        <f t="shared" si="900"/>
        <v>6.360343065647156E-2</v>
      </c>
      <c r="O2274" s="679">
        <f t="shared" si="900"/>
        <v>6.4094962400688779E-2</v>
      </c>
      <c r="P2274" s="679">
        <f t="shared" si="900"/>
        <v>6.0266681118195317E-2</v>
      </c>
      <c r="Q2274" s="679">
        <f t="shared" si="900"/>
        <v>6.4127473470395047E-2</v>
      </c>
      <c r="R2274" s="680">
        <f t="shared" si="900"/>
        <v>5.590304372082442E-2</v>
      </c>
    </row>
    <row r="2275" spans="2:19" s="57" customFormat="1" ht="12.5">
      <c r="B2275" s="678" t="s">
        <v>2129</v>
      </c>
      <c r="C2275" s="102">
        <f>BO!C581</f>
        <v>0</v>
      </c>
      <c r="D2275" s="102">
        <f>BO!D581</f>
        <v>518.79828031635554</v>
      </c>
      <c r="E2275" s="102">
        <f>BO!E581</f>
        <v>578.63098574530591</v>
      </c>
      <c r="F2275" s="102">
        <f>BO!F581</f>
        <v>670.27769002139951</v>
      </c>
      <c r="G2275" s="102">
        <f>BO!G581</f>
        <v>793.26403837760915</v>
      </c>
      <c r="H2275" s="102">
        <f>BO!H581</f>
        <v>873.89997610265277</v>
      </c>
      <c r="I2275" s="102">
        <f>BO!I581</f>
        <v>838.51665748317657</v>
      </c>
      <c r="J2275" s="102">
        <f>BO!J581</f>
        <v>1289.5840264146029</v>
      </c>
      <c r="K2275" s="1700">
        <f t="shared" si="900"/>
        <v>0</v>
      </c>
      <c r="L2275" s="679">
        <f t="shared" si="900"/>
        <v>6.5779187400727746E-2</v>
      </c>
      <c r="M2275" s="679">
        <f t="shared" si="900"/>
        <v>5.9485519909822017E-2</v>
      </c>
      <c r="N2275" s="679">
        <f t="shared" si="900"/>
        <v>6.2255978952951978E-2</v>
      </c>
      <c r="O2275" s="679">
        <f t="shared" si="900"/>
        <v>5.8054200944088349E-2</v>
      </c>
      <c r="P2275" s="679">
        <f t="shared" si="900"/>
        <v>4.9953649031714467E-2</v>
      </c>
      <c r="Q2275" s="679">
        <f t="shared" si="900"/>
        <v>5.5157042002267849E-2</v>
      </c>
      <c r="R2275" s="680">
        <f t="shared" si="900"/>
        <v>5.1926629309361767E-2</v>
      </c>
    </row>
    <row r="2276" spans="2:19" s="57" customFormat="1" ht="12.5">
      <c r="B2276" s="684"/>
      <c r="C2276" s="679"/>
      <c r="D2276" s="679"/>
      <c r="E2276" s="679"/>
      <c r="F2276" s="679"/>
      <c r="G2276" s="679"/>
      <c r="H2276" s="679"/>
      <c r="I2276" s="679"/>
      <c r="J2276" s="679"/>
      <c r="K2276" s="1700"/>
      <c r="L2276" s="679"/>
      <c r="M2276" s="679"/>
      <c r="N2276" s="679"/>
      <c r="O2276" s="679"/>
      <c r="P2276" s="679"/>
      <c r="Q2276" s="679"/>
      <c r="R2276" s="656"/>
    </row>
    <row r="2277" spans="2:19" s="57" customFormat="1" ht="13">
      <c r="B2277" s="683" t="s">
        <v>1041</v>
      </c>
      <c r="C2277" s="679"/>
      <c r="D2277" s="679"/>
      <c r="E2277" s="679"/>
      <c r="F2277" s="679"/>
      <c r="G2277" s="679"/>
      <c r="H2277" s="679"/>
      <c r="I2277" s="679"/>
      <c r="J2277" s="679"/>
      <c r="K2277" s="1700"/>
      <c r="L2277" s="679"/>
      <c r="M2277" s="679"/>
      <c r="N2277" s="679"/>
      <c r="O2277" s="679"/>
      <c r="P2277" s="679"/>
      <c r="Q2277" s="679"/>
      <c r="R2277" s="656"/>
    </row>
    <row r="2278" spans="2:19" s="57" customFormat="1" ht="12.5">
      <c r="B2278" s="684" t="s">
        <v>940</v>
      </c>
      <c r="C2278" s="102">
        <f>BR!C504</f>
        <v>113277194.98747188</v>
      </c>
      <c r="D2278" s="102">
        <f>BR!D504</f>
        <v>83545793.854494259</v>
      </c>
      <c r="E2278" s="102">
        <f>BR!E504</f>
        <v>89879150.519048035</v>
      </c>
      <c r="F2278" s="102">
        <f>BR!F504</f>
        <v>92884398.242756456</v>
      </c>
      <c r="G2278" s="102">
        <f>BR!G504</f>
        <v>96522701.851851851</v>
      </c>
      <c r="H2278" s="102">
        <f>BR!H504</f>
        <v>99990433.476090327</v>
      </c>
      <c r="I2278" s="102">
        <f>BR!I504</f>
        <v>115761499.88561015</v>
      </c>
      <c r="J2278" s="102">
        <f>BR!J504</f>
        <v>171333136.37964267</v>
      </c>
      <c r="K2278" s="1700">
        <f t="shared" ref="K2278:R2283" si="901">IFERROR((C2278/C2163/1000),0)</f>
        <v>3103.3147495335015</v>
      </c>
      <c r="L2278" s="679">
        <f t="shared" si="901"/>
        <v>1964.0273133314745</v>
      </c>
      <c r="M2278" s="679">
        <f t="shared" si="901"/>
        <v>1291.6454770287855</v>
      </c>
      <c r="N2278" s="679">
        <f t="shared" si="901"/>
        <v>1245.049103156126</v>
      </c>
      <c r="O2278" s="679">
        <f t="shared" si="901"/>
        <v>1229.6355510637586</v>
      </c>
      <c r="P2278" s="679">
        <f t="shared" si="901"/>
        <v>468.20549386868538</v>
      </c>
      <c r="Q2278" s="679">
        <f t="shared" si="901"/>
        <v>217.57325280958761</v>
      </c>
      <c r="R2278" s="680">
        <f t="shared" si="901"/>
        <v>410.62465279722625</v>
      </c>
    </row>
    <row r="2279" spans="2:19" s="57" customFormat="1" ht="12.5">
      <c r="B2279" s="684" t="s">
        <v>984</v>
      </c>
      <c r="C2279" s="102">
        <f>BR!C527</f>
        <v>1647164.5649127278</v>
      </c>
      <c r="D2279" s="102">
        <f>BR!D527</f>
        <v>1237583.5612663613</v>
      </c>
      <c r="E2279" s="102">
        <f>BR!E527</f>
        <v>1247815.5895271725</v>
      </c>
      <c r="F2279" s="102">
        <f>BR!F527</f>
        <v>1468621.1022709475</v>
      </c>
      <c r="G2279" s="102">
        <f>BR!G527</f>
        <v>1440468.9679413533</v>
      </c>
      <c r="H2279" s="102">
        <f>BR!H527</f>
        <v>1502080.5488993512</v>
      </c>
      <c r="I2279" s="102">
        <f>BR!I527</f>
        <v>1304857.2628106945</v>
      </c>
      <c r="J2279" s="102">
        <f>BR!J527</f>
        <v>1305793.857563941</v>
      </c>
      <c r="K2279" s="1700">
        <f t="shared" si="901"/>
        <v>7.25811803469945</v>
      </c>
      <c r="L2279" s="679">
        <f t="shared" si="901"/>
        <v>4.2080365905010577</v>
      </c>
      <c r="M2279" s="679">
        <f t="shared" si="901"/>
        <v>3.033752050217895</v>
      </c>
      <c r="N2279" s="679">
        <f t="shared" si="901"/>
        <v>2.7472171914119317</v>
      </c>
      <c r="O2279" s="679">
        <f t="shared" si="901"/>
        <v>2.2602860024656612</v>
      </c>
      <c r="P2279" s="679">
        <f t="shared" si="901"/>
        <v>1.7893105990375826</v>
      </c>
      <c r="Q2279" s="679">
        <f t="shared" si="901"/>
        <v>0.97992944576601826</v>
      </c>
      <c r="R2279" s="680">
        <f t="shared" si="901"/>
        <v>1.4615408622371002</v>
      </c>
    </row>
    <row r="2280" spans="2:19" s="57" customFormat="1" ht="12.5">
      <c r="B2280" s="684" t="s">
        <v>942</v>
      </c>
      <c r="C2280" s="102">
        <f>BR!C518</f>
        <v>352642.12001528859</v>
      </c>
      <c r="D2280" s="102">
        <f>BR!D518</f>
        <v>325998.44250756287</v>
      </c>
      <c r="E2280" s="102">
        <f>BR!E518</f>
        <v>302587.48887549166</v>
      </c>
      <c r="F2280" s="102">
        <f>BR!F518</f>
        <v>320197.33750978857</v>
      </c>
      <c r="G2280" s="102">
        <f>BR!G518</f>
        <v>298661.57886098803</v>
      </c>
      <c r="H2280" s="102">
        <f>BR!H518</f>
        <v>338155.64734801452</v>
      </c>
      <c r="I2280" s="102">
        <f>BR!I518</f>
        <v>265811.72704701847</v>
      </c>
      <c r="J2280" s="102">
        <f>BR!J518</f>
        <v>290703.9381538587</v>
      </c>
      <c r="K2280" s="1700">
        <f t="shared" si="901"/>
        <v>12160.073103975468</v>
      </c>
      <c r="L2280" s="679">
        <f t="shared" si="901"/>
        <v>10187.45132836134</v>
      </c>
      <c r="M2280" s="679">
        <f t="shared" si="901"/>
        <v>12607.812036478819</v>
      </c>
      <c r="N2280" s="679">
        <f t="shared" si="901"/>
        <v>13341.555729574524</v>
      </c>
      <c r="O2280" s="679">
        <f t="shared" si="901"/>
        <v>14221.979945761334</v>
      </c>
      <c r="P2280" s="679">
        <f t="shared" si="901"/>
        <v>15370.711243091569</v>
      </c>
      <c r="Q2280" s="679">
        <f t="shared" si="901"/>
        <v>15296.755886920555</v>
      </c>
      <c r="R2280" s="680">
        <f t="shared" si="901"/>
        <v>15860.327249378508</v>
      </c>
    </row>
    <row r="2281" spans="2:19" s="57" customFormat="1" ht="12.5">
      <c r="B2281" s="684" t="s">
        <v>944</v>
      </c>
      <c r="C2281" s="102">
        <f>BR!C567</f>
        <v>1402971.9284834587</v>
      </c>
      <c r="D2281" s="102">
        <f>BR!D567</f>
        <v>1032752.8678827089</v>
      </c>
      <c r="E2281" s="102">
        <f>BR!E567</f>
        <v>1036377.5729911291</v>
      </c>
      <c r="F2281" s="102">
        <f>BR!F567</f>
        <v>1285917.9326546595</v>
      </c>
      <c r="G2281" s="102">
        <f>BR!G567</f>
        <v>1420812.4076809452</v>
      </c>
      <c r="H2281" s="102">
        <f>BR!H567</f>
        <v>1472718.6335875927</v>
      </c>
      <c r="I2281" s="102">
        <f>BR!I567</f>
        <v>1268168.9778609097</v>
      </c>
      <c r="J2281" s="102">
        <f>BR!J567</f>
        <v>1486847.211659871</v>
      </c>
      <c r="K2281" s="1700">
        <f t="shared" si="901"/>
        <v>0.23870142609235032</v>
      </c>
      <c r="L2281" s="679">
        <f t="shared" si="901"/>
        <v>0.1568986711441408</v>
      </c>
      <c r="M2281" s="679">
        <f t="shared" si="901"/>
        <v>0.13612578128762345</v>
      </c>
      <c r="N2281" s="679">
        <f t="shared" si="901"/>
        <v>0.14061640858241956</v>
      </c>
      <c r="O2281" s="679">
        <f t="shared" si="901"/>
        <v>0.36432086923434703</v>
      </c>
      <c r="P2281" s="679">
        <f t="shared" si="901"/>
        <v>0.3441727487403845</v>
      </c>
      <c r="Q2281" s="679">
        <f t="shared" si="901"/>
        <v>0.2548173317709958</v>
      </c>
      <c r="R2281" s="680">
        <f t="shared" si="901"/>
        <v>0.27539616016321949</v>
      </c>
    </row>
    <row r="2282" spans="2:19" s="57" customFormat="1" ht="12.5">
      <c r="B2282" s="684" t="s">
        <v>945</v>
      </c>
      <c r="C2282" s="102">
        <f>BR!C587</f>
        <v>0</v>
      </c>
      <c r="D2282" s="102">
        <f>BR!D587</f>
        <v>0</v>
      </c>
      <c r="E2282" s="102">
        <f>BR!E587</f>
        <v>0</v>
      </c>
      <c r="F2282" s="102">
        <f>BR!F587</f>
        <v>0</v>
      </c>
      <c r="G2282" s="102">
        <f>BR!G587</f>
        <v>0</v>
      </c>
      <c r="H2282" s="102">
        <f>BR!H587</f>
        <v>0</v>
      </c>
      <c r="I2282" s="102">
        <f>BR!I587</f>
        <v>25799.870543867542</v>
      </c>
      <c r="J2282" s="102">
        <f>BR!J587</f>
        <v>838115.04077396402</v>
      </c>
      <c r="K2282" s="1700">
        <f t="shared" si="901"/>
        <v>0</v>
      </c>
      <c r="L2282" s="679">
        <f t="shared" si="901"/>
        <v>0</v>
      </c>
      <c r="M2282" s="679">
        <f t="shared" si="901"/>
        <v>0</v>
      </c>
      <c r="N2282" s="679">
        <f t="shared" si="901"/>
        <v>0</v>
      </c>
      <c r="O2282" s="679">
        <f t="shared" si="901"/>
        <v>0</v>
      </c>
      <c r="P2282" s="679">
        <f t="shared" si="901"/>
        <v>0</v>
      </c>
      <c r="Q2282" s="679">
        <f t="shared" si="901"/>
        <v>0.16708045759569665</v>
      </c>
      <c r="R2282" s="680">
        <f t="shared" si="901"/>
        <v>0.10503866230368601</v>
      </c>
    </row>
    <row r="2283" spans="2:19" s="57" customFormat="1" ht="12.5">
      <c r="B2283" s="684" t="s">
        <v>943</v>
      </c>
      <c r="C2283" s="102">
        <f>BR!C547</f>
        <v>469096.70021658816</v>
      </c>
      <c r="D2283" s="102">
        <f>BR!D547</f>
        <v>311848.62371581758</v>
      </c>
      <c r="E2283" s="102">
        <f>BR!E547</f>
        <v>299885.74053340225</v>
      </c>
      <c r="F2283" s="102">
        <f>BR!F547</f>
        <v>253468.03445575567</v>
      </c>
      <c r="G2283" s="102">
        <f>BR!G547</f>
        <v>207551.80808578149</v>
      </c>
      <c r="H2283" s="102">
        <f>BR!H547</f>
        <v>223535.49073769039</v>
      </c>
      <c r="I2283" s="102">
        <f>BR!I547</f>
        <v>136063.47417018886</v>
      </c>
      <c r="J2283" s="102">
        <f>BR!J547</f>
        <v>129825.65453091408</v>
      </c>
      <c r="K2283" s="1700">
        <f t="shared" si="901"/>
        <v>0.58656517498494898</v>
      </c>
      <c r="L2283" s="679">
        <f t="shared" si="901"/>
        <v>0.43823583996039572</v>
      </c>
      <c r="M2283" s="679">
        <f t="shared" si="901"/>
        <v>0.43190664458312655</v>
      </c>
      <c r="N2283" s="679">
        <f t="shared" si="901"/>
        <v>0.48975828676163374</v>
      </c>
      <c r="O2283" s="679">
        <f t="shared" si="901"/>
        <v>0.46198697874896549</v>
      </c>
      <c r="P2283" s="679">
        <f t="shared" si="901"/>
        <v>0.5591980115666576</v>
      </c>
      <c r="Q2283" s="679">
        <f t="shared" si="901"/>
        <v>0.46128173410906981</v>
      </c>
      <c r="R2283" s="680">
        <f t="shared" si="901"/>
        <v>0.54179402009112787</v>
      </c>
    </row>
    <row r="2284" spans="2:19" s="57" customFormat="1">
      <c r="B2284" s="684"/>
      <c r="C2284" s="679"/>
      <c r="D2284" s="679"/>
      <c r="E2284" s="679"/>
      <c r="F2284" s="679"/>
      <c r="G2284" s="679"/>
      <c r="H2284" s="679"/>
      <c r="I2284" s="679"/>
      <c r="J2284" s="679"/>
      <c r="K2284" s="1700"/>
      <c r="L2284" s="679"/>
      <c r="M2284" s="679"/>
      <c r="N2284" s="679"/>
      <c r="O2284" s="679"/>
      <c r="P2284" s="679"/>
      <c r="Q2284" s="679"/>
      <c r="R2284" s="1708"/>
    </row>
    <row r="2285" spans="2:19" s="57" customFormat="1">
      <c r="B2285" s="685" t="s">
        <v>1042</v>
      </c>
      <c r="C2285" s="679"/>
      <c r="D2285" s="679"/>
      <c r="E2285" s="679"/>
      <c r="F2285" s="679"/>
      <c r="G2285" s="679"/>
      <c r="H2285" s="679"/>
      <c r="I2285" s="679"/>
      <c r="J2285" s="679"/>
      <c r="K2285" s="1700"/>
      <c r="L2285" s="679"/>
      <c r="M2285" s="679"/>
      <c r="N2285" s="679"/>
      <c r="O2285" s="679"/>
      <c r="P2285" s="679"/>
      <c r="Q2285" s="679"/>
      <c r="R2285" s="1708"/>
    </row>
    <row r="2286" spans="2:19" s="57" customFormat="1">
      <c r="B2286" s="684" t="s">
        <v>94</v>
      </c>
      <c r="C2286" s="102">
        <f>CL!C377</f>
        <v>4642254.7328018881</v>
      </c>
      <c r="D2286" s="102">
        <f>CL!D377</f>
        <v>4355092.402128242</v>
      </c>
      <c r="E2286" s="102">
        <f>CL!E377</f>
        <v>4226735.9925440922</v>
      </c>
      <c r="F2286" s="102">
        <f>CL!F377</f>
        <v>4500579.2812516559</v>
      </c>
      <c r="G2286" s="102">
        <f>CL!G377</f>
        <v>5594546.104676188</v>
      </c>
      <c r="H2286" s="102">
        <f>CL!H377</f>
        <v>5675498.5447553555</v>
      </c>
      <c r="I2286" s="102">
        <f>CL!I377</f>
        <v>12812696.617647059</v>
      </c>
      <c r="J2286" s="102">
        <f>CL!J377</f>
        <v>12074209295</v>
      </c>
      <c r="K2286" s="1700">
        <f t="shared" ref="K2286:R2288" si="902">IFERROR((C2286/C2171/1000),0)</f>
        <v>1.2091031282854931E-2</v>
      </c>
      <c r="L2286" s="679">
        <f t="shared" si="902"/>
        <v>1.1432729206599188E-2</v>
      </c>
      <c r="M2286" s="679">
        <f t="shared" si="902"/>
        <v>1.2479438766752759E-2</v>
      </c>
      <c r="N2286" s="679">
        <f t="shared" si="902"/>
        <v>1.4143691723710751E-2</v>
      </c>
      <c r="O2286" s="679">
        <f t="shared" si="902"/>
        <v>1.3976721323976926E-2</v>
      </c>
      <c r="P2286" s="679">
        <f t="shared" si="902"/>
        <v>1.2938941641392213E-2</v>
      </c>
      <c r="Q2286" s="679">
        <f t="shared" si="902"/>
        <v>3.1081426916156171E-2</v>
      </c>
      <c r="R2286" s="680">
        <f t="shared" si="902"/>
        <v>29.923765102267915</v>
      </c>
      <c r="S2286"/>
    </row>
    <row r="2287" spans="2:19" s="57" customFormat="1">
      <c r="B2287" s="684" t="s">
        <v>489</v>
      </c>
      <c r="C2287" s="102">
        <f>CL!C389</f>
        <v>0</v>
      </c>
      <c r="D2287" s="102">
        <f>CL!D389</f>
        <v>0</v>
      </c>
      <c r="E2287" s="102">
        <f>CL!E389</f>
        <v>0</v>
      </c>
      <c r="F2287" s="102">
        <f>CL!F389</f>
        <v>0</v>
      </c>
      <c r="G2287" s="102">
        <f>CL!G389</f>
        <v>0</v>
      </c>
      <c r="H2287" s="102">
        <f>CL!H389</f>
        <v>0</v>
      </c>
      <c r="I2287" s="102">
        <f>CL!I389</f>
        <v>0</v>
      </c>
      <c r="J2287" s="102">
        <f>CL!J389</f>
        <v>0</v>
      </c>
      <c r="K2287" s="1700">
        <f t="shared" si="902"/>
        <v>0</v>
      </c>
      <c r="L2287" s="679">
        <f t="shared" si="902"/>
        <v>0</v>
      </c>
      <c r="M2287" s="679">
        <f t="shared" si="902"/>
        <v>0</v>
      </c>
      <c r="N2287" s="679">
        <f t="shared" si="902"/>
        <v>0</v>
      </c>
      <c r="O2287" s="679">
        <f t="shared" si="902"/>
        <v>0</v>
      </c>
      <c r="P2287" s="679">
        <f t="shared" si="902"/>
        <v>0</v>
      </c>
      <c r="Q2287" s="679">
        <f t="shared" si="902"/>
        <v>0</v>
      </c>
      <c r="R2287" s="680">
        <f t="shared" si="902"/>
        <v>0</v>
      </c>
      <c r="S2287"/>
    </row>
    <row r="2288" spans="2:19" s="57" customFormat="1">
      <c r="B2288" s="684" t="s">
        <v>1230</v>
      </c>
      <c r="C2288" s="102">
        <f>CL!C384</f>
        <v>1719092.0497489588</v>
      </c>
      <c r="D2288" s="102">
        <f>CL!D384</f>
        <v>1654027.1227009899</v>
      </c>
      <c r="E2288" s="102">
        <f>CL!E384</f>
        <v>1632100.7179916329</v>
      </c>
      <c r="F2288" s="102">
        <f>CL!F384</f>
        <v>1832079.2116413133</v>
      </c>
      <c r="G2288" s="102">
        <f>CL!G384</f>
        <v>1707249.9761046076</v>
      </c>
      <c r="H2288" s="102">
        <f>CL!H384</f>
        <v>1667682.0607118104</v>
      </c>
      <c r="I2288" s="102">
        <f>CL!I384</f>
        <v>1339603.5383631713</v>
      </c>
      <c r="J2288" s="102">
        <f>CL!J384</f>
        <v>1118442476</v>
      </c>
      <c r="K2288" s="1700">
        <f t="shared" si="902"/>
        <v>1205.0991750868086</v>
      </c>
      <c r="L2288" s="679">
        <f t="shared" si="902"/>
        <v>1114.9717370091678</v>
      </c>
      <c r="M2288" s="679">
        <f t="shared" si="902"/>
        <v>1088.6020117828778</v>
      </c>
      <c r="N2288" s="679">
        <f t="shared" si="902"/>
        <v>1200.4093871895343</v>
      </c>
      <c r="O2288" s="679">
        <f t="shared" si="902"/>
        <v>1127.9012455337208</v>
      </c>
      <c r="P2288" s="679">
        <f t="shared" si="902"/>
        <v>1101.4098228504283</v>
      </c>
      <c r="Q2288" s="679">
        <f t="shared" si="902"/>
        <v>869.69679393523211</v>
      </c>
      <c r="R2288" s="680">
        <f t="shared" si="902"/>
        <v>699707.01256972412</v>
      </c>
      <c r="S2288"/>
    </row>
    <row r="2289" spans="2:19" s="57" customFormat="1">
      <c r="B2289" s="684"/>
      <c r="C2289" s="679"/>
      <c r="D2289" s="679"/>
      <c r="E2289" s="679"/>
      <c r="F2289" s="679"/>
      <c r="G2289" s="679"/>
      <c r="H2289" s="679"/>
      <c r="I2289" s="679"/>
      <c r="J2289" s="679"/>
      <c r="K2289" s="1700"/>
      <c r="L2289" s="679"/>
      <c r="M2289" s="679"/>
      <c r="N2289" s="679"/>
      <c r="O2289" s="679"/>
      <c r="P2289" s="679"/>
      <c r="Q2289" s="679"/>
      <c r="R2289" s="1708"/>
      <c r="S2289"/>
    </row>
    <row r="2290" spans="2:19" s="57" customFormat="1" ht="13">
      <c r="B2290" s="685" t="s">
        <v>1043</v>
      </c>
      <c r="C2290" s="679"/>
      <c r="D2290" s="679"/>
      <c r="E2290" s="679"/>
      <c r="F2290" s="679"/>
      <c r="G2290" s="679"/>
      <c r="H2290" s="679"/>
      <c r="I2290" s="679"/>
      <c r="J2290" s="679"/>
      <c r="K2290" s="1700"/>
      <c r="L2290" s="679"/>
      <c r="M2290" s="679"/>
      <c r="N2290" s="679"/>
      <c r="O2290" s="679"/>
      <c r="P2290" s="679"/>
      <c r="Q2290" s="679"/>
      <c r="R2290" s="656"/>
    </row>
    <row r="2291" spans="2:19" s="57" customFormat="1" ht="12.5">
      <c r="B2291" s="686" t="s">
        <v>605</v>
      </c>
      <c r="C2291" s="102">
        <f>CO!C422</f>
        <v>4381319.4563848292</v>
      </c>
      <c r="D2291" s="102">
        <f>CO!D422</f>
        <v>3695452.2459739232</v>
      </c>
      <c r="E2291" s="102">
        <f>CO!E422</f>
        <v>4196068.0155366771</v>
      </c>
      <c r="F2291" s="102">
        <f>CO!F422</f>
        <v>4572578.3169272998</v>
      </c>
      <c r="G2291" s="102">
        <f>CO!G422</f>
        <v>4574386.5308509897</v>
      </c>
      <c r="H2291" s="102">
        <f>CO!H422</f>
        <v>3772693.8328474071</v>
      </c>
      <c r="I2291" s="102">
        <f>CO!I422</f>
        <v>3937801.7198464097</v>
      </c>
      <c r="J2291" s="102">
        <f>CO!J422</f>
        <v>3277209.0219935901</v>
      </c>
      <c r="K2291" s="1700">
        <f t="shared" ref="K2291:R2294" si="903">IFERROR((C2291/C2176/1000),0)</f>
        <v>2372.0773932682682</v>
      </c>
      <c r="L2291" s="679">
        <f t="shared" si="903"/>
        <v>2046.8271393089626</v>
      </c>
      <c r="M2291" s="679">
        <f t="shared" si="903"/>
        <v>2252.2089730161601</v>
      </c>
      <c r="N2291" s="679">
        <f t="shared" si="903"/>
        <v>2365.9176664029405</v>
      </c>
      <c r="O2291" s="679">
        <f t="shared" si="903"/>
        <v>2322.0236197213144</v>
      </c>
      <c r="P2291" s="679">
        <f t="shared" si="903"/>
        <v>2282.3314173305548</v>
      </c>
      <c r="Q2291" s="679">
        <f t="shared" si="903"/>
        <v>2477.6146000674548</v>
      </c>
      <c r="R2291" s="680">
        <f t="shared" si="903"/>
        <v>2161.3282265797993</v>
      </c>
    </row>
    <row r="2292" spans="2:19" s="57" customFormat="1" ht="12.5">
      <c r="B2292" s="686" t="s">
        <v>573</v>
      </c>
      <c r="C2292" s="102">
        <f>CO!C431</f>
        <v>146474.12693537824</v>
      </c>
      <c r="D2292" s="102">
        <f>CO!D431</f>
        <v>103905.74082367549</v>
      </c>
      <c r="E2292" s="102">
        <f>CO!E431</f>
        <v>87773.232965003161</v>
      </c>
      <c r="F2292" s="102">
        <f>CO!F431</f>
        <v>70800.880673635693</v>
      </c>
      <c r="G2292" s="102">
        <f>CO!G431</f>
        <v>63848.496973590118</v>
      </c>
      <c r="H2292" s="102">
        <f>CO!H431</f>
        <v>56534.207021551374</v>
      </c>
      <c r="I2292" s="102">
        <f>CO!I431</f>
        <v>34542.916605575527</v>
      </c>
      <c r="J2292" s="102">
        <f>CO!J431</f>
        <v>38233.527192534842</v>
      </c>
      <c r="K2292" s="1700">
        <f t="shared" si="903"/>
        <v>6.1404635772811451</v>
      </c>
      <c r="L2292" s="679">
        <f t="shared" si="903"/>
        <v>4.9715665465873444</v>
      </c>
      <c r="M2292" s="679">
        <f t="shared" si="903"/>
        <v>4.8510327403082627</v>
      </c>
      <c r="N2292" s="679">
        <f t="shared" si="903"/>
        <v>5.25540978871999</v>
      </c>
      <c r="O2292" s="679">
        <f t="shared" si="903"/>
        <v>5.5607469929968758</v>
      </c>
      <c r="P2292" s="679">
        <f t="shared" si="903"/>
        <v>5.690408356472207</v>
      </c>
      <c r="Q2292" s="679">
        <f t="shared" si="903"/>
        <v>6.4330341384951311</v>
      </c>
      <c r="R2292" s="680">
        <f t="shared" si="903"/>
        <v>6.8389771051409305</v>
      </c>
    </row>
    <row r="2293" spans="2:19" s="57" customFormat="1" ht="12.5">
      <c r="B2293" s="686" t="s">
        <v>608</v>
      </c>
      <c r="C2293" s="102">
        <f>CO!C451</f>
        <v>81805.686066737311</v>
      </c>
      <c r="D2293" s="102">
        <f>CO!D451</f>
        <v>63686.841654924327</v>
      </c>
      <c r="E2293" s="102">
        <f>CO!E451</f>
        <v>58878.801475067303</v>
      </c>
      <c r="F2293" s="102">
        <f>CO!F451</f>
        <v>65411.050399777625</v>
      </c>
      <c r="G2293" s="102">
        <f>CO!G451</f>
        <v>68444.791006431828</v>
      </c>
      <c r="H2293" s="102">
        <f>CO!H451</f>
        <v>66428.090507221874</v>
      </c>
      <c r="I2293" s="102">
        <f>CO!I451</f>
        <v>70171.391114348138</v>
      </c>
      <c r="J2293" s="102">
        <f>CO!J451</f>
        <v>69551.085613238349</v>
      </c>
      <c r="K2293" s="1700">
        <f t="shared" si="903"/>
        <v>7.0455805375953187</v>
      </c>
      <c r="L2293" s="679">
        <f t="shared" si="903"/>
        <v>5.8818167814111266</v>
      </c>
      <c r="M2293" s="679">
        <f t="shared" si="903"/>
        <v>5.2590648119749854</v>
      </c>
      <c r="N2293" s="679">
        <f t="shared" si="903"/>
        <v>5.5647506230172645</v>
      </c>
      <c r="O2293" s="679">
        <f t="shared" si="903"/>
        <v>5.8335285951105282</v>
      </c>
      <c r="P2293" s="679">
        <f t="shared" si="903"/>
        <v>5.8008570029937641</v>
      </c>
      <c r="Q2293" s="679">
        <f t="shared" si="903"/>
        <v>6.9588393471522414</v>
      </c>
      <c r="R2293" s="680">
        <f t="shared" si="903"/>
        <v>4.2866246832531703</v>
      </c>
    </row>
    <row r="2294" spans="2:19" s="57" customFormat="1" ht="12.5">
      <c r="B2294" s="686" t="s">
        <v>609</v>
      </c>
      <c r="C2294" s="102">
        <f>CO!C471</f>
        <v>309269.8454025978</v>
      </c>
      <c r="D2294" s="102">
        <f>CO!D471</f>
        <v>253461.32957542303</v>
      </c>
      <c r="E2294" s="102">
        <f>CO!E471</f>
        <v>240299.72475817974</v>
      </c>
      <c r="F2294" s="102">
        <f>CO!F471</f>
        <v>273892.71583835478</v>
      </c>
      <c r="G2294" s="102">
        <f>CO!G471</f>
        <v>308242.24793864932</v>
      </c>
      <c r="H2294" s="102">
        <f>CO!H471</f>
        <v>313331.22784204804</v>
      </c>
      <c r="I2294" s="102">
        <f>CO!I471</f>
        <v>325363.63576842827</v>
      </c>
      <c r="J2294" s="102">
        <f>CO!J471</f>
        <v>345636.68486917886</v>
      </c>
      <c r="K2294" s="1700">
        <f t="shared" si="903"/>
        <v>2.2778353422632724</v>
      </c>
      <c r="L2294" s="679">
        <f t="shared" si="903"/>
        <v>1.7135357838859324</v>
      </c>
      <c r="M2294" s="679">
        <f t="shared" si="903"/>
        <v>1.5116017406965068</v>
      </c>
      <c r="N2294" s="679">
        <f t="shared" si="903"/>
        <v>1.5696013971666651</v>
      </c>
      <c r="O2294" s="679">
        <f t="shared" si="903"/>
        <v>1.5682936239557839</v>
      </c>
      <c r="P2294" s="679">
        <f t="shared" si="903"/>
        <v>1.4117198821448438</v>
      </c>
      <c r="Q2294" s="679">
        <f t="shared" si="903"/>
        <v>1.2716638289972246</v>
      </c>
      <c r="R2294" s="680">
        <f t="shared" si="903"/>
        <v>1.1744464746735848</v>
      </c>
    </row>
    <row r="2295" spans="2:19" s="57" customFormat="1" ht="12.5">
      <c r="B2295" s="686"/>
      <c r="C2295" s="679"/>
      <c r="D2295" s="679"/>
      <c r="E2295" s="679"/>
      <c r="F2295" s="679"/>
      <c r="G2295" s="679"/>
      <c r="H2295" s="679"/>
      <c r="I2295" s="679"/>
      <c r="J2295" s="679"/>
      <c r="K2295" s="1700"/>
      <c r="L2295" s="679"/>
      <c r="M2295" s="679"/>
      <c r="N2295" s="679"/>
      <c r="O2295" s="679"/>
      <c r="P2295" s="679"/>
      <c r="Q2295" s="679"/>
      <c r="R2295" s="656"/>
    </row>
    <row r="2296" spans="2:19" s="57" customFormat="1" ht="13">
      <c r="B2296" s="685" t="s">
        <v>1044</v>
      </c>
      <c r="C2296" s="679"/>
      <c r="D2296" s="679"/>
      <c r="E2296" s="679"/>
      <c r="F2296" s="679"/>
      <c r="G2296" s="679"/>
      <c r="H2296" s="679"/>
      <c r="I2296" s="679"/>
      <c r="J2296" s="679"/>
      <c r="K2296" s="1700"/>
      <c r="L2296" s="679"/>
      <c r="M2296" s="679"/>
      <c r="N2296" s="679"/>
      <c r="O2296" s="679"/>
      <c r="P2296" s="679"/>
      <c r="Q2296" s="679"/>
      <c r="R2296" s="656"/>
    </row>
    <row r="2297" spans="2:19" s="57" customFormat="1" ht="12.5">
      <c r="B2297" s="686" t="s">
        <v>1264</v>
      </c>
      <c r="C2297" s="102">
        <f>CR!C367</f>
        <v>475153.38767897326</v>
      </c>
      <c r="D2297" s="102">
        <f>CR!D367</f>
        <v>545328.91777752782</v>
      </c>
      <c r="E2297" s="102">
        <f>CR!E367</f>
        <v>563186.49916888203</v>
      </c>
      <c r="F2297" s="102">
        <f>CR!F367</f>
        <v>592314.33461631089</v>
      </c>
      <c r="G2297" s="102">
        <f>CR!G367</f>
        <v>615168.51303334173</v>
      </c>
      <c r="H2297" s="102">
        <f>CR!H367</f>
        <v>690511.66557318764</v>
      </c>
      <c r="I2297" s="102">
        <f>CR!I367</f>
        <v>948633.65383162873</v>
      </c>
      <c r="J2297" s="102">
        <f>CR!J367</f>
        <v>910894.81636003731</v>
      </c>
      <c r="K2297" s="1700">
        <f t="shared" ref="K2297:R2300" si="904">IFERROR((C2297/C2182/1000),0)</f>
        <v>16.133016311969982</v>
      </c>
      <c r="L2297" s="679">
        <f t="shared" si="904"/>
        <v>16.31771414555077</v>
      </c>
      <c r="M2297" s="679">
        <f t="shared" si="904"/>
        <v>14.914783332258098</v>
      </c>
      <c r="N2297" s="679">
        <f t="shared" si="904"/>
        <v>13.95720937256854</v>
      </c>
      <c r="O2297" s="679">
        <f t="shared" si="904"/>
        <v>12.81081937053678</v>
      </c>
      <c r="P2297" s="679">
        <f t="shared" si="904"/>
        <v>12.174409952606599</v>
      </c>
      <c r="Q2297" s="679">
        <f t="shared" si="904"/>
        <v>9.6011162509061077</v>
      </c>
      <c r="R2297" s="680">
        <f t="shared" si="904"/>
        <v>4.2072393433888626</v>
      </c>
    </row>
    <row r="2298" spans="2:19" s="57" customFormat="1" ht="12.5">
      <c r="B2298" s="686" t="s">
        <v>94</v>
      </c>
      <c r="C2298" s="102">
        <f>CR!C370</f>
        <v>107764.11306853364</v>
      </c>
      <c r="D2298" s="102">
        <f>CR!D370</f>
        <v>101504.1205784521</v>
      </c>
      <c r="E2298" s="102">
        <f>CR!E370</f>
        <v>105216.84456198644</v>
      </c>
      <c r="F2298" s="102">
        <f>CR!F370</f>
        <v>114179.19459743575</v>
      </c>
      <c r="G2298" s="102">
        <f>CR!G370</f>
        <v>105015.04270960296</v>
      </c>
      <c r="H2298" s="102">
        <f>CR!H370</f>
        <v>94742.360787218699</v>
      </c>
      <c r="I2298" s="102">
        <f>CR!I370</f>
        <v>76783.195720883756</v>
      </c>
      <c r="J2298" s="102">
        <f>CR!J370</f>
        <v>81710.535874441543</v>
      </c>
      <c r="K2298" s="1700">
        <f t="shared" si="904"/>
        <v>1248.0643125662589</v>
      </c>
      <c r="L2298" s="679">
        <f t="shared" si="904"/>
        <v>1187.029979516695</v>
      </c>
      <c r="M2298" s="679">
        <f t="shared" si="904"/>
        <v>1326.2516016082188</v>
      </c>
      <c r="N2298" s="679">
        <f t="shared" si="904"/>
        <v>1548.8435084230082</v>
      </c>
      <c r="O2298" s="679">
        <f t="shared" si="904"/>
        <v>1464.9922953783041</v>
      </c>
      <c r="P2298" s="679">
        <f t="shared" si="904"/>
        <v>1456.4544317789193</v>
      </c>
      <c r="Q2298" s="679">
        <f t="shared" si="904"/>
        <v>1316.1329400220047</v>
      </c>
      <c r="R2298" s="680">
        <f t="shared" si="904"/>
        <v>1407.0556528867878</v>
      </c>
    </row>
    <row r="2299" spans="2:19" s="57" customFormat="1" ht="12.5">
      <c r="B2299" s="686" t="s">
        <v>1265</v>
      </c>
      <c r="C2299" s="102">
        <f>CR!C378</f>
        <v>143847.6874575105</v>
      </c>
      <c r="D2299" s="102">
        <f>CR!D378</f>
        <v>160291.12829459106</v>
      </c>
      <c r="E2299" s="102">
        <f>CR!E378</f>
        <v>183469.31447896198</v>
      </c>
      <c r="F2299" s="102">
        <f>CR!F378</f>
        <v>194022.34368233371</v>
      </c>
      <c r="G2299" s="102">
        <f>CR!G378</f>
        <v>185892.19821726691</v>
      </c>
      <c r="H2299" s="102">
        <f>CR!H378</f>
        <v>217887.62049302668</v>
      </c>
      <c r="I2299" s="102">
        <f>CR!I378</f>
        <v>191372.26205107576</v>
      </c>
      <c r="J2299" s="102">
        <f>CR!J378</f>
        <v>230588.16349226778</v>
      </c>
      <c r="K2299" s="1700">
        <f t="shared" si="904"/>
        <v>4.9238216733071898</v>
      </c>
      <c r="L2299" s="679">
        <f t="shared" si="904"/>
        <v>4.8239713754611131</v>
      </c>
      <c r="M2299" s="679">
        <f t="shared" si="904"/>
        <v>4.8661213403853081</v>
      </c>
      <c r="N2299" s="679">
        <f t="shared" si="904"/>
        <v>4.589486675175487</v>
      </c>
      <c r="O2299" s="679">
        <f t="shared" si="904"/>
        <v>3.8838566191543245</v>
      </c>
      <c r="P2299" s="679">
        <f t="shared" si="904"/>
        <v>3.8519495276669953</v>
      </c>
      <c r="Q2299" s="679">
        <f t="shared" si="904"/>
        <v>1.9397768496534893</v>
      </c>
      <c r="R2299" s="680">
        <f t="shared" si="904"/>
        <v>1.0658243924161757</v>
      </c>
    </row>
    <row r="2300" spans="2:19" s="57" customFormat="1" ht="12.5">
      <c r="B2300" s="686" t="s">
        <v>1277</v>
      </c>
      <c r="C2300" s="102">
        <f>CR!C398</f>
        <v>223541.5871529291</v>
      </c>
      <c r="D2300" s="102">
        <f>CR!D398</f>
        <v>283533.66890448466</v>
      </c>
      <c r="E2300" s="102">
        <f>CR!E398</f>
        <v>274500.3401279336</v>
      </c>
      <c r="F2300" s="102">
        <f>CR!F398</f>
        <v>284112.79633654142</v>
      </c>
      <c r="G2300" s="102">
        <f>CR!G398</f>
        <v>324261.27210647188</v>
      </c>
      <c r="H2300" s="102">
        <f>CR!H398</f>
        <v>377881.68429294234</v>
      </c>
      <c r="I2300" s="102">
        <f>CR!I398</f>
        <v>680478.19605966925</v>
      </c>
      <c r="J2300" s="102">
        <f>CR!J398</f>
        <v>598596.11699332797</v>
      </c>
      <c r="K2300" s="1700">
        <f t="shared" si="904"/>
        <v>1510.9265775797844</v>
      </c>
      <c r="L2300" s="679">
        <f t="shared" si="904"/>
        <v>2189.8381095058166</v>
      </c>
      <c r="M2300" s="679">
        <f t="shared" si="904"/>
        <v>2583.629879034821</v>
      </c>
      <c r="N2300" s="679">
        <f t="shared" si="904"/>
        <v>2434.160645109549</v>
      </c>
      <c r="O2300" s="679">
        <f t="shared" si="904"/>
        <v>2836.1374952460542</v>
      </c>
      <c r="P2300" s="679">
        <f t="shared" si="904"/>
        <v>3201.8173400745832</v>
      </c>
      <c r="Q2300" s="679">
        <f t="shared" si="904"/>
        <v>6875.0449196757781</v>
      </c>
      <c r="R2300" s="680">
        <f t="shared" si="904"/>
        <v>5728.0828787327328</v>
      </c>
    </row>
    <row r="2301" spans="2:19" s="57" customFormat="1" ht="12.5">
      <c r="B2301" s="686"/>
      <c r="C2301" s="679"/>
      <c r="D2301" s="679"/>
      <c r="E2301" s="679"/>
      <c r="F2301" s="679"/>
      <c r="G2301" s="679"/>
      <c r="H2301" s="679"/>
      <c r="I2301" s="679"/>
      <c r="J2301" s="679"/>
      <c r="K2301" s="1700"/>
      <c r="L2301" s="679"/>
      <c r="M2301" s="679"/>
      <c r="N2301" s="679"/>
      <c r="O2301" s="679"/>
      <c r="P2301" s="679"/>
      <c r="Q2301" s="679"/>
      <c r="R2301" s="656"/>
    </row>
    <row r="2302" spans="2:19" s="57" customFormat="1" ht="13">
      <c r="B2302" s="683" t="s">
        <v>1061</v>
      </c>
      <c r="C2302" s="679"/>
      <c r="D2302" s="679"/>
      <c r="E2302" s="679"/>
      <c r="F2302" s="679"/>
      <c r="G2302" s="679"/>
      <c r="H2302" s="679"/>
      <c r="I2302" s="679"/>
      <c r="J2302" s="679"/>
      <c r="K2302" s="1700"/>
      <c r="L2302" s="679"/>
      <c r="M2302" s="679"/>
      <c r="N2302" s="679"/>
      <c r="O2302" s="679"/>
      <c r="P2302" s="679"/>
      <c r="Q2302" s="679"/>
      <c r="R2302" s="656"/>
    </row>
    <row r="2303" spans="2:19" s="57" customFormat="1" ht="12.5">
      <c r="B2303" s="686" t="s">
        <v>1267</v>
      </c>
      <c r="C2303" s="679">
        <v>2960.49</v>
      </c>
      <c r="D2303" s="679">
        <v>2754.59</v>
      </c>
      <c r="E2303" s="102">
        <f>CW!E378</f>
        <v>2452.6217877094973</v>
      </c>
      <c r="F2303" s="102">
        <f>CW!F378</f>
        <v>2370.0888268156423</v>
      </c>
      <c r="G2303" s="102">
        <f>CW!G378</f>
        <v>2784.9581005586592</v>
      </c>
      <c r="H2303" s="102">
        <f>CW!H378</f>
        <v>2316.3167597765364</v>
      </c>
      <c r="I2303" s="102">
        <f>CW!I378</f>
        <v>1645.1753040049152</v>
      </c>
      <c r="J2303" s="102">
        <f>CW!J378</f>
        <v>1461.6179999999999</v>
      </c>
      <c r="K2303" s="1700">
        <f t="shared" ref="K2303:R2304" si="905">IFERROR((C2303/C2188/1000),0)</f>
        <v>148.02449999999999</v>
      </c>
      <c r="L2303" s="679">
        <f t="shared" si="905"/>
        <v>137.7295</v>
      </c>
      <c r="M2303" s="679">
        <f t="shared" si="905"/>
        <v>136.25676598386096</v>
      </c>
      <c r="N2303" s="679">
        <f t="shared" si="905"/>
        <v>131.6716014897579</v>
      </c>
      <c r="O2303" s="679">
        <f t="shared" si="905"/>
        <v>146.57674213466626</v>
      </c>
      <c r="P2303" s="679">
        <f t="shared" si="905"/>
        <v>110.30079808459696</v>
      </c>
      <c r="Q2303" s="679">
        <f t="shared" si="905"/>
        <v>74.780695636587055</v>
      </c>
      <c r="R2303" s="680">
        <f t="shared" si="905"/>
        <v>73.0809</v>
      </c>
    </row>
    <row r="2304" spans="2:19" s="57" customFormat="1" ht="12.5">
      <c r="B2304" s="686" t="s">
        <v>1268</v>
      </c>
      <c r="C2304" s="679">
        <v>4254.2700000000004</v>
      </c>
      <c r="D2304" s="679">
        <v>4450.6899999999996</v>
      </c>
      <c r="E2304" s="102">
        <f>CW!E388</f>
        <v>4402.2525139664804</v>
      </c>
      <c r="F2304" s="102">
        <f>CW!F388</f>
        <v>4478.7167597765365</v>
      </c>
      <c r="G2304" s="102">
        <f>CW!G388</f>
        <v>4490.9810055865919</v>
      </c>
      <c r="H2304" s="102">
        <f>CW!H388</f>
        <v>4434.5497206703913</v>
      </c>
      <c r="I2304" s="102">
        <f>CW!I388</f>
        <v>3855.3424391122453</v>
      </c>
      <c r="J2304" s="102">
        <f>CW!J388</f>
        <v>3919.12</v>
      </c>
      <c r="K2304" s="1700">
        <f t="shared" si="905"/>
        <v>2.6925759493670891</v>
      </c>
      <c r="L2304" s="679">
        <f t="shared" si="905"/>
        <v>2.7138353658536585</v>
      </c>
      <c r="M2304" s="679">
        <f t="shared" si="905"/>
        <v>2.6376587860793772</v>
      </c>
      <c r="N2304" s="679">
        <f t="shared" si="905"/>
        <v>2.7359296027956854</v>
      </c>
      <c r="O2304" s="679">
        <f t="shared" si="905"/>
        <v>2.6779850957582538</v>
      </c>
      <c r="P2304" s="679">
        <f t="shared" si="905"/>
        <v>2.5210629452361522</v>
      </c>
      <c r="Q2304" s="679">
        <f t="shared" si="905"/>
        <v>2.3946226329889719</v>
      </c>
      <c r="R2304" s="680">
        <f t="shared" si="905"/>
        <v>2.3328095238095239</v>
      </c>
    </row>
    <row r="2305" spans="2:18" s="57" customFormat="1" ht="12.5">
      <c r="B2305" s="686"/>
      <c r="C2305" s="679"/>
      <c r="D2305" s="679"/>
      <c r="E2305" s="102"/>
      <c r="F2305" s="102"/>
      <c r="G2305" s="102"/>
      <c r="H2305" s="102"/>
      <c r="I2305" s="102"/>
      <c r="J2305" s="102"/>
      <c r="K2305" s="1700"/>
      <c r="L2305" s="679"/>
      <c r="M2305" s="679"/>
      <c r="N2305" s="679"/>
      <c r="O2305" s="679"/>
      <c r="P2305" s="679"/>
      <c r="Q2305" s="679"/>
      <c r="R2305" s="680"/>
    </row>
    <row r="2306" spans="2:18" s="57" customFormat="1" ht="13">
      <c r="B2306" s="683" t="s">
        <v>1047</v>
      </c>
      <c r="C2306" s="679"/>
      <c r="D2306" s="679"/>
      <c r="E2306" s="102"/>
      <c r="F2306" s="102"/>
      <c r="G2306" s="102"/>
      <c r="H2306" s="102"/>
      <c r="I2306" s="102"/>
      <c r="J2306" s="102"/>
      <c r="K2306" s="1700"/>
      <c r="L2306" s="679"/>
      <c r="M2306" s="679"/>
      <c r="N2306" s="679"/>
      <c r="O2306" s="679"/>
      <c r="P2306" s="679"/>
      <c r="Q2306" s="679"/>
      <c r="R2306" s="680"/>
    </row>
    <row r="2307" spans="2:18" s="57" customFormat="1" ht="25">
      <c r="B2307" s="1880" t="s">
        <v>849</v>
      </c>
      <c r="C2307" s="102">
        <f>EC!C391</f>
        <v>66964.639794620001</v>
      </c>
      <c r="D2307" s="102">
        <f>EC!D391</f>
        <v>87317.155625240004</v>
      </c>
      <c r="E2307" s="102">
        <f>EC!E391</f>
        <v>91636.358080589998</v>
      </c>
      <c r="F2307" s="102">
        <f>EC!F391</f>
        <v>98961.462494680018</v>
      </c>
      <c r="G2307" s="102">
        <f>EC!G391</f>
        <v>107772.56222837001</v>
      </c>
      <c r="H2307" s="102">
        <f>EC!H391</f>
        <v>113458.10338114003</v>
      </c>
      <c r="I2307" s="102">
        <f>EC!I391</f>
        <v>110604.61299281001</v>
      </c>
      <c r="J2307" s="102">
        <f>EC!J391</f>
        <v>136909.42385771999</v>
      </c>
      <c r="K2307" s="1700">
        <f>IFERROR((C2307/C2192/1000),0)</f>
        <v>1.4274216972893059</v>
      </c>
      <c r="L2307" s="679">
        <f t="shared" ref="L2307:R2310" si="906">IFERROR((D2307/D2192/1000),0)</f>
        <v>1.7202143636833662</v>
      </c>
      <c r="M2307" s="679">
        <f t="shared" si="906"/>
        <v>1.6215838428723672</v>
      </c>
      <c r="N2307" s="679">
        <f t="shared" si="906"/>
        <v>1.5995668188583945</v>
      </c>
      <c r="O2307" s="679">
        <f t="shared" si="906"/>
        <v>1.563949861345072</v>
      </c>
      <c r="P2307" s="679">
        <f t="shared" si="906"/>
        <v>1.5062530777560863</v>
      </c>
      <c r="Q2307" s="679">
        <f t="shared" si="906"/>
        <v>1.3558325254899675</v>
      </c>
      <c r="R2307" s="680">
        <f t="shared" si="906"/>
        <v>1.3568026781869418</v>
      </c>
    </row>
    <row r="2308" spans="2:18" s="57" customFormat="1" ht="25">
      <c r="B2308" s="1881" t="s">
        <v>850</v>
      </c>
      <c r="C2308" s="102">
        <f>EC!C398</f>
        <v>8928.9193892399999</v>
      </c>
      <c r="D2308" s="102">
        <f>EC!D398</f>
        <v>10557.46573989</v>
      </c>
      <c r="E2308" s="102">
        <f>EC!E398</f>
        <v>9400.2276852800005</v>
      </c>
      <c r="F2308" s="102">
        <f>EC!F398</f>
        <v>9686.9777192299989</v>
      </c>
      <c r="G2308" s="102">
        <f>EC!G398</f>
        <v>10510.731605599998</v>
      </c>
      <c r="H2308" s="102">
        <f>EC!H398</f>
        <v>10582.902169810002</v>
      </c>
      <c r="I2308" s="102">
        <f>EC!I398</f>
        <v>9729.9971998199981</v>
      </c>
      <c r="J2308" s="102">
        <f>EC!J398</f>
        <v>9757.7109517000008</v>
      </c>
      <c r="K2308" s="1700">
        <f t="shared" ref="K2308:K2310" si="907">IFERROR((C2308/C2193/1000),0)</f>
        <v>1.3824872002639583</v>
      </c>
      <c r="L2308" s="679">
        <f t="shared" si="906"/>
        <v>1.3900583990859752</v>
      </c>
      <c r="M2308" s="679">
        <f t="shared" si="906"/>
        <v>1.165379121533701</v>
      </c>
      <c r="N2308" s="679">
        <f t="shared" si="906"/>
        <v>1.1718557182117828</v>
      </c>
      <c r="O2308" s="679">
        <f t="shared" si="906"/>
        <v>1.2140448402527528</v>
      </c>
      <c r="P2308" s="679">
        <f t="shared" si="906"/>
        <v>1.1203391949902601</v>
      </c>
      <c r="Q2308" s="679">
        <f t="shared" si="906"/>
        <v>1.0563485807817024</v>
      </c>
      <c r="R2308" s="680">
        <f t="shared" si="906"/>
        <v>0.97996928358086055</v>
      </c>
    </row>
    <row r="2309" spans="2:18" s="57" customFormat="1" ht="25">
      <c r="B2309" s="1881" t="s">
        <v>851</v>
      </c>
      <c r="C2309" s="102">
        <f>EC!C405</f>
        <v>78805.486963960473</v>
      </c>
      <c r="D2309" s="102">
        <f>EC!D405</f>
        <v>89064.522509391842</v>
      </c>
      <c r="E2309" s="102">
        <f>EC!E405</f>
        <v>90115.637206639949</v>
      </c>
      <c r="F2309" s="102">
        <f>EC!F405</f>
        <v>94565.861526689885</v>
      </c>
      <c r="G2309" s="102">
        <f>EC!G405</f>
        <v>108715.81685869997</v>
      </c>
      <c r="H2309" s="102">
        <f>EC!H405</f>
        <v>110167.17035511957</v>
      </c>
      <c r="I2309" s="102">
        <f>EC!I405</f>
        <v>113134.66181235913</v>
      </c>
      <c r="J2309" s="102">
        <f>EC!J405</f>
        <v>122735.83728380041</v>
      </c>
      <c r="K2309" s="1700">
        <f t="shared" si="907"/>
        <v>83.687835273836072</v>
      </c>
      <c r="L2309" s="679">
        <f t="shared" si="906"/>
        <v>110.7304938600185</v>
      </c>
      <c r="M2309" s="679">
        <f t="shared" si="906"/>
        <v>125.69831669731623</v>
      </c>
      <c r="N2309" s="679">
        <f t="shared" si="906"/>
        <v>109.73292726778915</v>
      </c>
      <c r="O2309" s="679">
        <f t="shared" si="906"/>
        <v>121.84743699061559</v>
      </c>
      <c r="P2309" s="679">
        <f t="shared" si="906"/>
        <v>127.88113766307042</v>
      </c>
      <c r="Q2309" s="679">
        <f t="shared" si="906"/>
        <v>130.68515544846636</v>
      </c>
      <c r="R2309" s="680">
        <f t="shared" si="906"/>
        <v>140.11340196215693</v>
      </c>
    </row>
    <row r="2310" spans="2:18" s="57" customFormat="1" ht="37.5">
      <c r="B2310" s="1881" t="s">
        <v>844</v>
      </c>
      <c r="C2310" s="102">
        <f>EC!C412</f>
        <v>67784.557982750106</v>
      </c>
      <c r="D2310" s="102">
        <f>EC!D412</f>
        <v>62013.807000000001</v>
      </c>
      <c r="E2310" s="102">
        <f>EC!E412</f>
        <v>54074.726000000002</v>
      </c>
      <c r="F2310" s="102">
        <f>EC!F412</f>
        <v>55403.750934839998</v>
      </c>
      <c r="G2310" s="102">
        <f>EC!G412</f>
        <v>56431.862847919998</v>
      </c>
      <c r="H2310" s="102">
        <f>EC!H412</f>
        <v>54376.739486580002</v>
      </c>
      <c r="I2310" s="102">
        <f>EC!I412</f>
        <v>34966.542700339996</v>
      </c>
      <c r="J2310" s="102">
        <f>EC!J412</f>
        <v>40948.030311369999</v>
      </c>
      <c r="K2310" s="1700">
        <f t="shared" si="907"/>
        <v>1.7278599182380607</v>
      </c>
      <c r="L2310" s="679">
        <f t="shared" si="906"/>
        <v>1.7581338751640549</v>
      </c>
      <c r="M2310" s="679">
        <f t="shared" si="906"/>
        <v>1.7205577352579116</v>
      </c>
      <c r="N2310" s="679">
        <f t="shared" si="906"/>
        <v>1.7738667354961473</v>
      </c>
      <c r="O2310" s="679">
        <f t="shared" si="906"/>
        <v>1.8374687490981052</v>
      </c>
      <c r="P2310" s="679">
        <f t="shared" si="906"/>
        <v>1.8675410046194016</v>
      </c>
      <c r="Q2310" s="679">
        <f t="shared" si="906"/>
        <v>1.9047617924605591</v>
      </c>
      <c r="R2310" s="680">
        <f t="shared" si="906"/>
        <v>2.0627947085219032</v>
      </c>
    </row>
    <row r="2311" spans="2:18" s="57" customFormat="1">
      <c r="B2311" s="684"/>
      <c r="C2311" s="679"/>
      <c r="D2311" s="679"/>
      <c r="E2311" s="679"/>
      <c r="F2311" s="679"/>
      <c r="G2311" s="679"/>
      <c r="H2311" s="679"/>
      <c r="I2311" s="679"/>
      <c r="J2311" s="679"/>
      <c r="K2311" s="1700"/>
      <c r="L2311" s="679"/>
      <c r="M2311" s="679"/>
      <c r="N2311" s="679"/>
      <c r="O2311" s="679"/>
      <c r="P2311" s="679"/>
      <c r="Q2311" s="679"/>
      <c r="R2311" s="1708"/>
    </row>
    <row r="2312" spans="2:18" s="57" customFormat="1">
      <c r="B2312" s="683" t="s">
        <v>1048</v>
      </c>
      <c r="C2312" s="679"/>
      <c r="D2312" s="679"/>
      <c r="E2312" s="679"/>
      <c r="F2312" s="679"/>
      <c r="G2312" s="679"/>
      <c r="H2312" s="679"/>
      <c r="I2312" s="679"/>
      <c r="J2312" s="679"/>
      <c r="K2312" s="1700"/>
      <c r="L2312" s="679"/>
      <c r="M2312" s="679"/>
      <c r="N2312" s="679"/>
      <c r="O2312" s="679"/>
      <c r="P2312" s="679"/>
      <c r="Q2312" s="679"/>
      <c r="R2312" s="1708"/>
    </row>
    <row r="2313" spans="2:18" s="57" customFormat="1" ht="12.5">
      <c r="B2313" s="686" t="s">
        <v>94</v>
      </c>
      <c r="C2313" s="102">
        <f>SV!C362</f>
        <v>82385.425235680013</v>
      </c>
      <c r="D2313" s="102">
        <f>SV!D362</f>
        <v>44242.292580699992</v>
      </c>
      <c r="E2313" s="102">
        <f>SV!E362</f>
        <v>51867.062172799997</v>
      </c>
      <c r="F2313" s="102">
        <f>SV!F362</f>
        <v>52822.694535260001</v>
      </c>
      <c r="G2313" s="102">
        <f>SV!G362</f>
        <v>58442.951032870005</v>
      </c>
      <c r="H2313" s="102">
        <f>SV!H362</f>
        <v>65830.727987850012</v>
      </c>
      <c r="I2313" s="102">
        <f>SV!I362</f>
        <v>69205.105368930002</v>
      </c>
      <c r="J2313" s="102">
        <f>SV!J362</f>
        <v>86751.77</v>
      </c>
      <c r="K2313" s="1700">
        <f t="shared" ref="K2313:R2314" si="908">IFERROR((C2313/C2198/1000),0)</f>
        <v>1458.3814277615907</v>
      </c>
      <c r="L2313" s="679">
        <f t="shared" si="908"/>
        <v>629.89112134030006</v>
      </c>
      <c r="M2313" s="679">
        <f t="shared" si="908"/>
        <v>635.5634517792372</v>
      </c>
      <c r="N2313" s="679">
        <f t="shared" si="908"/>
        <v>612.40863653001611</v>
      </c>
      <c r="O2313" s="679">
        <f t="shared" si="908"/>
        <v>636.13452447829593</v>
      </c>
      <c r="P2313" s="679">
        <f t="shared" si="908"/>
        <v>680.3717352527467</v>
      </c>
      <c r="Q2313" s="679">
        <f t="shared" si="908"/>
        <v>637.99971761311667</v>
      </c>
      <c r="R2313" s="680">
        <f t="shared" si="908"/>
        <v>64.370668053730427</v>
      </c>
    </row>
    <row r="2314" spans="2:18" s="57" customFormat="1" ht="12.5">
      <c r="B2314" s="686" t="s">
        <v>1270</v>
      </c>
      <c r="C2314" s="102">
        <f>SV!C371</f>
        <v>28691.228139999999</v>
      </c>
      <c r="D2314" s="102">
        <f>SV!D371</f>
        <v>27475.611666999997</v>
      </c>
      <c r="E2314" s="102">
        <f>SV!E371</f>
        <v>26692.941897000001</v>
      </c>
      <c r="F2314" s="102">
        <f>SV!F371</f>
        <v>26903.484468999999</v>
      </c>
      <c r="G2314" s="102">
        <f>SV!G371</f>
        <v>27133.309515000001</v>
      </c>
      <c r="H2314" s="102">
        <f>SV!H371</f>
        <v>27683.230004000001</v>
      </c>
      <c r="I2314" s="102">
        <f>SV!I371</f>
        <v>22790.804095</v>
      </c>
      <c r="J2314" s="102">
        <f>SV!J371</f>
        <v>26543.189083000001</v>
      </c>
      <c r="K2314" s="1700">
        <f t="shared" si="908"/>
        <v>4.7161765888429485</v>
      </c>
      <c r="L2314" s="679">
        <f t="shared" si="908"/>
        <v>4.637815256242674</v>
      </c>
      <c r="M2314" s="679">
        <f t="shared" si="908"/>
        <v>4.4989054651379146</v>
      </c>
      <c r="N2314" s="679">
        <f t="shared" si="908"/>
        <v>4.6156081483926554</v>
      </c>
      <c r="O2314" s="679">
        <f t="shared" si="908"/>
        <v>4.7633610225880068</v>
      </c>
      <c r="P2314" s="679">
        <f t="shared" si="908"/>
        <v>5.1574150809962482</v>
      </c>
      <c r="Q2314" s="679">
        <f t="shared" si="908"/>
        <v>6.0668490725555166</v>
      </c>
      <c r="R2314" s="680">
        <f t="shared" si="908"/>
        <v>4.6474026424638524</v>
      </c>
    </row>
    <row r="2315" spans="2:18" s="57" customFormat="1">
      <c r="B2315" s="686"/>
      <c r="C2315" s="679"/>
      <c r="D2315" s="679"/>
      <c r="E2315" s="679"/>
      <c r="F2315" s="679"/>
      <c r="G2315" s="679"/>
      <c r="H2315" s="679"/>
      <c r="I2315" s="679"/>
      <c r="J2315" s="679"/>
      <c r="K2315" s="1700"/>
      <c r="L2315" s="679"/>
      <c r="M2315" s="679"/>
      <c r="N2315" s="679"/>
      <c r="O2315" s="679"/>
      <c r="P2315" s="679"/>
      <c r="Q2315" s="679"/>
      <c r="R2315" s="1708"/>
    </row>
    <row r="2316" spans="2:18" s="57" customFormat="1">
      <c r="B2316" s="685" t="s">
        <v>1049</v>
      </c>
      <c r="C2316" s="679"/>
      <c r="D2316" s="679"/>
      <c r="E2316" s="679"/>
      <c r="F2316" s="679"/>
      <c r="G2316" s="679"/>
      <c r="H2316" s="679"/>
      <c r="I2316" s="679"/>
      <c r="J2316" s="679"/>
      <c r="K2316" s="1700"/>
      <c r="L2316" s="679"/>
      <c r="M2316" s="679"/>
      <c r="N2316" s="679"/>
      <c r="O2316" s="679"/>
      <c r="P2316" s="679"/>
      <c r="Q2316" s="679"/>
      <c r="R2316" s="1708"/>
    </row>
    <row r="2317" spans="2:18" s="57" customFormat="1" ht="12.5">
      <c r="B2317" s="688" t="s">
        <v>94</v>
      </c>
      <c r="C2317" s="102">
        <f>GT!C451+GT!C458</f>
        <v>171567.56700000001</v>
      </c>
      <c r="D2317" s="102">
        <f>GT!D451+GT!D458</f>
        <v>164685.75900000002</v>
      </c>
      <c r="E2317" s="102">
        <f>GT!E451+GT!E458</f>
        <v>167843.08299999998</v>
      </c>
      <c r="F2317" s="102">
        <f>GT!F451+GT!F458</f>
        <v>218059.46299999999</v>
      </c>
      <c r="G2317" s="102">
        <f>GT!G451+GT!G458</f>
        <v>201215.91</v>
      </c>
      <c r="H2317" s="102">
        <f>GT!H451+GT!H458</f>
        <v>193955.69099999999</v>
      </c>
      <c r="I2317" s="102">
        <f>GT!I451+GT!I458</f>
        <v>280419.39600000001</v>
      </c>
      <c r="J2317" s="102">
        <f>GT!J451+GT!J458</f>
        <v>253465.21100000001</v>
      </c>
      <c r="K2317" s="1700">
        <f t="shared" ref="K2317:R2319" si="909">IFERROR((C2317/C2202/1000),0)</f>
        <v>1733.0057272727272</v>
      </c>
      <c r="L2317" s="679">
        <f t="shared" si="909"/>
        <v>1630.5520693069307</v>
      </c>
      <c r="M2317" s="679">
        <f t="shared" si="909"/>
        <v>1695.3846767676766</v>
      </c>
      <c r="N2317" s="679">
        <f t="shared" si="909"/>
        <v>2159.0045841584156</v>
      </c>
      <c r="O2317" s="679">
        <f t="shared" si="909"/>
        <v>1846.0175229357797</v>
      </c>
      <c r="P2317" s="679">
        <f t="shared" si="909"/>
        <v>1716.4220442477877</v>
      </c>
      <c r="Q2317" s="679">
        <f t="shared" si="909"/>
        <v>2639.1420181828448</v>
      </c>
      <c r="R2317" s="680">
        <f t="shared" si="909"/>
        <v>2111.6118016561973</v>
      </c>
    </row>
    <row r="2318" spans="2:18" s="57" customFormat="1" ht="12.5">
      <c r="B2318" s="688" t="s">
        <v>1247</v>
      </c>
      <c r="C2318" s="102">
        <f>GT!C468+GT!C488</f>
        <v>75068.868999999992</v>
      </c>
      <c r="D2318" s="102">
        <f>GT!D468+GT!D488</f>
        <v>71961.062999999995</v>
      </c>
      <c r="E2318" s="102">
        <f>GT!E468+GT!E488</f>
        <v>54035.909</v>
      </c>
      <c r="F2318" s="102">
        <f>GT!F468+GT!F488</f>
        <v>43913.281999999999</v>
      </c>
      <c r="G2318" s="102">
        <f>GT!G468+GT!G488</f>
        <v>43523.258999999998</v>
      </c>
      <c r="H2318" s="102">
        <f>GT!H468+GT!H488</f>
        <v>41389.392</v>
      </c>
      <c r="I2318" s="102">
        <f>GT!I468+GT!I488</f>
        <v>33628.423390390002</v>
      </c>
      <c r="J2318" s="102">
        <f>GT!J468+GT!J488</f>
        <v>37092.202038229996</v>
      </c>
      <c r="K2318" s="1700">
        <f t="shared" si="909"/>
        <v>3.5689297803556146</v>
      </c>
      <c r="L2318" s="679">
        <f t="shared" si="909"/>
        <v>3.5780162589498801</v>
      </c>
      <c r="M2318" s="679">
        <f t="shared" si="909"/>
        <v>2.847892326341309</v>
      </c>
      <c r="N2318" s="679">
        <f t="shared" si="909"/>
        <v>2.5101910369269462</v>
      </c>
      <c r="O2318" s="679">
        <f t="shared" si="909"/>
        <v>2.6160521127607139</v>
      </c>
      <c r="P2318" s="679">
        <f t="shared" si="909"/>
        <v>2.6273974481051225</v>
      </c>
      <c r="Q2318" s="679">
        <f t="shared" si="909"/>
        <v>2.8700249088867325</v>
      </c>
      <c r="R2318" s="680">
        <f t="shared" si="909"/>
        <v>3.3525049596078316</v>
      </c>
    </row>
    <row r="2319" spans="2:18" s="57" customFormat="1" ht="12.5">
      <c r="B2319" s="688" t="s">
        <v>1249</v>
      </c>
      <c r="C2319" s="102">
        <f>GT!C509+GT!C529</f>
        <v>9547.1630000000005</v>
      </c>
      <c r="D2319" s="102">
        <f>GT!D509+GT!D529</f>
        <v>13124.22</v>
      </c>
      <c r="E2319" s="102">
        <f>GT!E509+GT!E529</f>
        <v>16906.865000000002</v>
      </c>
      <c r="F2319" s="102">
        <f>GT!F509+GT!F529</f>
        <v>21356.089</v>
      </c>
      <c r="G2319" s="102">
        <f>GT!G509+GT!G529</f>
        <v>24229.271000000001</v>
      </c>
      <c r="H2319" s="102">
        <f>GT!H509+GT!H529</f>
        <v>28757.715</v>
      </c>
      <c r="I2319" s="102">
        <f>GT!I509+GT!I529</f>
        <v>35323.218134789997</v>
      </c>
      <c r="J2319" s="102">
        <f>GT!J509+GT!J529</f>
        <v>51872.089</v>
      </c>
      <c r="K2319" s="1700">
        <f t="shared" si="909"/>
        <v>6.5391527397260276</v>
      </c>
      <c r="L2319" s="679">
        <f t="shared" si="909"/>
        <v>6.084478442280945</v>
      </c>
      <c r="M2319" s="679">
        <f t="shared" si="909"/>
        <v>5.6810702284946251</v>
      </c>
      <c r="N2319" s="679">
        <f t="shared" si="909"/>
        <v>5.2037253898635472</v>
      </c>
      <c r="O2319" s="679">
        <f t="shared" si="909"/>
        <v>4.1846754749568218</v>
      </c>
      <c r="P2319" s="679">
        <f t="shared" si="909"/>
        <v>3.6246174691202424</v>
      </c>
      <c r="Q2319" s="679">
        <f t="shared" si="909"/>
        <v>2.1832702033940081</v>
      </c>
      <c r="R2319" s="680">
        <f t="shared" si="909"/>
        <v>1.5505581620178051</v>
      </c>
    </row>
    <row r="2320" spans="2:18" s="57" customFormat="1" ht="12.5">
      <c r="B2320" s="688"/>
      <c r="C2320" s="679"/>
      <c r="D2320" s="679"/>
      <c r="E2320" s="679"/>
      <c r="F2320" s="679"/>
      <c r="G2320" s="679"/>
      <c r="H2320" s="679"/>
      <c r="I2320" s="679"/>
      <c r="J2320" s="679"/>
      <c r="K2320" s="1700"/>
      <c r="L2320" s="679"/>
      <c r="M2320" s="679"/>
      <c r="N2320" s="679"/>
      <c r="O2320" s="679"/>
      <c r="P2320" s="679"/>
      <c r="Q2320" s="679"/>
      <c r="R2320" s="656"/>
    </row>
    <row r="2321" spans="2:18" s="57" customFormat="1">
      <c r="B2321" s="683" t="s">
        <v>1050</v>
      </c>
      <c r="C2321" s="679"/>
      <c r="D2321" s="679"/>
      <c r="E2321" s="679"/>
      <c r="F2321" s="679"/>
      <c r="G2321" s="679"/>
      <c r="H2321" s="679"/>
      <c r="I2321" s="679"/>
      <c r="J2321" s="679"/>
      <c r="K2321" s="1700"/>
      <c r="L2321" s="679"/>
      <c r="M2321" s="679"/>
      <c r="N2321" s="679"/>
      <c r="O2321" s="679"/>
      <c r="P2321" s="679"/>
      <c r="Q2321" s="679"/>
      <c r="R2321" s="1708"/>
    </row>
    <row r="2322" spans="2:18" s="57" customFormat="1" ht="12.5">
      <c r="B2322" s="686" t="s">
        <v>94</v>
      </c>
      <c r="C2322" s="102">
        <f>HN!C402</f>
        <v>141362.5585362477</v>
      </c>
      <c r="D2322" s="102">
        <f>HN!D402</f>
        <v>167236.91663091289</v>
      </c>
      <c r="E2322" s="102">
        <f>HN!E402</f>
        <v>219613.97450025906</v>
      </c>
      <c r="F2322" s="102">
        <f>HN!F402</f>
        <v>221872.6996892381</v>
      </c>
      <c r="G2322" s="102">
        <f>HN!G402</f>
        <v>219244.0946661286</v>
      </c>
      <c r="H2322" s="102">
        <f>HN!H402</f>
        <v>213889.81270042039</v>
      </c>
      <c r="I2322" s="102">
        <f>HN!I402</f>
        <v>147204.16407000221</v>
      </c>
      <c r="J2322" s="102">
        <f>HN!J402</f>
        <v>288550.3899526404</v>
      </c>
      <c r="K2322" s="1700">
        <f t="shared" ref="K2322:R2324" si="910">IFERROR((C2322/C2207/1000),0)</f>
        <v>491.2464720490392</v>
      </c>
      <c r="L2322" s="679">
        <f t="shared" si="910"/>
        <v>514.49597486821392</v>
      </c>
      <c r="M2322" s="679">
        <f t="shared" si="910"/>
        <v>579.77764592586664</v>
      </c>
      <c r="N2322" s="679">
        <f t="shared" si="910"/>
        <v>563.83991910922691</v>
      </c>
      <c r="O2322" s="679">
        <f t="shared" si="910"/>
        <v>493.63290884516869</v>
      </c>
      <c r="P2322" s="679">
        <f t="shared" si="910"/>
        <v>482.59683465571402</v>
      </c>
      <c r="Q2322" s="679">
        <f t="shared" si="910"/>
        <v>377.79627827297122</v>
      </c>
      <c r="R2322" s="680">
        <f t="shared" si="910"/>
        <v>610.31536256689651</v>
      </c>
    </row>
    <row r="2323" spans="2:18" s="57" customFormat="1" ht="12.5">
      <c r="B2323" s="688" t="s">
        <v>1271</v>
      </c>
      <c r="C2323" s="102">
        <f>HN!C411</f>
        <v>14292.636573170321</v>
      </c>
      <c r="D2323" s="102">
        <f>HN!D411</f>
        <v>13219.125317075299</v>
      </c>
      <c r="E2323" s="102">
        <f>HN!E411</f>
        <v>12617.85895788223</v>
      </c>
      <c r="F2323" s="102">
        <f>HN!F411</f>
        <v>12535.358820477395</v>
      </c>
      <c r="G2323" s="102">
        <f>HN!G411</f>
        <v>12008.931008885651</v>
      </c>
      <c r="H2323" s="102">
        <f>HN!H411</f>
        <v>11282.695120865264</v>
      </c>
      <c r="I2323" s="102">
        <f>HN!I411</f>
        <v>6344.3145740108903</v>
      </c>
      <c r="J2323" s="102">
        <f>HN!J411</f>
        <v>7798.2987620801923</v>
      </c>
      <c r="K2323" s="1700">
        <f t="shared" si="910"/>
        <v>2.887421744026538</v>
      </c>
      <c r="L2323" s="679">
        <f t="shared" si="910"/>
        <v>2.8237933182055932</v>
      </c>
      <c r="M2323" s="679">
        <f t="shared" si="910"/>
        <v>2.8060987980836631</v>
      </c>
      <c r="N2323" s="679">
        <f t="shared" si="910"/>
        <v>2.9654180458507442</v>
      </c>
      <c r="O2323" s="679">
        <f t="shared" si="910"/>
        <v>3.1242950546372725</v>
      </c>
      <c r="P2323" s="679">
        <f t="shared" si="910"/>
        <v>3.1090883621292345</v>
      </c>
      <c r="Q2323" s="679">
        <f t="shared" si="910"/>
        <v>3.0066188655082895</v>
      </c>
      <c r="R2323" s="680">
        <f t="shared" si="910"/>
        <v>3.5311393361369112</v>
      </c>
    </row>
    <row r="2324" spans="2:18" s="57" customFormat="1" ht="12.5">
      <c r="B2324" s="688" t="s">
        <v>1272</v>
      </c>
      <c r="C2324" s="102">
        <f>HN!C431</f>
        <v>2434.3554092259947</v>
      </c>
      <c r="D2324" s="102">
        <f>HN!D431</f>
        <v>1831.5506667544373</v>
      </c>
      <c r="E2324" s="102">
        <f>HN!E431</f>
        <v>2259.136203419986</v>
      </c>
      <c r="F2324" s="102">
        <f>HN!F431</f>
        <v>2813.2262050481431</v>
      </c>
      <c r="G2324" s="102">
        <f>HN!G431</f>
        <v>3879.3956456977094</v>
      </c>
      <c r="H2324" s="102">
        <f>HN!H431</f>
        <v>5250.661543371828</v>
      </c>
      <c r="I2324" s="102">
        <f>HN!I431</f>
        <v>7036.3459459485821</v>
      </c>
      <c r="J2324" s="102">
        <f>HN!J431</f>
        <v>10545.936574756903</v>
      </c>
      <c r="K2324" s="1700">
        <f t="shared" si="910"/>
        <v>1.5106164632075219</v>
      </c>
      <c r="L2324" s="679">
        <f t="shared" si="910"/>
        <v>0.94979460151705586</v>
      </c>
      <c r="M2324" s="679">
        <f t="shared" si="910"/>
        <v>0.99563700330007376</v>
      </c>
      <c r="N2324" s="679">
        <f t="shared" si="910"/>
        <v>0.9824037816005794</v>
      </c>
      <c r="O2324" s="679">
        <f t="shared" si="910"/>
        <v>0.97100926749908867</v>
      </c>
      <c r="P2324" s="679">
        <f t="shared" si="910"/>
        <v>1.0206436676984871</v>
      </c>
      <c r="Q2324" s="679">
        <f t="shared" si="910"/>
        <v>0.83386376904348591</v>
      </c>
      <c r="R2324" s="680">
        <f t="shared" si="910"/>
        <v>0.90652931751641641</v>
      </c>
    </row>
    <row r="2325" spans="2:18" s="57" customFormat="1">
      <c r="B2325" s="688"/>
      <c r="C2325" s="679"/>
      <c r="D2325" s="679"/>
      <c r="E2325" s="679"/>
      <c r="F2325" s="679"/>
      <c r="G2325" s="679"/>
      <c r="H2325" s="679"/>
      <c r="I2325" s="679"/>
      <c r="J2325" s="679"/>
      <c r="K2325" s="1700"/>
      <c r="L2325" s="679"/>
      <c r="M2325" s="679"/>
      <c r="N2325" s="679"/>
      <c r="O2325" s="679"/>
      <c r="P2325" s="679"/>
      <c r="Q2325" s="679"/>
      <c r="R2325" s="1708"/>
    </row>
    <row r="2326" spans="2:18" s="57" customFormat="1">
      <c r="B2326" s="689" t="s">
        <v>1051</v>
      </c>
      <c r="C2326" s="679"/>
      <c r="D2326" s="679"/>
      <c r="E2326" s="679"/>
      <c r="F2326" s="679"/>
      <c r="G2326" s="679"/>
      <c r="H2326" s="679"/>
      <c r="I2326" s="679"/>
      <c r="J2326" s="679"/>
      <c r="K2326" s="1700"/>
      <c r="L2326" s="679"/>
      <c r="M2326" s="679"/>
      <c r="N2326" s="679"/>
      <c r="O2326" s="679"/>
      <c r="P2326" s="679"/>
      <c r="Q2326" s="679"/>
      <c r="R2326" s="1708"/>
    </row>
    <row r="2327" spans="2:18" s="57" customFormat="1" ht="12.5">
      <c r="B2327" s="684" t="s">
        <v>1251</v>
      </c>
      <c r="C2327" s="102">
        <f>JM!C395</f>
        <v>0</v>
      </c>
      <c r="D2327" s="102">
        <f>JM!D395</f>
        <v>0</v>
      </c>
      <c r="E2327" s="102">
        <f>JM!E395</f>
        <v>0</v>
      </c>
      <c r="F2327" s="102">
        <f>JM!F395</f>
        <v>0</v>
      </c>
      <c r="G2327" s="102">
        <f>JM!G395</f>
        <v>0</v>
      </c>
      <c r="H2327" s="102">
        <f>JM!H395</f>
        <v>0</v>
      </c>
      <c r="I2327" s="102">
        <f>JM!I395</f>
        <v>0</v>
      </c>
      <c r="J2327" s="102">
        <f>JM!J395</f>
        <v>0</v>
      </c>
      <c r="K2327" s="1700">
        <f t="shared" ref="K2327:R2329" si="911">IFERROR((C2327/C2212/1000),0)</f>
        <v>0</v>
      </c>
      <c r="L2327" s="679">
        <f t="shared" si="911"/>
        <v>0</v>
      </c>
      <c r="M2327" s="679">
        <f t="shared" si="911"/>
        <v>0</v>
      </c>
      <c r="N2327" s="679">
        <f t="shared" si="911"/>
        <v>0</v>
      </c>
      <c r="O2327" s="679">
        <f t="shared" si="911"/>
        <v>0</v>
      </c>
      <c r="P2327" s="679">
        <f t="shared" si="911"/>
        <v>0</v>
      </c>
      <c r="Q2327" s="679">
        <f t="shared" si="911"/>
        <v>0</v>
      </c>
      <c r="R2327" s="680">
        <f t="shared" si="911"/>
        <v>0</v>
      </c>
    </row>
    <row r="2328" spans="2:18" s="57" customFormat="1" ht="12.5">
      <c r="B2328" s="684" t="s">
        <v>1252</v>
      </c>
      <c r="C2328" s="102">
        <f>JM!C404</f>
        <v>10416.911121978323</v>
      </c>
      <c r="D2328" s="102">
        <f>JM!D404</f>
        <v>10254.920681731346</v>
      </c>
      <c r="E2328" s="102">
        <f>JM!E404</f>
        <v>9334.8393742884637</v>
      </c>
      <c r="F2328" s="102">
        <f>JM!F404</f>
        <v>9183.0970711564933</v>
      </c>
      <c r="G2328" s="102">
        <f>JM!G404</f>
        <v>9620.3570431935022</v>
      </c>
      <c r="H2328" s="102">
        <f>JM!H404</f>
        <v>9744.6278068881875</v>
      </c>
      <c r="I2328" s="102">
        <f>JM!I404</f>
        <v>8344.5932030305776</v>
      </c>
      <c r="J2328" s="102">
        <f>JM!J404</f>
        <v>8317.854933786346</v>
      </c>
      <c r="K2328" s="1700">
        <f t="shared" si="911"/>
        <v>0</v>
      </c>
      <c r="L2328" s="679">
        <f t="shared" si="911"/>
        <v>0.49263738873028834</v>
      </c>
      <c r="M2328" s="679">
        <f t="shared" si="911"/>
        <v>0.41907367878805424</v>
      </c>
      <c r="N2328" s="679">
        <f t="shared" si="911"/>
        <v>0.40366667143561619</v>
      </c>
      <c r="O2328" s="679">
        <f t="shared" si="911"/>
        <v>0.39144305673917262</v>
      </c>
      <c r="P2328" s="679">
        <f t="shared" si="911"/>
        <v>0.36718066287168805</v>
      </c>
      <c r="Q2328" s="679">
        <f t="shared" si="911"/>
        <v>0.32692622817540878</v>
      </c>
      <c r="R2328" s="680">
        <f t="shared" si="911"/>
        <v>0.29058849051725744</v>
      </c>
    </row>
    <row r="2329" spans="2:18" s="57" customFormat="1" ht="12.5">
      <c r="B2329" s="684" t="s">
        <v>1254</v>
      </c>
      <c r="C2329" s="102">
        <f>JM!C424</f>
        <v>0</v>
      </c>
      <c r="D2329" s="102">
        <f>JM!D424</f>
        <v>0</v>
      </c>
      <c r="E2329" s="102">
        <f>JM!E424</f>
        <v>0</v>
      </c>
      <c r="F2329" s="102">
        <f>JM!F424</f>
        <v>0</v>
      </c>
      <c r="G2329" s="102">
        <f>JM!G424</f>
        <v>0</v>
      </c>
      <c r="H2329" s="102">
        <f>JM!H424</f>
        <v>0</v>
      </c>
      <c r="I2329" s="102">
        <f>JM!I424</f>
        <v>0</v>
      </c>
      <c r="J2329" s="102">
        <f>JM!J424</f>
        <v>0</v>
      </c>
      <c r="K2329" s="1700">
        <f t="shared" si="911"/>
        <v>0</v>
      </c>
      <c r="L2329" s="679">
        <f t="shared" si="911"/>
        <v>0</v>
      </c>
      <c r="M2329" s="679">
        <f t="shared" si="911"/>
        <v>0</v>
      </c>
      <c r="N2329" s="679">
        <f t="shared" si="911"/>
        <v>0</v>
      </c>
      <c r="O2329" s="679">
        <f t="shared" si="911"/>
        <v>0</v>
      </c>
      <c r="P2329" s="679">
        <f t="shared" si="911"/>
        <v>0</v>
      </c>
      <c r="Q2329" s="679">
        <f t="shared" si="911"/>
        <v>0</v>
      </c>
      <c r="R2329" s="680">
        <f t="shared" si="911"/>
        <v>0</v>
      </c>
    </row>
    <row r="2330" spans="2:18" s="57" customFormat="1" ht="12.5">
      <c r="B2330" s="684"/>
      <c r="C2330" s="102"/>
      <c r="D2330" s="102"/>
      <c r="E2330" s="102"/>
      <c r="F2330" s="102"/>
      <c r="G2330" s="102"/>
      <c r="H2330" s="102"/>
      <c r="I2330" s="102"/>
      <c r="J2330" s="102"/>
      <c r="K2330" s="1700"/>
      <c r="L2330" s="679"/>
      <c r="M2330" s="679"/>
      <c r="N2330" s="679"/>
      <c r="O2330" s="679"/>
      <c r="P2330" s="679"/>
      <c r="Q2330" s="679"/>
      <c r="R2330" s="680"/>
    </row>
    <row r="2331" spans="2:18" s="57" customFormat="1" ht="13">
      <c r="B2331" s="685" t="s">
        <v>1052</v>
      </c>
      <c r="C2331" s="679"/>
      <c r="D2331" s="679"/>
      <c r="E2331" s="679"/>
      <c r="F2331" s="679"/>
      <c r="G2331" s="679"/>
      <c r="H2331" s="679"/>
      <c r="I2331" s="679"/>
      <c r="J2331" s="679"/>
      <c r="K2331" s="1700"/>
      <c r="L2331" s="679"/>
      <c r="M2331" s="679"/>
      <c r="N2331" s="679"/>
      <c r="O2331" s="679"/>
      <c r="P2331" s="679"/>
      <c r="Q2331" s="679"/>
      <c r="R2331" s="656"/>
    </row>
    <row r="2332" spans="2:18" s="57" customFormat="1" ht="12.5">
      <c r="B2332" s="687" t="s">
        <v>671</v>
      </c>
      <c r="C2332" s="102">
        <f>RD!C446</f>
        <v>394594.32445919421</v>
      </c>
      <c r="D2332" s="102">
        <f>RD!D446</f>
        <v>381844.82465271861</v>
      </c>
      <c r="E2332" s="102">
        <f>RD!E446</f>
        <v>426602.35765941552</v>
      </c>
      <c r="F2332" s="102">
        <f>RD!F446</f>
        <v>588054.49952189578</v>
      </c>
      <c r="G2332" s="102">
        <f>RD!G446</f>
        <v>534583.64963655535</v>
      </c>
      <c r="H2332" s="102">
        <f>RD!H446</f>
        <v>648723.46773852722</v>
      </c>
      <c r="I2332" s="102">
        <f>RD!I446</f>
        <v>864347.20695491461</v>
      </c>
      <c r="J2332" s="102">
        <f>RD!J446</f>
        <v>1062694.3405915715</v>
      </c>
      <c r="K2332" s="1700">
        <f t="shared" ref="K2332:K2340" si="912">IFERROR((C2332/C2217/1000),0)</f>
        <v>821.32205291670152</v>
      </c>
      <c r="L2332" s="679">
        <f t="shared" ref="L2332:L2340" si="913">IFERROR((D2332/D2217/1000),0)</f>
        <v>477.39494562452074</v>
      </c>
      <c r="M2332" s="679">
        <f t="shared" ref="M2332:M2340" si="914">IFERROR((E2332/E2217/1000),0)</f>
        <v>322.64464108017705</v>
      </c>
      <c r="N2332" s="679">
        <f t="shared" ref="N2332:N2340" si="915">IFERROR((F2332/F2217/1000),0)</f>
        <v>281.67064043567524</v>
      </c>
      <c r="O2332" s="679">
        <f t="shared" ref="O2332:O2340" si="916">IFERROR((G2332/G2217/1000),0)</f>
        <v>171.75808731481638</v>
      </c>
      <c r="P2332" s="679">
        <f t="shared" ref="P2332:P2340" si="917">IFERROR((H2332/H2217/1000),0)</f>
        <v>130.95347267255676</v>
      </c>
      <c r="Q2332" s="679">
        <f t="shared" ref="Q2332:Q2340" si="918">IFERROR((I2332/I2217/1000),0)</f>
        <v>99.340148382022605</v>
      </c>
      <c r="R2332" s="680">
        <f t="shared" ref="R2332:R2340" si="919">IFERROR((J2332/J2217/1000),0)</f>
        <v>83.788257076039287</v>
      </c>
    </row>
    <row r="2333" spans="2:18" s="57" customFormat="1" ht="12.5">
      <c r="B2333" s="687" t="s">
        <v>684</v>
      </c>
      <c r="C2333" s="102">
        <f>RD!C455</f>
        <v>30017.150979287413</v>
      </c>
      <c r="D2333" s="102">
        <f>RD!D455</f>
        <v>28086.617293898886</v>
      </c>
      <c r="E2333" s="102">
        <f>RD!E455</f>
        <v>25569.481839102085</v>
      </c>
      <c r="F2333" s="102">
        <f>RD!F455</f>
        <v>24274.801419684038</v>
      </c>
      <c r="G2333" s="102">
        <f>RD!G455</f>
        <v>23562.568341012353</v>
      </c>
      <c r="H2333" s="102">
        <f>RD!H455</f>
        <v>22461.719762023531</v>
      </c>
      <c r="I2333" s="102">
        <f>RD!I455</f>
        <v>14995.10174965079</v>
      </c>
      <c r="J2333" s="102">
        <f>RD!J455</f>
        <v>16397.09199670051</v>
      </c>
      <c r="K2333" s="1700">
        <f t="shared" si="912"/>
        <v>2.8274665350279222</v>
      </c>
      <c r="L2333" s="679">
        <f t="shared" si="913"/>
        <v>2.6927764779935495</v>
      </c>
      <c r="M2333" s="679">
        <f t="shared" si="914"/>
        <v>2.5418319095441499</v>
      </c>
      <c r="N2333" s="679">
        <f t="shared" si="915"/>
        <v>2.5518359566229578</v>
      </c>
      <c r="O2333" s="679">
        <f t="shared" si="916"/>
        <v>2.6080863493529809</v>
      </c>
      <c r="P2333" s="679">
        <f t="shared" si="917"/>
        <v>2.6049420481909311</v>
      </c>
      <c r="Q2333" s="679">
        <f t="shared" si="918"/>
        <v>2.4655636104766079</v>
      </c>
      <c r="R2333" s="680">
        <f t="shared" si="919"/>
        <v>2.6347765733732245</v>
      </c>
    </row>
    <row r="2334" spans="2:18" s="57" customFormat="1" ht="12.5">
      <c r="B2334" s="681" t="s">
        <v>674</v>
      </c>
      <c r="C2334" s="102">
        <f>RD!C461</f>
        <v>21436.406607378365</v>
      </c>
      <c r="D2334" s="102">
        <f>RD!D461</f>
        <v>20428.611235747867</v>
      </c>
      <c r="E2334" s="102">
        <f>RD!E461</f>
        <v>20453.824660765658</v>
      </c>
      <c r="F2334" s="102">
        <f>RD!F461</f>
        <v>23719.285663403214</v>
      </c>
      <c r="G2334" s="102">
        <f>RD!G461</f>
        <v>25328.378305101018</v>
      </c>
      <c r="H2334" s="102">
        <f>RD!H461</f>
        <v>25673.879830799422</v>
      </c>
      <c r="I2334" s="102">
        <f>RD!I461</f>
        <v>26372.288044062861</v>
      </c>
      <c r="J2334" s="102">
        <f>RD!J461</f>
        <v>34801.477751287144</v>
      </c>
      <c r="K2334" s="1700">
        <f t="shared" si="912"/>
        <v>4.4686597521559301</v>
      </c>
      <c r="L2334" s="679">
        <f t="shared" si="913"/>
        <v>3.1379945478051159</v>
      </c>
      <c r="M2334" s="679">
        <f t="shared" si="914"/>
        <v>2.0790740692765999</v>
      </c>
      <c r="N2334" s="679">
        <f t="shared" si="915"/>
        <v>1.6933777201611337</v>
      </c>
      <c r="O2334" s="679">
        <f t="shared" si="916"/>
        <v>1.2386616230773484</v>
      </c>
      <c r="P2334" s="679">
        <f t="shared" si="917"/>
        <v>0.999611923433817</v>
      </c>
      <c r="Q2334" s="679">
        <f t="shared" si="918"/>
        <v>0.81596168611210329</v>
      </c>
      <c r="R2334" s="680">
        <f t="shared" si="919"/>
        <v>0.79340385097515331</v>
      </c>
    </row>
    <row r="2335" spans="2:18" s="57" customFormat="1" ht="12.5">
      <c r="B2335" s="681" t="s">
        <v>1269</v>
      </c>
      <c r="C2335" s="102">
        <f>RD!C468</f>
        <v>435.28817395807761</v>
      </c>
      <c r="D2335" s="102">
        <f>RD!D468</f>
        <v>277.87968018194812</v>
      </c>
      <c r="E2335" s="102">
        <f>RD!E468</f>
        <v>221.00211103018623</v>
      </c>
      <c r="F2335" s="102">
        <f>RD!F468</f>
        <v>224.77668708197515</v>
      </c>
      <c r="G2335" s="102">
        <f>RD!G468</f>
        <v>238.14729516513577</v>
      </c>
      <c r="H2335" s="102">
        <f>RD!H468</f>
        <v>248.24330471452993</v>
      </c>
      <c r="I2335" s="102">
        <f>RD!I468</f>
        <v>89.836262593182596</v>
      </c>
      <c r="J2335" s="102">
        <f>RD!J468</f>
        <v>13.508851630151613</v>
      </c>
      <c r="K2335" s="1700">
        <f t="shared" si="912"/>
        <v>4.5518894353148549E-2</v>
      </c>
      <c r="L2335" s="679">
        <f t="shared" si="913"/>
        <v>6.4714971347021769E-2</v>
      </c>
      <c r="M2335" s="679">
        <f t="shared" si="914"/>
        <v>7.9239519788065441E-2</v>
      </c>
      <c r="N2335" s="679">
        <f t="shared" si="915"/>
        <v>8.9087718127812576E-2</v>
      </c>
      <c r="O2335" s="679">
        <f t="shared" si="916"/>
        <v>9.2252269015217936E-2</v>
      </c>
      <c r="P2335" s="679">
        <f t="shared" si="917"/>
        <v>9.3710702150678005E-2</v>
      </c>
      <c r="Q2335" s="679">
        <f t="shared" si="918"/>
        <v>8.2253102330066746E-2</v>
      </c>
      <c r="R2335" s="680">
        <f t="shared" si="919"/>
        <v>0.15454583720571574</v>
      </c>
    </row>
    <row r="2336" spans="2:18" s="57" customFormat="1" ht="12.5">
      <c r="B2336" s="681" t="s">
        <v>677</v>
      </c>
      <c r="C2336" s="679">
        <v>68.22843078405667</v>
      </c>
      <c r="D2336" s="679">
        <v>86.139146294022652</v>
      </c>
      <c r="E2336" s="679">
        <v>105.06952854767995</v>
      </c>
      <c r="F2336" s="679">
        <v>127.54909914176847</v>
      </c>
      <c r="G2336" s="679">
        <v>135.70138016515546</v>
      </c>
      <c r="H2336" s="679">
        <v>156.91301855783826</v>
      </c>
      <c r="I2336" s="679">
        <v>199.01446012381408</v>
      </c>
      <c r="J2336" s="102">
        <f>RD!J473</f>
        <v>198.19545210099864</v>
      </c>
      <c r="K2336" s="1700">
        <f t="shared" si="912"/>
        <v>1.1593072403750761E-2</v>
      </c>
      <c r="L2336" s="679">
        <f t="shared" si="913"/>
        <v>1.2399290221265274E-2</v>
      </c>
      <c r="M2336" s="679">
        <f t="shared" si="914"/>
        <v>1.3196670528975716E-2</v>
      </c>
      <c r="N2336" s="679">
        <f t="shared" si="915"/>
        <v>1.3800739623352213E-2</v>
      </c>
      <c r="O2336" s="679">
        <f t="shared" si="916"/>
        <v>1.4146088955285517E-2</v>
      </c>
      <c r="P2336" s="679">
        <f t="shared" si="917"/>
        <v>1.5206606480814349E-2</v>
      </c>
      <c r="Q2336" s="679">
        <f t="shared" si="918"/>
        <v>1.6740150598577905E-2</v>
      </c>
      <c r="R2336" s="680">
        <f t="shared" si="919"/>
        <v>1.8217279044565306E-2</v>
      </c>
    </row>
    <row r="2337" spans="2:18" s="57" customFormat="1" ht="12.5">
      <c r="B2337" s="681" t="s">
        <v>678</v>
      </c>
      <c r="C2337" s="102">
        <f>RD!C479</f>
        <v>0</v>
      </c>
      <c r="D2337" s="102">
        <f>RD!D479</f>
        <v>217.1843074051848</v>
      </c>
      <c r="E2337" s="102">
        <f>RD!E479</f>
        <v>209.11550244789782</v>
      </c>
      <c r="F2337" s="102">
        <f>RD!F479</f>
        <v>243.58735302582483</v>
      </c>
      <c r="G2337" s="102">
        <f>RD!G479</f>
        <v>254.56729454239806</v>
      </c>
      <c r="H2337" s="102">
        <f>RD!H479</f>
        <v>255.18045395409956</v>
      </c>
      <c r="I2337" s="102">
        <f>RD!I479</f>
        <v>219.43354432809258</v>
      </c>
      <c r="J2337" s="102">
        <f>RD!J479</f>
        <v>213.3585888201049</v>
      </c>
      <c r="K2337" s="1700">
        <f t="shared" si="912"/>
        <v>0</v>
      </c>
      <c r="L2337" s="679">
        <f t="shared" si="913"/>
        <v>5.8575231837988614E-2</v>
      </c>
      <c r="M2337" s="679">
        <f t="shared" si="914"/>
        <v>4.7139428689913596E-2</v>
      </c>
      <c r="N2337" s="679">
        <f t="shared" si="915"/>
        <v>5.0921580671586163E-2</v>
      </c>
      <c r="O2337" s="679">
        <f t="shared" si="916"/>
        <v>4.9323200022629986E-2</v>
      </c>
      <c r="P2337" s="679">
        <f t="shared" si="917"/>
        <v>5.0591994265160332E-2</v>
      </c>
      <c r="Q2337" s="679">
        <f t="shared" si="918"/>
        <v>4.1936349879942124E-2</v>
      </c>
      <c r="R2337" s="680">
        <f t="shared" si="919"/>
        <v>4.0176893391954197E-2</v>
      </c>
    </row>
    <row r="2338" spans="2:18" s="57" customFormat="1" ht="12.5">
      <c r="B2338" s="681" t="s">
        <v>2117</v>
      </c>
      <c r="C2338" s="102">
        <f>RD!C485</f>
        <v>3212.2617234575841</v>
      </c>
      <c r="D2338" s="102">
        <f>RD!D485</f>
        <v>3626.4377248753362</v>
      </c>
      <c r="E2338" s="102">
        <f>RD!E485</f>
        <v>3913.0415518492264</v>
      </c>
      <c r="F2338" s="102">
        <f>RD!F485</f>
        <v>4202.4152535031253</v>
      </c>
      <c r="G2338" s="102">
        <f>RD!G485</f>
        <v>4667.8975336431986</v>
      </c>
      <c r="H2338" s="102">
        <f>RD!H485</f>
        <v>5055.6517703192776</v>
      </c>
      <c r="I2338" s="102">
        <f>RD!I485</f>
        <v>5529.7321259301898</v>
      </c>
      <c r="J2338" s="102">
        <f>RD!J485</f>
        <v>6129.5973509414425</v>
      </c>
      <c r="K2338" s="1700">
        <f t="shared" si="912"/>
        <v>0</v>
      </c>
      <c r="L2338" s="679">
        <f t="shared" si="913"/>
        <v>0</v>
      </c>
      <c r="M2338" s="679">
        <f t="shared" si="914"/>
        <v>0</v>
      </c>
      <c r="N2338" s="679">
        <f t="shared" si="915"/>
        <v>0</v>
      </c>
      <c r="O2338" s="679">
        <f t="shared" si="916"/>
        <v>0</v>
      </c>
      <c r="P2338" s="679">
        <f t="shared" si="917"/>
        <v>0</v>
      </c>
      <c r="Q2338" s="679">
        <f t="shared" si="918"/>
        <v>0</v>
      </c>
      <c r="R2338" s="680">
        <f t="shared" si="919"/>
        <v>0</v>
      </c>
    </row>
    <row r="2339" spans="2:18" s="57" customFormat="1" ht="12.5">
      <c r="B2339" s="681" t="s">
        <v>2118</v>
      </c>
      <c r="C2339" s="102">
        <f>RD!C491</f>
        <v>1088.4096218029447</v>
      </c>
      <c r="D2339" s="102">
        <f>RD!D491</f>
        <v>1259.5350530321307</v>
      </c>
      <c r="E2339" s="102">
        <f>RD!E491</f>
        <v>1214.9063013475602</v>
      </c>
      <c r="F2339" s="102">
        <f>RD!F491</f>
        <v>1819.9023488830078</v>
      </c>
      <c r="G2339" s="102">
        <f>RD!G491</f>
        <v>2122.6350685011867</v>
      </c>
      <c r="H2339" s="102">
        <f>RD!H491</f>
        <v>2240.4713939038925</v>
      </c>
      <c r="I2339" s="102">
        <f>RD!I491</f>
        <v>2081.3379913585986</v>
      </c>
      <c r="J2339" s="102">
        <f>RD!J491</f>
        <v>2883.1688253607567</v>
      </c>
      <c r="K2339" s="1700">
        <f t="shared" si="912"/>
        <v>0</v>
      </c>
      <c r="L2339" s="679">
        <f t="shared" si="913"/>
        <v>0</v>
      </c>
      <c r="M2339" s="679">
        <f t="shared" si="914"/>
        <v>0</v>
      </c>
      <c r="N2339" s="679">
        <f t="shared" si="915"/>
        <v>0</v>
      </c>
      <c r="O2339" s="679">
        <f t="shared" si="916"/>
        <v>0</v>
      </c>
      <c r="P2339" s="679">
        <f t="shared" si="917"/>
        <v>0</v>
      </c>
      <c r="Q2339" s="679">
        <f t="shared" si="918"/>
        <v>0</v>
      </c>
      <c r="R2339" s="680">
        <f t="shared" si="919"/>
        <v>0</v>
      </c>
    </row>
    <row r="2340" spans="2:18" s="57" customFormat="1" ht="12.5">
      <c r="B2340" s="681" t="s">
        <v>719</v>
      </c>
      <c r="C2340" s="102">
        <f>RD!C497</f>
        <v>0</v>
      </c>
      <c r="D2340" s="102">
        <f>RD!D497</f>
        <v>0</v>
      </c>
      <c r="E2340" s="102">
        <f>RD!E497</f>
        <v>0</v>
      </c>
      <c r="F2340" s="102">
        <f>RD!F497</f>
        <v>59.434005547054468</v>
      </c>
      <c r="G2340" s="102">
        <f>RD!G497</f>
        <v>168.53390471121537</v>
      </c>
      <c r="H2340" s="102">
        <f>RD!H497</f>
        <v>221.76155324588402</v>
      </c>
      <c r="I2340" s="102">
        <f>RD!I497</f>
        <v>264.65136110539333</v>
      </c>
      <c r="J2340" s="102">
        <f>RD!J497</f>
        <v>391.27708577398272</v>
      </c>
      <c r="K2340" s="1700">
        <f t="shared" si="912"/>
        <v>0</v>
      </c>
      <c r="L2340" s="679">
        <f t="shared" si="913"/>
        <v>0</v>
      </c>
      <c r="M2340" s="679">
        <f t="shared" si="914"/>
        <v>0</v>
      </c>
      <c r="N2340" s="679">
        <f t="shared" si="915"/>
        <v>8.6506462508466622E-2</v>
      </c>
      <c r="O2340" s="679">
        <f t="shared" si="916"/>
        <v>7.8657383094172167E-2</v>
      </c>
      <c r="P2340" s="679">
        <f t="shared" si="917"/>
        <v>8.0794456220934285E-2</v>
      </c>
      <c r="Q2340" s="679">
        <f t="shared" si="918"/>
        <v>8.2259119745037926E-2</v>
      </c>
      <c r="R2340" s="680">
        <f t="shared" si="919"/>
        <v>9.5095567959880764E-2</v>
      </c>
    </row>
    <row r="2341" spans="2:18" s="57" customFormat="1" ht="12.5">
      <c r="B2341" s="684"/>
      <c r="C2341" s="679"/>
      <c r="D2341" s="679"/>
      <c r="E2341" s="679"/>
      <c r="F2341" s="679"/>
      <c r="G2341" s="679"/>
      <c r="H2341" s="679"/>
      <c r="I2341" s="679"/>
      <c r="J2341" s="679"/>
      <c r="K2341" s="1700"/>
      <c r="L2341" s="679"/>
      <c r="M2341" s="679"/>
      <c r="N2341" s="679"/>
      <c r="O2341" s="679"/>
      <c r="P2341" s="679"/>
      <c r="Q2341" s="679"/>
      <c r="R2341" s="656"/>
    </row>
    <row r="2342" spans="2:18" s="57" customFormat="1">
      <c r="B2342" s="689" t="s">
        <v>1053</v>
      </c>
      <c r="C2342" s="679"/>
      <c r="D2342" s="679"/>
      <c r="E2342" s="679"/>
      <c r="F2342" s="679"/>
      <c r="G2342" s="679"/>
      <c r="H2342" s="679"/>
      <c r="I2342" s="679"/>
      <c r="J2342" s="679"/>
      <c r="K2342" s="1700"/>
      <c r="L2342" s="679"/>
      <c r="M2342" s="679"/>
      <c r="N2342" s="679"/>
      <c r="O2342" s="679"/>
      <c r="P2342" s="679"/>
      <c r="Q2342" s="679"/>
      <c r="R2342" s="1708"/>
    </row>
    <row r="2343" spans="2:18" s="57" customFormat="1" ht="12.5">
      <c r="B2343" s="684" t="s">
        <v>2127</v>
      </c>
      <c r="C2343" s="102">
        <f>PY!C596</f>
        <v>0</v>
      </c>
      <c r="D2343" s="102">
        <f>PY!D596</f>
        <v>274358.21282940288</v>
      </c>
      <c r="E2343" s="102">
        <f>PY!E596</f>
        <v>255003.34433338215</v>
      </c>
      <c r="F2343" s="102">
        <f>PY!F596</f>
        <v>321040.87650419015</v>
      </c>
      <c r="G2343" s="102">
        <f>PY!G596</f>
        <v>328798.22841219342</v>
      </c>
      <c r="H2343" s="102">
        <f>PY!H596</f>
        <v>360251.10281394835</v>
      </c>
      <c r="I2343" s="102">
        <f>PY!I596</f>
        <v>439098.64051651955</v>
      </c>
      <c r="J2343" s="102">
        <f>PY!J596</f>
        <v>473407.55927983584</v>
      </c>
      <c r="K2343" s="1700">
        <f t="shared" ref="K2343:K2351" si="920">IFERROR((C2343/C2228/1000),0)</f>
        <v>0</v>
      </c>
      <c r="L2343" s="679">
        <f t="shared" ref="L2343:L2351" si="921">IFERROR((D2343/D2228/1000),0)</f>
        <v>1702.121851956143</v>
      </c>
      <c r="M2343" s="679">
        <f t="shared" ref="M2343:M2351" si="922">IFERROR((E2343/E2228/1000),0)</f>
        <v>1462.2505997063045</v>
      </c>
      <c r="N2343" s="679">
        <f t="shared" ref="N2343:N2351" si="923">IFERROR((F2343/F2228/1000),0)</f>
        <v>1512.2252151664418</v>
      </c>
      <c r="O2343" s="679">
        <f t="shared" ref="O2343:O2351" si="924">IFERROR((G2343/G2228/1000),0)</f>
        <v>1401.6703687171469</v>
      </c>
      <c r="P2343" s="679">
        <f t="shared" ref="P2343:P2351" si="925">IFERROR((H2343/H2228/1000),0)</f>
        <v>1517.0511513717568</v>
      </c>
      <c r="Q2343" s="679">
        <f t="shared" ref="Q2343:Q2351" si="926">IFERROR((I2343/I2228/1000),0)</f>
        <v>1946.7216437303023</v>
      </c>
      <c r="R2343" s="680">
        <f t="shared" ref="R2343:R2351" si="927">IFERROR((J2343/J2228/1000),0)</f>
        <v>1915.3813072444109</v>
      </c>
    </row>
    <row r="2344" spans="2:18" s="57" customFormat="1" ht="12.5">
      <c r="B2344" s="684" t="s">
        <v>2119</v>
      </c>
      <c r="C2344" s="102">
        <f>PY!C605</f>
        <v>0</v>
      </c>
      <c r="D2344" s="102">
        <f>PY!D605</f>
        <v>17648.418473312864</v>
      </c>
      <c r="E2344" s="102">
        <f>PY!E605</f>
        <v>24777.195129098345</v>
      </c>
      <c r="F2344" s="102">
        <f>PY!F605</f>
        <v>33263.126052267951</v>
      </c>
      <c r="G2344" s="102">
        <f>PY!G605</f>
        <v>41242.58647488922</v>
      </c>
      <c r="H2344" s="102">
        <f>PY!H605</f>
        <v>45423.554672131744</v>
      </c>
      <c r="I2344" s="102">
        <f>PY!I605</f>
        <v>49549.149029884022</v>
      </c>
      <c r="J2344" s="102">
        <f>PY!J605</f>
        <v>63675.452867063846</v>
      </c>
      <c r="K2344" s="1700">
        <f t="shared" si="920"/>
        <v>0</v>
      </c>
      <c r="L2344" s="679">
        <f t="shared" si="921"/>
        <v>28.36112405819431</v>
      </c>
      <c r="M2344" s="679">
        <f t="shared" si="922"/>
        <v>20.783657003239817</v>
      </c>
      <c r="N2344" s="679">
        <f t="shared" si="923"/>
        <v>14.977250790112137</v>
      </c>
      <c r="O2344" s="679">
        <f t="shared" si="924"/>
        <v>9.8847095421943791</v>
      </c>
      <c r="P2344" s="679">
        <f t="shared" si="925"/>
        <v>6.8058150662438877</v>
      </c>
      <c r="Q2344" s="679">
        <f t="shared" si="926"/>
        <v>3.9647524675614081</v>
      </c>
      <c r="R2344" s="680">
        <f t="shared" si="927"/>
        <v>2.8402674156330985</v>
      </c>
    </row>
    <row r="2345" spans="2:18" s="57" customFormat="1" ht="12.5">
      <c r="B2345" s="684" t="s">
        <v>489</v>
      </c>
      <c r="C2345" s="102">
        <f>PY!C625</f>
        <v>0</v>
      </c>
      <c r="D2345" s="102">
        <f>PY!D625</f>
        <v>742.2473065887043</v>
      </c>
      <c r="E2345" s="102">
        <f>PY!E625</f>
        <v>954.36294125199731</v>
      </c>
      <c r="F2345" s="102">
        <f>PY!F625</f>
        <v>1099.1516152196302</v>
      </c>
      <c r="G2345" s="102">
        <f>PY!G625</f>
        <v>1179.632505213468</v>
      </c>
      <c r="H2345" s="102">
        <f>PY!H625</f>
        <v>1078.2607301920891</v>
      </c>
      <c r="I2345" s="102">
        <f>PY!I625</f>
        <v>1393.6733621590013</v>
      </c>
      <c r="J2345" s="102">
        <f>PY!J625</f>
        <v>2321.9472018824922</v>
      </c>
      <c r="K2345" s="1700">
        <f t="shared" si="920"/>
        <v>0</v>
      </c>
      <c r="L2345" s="679">
        <f t="shared" si="921"/>
        <v>3.7488563059739706</v>
      </c>
      <c r="M2345" s="679">
        <f t="shared" si="922"/>
        <v>3.6997408113539518</v>
      </c>
      <c r="N2345" s="679">
        <f t="shared" si="923"/>
        <v>3.067873593186381</v>
      </c>
      <c r="O2345" s="679">
        <f t="shared" si="924"/>
        <v>2.3065105022201564</v>
      </c>
      <c r="P2345" s="679">
        <f t="shared" si="925"/>
        <v>2.0469560887763363</v>
      </c>
      <c r="Q2345" s="679">
        <f t="shared" si="926"/>
        <v>0.98282984677871565</v>
      </c>
      <c r="R2345" s="680">
        <f t="shared" si="927"/>
        <v>0.55080147321843165</v>
      </c>
    </row>
    <row r="2346" spans="2:18" s="57" customFormat="1" ht="12.5">
      <c r="B2346" s="684" t="s">
        <v>2120</v>
      </c>
      <c r="C2346" s="102">
        <f>PY!C645</f>
        <v>0</v>
      </c>
      <c r="D2346" s="102">
        <f>PY!D645</f>
        <v>32901.040693107367</v>
      </c>
      <c r="E2346" s="102">
        <f>PY!E645</f>
        <v>32540.462731963671</v>
      </c>
      <c r="F2346" s="102">
        <f>PY!F645</f>
        <v>35324.466549000113</v>
      </c>
      <c r="G2346" s="102">
        <f>PY!G645</f>
        <v>27534.406277891223</v>
      </c>
      <c r="H2346" s="102">
        <f>PY!H645</f>
        <v>25423.176665910869</v>
      </c>
      <c r="I2346" s="102">
        <f>PY!I645</f>
        <v>20968.656345079991</v>
      </c>
      <c r="J2346" s="102">
        <f>PY!J645</f>
        <v>20963.91236146279</v>
      </c>
      <c r="K2346" s="1700">
        <f t="shared" si="920"/>
        <v>0</v>
      </c>
      <c r="L2346" s="679">
        <f t="shared" si="921"/>
        <v>0.23040299909603909</v>
      </c>
      <c r="M2346" s="679">
        <f t="shared" si="922"/>
        <v>0.20888074967919176</v>
      </c>
      <c r="N2346" s="679">
        <f t="shared" si="923"/>
        <v>0.19853500451205425</v>
      </c>
      <c r="O2346" s="679">
        <f t="shared" si="924"/>
        <v>0.25617239961931809</v>
      </c>
      <c r="P2346" s="679">
        <f t="shared" si="925"/>
        <v>0.20897647011751663</v>
      </c>
      <c r="Q2346" s="679">
        <f t="shared" si="926"/>
        <v>0.18623144816823142</v>
      </c>
      <c r="R2346" s="680">
        <f t="shared" si="927"/>
        <v>0.15626005805500445</v>
      </c>
    </row>
    <row r="2347" spans="2:18" s="57" customFormat="1" ht="12.5">
      <c r="B2347" s="684" t="s">
        <v>2121</v>
      </c>
      <c r="C2347" s="102">
        <f>PY!C665</f>
        <v>0</v>
      </c>
      <c r="D2347" s="102">
        <f>PY!D665</f>
        <v>2647.3563404233528</v>
      </c>
      <c r="E2347" s="102">
        <f>PY!E665</f>
        <v>2654.2368696954286</v>
      </c>
      <c r="F2347" s="102">
        <f>PY!F665</f>
        <v>2589.2603983602062</v>
      </c>
      <c r="G2347" s="102">
        <f>PY!G665</f>
        <v>1326.529474012523</v>
      </c>
      <c r="H2347" s="102">
        <f>PY!H665</f>
        <v>1347.0917724837132</v>
      </c>
      <c r="I2347" s="102">
        <f>PY!I665</f>
        <v>1450.2974224613897</v>
      </c>
      <c r="J2347" s="102">
        <f>PY!J665</f>
        <v>1666.9441273962502</v>
      </c>
      <c r="K2347" s="1700">
        <f t="shared" si="920"/>
        <v>0</v>
      </c>
      <c r="L2347" s="679">
        <f t="shared" si="921"/>
        <v>0.11427127017427294</v>
      </c>
      <c r="M2347" s="679">
        <f t="shared" si="922"/>
        <v>0.11431449209122965</v>
      </c>
      <c r="N2347" s="679">
        <f t="shared" si="923"/>
        <v>0.11263041557358029</v>
      </c>
      <c r="O2347" s="679">
        <f t="shared" si="924"/>
        <v>0.10890392088197351</v>
      </c>
      <c r="P2347" s="679">
        <f t="shared" si="925"/>
        <v>9.6778916513770435E-2</v>
      </c>
      <c r="Q2347" s="679">
        <f t="shared" si="926"/>
        <v>8.1067101771416294E-2</v>
      </c>
      <c r="R2347" s="680">
        <f t="shared" si="927"/>
        <v>8.5462266275553742E-2</v>
      </c>
    </row>
    <row r="2348" spans="2:18" s="57" customFormat="1" ht="12.5">
      <c r="B2348" s="684" t="s">
        <v>2122</v>
      </c>
      <c r="C2348" s="102">
        <f>PY!C685</f>
        <v>0</v>
      </c>
      <c r="D2348" s="102">
        <f>PY!D685</f>
        <v>129.55671871932054</v>
      </c>
      <c r="E2348" s="102">
        <f>PY!E685</f>
        <v>133.3413126588103</v>
      </c>
      <c r="F2348" s="102">
        <f>PY!F685</f>
        <v>124.25257230468979</v>
      </c>
      <c r="G2348" s="102">
        <f>PY!G685</f>
        <v>63.232231349766934</v>
      </c>
      <c r="H2348" s="102">
        <f>PY!H685</f>
        <v>62.666545439771006</v>
      </c>
      <c r="I2348" s="102">
        <f>PY!I685</f>
        <v>45.453940371389265</v>
      </c>
      <c r="J2348" s="102">
        <f>PY!J685</f>
        <v>48.651128174084036</v>
      </c>
      <c r="K2348" s="1700">
        <f t="shared" si="920"/>
        <v>0</v>
      </c>
      <c r="L2348" s="679">
        <f t="shared" si="921"/>
        <v>3.5848873833538845E-2</v>
      </c>
      <c r="M2348" s="679">
        <f t="shared" si="922"/>
        <v>3.6481641755886841E-2</v>
      </c>
      <c r="N2348" s="679">
        <f t="shared" si="923"/>
        <v>3.8466002115258108E-2</v>
      </c>
      <c r="O2348" s="679">
        <f t="shared" si="924"/>
        <v>3.5567605512062596E-2</v>
      </c>
      <c r="P2348" s="679">
        <f t="shared" si="925"/>
        <v>3.2955906195268857E-2</v>
      </c>
      <c r="Q2348" s="679">
        <f t="shared" si="926"/>
        <v>3.2976732105154567E-2</v>
      </c>
      <c r="R2348" s="680">
        <f t="shared" si="927"/>
        <v>3.2328156855426407E-2</v>
      </c>
    </row>
    <row r="2349" spans="2:18" s="57" customFormat="1" ht="12.5">
      <c r="B2349" s="684" t="s">
        <v>2123</v>
      </c>
      <c r="C2349" s="102">
        <f>PY!C705</f>
        <v>0</v>
      </c>
      <c r="D2349" s="102">
        <f>PY!D705</f>
        <v>0</v>
      </c>
      <c r="E2349" s="102">
        <f>PY!E705</f>
        <v>61.362864452713303</v>
      </c>
      <c r="F2349" s="102">
        <f>PY!F705</f>
        <v>62.56780391650851</v>
      </c>
      <c r="G2349" s="102">
        <f>PY!G705</f>
        <v>31.639851073296935</v>
      </c>
      <c r="H2349" s="102">
        <f>PY!H705</f>
        <v>31.753971275144242</v>
      </c>
      <c r="I2349" s="102">
        <f>PY!I705</f>
        <v>24.438740741675808</v>
      </c>
      <c r="J2349" s="102">
        <f>PY!J705</f>
        <v>22.076280427562853</v>
      </c>
      <c r="K2349" s="1700">
        <f t="shared" si="920"/>
        <v>0</v>
      </c>
      <c r="L2349" s="679">
        <f t="shared" si="921"/>
        <v>0</v>
      </c>
      <c r="M2349" s="679">
        <f t="shared" si="922"/>
        <v>4.2463651850787161E-2</v>
      </c>
      <c r="N2349" s="679">
        <f t="shared" si="923"/>
        <v>3.9849312415377591E-2</v>
      </c>
      <c r="O2349" s="679">
        <f t="shared" si="924"/>
        <v>3.2009205293174879E-2</v>
      </c>
      <c r="P2349" s="679">
        <f t="shared" si="925"/>
        <v>3.0444434374940547E-2</v>
      </c>
      <c r="Q2349" s="679">
        <f t="shared" si="926"/>
        <v>3.3613239046836503E-2</v>
      </c>
      <c r="R2349" s="680">
        <f t="shared" si="927"/>
        <v>3.7010062846504495E-2</v>
      </c>
    </row>
    <row r="2350" spans="2:18" s="57" customFormat="1" ht="12.5">
      <c r="B2350" s="684" t="s">
        <v>2124</v>
      </c>
      <c r="C2350" s="102">
        <f>PY!C725</f>
        <v>0</v>
      </c>
      <c r="D2350" s="102">
        <f>PY!D725</f>
        <v>18.466341147849352</v>
      </c>
      <c r="E2350" s="102">
        <f>PY!E725</f>
        <v>136.60222538620616</v>
      </c>
      <c r="F2350" s="102">
        <f>PY!F725</f>
        <v>155.38036691057479</v>
      </c>
      <c r="G2350" s="102">
        <f>PY!G725</f>
        <v>52.992963621324321</v>
      </c>
      <c r="H2350" s="102">
        <f>PY!H725</f>
        <v>47.46219671143826</v>
      </c>
      <c r="I2350" s="102">
        <f>PY!I725</f>
        <v>30.482354858124538</v>
      </c>
      <c r="J2350" s="102">
        <f>PY!J725</f>
        <v>21.874028686312801</v>
      </c>
      <c r="K2350" s="1700">
        <f t="shared" si="920"/>
        <v>0</v>
      </c>
      <c r="L2350" s="679">
        <f t="shared" si="921"/>
        <v>2.6999666857006978E-2</v>
      </c>
      <c r="M2350" s="679">
        <f t="shared" si="922"/>
        <v>5.9366821608739108E-2</v>
      </c>
      <c r="N2350" s="679">
        <f t="shared" si="923"/>
        <v>5.251204800578544E-2</v>
      </c>
      <c r="O2350" s="679">
        <f t="shared" si="924"/>
        <v>4.3452562460138719E-2</v>
      </c>
      <c r="P2350" s="679">
        <f t="shared" si="925"/>
        <v>3.4314594242151976E-2</v>
      </c>
      <c r="Q2350" s="679">
        <f t="shared" si="926"/>
        <v>2.7302464159886689E-2</v>
      </c>
      <c r="R2350" s="680">
        <f t="shared" si="927"/>
        <v>2.6573172752138132E-2</v>
      </c>
    </row>
    <row r="2351" spans="2:18" s="57" customFormat="1" ht="12" customHeight="1">
      <c r="B2351" s="1881" t="s">
        <v>2130</v>
      </c>
      <c r="C2351" s="102">
        <f>PY!C745</f>
        <v>0</v>
      </c>
      <c r="D2351" s="102">
        <f>PY!D745</f>
        <v>0</v>
      </c>
      <c r="E2351" s="102">
        <f>PY!E745</f>
        <v>0</v>
      </c>
      <c r="F2351" s="102">
        <f>PY!F745</f>
        <v>0</v>
      </c>
      <c r="G2351" s="102">
        <f>PY!G745</f>
        <v>0</v>
      </c>
      <c r="H2351" s="102">
        <f>PY!H745</f>
        <v>0</v>
      </c>
      <c r="I2351" s="102">
        <f>PY!I745</f>
        <v>1.1787568437715832</v>
      </c>
      <c r="J2351" s="102">
        <f>PY!J745</f>
        <v>12.954924673285173</v>
      </c>
      <c r="K2351" s="1700">
        <f t="shared" si="920"/>
        <v>0</v>
      </c>
      <c r="L2351" s="679">
        <f t="shared" si="921"/>
        <v>0</v>
      </c>
      <c r="M2351" s="679">
        <f t="shared" si="922"/>
        <v>0</v>
      </c>
      <c r="N2351" s="679">
        <f t="shared" si="923"/>
        <v>0</v>
      </c>
      <c r="O2351" s="679">
        <f t="shared" si="924"/>
        <v>0</v>
      </c>
      <c r="P2351" s="679">
        <f t="shared" si="925"/>
        <v>0</v>
      </c>
      <c r="Q2351" s="679">
        <f t="shared" si="926"/>
        <v>1.5855866720986565E-2</v>
      </c>
      <c r="R2351" s="680">
        <f t="shared" si="927"/>
        <v>1.3670435254506019E-2</v>
      </c>
    </row>
    <row r="2352" spans="2:18" s="57" customFormat="1" ht="12.5">
      <c r="B2352" s="1882"/>
      <c r="K2352" s="1703"/>
      <c r="R2352" s="656"/>
    </row>
    <row r="2353" spans="2:18" s="57" customFormat="1">
      <c r="B2353" s="695" t="s">
        <v>1054</v>
      </c>
      <c r="C2353" s="679"/>
      <c r="D2353" s="679"/>
      <c r="E2353" s="679"/>
      <c r="F2353" s="679"/>
      <c r="G2353" s="679"/>
      <c r="H2353" s="679"/>
      <c r="I2353" s="679"/>
      <c r="J2353" s="679"/>
      <c r="K2353" s="1700"/>
      <c r="L2353" s="679"/>
      <c r="M2353" s="679"/>
      <c r="N2353" s="679"/>
      <c r="O2353" s="679"/>
      <c r="P2353" s="679"/>
      <c r="Q2353" s="679"/>
      <c r="R2353" s="1708"/>
    </row>
    <row r="2354" spans="2:18" s="57" customFormat="1" ht="12.5">
      <c r="B2354" s="684" t="s">
        <v>94</v>
      </c>
      <c r="C2354" s="102">
        <f>PE!C364</f>
        <v>1185908.1066799632</v>
      </c>
      <c r="D2354" s="102">
        <f>PE!D364</f>
        <v>907851.93357570039</v>
      </c>
      <c r="E2354" s="102">
        <f>PE!E364</f>
        <v>939471.3260926127</v>
      </c>
      <c r="F2354" s="102">
        <f>PE!F364</f>
        <v>1012089.6863679405</v>
      </c>
      <c r="G2354" s="102">
        <f>PE!G364</f>
        <v>1288327.8795138383</v>
      </c>
      <c r="H2354" s="102">
        <f>PE!H364</f>
        <v>1352205.9398680804</v>
      </c>
      <c r="I2354" s="102">
        <f>PE!I364</f>
        <v>967856.5380153826</v>
      </c>
      <c r="J2354" s="102">
        <f>PE!J364</f>
        <v>971744.40180056123</v>
      </c>
      <c r="K2354" s="1700">
        <f t="shared" ref="K2354:R2355" si="928">IFERROR((C2354/C2239/1000),0)</f>
        <v>1430.2938319889176</v>
      </c>
      <c r="L2354" s="679">
        <f t="shared" si="928"/>
        <v>1154.2378544656463</v>
      </c>
      <c r="M2354" s="679">
        <f t="shared" si="928"/>
        <v>1171.7174398441148</v>
      </c>
      <c r="N2354" s="679">
        <f t="shared" si="928"/>
        <v>1185.8179442972021</v>
      </c>
      <c r="O2354" s="679">
        <f t="shared" si="928"/>
        <v>1341.9536909582198</v>
      </c>
      <c r="P2354" s="679">
        <f t="shared" si="928"/>
        <v>1375.1251507557261</v>
      </c>
      <c r="Q2354" s="679">
        <f t="shared" si="928"/>
        <v>1122.4036659975886</v>
      </c>
      <c r="R2354" s="680">
        <f t="shared" si="928"/>
        <v>1016.2330523670876</v>
      </c>
    </row>
    <row r="2355" spans="2:18" s="57" customFormat="1" ht="12.5">
      <c r="B2355" s="678" t="s">
        <v>1257</v>
      </c>
      <c r="C2355" s="102">
        <f>PE!C373</f>
        <v>80851.767644452862</v>
      </c>
      <c r="D2355" s="102">
        <f>PE!D373</f>
        <v>69301.258863018593</v>
      </c>
      <c r="E2355" s="102">
        <f>PE!E373</f>
        <v>72643.218054385361</v>
      </c>
      <c r="F2355" s="102">
        <f>PE!F373</f>
        <v>76027.270101711751</v>
      </c>
      <c r="G2355" s="102">
        <f>PE!G373</f>
        <v>78763.77823715446</v>
      </c>
      <c r="H2355" s="102">
        <f>PE!H373</f>
        <v>90739.89136994569</v>
      </c>
      <c r="I2355" s="102">
        <f>PE!I373</f>
        <v>75068.602539261279</v>
      </c>
      <c r="J2355" s="102">
        <f>PE!J373</f>
        <v>92993.308447112067</v>
      </c>
      <c r="K2355" s="1700">
        <f t="shared" si="928"/>
        <v>4.8902306423350126</v>
      </c>
      <c r="L2355" s="679">
        <f t="shared" si="928"/>
        <v>3.8133037568128465</v>
      </c>
      <c r="M2355" s="679">
        <f t="shared" si="928"/>
        <v>3.5448363408479184</v>
      </c>
      <c r="N2355" s="679">
        <f t="shared" si="928"/>
        <v>3.0539243715334523</v>
      </c>
      <c r="O2355" s="679">
        <f t="shared" si="928"/>
        <v>2.6054661432725421</v>
      </c>
      <c r="P2355" s="679">
        <f t="shared" si="928"/>
        <v>2.3486905030465635</v>
      </c>
      <c r="Q2355" s="679">
        <f t="shared" si="928"/>
        <v>1.2047630502847844</v>
      </c>
      <c r="R2355" s="680">
        <f t="shared" si="928"/>
        <v>0.88178500433307183</v>
      </c>
    </row>
    <row r="2356" spans="2:18" s="57" customFormat="1">
      <c r="B2356" s="678"/>
      <c r="C2356" s="679"/>
      <c r="D2356" s="679"/>
      <c r="E2356" s="679"/>
      <c r="F2356" s="679"/>
      <c r="G2356" s="679"/>
      <c r="H2356" s="679"/>
      <c r="I2356" s="679"/>
      <c r="J2356" s="679"/>
      <c r="K2356" s="1888"/>
      <c r="L2356"/>
      <c r="M2356"/>
      <c r="N2356"/>
      <c r="O2356"/>
      <c r="P2356"/>
      <c r="Q2356"/>
      <c r="R2356" s="656"/>
    </row>
    <row r="2357" spans="2:18" s="57" customFormat="1" ht="15.75" customHeight="1">
      <c r="B2357" s="685" t="s">
        <v>1055</v>
      </c>
      <c r="C2357" s="679"/>
      <c r="D2357" s="679"/>
      <c r="E2357" s="679"/>
      <c r="F2357" s="679"/>
      <c r="G2357" s="679"/>
      <c r="H2357" s="679"/>
      <c r="I2357" s="679"/>
      <c r="J2357" s="679"/>
      <c r="K2357" s="1700"/>
      <c r="L2357" s="679"/>
      <c r="M2357" s="679"/>
      <c r="N2357" s="679"/>
      <c r="O2357" s="679"/>
      <c r="P2357" s="679"/>
      <c r="Q2357" s="679"/>
      <c r="R2357" s="656"/>
    </row>
    <row r="2358" spans="2:18" s="57" customFormat="1" ht="12.5">
      <c r="B2358" s="684" t="s">
        <v>2126</v>
      </c>
      <c r="C2358" s="102">
        <f>TT!C425</f>
        <v>89136.003167653005</v>
      </c>
      <c r="D2358" s="102">
        <f>TT!D425</f>
        <v>93394.701792085369</v>
      </c>
      <c r="E2358" s="102">
        <f>TT!E425</f>
        <v>79119.226214302776</v>
      </c>
      <c r="F2358" s="102">
        <f>TT!F425</f>
        <v>78392.837536704566</v>
      </c>
      <c r="G2358" s="102">
        <f>TT!G425</f>
        <v>72848.212270666481</v>
      </c>
      <c r="H2358" s="102">
        <f>TT!H425</f>
        <v>55012.522380664712</v>
      </c>
      <c r="I2358" s="102">
        <f>TT!I425</f>
        <v>49195.79876320139</v>
      </c>
      <c r="J2358" s="102">
        <f>TT!J425</f>
        <v>42796.486617074079</v>
      </c>
      <c r="K2358" s="1700">
        <f t="shared" ref="K2358:R2361" si="929">IFERROR((C2358/C2243/1000),0)</f>
        <v>1486.4175824645722</v>
      </c>
      <c r="L2358" s="679">
        <f t="shared" si="929"/>
        <v>1549.8622932639457</v>
      </c>
      <c r="M2358" s="679">
        <f t="shared" si="929"/>
        <v>1282.4460436072029</v>
      </c>
      <c r="N2358" s="679">
        <f t="shared" si="929"/>
        <v>1193.9753192607729</v>
      </c>
      <c r="O2358" s="679">
        <f t="shared" si="929"/>
        <v>1027.1595875844798</v>
      </c>
      <c r="P2358" s="679">
        <f t="shared" si="929"/>
        <v>778.14507518939581</v>
      </c>
      <c r="Q2358" s="679">
        <f t="shared" si="929"/>
        <v>622.55825925946431</v>
      </c>
      <c r="R2358" s="680">
        <f t="shared" si="929"/>
        <v>533.91494856372674</v>
      </c>
    </row>
    <row r="2359" spans="2:18" s="57" customFormat="1">
      <c r="B2359" s="684" t="s">
        <v>1279</v>
      </c>
      <c r="C2359" s="102">
        <f>TT!C434</f>
        <v>3579.5719752272776</v>
      </c>
      <c r="D2359" s="102">
        <f>TT!D434</f>
        <v>4299.0224114208095</v>
      </c>
      <c r="E2359" s="102">
        <f>TT!E434</f>
        <v>4040.7316158230396</v>
      </c>
      <c r="F2359" s="102">
        <f>TT!F434</f>
        <v>4004.7173689843116</v>
      </c>
      <c r="G2359" s="102">
        <f>TT!G434</f>
        <v>4713.8833610465699</v>
      </c>
      <c r="H2359" s="102">
        <f>TT!H434</f>
        <v>5228.5551027767488</v>
      </c>
      <c r="I2359" s="102">
        <f>TT!I434</f>
        <v>6295.4048744868951</v>
      </c>
      <c r="J2359" s="102">
        <f>TT!J434</f>
        <v>8557.3370366714462</v>
      </c>
      <c r="K2359" s="1700">
        <f t="shared" si="929"/>
        <v>0.92129524254382988</v>
      </c>
      <c r="L2359" s="679">
        <f t="shared" si="929"/>
        <v>1.0440452721851929</v>
      </c>
      <c r="M2359" s="679">
        <f t="shared" si="929"/>
        <v>0.94819489945276059</v>
      </c>
      <c r="N2359" s="679">
        <f t="shared" si="929"/>
        <v>0.89833261042572576</v>
      </c>
      <c r="O2359" s="679">
        <f t="shared" si="929"/>
        <v>0.95791790579547953</v>
      </c>
      <c r="P2359" s="679">
        <f t="shared" si="929"/>
        <v>0.96658287351453087</v>
      </c>
      <c r="Q2359" s="679">
        <f t="shared" si="929"/>
        <v>1.0236880114227609</v>
      </c>
      <c r="R2359" s="680">
        <f t="shared" si="929"/>
        <v>1.0838462775483881</v>
      </c>
    </row>
    <row r="2360" spans="2:18" s="57" customFormat="1">
      <c r="B2360" s="684" t="s">
        <v>1280</v>
      </c>
      <c r="C2360" s="102">
        <f>TT!C454</f>
        <v>39137.491902416725</v>
      </c>
      <c r="D2360" s="102">
        <f>TT!D454</f>
        <v>39573.013217007821</v>
      </c>
      <c r="E2360" s="102">
        <f>TT!E454</f>
        <v>29297.446583907036</v>
      </c>
      <c r="F2360" s="102">
        <f>TT!F454</f>
        <v>27681.76341414265</v>
      </c>
      <c r="G2360" s="102">
        <f>TT!G454</f>
        <v>27231.560980607541</v>
      </c>
      <c r="H2360" s="102">
        <f>TT!H454</f>
        <v>26827.581428982961</v>
      </c>
      <c r="I2360" s="102">
        <f>TT!I454</f>
        <v>22821.033829815166</v>
      </c>
      <c r="J2360" s="102">
        <f>TT!J454</f>
        <v>21059.584352106616</v>
      </c>
      <c r="K2360" s="1700">
        <f t="shared" si="929"/>
        <v>4.4044081906104156</v>
      </c>
      <c r="L2360" s="679">
        <f t="shared" si="929"/>
        <v>4.4408858086861036</v>
      </c>
      <c r="M2360" s="679">
        <f t="shared" si="929"/>
        <v>3.5210407834442146</v>
      </c>
      <c r="N2360" s="679">
        <f t="shared" si="929"/>
        <v>3.4340239748754935</v>
      </c>
      <c r="O2360" s="679">
        <f t="shared" si="929"/>
        <v>3.6082615815321053</v>
      </c>
      <c r="P2360" s="679">
        <f t="shared" si="929"/>
        <v>3.7604285156985005</v>
      </c>
      <c r="Q2360" s="679">
        <f t="shared" si="929"/>
        <v>3.7854503021779062</v>
      </c>
      <c r="R2360" s="680">
        <f t="shared" si="929"/>
        <v>3.8055296832848868</v>
      </c>
    </row>
    <row r="2361" spans="2:18" s="57" customFormat="1" ht="12.5">
      <c r="B2361" s="690" t="s">
        <v>1278</v>
      </c>
      <c r="C2361" s="1702">
        <f>TT!C474</f>
        <v>2032.373580054021</v>
      </c>
      <c r="D2361" s="1702">
        <f>TT!D474</f>
        <v>2139.3701934237956</v>
      </c>
      <c r="E2361" s="1702">
        <f>TT!E474</f>
        <v>2165.0848815421555</v>
      </c>
      <c r="F2361" s="1702">
        <f>TT!F474</f>
        <v>2110.2172519264354</v>
      </c>
      <c r="G2361" s="1702">
        <f>TT!G474</f>
        <v>2124.2428720000698</v>
      </c>
      <c r="H2361" s="1702">
        <f>TT!H474</f>
        <v>2244.3540888725001</v>
      </c>
      <c r="I2361" s="1702">
        <f>TT!I474</f>
        <v>2193.3003323837011</v>
      </c>
      <c r="J2361" s="1702">
        <f>TT!J474</f>
        <v>2210.7235450761204</v>
      </c>
      <c r="K2361" s="691">
        <f t="shared" si="929"/>
        <v>6.2251682808361138E-2</v>
      </c>
      <c r="L2361" s="692">
        <f t="shared" si="929"/>
        <v>6.3925518156764324E-2</v>
      </c>
      <c r="M2361" s="692">
        <f t="shared" si="929"/>
        <v>6.0842758646468202E-2</v>
      </c>
      <c r="N2361" s="692">
        <f t="shared" si="929"/>
        <v>5.9812288451442847E-2</v>
      </c>
      <c r="O2361" s="692">
        <f t="shared" si="929"/>
        <v>5.7921737156779868E-2</v>
      </c>
      <c r="P2361" s="692">
        <f t="shared" si="929"/>
        <v>5.7534853567482558E-2</v>
      </c>
      <c r="Q2361" s="692">
        <f t="shared" si="929"/>
        <v>6.1525648246752149E-2</v>
      </c>
      <c r="R2361" s="693">
        <f t="shared" si="929"/>
        <v>6.2190068713741532E-2</v>
      </c>
    </row>
    <row r="2362" spans="2:18" s="57" customFormat="1" ht="12.5">
      <c r="B2362" s="1701"/>
      <c r="C2362" s="679"/>
      <c r="D2362" s="679"/>
      <c r="E2362" s="679"/>
      <c r="F2362" s="679"/>
      <c r="G2362" s="679"/>
      <c r="H2362" s="679"/>
      <c r="I2362" s="679"/>
      <c r="J2362" s="679"/>
      <c r="K2362" s="679"/>
      <c r="L2362" s="679"/>
      <c r="M2362" s="679"/>
      <c r="N2362" s="679"/>
      <c r="O2362" s="679"/>
      <c r="P2362" s="679"/>
      <c r="Q2362" s="679"/>
    </row>
    <row r="2363" spans="2:18" s="57" customFormat="1" ht="12.5"/>
    <row r="2364" spans="2:18" s="57" customFormat="1" ht="13">
      <c r="B2364" s="2158" t="s">
        <v>745</v>
      </c>
      <c r="C2364" s="2158"/>
      <c r="D2364" s="2158"/>
      <c r="E2364" s="2158"/>
      <c r="F2364" s="2158"/>
      <c r="G2364" s="2158"/>
      <c r="H2364" s="2158"/>
      <c r="I2364" s="2158"/>
      <c r="J2364" s="2158"/>
      <c r="K2364" s="2158"/>
      <c r="L2364" s="2158"/>
      <c r="M2364" s="2158"/>
      <c r="N2364" s="2158"/>
      <c r="O2364" s="2158"/>
      <c r="P2364" s="2158"/>
      <c r="Q2364" s="2158"/>
      <c r="R2364" s="2158"/>
    </row>
    <row r="2365" spans="2:18" s="57" customFormat="1" ht="13">
      <c r="B2365" s="2159" t="s">
        <v>332</v>
      </c>
      <c r="C2365" s="2159"/>
      <c r="D2365" s="2159"/>
      <c r="E2365" s="2159"/>
      <c r="F2365" s="2159"/>
      <c r="G2365" s="2159"/>
      <c r="H2365" s="2159"/>
      <c r="I2365" s="2159"/>
      <c r="J2365" s="2159"/>
      <c r="K2365" s="2159"/>
      <c r="L2365" s="2159"/>
      <c r="M2365" s="2159"/>
      <c r="N2365" s="2159"/>
      <c r="O2365" s="2159"/>
      <c r="P2365" s="2159"/>
      <c r="Q2365" s="2159"/>
      <c r="R2365" s="2159"/>
    </row>
    <row r="2366" spans="2:18" s="57" customFormat="1" ht="13">
      <c r="B2366" s="581" t="s">
        <v>1035</v>
      </c>
      <c r="C2366" s="611"/>
      <c r="D2366" s="611"/>
      <c r="E2366" s="644"/>
      <c r="F2366" s="644"/>
      <c r="G2366" s="644"/>
      <c r="H2366" s="644"/>
      <c r="I2366" s="644"/>
      <c r="J2366" s="644"/>
      <c r="K2366" s="644"/>
      <c r="L2366" s="644"/>
      <c r="M2366" s="644"/>
      <c r="N2366" s="644"/>
      <c r="O2366" s="644"/>
      <c r="P2366" s="644"/>
      <c r="Q2366" s="644"/>
    </row>
    <row r="2367" spans="2:18" s="57" customFormat="1" ht="13">
      <c r="B2367" s="612" t="s">
        <v>2141</v>
      </c>
      <c r="C2367" s="613"/>
      <c r="D2367" s="613"/>
      <c r="E2367" s="644"/>
      <c r="F2367" s="644"/>
      <c r="G2367" s="644"/>
      <c r="H2367" s="644"/>
      <c r="I2367" s="644"/>
      <c r="J2367" s="644"/>
      <c r="K2367" s="644"/>
      <c r="L2367" s="644"/>
      <c r="M2367" s="644"/>
      <c r="N2367" s="644"/>
      <c r="O2367" s="644"/>
      <c r="P2367" s="644"/>
      <c r="Q2367" s="644"/>
    </row>
    <row r="2368" spans="2:18" s="57" customFormat="1" ht="13.9" customHeight="1">
      <c r="B2368" s="2233" t="s">
        <v>11</v>
      </c>
      <c r="C2368" s="2230" t="s">
        <v>265</v>
      </c>
      <c r="D2368" s="2231"/>
      <c r="E2368" s="2231"/>
      <c r="F2368" s="2231"/>
      <c r="G2368" s="2231"/>
      <c r="H2368" s="2231"/>
      <c r="I2368" s="2231"/>
      <c r="J2368" s="2232"/>
      <c r="K2368" s="2240" t="s">
        <v>1281</v>
      </c>
      <c r="L2368" s="2241"/>
      <c r="M2368" s="2241"/>
      <c r="N2368" s="2241"/>
      <c r="O2368" s="2241"/>
      <c r="P2368" s="2241"/>
      <c r="Q2368" s="2241"/>
      <c r="R2368" s="2242"/>
    </row>
    <row r="2369" spans="2:18" s="57" customFormat="1" ht="12.5">
      <c r="B2369" s="2234"/>
      <c r="C2369" s="587">
        <v>2014</v>
      </c>
      <c r="D2369" s="588">
        <v>2015</v>
      </c>
      <c r="E2369" s="588">
        <v>2016</v>
      </c>
      <c r="F2369" s="588">
        <v>2017</v>
      </c>
      <c r="G2369" s="588">
        <v>2018</v>
      </c>
      <c r="H2369" s="588">
        <v>2019</v>
      </c>
      <c r="I2369" s="588">
        <v>2020</v>
      </c>
      <c r="J2369" s="588">
        <v>2021</v>
      </c>
      <c r="K2369" s="587">
        <v>2014</v>
      </c>
      <c r="L2369" s="588">
        <v>2015</v>
      </c>
      <c r="M2369" s="588">
        <v>2016</v>
      </c>
      <c r="N2369" s="588">
        <v>2017</v>
      </c>
      <c r="O2369" s="588">
        <v>2018</v>
      </c>
      <c r="P2369" s="588">
        <v>2019</v>
      </c>
      <c r="Q2369" s="588">
        <v>2020</v>
      </c>
      <c r="R2369" s="848">
        <v>2021</v>
      </c>
    </row>
    <row r="2370" spans="2:18" s="57" customFormat="1">
      <c r="B2370" s="696" t="s">
        <v>1038</v>
      </c>
      <c r="C2370" s="697"/>
      <c r="D2370" s="698"/>
      <c r="E2370" s="698"/>
      <c r="F2370" s="698"/>
      <c r="G2370" s="698"/>
      <c r="H2370" s="698"/>
      <c r="I2370" s="698"/>
      <c r="J2370" s="698"/>
      <c r="K2370" s="697"/>
      <c r="L2370" s="698"/>
      <c r="M2370" s="698"/>
      <c r="N2370" s="698"/>
      <c r="O2370" s="698"/>
      <c r="P2370" s="698"/>
      <c r="Q2370" s="698"/>
      <c r="R2370" s="1653"/>
    </row>
    <row r="2371" spans="2:18" s="57" customFormat="1" ht="12.5">
      <c r="B2371" s="1753" t="s">
        <v>95</v>
      </c>
      <c r="C2371" s="1768">
        <f>ARG!C295</f>
        <v>94</v>
      </c>
      <c r="D2371" s="724">
        <f>ARG!D295</f>
        <v>94</v>
      </c>
      <c r="E2371" s="724">
        <f>ARG!E295</f>
        <v>94</v>
      </c>
      <c r="F2371" s="724">
        <f>ARG!F295</f>
        <v>94</v>
      </c>
      <c r="G2371" s="724">
        <f>ARG!G295</f>
        <v>93</v>
      </c>
      <c r="H2371" s="724">
        <f>ARG!H295</f>
        <v>103</v>
      </c>
      <c r="I2371" s="724">
        <f>ARG!I295</f>
        <v>276</v>
      </c>
      <c r="J2371" s="724">
        <f>ARG!J295</f>
        <v>265</v>
      </c>
      <c r="K2371" s="1703">
        <f>ARG!C296</f>
        <v>66</v>
      </c>
      <c r="L2371" s="57">
        <f>ARG!D296</f>
        <v>66</v>
      </c>
      <c r="M2371" s="57">
        <f>ARG!E296</f>
        <v>64</v>
      </c>
      <c r="N2371" s="57">
        <f>ARG!F296</f>
        <v>64</v>
      </c>
      <c r="O2371" s="57">
        <f>ARG!G296</f>
        <v>64</v>
      </c>
      <c r="P2371" s="57">
        <f>ARG!H296</f>
        <v>94</v>
      </c>
      <c r="Q2371" s="57">
        <f>ARG!I296</f>
        <v>94</v>
      </c>
      <c r="R2371" s="656">
        <f>ARG!J296</f>
        <v>96</v>
      </c>
    </row>
    <row r="2372" spans="2:18" s="57" customFormat="1" ht="12.5">
      <c r="B2372" s="1757" t="s">
        <v>93</v>
      </c>
      <c r="C2372" s="1776">
        <f>ARG!C308</f>
        <v>131051</v>
      </c>
      <c r="D2372" s="632">
        <f>ARG!D308</f>
        <v>140051</v>
      </c>
      <c r="E2372" s="632">
        <f>ARG!E308</f>
        <v>153554</v>
      </c>
      <c r="F2372" s="632">
        <f>ARG!F308</f>
        <v>178854</v>
      </c>
      <c r="G2372" s="632">
        <f>ARG!G308</f>
        <v>189426</v>
      </c>
      <c r="H2372" s="632">
        <f>ARG!H308</f>
        <v>197791</v>
      </c>
      <c r="I2372" s="632">
        <f>ARG!I308</f>
        <v>202598</v>
      </c>
      <c r="J2372" s="632">
        <f>ARG!J308</f>
        <v>206818</v>
      </c>
      <c r="K2372" s="1776">
        <f>ARG!C309</f>
        <v>51</v>
      </c>
      <c r="L2372" s="632">
        <f>ARG!D309</f>
        <v>51</v>
      </c>
      <c r="M2372" s="632">
        <f>ARG!E309</f>
        <v>54</v>
      </c>
      <c r="N2372" s="632">
        <f>ARG!F309</f>
        <v>54</v>
      </c>
      <c r="O2372" s="632">
        <f>ARG!G309</f>
        <v>57</v>
      </c>
      <c r="P2372" s="632">
        <f>ARG!H309</f>
        <v>57</v>
      </c>
      <c r="Q2372" s="632">
        <f>ARG!I309</f>
        <v>57</v>
      </c>
      <c r="R2372" s="765">
        <f>ARG!J309</f>
        <v>57</v>
      </c>
    </row>
    <row r="2373" spans="2:18" s="57" customFormat="1" ht="12.5">
      <c r="B2373" s="1757" t="s">
        <v>92</v>
      </c>
      <c r="C2373" s="1768">
        <f>ARG!C321</f>
        <v>299</v>
      </c>
      <c r="D2373" s="724">
        <f>ARG!D321</f>
        <v>298</v>
      </c>
      <c r="E2373" s="724">
        <f>ARG!E321</f>
        <v>280</v>
      </c>
      <c r="F2373" s="724">
        <f>ARG!F321</f>
        <v>277</v>
      </c>
      <c r="G2373" s="724">
        <f>ARG!G321</f>
        <v>250</v>
      </c>
      <c r="H2373" s="724">
        <f>ARG!H321</f>
        <v>247</v>
      </c>
      <c r="I2373" s="724">
        <f>ARG!I321</f>
        <v>249</v>
      </c>
      <c r="J2373" s="724">
        <f>ARG!J321</f>
        <v>250</v>
      </c>
      <c r="K2373" s="1768">
        <f>ARG!C322</f>
        <v>14</v>
      </c>
      <c r="L2373" s="724">
        <f>ARG!D322</f>
        <v>14</v>
      </c>
      <c r="M2373" s="724">
        <f>ARG!E322</f>
        <v>14</v>
      </c>
      <c r="N2373" s="724">
        <f>ARG!F322</f>
        <v>14</v>
      </c>
      <c r="O2373" s="724">
        <f>ARG!G322</f>
        <v>14</v>
      </c>
      <c r="P2373" s="724">
        <f>ARG!H322</f>
        <v>13</v>
      </c>
      <c r="Q2373" s="724">
        <f>ARG!I322</f>
        <v>13</v>
      </c>
      <c r="R2373" s="725">
        <f>ARG!J322</f>
        <v>13</v>
      </c>
    </row>
    <row r="2374" spans="2:18" s="57" customFormat="1" ht="12.5">
      <c r="B2374" s="1757" t="s">
        <v>89</v>
      </c>
      <c r="C2374" s="1776">
        <f>ARG!C334</f>
        <v>52</v>
      </c>
      <c r="D2374" s="632">
        <f>ARG!D334</f>
        <v>53</v>
      </c>
      <c r="E2374" s="632">
        <f>ARG!E334</f>
        <v>53</v>
      </c>
      <c r="F2374" s="632">
        <f>ARG!F334</f>
        <v>44</v>
      </c>
      <c r="G2374" s="632">
        <f>ARG!G334</f>
        <v>68</v>
      </c>
      <c r="H2374" s="632">
        <f>ARG!H334</f>
        <v>68</v>
      </c>
      <c r="I2374" s="632">
        <f>ARG!I334</f>
        <v>68</v>
      </c>
      <c r="J2374" s="632">
        <f>ARG!J334</f>
        <v>69</v>
      </c>
      <c r="K2374" s="1776">
        <f>ARG!C335</f>
        <v>3</v>
      </c>
      <c r="L2374" s="632">
        <f>ARG!D335</f>
        <v>3</v>
      </c>
      <c r="M2374" s="632">
        <f>ARG!E335</f>
        <v>3</v>
      </c>
      <c r="N2374" s="632">
        <f>ARG!F335</f>
        <v>4</v>
      </c>
      <c r="O2374" s="632">
        <f>ARG!G335</f>
        <v>4</v>
      </c>
      <c r="P2374" s="632">
        <f>ARG!H335</f>
        <v>4</v>
      </c>
      <c r="Q2374" s="632">
        <f>ARG!I335</f>
        <v>4</v>
      </c>
      <c r="R2374" s="765">
        <f>ARG!J335</f>
        <v>5</v>
      </c>
    </row>
    <row r="2375" spans="2:18" s="57" customFormat="1" ht="12.5">
      <c r="B2375" s="1753" t="s">
        <v>85</v>
      </c>
      <c r="C2375" s="1768">
        <f>ARG!C349</f>
        <v>63</v>
      </c>
      <c r="D2375" s="724">
        <f>ARG!D349</f>
        <v>63</v>
      </c>
      <c r="E2375" s="724">
        <f>ARG!E349</f>
        <v>68</v>
      </c>
      <c r="F2375" s="724">
        <f>ARG!F349</f>
        <v>70</v>
      </c>
      <c r="G2375" s="724">
        <f>ARG!G349</f>
        <v>70</v>
      </c>
      <c r="H2375" s="724">
        <f>ARG!H349</f>
        <v>70</v>
      </c>
      <c r="I2375" s="724">
        <f>ARG!I349</f>
        <v>69</v>
      </c>
      <c r="J2375" s="724">
        <f>ARG!J349</f>
        <v>69</v>
      </c>
      <c r="K2375" s="1768">
        <f>ARG!C350</f>
        <v>63</v>
      </c>
      <c r="L2375" s="724">
        <f>ARG!D350</f>
        <v>63</v>
      </c>
      <c r="M2375" s="724">
        <f>ARG!E350</f>
        <v>68</v>
      </c>
      <c r="N2375" s="724">
        <f>ARG!F350</f>
        <v>70</v>
      </c>
      <c r="O2375" s="724">
        <f>ARG!G350</f>
        <v>70</v>
      </c>
      <c r="P2375" s="724">
        <f>ARG!H350</f>
        <v>70</v>
      </c>
      <c r="Q2375" s="724">
        <f>ARG!I350</f>
        <v>69</v>
      </c>
      <c r="R2375" s="725">
        <f>ARG!J350</f>
        <v>69</v>
      </c>
    </row>
    <row r="2376" spans="2:18" s="57" customFormat="1" ht="12.5">
      <c r="B2376" s="1752" t="s">
        <v>83</v>
      </c>
      <c r="C2376" s="1768">
        <f>ARG!C375</f>
        <v>34</v>
      </c>
      <c r="D2376" s="724">
        <f>ARG!D375</f>
        <v>34</v>
      </c>
      <c r="E2376" s="724">
        <f>ARG!E375</f>
        <v>34</v>
      </c>
      <c r="F2376" s="724">
        <f>ARG!F375</f>
        <v>36</v>
      </c>
      <c r="G2376" s="724">
        <f>ARG!G375</f>
        <v>39</v>
      </c>
      <c r="H2376" s="724">
        <f>ARG!H375</f>
        <v>40</v>
      </c>
      <c r="I2376" s="724">
        <f>ARG!I375</f>
        <v>40</v>
      </c>
      <c r="J2376" s="724">
        <f>ARG!J375</f>
        <v>40</v>
      </c>
      <c r="K2376" s="1768">
        <f>ARG!C376</f>
        <v>34</v>
      </c>
      <c r="L2376" s="724">
        <f>ARG!D376</f>
        <v>34</v>
      </c>
      <c r="M2376" s="724">
        <f>ARG!E376</f>
        <v>34</v>
      </c>
      <c r="N2376" s="724">
        <f>ARG!F376</f>
        <v>36</v>
      </c>
      <c r="O2376" s="724">
        <f>ARG!G376</f>
        <v>39</v>
      </c>
      <c r="P2376" s="724">
        <f>ARG!H376</f>
        <v>40</v>
      </c>
      <c r="Q2376" s="724">
        <f>ARG!I376</f>
        <v>40</v>
      </c>
      <c r="R2376" s="725">
        <f>ARG!J376</f>
        <v>40</v>
      </c>
    </row>
    <row r="2377" spans="2:18" s="57" customFormat="1" ht="12.5">
      <c r="B2377" s="1752" t="s">
        <v>299</v>
      </c>
      <c r="C2377" s="1889" t="s">
        <v>2131</v>
      </c>
      <c r="D2377" s="705" t="s">
        <v>2131</v>
      </c>
      <c r="E2377" s="705" t="s">
        <v>2131</v>
      </c>
      <c r="F2377" s="705" t="s">
        <v>2131</v>
      </c>
      <c r="G2377" s="705" t="s">
        <v>2131</v>
      </c>
      <c r="H2377" s="705" t="s">
        <v>2131</v>
      </c>
      <c r="I2377" s="705" t="s">
        <v>2131</v>
      </c>
      <c r="J2377" s="705" t="s">
        <v>2131</v>
      </c>
      <c r="K2377" s="1889" t="s">
        <v>2131</v>
      </c>
      <c r="L2377" s="705" t="s">
        <v>2131</v>
      </c>
      <c r="M2377" s="705" t="s">
        <v>2131</v>
      </c>
      <c r="N2377" s="705" t="s">
        <v>2131</v>
      </c>
      <c r="O2377" s="705" t="s">
        <v>2131</v>
      </c>
      <c r="P2377" s="705" t="s">
        <v>2131</v>
      </c>
      <c r="Q2377" s="705" t="s">
        <v>2131</v>
      </c>
      <c r="R2377" s="1709" t="s">
        <v>2131</v>
      </c>
    </row>
    <row r="2378" spans="2:18" s="57" customFormat="1" ht="12.5">
      <c r="B2378" s="1752" t="s">
        <v>315</v>
      </c>
      <c r="C2378" s="1889" t="s">
        <v>2131</v>
      </c>
      <c r="D2378" s="705" t="s">
        <v>2131</v>
      </c>
      <c r="E2378" s="705" t="s">
        <v>2131</v>
      </c>
      <c r="F2378" s="705" t="s">
        <v>2131</v>
      </c>
      <c r="G2378" s="705" t="s">
        <v>2131</v>
      </c>
      <c r="H2378" s="705" t="s">
        <v>2131</v>
      </c>
      <c r="I2378" s="705" t="s">
        <v>2131</v>
      </c>
      <c r="J2378" s="705" t="s">
        <v>2131</v>
      </c>
      <c r="K2378" s="1889" t="s">
        <v>2131</v>
      </c>
      <c r="L2378" s="705" t="s">
        <v>2131</v>
      </c>
      <c r="M2378" s="705" t="s">
        <v>2131</v>
      </c>
      <c r="N2378" s="705" t="s">
        <v>2131</v>
      </c>
      <c r="O2378" s="705" t="s">
        <v>2131</v>
      </c>
      <c r="P2378" s="705" t="s">
        <v>2131</v>
      </c>
      <c r="Q2378" s="705" t="s">
        <v>2131</v>
      </c>
      <c r="R2378" s="1709" t="s">
        <v>2131</v>
      </c>
    </row>
    <row r="2379" spans="2:18" s="57" customFormat="1" ht="12.5">
      <c r="B2379" s="1753" t="s">
        <v>300</v>
      </c>
      <c r="C2379" s="1768">
        <f>ARG!C362</f>
        <v>15</v>
      </c>
      <c r="D2379" s="724">
        <f>ARG!D362</f>
        <v>15</v>
      </c>
      <c r="E2379" s="724">
        <f>ARG!E362</f>
        <v>15</v>
      </c>
      <c r="F2379" s="724">
        <f>ARG!F362</f>
        <v>17</v>
      </c>
      <c r="G2379" s="724">
        <f>ARG!G362</f>
        <v>21</v>
      </c>
      <c r="H2379" s="724">
        <f>ARG!H362</f>
        <v>21</v>
      </c>
      <c r="I2379" s="724">
        <f>ARG!I362</f>
        <v>21</v>
      </c>
      <c r="J2379" s="724">
        <f>ARG!J362</f>
        <v>23</v>
      </c>
      <c r="K2379" s="1768">
        <f>ARG!C363</f>
        <v>15</v>
      </c>
      <c r="L2379" s="724">
        <f>ARG!D363</f>
        <v>15</v>
      </c>
      <c r="M2379" s="724">
        <f>ARG!E363</f>
        <v>15</v>
      </c>
      <c r="N2379" s="724">
        <f>ARG!F363</f>
        <v>17</v>
      </c>
      <c r="O2379" s="724">
        <f>ARG!G363</f>
        <v>21</v>
      </c>
      <c r="P2379" s="724">
        <f>ARG!H363</f>
        <v>21</v>
      </c>
      <c r="Q2379" s="724">
        <f>ARG!I363</f>
        <v>21</v>
      </c>
      <c r="R2379" s="725">
        <f>ARG!J363</f>
        <v>23</v>
      </c>
    </row>
    <row r="2380" spans="2:18" s="57" customFormat="1" ht="12.5">
      <c r="B2380" s="1753"/>
      <c r="C2380" s="1768"/>
      <c r="D2380" s="724"/>
      <c r="E2380" s="724"/>
      <c r="F2380" s="724"/>
      <c r="G2380" s="724"/>
      <c r="H2380" s="724"/>
      <c r="I2380" s="724"/>
      <c r="J2380" s="724"/>
      <c r="K2380" s="1768"/>
      <c r="L2380" s="724"/>
      <c r="M2380" s="724"/>
      <c r="N2380" s="724"/>
      <c r="O2380" s="724"/>
      <c r="P2380" s="724"/>
      <c r="Q2380" s="724"/>
      <c r="R2380" s="725"/>
    </row>
    <row r="2381" spans="2:18" s="57" customFormat="1" ht="13">
      <c r="B2381" s="1705" t="s">
        <v>1039</v>
      </c>
      <c r="C2381" s="1768"/>
      <c r="D2381" s="724"/>
      <c r="E2381" s="724"/>
      <c r="F2381" s="724"/>
      <c r="G2381" s="724"/>
      <c r="H2381" s="724"/>
      <c r="I2381" s="724"/>
      <c r="J2381" s="724"/>
      <c r="K2381" s="1768"/>
      <c r="L2381" s="724"/>
      <c r="M2381" s="724"/>
      <c r="N2381" s="724"/>
      <c r="O2381" s="724"/>
      <c r="P2381" s="724"/>
      <c r="Q2381" s="724"/>
      <c r="R2381" s="725"/>
    </row>
    <row r="2382" spans="2:18" s="57" customFormat="1" ht="12.5">
      <c r="B2382" s="1704" t="s">
        <v>94</v>
      </c>
      <c r="C2382" s="1766">
        <f>BA!C283</f>
        <v>14</v>
      </c>
      <c r="D2382" s="701">
        <f>BA!D283</f>
        <v>14</v>
      </c>
      <c r="E2382" s="701">
        <f>BA!E283</f>
        <v>14</v>
      </c>
      <c r="F2382" s="701">
        <f>BA!F283</f>
        <v>14</v>
      </c>
      <c r="G2382" s="701">
        <f>BA!G283</f>
        <v>14</v>
      </c>
      <c r="H2382" s="701">
        <f>BA!H283</f>
        <v>14</v>
      </c>
      <c r="I2382" s="701">
        <f>BA!I283</f>
        <v>14</v>
      </c>
      <c r="J2382" s="701">
        <f>BA!J283</f>
        <v>14</v>
      </c>
      <c r="K2382" s="1766">
        <f>BA!C284</f>
        <v>0</v>
      </c>
      <c r="L2382" s="701">
        <f>BA!D284</f>
        <v>0</v>
      </c>
      <c r="M2382" s="701">
        <f>BA!E284</f>
        <v>0</v>
      </c>
      <c r="N2382" s="701">
        <f>BA!F284</f>
        <v>0</v>
      </c>
      <c r="O2382" s="701">
        <f>BA!G284</f>
        <v>0</v>
      </c>
      <c r="P2382" s="701">
        <f>BA!H284</f>
        <v>0</v>
      </c>
      <c r="Q2382" s="701">
        <f>BA!I284</f>
        <v>0</v>
      </c>
      <c r="R2382" s="707">
        <f>BA!J284</f>
        <v>0</v>
      </c>
    </row>
    <row r="2383" spans="2:18" s="57" customFormat="1" ht="12.5">
      <c r="B2383" s="1704" t="s">
        <v>489</v>
      </c>
      <c r="C2383" s="1766">
        <f>BA!C283</f>
        <v>14</v>
      </c>
      <c r="D2383" s="701">
        <f>BA!D283</f>
        <v>14</v>
      </c>
      <c r="E2383" s="701">
        <f>BA!E283</f>
        <v>14</v>
      </c>
      <c r="F2383" s="701">
        <f>BA!F283</f>
        <v>14</v>
      </c>
      <c r="G2383" s="701">
        <f>BA!G283</f>
        <v>14</v>
      </c>
      <c r="H2383" s="701">
        <f>BA!H283</f>
        <v>14</v>
      </c>
      <c r="I2383" s="701">
        <f>BA!I283</f>
        <v>14</v>
      </c>
      <c r="J2383" s="701">
        <f>BA!J283</f>
        <v>14</v>
      </c>
      <c r="K2383" s="1766">
        <f>BA!C284</f>
        <v>0</v>
      </c>
      <c r="L2383" s="701">
        <f>BA!D284</f>
        <v>0</v>
      </c>
      <c r="M2383" s="701">
        <f>BA!E284</f>
        <v>0</v>
      </c>
      <c r="N2383" s="701">
        <f>BA!F284</f>
        <v>0</v>
      </c>
      <c r="O2383" s="701">
        <f>BA!G284</f>
        <v>0</v>
      </c>
      <c r="P2383" s="701">
        <f>BA!H284</f>
        <v>0</v>
      </c>
      <c r="Q2383" s="701">
        <f>BA!I284</f>
        <v>0</v>
      </c>
      <c r="R2383" s="707">
        <f>BA!J284</f>
        <v>0</v>
      </c>
    </row>
    <row r="2384" spans="2:18" s="57" customFormat="1" ht="12.5">
      <c r="B2384" s="1753"/>
      <c r="C2384" s="1766"/>
      <c r="D2384" s="701"/>
      <c r="E2384" s="701"/>
      <c r="F2384" s="701"/>
      <c r="G2384" s="701"/>
      <c r="H2384" s="701"/>
      <c r="I2384" s="701"/>
      <c r="J2384" s="701"/>
      <c r="K2384" s="1766"/>
      <c r="L2384" s="701"/>
      <c r="M2384" s="701"/>
      <c r="N2384" s="701"/>
      <c r="O2384" s="701"/>
      <c r="P2384" s="701"/>
      <c r="Q2384" s="701"/>
      <c r="R2384" s="656"/>
    </row>
    <row r="2385" spans="2:18" s="57" customFormat="1">
      <c r="B2385" s="1754" t="s">
        <v>1040</v>
      </c>
      <c r="C2385" s="1766"/>
      <c r="D2385" s="701"/>
      <c r="E2385" s="701"/>
      <c r="F2385" s="701"/>
      <c r="G2385" s="701"/>
      <c r="H2385" s="701"/>
      <c r="I2385" s="701"/>
      <c r="J2385" s="701"/>
      <c r="K2385" s="1766"/>
      <c r="L2385" s="701"/>
      <c r="M2385" s="701"/>
      <c r="N2385" s="701"/>
      <c r="O2385" s="701"/>
      <c r="P2385" s="701"/>
      <c r="Q2385" s="701"/>
      <c r="R2385" s="1708"/>
    </row>
    <row r="2386" spans="2:18" s="57" customFormat="1" ht="12.5">
      <c r="B2386" s="1753" t="s">
        <v>1262</v>
      </c>
      <c r="C2386" s="1768">
        <f>BO!C281</f>
        <v>24</v>
      </c>
      <c r="D2386" s="724">
        <f>BO!D281</f>
        <v>52</v>
      </c>
      <c r="E2386" s="724">
        <f>BO!E281</f>
        <v>91</v>
      </c>
      <c r="F2386" s="724">
        <f>BO!F281</f>
        <v>90</v>
      </c>
      <c r="G2386" s="724">
        <f>BO!G281</f>
        <v>88</v>
      </c>
      <c r="H2386" s="724">
        <f>BO!H281</f>
        <v>90</v>
      </c>
      <c r="I2386" s="724">
        <f>BO!I281</f>
        <v>90</v>
      </c>
      <c r="J2386" s="724">
        <f>BO!J281</f>
        <v>95</v>
      </c>
      <c r="K2386" s="1766">
        <f>BO!C282</f>
        <v>24</v>
      </c>
      <c r="L2386" s="701">
        <f>BO!D282</f>
        <v>52</v>
      </c>
      <c r="M2386" s="701">
        <f>BO!E282</f>
        <v>91</v>
      </c>
      <c r="N2386" s="701">
        <f>BO!F282</f>
        <v>90</v>
      </c>
      <c r="O2386" s="701">
        <f>BO!G282</f>
        <v>88</v>
      </c>
      <c r="P2386" s="701">
        <f>BO!H282</f>
        <v>90</v>
      </c>
      <c r="Q2386" s="701">
        <f>BO!I282</f>
        <v>90</v>
      </c>
      <c r="R2386" s="707">
        <f>BO!J282</f>
        <v>95</v>
      </c>
    </row>
    <row r="2387" spans="2:18" s="57" customFormat="1" ht="12.5">
      <c r="B2387" s="1753" t="s">
        <v>489</v>
      </c>
      <c r="C2387" s="1768">
        <f>BO!C296</f>
        <v>16</v>
      </c>
      <c r="D2387" s="724">
        <f>BO!D296</f>
        <v>16</v>
      </c>
      <c r="E2387" s="724">
        <f>BO!E296</f>
        <v>19</v>
      </c>
      <c r="F2387" s="724">
        <f>BO!F296</f>
        <v>20</v>
      </c>
      <c r="G2387" s="724">
        <f>BO!G296</f>
        <v>23</v>
      </c>
      <c r="H2387" s="724">
        <f>BO!H296</f>
        <v>24</v>
      </c>
      <c r="I2387" s="724">
        <f>BO!I296</f>
        <v>25</v>
      </c>
      <c r="J2387" s="724">
        <f>BO!J296</f>
        <v>29</v>
      </c>
      <c r="K2387" s="1768">
        <f>BO!C297</f>
        <v>16</v>
      </c>
      <c r="L2387" s="724">
        <f>BO!D297</f>
        <v>16</v>
      </c>
      <c r="M2387" s="724">
        <f>BO!E297</f>
        <v>19</v>
      </c>
      <c r="N2387" s="724">
        <f>BO!F297</f>
        <v>20</v>
      </c>
      <c r="O2387" s="724">
        <f>BO!G297</f>
        <v>23</v>
      </c>
      <c r="P2387" s="724">
        <f>BO!H297</f>
        <v>24</v>
      </c>
      <c r="Q2387" s="724">
        <f>BO!I297</f>
        <v>25</v>
      </c>
      <c r="R2387" s="725">
        <f>BO!J297</f>
        <v>29</v>
      </c>
    </row>
    <row r="2388" spans="2:18" s="57" customFormat="1" ht="12.5">
      <c r="B2388" s="1753" t="s">
        <v>1263</v>
      </c>
      <c r="C2388" s="1768">
        <f>BO!C322</f>
        <v>16</v>
      </c>
      <c r="D2388" s="724">
        <f>BO!D322</f>
        <v>16</v>
      </c>
      <c r="E2388" s="724">
        <f>BO!E322</f>
        <v>17</v>
      </c>
      <c r="F2388" s="724">
        <f>BO!F322</f>
        <v>17</v>
      </c>
      <c r="G2388" s="724">
        <f>BO!G322</f>
        <v>17</v>
      </c>
      <c r="H2388" s="724">
        <f>BO!H322</f>
        <v>17</v>
      </c>
      <c r="I2388" s="724">
        <f>BO!I322</f>
        <v>16</v>
      </c>
      <c r="J2388" s="724">
        <f>BO!J322</f>
        <v>16</v>
      </c>
      <c r="K2388" s="1768">
        <f>BO!C323</f>
        <v>16</v>
      </c>
      <c r="L2388" s="724">
        <f>BO!D323</f>
        <v>16</v>
      </c>
      <c r="M2388" s="724">
        <f>BO!E323</f>
        <v>17</v>
      </c>
      <c r="N2388" s="724">
        <f>BO!F323</f>
        <v>17</v>
      </c>
      <c r="O2388" s="724">
        <f>BO!G323</f>
        <v>17</v>
      </c>
      <c r="P2388" s="724">
        <f>BO!H323</f>
        <v>17</v>
      </c>
      <c r="Q2388" s="724">
        <f>BO!I323</f>
        <v>16</v>
      </c>
      <c r="R2388" s="725">
        <f>BO!J323</f>
        <v>16</v>
      </c>
    </row>
    <row r="2389" spans="2:18" s="57" customFormat="1" ht="12.5">
      <c r="B2389" s="1753" t="s">
        <v>2116</v>
      </c>
      <c r="C2389" s="1768">
        <f>BO!C309</f>
        <v>0</v>
      </c>
      <c r="D2389" s="724">
        <f>BO!D309</f>
        <v>0</v>
      </c>
      <c r="E2389" s="724">
        <f>BO!E309</f>
        <v>0</v>
      </c>
      <c r="F2389" s="724">
        <f>BO!F309</f>
        <v>0</v>
      </c>
      <c r="G2389" s="724">
        <f>BO!G309</f>
        <v>0</v>
      </c>
      <c r="H2389" s="724">
        <f>BO!H309</f>
        <v>0</v>
      </c>
      <c r="I2389" s="724">
        <f>BO!I309</f>
        <v>1</v>
      </c>
      <c r="J2389" s="724" t="str">
        <f>BO!J309</f>
        <v>0</v>
      </c>
      <c r="K2389" s="1768">
        <f>BO!C310</f>
        <v>0</v>
      </c>
      <c r="L2389" s="724">
        <f>BO!D310</f>
        <v>0</v>
      </c>
      <c r="M2389" s="724">
        <f>BO!E310</f>
        <v>0</v>
      </c>
      <c r="N2389" s="724">
        <f>BO!F310</f>
        <v>0</v>
      </c>
      <c r="O2389" s="724">
        <f>BO!G310</f>
        <v>0</v>
      </c>
      <c r="P2389" s="724">
        <f>BO!H310</f>
        <v>0</v>
      </c>
      <c r="Q2389" s="724">
        <f>BO!I310</f>
        <v>1</v>
      </c>
      <c r="R2389" s="725">
        <f>BO!J310</f>
        <v>1</v>
      </c>
    </row>
    <row r="2390" spans="2:18" s="57" customFormat="1" ht="12.5">
      <c r="B2390" s="1753" t="s">
        <v>2128</v>
      </c>
      <c r="C2390" s="1768">
        <f>BO!C336</f>
        <v>17</v>
      </c>
      <c r="D2390" s="724">
        <f>BO!D336</f>
        <v>17</v>
      </c>
      <c r="E2390" s="724">
        <f>BO!E336</f>
        <v>17</v>
      </c>
      <c r="F2390" s="724">
        <f>BO!F336</f>
        <v>17</v>
      </c>
      <c r="G2390" s="724">
        <f>BO!G336</f>
        <v>17</v>
      </c>
      <c r="H2390" s="724">
        <f>BO!H336</f>
        <v>17</v>
      </c>
      <c r="I2390" s="724">
        <f>BO!I336</f>
        <v>19</v>
      </c>
      <c r="J2390" s="724">
        <f>BO!J336</f>
        <v>18</v>
      </c>
      <c r="K2390" s="1768">
        <f>BO!C337</f>
        <v>17</v>
      </c>
      <c r="L2390" s="724">
        <f>BO!D337</f>
        <v>17</v>
      </c>
      <c r="M2390" s="724">
        <f>BO!E337</f>
        <v>17</v>
      </c>
      <c r="N2390" s="724">
        <f>BO!F337</f>
        <v>17</v>
      </c>
      <c r="O2390" s="724">
        <f>BO!G337</f>
        <v>17</v>
      </c>
      <c r="P2390" s="724">
        <f>BO!H337</f>
        <v>17</v>
      </c>
      <c r="Q2390" s="724">
        <f>BO!I337</f>
        <v>19</v>
      </c>
      <c r="R2390" s="725">
        <f>BO!J337</f>
        <v>18</v>
      </c>
    </row>
    <row r="2391" spans="2:18" s="57" customFormat="1" ht="12.5">
      <c r="B2391" s="1753" t="s">
        <v>2129</v>
      </c>
      <c r="C2391" s="1768">
        <f>BO!C349</f>
        <v>0</v>
      </c>
      <c r="D2391" s="724">
        <f>BO!D349</f>
        <v>6</v>
      </c>
      <c r="E2391" s="724">
        <f>BO!E349</f>
        <v>6</v>
      </c>
      <c r="F2391" s="724">
        <f>BO!F349</f>
        <v>7</v>
      </c>
      <c r="G2391" s="724">
        <f>BO!G349</f>
        <v>7</v>
      </c>
      <c r="H2391" s="724">
        <f>BO!H349</f>
        <v>7</v>
      </c>
      <c r="I2391" s="724">
        <f>BO!I349</f>
        <v>7</v>
      </c>
      <c r="J2391" s="724">
        <f>BO!J349</f>
        <v>7</v>
      </c>
      <c r="K2391" s="1768">
        <f>BO!C350</f>
        <v>0</v>
      </c>
      <c r="L2391" s="724">
        <f>BO!D350</f>
        <v>6</v>
      </c>
      <c r="M2391" s="724">
        <f>BO!E350</f>
        <v>6</v>
      </c>
      <c r="N2391" s="724">
        <f>BO!F350</f>
        <v>6</v>
      </c>
      <c r="O2391" s="724">
        <f>BO!G350</f>
        <v>6</v>
      </c>
      <c r="P2391" s="724">
        <f>BO!H350</f>
        <v>6</v>
      </c>
      <c r="Q2391" s="724">
        <f>BO!I350</f>
        <v>6</v>
      </c>
      <c r="R2391" s="725">
        <f>BO!J350</f>
        <v>6</v>
      </c>
    </row>
    <row r="2392" spans="2:18" s="57" customFormat="1" ht="12.5">
      <c r="B2392" s="1753"/>
      <c r="C2392" s="1766"/>
      <c r="D2392" s="701"/>
      <c r="E2392" s="701"/>
      <c r="F2392" s="701"/>
      <c r="G2392" s="701"/>
      <c r="H2392" s="701"/>
      <c r="I2392" s="701"/>
      <c r="J2392" s="701"/>
      <c r="K2392" s="1703"/>
      <c r="R2392" s="656"/>
    </row>
    <row r="2393" spans="2:18" s="57" customFormat="1">
      <c r="B2393" s="1754" t="s">
        <v>1041</v>
      </c>
      <c r="C2393" s="1766"/>
      <c r="D2393" s="701"/>
      <c r="E2393" s="701"/>
      <c r="F2393" s="701"/>
      <c r="G2393" s="701"/>
      <c r="H2393" s="701"/>
      <c r="I2393" s="701"/>
      <c r="J2393" s="701"/>
      <c r="K2393" s="1766"/>
      <c r="L2393" s="701"/>
      <c r="M2393" s="701"/>
      <c r="N2393" s="701"/>
      <c r="O2393" s="701"/>
      <c r="P2393" s="701"/>
      <c r="Q2393" s="701"/>
      <c r="R2393" s="1708"/>
    </row>
    <row r="2394" spans="2:18" s="57" customFormat="1" ht="12.5">
      <c r="B2394" s="1753" t="s">
        <v>940</v>
      </c>
      <c r="C2394" s="1768">
        <f>BR!C290</f>
        <v>172</v>
      </c>
      <c r="D2394" s="724">
        <f>BR!D290</f>
        <v>181</v>
      </c>
      <c r="E2394" s="724">
        <f>BR!E290</f>
        <v>187</v>
      </c>
      <c r="F2394" s="724">
        <f>BR!F290</f>
        <v>197</v>
      </c>
      <c r="G2394" s="724">
        <f>BR!G290</f>
        <v>214</v>
      </c>
      <c r="H2394" s="724">
        <f>BR!H290</f>
        <v>233</v>
      </c>
      <c r="I2394" s="724">
        <f>BR!I290</f>
        <v>269</v>
      </c>
      <c r="J2394" s="724">
        <f>BR!J290</f>
        <v>316</v>
      </c>
      <c r="K2394" s="1768">
        <f>BR!C291</f>
        <v>172</v>
      </c>
      <c r="L2394" s="724">
        <f>BR!D291</f>
        <v>181</v>
      </c>
      <c r="M2394" s="724">
        <f>BR!E291</f>
        <v>187</v>
      </c>
      <c r="N2394" s="724">
        <f>BR!F291</f>
        <v>197</v>
      </c>
      <c r="O2394" s="724">
        <f>BR!G291</f>
        <v>214</v>
      </c>
      <c r="P2394" s="724">
        <f>BR!H291</f>
        <v>233</v>
      </c>
      <c r="Q2394" s="724">
        <f>BR!I291</f>
        <v>269</v>
      </c>
      <c r="R2394" s="725">
        <f>BR!J291</f>
        <v>316</v>
      </c>
    </row>
    <row r="2395" spans="2:18" s="57" customFormat="1" ht="12.5">
      <c r="B2395" s="1753" t="s">
        <v>984</v>
      </c>
      <c r="C2395" s="1768">
        <f>BR!C331</f>
        <v>102</v>
      </c>
      <c r="D2395" s="724">
        <f>BR!D331</f>
        <v>101</v>
      </c>
      <c r="E2395" s="724">
        <f>BR!E331</f>
        <v>101</v>
      </c>
      <c r="F2395" s="724">
        <f>BR!F331</f>
        <v>97</v>
      </c>
      <c r="G2395" s="724">
        <f>BR!G331</f>
        <v>96</v>
      </c>
      <c r="H2395" s="724">
        <f>BR!H331</f>
        <v>102</v>
      </c>
      <c r="I2395" s="724">
        <f>BR!I331</f>
        <v>102</v>
      </c>
      <c r="J2395" s="724">
        <f>BR!J331</f>
        <v>104</v>
      </c>
      <c r="K2395" s="1768">
        <f>BR!C332</f>
        <v>102</v>
      </c>
      <c r="L2395" s="724">
        <f>BR!D332</f>
        <v>101</v>
      </c>
      <c r="M2395" s="724">
        <f>BR!E332</f>
        <v>101</v>
      </c>
      <c r="N2395" s="724">
        <f>BR!F332</f>
        <v>97</v>
      </c>
      <c r="O2395" s="724">
        <f>BR!G332</f>
        <v>96</v>
      </c>
      <c r="P2395" s="724">
        <f>BR!H332</f>
        <v>102</v>
      </c>
      <c r="Q2395" s="724">
        <f>BR!I332</f>
        <v>102</v>
      </c>
      <c r="R2395" s="725">
        <f>BR!J332</f>
        <v>104</v>
      </c>
    </row>
    <row r="2396" spans="2:18" s="57" customFormat="1" ht="12.5">
      <c r="B2396" s="1753" t="s">
        <v>942</v>
      </c>
      <c r="C2396" s="1768">
        <f>BR!C316</f>
        <v>76</v>
      </c>
      <c r="D2396" s="724">
        <f>BR!D316</f>
        <v>77</v>
      </c>
      <c r="E2396" s="724">
        <f>BR!E316</f>
        <v>80</v>
      </c>
      <c r="F2396" s="724">
        <f>BR!F316</f>
        <v>72</v>
      </c>
      <c r="G2396" s="724">
        <f>BR!G316</f>
        <v>75</v>
      </c>
      <c r="H2396" s="724">
        <f>BR!H316</f>
        <v>81</v>
      </c>
      <c r="I2396" s="724">
        <f>BR!I316</f>
        <v>82</v>
      </c>
      <c r="J2396" s="724">
        <f>BR!J316</f>
        <v>83</v>
      </c>
      <c r="K2396" s="1768">
        <f>BR!C317</f>
        <v>76</v>
      </c>
      <c r="L2396" s="724">
        <f>BR!D317</f>
        <v>77</v>
      </c>
      <c r="M2396" s="724">
        <f>BR!E317</f>
        <v>80</v>
      </c>
      <c r="N2396" s="724">
        <f>BR!F317</f>
        <v>72</v>
      </c>
      <c r="O2396" s="724">
        <f>BR!G317</f>
        <v>75</v>
      </c>
      <c r="P2396" s="724">
        <f>BR!H317</f>
        <v>81</v>
      </c>
      <c r="Q2396" s="724">
        <f>BR!I317</f>
        <v>82</v>
      </c>
      <c r="R2396" s="725">
        <f>BR!J317</f>
        <v>83</v>
      </c>
    </row>
    <row r="2397" spans="2:18" s="57" customFormat="1" ht="12.5">
      <c r="B2397" s="1753" t="s">
        <v>944</v>
      </c>
      <c r="C2397" s="1768">
        <f>BR!C357</f>
        <v>122</v>
      </c>
      <c r="D2397" s="724">
        <f>BR!D357</f>
        <v>122</v>
      </c>
      <c r="E2397" s="724">
        <f>BR!E357</f>
        <v>120</v>
      </c>
      <c r="F2397" s="724">
        <f>BR!F357</f>
        <v>113</v>
      </c>
      <c r="G2397" s="724">
        <f>BR!G357</f>
        <v>111</v>
      </c>
      <c r="H2397" s="724">
        <f>BR!H357</f>
        <v>122</v>
      </c>
      <c r="I2397" s="724">
        <f>BR!I357</f>
        <v>126</v>
      </c>
      <c r="J2397" s="724">
        <f>BR!J357</f>
        <v>133</v>
      </c>
      <c r="K2397" s="1768">
        <f>BR!C358</f>
        <v>122</v>
      </c>
      <c r="L2397" s="724">
        <f>BR!D358</f>
        <v>122</v>
      </c>
      <c r="M2397" s="724">
        <f>BR!E358</f>
        <v>120</v>
      </c>
      <c r="N2397" s="724">
        <f>BR!F358</f>
        <v>113</v>
      </c>
      <c r="O2397" s="724">
        <f>BR!G358</f>
        <v>111</v>
      </c>
      <c r="P2397" s="724">
        <f>BR!H358</f>
        <v>122</v>
      </c>
      <c r="Q2397" s="724">
        <f>BR!I358</f>
        <v>126</v>
      </c>
      <c r="R2397" s="725">
        <f>BR!J358</f>
        <v>133</v>
      </c>
    </row>
    <row r="2398" spans="2:18" s="57" customFormat="1" ht="12.5">
      <c r="B2398" s="1753" t="s">
        <v>945</v>
      </c>
      <c r="C2398" s="1768">
        <f>BR!C370</f>
        <v>0</v>
      </c>
      <c r="D2398" s="724">
        <f>BR!D370</f>
        <v>0</v>
      </c>
      <c r="E2398" s="724">
        <f>BR!E370</f>
        <v>0</v>
      </c>
      <c r="F2398" s="724">
        <f>BR!F370</f>
        <v>0</v>
      </c>
      <c r="G2398" s="724">
        <f>BR!G370</f>
        <v>0</v>
      </c>
      <c r="H2398" s="724">
        <f>BR!H370</f>
        <v>0</v>
      </c>
      <c r="I2398" s="724">
        <f>BR!I370</f>
        <v>734</v>
      </c>
      <c r="J2398" s="724">
        <f>BR!J370</f>
        <v>766</v>
      </c>
      <c r="K2398" s="1768">
        <f>BR!C371</f>
        <v>0</v>
      </c>
      <c r="L2398" s="724">
        <f>BR!D371</f>
        <v>0</v>
      </c>
      <c r="M2398" s="724">
        <f>BR!E371</f>
        <v>0</v>
      </c>
      <c r="N2398" s="724">
        <f>BR!F371</f>
        <v>0</v>
      </c>
      <c r="O2398" s="724">
        <f>BR!G371</f>
        <v>0</v>
      </c>
      <c r="P2398" s="724">
        <f>BR!H371</f>
        <v>0</v>
      </c>
      <c r="Q2398" s="724">
        <f>BR!I371</f>
        <v>90</v>
      </c>
      <c r="R2398" s="725">
        <f>BR!J371</f>
        <v>111</v>
      </c>
    </row>
    <row r="2399" spans="2:18" s="57" customFormat="1" ht="12.5">
      <c r="B2399" s="1753" t="s">
        <v>943</v>
      </c>
      <c r="C2399" s="1768">
        <f>BR!C344</f>
        <v>129</v>
      </c>
      <c r="D2399" s="724">
        <f>BR!D344</f>
        <v>119</v>
      </c>
      <c r="E2399" s="724">
        <f>BR!E344</f>
        <v>118</v>
      </c>
      <c r="F2399" s="724">
        <f>BR!F344</f>
        <v>111</v>
      </c>
      <c r="G2399" s="724">
        <f>BR!G344</f>
        <v>103</v>
      </c>
      <c r="H2399" s="724">
        <f>BR!H344</f>
        <v>100</v>
      </c>
      <c r="I2399" s="724">
        <f>BR!I344</f>
        <v>97</v>
      </c>
      <c r="J2399" s="724">
        <f>BR!J344</f>
        <v>98</v>
      </c>
      <c r="K2399" s="1768">
        <f>BR!C345</f>
        <v>129</v>
      </c>
      <c r="L2399" s="724">
        <f>BR!D345</f>
        <v>119</v>
      </c>
      <c r="M2399" s="724">
        <f>BR!E345</f>
        <v>118</v>
      </c>
      <c r="N2399" s="724">
        <f>BR!F345</f>
        <v>111</v>
      </c>
      <c r="O2399" s="724">
        <f>BR!G345</f>
        <v>103</v>
      </c>
      <c r="P2399" s="724">
        <f>BR!H345</f>
        <v>100</v>
      </c>
      <c r="Q2399" s="724">
        <f>BR!I345</f>
        <v>97</v>
      </c>
      <c r="R2399" s="725">
        <f>BR!J345</f>
        <v>98</v>
      </c>
    </row>
    <row r="2400" spans="2:18" s="57" customFormat="1" ht="12.5">
      <c r="B2400" s="1753"/>
      <c r="C2400" s="1766"/>
      <c r="D2400" s="701"/>
      <c r="E2400" s="701"/>
      <c r="F2400" s="701"/>
      <c r="G2400" s="701"/>
      <c r="H2400" s="701"/>
      <c r="I2400" s="701"/>
      <c r="J2400" s="701"/>
      <c r="K2400" s="1703"/>
      <c r="R2400" s="656"/>
    </row>
    <row r="2401" spans="2:28" s="57" customFormat="1">
      <c r="B2401" s="1755" t="s">
        <v>1042</v>
      </c>
      <c r="C2401" s="1766"/>
      <c r="D2401" s="701"/>
      <c r="E2401" s="701"/>
      <c r="F2401" s="701"/>
      <c r="G2401" s="701"/>
      <c r="H2401" s="702"/>
      <c r="I2401" s="702"/>
      <c r="J2401" s="702"/>
      <c r="K2401" s="1766"/>
      <c r="L2401" s="701"/>
      <c r="M2401" s="701"/>
      <c r="N2401" s="701"/>
      <c r="O2401" s="701"/>
      <c r="P2401" s="702"/>
      <c r="Q2401" s="702"/>
      <c r="R2401" s="1708"/>
    </row>
    <row r="2402" spans="2:28" s="57" customFormat="1" ht="12.5">
      <c r="B2402" s="1758" t="s">
        <v>94</v>
      </c>
      <c r="C2402" s="1766">
        <f>CL!C286</f>
        <v>25</v>
      </c>
      <c r="D2402" s="701">
        <f>CL!D286</f>
        <v>27</v>
      </c>
      <c r="E2402" s="701">
        <f>CL!E286</f>
        <v>26</v>
      </c>
      <c r="F2402" s="701">
        <f>CL!F286</f>
        <v>23</v>
      </c>
      <c r="G2402" s="701">
        <f>CL!G286</f>
        <v>22</v>
      </c>
      <c r="H2402" s="701">
        <f>CL!H286</f>
        <v>21</v>
      </c>
      <c r="I2402" s="701">
        <f>CL!I286</f>
        <v>21</v>
      </c>
      <c r="J2402" s="701">
        <f>CL!J286</f>
        <v>21</v>
      </c>
      <c r="K2402" s="1766">
        <f>CL!C287</f>
        <v>25</v>
      </c>
      <c r="L2402" s="701">
        <f>CL!D287</f>
        <v>27</v>
      </c>
      <c r="M2402" s="701">
        <f>CL!E287</f>
        <v>26</v>
      </c>
      <c r="N2402" s="701">
        <f>CL!F287</f>
        <v>23</v>
      </c>
      <c r="O2402" s="701">
        <f>CL!G287</f>
        <v>22</v>
      </c>
      <c r="P2402" s="701">
        <f>CL!H287</f>
        <v>21</v>
      </c>
      <c r="Q2402" s="701">
        <f>CL!I287</f>
        <v>21</v>
      </c>
      <c r="R2402" s="707">
        <f>CL!J287</f>
        <v>21</v>
      </c>
    </row>
    <row r="2403" spans="2:28" s="57" customFormat="1">
      <c r="B2403" s="1758" t="s">
        <v>489</v>
      </c>
      <c r="C2403" s="1766">
        <f>CL!C314</f>
        <v>0</v>
      </c>
      <c r="D2403" s="701">
        <f>CL!D314</f>
        <v>0</v>
      </c>
      <c r="E2403" s="701">
        <f>CL!E314</f>
        <v>0</v>
      </c>
      <c r="F2403" s="701">
        <f>CL!F314</f>
        <v>0</v>
      </c>
      <c r="G2403" s="701">
        <f>CL!G314</f>
        <v>0</v>
      </c>
      <c r="H2403" s="701">
        <f>CL!H314</f>
        <v>0</v>
      </c>
      <c r="I2403" s="701">
        <f>CL!I314</f>
        <v>0</v>
      </c>
      <c r="J2403" s="701">
        <f>CL!J314</f>
        <v>0</v>
      </c>
      <c r="K2403" s="1766">
        <f>CL!C315</f>
        <v>0</v>
      </c>
      <c r="L2403" s="701">
        <f>CL!D315</f>
        <v>0</v>
      </c>
      <c r="M2403" s="701">
        <f>CL!E315</f>
        <v>0</v>
      </c>
      <c r="N2403" s="701">
        <f>CL!F315</f>
        <v>0</v>
      </c>
      <c r="O2403" s="701">
        <f>CL!G315</f>
        <v>0</v>
      </c>
      <c r="P2403" s="701">
        <f>CL!H315</f>
        <v>0</v>
      </c>
      <c r="Q2403" s="701">
        <f>CL!I315</f>
        <v>0</v>
      </c>
      <c r="R2403" s="707">
        <f>CL!J315</f>
        <v>0</v>
      </c>
      <c r="T2403"/>
      <c r="U2403"/>
      <c r="V2403"/>
      <c r="W2403"/>
      <c r="X2403"/>
      <c r="Y2403"/>
      <c r="Z2403"/>
      <c r="AA2403"/>
      <c r="AB2403"/>
    </row>
    <row r="2404" spans="2:28" s="57" customFormat="1" ht="12.5">
      <c r="B2404" s="1758" t="s">
        <v>1230</v>
      </c>
      <c r="C2404" s="1766">
        <f>CL!C299</f>
        <v>21</v>
      </c>
      <c r="D2404" s="701">
        <f>CL!D299</f>
        <v>21</v>
      </c>
      <c r="E2404" s="701">
        <f>CL!E299</f>
        <v>17</v>
      </c>
      <c r="F2404" s="701">
        <f>CL!F299</f>
        <v>17</v>
      </c>
      <c r="G2404" s="701">
        <f>CL!G299</f>
        <v>16</v>
      </c>
      <c r="H2404" s="701">
        <f>CL!H299</f>
        <v>16</v>
      </c>
      <c r="I2404" s="701">
        <f>CL!I299</f>
        <v>16</v>
      </c>
      <c r="J2404" s="701">
        <f>CL!J299</f>
        <v>16</v>
      </c>
      <c r="K2404" s="1766">
        <f>CL!C300</f>
        <v>21</v>
      </c>
      <c r="L2404" s="701">
        <f>CL!D300</f>
        <v>21</v>
      </c>
      <c r="M2404" s="701">
        <f>CL!E300</f>
        <v>17</v>
      </c>
      <c r="N2404" s="701">
        <f>CL!F300</f>
        <v>17</v>
      </c>
      <c r="O2404" s="701">
        <f>CL!G300</f>
        <v>16</v>
      </c>
      <c r="P2404" s="701">
        <f>CL!H300</f>
        <v>16</v>
      </c>
      <c r="Q2404" s="701">
        <f>CL!I300</f>
        <v>16</v>
      </c>
      <c r="R2404" s="707">
        <f>CL!J300</f>
        <v>16</v>
      </c>
    </row>
    <row r="2405" spans="2:28" s="57" customFormat="1">
      <c r="B2405" s="1758"/>
      <c r="C2405" s="1703"/>
      <c r="K2405" s="1766"/>
      <c r="L2405" s="701"/>
      <c r="M2405" s="701"/>
      <c r="N2405" s="701"/>
      <c r="O2405" s="701"/>
      <c r="P2405" s="702"/>
      <c r="Q2405" s="702"/>
      <c r="R2405" s="1708"/>
    </row>
    <row r="2406" spans="2:28" s="57" customFormat="1">
      <c r="B2406" s="1755" t="s">
        <v>1043</v>
      </c>
      <c r="C2406" s="1766"/>
      <c r="D2406" s="701"/>
      <c r="E2406" s="701"/>
      <c r="F2406" s="701"/>
      <c r="G2406" s="701"/>
      <c r="H2406" s="702"/>
      <c r="I2406" s="702"/>
      <c r="J2406" s="702"/>
      <c r="K2406" s="1766"/>
      <c r="L2406" s="701"/>
      <c r="M2406" s="701"/>
      <c r="N2406" s="701"/>
      <c r="O2406" s="701"/>
      <c r="P2406" s="702"/>
      <c r="Q2406" s="702"/>
      <c r="R2406" s="1708"/>
    </row>
    <row r="2407" spans="2:28" s="57" customFormat="1" ht="12.5">
      <c r="B2407" s="1890" t="s">
        <v>605</v>
      </c>
      <c r="C2407" s="1766">
        <f>CO!C283</f>
        <v>150</v>
      </c>
      <c r="D2407" s="701">
        <f>CO!D283</f>
        <v>146</v>
      </c>
      <c r="E2407" s="701">
        <f>CO!E283</f>
        <v>142</v>
      </c>
      <c r="F2407" s="701">
        <f>CO!F283</f>
        <v>139</v>
      </c>
      <c r="G2407" s="701">
        <f>CO!G283</f>
        <v>139</v>
      </c>
      <c r="H2407" s="701">
        <f>CO!H283</f>
        <v>139</v>
      </c>
      <c r="I2407" s="701">
        <f>CO!I283</f>
        <v>131</v>
      </c>
      <c r="J2407" s="701">
        <f>CO!J283</f>
        <v>136</v>
      </c>
      <c r="K2407" s="1766">
        <f>CO!C284</f>
        <v>150</v>
      </c>
      <c r="L2407" s="701">
        <f>CO!D284</f>
        <v>146</v>
      </c>
      <c r="M2407" s="701">
        <f>CO!E284</f>
        <v>142</v>
      </c>
      <c r="N2407" s="701">
        <f>CO!F284</f>
        <v>139</v>
      </c>
      <c r="O2407" s="701">
        <f>CO!G284</f>
        <v>139</v>
      </c>
      <c r="P2407" s="701">
        <f>CO!H284</f>
        <v>139</v>
      </c>
      <c r="Q2407" s="701">
        <f>CO!I284</f>
        <v>131</v>
      </c>
      <c r="R2407" s="707">
        <f>CO!J284</f>
        <v>136</v>
      </c>
    </row>
    <row r="2408" spans="2:28" s="57" customFormat="1" ht="12.5">
      <c r="B2408" s="1890" t="s">
        <v>573</v>
      </c>
      <c r="C2408" s="1766">
        <f>CO!C298</f>
        <v>25</v>
      </c>
      <c r="D2408" s="701">
        <f>CO!D298</f>
        <v>26</v>
      </c>
      <c r="E2408" s="701">
        <f>CO!E298</f>
        <v>25</v>
      </c>
      <c r="F2408" s="701">
        <f>CO!F298</f>
        <v>25</v>
      </c>
      <c r="G2408" s="701">
        <f>CO!G298</f>
        <v>25</v>
      </c>
      <c r="H2408" s="701">
        <f>CO!H298</f>
        <v>26</v>
      </c>
      <c r="I2408" s="701">
        <f>CO!I298</f>
        <v>25</v>
      </c>
      <c r="J2408" s="701">
        <f>CO!J298</f>
        <v>25</v>
      </c>
      <c r="K2408" s="1766">
        <f>CO!C299</f>
        <v>25</v>
      </c>
      <c r="L2408" s="701">
        <f>CO!D299</f>
        <v>26</v>
      </c>
      <c r="M2408" s="701">
        <f>CO!E299</f>
        <v>25</v>
      </c>
      <c r="N2408" s="701">
        <f>CO!F299</f>
        <v>25</v>
      </c>
      <c r="O2408" s="701">
        <f>CO!G299</f>
        <v>25</v>
      </c>
      <c r="P2408" s="701">
        <f>CO!H299</f>
        <v>26</v>
      </c>
      <c r="Q2408" s="701">
        <f>CO!I299</f>
        <v>25</v>
      </c>
      <c r="R2408" s="707">
        <f>CO!J299</f>
        <v>25</v>
      </c>
    </row>
    <row r="2409" spans="2:28" s="57" customFormat="1" ht="12.5">
      <c r="B2409" s="1890" t="s">
        <v>608</v>
      </c>
      <c r="C2409" s="1766">
        <f>CO!C311</f>
        <v>37</v>
      </c>
      <c r="D2409" s="701">
        <f>CO!D311</f>
        <v>39</v>
      </c>
      <c r="E2409" s="701">
        <f>CO!E311</f>
        <v>41</v>
      </c>
      <c r="F2409" s="701">
        <f>CO!F311</f>
        <v>41</v>
      </c>
      <c r="G2409" s="701">
        <f>CO!G311</f>
        <v>41</v>
      </c>
      <c r="H2409" s="701">
        <f>CO!H311</f>
        <v>42</v>
      </c>
      <c r="I2409" s="701">
        <f>CO!I311</f>
        <v>43</v>
      </c>
      <c r="J2409" s="701">
        <f>CO!J311</f>
        <v>42</v>
      </c>
      <c r="K2409" s="1766">
        <f>CO!C312</f>
        <v>37</v>
      </c>
      <c r="L2409" s="701">
        <f>CO!D312</f>
        <v>39</v>
      </c>
      <c r="M2409" s="701">
        <f>CO!E312</f>
        <v>41</v>
      </c>
      <c r="N2409" s="701">
        <f>CO!F312</f>
        <v>41</v>
      </c>
      <c r="O2409" s="701">
        <f>CO!G312</f>
        <v>41</v>
      </c>
      <c r="P2409" s="701">
        <f>CO!H312</f>
        <v>42</v>
      </c>
      <c r="Q2409" s="701">
        <f>CO!I312</f>
        <v>43</v>
      </c>
      <c r="R2409" s="707">
        <f>CO!J312</f>
        <v>42</v>
      </c>
    </row>
    <row r="2410" spans="2:28" s="57" customFormat="1" ht="12.5">
      <c r="B2410" s="1890" t="s">
        <v>609</v>
      </c>
      <c r="C2410" s="1766">
        <f>CO!C324</f>
        <v>20</v>
      </c>
      <c r="D2410" s="701">
        <f>CO!D324</f>
        <v>20</v>
      </c>
      <c r="E2410" s="701">
        <f>CO!E324</f>
        <v>20</v>
      </c>
      <c r="F2410" s="701">
        <f>CO!F324</f>
        <v>23</v>
      </c>
      <c r="G2410" s="701">
        <f>CO!G324</f>
        <v>25</v>
      </c>
      <c r="H2410" s="701">
        <f>CO!H324</f>
        <v>27</v>
      </c>
      <c r="I2410" s="701">
        <f>CO!I324</f>
        <v>27</v>
      </c>
      <c r="J2410" s="701">
        <f>CO!J324</f>
        <v>35</v>
      </c>
      <c r="K2410" s="1766">
        <f>CO!C325</f>
        <v>20</v>
      </c>
      <c r="L2410" s="701">
        <f>CO!D325</f>
        <v>20</v>
      </c>
      <c r="M2410" s="701">
        <f>CO!E325</f>
        <v>20</v>
      </c>
      <c r="N2410" s="701">
        <f>CO!F325</f>
        <v>23</v>
      </c>
      <c r="O2410" s="701">
        <f>CO!G325</f>
        <v>25</v>
      </c>
      <c r="P2410" s="701">
        <f>CO!H325</f>
        <v>27</v>
      </c>
      <c r="Q2410" s="701">
        <f>CO!I325</f>
        <v>27</v>
      </c>
      <c r="R2410" s="707">
        <f>CO!J325</f>
        <v>26</v>
      </c>
    </row>
    <row r="2411" spans="2:28" s="57" customFormat="1" ht="12.5">
      <c r="B2411" s="1890"/>
      <c r="C2411" s="1894"/>
      <c r="D2411" s="711"/>
      <c r="E2411" s="711"/>
      <c r="F2411" s="712"/>
      <c r="G2411" s="711"/>
      <c r="H2411" s="711"/>
      <c r="I2411" s="711"/>
      <c r="J2411" s="711"/>
      <c r="K2411" s="1703"/>
      <c r="R2411" s="656"/>
    </row>
    <row r="2412" spans="2:28" s="57" customFormat="1">
      <c r="B2412" s="1755" t="s">
        <v>1044</v>
      </c>
      <c r="C2412" s="1766"/>
      <c r="D2412" s="701"/>
      <c r="E2412" s="701"/>
      <c r="F2412" s="701"/>
      <c r="G2412" s="701"/>
      <c r="H2412" s="702"/>
      <c r="I2412" s="702"/>
      <c r="J2412" s="702"/>
      <c r="K2412" s="1896"/>
      <c r="L2412" s="713"/>
      <c r="M2412" s="713"/>
      <c r="N2412" s="713"/>
      <c r="O2412" s="713"/>
      <c r="P2412" s="713"/>
      <c r="Q2412" s="713"/>
      <c r="R2412" s="1708"/>
    </row>
    <row r="2413" spans="2:28" s="57" customFormat="1" ht="12.5">
      <c r="B2413" s="1890" t="s">
        <v>1264</v>
      </c>
      <c r="C2413" s="1766">
        <f>CR!C295</f>
        <v>69</v>
      </c>
      <c r="D2413" s="701">
        <f>CR!D295</f>
        <v>72</v>
      </c>
      <c r="E2413" s="701">
        <f>CR!E295</f>
        <v>71</v>
      </c>
      <c r="F2413" s="701">
        <f>CR!F295</f>
        <v>75</v>
      </c>
      <c r="G2413" s="701">
        <f>CR!G295</f>
        <v>76</v>
      </c>
      <c r="H2413" s="701">
        <f>CR!H295</f>
        <v>75</v>
      </c>
      <c r="I2413" s="701">
        <f>CR!I295</f>
        <v>134</v>
      </c>
      <c r="J2413" s="701">
        <f>CR!J295</f>
        <v>135</v>
      </c>
      <c r="K2413" s="1766">
        <f>CR!C296</f>
        <v>17</v>
      </c>
      <c r="L2413" s="701">
        <f>CR!D296</f>
        <v>18</v>
      </c>
      <c r="M2413" s="701">
        <f>CR!E296</f>
        <v>18</v>
      </c>
      <c r="N2413" s="701">
        <f>CR!F296</f>
        <v>18</v>
      </c>
      <c r="O2413" s="701">
        <f>CR!G296</f>
        <v>17</v>
      </c>
      <c r="P2413" s="701">
        <f>CR!H296</f>
        <v>18</v>
      </c>
      <c r="Q2413" s="701">
        <f>CR!I296</f>
        <v>17</v>
      </c>
      <c r="R2413" s="707">
        <f>CR!J296</f>
        <v>16</v>
      </c>
    </row>
    <row r="2414" spans="2:28" s="57" customFormat="1" ht="12.5">
      <c r="B2414" s="1890" t="s">
        <v>94</v>
      </c>
      <c r="C2414" s="1766" t="s">
        <v>2131</v>
      </c>
      <c r="D2414" s="701" t="s">
        <v>2131</v>
      </c>
      <c r="E2414" s="701" t="s">
        <v>2131</v>
      </c>
      <c r="F2414" s="701" t="s">
        <v>2131</v>
      </c>
      <c r="G2414" s="701" t="s">
        <v>2131</v>
      </c>
      <c r="H2414" s="701" t="s">
        <v>2131</v>
      </c>
      <c r="I2414" s="701" t="s">
        <v>2131</v>
      </c>
      <c r="J2414" s="701" t="s">
        <v>2131</v>
      </c>
      <c r="K2414" s="1896" t="s">
        <v>2131</v>
      </c>
      <c r="L2414" s="713" t="s">
        <v>2131</v>
      </c>
      <c r="M2414" s="713" t="s">
        <v>2131</v>
      </c>
      <c r="N2414" s="713" t="s">
        <v>2131</v>
      </c>
      <c r="O2414" s="713" t="s">
        <v>2131</v>
      </c>
      <c r="P2414" s="713" t="s">
        <v>2131</v>
      </c>
      <c r="Q2414" s="713" t="s">
        <v>2131</v>
      </c>
      <c r="R2414" s="714" t="s">
        <v>2131</v>
      </c>
    </row>
    <row r="2415" spans="2:28" s="57" customFormat="1" ht="12.5">
      <c r="B2415" s="1890" t="s">
        <v>1265</v>
      </c>
      <c r="C2415" s="1766" t="s">
        <v>2131</v>
      </c>
      <c r="D2415" s="701" t="s">
        <v>2131</v>
      </c>
      <c r="E2415" s="701" t="s">
        <v>2131</v>
      </c>
      <c r="F2415" s="701" t="s">
        <v>2131</v>
      </c>
      <c r="G2415" s="701" t="s">
        <v>2131</v>
      </c>
      <c r="H2415" s="701" t="s">
        <v>2131</v>
      </c>
      <c r="I2415" s="701" t="s">
        <v>2131</v>
      </c>
      <c r="J2415" s="701" t="s">
        <v>2131</v>
      </c>
      <c r="K2415" s="1896" t="s">
        <v>2131</v>
      </c>
      <c r="L2415" s="713" t="s">
        <v>2131</v>
      </c>
      <c r="M2415" s="713" t="s">
        <v>2131</v>
      </c>
      <c r="N2415" s="713" t="s">
        <v>2131</v>
      </c>
      <c r="O2415" s="713" t="s">
        <v>2131</v>
      </c>
      <c r="P2415" s="713" t="s">
        <v>2131</v>
      </c>
      <c r="Q2415" s="713" t="s">
        <v>2131</v>
      </c>
      <c r="R2415" s="714" t="s">
        <v>2131</v>
      </c>
    </row>
    <row r="2416" spans="2:28" s="57" customFormat="1" ht="12.5">
      <c r="B2416" s="1890" t="s">
        <v>1277</v>
      </c>
      <c r="C2416" s="1766" t="s">
        <v>2131</v>
      </c>
      <c r="D2416" s="701" t="s">
        <v>2131</v>
      </c>
      <c r="E2416" s="701" t="s">
        <v>2131</v>
      </c>
      <c r="F2416" s="701" t="s">
        <v>2131</v>
      </c>
      <c r="G2416" s="701" t="s">
        <v>2131</v>
      </c>
      <c r="H2416" s="701" t="s">
        <v>2131</v>
      </c>
      <c r="I2416" s="701" t="s">
        <v>2131</v>
      </c>
      <c r="J2416" s="701" t="s">
        <v>2131</v>
      </c>
      <c r="K2416" s="1896" t="s">
        <v>2131</v>
      </c>
      <c r="L2416" s="713" t="s">
        <v>2131</v>
      </c>
      <c r="M2416" s="713" t="s">
        <v>2131</v>
      </c>
      <c r="N2416" s="713" t="s">
        <v>2131</v>
      </c>
      <c r="O2416" s="713" t="s">
        <v>2131</v>
      </c>
      <c r="P2416" s="713" t="s">
        <v>2131</v>
      </c>
      <c r="Q2416" s="713" t="s">
        <v>2131</v>
      </c>
      <c r="R2416" s="714" t="s">
        <v>2131</v>
      </c>
    </row>
    <row r="2417" spans="2:18" s="57" customFormat="1">
      <c r="B2417" s="1890"/>
      <c r="C2417" s="1766"/>
      <c r="D2417" s="701"/>
      <c r="E2417" s="701"/>
      <c r="F2417" s="701"/>
      <c r="G2417" s="701"/>
      <c r="H2417" s="701"/>
      <c r="I2417" s="701"/>
      <c r="J2417" s="701"/>
      <c r="K2417" s="1896"/>
      <c r="L2417" s="713"/>
      <c r="M2417" s="713"/>
      <c r="N2417" s="713"/>
      <c r="O2417" s="713"/>
      <c r="P2417" s="713"/>
      <c r="Q2417" s="713"/>
      <c r="R2417" s="1708"/>
    </row>
    <row r="2418" spans="2:18" s="57" customFormat="1">
      <c r="B2418" s="1754" t="s">
        <v>1061</v>
      </c>
      <c r="C2418" s="1766"/>
      <c r="D2418" s="701"/>
      <c r="E2418" s="701"/>
      <c r="F2418" s="701"/>
      <c r="G2418" s="701"/>
      <c r="H2418" s="701"/>
      <c r="I2418" s="701"/>
      <c r="J2418" s="701"/>
      <c r="K2418" s="1896"/>
      <c r="L2418" s="713"/>
      <c r="M2418" s="713"/>
      <c r="N2418" s="713"/>
      <c r="O2418" s="713"/>
      <c r="P2418" s="713"/>
      <c r="Q2418" s="713"/>
      <c r="R2418" s="1708"/>
    </row>
    <row r="2419" spans="2:18" s="57" customFormat="1" ht="12.5">
      <c r="B2419" s="1890" t="s">
        <v>1267</v>
      </c>
      <c r="C2419" s="1766">
        <v>14</v>
      </c>
      <c r="D2419" s="701">
        <v>14</v>
      </c>
      <c r="E2419" s="701">
        <f>CW!E305</f>
        <v>16</v>
      </c>
      <c r="F2419" s="701">
        <f>CW!F305</f>
        <v>16</v>
      </c>
      <c r="G2419" s="701">
        <f>CW!G305</f>
        <v>16</v>
      </c>
      <c r="H2419" s="701">
        <f>CW!H305</f>
        <v>16</v>
      </c>
      <c r="I2419" s="701">
        <f>CW!I305</f>
        <v>15</v>
      </c>
      <c r="J2419" s="701">
        <f>CW!J305</f>
        <v>15</v>
      </c>
      <c r="K2419" s="1766">
        <v>14</v>
      </c>
      <c r="L2419" s="701">
        <v>14</v>
      </c>
      <c r="M2419" s="701">
        <f>CW!E306</f>
        <v>16</v>
      </c>
      <c r="N2419" s="701">
        <f>CW!F306</f>
        <v>16</v>
      </c>
      <c r="O2419" s="701">
        <f>CW!G306</f>
        <v>16</v>
      </c>
      <c r="P2419" s="701">
        <f>CW!H306</f>
        <v>16</v>
      </c>
      <c r="Q2419" s="701">
        <f>CW!I306</f>
        <v>15</v>
      </c>
      <c r="R2419" s="707">
        <f>CW!J306</f>
        <v>15</v>
      </c>
    </row>
    <row r="2420" spans="2:18" s="57" customFormat="1" ht="12.5">
      <c r="B2420" s="1890" t="s">
        <v>1268</v>
      </c>
      <c r="C2420" s="1766">
        <v>14</v>
      </c>
      <c r="D2420" s="701">
        <v>14</v>
      </c>
      <c r="E2420" s="701">
        <f>CW!E320</f>
        <v>16</v>
      </c>
      <c r="F2420" s="701">
        <f>CW!F320</f>
        <v>16</v>
      </c>
      <c r="G2420" s="701">
        <f>CW!G320</f>
        <v>16</v>
      </c>
      <c r="H2420" s="701">
        <f>CW!H320</f>
        <v>16</v>
      </c>
      <c r="I2420" s="701">
        <f>CW!I320</f>
        <v>15</v>
      </c>
      <c r="J2420" s="701">
        <f>CW!J320</f>
        <v>15</v>
      </c>
      <c r="K2420" s="1766">
        <v>14</v>
      </c>
      <c r="L2420" s="701">
        <v>14</v>
      </c>
      <c r="M2420" s="701">
        <f>CW!E321</f>
        <v>16</v>
      </c>
      <c r="N2420" s="701">
        <f>CW!F321</f>
        <v>16</v>
      </c>
      <c r="O2420" s="701">
        <f>CW!G321</f>
        <v>16</v>
      </c>
      <c r="P2420" s="701">
        <f>CW!H321</f>
        <v>16</v>
      </c>
      <c r="Q2420" s="701">
        <f>CW!I321</f>
        <v>15</v>
      </c>
      <c r="R2420" s="707">
        <f>CW!J321</f>
        <v>15</v>
      </c>
    </row>
    <row r="2421" spans="2:18" s="57" customFormat="1" ht="12.5">
      <c r="B2421" s="1890"/>
      <c r="C2421" s="1766"/>
      <c r="D2421" s="701"/>
      <c r="E2421" s="701"/>
      <c r="F2421" s="701"/>
      <c r="G2421" s="701"/>
      <c r="H2421" s="701"/>
      <c r="I2421" s="701"/>
      <c r="J2421" s="701"/>
      <c r="K2421" s="1766"/>
      <c r="L2421" s="701"/>
      <c r="M2421" s="701"/>
      <c r="N2421" s="701"/>
      <c r="O2421" s="701"/>
      <c r="P2421" s="701"/>
      <c r="Q2421" s="701"/>
      <c r="R2421" s="707"/>
    </row>
    <row r="2422" spans="2:18" s="57" customFormat="1" ht="13">
      <c r="B2422" s="1705" t="s">
        <v>1047</v>
      </c>
      <c r="C2422" s="1766"/>
      <c r="D2422" s="701"/>
      <c r="E2422" s="701"/>
      <c r="F2422" s="701"/>
      <c r="G2422" s="701"/>
      <c r="H2422" s="701"/>
      <c r="I2422" s="701"/>
      <c r="J2422" s="701"/>
      <c r="K2422" s="1766"/>
      <c r="L2422" s="701"/>
      <c r="M2422" s="701"/>
      <c r="N2422" s="701"/>
      <c r="O2422" s="701"/>
      <c r="P2422" s="701"/>
      <c r="Q2422" s="701"/>
      <c r="R2422" s="707"/>
    </row>
    <row r="2423" spans="2:18" s="57" customFormat="1" ht="25">
      <c r="B2423" s="1885" t="s">
        <v>849</v>
      </c>
      <c r="C2423" s="1766">
        <f>EC!C286</f>
        <v>245</v>
      </c>
      <c r="D2423" s="701">
        <f>EC!D286</f>
        <v>296</v>
      </c>
      <c r="E2423" s="701">
        <f>EC!E286</f>
        <v>341</v>
      </c>
      <c r="F2423" s="701">
        <f>EC!F286</f>
        <v>350</v>
      </c>
      <c r="G2423" s="701">
        <f>EC!G286</f>
        <v>345</v>
      </c>
      <c r="H2423" s="701">
        <f>EC!H286</f>
        <v>322</v>
      </c>
      <c r="I2423" s="701">
        <f>EC!I286</f>
        <v>257</v>
      </c>
      <c r="J2423" s="701">
        <f>EC!J286</f>
        <v>262</v>
      </c>
      <c r="K2423" s="1766">
        <f>EC!C287</f>
        <v>24</v>
      </c>
      <c r="L2423" s="701">
        <f>EC!D287</f>
        <v>24</v>
      </c>
      <c r="M2423" s="701">
        <f>EC!E287</f>
        <v>23</v>
      </c>
      <c r="N2423" s="701">
        <f>EC!F287</f>
        <v>25</v>
      </c>
      <c r="O2423" s="701">
        <f>EC!G287</f>
        <v>25</v>
      </c>
      <c r="P2423" s="701">
        <f>EC!H287</f>
        <v>25</v>
      </c>
      <c r="Q2423" s="701">
        <f>EC!I287</f>
        <v>25</v>
      </c>
      <c r="R2423" s="707">
        <f>EC!J287</f>
        <v>25</v>
      </c>
    </row>
    <row r="2424" spans="2:18" s="57" customFormat="1" ht="25">
      <c r="B2424" s="1707" t="s">
        <v>850</v>
      </c>
      <c r="C2424" s="1766">
        <f>EC!C299</f>
        <v>9</v>
      </c>
      <c r="D2424" s="701">
        <f>EC!D299</f>
        <v>9</v>
      </c>
      <c r="E2424" s="701">
        <f>EC!E299</f>
        <v>10</v>
      </c>
      <c r="F2424" s="701">
        <f>EC!F299</f>
        <v>13</v>
      </c>
      <c r="G2424" s="701">
        <f>EC!G299</f>
        <v>12</v>
      </c>
      <c r="H2424" s="701">
        <f>EC!H299</f>
        <v>12</v>
      </c>
      <c r="I2424" s="701">
        <f>EC!I299</f>
        <v>12</v>
      </c>
      <c r="J2424" s="701">
        <f>EC!J299</f>
        <v>13</v>
      </c>
      <c r="K2424" s="1766">
        <f>EC!C300</f>
        <v>7</v>
      </c>
      <c r="L2424" s="701">
        <f>EC!D300</f>
        <v>7</v>
      </c>
      <c r="M2424" s="701">
        <f>EC!E300</f>
        <v>6</v>
      </c>
      <c r="N2424" s="701">
        <f>EC!F300</f>
        <v>9</v>
      </c>
      <c r="O2424" s="701">
        <f>EC!G300</f>
        <v>8</v>
      </c>
      <c r="P2424" s="701">
        <f>EC!H300</f>
        <v>8</v>
      </c>
      <c r="Q2424" s="701">
        <f>EC!I300</f>
        <v>8</v>
      </c>
      <c r="R2424" s="707">
        <f>EC!J300</f>
        <v>9</v>
      </c>
    </row>
    <row r="2425" spans="2:18" s="57" customFormat="1" ht="37.5">
      <c r="B2425" s="1707" t="s">
        <v>843</v>
      </c>
      <c r="C2425" s="1766">
        <f>EC!C312</f>
        <v>31</v>
      </c>
      <c r="D2425" s="701">
        <f>EC!D312</f>
        <v>33</v>
      </c>
      <c r="E2425" s="701">
        <f>EC!E312</f>
        <v>88</v>
      </c>
      <c r="F2425" s="701">
        <f>EC!F312</f>
        <v>94</v>
      </c>
      <c r="G2425" s="701">
        <f>EC!G312</f>
        <v>94</v>
      </c>
      <c r="H2425" s="701">
        <f>EC!H312</f>
        <v>100</v>
      </c>
      <c r="I2425" s="701">
        <f>EC!I312</f>
        <v>98</v>
      </c>
      <c r="J2425" s="701">
        <f>EC!J312</f>
        <v>116</v>
      </c>
      <c r="K2425" s="1766">
        <f>EC!C313</f>
        <v>19</v>
      </c>
      <c r="L2425" s="701">
        <f>EC!D313</f>
        <v>18</v>
      </c>
      <c r="M2425" s="701">
        <f>EC!E313</f>
        <v>18</v>
      </c>
      <c r="N2425" s="701">
        <f>EC!F313</f>
        <v>18</v>
      </c>
      <c r="O2425" s="701">
        <f>EC!G313</f>
        <v>19</v>
      </c>
      <c r="P2425" s="701">
        <f>EC!H313</f>
        <v>21</v>
      </c>
      <c r="Q2425" s="701">
        <f>EC!I313</f>
        <v>21</v>
      </c>
      <c r="R2425" s="707">
        <f>EC!J313</f>
        <v>24</v>
      </c>
    </row>
    <row r="2426" spans="2:18" s="57" customFormat="1" ht="37.5">
      <c r="B2426" s="1707" t="s">
        <v>844</v>
      </c>
      <c r="C2426" s="1766">
        <f>EC!C326</f>
        <v>38</v>
      </c>
      <c r="D2426" s="701">
        <f>EC!D326</f>
        <v>35</v>
      </c>
      <c r="E2426" s="701">
        <f>EC!E326</f>
        <v>35</v>
      </c>
      <c r="F2426" s="701">
        <f>EC!F326</f>
        <v>38</v>
      </c>
      <c r="G2426" s="701">
        <f>EC!G326</f>
        <v>37</v>
      </c>
      <c r="H2426" s="701">
        <f>EC!H326</f>
        <v>38</v>
      </c>
      <c r="I2426" s="701">
        <f>EC!I326</f>
        <v>38</v>
      </c>
      <c r="J2426" s="701">
        <f>EC!J326</f>
        <v>38</v>
      </c>
      <c r="K2426" s="1766">
        <f>EC!C327</f>
        <v>24</v>
      </c>
      <c r="L2426" s="701">
        <f>EC!D327</f>
        <v>22</v>
      </c>
      <c r="M2426" s="701">
        <f>EC!E327</f>
        <v>21</v>
      </c>
      <c r="N2426" s="701">
        <f>EC!F327</f>
        <v>22</v>
      </c>
      <c r="O2426" s="701">
        <f>EC!G327</f>
        <v>22</v>
      </c>
      <c r="P2426" s="701">
        <f>EC!H327</f>
        <v>22</v>
      </c>
      <c r="Q2426" s="701">
        <f>EC!I327</f>
        <v>22</v>
      </c>
      <c r="R2426" s="707">
        <f>EC!J327</f>
        <v>22</v>
      </c>
    </row>
    <row r="2427" spans="2:18" s="57" customFormat="1" ht="12.5">
      <c r="B2427" s="1890"/>
      <c r="C2427" s="1766"/>
      <c r="D2427" s="701"/>
      <c r="E2427" s="701"/>
      <c r="F2427" s="701"/>
      <c r="G2427" s="701"/>
      <c r="H2427" s="701"/>
      <c r="I2427" s="701"/>
      <c r="J2427" s="701"/>
      <c r="K2427" s="1766"/>
      <c r="L2427" s="701"/>
      <c r="M2427" s="701"/>
      <c r="N2427" s="701"/>
      <c r="O2427" s="701"/>
      <c r="P2427" s="701"/>
      <c r="Q2427" s="701"/>
      <c r="R2427" s="707"/>
    </row>
    <row r="2428" spans="2:18" s="57" customFormat="1">
      <c r="B2428" s="1754" t="s">
        <v>1048</v>
      </c>
      <c r="C2428" s="1769"/>
      <c r="D2428" s="722"/>
      <c r="E2428" s="722"/>
      <c r="F2428" s="722"/>
      <c r="G2428" s="722"/>
      <c r="H2428" s="722"/>
      <c r="I2428" s="722"/>
      <c r="J2428" s="722"/>
      <c r="K2428" s="1769"/>
      <c r="L2428" s="722"/>
      <c r="M2428" s="722"/>
      <c r="N2428" s="722"/>
      <c r="O2428" s="722"/>
      <c r="P2428" s="722"/>
      <c r="Q2428" s="722"/>
      <c r="R2428" s="1708"/>
    </row>
    <row r="2429" spans="2:18" s="57" customFormat="1" ht="12.5">
      <c r="B2429" s="1892" t="s">
        <v>94</v>
      </c>
      <c r="C2429" s="1766">
        <f>SV!C288</f>
        <v>46</v>
      </c>
      <c r="D2429" s="701">
        <f>SV!D288</f>
        <v>47</v>
      </c>
      <c r="E2429" s="701">
        <f>SV!E288</f>
        <v>47</v>
      </c>
      <c r="F2429" s="701">
        <f>SV!F288</f>
        <v>49</v>
      </c>
      <c r="G2429" s="701">
        <f>SV!G288</f>
        <v>48</v>
      </c>
      <c r="H2429" s="701">
        <f>SV!H288</f>
        <v>48</v>
      </c>
      <c r="I2429" s="701">
        <f>SV!I288</f>
        <v>48</v>
      </c>
      <c r="J2429" s="701">
        <f>SV!J288</f>
        <v>106</v>
      </c>
      <c r="K2429" s="1766">
        <f>SV!C289</f>
        <v>15</v>
      </c>
      <c r="L2429" s="701">
        <f>SV!D289</f>
        <v>16</v>
      </c>
      <c r="M2429" s="701">
        <f>SV!E289</f>
        <v>16</v>
      </c>
      <c r="N2429" s="701">
        <f>SV!F289</f>
        <v>16</v>
      </c>
      <c r="O2429" s="701">
        <f>SV!G289</f>
        <v>16</v>
      </c>
      <c r="P2429" s="701">
        <f>SV!H289</f>
        <v>16</v>
      </c>
      <c r="Q2429" s="701">
        <f>SV!I289</f>
        <v>16</v>
      </c>
      <c r="R2429" s="707">
        <f>SV!J289</f>
        <v>37</v>
      </c>
    </row>
    <row r="2430" spans="2:18" s="57" customFormat="1" ht="12.5">
      <c r="B2430" s="1892" t="s">
        <v>1270</v>
      </c>
      <c r="C2430" s="1766">
        <f>SV!C303</f>
        <v>17</v>
      </c>
      <c r="D2430" s="701">
        <f>SV!D303</f>
        <v>19</v>
      </c>
      <c r="E2430" s="701">
        <f>SV!E303</f>
        <v>19</v>
      </c>
      <c r="F2430" s="701">
        <f>SV!F303</f>
        <v>19</v>
      </c>
      <c r="G2430" s="701">
        <f>SV!G303</f>
        <v>23</v>
      </c>
      <c r="H2430" s="701">
        <f>SV!H303</f>
        <v>23</v>
      </c>
      <c r="I2430" s="701">
        <f>SV!I303</f>
        <v>23</v>
      </c>
      <c r="J2430" s="701">
        <f>SV!J303</f>
        <v>24</v>
      </c>
      <c r="K2430" s="1766">
        <f>SV!C304</f>
        <v>14</v>
      </c>
      <c r="L2430" s="701">
        <f>SV!D304</f>
        <v>15</v>
      </c>
      <c r="M2430" s="701">
        <f>SV!E304</f>
        <v>15</v>
      </c>
      <c r="N2430" s="701">
        <f>SV!F304</f>
        <v>15</v>
      </c>
      <c r="O2430" s="701">
        <f>SV!G304</f>
        <v>17</v>
      </c>
      <c r="P2430" s="701">
        <f>SV!H304</f>
        <v>17</v>
      </c>
      <c r="Q2430" s="701">
        <f>SV!I304</f>
        <v>17</v>
      </c>
      <c r="R2430" s="707">
        <f>SV!J304</f>
        <v>23</v>
      </c>
    </row>
    <row r="2431" spans="2:18" s="57" customFormat="1" ht="12.5">
      <c r="B2431" s="1893"/>
      <c r="C2431" s="1769"/>
      <c r="D2431" s="722"/>
      <c r="E2431" s="722"/>
      <c r="F2431" s="722"/>
      <c r="G2431" s="722"/>
      <c r="H2431" s="722"/>
      <c r="I2431" s="722"/>
      <c r="J2431" s="722"/>
      <c r="K2431" s="1703"/>
      <c r="R2431" s="656"/>
    </row>
    <row r="2432" spans="2:18" s="57" customFormat="1">
      <c r="B2432" s="1755" t="s">
        <v>1049</v>
      </c>
      <c r="C2432" s="1762"/>
      <c r="D2432" s="702"/>
      <c r="E2432" s="702"/>
      <c r="F2432" s="702"/>
      <c r="G2432" s="702"/>
      <c r="H2432" s="702"/>
      <c r="I2432" s="702"/>
      <c r="J2432" s="702"/>
      <c r="K2432" s="1762"/>
      <c r="L2432" s="702"/>
      <c r="M2432" s="702"/>
      <c r="N2432" s="702"/>
      <c r="O2432" s="702"/>
      <c r="P2432" s="702"/>
      <c r="Q2432" s="702"/>
      <c r="R2432" s="1708"/>
    </row>
    <row r="2433" spans="2:18" s="57" customFormat="1" ht="12.5">
      <c r="B2433" s="1892" t="s">
        <v>94</v>
      </c>
      <c r="C2433" s="1766">
        <f>GT!C294</f>
        <v>26</v>
      </c>
      <c r="D2433" s="701">
        <f>GT!D294</f>
        <v>26</v>
      </c>
      <c r="E2433" s="701">
        <f>GT!E294</f>
        <v>27</v>
      </c>
      <c r="F2433" s="701">
        <f>GT!F294</f>
        <v>28</v>
      </c>
      <c r="G2433" s="701">
        <f>GT!G294</f>
        <v>26</v>
      </c>
      <c r="H2433" s="701">
        <f>GT!H294</f>
        <v>24</v>
      </c>
      <c r="I2433" s="701">
        <f>GT!I294</f>
        <v>25</v>
      </c>
      <c r="J2433" s="701">
        <f>GT!J294</f>
        <v>25</v>
      </c>
      <c r="K2433" s="1766">
        <f>GT!C295</f>
        <v>0</v>
      </c>
      <c r="L2433" s="701">
        <f>GT!D295</f>
        <v>0</v>
      </c>
      <c r="M2433" s="701">
        <f>GT!E295</f>
        <v>0</v>
      </c>
      <c r="N2433" s="701">
        <f>GT!F295</f>
        <v>0</v>
      </c>
      <c r="O2433" s="701">
        <f>GT!G295</f>
        <v>0</v>
      </c>
      <c r="P2433" s="701">
        <f>GT!H295</f>
        <v>0</v>
      </c>
      <c r="Q2433" s="701">
        <f>GT!I295</f>
        <v>0</v>
      </c>
      <c r="R2433" s="707">
        <f>GT!J295</f>
        <v>0</v>
      </c>
    </row>
    <row r="2434" spans="2:18" s="57" customFormat="1" ht="12.5">
      <c r="B2434" s="1892" t="s">
        <v>1247</v>
      </c>
      <c r="C2434" s="1766">
        <f>GT!C309</f>
        <v>19</v>
      </c>
      <c r="D2434" s="701">
        <f>GT!D309</f>
        <v>18</v>
      </c>
      <c r="E2434" s="701">
        <f>GT!E309</f>
        <v>19</v>
      </c>
      <c r="F2434" s="701">
        <f>GT!F309</f>
        <v>19</v>
      </c>
      <c r="G2434" s="701">
        <f>GT!G309</f>
        <v>18</v>
      </c>
      <c r="H2434" s="701">
        <f>GT!H309</f>
        <v>17</v>
      </c>
      <c r="I2434" s="701">
        <f>GT!I309</f>
        <v>18</v>
      </c>
      <c r="J2434" s="701">
        <f>GT!J309</f>
        <v>18</v>
      </c>
      <c r="K2434" s="1766">
        <f>GT!C310</f>
        <v>0</v>
      </c>
      <c r="L2434" s="701">
        <f>GT!D310</f>
        <v>0</v>
      </c>
      <c r="M2434" s="701">
        <f>GT!E310</f>
        <v>0</v>
      </c>
      <c r="N2434" s="701">
        <f>GT!F310</f>
        <v>0</v>
      </c>
      <c r="O2434" s="701">
        <f>GT!G310</f>
        <v>0</v>
      </c>
      <c r="P2434" s="701">
        <f>GT!H310</f>
        <v>0</v>
      </c>
      <c r="Q2434" s="701">
        <f>GT!I310</f>
        <v>0</v>
      </c>
      <c r="R2434" s="707">
        <f>GT!J310</f>
        <v>0</v>
      </c>
    </row>
    <row r="2435" spans="2:18" s="57" customFormat="1" ht="12.5">
      <c r="B2435" s="1892" t="s">
        <v>1249</v>
      </c>
      <c r="C2435" s="1766">
        <f>GT!C322</f>
        <v>19</v>
      </c>
      <c r="D2435" s="701">
        <f>GT!D322</f>
        <v>18</v>
      </c>
      <c r="E2435" s="701">
        <f>GT!E322</f>
        <v>19</v>
      </c>
      <c r="F2435" s="701">
        <f>GT!F322</f>
        <v>20</v>
      </c>
      <c r="G2435" s="701">
        <f>GT!G322</f>
        <v>19</v>
      </c>
      <c r="H2435" s="701">
        <f>GT!H322</f>
        <v>18</v>
      </c>
      <c r="I2435" s="701">
        <f>GT!I322</f>
        <v>18</v>
      </c>
      <c r="J2435" s="701">
        <f>GT!J322</f>
        <v>19</v>
      </c>
      <c r="K2435" s="1766">
        <f>GT!C323</f>
        <v>0</v>
      </c>
      <c r="L2435" s="701">
        <f>GT!D323</f>
        <v>0</v>
      </c>
      <c r="M2435" s="701">
        <f>GT!E323</f>
        <v>0</v>
      </c>
      <c r="N2435" s="701">
        <f>GT!F323</f>
        <v>0</v>
      </c>
      <c r="O2435" s="701">
        <f>GT!G323</f>
        <v>0</v>
      </c>
      <c r="P2435" s="701">
        <f>GT!H323</f>
        <v>0</v>
      </c>
      <c r="Q2435" s="701">
        <f>GT!I323</f>
        <v>0</v>
      </c>
      <c r="R2435" s="707">
        <f>GT!J323</f>
        <v>0</v>
      </c>
    </row>
    <row r="2436" spans="2:18" s="57" customFormat="1" ht="12.5">
      <c r="B2436" s="1892"/>
      <c r="C2436" s="1768"/>
      <c r="D2436" s="724"/>
      <c r="E2436" s="724"/>
      <c r="F2436" s="724"/>
      <c r="G2436" s="724"/>
      <c r="H2436" s="724"/>
      <c r="I2436" s="724"/>
      <c r="J2436" s="724"/>
      <c r="K2436" s="1703"/>
      <c r="R2436" s="656"/>
    </row>
    <row r="2437" spans="2:18" s="57" customFormat="1">
      <c r="B2437" s="1754" t="s">
        <v>1050</v>
      </c>
      <c r="C2437" s="1768"/>
      <c r="D2437" s="724"/>
      <c r="E2437" s="724"/>
      <c r="F2437" s="724"/>
      <c r="G2437" s="724"/>
      <c r="H2437" s="724"/>
      <c r="I2437" s="724"/>
      <c r="J2437" s="724"/>
      <c r="K2437" s="1768"/>
      <c r="L2437" s="724"/>
      <c r="M2437" s="724"/>
      <c r="N2437" s="724"/>
      <c r="O2437" s="724"/>
      <c r="P2437" s="724"/>
      <c r="Q2437" s="724"/>
      <c r="R2437" s="1708"/>
    </row>
    <row r="2438" spans="2:18" s="57" customFormat="1" ht="12.5">
      <c r="B2438" s="1890" t="s">
        <v>94</v>
      </c>
      <c r="C2438" s="1766">
        <f>HN!C291</f>
        <v>31</v>
      </c>
      <c r="D2438" s="701">
        <f>HN!D291</f>
        <v>30</v>
      </c>
      <c r="E2438" s="701">
        <f>HN!E291</f>
        <v>30</v>
      </c>
      <c r="F2438" s="701">
        <f>HN!F291</f>
        <v>29</v>
      </c>
      <c r="G2438" s="701">
        <f>HN!G291</f>
        <v>29</v>
      </c>
      <c r="H2438" s="701">
        <f>HN!H291</f>
        <v>30</v>
      </c>
      <c r="I2438" s="701">
        <f>HN!I291</f>
        <v>30</v>
      </c>
      <c r="J2438" s="701">
        <f>HN!J291</f>
        <v>29</v>
      </c>
      <c r="K2438" s="1766">
        <f>HN!C292</f>
        <v>14</v>
      </c>
      <c r="L2438" s="701">
        <f>HN!D292</f>
        <v>14</v>
      </c>
      <c r="M2438" s="701">
        <f>HN!E292</f>
        <v>14</v>
      </c>
      <c r="N2438" s="701">
        <f>HN!F292</f>
        <v>16</v>
      </c>
      <c r="O2438" s="701">
        <f>HN!G292</f>
        <v>16</v>
      </c>
      <c r="P2438" s="701">
        <f>HN!H292</f>
        <v>15</v>
      </c>
      <c r="Q2438" s="701">
        <f>HN!I292</f>
        <v>15</v>
      </c>
      <c r="R2438" s="707">
        <f>HN!J292</f>
        <v>15</v>
      </c>
    </row>
    <row r="2439" spans="2:18" s="57" customFormat="1" ht="12.5">
      <c r="B2439" s="1892" t="s">
        <v>1271</v>
      </c>
      <c r="C2439" s="1766">
        <f>HN!C306</f>
        <v>19</v>
      </c>
      <c r="D2439" s="701">
        <f>HN!D306</f>
        <v>18</v>
      </c>
      <c r="E2439" s="701">
        <f>HN!E306</f>
        <v>17</v>
      </c>
      <c r="F2439" s="701">
        <f>HN!F306</f>
        <v>17</v>
      </c>
      <c r="G2439" s="701">
        <f>HN!G306</f>
        <v>17</v>
      </c>
      <c r="H2439" s="701">
        <f>HN!H306</f>
        <v>17</v>
      </c>
      <c r="I2439" s="701">
        <f>HN!I306</f>
        <v>17</v>
      </c>
      <c r="J2439" s="701">
        <f>HN!J306</f>
        <v>17</v>
      </c>
      <c r="K2439" s="1766">
        <f>HN!C307</f>
        <v>19</v>
      </c>
      <c r="L2439" s="701">
        <f>HN!D307</f>
        <v>18</v>
      </c>
      <c r="M2439" s="701">
        <f>HN!E307</f>
        <v>17</v>
      </c>
      <c r="N2439" s="701">
        <f>HN!F307</f>
        <v>17</v>
      </c>
      <c r="O2439" s="701">
        <f>HN!G307</f>
        <v>17</v>
      </c>
      <c r="P2439" s="701">
        <f>HN!H307</f>
        <v>17</v>
      </c>
      <c r="Q2439" s="701">
        <f>HN!I307</f>
        <v>17</v>
      </c>
      <c r="R2439" s="707">
        <f>HN!J307</f>
        <v>17</v>
      </c>
    </row>
    <row r="2440" spans="2:18" s="57" customFormat="1" ht="12.5">
      <c r="B2440" s="1892" t="s">
        <v>1272</v>
      </c>
      <c r="C2440" s="1766">
        <f>HN!C319</f>
        <v>19</v>
      </c>
      <c r="D2440" s="701">
        <f>HN!D319</f>
        <v>18</v>
      </c>
      <c r="E2440" s="701">
        <f>HN!E319</f>
        <v>17</v>
      </c>
      <c r="F2440" s="701">
        <f>HN!F319</f>
        <v>17</v>
      </c>
      <c r="G2440" s="701">
        <f>HN!G319</f>
        <v>17</v>
      </c>
      <c r="H2440" s="701">
        <f>HN!H319</f>
        <v>17</v>
      </c>
      <c r="I2440" s="701">
        <f>HN!I319</f>
        <v>17</v>
      </c>
      <c r="J2440" s="701">
        <f>HN!J319</f>
        <v>17</v>
      </c>
      <c r="K2440" s="1766">
        <f>HN!C320</f>
        <v>19</v>
      </c>
      <c r="L2440" s="701">
        <f>HN!D320</f>
        <v>18</v>
      </c>
      <c r="M2440" s="701">
        <f>HN!E320</f>
        <v>17</v>
      </c>
      <c r="N2440" s="701">
        <f>HN!F320</f>
        <v>17</v>
      </c>
      <c r="O2440" s="701">
        <f>HN!G320</f>
        <v>17</v>
      </c>
      <c r="P2440" s="701">
        <f>HN!H320</f>
        <v>17</v>
      </c>
      <c r="Q2440" s="701">
        <f>HN!I320</f>
        <v>17</v>
      </c>
      <c r="R2440" s="707">
        <f>HN!J320</f>
        <v>17</v>
      </c>
    </row>
    <row r="2441" spans="2:18" s="57" customFormat="1" ht="12.5">
      <c r="B2441" s="1892"/>
      <c r="C2441" s="1768"/>
      <c r="D2441" s="724"/>
      <c r="E2441" s="724"/>
      <c r="F2441" s="724"/>
      <c r="G2441" s="724"/>
      <c r="H2441" s="724"/>
      <c r="I2441" s="724"/>
      <c r="J2441" s="724"/>
      <c r="K2441" s="1703"/>
      <c r="R2441" s="656"/>
    </row>
    <row r="2442" spans="2:18" s="57" customFormat="1">
      <c r="B2442" s="1755" t="s">
        <v>1051</v>
      </c>
      <c r="C2442" s="1766"/>
      <c r="D2442" s="701"/>
      <c r="E2442" s="701"/>
      <c r="F2442" s="701"/>
      <c r="G2442" s="701"/>
      <c r="H2442" s="701"/>
      <c r="I2442" s="701"/>
      <c r="J2442" s="701"/>
      <c r="K2442" s="1896"/>
      <c r="L2442" s="713"/>
      <c r="M2442" s="713"/>
      <c r="N2442" s="713"/>
      <c r="O2442" s="713"/>
      <c r="P2442" s="713"/>
      <c r="Q2442" s="713"/>
      <c r="R2442" s="1708"/>
    </row>
    <row r="2443" spans="2:18" s="57" customFormat="1" ht="12.5">
      <c r="B2443" s="1758" t="s">
        <v>1251</v>
      </c>
      <c r="C2443" s="1766">
        <f>JM!C287</f>
        <v>23</v>
      </c>
      <c r="D2443" s="701">
        <f>JM!D287</f>
        <v>24</v>
      </c>
      <c r="E2443" s="701">
        <f>JM!E287</f>
        <v>24</v>
      </c>
      <c r="F2443" s="701">
        <f>JM!F287</f>
        <v>24</v>
      </c>
      <c r="G2443" s="701">
        <f>JM!G287</f>
        <v>24</v>
      </c>
      <c r="H2443" s="701">
        <f>JM!H287</f>
        <v>24</v>
      </c>
      <c r="I2443" s="701">
        <f>JM!I287</f>
        <v>23</v>
      </c>
      <c r="J2443" s="701">
        <f>JM!J287</f>
        <v>23</v>
      </c>
      <c r="K2443" s="1766">
        <f>JM!C288</f>
        <v>21</v>
      </c>
      <c r="L2443" s="701">
        <f>JM!D288</f>
        <v>22</v>
      </c>
      <c r="M2443" s="701">
        <f>JM!E288</f>
        <v>22</v>
      </c>
      <c r="N2443" s="701">
        <f>JM!F288</f>
        <v>22</v>
      </c>
      <c r="O2443" s="701">
        <f>JM!G288</f>
        <v>22</v>
      </c>
      <c r="P2443" s="701">
        <f>JM!H288</f>
        <v>22</v>
      </c>
      <c r="Q2443" s="701">
        <f>JM!I288</f>
        <v>21</v>
      </c>
      <c r="R2443" s="707">
        <f>JM!J288</f>
        <v>21</v>
      </c>
    </row>
    <row r="2444" spans="2:18" s="57" customFormat="1" ht="12.5">
      <c r="B2444" s="1758" t="s">
        <v>1252</v>
      </c>
      <c r="C2444" s="1766">
        <f>JM!C302</f>
        <v>0</v>
      </c>
      <c r="D2444" s="701">
        <f>JM!D302</f>
        <v>0</v>
      </c>
      <c r="E2444" s="701">
        <f>JM!E302</f>
        <v>0</v>
      </c>
      <c r="F2444" s="701">
        <f>JM!F302</f>
        <v>0</v>
      </c>
      <c r="G2444" s="701">
        <f>JM!G302</f>
        <v>0</v>
      </c>
      <c r="H2444" s="701">
        <f>JM!H302</f>
        <v>0</v>
      </c>
      <c r="I2444" s="701">
        <f>JM!I302</f>
        <v>0</v>
      </c>
      <c r="J2444" s="701">
        <f>JM!J302</f>
        <v>0</v>
      </c>
      <c r="K2444" s="1766">
        <f>JM!C303</f>
        <v>8</v>
      </c>
      <c r="L2444" s="701">
        <f>JM!D303</f>
        <v>8</v>
      </c>
      <c r="M2444" s="701">
        <f>JM!E303</f>
        <v>7</v>
      </c>
      <c r="N2444" s="701">
        <f>JM!F303</f>
        <v>9</v>
      </c>
      <c r="O2444" s="701">
        <f>JM!G303</f>
        <v>9</v>
      </c>
      <c r="P2444" s="701">
        <f>JM!H303</f>
        <v>9</v>
      </c>
      <c r="Q2444" s="701">
        <f>JM!I303</f>
        <v>9</v>
      </c>
      <c r="R2444" s="707">
        <f>JM!J303</f>
        <v>10</v>
      </c>
    </row>
    <row r="2445" spans="2:18" s="57" customFormat="1" ht="12.5">
      <c r="B2445" s="1758" t="s">
        <v>1254</v>
      </c>
      <c r="C2445" s="1766">
        <f>JM!C315</f>
        <v>0</v>
      </c>
      <c r="D2445" s="701">
        <f>JM!D315</f>
        <v>0</v>
      </c>
      <c r="E2445" s="701">
        <f>JM!E315</f>
        <v>0</v>
      </c>
      <c r="F2445" s="701">
        <f>JM!F315</f>
        <v>0</v>
      </c>
      <c r="G2445" s="701">
        <f>JM!G315</f>
        <v>0</v>
      </c>
      <c r="H2445" s="701">
        <f>JM!H315</f>
        <v>0</v>
      </c>
      <c r="I2445" s="701">
        <f>JM!I315</f>
        <v>0</v>
      </c>
      <c r="J2445" s="701">
        <f>JM!J315</f>
        <v>0</v>
      </c>
      <c r="K2445" s="1766">
        <f>JM!C316</f>
        <v>7</v>
      </c>
      <c r="L2445" s="701">
        <f>JM!D316</f>
        <v>7</v>
      </c>
      <c r="M2445" s="701">
        <f>JM!E316</f>
        <v>7</v>
      </c>
      <c r="N2445" s="701">
        <f>JM!F316</f>
        <v>8</v>
      </c>
      <c r="O2445" s="701">
        <f>JM!G316</f>
        <v>9</v>
      </c>
      <c r="P2445" s="701">
        <f>JM!H316</f>
        <v>8</v>
      </c>
      <c r="Q2445" s="701">
        <f>JM!I316</f>
        <v>8</v>
      </c>
      <c r="R2445" s="707">
        <f>JM!J316</f>
        <v>8</v>
      </c>
    </row>
    <row r="2446" spans="2:18" s="57" customFormat="1" ht="12.5">
      <c r="B2446" s="1758"/>
      <c r="C2446" s="1766"/>
      <c r="D2446" s="701"/>
      <c r="E2446" s="701"/>
      <c r="F2446" s="701"/>
      <c r="G2446" s="701"/>
      <c r="H2446" s="701"/>
      <c r="I2446" s="701"/>
      <c r="J2446" s="701"/>
      <c r="K2446" s="1766"/>
      <c r="L2446" s="701"/>
      <c r="M2446" s="701"/>
      <c r="N2446" s="701"/>
      <c r="O2446" s="701"/>
      <c r="P2446" s="701"/>
      <c r="Q2446" s="701"/>
      <c r="R2446" s="707"/>
    </row>
    <row r="2447" spans="2:18" s="57" customFormat="1">
      <c r="B2447" s="1755" t="s">
        <v>1052</v>
      </c>
      <c r="C2447" s="1895"/>
      <c r="D2447" s="715"/>
      <c r="E2447" s="715"/>
      <c r="F2447" s="715"/>
      <c r="G2447" s="715"/>
      <c r="H2447" s="715"/>
      <c r="I2447" s="715"/>
      <c r="J2447" s="715"/>
      <c r="K2447" s="1766"/>
      <c r="L2447" s="701"/>
      <c r="M2447" s="701"/>
      <c r="N2447" s="701"/>
      <c r="O2447" s="701"/>
      <c r="P2447" s="701"/>
      <c r="Q2447" s="701"/>
      <c r="R2447" s="1708"/>
    </row>
    <row r="2448" spans="2:18" s="57" customFormat="1" ht="12.5">
      <c r="B2448" s="1756" t="s">
        <v>671</v>
      </c>
      <c r="C2448" s="1766">
        <f>RD!C304</f>
        <v>90</v>
      </c>
      <c r="D2448" s="701">
        <f>RD!D304</f>
        <v>89</v>
      </c>
      <c r="E2448" s="701">
        <f>RD!E304</f>
        <v>89</v>
      </c>
      <c r="F2448" s="701">
        <f>RD!F304</f>
        <v>89</v>
      </c>
      <c r="G2448" s="701">
        <f>RD!G304</f>
        <v>80</v>
      </c>
      <c r="H2448" s="701">
        <f>RD!H304</f>
        <v>83</v>
      </c>
      <c r="I2448" s="701">
        <f>RD!I304</f>
        <v>71</v>
      </c>
      <c r="J2448" s="701">
        <f>RD!J304</f>
        <v>69</v>
      </c>
      <c r="K2448" s="1766">
        <f>RD!C305</f>
        <v>90</v>
      </c>
      <c r="L2448" s="701">
        <f>RD!D305</f>
        <v>89</v>
      </c>
      <c r="M2448" s="701">
        <f>RD!E305</f>
        <v>89</v>
      </c>
      <c r="N2448" s="701">
        <f>RD!F305</f>
        <v>89</v>
      </c>
      <c r="O2448" s="701">
        <f>RD!G305</f>
        <v>80</v>
      </c>
      <c r="P2448" s="701">
        <f>RD!H305</f>
        <v>83</v>
      </c>
      <c r="Q2448" s="701">
        <f>RD!I305</f>
        <v>71</v>
      </c>
      <c r="R2448" s="707">
        <f>RD!J305</f>
        <v>69</v>
      </c>
    </row>
    <row r="2449" spans="2:18" s="57" customFormat="1" ht="12.5">
      <c r="B2449" s="1756" t="s">
        <v>684</v>
      </c>
      <c r="C2449" s="1766">
        <f>RD!C319</f>
        <v>46</v>
      </c>
      <c r="D2449" s="701">
        <f>RD!D319</f>
        <v>47</v>
      </c>
      <c r="E2449" s="701">
        <f>RD!E319</f>
        <v>46</v>
      </c>
      <c r="F2449" s="701">
        <f>RD!F319</f>
        <v>48</v>
      </c>
      <c r="G2449" s="701">
        <f>RD!G319</f>
        <v>48</v>
      </c>
      <c r="H2449" s="701">
        <f>RD!H319</f>
        <v>46</v>
      </c>
      <c r="I2449" s="701">
        <f>RD!I319</f>
        <v>44</v>
      </c>
      <c r="J2449" s="701">
        <f>RD!J319</f>
        <v>43</v>
      </c>
      <c r="K2449" s="1766">
        <f>RD!C320</f>
        <v>0</v>
      </c>
      <c r="L2449" s="701">
        <f>RD!D320</f>
        <v>0</v>
      </c>
      <c r="M2449" s="701">
        <f>RD!E320</f>
        <v>0</v>
      </c>
      <c r="N2449" s="701">
        <f>RD!F320</f>
        <v>0</v>
      </c>
      <c r="O2449" s="701">
        <f>RD!G320</f>
        <v>0</v>
      </c>
      <c r="P2449" s="701">
        <f>RD!H320</f>
        <v>0</v>
      </c>
      <c r="Q2449" s="701">
        <f>RD!I320</f>
        <v>0</v>
      </c>
      <c r="R2449" s="707">
        <f>RD!J320</f>
        <v>0</v>
      </c>
    </row>
    <row r="2450" spans="2:18" s="57" customFormat="1" ht="12.5">
      <c r="B2450" s="1757" t="s">
        <v>674</v>
      </c>
      <c r="C2450" s="1766">
        <f>RD!C325</f>
        <v>25</v>
      </c>
      <c r="D2450" s="701">
        <f>RD!D325</f>
        <v>25</v>
      </c>
      <c r="E2450" s="701">
        <f>RD!E325</f>
        <v>25</v>
      </c>
      <c r="F2450" s="701">
        <f>RD!F325</f>
        <v>25</v>
      </c>
      <c r="G2450" s="701">
        <f>RD!G325</f>
        <v>49</v>
      </c>
      <c r="H2450" s="701">
        <f>RD!H325</f>
        <v>50</v>
      </c>
      <c r="I2450" s="701">
        <f>RD!I325</f>
        <v>54</v>
      </c>
      <c r="J2450" s="701">
        <f>RD!J325</f>
        <v>34</v>
      </c>
      <c r="K2450" s="1766">
        <f>RD!C326</f>
        <v>0</v>
      </c>
      <c r="L2450" s="701">
        <f>RD!D326</f>
        <v>0</v>
      </c>
      <c r="M2450" s="701">
        <f>RD!E326</f>
        <v>0</v>
      </c>
      <c r="N2450" s="701">
        <f>RD!F326</f>
        <v>0</v>
      </c>
      <c r="O2450" s="701">
        <f>RD!G326</f>
        <v>0</v>
      </c>
      <c r="P2450" s="701">
        <f>RD!H326</f>
        <v>0</v>
      </c>
      <c r="Q2450" s="701">
        <f>RD!I326</f>
        <v>0</v>
      </c>
      <c r="R2450" s="707">
        <f>RD!J326</f>
        <v>0</v>
      </c>
    </row>
    <row r="2451" spans="2:18" s="57" customFormat="1" ht="12.5">
      <c r="B2451" s="1757" t="s">
        <v>1269</v>
      </c>
      <c r="C2451" s="1766">
        <f>RD!C331</f>
        <v>26</v>
      </c>
      <c r="D2451" s="701">
        <f>RD!D331</f>
        <v>26</v>
      </c>
      <c r="E2451" s="701">
        <f>RD!E331</f>
        <v>25</v>
      </c>
      <c r="F2451" s="701">
        <f>RD!F331</f>
        <v>26</v>
      </c>
      <c r="G2451" s="701">
        <f>RD!G331</f>
        <v>27</v>
      </c>
      <c r="H2451" s="701">
        <f>RD!H331</f>
        <v>26</v>
      </c>
      <c r="I2451" s="701">
        <f>RD!I331</f>
        <v>26</v>
      </c>
      <c r="J2451" s="701">
        <f>RD!J331</f>
        <v>23</v>
      </c>
      <c r="K2451" s="1766">
        <f>RD!C332</f>
        <v>0</v>
      </c>
      <c r="L2451" s="701">
        <f>RD!D332</f>
        <v>0</v>
      </c>
      <c r="M2451" s="701">
        <f>RD!E332</f>
        <v>0</v>
      </c>
      <c r="N2451" s="701">
        <f>RD!F332</f>
        <v>0</v>
      </c>
      <c r="O2451" s="701">
        <f>RD!G332</f>
        <v>0</v>
      </c>
      <c r="P2451" s="701">
        <f>RD!H332</f>
        <v>0</v>
      </c>
      <c r="Q2451" s="701">
        <f>RD!I332</f>
        <v>0</v>
      </c>
      <c r="R2451" s="707">
        <f>RD!J332</f>
        <v>0</v>
      </c>
    </row>
    <row r="2452" spans="2:18" s="57" customFormat="1" ht="12.5">
      <c r="B2452" s="1757" t="s">
        <v>677</v>
      </c>
      <c r="C2452" s="1766">
        <f>RD!C337</f>
        <v>31</v>
      </c>
      <c r="D2452" s="701">
        <f>RD!D337</f>
        <v>31</v>
      </c>
      <c r="E2452" s="701">
        <f>RD!E337</f>
        <v>31</v>
      </c>
      <c r="F2452" s="701">
        <f>RD!F337</f>
        <v>32</v>
      </c>
      <c r="G2452" s="701">
        <f>RD!G337</f>
        <v>37</v>
      </c>
      <c r="H2452" s="701">
        <f>RD!H337</f>
        <v>39</v>
      </c>
      <c r="I2452" s="701">
        <f>RD!I337</f>
        <v>42</v>
      </c>
      <c r="J2452" s="701">
        <f>RD!J337</f>
        <v>23</v>
      </c>
      <c r="K2452" s="1766">
        <f>RD!C338</f>
        <v>0</v>
      </c>
      <c r="L2452" s="701">
        <f>RD!D338</f>
        <v>0</v>
      </c>
      <c r="M2452" s="701">
        <f>RD!E338</f>
        <v>0</v>
      </c>
      <c r="N2452" s="701">
        <f>RD!F338</f>
        <v>0</v>
      </c>
      <c r="O2452" s="701">
        <f>RD!G338</f>
        <v>0</v>
      </c>
      <c r="P2452" s="701">
        <f>RD!H338</f>
        <v>0</v>
      </c>
      <c r="Q2452" s="701">
        <f>RD!I338</f>
        <v>0</v>
      </c>
      <c r="R2452" s="707">
        <f>RD!J338</f>
        <v>0</v>
      </c>
    </row>
    <row r="2453" spans="2:18" s="57" customFormat="1" ht="12.5">
      <c r="B2453" s="1757" t="s">
        <v>678</v>
      </c>
      <c r="C2453" s="1766">
        <f>RD!C343</f>
        <v>19</v>
      </c>
      <c r="D2453" s="701">
        <f>RD!D343</f>
        <v>22</v>
      </c>
      <c r="E2453" s="701">
        <f>RD!E343</f>
        <v>38</v>
      </c>
      <c r="F2453" s="701">
        <f>RD!F343</f>
        <v>39</v>
      </c>
      <c r="G2453" s="701">
        <f>RD!G343</f>
        <v>52</v>
      </c>
      <c r="H2453" s="701">
        <f>RD!H343</f>
        <v>56</v>
      </c>
      <c r="I2453" s="701">
        <f>RD!I343</f>
        <v>58</v>
      </c>
      <c r="J2453" s="701">
        <f>RD!J343</f>
        <v>32</v>
      </c>
      <c r="K2453" s="1766">
        <f>RD!C344</f>
        <v>0</v>
      </c>
      <c r="L2453" s="701">
        <f>RD!D344</f>
        <v>0</v>
      </c>
      <c r="M2453" s="701">
        <f>RD!E344</f>
        <v>0</v>
      </c>
      <c r="N2453" s="701">
        <f>RD!F344</f>
        <v>0</v>
      </c>
      <c r="O2453" s="701">
        <f>RD!G344</f>
        <v>0</v>
      </c>
      <c r="P2453" s="701">
        <f>RD!H344</f>
        <v>0</v>
      </c>
      <c r="Q2453" s="701">
        <f>RD!I344</f>
        <v>0</v>
      </c>
      <c r="R2453" s="707">
        <f>RD!J344</f>
        <v>0</v>
      </c>
    </row>
    <row r="2454" spans="2:18" s="57" customFormat="1" ht="12.5">
      <c r="B2454" s="1757" t="s">
        <v>1245</v>
      </c>
      <c r="C2454" s="1766">
        <f>RD!C349</f>
        <v>24</v>
      </c>
      <c r="D2454" s="701">
        <f>RD!D349</f>
        <v>26</v>
      </c>
      <c r="E2454" s="701">
        <f>RD!E349</f>
        <v>26</v>
      </c>
      <c r="F2454" s="701">
        <f>RD!F349</f>
        <v>26</v>
      </c>
      <c r="G2454" s="701">
        <f>RD!G349</f>
        <v>26</v>
      </c>
      <c r="H2454" s="701">
        <f>RD!H349</f>
        <v>25</v>
      </c>
      <c r="I2454" s="701">
        <f>RD!I349</f>
        <v>26</v>
      </c>
      <c r="J2454" s="701">
        <f>RD!J349</f>
        <v>26</v>
      </c>
      <c r="K2454" s="1766">
        <f>RD!C350</f>
        <v>0</v>
      </c>
      <c r="L2454" s="701">
        <f>RD!D350</f>
        <v>0</v>
      </c>
      <c r="M2454" s="701">
        <f>RD!E350</f>
        <v>0</v>
      </c>
      <c r="N2454" s="701">
        <f>RD!F350</f>
        <v>0</v>
      </c>
      <c r="O2454" s="701">
        <f>RD!G350</f>
        <v>0</v>
      </c>
      <c r="P2454" s="701">
        <f>RD!H350</f>
        <v>0</v>
      </c>
      <c r="Q2454" s="701">
        <f>RD!I350</f>
        <v>0</v>
      </c>
      <c r="R2454" s="707">
        <f>RD!J350</f>
        <v>0</v>
      </c>
    </row>
    <row r="2455" spans="2:18" s="57" customFormat="1" ht="12.5">
      <c r="B2455" s="1757" t="s">
        <v>1246</v>
      </c>
      <c r="C2455" s="1766">
        <f>RD!C355</f>
        <v>11</v>
      </c>
      <c r="D2455" s="701">
        <f>RD!D355</f>
        <v>11</v>
      </c>
      <c r="E2455" s="701">
        <f>RD!E355</f>
        <v>13</v>
      </c>
      <c r="F2455" s="701">
        <f>RD!F355</f>
        <v>13</v>
      </c>
      <c r="G2455" s="701">
        <f>RD!G355</f>
        <v>13</v>
      </c>
      <c r="H2455" s="701">
        <f>RD!H355</f>
        <v>12</v>
      </c>
      <c r="I2455" s="701">
        <f>RD!I355</f>
        <v>10</v>
      </c>
      <c r="J2455" s="701">
        <f>RD!J355</f>
        <v>10</v>
      </c>
      <c r="K2455" s="1766">
        <f>RD!C356</f>
        <v>0</v>
      </c>
      <c r="L2455" s="701">
        <f>RD!D356</f>
        <v>0</v>
      </c>
      <c r="M2455" s="701">
        <f>RD!E356</f>
        <v>0</v>
      </c>
      <c r="N2455" s="701">
        <f>RD!F356</f>
        <v>0</v>
      </c>
      <c r="O2455" s="701">
        <f>RD!G356</f>
        <v>0</v>
      </c>
      <c r="P2455" s="701">
        <f>RD!H356</f>
        <v>0</v>
      </c>
      <c r="Q2455" s="701">
        <f>RD!I356</f>
        <v>0</v>
      </c>
      <c r="R2455" s="707">
        <f>RD!J356</f>
        <v>0</v>
      </c>
    </row>
    <row r="2456" spans="2:18" s="57" customFormat="1" ht="12.5">
      <c r="B2456" s="1757" t="s">
        <v>719</v>
      </c>
      <c r="C2456" s="1766">
        <f>RD!C361</f>
        <v>0</v>
      </c>
      <c r="D2456" s="701">
        <f>RD!D361</f>
        <v>0</v>
      </c>
      <c r="E2456" s="701">
        <f>RD!E361</f>
        <v>22</v>
      </c>
      <c r="F2456" s="701">
        <f>RD!F361</f>
        <v>25</v>
      </c>
      <c r="G2456" s="701">
        <f>RD!G361</f>
        <v>33</v>
      </c>
      <c r="H2456" s="701">
        <f>RD!H361</f>
        <v>34</v>
      </c>
      <c r="I2456" s="701">
        <f>RD!I361</f>
        <v>39</v>
      </c>
      <c r="J2456" s="701">
        <f>RD!J361</f>
        <v>21</v>
      </c>
      <c r="K2456" s="1766">
        <f>RD!C362</f>
        <v>0</v>
      </c>
      <c r="L2456" s="701">
        <f>RD!D362</f>
        <v>0</v>
      </c>
      <c r="M2456" s="701">
        <f>RD!E362</f>
        <v>0</v>
      </c>
      <c r="N2456" s="701">
        <f>RD!F362</f>
        <v>0</v>
      </c>
      <c r="O2456" s="701">
        <f>RD!G362</f>
        <v>0</v>
      </c>
      <c r="P2456" s="701">
        <f>RD!H362</f>
        <v>0</v>
      </c>
      <c r="Q2456" s="701">
        <f>RD!I362</f>
        <v>0</v>
      </c>
      <c r="R2456" s="707">
        <f>RD!J362</f>
        <v>0</v>
      </c>
    </row>
    <row r="2457" spans="2:18" s="57" customFormat="1" ht="12.5">
      <c r="B2457" s="1758"/>
      <c r="C2457" s="1766"/>
      <c r="D2457" s="701"/>
      <c r="E2457" s="701"/>
      <c r="F2457" s="701"/>
      <c r="G2457" s="701"/>
      <c r="H2457" s="701"/>
      <c r="I2457" s="701"/>
      <c r="J2457" s="701"/>
      <c r="K2457" s="1766"/>
      <c r="L2457" s="701"/>
      <c r="M2457" s="701"/>
      <c r="N2457" s="701"/>
      <c r="O2457" s="701"/>
      <c r="P2457" s="701"/>
      <c r="Q2457" s="701"/>
      <c r="R2457" s="707"/>
    </row>
    <row r="2458" spans="2:18" s="57" customFormat="1">
      <c r="B2458" s="1755" t="s">
        <v>1053</v>
      </c>
      <c r="C2458" s="1766"/>
      <c r="D2458" s="701"/>
      <c r="E2458" s="701"/>
      <c r="F2458" s="701"/>
      <c r="G2458" s="701"/>
      <c r="H2458" s="702"/>
      <c r="I2458" s="702"/>
      <c r="J2458" s="702"/>
      <c r="K2458" s="1896"/>
      <c r="L2458" s="713"/>
      <c r="M2458" s="713"/>
      <c r="N2458" s="713"/>
      <c r="O2458" s="713"/>
      <c r="P2458" s="702"/>
      <c r="Q2458" s="702"/>
      <c r="R2458" s="1708"/>
    </row>
    <row r="2459" spans="2:18" s="57" customFormat="1" ht="12.5">
      <c r="B2459" s="1706" t="s">
        <v>2127</v>
      </c>
      <c r="C2459" s="1766" t="str">
        <f>PY!C287</f>
        <v>0</v>
      </c>
      <c r="D2459" s="701">
        <f>PY!D287</f>
        <v>29</v>
      </c>
      <c r="E2459" s="701">
        <f>PY!E287</f>
        <v>27</v>
      </c>
      <c r="F2459" s="701">
        <f>PY!F287</f>
        <v>27</v>
      </c>
      <c r="G2459" s="701">
        <f>PY!G287</f>
        <v>27</v>
      </c>
      <c r="H2459" s="701">
        <f>PY!H287</f>
        <v>27</v>
      </c>
      <c r="I2459" s="701">
        <f>PY!I287</f>
        <v>27</v>
      </c>
      <c r="J2459" s="701">
        <f>PY!J287</f>
        <v>27</v>
      </c>
      <c r="K2459" s="1766" t="str">
        <f>PY!C288</f>
        <v>0</v>
      </c>
      <c r="L2459" s="701">
        <f>PY!D288</f>
        <v>29</v>
      </c>
      <c r="M2459" s="701">
        <f>PY!E288</f>
        <v>27</v>
      </c>
      <c r="N2459" s="701">
        <f>PY!F288</f>
        <v>27</v>
      </c>
      <c r="O2459" s="701">
        <f>PY!G288</f>
        <v>27</v>
      </c>
      <c r="P2459" s="701">
        <f>PY!H288</f>
        <v>27</v>
      </c>
      <c r="Q2459" s="701">
        <f>PY!I288</f>
        <v>27</v>
      </c>
      <c r="R2459" s="707">
        <f>PY!J288</f>
        <v>27</v>
      </c>
    </row>
    <row r="2460" spans="2:18" s="57" customFormat="1" ht="12.5">
      <c r="B2460" s="1706" t="s">
        <v>2119</v>
      </c>
      <c r="C2460" s="1766" t="s">
        <v>2131</v>
      </c>
      <c r="D2460" s="701" t="s">
        <v>2131</v>
      </c>
      <c r="E2460" s="701" t="s">
        <v>2131</v>
      </c>
      <c r="F2460" s="701" t="s">
        <v>2131</v>
      </c>
      <c r="G2460" s="701" t="s">
        <v>2131</v>
      </c>
      <c r="H2460" s="701" t="s">
        <v>2131</v>
      </c>
      <c r="I2460" s="701" t="s">
        <v>2131</v>
      </c>
      <c r="J2460" s="701" t="s">
        <v>2131</v>
      </c>
      <c r="K2460" s="1766" t="s">
        <v>2131</v>
      </c>
      <c r="L2460" s="701" t="s">
        <v>2131</v>
      </c>
      <c r="M2460" s="701" t="s">
        <v>2131</v>
      </c>
      <c r="N2460" s="701" t="s">
        <v>2131</v>
      </c>
      <c r="O2460" s="701" t="s">
        <v>2131</v>
      </c>
      <c r="P2460" s="701" t="s">
        <v>2131</v>
      </c>
      <c r="Q2460" s="701" t="s">
        <v>2131</v>
      </c>
      <c r="R2460" s="707" t="s">
        <v>2131</v>
      </c>
    </row>
    <row r="2461" spans="2:18" s="57" customFormat="1" ht="12.5">
      <c r="B2461" s="1706" t="s">
        <v>489</v>
      </c>
      <c r="C2461" s="1766">
        <f>PY!C302</f>
        <v>0</v>
      </c>
      <c r="D2461" s="701">
        <f>PY!D302</f>
        <v>29</v>
      </c>
      <c r="E2461" s="701">
        <f>PY!E302</f>
        <v>27</v>
      </c>
      <c r="F2461" s="701">
        <f>PY!F302</f>
        <v>27</v>
      </c>
      <c r="G2461" s="701">
        <f>PY!G302</f>
        <v>27</v>
      </c>
      <c r="H2461" s="701">
        <f>PY!H302</f>
        <v>27</v>
      </c>
      <c r="I2461" s="701">
        <f>PY!I302</f>
        <v>27</v>
      </c>
      <c r="J2461" s="701">
        <f>PY!J302</f>
        <v>27</v>
      </c>
      <c r="K2461" s="1766">
        <f>PY!C303</f>
        <v>0</v>
      </c>
      <c r="L2461" s="701">
        <f>PY!D303</f>
        <v>29</v>
      </c>
      <c r="M2461" s="701">
        <f>PY!E303</f>
        <v>27</v>
      </c>
      <c r="N2461" s="701">
        <f>PY!F303</f>
        <v>27</v>
      </c>
      <c r="O2461" s="701">
        <f>PY!G303</f>
        <v>27</v>
      </c>
      <c r="P2461" s="701">
        <f>PY!H303</f>
        <v>27</v>
      </c>
      <c r="Q2461" s="701">
        <f>PY!I303</f>
        <v>27</v>
      </c>
      <c r="R2461" s="707">
        <f>PY!J303</f>
        <v>27</v>
      </c>
    </row>
    <row r="2462" spans="2:18" s="57" customFormat="1" ht="25">
      <c r="B2462" s="1707" t="s">
        <v>2133</v>
      </c>
      <c r="C2462" s="1766">
        <f>PY!C341+PY!C328</f>
        <v>0</v>
      </c>
      <c r="D2462" s="701">
        <f>PY!D341+PY!D328</f>
        <v>34</v>
      </c>
      <c r="E2462" s="701">
        <f>PY!E341+PY!E328</f>
        <v>34</v>
      </c>
      <c r="F2462" s="701">
        <f>PY!F341+PY!F328</f>
        <v>53</v>
      </c>
      <c r="G2462" s="701">
        <f>PY!G341+PY!G328</f>
        <v>54</v>
      </c>
      <c r="H2462" s="701">
        <f>PY!H341+PY!H328</f>
        <v>54</v>
      </c>
      <c r="I2462" s="701">
        <f>PY!I341+PY!I328</f>
        <v>54</v>
      </c>
      <c r="J2462" s="701">
        <f>PY!J341+PY!J328</f>
        <v>57</v>
      </c>
      <c r="K2462" s="1766">
        <f>PY!C342+PY!C329</f>
        <v>0</v>
      </c>
      <c r="L2462" s="701">
        <f>PY!D342+PY!D329</f>
        <v>34</v>
      </c>
      <c r="M2462" s="701">
        <f>PY!E342+PY!E329</f>
        <v>34</v>
      </c>
      <c r="N2462" s="701">
        <f>PY!F342+PY!F329</f>
        <v>52</v>
      </c>
      <c r="O2462" s="701">
        <f>PY!G342+PY!G329</f>
        <v>53</v>
      </c>
      <c r="P2462" s="701">
        <f>PY!H342+PY!H329</f>
        <v>53</v>
      </c>
      <c r="Q2462" s="701">
        <f>PY!I342+PY!I329</f>
        <v>54</v>
      </c>
      <c r="R2462" s="707">
        <f>PY!J342+PY!J329</f>
        <v>56</v>
      </c>
    </row>
    <row r="2463" spans="2:18" s="57" customFormat="1" ht="12.5">
      <c r="B2463" s="1706" t="s">
        <v>2121</v>
      </c>
      <c r="C2463" s="1766">
        <f>PY!C354</f>
        <v>0</v>
      </c>
      <c r="D2463" s="701">
        <f>PY!D354</f>
        <v>38</v>
      </c>
      <c r="E2463" s="701">
        <f>PY!E354</f>
        <v>45</v>
      </c>
      <c r="F2463" s="701">
        <f>PY!F354</f>
        <v>48</v>
      </c>
      <c r="G2463" s="701">
        <f>PY!G354</f>
        <v>41</v>
      </c>
      <c r="H2463" s="701">
        <f>PY!H354</f>
        <v>42</v>
      </c>
      <c r="I2463" s="701">
        <f>PY!I354</f>
        <v>56</v>
      </c>
      <c r="J2463" s="701">
        <f>PY!J354</f>
        <v>28</v>
      </c>
      <c r="K2463" s="1766">
        <f>PY!C355</f>
        <v>0</v>
      </c>
      <c r="L2463" s="701">
        <f>PY!D355</f>
        <v>38</v>
      </c>
      <c r="M2463" s="701">
        <f>PY!E355</f>
        <v>45</v>
      </c>
      <c r="N2463" s="701">
        <f>PY!F355</f>
        <v>48</v>
      </c>
      <c r="O2463" s="701">
        <f>PY!G355</f>
        <v>41</v>
      </c>
      <c r="P2463" s="701">
        <f>PY!H355</f>
        <v>42</v>
      </c>
      <c r="Q2463" s="701">
        <f>PY!I355</f>
        <v>56</v>
      </c>
      <c r="R2463" s="707">
        <f>PY!J355</f>
        <v>27</v>
      </c>
    </row>
    <row r="2464" spans="2:18" s="57" customFormat="1" ht="12.5">
      <c r="B2464" s="1706" t="s">
        <v>2122</v>
      </c>
      <c r="C2464" s="1766">
        <f>PY!C367</f>
        <v>0</v>
      </c>
      <c r="D2464" s="701">
        <f>PY!D367</f>
        <v>45</v>
      </c>
      <c r="E2464" s="701">
        <f>PY!E367</f>
        <v>43</v>
      </c>
      <c r="F2464" s="701">
        <f>PY!F367</f>
        <v>41</v>
      </c>
      <c r="G2464" s="701">
        <f>PY!G367</f>
        <v>41</v>
      </c>
      <c r="H2464" s="701">
        <f>PY!H367</f>
        <v>41</v>
      </c>
      <c r="I2464" s="701">
        <f>PY!I367</f>
        <v>43</v>
      </c>
      <c r="J2464" s="701">
        <f>PY!J367</f>
        <v>44</v>
      </c>
      <c r="K2464" s="1766">
        <f>PY!C368</f>
        <v>0</v>
      </c>
      <c r="L2464" s="701">
        <f>PY!D368</f>
        <v>45</v>
      </c>
      <c r="M2464" s="701">
        <f>PY!E368</f>
        <v>43</v>
      </c>
      <c r="N2464" s="701">
        <f>PY!F368</f>
        <v>41</v>
      </c>
      <c r="O2464" s="701">
        <f>PY!G368</f>
        <v>41</v>
      </c>
      <c r="P2464" s="701">
        <f>PY!H368</f>
        <v>41</v>
      </c>
      <c r="Q2464" s="701">
        <f>PY!I368</f>
        <v>43</v>
      </c>
      <c r="R2464" s="707">
        <f>PY!J368</f>
        <v>44</v>
      </c>
    </row>
    <row r="2465" spans="2:18" s="57" customFormat="1" ht="12.5">
      <c r="B2465" s="1706" t="s">
        <v>2123</v>
      </c>
      <c r="C2465" s="1766" t="s">
        <v>2131</v>
      </c>
      <c r="D2465" s="701" t="s">
        <v>2131</v>
      </c>
      <c r="E2465" s="701" t="s">
        <v>2131</v>
      </c>
      <c r="F2465" s="701" t="s">
        <v>2131</v>
      </c>
      <c r="G2465" s="701" t="s">
        <v>2131</v>
      </c>
      <c r="H2465" s="701" t="s">
        <v>2131</v>
      </c>
      <c r="I2465" s="701" t="s">
        <v>2131</v>
      </c>
      <c r="J2465" s="701" t="s">
        <v>2131</v>
      </c>
      <c r="K2465" s="1766" t="s">
        <v>2131</v>
      </c>
      <c r="L2465" s="701" t="s">
        <v>2131</v>
      </c>
      <c r="M2465" s="701" t="s">
        <v>2131</v>
      </c>
      <c r="N2465" s="701" t="s">
        <v>2131</v>
      </c>
      <c r="O2465" s="701" t="s">
        <v>2131</v>
      </c>
      <c r="P2465" s="701" t="s">
        <v>2131</v>
      </c>
      <c r="Q2465" s="701" t="s">
        <v>2131</v>
      </c>
      <c r="R2465" s="707" t="s">
        <v>2131</v>
      </c>
    </row>
    <row r="2466" spans="2:18" s="57" customFormat="1" ht="12.5">
      <c r="B2466" s="1706" t="s">
        <v>2124</v>
      </c>
      <c r="C2466" s="1766">
        <f>PY!C380</f>
        <v>0</v>
      </c>
      <c r="D2466" s="701">
        <f>PY!D380</f>
        <v>45</v>
      </c>
      <c r="E2466" s="701">
        <f>PY!E380</f>
        <v>73</v>
      </c>
      <c r="F2466" s="701">
        <f>PY!F380</f>
        <v>86</v>
      </c>
      <c r="G2466" s="701">
        <f>PY!G380</f>
        <v>89</v>
      </c>
      <c r="H2466" s="701">
        <f>PY!H380</f>
        <v>87</v>
      </c>
      <c r="I2466" s="701">
        <f>PY!I380</f>
        <v>87</v>
      </c>
      <c r="J2466" s="701">
        <f>PY!J380</f>
        <v>80</v>
      </c>
      <c r="K2466" s="1766">
        <f>PY!C381</f>
        <v>0</v>
      </c>
      <c r="L2466" s="701">
        <f>PY!D381</f>
        <v>45</v>
      </c>
      <c r="M2466" s="701">
        <f>PY!E381</f>
        <v>73</v>
      </c>
      <c r="N2466" s="701">
        <f>PY!F381</f>
        <v>86</v>
      </c>
      <c r="O2466" s="701">
        <f>PY!G381</f>
        <v>89</v>
      </c>
      <c r="P2466" s="701">
        <f>PY!H381</f>
        <v>87</v>
      </c>
      <c r="Q2466" s="701">
        <f>PY!I381</f>
        <v>87</v>
      </c>
      <c r="R2466" s="707">
        <f>PY!J381</f>
        <v>80</v>
      </c>
    </row>
    <row r="2467" spans="2:18" s="57" customFormat="1" ht="12.5">
      <c r="B2467" s="1707" t="s">
        <v>2130</v>
      </c>
      <c r="C2467" s="1766">
        <f>PY!C393</f>
        <v>0</v>
      </c>
      <c r="D2467" s="701">
        <f>PY!D393</f>
        <v>0</v>
      </c>
      <c r="E2467" s="701">
        <f>PY!E393</f>
        <v>0</v>
      </c>
      <c r="F2467" s="701">
        <f>PY!F393</f>
        <v>0</v>
      </c>
      <c r="G2467" s="701">
        <f>PY!G393</f>
        <v>0</v>
      </c>
      <c r="H2467" s="701">
        <f>PY!H393</f>
        <v>0</v>
      </c>
      <c r="I2467" s="701">
        <f>PY!I393</f>
        <v>5</v>
      </c>
      <c r="J2467" s="701">
        <f>PY!J393</f>
        <v>5</v>
      </c>
      <c r="K2467" s="1766">
        <f>PY!C394</f>
        <v>0</v>
      </c>
      <c r="L2467" s="701">
        <f>PY!D394</f>
        <v>0</v>
      </c>
      <c r="M2467" s="701">
        <f>PY!E394</f>
        <v>0</v>
      </c>
      <c r="N2467" s="701">
        <f>PY!F394</f>
        <v>0</v>
      </c>
      <c r="O2467" s="701">
        <f>PY!G394</f>
        <v>0</v>
      </c>
      <c r="P2467" s="701">
        <f>PY!H394</f>
        <v>0</v>
      </c>
      <c r="Q2467" s="701">
        <f>PY!I394</f>
        <v>0</v>
      </c>
      <c r="R2467" s="707">
        <f>PY!J394</f>
        <v>0</v>
      </c>
    </row>
    <row r="2468" spans="2:18" s="57" customFormat="1" ht="25">
      <c r="B2468" s="1707" t="s">
        <v>2134</v>
      </c>
      <c r="C2468" s="1766">
        <f>PY!C315</f>
        <v>0</v>
      </c>
      <c r="D2468" s="701">
        <f>PY!D315</f>
        <v>18</v>
      </c>
      <c r="E2468" s="701">
        <f>PY!E315</f>
        <v>18</v>
      </c>
      <c r="F2468" s="701">
        <f>PY!F315</f>
        <v>18</v>
      </c>
      <c r="G2468" s="701">
        <f>PY!G315</f>
        <v>0</v>
      </c>
      <c r="H2468" s="701">
        <f>PY!H315</f>
        <v>0</v>
      </c>
      <c r="I2468" s="701">
        <f>PY!I315</f>
        <v>0</v>
      </c>
      <c r="J2468" s="701">
        <f>PY!J315</f>
        <v>0</v>
      </c>
      <c r="K2468" s="1766">
        <f>PY!C316</f>
        <v>0</v>
      </c>
      <c r="L2468" s="701">
        <f>PY!D316</f>
        <v>18</v>
      </c>
      <c r="M2468" s="701">
        <f>PY!E316</f>
        <v>18</v>
      </c>
      <c r="N2468" s="701">
        <f>PY!F316</f>
        <v>18</v>
      </c>
      <c r="O2468" s="701">
        <f>PY!G316</f>
        <v>0</v>
      </c>
      <c r="P2468" s="701">
        <f>PY!H316</f>
        <v>0</v>
      </c>
      <c r="Q2468" s="701">
        <f>PY!I316</f>
        <v>0</v>
      </c>
      <c r="R2468" s="707">
        <f>PY!J316</f>
        <v>0</v>
      </c>
    </row>
    <row r="2469" spans="2:18" s="57" customFormat="1" ht="12.5">
      <c r="B2469" s="1703"/>
      <c r="C2469" s="1703"/>
      <c r="K2469" s="1703"/>
      <c r="R2469" s="656"/>
    </row>
    <row r="2470" spans="2:18" s="57" customFormat="1">
      <c r="B2470" s="1755" t="s">
        <v>1054</v>
      </c>
      <c r="C2470" s="1766"/>
      <c r="D2470" s="701"/>
      <c r="E2470" s="701"/>
      <c r="F2470" s="701"/>
      <c r="G2470" s="701"/>
      <c r="H2470" s="702"/>
      <c r="I2470" s="702"/>
      <c r="J2470" s="702"/>
      <c r="K2470" s="1766"/>
      <c r="L2470" s="701"/>
      <c r="M2470" s="701"/>
      <c r="N2470" s="701"/>
      <c r="O2470" s="701"/>
      <c r="P2470" s="702"/>
      <c r="Q2470" s="702"/>
      <c r="R2470" s="1708"/>
    </row>
    <row r="2471" spans="2:18" s="57" customFormat="1" ht="12.5">
      <c r="B2471" s="1753" t="s">
        <v>94</v>
      </c>
      <c r="C2471" s="1766">
        <f>PE!C290</f>
        <v>58</v>
      </c>
      <c r="D2471" s="701">
        <f>PE!D290</f>
        <v>55</v>
      </c>
      <c r="E2471" s="701">
        <f>PE!E290</f>
        <v>53</v>
      </c>
      <c r="F2471" s="701">
        <f>PE!F290</f>
        <v>54</v>
      </c>
      <c r="G2471" s="701">
        <f>PE!G290</f>
        <v>53</v>
      </c>
      <c r="H2471" s="701">
        <f>PE!H290</f>
        <v>54</v>
      </c>
      <c r="I2471" s="701">
        <f>PE!I290</f>
        <v>54</v>
      </c>
      <c r="J2471" s="701">
        <f>PE!J290</f>
        <v>53</v>
      </c>
      <c r="K2471" s="1766">
        <f>PE!C291</f>
        <v>58</v>
      </c>
      <c r="L2471" s="701">
        <f>PE!D291</f>
        <v>55</v>
      </c>
      <c r="M2471" s="701">
        <f>PE!E291</f>
        <v>53</v>
      </c>
      <c r="N2471" s="701">
        <f>PE!F291</f>
        <v>54</v>
      </c>
      <c r="O2471" s="701">
        <f>PE!G291</f>
        <v>53</v>
      </c>
      <c r="P2471" s="701">
        <f>PE!H291</f>
        <v>54</v>
      </c>
      <c r="Q2471" s="701">
        <f>PE!I291</f>
        <v>54</v>
      </c>
      <c r="R2471" s="707">
        <f>PE!J291</f>
        <v>53</v>
      </c>
    </row>
    <row r="2472" spans="2:18" s="57" customFormat="1" ht="12.5">
      <c r="B2472" s="1753" t="s">
        <v>1257</v>
      </c>
      <c r="C2472" s="1766">
        <f>PE!C305</f>
        <v>23</v>
      </c>
      <c r="D2472" s="701">
        <f>PE!D305</f>
        <v>24</v>
      </c>
      <c r="E2472" s="701">
        <f>PE!E305</f>
        <v>27</v>
      </c>
      <c r="F2472" s="701">
        <f>PE!F305</f>
        <v>30</v>
      </c>
      <c r="G2472" s="701">
        <f>PE!G305</f>
        <v>31</v>
      </c>
      <c r="H2472" s="701">
        <f>PE!H305</f>
        <v>31</v>
      </c>
      <c r="I2472" s="701">
        <f>PE!I305</f>
        <v>31</v>
      </c>
      <c r="J2472" s="701">
        <f>PE!J305</f>
        <v>34</v>
      </c>
      <c r="K2472" s="1766">
        <f>PE!C306</f>
        <v>23</v>
      </c>
      <c r="L2472" s="701">
        <f>PE!D306</f>
        <v>24</v>
      </c>
      <c r="M2472" s="701">
        <f>PE!E306</f>
        <v>27</v>
      </c>
      <c r="N2472" s="701">
        <f>PE!F306</f>
        <v>30</v>
      </c>
      <c r="O2472" s="701">
        <f>PE!G306</f>
        <v>31</v>
      </c>
      <c r="P2472" s="701">
        <f>PE!H306</f>
        <v>31</v>
      </c>
      <c r="Q2472" s="701">
        <f>PE!I306</f>
        <v>31</v>
      </c>
      <c r="R2472" s="707">
        <f>PE!J306</f>
        <v>34</v>
      </c>
    </row>
    <row r="2473" spans="2:18" s="57" customFormat="1" ht="12.5">
      <c r="B2473" s="1753"/>
      <c r="C2473" s="1766"/>
      <c r="D2473" s="701"/>
      <c r="E2473" s="701"/>
      <c r="F2473" s="701"/>
      <c r="G2473" s="701"/>
      <c r="H2473" s="702"/>
      <c r="I2473" s="702"/>
      <c r="J2473" s="702"/>
      <c r="K2473" s="1703"/>
      <c r="R2473" s="656"/>
    </row>
    <row r="2474" spans="2:18" s="57" customFormat="1">
      <c r="B2474" s="1755" t="s">
        <v>1055</v>
      </c>
      <c r="C2474" s="1766"/>
      <c r="D2474" s="701"/>
      <c r="E2474" s="701"/>
      <c r="F2474" s="701"/>
      <c r="G2474" s="701"/>
      <c r="H2474" s="702"/>
      <c r="I2474" s="702"/>
      <c r="J2474" s="702"/>
      <c r="K2474" s="1896"/>
      <c r="L2474" s="713"/>
      <c r="M2474" s="713"/>
      <c r="N2474" s="713"/>
      <c r="O2474" s="713"/>
      <c r="P2474" s="702"/>
      <c r="Q2474" s="702"/>
      <c r="R2474" s="1708"/>
    </row>
    <row r="2475" spans="2:18" s="57" customFormat="1" ht="12.5">
      <c r="B2475" s="1706" t="s">
        <v>2126</v>
      </c>
      <c r="C2475" s="1766">
        <f>TT!C297</f>
        <v>25</v>
      </c>
      <c r="D2475" s="701">
        <f>TT!D297</f>
        <v>25</v>
      </c>
      <c r="E2475" s="701">
        <f>TT!E297</f>
        <v>25</v>
      </c>
      <c r="F2475" s="701">
        <f>TT!F297</f>
        <v>25</v>
      </c>
      <c r="G2475" s="701">
        <f>TT!G297</f>
        <v>25</v>
      </c>
      <c r="H2475" s="701">
        <f>TT!H297</f>
        <v>25</v>
      </c>
      <c r="I2475" s="701">
        <f>TT!I297</f>
        <v>25</v>
      </c>
      <c r="J2475" s="701">
        <f>TT!J297</f>
        <v>25</v>
      </c>
      <c r="K2475" s="1766">
        <f>TT!C298</f>
        <v>9</v>
      </c>
      <c r="L2475" s="701">
        <f>TT!D298</f>
        <v>9</v>
      </c>
      <c r="M2475" s="701">
        <f>TT!E298</f>
        <v>9</v>
      </c>
      <c r="N2475" s="701">
        <f>TT!F298</f>
        <v>9</v>
      </c>
      <c r="O2475" s="701">
        <f>TT!G298</f>
        <v>9</v>
      </c>
      <c r="P2475" s="701">
        <f>TT!H298</f>
        <v>9</v>
      </c>
      <c r="Q2475" s="701">
        <f>TT!I298</f>
        <v>9</v>
      </c>
      <c r="R2475" s="707">
        <f>TT!J298</f>
        <v>9</v>
      </c>
    </row>
    <row r="2476" spans="2:18" s="57" customFormat="1" ht="12.5">
      <c r="B2476" s="1758" t="s">
        <v>489</v>
      </c>
      <c r="C2476" s="1766">
        <f>TT!C325</f>
        <v>9</v>
      </c>
      <c r="D2476" s="701">
        <f>TT!D325</f>
        <v>9</v>
      </c>
      <c r="E2476" s="701">
        <f>TT!E325</f>
        <v>9</v>
      </c>
      <c r="F2476" s="701">
        <f>TT!F325</f>
        <v>9</v>
      </c>
      <c r="G2476" s="701">
        <f>TT!G325</f>
        <v>9</v>
      </c>
      <c r="H2476" s="701">
        <f>TT!H325</f>
        <v>9</v>
      </c>
      <c r="I2476" s="701">
        <f>TT!I325</f>
        <v>9</v>
      </c>
      <c r="J2476" s="701">
        <f>TT!J325</f>
        <v>9</v>
      </c>
      <c r="K2476" s="1766">
        <f>TT!C326</f>
        <v>9</v>
      </c>
      <c r="L2476" s="701">
        <f>TT!D326</f>
        <v>9</v>
      </c>
      <c r="M2476" s="701">
        <f>TT!E326</f>
        <v>9</v>
      </c>
      <c r="N2476" s="701">
        <f>TT!F326</f>
        <v>9</v>
      </c>
      <c r="O2476" s="701">
        <f>TT!G326</f>
        <v>9</v>
      </c>
      <c r="P2476" s="701">
        <f>TT!H326</f>
        <v>9</v>
      </c>
      <c r="Q2476" s="701">
        <f>TT!I326</f>
        <v>9</v>
      </c>
      <c r="R2476" s="707">
        <f>TT!J326</f>
        <v>9</v>
      </c>
    </row>
    <row r="2477" spans="2:18" s="57" customFormat="1" ht="12.5">
      <c r="B2477" s="1758" t="s">
        <v>353</v>
      </c>
      <c r="C2477" s="1766" t="s">
        <v>2131</v>
      </c>
      <c r="D2477" s="701" t="s">
        <v>2131</v>
      </c>
      <c r="E2477" s="701" t="s">
        <v>2131</v>
      </c>
      <c r="F2477" s="701" t="s">
        <v>2131</v>
      </c>
      <c r="G2477" s="701" t="s">
        <v>2131</v>
      </c>
      <c r="H2477" s="701" t="s">
        <v>2131</v>
      </c>
      <c r="I2477" s="701" t="s">
        <v>2131</v>
      </c>
      <c r="J2477" s="701" t="s">
        <v>2131</v>
      </c>
      <c r="K2477" s="1766" t="s">
        <v>2131</v>
      </c>
      <c r="L2477" s="701" t="s">
        <v>2131</v>
      </c>
      <c r="M2477" s="701" t="s">
        <v>2131</v>
      </c>
      <c r="N2477" s="701" t="s">
        <v>2131</v>
      </c>
      <c r="O2477" s="701" t="s">
        <v>2131</v>
      </c>
      <c r="P2477" s="701" t="s">
        <v>2131</v>
      </c>
      <c r="Q2477" s="701" t="s">
        <v>2131</v>
      </c>
      <c r="R2477" s="707" t="s">
        <v>2131</v>
      </c>
    </row>
    <row r="2478" spans="2:18" s="57" customFormat="1" ht="12.5">
      <c r="B2478" s="726" t="s">
        <v>1259</v>
      </c>
      <c r="C2478" s="1710">
        <f>TT!C312</f>
        <v>7</v>
      </c>
      <c r="D2478" s="1711">
        <f>TT!D312</f>
        <v>7</v>
      </c>
      <c r="E2478" s="1711">
        <f>TT!E312</f>
        <v>7</v>
      </c>
      <c r="F2478" s="1711">
        <f>TT!F312</f>
        <v>8</v>
      </c>
      <c r="G2478" s="1711">
        <f>TT!G312</f>
        <v>8</v>
      </c>
      <c r="H2478" s="1711">
        <f>TT!H312</f>
        <v>8</v>
      </c>
      <c r="I2478" s="1711">
        <f>TT!I312</f>
        <v>8</v>
      </c>
      <c r="J2478" s="1711">
        <f>TT!J312</f>
        <v>7</v>
      </c>
      <c r="K2478" s="1710">
        <f>TT!C313</f>
        <v>7</v>
      </c>
      <c r="L2478" s="1711">
        <f>TT!D313</f>
        <v>7</v>
      </c>
      <c r="M2478" s="1711">
        <f>TT!E313</f>
        <v>7</v>
      </c>
      <c r="N2478" s="1711">
        <f>TT!F313</f>
        <v>8</v>
      </c>
      <c r="O2478" s="1711">
        <f>TT!G313</f>
        <v>8</v>
      </c>
      <c r="P2478" s="1711">
        <f>TT!H313</f>
        <v>8</v>
      </c>
      <c r="Q2478" s="1711">
        <f>TT!I313</f>
        <v>8</v>
      </c>
      <c r="R2478" s="1712">
        <f>TT!J313</f>
        <v>7</v>
      </c>
    </row>
    <row r="2479" spans="2:18" s="57" customFormat="1" ht="12.5"/>
    <row r="2480" spans="2:18" s="57" customFormat="1" ht="13">
      <c r="B2480" s="2158" t="s">
        <v>1282</v>
      </c>
      <c r="C2480" s="2158"/>
      <c r="D2480" s="2158"/>
      <c r="E2480" s="2158"/>
      <c r="F2480" s="2158"/>
      <c r="G2480" s="2158"/>
      <c r="H2480" s="2158"/>
      <c r="I2480" s="2158"/>
      <c r="J2480" s="2158"/>
      <c r="K2480" s="2158"/>
      <c r="L2480" s="2158"/>
      <c r="M2480" s="2158"/>
      <c r="N2480" s="2158"/>
      <c r="O2480" s="2158"/>
      <c r="P2480" s="2158"/>
      <c r="Q2480" s="2158"/>
      <c r="R2480" s="2158"/>
    </row>
    <row r="2481" spans="2:18" s="57" customFormat="1" ht="13">
      <c r="B2481" s="2159" t="s">
        <v>332</v>
      </c>
      <c r="C2481" s="2159"/>
      <c r="D2481" s="2159"/>
      <c r="E2481" s="2159"/>
      <c r="F2481" s="2159"/>
      <c r="G2481" s="2159"/>
      <c r="H2481" s="2159"/>
      <c r="I2481" s="2159"/>
      <c r="J2481" s="2159"/>
      <c r="K2481" s="2159"/>
      <c r="L2481" s="2159"/>
      <c r="M2481" s="2159"/>
      <c r="N2481" s="2159"/>
      <c r="O2481" s="2159"/>
      <c r="P2481" s="2159"/>
      <c r="Q2481" s="2159"/>
      <c r="R2481" s="2159"/>
    </row>
    <row r="2482" spans="2:18" s="57" customFormat="1" ht="13">
      <c r="B2482" s="581" t="s">
        <v>1035</v>
      </c>
      <c r="C2482" s="611"/>
      <c r="D2482" s="611"/>
      <c r="E2482" s="644"/>
      <c r="F2482" s="644"/>
      <c r="G2482" s="644"/>
      <c r="H2482" s="644"/>
      <c r="I2482" s="644"/>
      <c r="J2482" s="644"/>
      <c r="K2482" s="644"/>
      <c r="L2482" s="644"/>
      <c r="M2482" s="644"/>
      <c r="N2482" s="644"/>
      <c r="O2482" s="644"/>
      <c r="P2482" s="644"/>
      <c r="Q2482" s="644"/>
    </row>
    <row r="2483" spans="2:18" s="57" customFormat="1" ht="13">
      <c r="B2483" s="612" t="s">
        <v>2139</v>
      </c>
      <c r="C2483" s="613"/>
      <c r="D2483" s="613"/>
      <c r="E2483" s="644"/>
      <c r="F2483" s="644"/>
      <c r="G2483" s="644"/>
      <c r="H2483" s="644"/>
      <c r="I2483" s="644"/>
      <c r="J2483" s="644"/>
      <c r="K2483" s="612" t="s">
        <v>2140</v>
      </c>
      <c r="L2483" s="644"/>
      <c r="M2483" s="644"/>
      <c r="N2483" s="644"/>
      <c r="O2483" s="644"/>
      <c r="P2483" s="644"/>
      <c r="Q2483" s="644"/>
    </row>
    <row r="2484" spans="2:18" s="57" customFormat="1" ht="12.5">
      <c r="B2484" s="2233" t="s">
        <v>11</v>
      </c>
      <c r="C2484" s="2230" t="s">
        <v>1283</v>
      </c>
      <c r="D2484" s="2231"/>
      <c r="E2484" s="2231"/>
      <c r="F2484" s="2231"/>
      <c r="G2484" s="2231"/>
      <c r="H2484" s="2231"/>
      <c r="I2484" s="2231"/>
      <c r="J2484" s="2232"/>
      <c r="K2484" s="2245" t="s">
        <v>1284</v>
      </c>
      <c r="L2484" s="2246"/>
      <c r="M2484" s="2246"/>
      <c r="N2484" s="2246"/>
      <c r="O2484" s="2246"/>
      <c r="P2484" s="2246"/>
      <c r="Q2484" s="2246"/>
      <c r="R2484" s="2247"/>
    </row>
    <row r="2485" spans="2:18" s="57" customFormat="1" ht="12.5">
      <c r="B2485" s="2234"/>
      <c r="C2485" s="587">
        <v>2014</v>
      </c>
      <c r="D2485" s="588">
        <v>2015</v>
      </c>
      <c r="E2485" s="588">
        <v>2016</v>
      </c>
      <c r="F2485" s="588">
        <v>2017</v>
      </c>
      <c r="G2485" s="588">
        <v>2018</v>
      </c>
      <c r="H2485" s="588">
        <v>2019</v>
      </c>
      <c r="I2485" s="588">
        <v>2020</v>
      </c>
      <c r="J2485" s="588">
        <v>2021</v>
      </c>
      <c r="K2485" s="587">
        <v>2014</v>
      </c>
      <c r="L2485" s="588">
        <v>2015</v>
      </c>
      <c r="M2485" s="588">
        <v>2016</v>
      </c>
      <c r="N2485" s="588">
        <v>2017</v>
      </c>
      <c r="O2485" s="588">
        <v>2018</v>
      </c>
      <c r="P2485" s="588">
        <v>2019</v>
      </c>
      <c r="Q2485" s="588">
        <v>2020</v>
      </c>
      <c r="R2485" s="848">
        <v>2021</v>
      </c>
    </row>
    <row r="2486" spans="2:18" s="57" customFormat="1">
      <c r="B2486" s="727" t="s">
        <v>1038</v>
      </c>
      <c r="C2486" s="728"/>
      <c r="D2486" s="729"/>
      <c r="E2486" s="729"/>
      <c r="F2486" s="729"/>
      <c r="G2486" s="729"/>
      <c r="H2486" s="729"/>
      <c r="I2486" s="729"/>
      <c r="J2486" s="729"/>
      <c r="K2486" s="728"/>
      <c r="L2486" s="729"/>
      <c r="M2486" s="729"/>
      <c r="N2486" s="729"/>
      <c r="O2486" s="729"/>
      <c r="P2486" s="729"/>
      <c r="Q2486" s="729"/>
      <c r="R2486" s="1653"/>
    </row>
    <row r="2487" spans="2:18" s="57" customFormat="1">
      <c r="B2487" s="1752" t="s">
        <v>95</v>
      </c>
      <c r="C2487" s="1900"/>
      <c r="D2487" s="730"/>
      <c r="E2487" s="730"/>
      <c r="F2487" s="730"/>
      <c r="G2487" s="730"/>
      <c r="H2487" s="730"/>
      <c r="I2487" s="730"/>
      <c r="J2487" s="730"/>
      <c r="K2487" s="1900"/>
      <c r="L2487" s="730"/>
      <c r="M2487" s="730"/>
      <c r="N2487" s="730"/>
      <c r="O2487" s="730"/>
      <c r="P2487" s="730"/>
      <c r="Q2487" s="730"/>
      <c r="R2487" s="1708"/>
    </row>
    <row r="2488" spans="2:18" s="57" customFormat="1" ht="13">
      <c r="B2488" s="1898" t="s">
        <v>1285</v>
      </c>
      <c r="C2488" s="1897">
        <f>ARG!C400</f>
        <v>0.66643336072142245</v>
      </c>
      <c r="D2488" s="1713">
        <f>ARG!D400</f>
        <v>0.69988267739330512</v>
      </c>
      <c r="E2488" s="1713">
        <f>ARG!E400</f>
        <v>0.51702905694875145</v>
      </c>
      <c r="F2488" s="1713">
        <f>ARG!F400</f>
        <v>0.49187688511105021</v>
      </c>
      <c r="G2488" s="1713">
        <f>ARG!G400</f>
        <v>0.55292529892269449</v>
      </c>
      <c r="H2488" s="1713">
        <f>ARG!H400</f>
        <v>0.53091484172269265</v>
      </c>
      <c r="I2488" s="1713">
        <f>ARG!I400</f>
        <v>0</v>
      </c>
      <c r="J2488" s="1713">
        <f>ARG!J400</f>
        <v>0</v>
      </c>
      <c r="K2488" s="1897">
        <f>ARG!C553</f>
        <v>0.42459999999999998</v>
      </c>
      <c r="L2488" s="1713">
        <f>ARG!D553</f>
        <v>0.57779999999999998</v>
      </c>
      <c r="M2488" s="1713">
        <f>ARG!E553</f>
        <v>0.50560000000000005</v>
      </c>
      <c r="N2488" s="1713">
        <f>ARG!F553</f>
        <v>0.48620000000000002</v>
      </c>
      <c r="O2488" s="1713">
        <f>ARG!G553</f>
        <v>0.45069999999999999</v>
      </c>
      <c r="P2488" s="1713">
        <f>ARG!H553</f>
        <v>0.56699999999999995</v>
      </c>
      <c r="Q2488" s="1713">
        <f>ARG!I553</f>
        <v>0</v>
      </c>
      <c r="R2488" s="1747">
        <f>ARG!J553</f>
        <v>0</v>
      </c>
    </row>
    <row r="2489" spans="2:18" s="57" customFormat="1" ht="13">
      <c r="B2489" s="1898" t="s">
        <v>659</v>
      </c>
      <c r="C2489" s="1897">
        <f>ARG!C401</f>
        <v>0.36881318091721749</v>
      </c>
      <c r="D2489" s="1713">
        <f>ARG!D401</f>
        <v>0.36291856299249625</v>
      </c>
      <c r="E2489" s="1713">
        <f>ARG!E401</f>
        <v>0.40070872285316683</v>
      </c>
      <c r="F2489" s="1713">
        <f>ARG!F401</f>
        <v>0.43686679327405065</v>
      </c>
      <c r="G2489" s="1713">
        <f>ARG!G401</f>
        <v>0.45835987524715327</v>
      </c>
      <c r="H2489" s="1713">
        <f>ARG!H401</f>
        <v>0.42135231567820625</v>
      </c>
      <c r="I2489" s="1713">
        <f>ARG!I401</f>
        <v>0</v>
      </c>
      <c r="J2489" s="1713">
        <f>ARG!J401</f>
        <v>0</v>
      </c>
      <c r="K2489" s="1897">
        <f>ARG!C554</f>
        <v>0.98899999999999999</v>
      </c>
      <c r="L2489" s="1713">
        <f>ARG!D554</f>
        <v>0.99880000000000002</v>
      </c>
      <c r="M2489" s="1713">
        <f>ARG!E554</f>
        <v>0.99970000000000003</v>
      </c>
      <c r="N2489" s="1713">
        <f>ARG!F554</f>
        <v>1</v>
      </c>
      <c r="O2489" s="1713">
        <f>ARG!G554</f>
        <v>0.96809999999999996</v>
      </c>
      <c r="P2489" s="1713">
        <f>ARG!H554</f>
        <v>0.9738</v>
      </c>
      <c r="Q2489" s="1713">
        <f>ARG!I554</f>
        <v>0</v>
      </c>
      <c r="R2489" s="1747">
        <f>ARG!J554</f>
        <v>0</v>
      </c>
    </row>
    <row r="2490" spans="2:18" s="57" customFormat="1" ht="13">
      <c r="B2490" s="1898" t="s">
        <v>1286</v>
      </c>
      <c r="C2490" s="1897">
        <f>ARG!C402</f>
        <v>0.75</v>
      </c>
      <c r="D2490" s="1713">
        <f>ARG!D402</f>
        <v>0.92307692307692313</v>
      </c>
      <c r="E2490" s="1713">
        <f>ARG!E402</f>
        <v>0.97777777777777775</v>
      </c>
      <c r="F2490" s="1713">
        <f>ARG!F402</f>
        <v>0.96846846846846846</v>
      </c>
      <c r="G2490" s="1713">
        <f>ARG!G402</f>
        <v>0.94871794871794868</v>
      </c>
      <c r="H2490" s="1713">
        <f>ARG!H402</f>
        <v>0.83388704318936868</v>
      </c>
      <c r="I2490" s="1713">
        <f>ARG!I402</f>
        <v>0</v>
      </c>
      <c r="J2490" s="1713">
        <f>ARG!J402</f>
        <v>0</v>
      </c>
      <c r="K2490" s="1897">
        <f>ARG!C555</f>
        <v>0.50460000000000005</v>
      </c>
      <c r="L2490" s="1713">
        <f>ARG!D555</f>
        <v>0.53990000000000005</v>
      </c>
      <c r="M2490" s="1713">
        <f>ARG!E555</f>
        <v>0.51910000000000001</v>
      </c>
      <c r="N2490" s="1713">
        <f>ARG!F555</f>
        <v>0.55030000000000001</v>
      </c>
      <c r="O2490" s="1713">
        <f>ARG!G555</f>
        <v>0.45939999999999998</v>
      </c>
      <c r="P2490" s="1713">
        <f>ARG!H555</f>
        <v>0.50190000000000001</v>
      </c>
      <c r="Q2490" s="1713">
        <f>ARG!I555</f>
        <v>0</v>
      </c>
      <c r="R2490" s="1747">
        <f>ARG!J555</f>
        <v>0</v>
      </c>
    </row>
    <row r="2491" spans="2:18" s="57" customFormat="1" ht="12.5">
      <c r="B2491" s="1756" t="s">
        <v>93</v>
      </c>
      <c r="C2491" s="1897">
        <f>ARG!C438</f>
        <v>0</v>
      </c>
      <c r="D2491" s="1713">
        <f>ARG!D438</f>
        <v>0</v>
      </c>
      <c r="E2491" s="1713">
        <f>ARG!E438</f>
        <v>0</v>
      </c>
      <c r="F2491" s="1713">
        <f>ARG!F438</f>
        <v>0</v>
      </c>
      <c r="G2491" s="1713">
        <f>ARG!G438</f>
        <v>0</v>
      </c>
      <c r="H2491" s="1713">
        <f>ARG!H438</f>
        <v>0</v>
      </c>
      <c r="I2491" s="1713">
        <f>ARG!I438</f>
        <v>0</v>
      </c>
      <c r="J2491" s="1713">
        <f>ARG!J438</f>
        <v>0</v>
      </c>
      <c r="K2491" s="1897">
        <f>ARG!C591</f>
        <v>0</v>
      </c>
      <c r="L2491" s="1713">
        <f>ARG!D591</f>
        <v>0</v>
      </c>
      <c r="M2491" s="1713">
        <f>ARG!E591</f>
        <v>0</v>
      </c>
      <c r="N2491" s="1713">
        <f>ARG!F591</f>
        <v>0</v>
      </c>
      <c r="O2491" s="1713">
        <f>ARG!G591</f>
        <v>0</v>
      </c>
      <c r="P2491" s="1713">
        <f>ARG!H591</f>
        <v>0</v>
      </c>
      <c r="Q2491" s="1713">
        <f>ARG!I591</f>
        <v>0</v>
      </c>
      <c r="R2491" s="1747">
        <f>ARG!J591</f>
        <v>0</v>
      </c>
    </row>
    <row r="2492" spans="2:18" s="57" customFormat="1" ht="12.5">
      <c r="B2492" s="1757" t="s">
        <v>92</v>
      </c>
      <c r="C2492" s="1897">
        <f>ARG!C409</f>
        <v>0</v>
      </c>
      <c r="D2492" s="1713">
        <f>ARG!D409</f>
        <v>0</v>
      </c>
      <c r="E2492" s="1713">
        <f>ARG!E409</f>
        <v>0</v>
      </c>
      <c r="F2492" s="1713">
        <f>ARG!F409</f>
        <v>0</v>
      </c>
      <c r="G2492" s="1713">
        <f>ARG!G409</f>
        <v>0</v>
      </c>
      <c r="H2492" s="1713">
        <f>ARG!H409</f>
        <v>0</v>
      </c>
      <c r="I2492" s="1713">
        <f>ARG!I409</f>
        <v>0</v>
      </c>
      <c r="J2492" s="1713">
        <f>ARG!J409</f>
        <v>0</v>
      </c>
      <c r="K2492" s="1897">
        <f>ARG!C562</f>
        <v>0</v>
      </c>
      <c r="L2492" s="1713">
        <f>ARG!D562</f>
        <v>0</v>
      </c>
      <c r="M2492" s="1713">
        <f>ARG!E562</f>
        <v>0</v>
      </c>
      <c r="N2492" s="1713">
        <f>ARG!F562</f>
        <v>0</v>
      </c>
      <c r="O2492" s="1713">
        <f>ARG!G562</f>
        <v>0</v>
      </c>
      <c r="P2492" s="1713">
        <f>ARG!H562</f>
        <v>0</v>
      </c>
      <c r="Q2492" s="1713">
        <f>ARG!I562</f>
        <v>0</v>
      </c>
      <c r="R2492" s="1747">
        <f>ARG!J562</f>
        <v>0</v>
      </c>
    </row>
    <row r="2493" spans="2:18" s="57" customFormat="1" ht="12.5">
      <c r="B2493" s="1757" t="s">
        <v>89</v>
      </c>
      <c r="C2493" s="1897">
        <f>ARG!C416</f>
        <v>0</v>
      </c>
      <c r="D2493" s="1713">
        <f>ARG!D416</f>
        <v>0</v>
      </c>
      <c r="E2493" s="1713">
        <f>ARG!E416</f>
        <v>0</v>
      </c>
      <c r="F2493" s="1713">
        <f>ARG!F416</f>
        <v>0</v>
      </c>
      <c r="G2493" s="1713">
        <f>ARG!G416</f>
        <v>0</v>
      </c>
      <c r="H2493" s="1713">
        <f>ARG!H416</f>
        <v>0</v>
      </c>
      <c r="I2493" s="1713">
        <f>ARG!I416</f>
        <v>0</v>
      </c>
      <c r="J2493" s="1713">
        <f>ARG!J416</f>
        <v>0</v>
      </c>
      <c r="K2493" s="1897">
        <f>ARG!C569</f>
        <v>0</v>
      </c>
      <c r="L2493" s="1713">
        <f>ARG!D569</f>
        <v>0</v>
      </c>
      <c r="M2493" s="1713">
        <f>ARG!E569</f>
        <v>0</v>
      </c>
      <c r="N2493" s="1713">
        <f>ARG!F569</f>
        <v>0</v>
      </c>
      <c r="O2493" s="1713">
        <f>ARG!G569</f>
        <v>0</v>
      </c>
      <c r="P2493" s="1713">
        <f>ARG!H569</f>
        <v>0</v>
      </c>
      <c r="Q2493" s="1713">
        <f>ARG!I569</f>
        <v>0</v>
      </c>
      <c r="R2493" s="1747">
        <f>ARG!J569</f>
        <v>0</v>
      </c>
    </row>
    <row r="2494" spans="2:18" s="57" customFormat="1" ht="12.5">
      <c r="B2494" s="1753" t="s">
        <v>85</v>
      </c>
      <c r="C2494" s="1897">
        <f>ARG!C458</f>
        <v>0</v>
      </c>
      <c r="D2494" s="1713">
        <f>ARG!D458</f>
        <v>0</v>
      </c>
      <c r="E2494" s="1713">
        <f>ARG!E458</f>
        <v>0</v>
      </c>
      <c r="F2494" s="1713">
        <f>ARG!F458</f>
        <v>0</v>
      </c>
      <c r="G2494" s="1713">
        <f>ARG!G458</f>
        <v>0</v>
      </c>
      <c r="H2494" s="1713">
        <f>ARG!H458</f>
        <v>0</v>
      </c>
      <c r="I2494" s="1713">
        <f>ARG!I458</f>
        <v>0</v>
      </c>
      <c r="J2494" s="1713">
        <f>ARG!J458</f>
        <v>0</v>
      </c>
      <c r="K2494" s="1897">
        <f>ARG!C611</f>
        <v>0</v>
      </c>
      <c r="L2494" s="1713">
        <f>ARG!D611</f>
        <v>0</v>
      </c>
      <c r="M2494" s="1713">
        <f>ARG!E611</f>
        <v>0</v>
      </c>
      <c r="N2494" s="1713">
        <f>ARG!F611</f>
        <v>0</v>
      </c>
      <c r="O2494" s="1713">
        <f>ARG!G611</f>
        <v>0</v>
      </c>
      <c r="P2494" s="1713">
        <f>ARG!H611</f>
        <v>0</v>
      </c>
      <c r="Q2494" s="1713">
        <f>ARG!I611</f>
        <v>0</v>
      </c>
      <c r="R2494" s="1747">
        <f>ARG!J611</f>
        <v>0</v>
      </c>
    </row>
    <row r="2495" spans="2:18" s="57" customFormat="1" ht="12.5">
      <c r="B2495" s="1753" t="s">
        <v>83</v>
      </c>
      <c r="C2495" s="1897">
        <f>ARG!C498</f>
        <v>0</v>
      </c>
      <c r="D2495" s="1713">
        <f>ARG!D498</f>
        <v>0</v>
      </c>
      <c r="E2495" s="1713">
        <f>ARG!E498</f>
        <v>0</v>
      </c>
      <c r="F2495" s="1713">
        <f>ARG!F498</f>
        <v>0</v>
      </c>
      <c r="G2495" s="1713">
        <f>ARG!G498</f>
        <v>0</v>
      </c>
      <c r="H2495" s="1713">
        <f>ARG!H498</f>
        <v>0</v>
      </c>
      <c r="I2495" s="1713">
        <f>ARG!I498</f>
        <v>0</v>
      </c>
      <c r="J2495" s="1713">
        <f>ARG!J498</f>
        <v>0</v>
      </c>
      <c r="K2495" s="1897">
        <f>ARG!C651</f>
        <v>0</v>
      </c>
      <c r="L2495" s="1713">
        <f>ARG!D651</f>
        <v>0</v>
      </c>
      <c r="M2495" s="1713">
        <f>ARG!E651</f>
        <v>0</v>
      </c>
      <c r="N2495" s="1713">
        <f>ARG!F651</f>
        <v>0</v>
      </c>
      <c r="O2495" s="1713">
        <f>ARG!G651</f>
        <v>0</v>
      </c>
      <c r="P2495" s="1713">
        <f>ARG!H651</f>
        <v>0</v>
      </c>
      <c r="Q2495" s="1713">
        <f>ARG!I651</f>
        <v>0</v>
      </c>
      <c r="R2495" s="1747">
        <f>ARG!J651</f>
        <v>0</v>
      </c>
    </row>
    <row r="2496" spans="2:18" s="57" customFormat="1" ht="12.5">
      <c r="B2496" s="1753" t="s">
        <v>299</v>
      </c>
      <c r="C2496" s="1897">
        <f>ARG!C518</f>
        <v>0</v>
      </c>
      <c r="D2496" s="1713">
        <f>ARG!D518</f>
        <v>0</v>
      </c>
      <c r="E2496" s="1713">
        <f>ARG!E518</f>
        <v>0</v>
      </c>
      <c r="F2496" s="1713">
        <f>ARG!F518</f>
        <v>0</v>
      </c>
      <c r="G2496" s="1713">
        <f>ARG!G518</f>
        <v>0</v>
      </c>
      <c r="H2496" s="1713">
        <f>ARG!H518</f>
        <v>0</v>
      </c>
      <c r="I2496" s="1713">
        <f>ARG!I518</f>
        <v>0</v>
      </c>
      <c r="J2496" s="1713">
        <f>ARG!J518</f>
        <v>0</v>
      </c>
      <c r="K2496" s="1897">
        <f>ARG!C671</f>
        <v>0</v>
      </c>
      <c r="L2496" s="1713">
        <f>ARG!D671</f>
        <v>0</v>
      </c>
      <c r="M2496" s="1713">
        <f>ARG!E671</f>
        <v>0</v>
      </c>
      <c r="N2496" s="1713">
        <f>ARG!F671</f>
        <v>0</v>
      </c>
      <c r="O2496" s="1713">
        <f>ARG!G671</f>
        <v>0</v>
      </c>
      <c r="P2496" s="1713">
        <f>ARG!H671</f>
        <v>0</v>
      </c>
      <c r="Q2496" s="1713">
        <f>ARG!I671</f>
        <v>0</v>
      </c>
      <c r="R2496" s="1747">
        <f>ARG!J671</f>
        <v>0</v>
      </c>
    </row>
    <row r="2497" spans="2:18" s="57" customFormat="1" ht="12.5">
      <c r="B2497" s="1753" t="s">
        <v>315</v>
      </c>
      <c r="C2497" s="1897">
        <f>ARG!C538</f>
        <v>0</v>
      </c>
      <c r="D2497" s="1713">
        <f>ARG!D538</f>
        <v>0</v>
      </c>
      <c r="E2497" s="1713">
        <f>ARG!E538</f>
        <v>0</v>
      </c>
      <c r="F2497" s="1713">
        <f>ARG!F538</f>
        <v>0</v>
      </c>
      <c r="G2497" s="1713">
        <f>ARG!G538</f>
        <v>0</v>
      </c>
      <c r="H2497" s="1713">
        <f>ARG!H538</f>
        <v>0</v>
      </c>
      <c r="I2497" s="1713">
        <f>ARG!I538</f>
        <v>0</v>
      </c>
      <c r="J2497" s="1713">
        <f>ARG!J538</f>
        <v>0</v>
      </c>
      <c r="K2497" s="1897">
        <f>ARG!C691</f>
        <v>0</v>
      </c>
      <c r="L2497" s="1713">
        <f>ARG!D691</f>
        <v>0</v>
      </c>
      <c r="M2497" s="1713">
        <f>ARG!E691</f>
        <v>0</v>
      </c>
      <c r="N2497" s="1713">
        <f>ARG!F691</f>
        <v>0</v>
      </c>
      <c r="O2497" s="1713">
        <f>ARG!G691</f>
        <v>0</v>
      </c>
      <c r="P2497" s="1713">
        <f>ARG!H691</f>
        <v>0</v>
      </c>
      <c r="Q2497" s="1713">
        <f>ARG!I691</f>
        <v>0</v>
      </c>
      <c r="R2497" s="1747">
        <f>ARG!J691</f>
        <v>0</v>
      </c>
    </row>
    <row r="2498" spans="2:18" s="57" customFormat="1" ht="12.5">
      <c r="B2498" s="1753" t="s">
        <v>300</v>
      </c>
      <c r="C2498" s="1897">
        <f>ARG!C478</f>
        <v>0</v>
      </c>
      <c r="D2498" s="1713">
        <f>ARG!D478</f>
        <v>0</v>
      </c>
      <c r="E2498" s="1713">
        <f>ARG!E478</f>
        <v>0</v>
      </c>
      <c r="F2498" s="1713">
        <f>ARG!F478</f>
        <v>0</v>
      </c>
      <c r="G2498" s="1713">
        <f>ARG!G478</f>
        <v>0</v>
      </c>
      <c r="H2498" s="1713">
        <f>ARG!H478</f>
        <v>0</v>
      </c>
      <c r="I2498" s="1713">
        <f>ARG!I478</f>
        <v>0</v>
      </c>
      <c r="J2498" s="1713">
        <f>ARG!J478</f>
        <v>0</v>
      </c>
      <c r="K2498" s="1897">
        <f>ARG!C631</f>
        <v>0</v>
      </c>
      <c r="L2498" s="1713">
        <f>ARG!D631</f>
        <v>0</v>
      </c>
      <c r="M2498" s="1713">
        <f>ARG!E631</f>
        <v>0</v>
      </c>
      <c r="N2498" s="1713">
        <f>ARG!F631</f>
        <v>0</v>
      </c>
      <c r="O2498" s="1713">
        <f>ARG!G631</f>
        <v>0</v>
      </c>
      <c r="P2498" s="1713">
        <f>ARG!H631</f>
        <v>0</v>
      </c>
      <c r="Q2498" s="1713">
        <f>ARG!I631</f>
        <v>0</v>
      </c>
      <c r="R2498" s="1747">
        <f>ARG!J631</f>
        <v>0</v>
      </c>
    </row>
    <row r="2499" spans="2:18" s="57" customFormat="1" ht="12.5">
      <c r="B2499" s="1753"/>
      <c r="C2499" s="1897"/>
      <c r="D2499" s="1713"/>
      <c r="E2499" s="1713"/>
      <c r="F2499" s="1713"/>
      <c r="G2499" s="1713"/>
      <c r="H2499" s="1713"/>
      <c r="I2499" s="1713"/>
      <c r="J2499" s="1713"/>
      <c r="K2499" s="1897"/>
      <c r="L2499" s="1713"/>
      <c r="M2499" s="1713"/>
      <c r="N2499" s="1713"/>
      <c r="O2499" s="1713"/>
      <c r="P2499" s="1713"/>
      <c r="Q2499" s="1713"/>
      <c r="R2499" s="1747"/>
    </row>
    <row r="2500" spans="2:18" s="57" customFormat="1" ht="13">
      <c r="B2500" s="1705" t="s">
        <v>1039</v>
      </c>
      <c r="C2500" s="1897"/>
      <c r="D2500" s="1713"/>
      <c r="E2500" s="1713"/>
      <c r="F2500" s="1713"/>
      <c r="G2500" s="1713"/>
      <c r="H2500" s="1713"/>
      <c r="I2500" s="1713"/>
      <c r="J2500" s="1713"/>
      <c r="K2500" s="1897"/>
      <c r="L2500" s="1713"/>
      <c r="M2500" s="1713"/>
      <c r="N2500" s="1713"/>
      <c r="O2500" s="1713"/>
      <c r="P2500" s="1713"/>
      <c r="Q2500" s="1713"/>
      <c r="R2500" s="1747"/>
    </row>
    <row r="2501" spans="2:18" s="57" customFormat="1" ht="12.5">
      <c r="B2501" s="1704" t="s">
        <v>94</v>
      </c>
      <c r="C2501" s="1897">
        <f>BA!C309</f>
        <v>0</v>
      </c>
      <c r="D2501" s="1713">
        <f>BA!D309</f>
        <v>0</v>
      </c>
      <c r="E2501" s="1713">
        <f>BA!E309</f>
        <v>0</v>
      </c>
      <c r="F2501" s="1713">
        <f>BA!F309</f>
        <v>0</v>
      </c>
      <c r="G2501" s="1713">
        <f>BA!G309</f>
        <v>0</v>
      </c>
      <c r="H2501" s="1713">
        <f>BA!H309</f>
        <v>0</v>
      </c>
      <c r="I2501" s="1713">
        <f>BA!I309</f>
        <v>0</v>
      </c>
      <c r="J2501" s="1713">
        <f>BA!J309</f>
        <v>0</v>
      </c>
      <c r="K2501" s="1897">
        <f>BA!C348</f>
        <v>0</v>
      </c>
      <c r="L2501" s="1713">
        <f>BA!D348</f>
        <v>0</v>
      </c>
      <c r="M2501" s="1713">
        <f>BA!E348</f>
        <v>0</v>
      </c>
      <c r="N2501" s="1713">
        <f>BA!F348</f>
        <v>0</v>
      </c>
      <c r="O2501" s="1713">
        <f>BA!G348</f>
        <v>0</v>
      </c>
      <c r="P2501" s="1713">
        <f>BA!H348</f>
        <v>0</v>
      </c>
      <c r="Q2501" s="1713">
        <f>BA!I348</f>
        <v>0</v>
      </c>
      <c r="R2501" s="1747">
        <f>BA!J348</f>
        <v>0</v>
      </c>
    </row>
    <row r="2502" spans="2:18" s="57" customFormat="1" ht="12.5">
      <c r="B2502" s="1704" t="s">
        <v>489</v>
      </c>
      <c r="C2502" s="1897">
        <f>BA!C332</f>
        <v>0</v>
      </c>
      <c r="D2502" s="1713">
        <f>BA!D332</f>
        <v>0</v>
      </c>
      <c r="E2502" s="1713">
        <f>BA!E332</f>
        <v>0</v>
      </c>
      <c r="F2502" s="1713">
        <f>BA!F332</f>
        <v>0</v>
      </c>
      <c r="G2502" s="1713">
        <f>BA!G332</f>
        <v>0</v>
      </c>
      <c r="H2502" s="1713">
        <f>BA!H332</f>
        <v>0</v>
      </c>
      <c r="I2502" s="1713">
        <f>BA!I332</f>
        <v>0</v>
      </c>
      <c r="J2502" s="1713">
        <f>BA!J332</f>
        <v>0</v>
      </c>
      <c r="K2502" s="1897">
        <f>BA!C371</f>
        <v>0</v>
      </c>
      <c r="L2502" s="1713">
        <f>BA!D371</f>
        <v>0</v>
      </c>
      <c r="M2502" s="1713">
        <f>BA!E371</f>
        <v>0</v>
      </c>
      <c r="N2502" s="1713">
        <f>BA!F371</f>
        <v>0</v>
      </c>
      <c r="O2502" s="1713">
        <f>BA!G371</f>
        <v>0</v>
      </c>
      <c r="P2502" s="1713">
        <f>BA!H371</f>
        <v>0</v>
      </c>
      <c r="Q2502" s="1713">
        <f>BA!I371</f>
        <v>0</v>
      </c>
      <c r="R2502" s="1747">
        <f>BA!J371</f>
        <v>0</v>
      </c>
    </row>
    <row r="2503" spans="2:18" s="57" customFormat="1">
      <c r="B2503" s="1753"/>
      <c r="C2503" s="1901"/>
      <c r="D2503" s="731"/>
      <c r="E2503" s="731"/>
      <c r="F2503" s="731"/>
      <c r="G2503" s="731"/>
      <c r="H2503" s="731"/>
      <c r="I2503" s="731"/>
      <c r="J2503" s="731"/>
      <c r="K2503" s="1904"/>
      <c r="L2503" s="733"/>
      <c r="M2503" s="733"/>
      <c r="N2503" s="733"/>
      <c r="O2503" s="733"/>
      <c r="P2503" s="733"/>
      <c r="Q2503" s="733"/>
      <c r="R2503" s="1708"/>
    </row>
    <row r="2504" spans="2:18" s="57" customFormat="1">
      <c r="B2504" s="1754" t="s">
        <v>1040</v>
      </c>
      <c r="C2504" s="1901"/>
      <c r="D2504" s="731"/>
      <c r="E2504" s="731"/>
      <c r="F2504" s="731"/>
      <c r="G2504" s="731"/>
      <c r="H2504" s="731"/>
      <c r="I2504" s="731"/>
      <c r="J2504" s="731"/>
      <c r="K2504" s="1904"/>
      <c r="L2504" s="733"/>
      <c r="M2504" s="733"/>
      <c r="N2504" s="733"/>
      <c r="O2504" s="733"/>
      <c r="P2504" s="733"/>
      <c r="Q2504" s="733"/>
      <c r="R2504" s="1708"/>
    </row>
    <row r="2505" spans="2:18" s="57" customFormat="1" ht="12.5">
      <c r="B2505" s="1753" t="s">
        <v>1262</v>
      </c>
      <c r="C2505" s="1897">
        <f>BO!C375</f>
        <v>0</v>
      </c>
      <c r="D2505" s="1713">
        <f>BO!D375</f>
        <v>0</v>
      </c>
      <c r="E2505" s="1713">
        <f>BO!E375</f>
        <v>0</v>
      </c>
      <c r="F2505" s="1713">
        <f>BO!F375</f>
        <v>0</v>
      </c>
      <c r="G2505" s="1713">
        <f>BO!G375</f>
        <v>0</v>
      </c>
      <c r="H2505" s="1713">
        <f>BO!H375</f>
        <v>0</v>
      </c>
      <c r="I2505" s="1713">
        <f>BO!I375</f>
        <v>0</v>
      </c>
      <c r="J2505" s="1713" t="str">
        <f>BO!J375</f>
        <v>0</v>
      </c>
      <c r="K2505" s="1897">
        <f>BO!C494</f>
        <v>0</v>
      </c>
      <c r="L2505" s="1713">
        <f>BO!D494</f>
        <v>0</v>
      </c>
      <c r="M2505" s="1713">
        <f>BO!E494</f>
        <v>0</v>
      </c>
      <c r="N2505" s="1713">
        <f>BO!F494</f>
        <v>0</v>
      </c>
      <c r="O2505" s="1713">
        <f>BO!G494</f>
        <v>0</v>
      </c>
      <c r="P2505" s="1713">
        <f>BO!H494</f>
        <v>0</v>
      </c>
      <c r="Q2505" s="1713">
        <f>BO!I494</f>
        <v>0</v>
      </c>
      <c r="R2505" s="1747">
        <f>BO!J494</f>
        <v>0</v>
      </c>
    </row>
    <row r="2506" spans="2:18" s="57" customFormat="1" ht="12.5">
      <c r="B2506" s="1753" t="s">
        <v>489</v>
      </c>
      <c r="C2506" s="1897">
        <f>BO!C397</f>
        <v>0</v>
      </c>
      <c r="D2506" s="1713">
        <f>BO!D397</f>
        <v>0</v>
      </c>
      <c r="E2506" s="1713">
        <f>BO!E397</f>
        <v>0</v>
      </c>
      <c r="F2506" s="1713">
        <f>BO!F397</f>
        <v>0</v>
      </c>
      <c r="G2506" s="1713">
        <f>BO!G397</f>
        <v>0</v>
      </c>
      <c r="H2506" s="1713">
        <f>BO!H397</f>
        <v>0</v>
      </c>
      <c r="I2506" s="1713">
        <f>BO!I397</f>
        <v>0</v>
      </c>
      <c r="J2506" s="1713">
        <f>BO!J397</f>
        <v>0.50778621235929178</v>
      </c>
      <c r="K2506" s="1897">
        <f>BO!C517</f>
        <v>0</v>
      </c>
      <c r="L2506" s="1713">
        <f>BO!D517</f>
        <v>0</v>
      </c>
      <c r="M2506" s="1713">
        <f>BO!E517</f>
        <v>0</v>
      </c>
      <c r="N2506" s="1713">
        <f>BO!F517</f>
        <v>0</v>
      </c>
      <c r="O2506" s="1713">
        <f>BO!G517</f>
        <v>0</v>
      </c>
      <c r="P2506" s="1713">
        <f>BO!H517</f>
        <v>0</v>
      </c>
      <c r="Q2506" s="1713">
        <f>BO!I517</f>
        <v>0</v>
      </c>
      <c r="R2506" s="1747">
        <f>BO!J517</f>
        <v>0</v>
      </c>
    </row>
    <row r="2507" spans="2:18" s="57" customFormat="1" ht="12.5">
      <c r="B2507" s="1753" t="s">
        <v>1263</v>
      </c>
      <c r="C2507" s="1897">
        <f>BO!C437</f>
        <v>0</v>
      </c>
      <c r="D2507" s="1719" t="str">
        <f>BO!D437</f>
        <v>0</v>
      </c>
      <c r="E2507" s="1719" t="str">
        <f>BO!E437</f>
        <v>0</v>
      </c>
      <c r="F2507" s="1719" t="str">
        <f>BO!F437</f>
        <v>0</v>
      </c>
      <c r="G2507" s="1719" t="str">
        <f>BO!G437</f>
        <v>0</v>
      </c>
      <c r="H2507" s="1719" t="str">
        <f>BO!H437</f>
        <v>0</v>
      </c>
      <c r="I2507" s="1719" t="str">
        <f>BO!I437</f>
        <v>0</v>
      </c>
      <c r="J2507" s="1713" t="str">
        <f>BO!J437</f>
        <v>0</v>
      </c>
      <c r="K2507" s="1897">
        <f>BO!C537</f>
        <v>0</v>
      </c>
      <c r="L2507" s="1713">
        <f>BO!D537</f>
        <v>0</v>
      </c>
      <c r="M2507" s="1713">
        <f>BO!E537</f>
        <v>0</v>
      </c>
      <c r="N2507" s="1713">
        <f>BO!F537</f>
        <v>0</v>
      </c>
      <c r="O2507" s="1713">
        <f>BO!G537</f>
        <v>0</v>
      </c>
      <c r="P2507" s="1713">
        <f>BO!H537</f>
        <v>0</v>
      </c>
      <c r="Q2507" s="1713">
        <f>BO!I537</f>
        <v>0</v>
      </c>
      <c r="R2507" s="1747">
        <f>BO!J537</f>
        <v>0</v>
      </c>
    </row>
    <row r="2508" spans="2:18" s="57" customFormat="1" ht="12.5">
      <c r="B2508" s="1753" t="s">
        <v>2116</v>
      </c>
      <c r="C2508" s="1897" t="str">
        <f>BO!C417</f>
        <v>0</v>
      </c>
      <c r="D2508" s="1719" t="str">
        <f>BO!D417</f>
        <v>0</v>
      </c>
      <c r="E2508" s="1719" t="str">
        <f>BO!E417</f>
        <v>0</v>
      </c>
      <c r="F2508" s="1719" t="str">
        <f>BO!F417</f>
        <v>0</v>
      </c>
      <c r="G2508" s="1719" t="str">
        <f>BO!G417</f>
        <v>0</v>
      </c>
      <c r="H2508" s="1719" t="str">
        <f>BO!H417</f>
        <v>0</v>
      </c>
      <c r="I2508" s="1719" t="str">
        <f>BO!I417</f>
        <v>0</v>
      </c>
      <c r="J2508" s="1713">
        <f>BO!J417</f>
        <v>4.8526240307423846E-6</v>
      </c>
      <c r="K2508" s="1897">
        <f>BO!C557</f>
        <v>0</v>
      </c>
      <c r="L2508" s="1713">
        <f>BO!D557</f>
        <v>0</v>
      </c>
      <c r="M2508" s="1713">
        <f>BO!E557</f>
        <v>0</v>
      </c>
      <c r="N2508" s="1713">
        <f>BO!F557</f>
        <v>0</v>
      </c>
      <c r="O2508" s="1713">
        <f>BO!G557</f>
        <v>0</v>
      </c>
      <c r="P2508" s="1713">
        <f>BO!H557</f>
        <v>0</v>
      </c>
      <c r="Q2508" s="1713">
        <f>BO!I557</f>
        <v>0</v>
      </c>
      <c r="R2508" s="1747">
        <f>BO!J557</f>
        <v>0</v>
      </c>
    </row>
    <row r="2509" spans="2:18" s="57" customFormat="1" ht="12.5">
      <c r="B2509" s="1753" t="s">
        <v>2128</v>
      </c>
      <c r="C2509" s="1897">
        <f>BO!C458</f>
        <v>0</v>
      </c>
      <c r="D2509" s="1719" t="str">
        <f>BO!D458</f>
        <v>0</v>
      </c>
      <c r="E2509" s="1719" t="str">
        <f>BO!E458</f>
        <v>0</v>
      </c>
      <c r="F2509" s="1719" t="str">
        <f>BO!F458</f>
        <v>0</v>
      </c>
      <c r="G2509" s="1719" t="str">
        <f>BO!G458</f>
        <v>0</v>
      </c>
      <c r="H2509" s="1719" t="str">
        <f>BO!H458</f>
        <v>0</v>
      </c>
      <c r="I2509" s="1719" t="str">
        <f>BO!I458</f>
        <v>0</v>
      </c>
      <c r="J2509" s="1713" t="str">
        <f>BO!J458</f>
        <v>0</v>
      </c>
      <c r="K2509" s="1897">
        <f>BO!C578</f>
        <v>0</v>
      </c>
      <c r="L2509" s="1713">
        <f>BO!D578</f>
        <v>0</v>
      </c>
      <c r="M2509" s="1713">
        <f>BO!E578</f>
        <v>0</v>
      </c>
      <c r="N2509" s="1713">
        <f>BO!F578</f>
        <v>0</v>
      </c>
      <c r="O2509" s="1713">
        <f>BO!G578</f>
        <v>0</v>
      </c>
      <c r="P2509" s="1713">
        <f>BO!H578</f>
        <v>0</v>
      </c>
      <c r="Q2509" s="1713">
        <f>BO!I578</f>
        <v>0</v>
      </c>
      <c r="R2509" s="1747">
        <f>BO!J578</f>
        <v>0</v>
      </c>
    </row>
    <row r="2510" spans="2:18" s="57" customFormat="1" ht="12.5">
      <c r="B2510" s="1753" t="s">
        <v>2129</v>
      </c>
      <c r="C2510" s="1897">
        <f>BO!C478</f>
        <v>0</v>
      </c>
      <c r="D2510" s="1719" t="str">
        <f>BO!D478</f>
        <v>0</v>
      </c>
      <c r="E2510" s="1719" t="str">
        <f>BO!E478</f>
        <v>0</v>
      </c>
      <c r="F2510" s="1719" t="str">
        <f>BO!F478</f>
        <v>0</v>
      </c>
      <c r="G2510" s="1719" t="str">
        <f>BO!G478</f>
        <v>0</v>
      </c>
      <c r="H2510" s="1719" t="str">
        <f>BO!H478</f>
        <v>0</v>
      </c>
      <c r="I2510" s="1719" t="str">
        <f>BO!I478</f>
        <v>0</v>
      </c>
      <c r="J2510" s="1713" t="str">
        <f>BO!J478</f>
        <v>0</v>
      </c>
      <c r="K2510" s="1897">
        <f>BO!C598</f>
        <v>0</v>
      </c>
      <c r="L2510" s="1713">
        <f>BO!D598</f>
        <v>0</v>
      </c>
      <c r="M2510" s="1713">
        <f>BO!E598</f>
        <v>0</v>
      </c>
      <c r="N2510" s="1713">
        <f>BO!F598</f>
        <v>0</v>
      </c>
      <c r="O2510" s="1713">
        <f>BO!G598</f>
        <v>0</v>
      </c>
      <c r="P2510" s="1713">
        <f>BO!H598</f>
        <v>0</v>
      </c>
      <c r="Q2510" s="1713">
        <f>BO!I598</f>
        <v>0</v>
      </c>
      <c r="R2510" s="1747">
        <f>BO!J598</f>
        <v>0</v>
      </c>
    </row>
    <row r="2511" spans="2:18" s="57" customFormat="1">
      <c r="B2511" s="1753"/>
      <c r="C2511" s="1901"/>
      <c r="D2511" s="731"/>
      <c r="E2511" s="731"/>
      <c r="F2511" s="731"/>
      <c r="G2511" s="731"/>
      <c r="H2511" s="731"/>
      <c r="I2511" s="731"/>
      <c r="J2511" s="731"/>
      <c r="K2511" s="1904"/>
      <c r="L2511" s="733"/>
      <c r="M2511" s="733"/>
      <c r="N2511" s="733"/>
      <c r="O2511" s="733"/>
      <c r="P2511" s="733"/>
      <c r="Q2511" s="733"/>
      <c r="R2511" s="1708"/>
    </row>
    <row r="2512" spans="2:18" s="57" customFormat="1">
      <c r="B2512" s="1754" t="s">
        <v>1041</v>
      </c>
      <c r="C2512" s="1901"/>
      <c r="D2512" s="731"/>
      <c r="E2512" s="731"/>
      <c r="F2512" s="731"/>
      <c r="G2512" s="731"/>
      <c r="H2512" s="731"/>
      <c r="I2512" s="731"/>
      <c r="J2512" s="731"/>
      <c r="K2512" s="1904"/>
      <c r="L2512" s="733"/>
      <c r="M2512" s="733"/>
      <c r="N2512" s="733"/>
      <c r="O2512" s="733"/>
      <c r="P2512" s="733"/>
      <c r="Q2512" s="733"/>
      <c r="R2512" s="1708"/>
    </row>
    <row r="2513" spans="2:18" s="57" customFormat="1" ht="12.5">
      <c r="B2513" s="1753" t="s">
        <v>940</v>
      </c>
      <c r="C2513" s="1897">
        <f>BR!C396</f>
        <v>0.47720000000000001</v>
      </c>
      <c r="D2513" s="1713">
        <f>BR!D396</f>
        <v>0.51239999999999997</v>
      </c>
      <c r="E2513" s="1713">
        <f>BR!E396</f>
        <v>0.6492</v>
      </c>
      <c r="F2513" s="1713">
        <f>BR!F396</f>
        <v>0.58819999999999995</v>
      </c>
      <c r="G2513" s="1713">
        <f>BR!G396</f>
        <v>0.41649999999999998</v>
      </c>
      <c r="H2513" s="1713">
        <f>BR!H396</f>
        <v>0.57079999999999997</v>
      </c>
      <c r="I2513" s="1713">
        <f>BR!I396</f>
        <v>0.62139999999999995</v>
      </c>
      <c r="J2513" s="1713">
        <f>BR!J396</f>
        <v>0.51719999999999999</v>
      </c>
      <c r="K2513" s="1897">
        <f>BR!C508</f>
        <v>0.60419999999999996</v>
      </c>
      <c r="L2513" s="733">
        <v>0.58479999999999999</v>
      </c>
      <c r="M2513" s="733">
        <v>0.62080000000000002</v>
      </c>
      <c r="N2513" s="733">
        <v>0.5857</v>
      </c>
      <c r="O2513" s="733">
        <v>0.60580000000000001</v>
      </c>
      <c r="P2513" s="733">
        <v>0.58460000000000001</v>
      </c>
      <c r="Q2513" s="733">
        <v>0.629</v>
      </c>
      <c r="R2513" s="1747">
        <f>BR!J508</f>
        <v>0.71479999999999999</v>
      </c>
    </row>
    <row r="2514" spans="2:18" s="57" customFormat="1" ht="12.5">
      <c r="B2514" s="1753" t="s">
        <v>984</v>
      </c>
      <c r="C2514" s="1897">
        <f>BR!C403</f>
        <v>0</v>
      </c>
      <c r="D2514" s="1713">
        <f>BR!D403</f>
        <v>0</v>
      </c>
      <c r="E2514" s="1713">
        <f>BR!E403</f>
        <v>0</v>
      </c>
      <c r="F2514" s="1713">
        <f>BR!F403</f>
        <v>0</v>
      </c>
      <c r="G2514" s="1713">
        <f>BR!G403</f>
        <v>0</v>
      </c>
      <c r="H2514" s="1713">
        <f>BR!H403</f>
        <v>0</v>
      </c>
      <c r="I2514" s="1713">
        <f>BR!I403</f>
        <v>0</v>
      </c>
      <c r="J2514" s="1713">
        <f>BR!J403</f>
        <v>0</v>
      </c>
      <c r="K2514" s="1897" t="str">
        <f>BR!C515</f>
        <v>0</v>
      </c>
      <c r="L2514" s="1713" t="str">
        <f>BR!D515</f>
        <v>0</v>
      </c>
      <c r="M2514" s="1713">
        <f>BR!E515</f>
        <v>0</v>
      </c>
      <c r="N2514" s="1713">
        <f>BR!F515</f>
        <v>0</v>
      </c>
      <c r="O2514" s="1713">
        <f>BR!G515</f>
        <v>0</v>
      </c>
      <c r="P2514" s="1713">
        <f>BR!H515</f>
        <v>0</v>
      </c>
      <c r="Q2514" s="1713">
        <f>BR!I515</f>
        <v>0</v>
      </c>
      <c r="R2514" s="1747">
        <f>BR!J515</f>
        <v>0</v>
      </c>
    </row>
    <row r="2515" spans="2:18" s="57" customFormat="1" ht="12.5">
      <c r="B2515" s="1753" t="s">
        <v>942</v>
      </c>
      <c r="C2515" s="1897">
        <f>BR!C410</f>
        <v>0.47289999999999999</v>
      </c>
      <c r="D2515" s="1713">
        <f>BR!D410</f>
        <v>0.34749999999999998</v>
      </c>
      <c r="E2515" s="1713">
        <f>BR!E410</f>
        <v>0.2596</v>
      </c>
      <c r="F2515" s="1713">
        <f>BR!F410</f>
        <v>0.218</v>
      </c>
      <c r="G2515" s="1713">
        <f>BR!G410</f>
        <v>0.19189999999999999</v>
      </c>
      <c r="H2515" s="1713">
        <f>BR!H410</f>
        <v>0.2155</v>
      </c>
      <c r="I2515" s="1713">
        <f>BR!I410</f>
        <v>0.22170000000000001</v>
      </c>
      <c r="J2515" s="1713">
        <f>BR!J410</f>
        <v>0.2109</v>
      </c>
      <c r="K2515" s="1897">
        <f>BR!C522</f>
        <v>0.61539999999999995</v>
      </c>
      <c r="L2515" s="1713">
        <f>BR!D522</f>
        <v>0.40820000000000001</v>
      </c>
      <c r="M2515" s="1713">
        <f>BR!E522</f>
        <v>0.40739999999999998</v>
      </c>
      <c r="N2515" s="1713">
        <f>BR!F522</f>
        <v>0.41399999999999998</v>
      </c>
      <c r="O2515" s="1713">
        <f>BR!G522</f>
        <v>0.42249999999999999</v>
      </c>
      <c r="P2515" s="1713">
        <f>BR!H522</f>
        <v>0.42030000000000001</v>
      </c>
      <c r="Q2515" s="1713">
        <f>BR!I522</f>
        <v>0.44919999999999999</v>
      </c>
      <c r="R2515" s="1747">
        <f>BR!J522</f>
        <v>0.45140000000000002</v>
      </c>
    </row>
    <row r="2516" spans="2:18" s="57" customFormat="1" ht="12.5">
      <c r="B2516" s="1753" t="s">
        <v>944</v>
      </c>
      <c r="C2516" s="1897">
        <f>BR!C472</f>
        <v>0.85150000000000003</v>
      </c>
      <c r="D2516" s="1713">
        <f>BR!D472</f>
        <v>0.84419999999999995</v>
      </c>
      <c r="E2516" s="1713">
        <f>BR!E472</f>
        <v>0.82930000000000004</v>
      </c>
      <c r="F2516" s="1713">
        <f>BR!F472</f>
        <v>0.79820000000000002</v>
      </c>
      <c r="G2516" s="1713">
        <f>BR!G472</f>
        <v>0.86160000000000003</v>
      </c>
      <c r="H2516" s="1713">
        <f>BR!H472</f>
        <v>0.83930000000000005</v>
      </c>
      <c r="I2516" s="1713">
        <f>BR!I472</f>
        <v>0.81340000000000001</v>
      </c>
      <c r="J2516" s="1713">
        <f>BR!J472</f>
        <v>0.75155682277511904</v>
      </c>
      <c r="K2516" s="1897">
        <f>BR!C584</f>
        <v>0.8165</v>
      </c>
      <c r="L2516" s="1713">
        <f>BR!D584</f>
        <v>0.81630000000000003</v>
      </c>
      <c r="M2516" s="1713">
        <f>BR!E584</f>
        <v>0.81879999999999997</v>
      </c>
      <c r="N2516" s="1713">
        <f>BR!F584</f>
        <v>0.82979999999999998</v>
      </c>
      <c r="O2516" s="1713">
        <f>BR!G584</f>
        <v>0.80889999999999995</v>
      </c>
      <c r="P2516" s="1713">
        <f>BR!H584</f>
        <v>0.80279999999999996</v>
      </c>
      <c r="Q2516" s="1713">
        <f>BR!I584</f>
        <v>0.80198999999999998</v>
      </c>
      <c r="R2516" s="1747">
        <f>BR!J584</f>
        <v>0.75930399999999998</v>
      </c>
    </row>
    <row r="2517" spans="2:18" s="57" customFormat="1" ht="12.5">
      <c r="B2517" s="1753" t="s">
        <v>945</v>
      </c>
      <c r="C2517" s="1897">
        <f>BR!C492</f>
        <v>0</v>
      </c>
      <c r="D2517" s="1713">
        <f>BR!D492</f>
        <v>0</v>
      </c>
      <c r="E2517" s="1713">
        <f>BR!E492</f>
        <v>0</v>
      </c>
      <c r="F2517" s="1713">
        <f>BR!F492</f>
        <v>0</v>
      </c>
      <c r="G2517" s="1713">
        <f>BR!G492</f>
        <v>0</v>
      </c>
      <c r="H2517" s="1713">
        <f>BR!H492</f>
        <v>0</v>
      </c>
      <c r="I2517" s="1713">
        <f>BR!I492</f>
        <v>0.64029999999999998</v>
      </c>
      <c r="J2517" s="1713">
        <f>BR!J492</f>
        <v>0.59399999999999997</v>
      </c>
      <c r="K2517" s="1897">
        <f>BR!C604</f>
        <v>0</v>
      </c>
      <c r="L2517" s="1713">
        <f>BR!D604</f>
        <v>0</v>
      </c>
      <c r="M2517" s="1713">
        <f>BR!E604</f>
        <v>0</v>
      </c>
      <c r="N2517" s="1713">
        <f>BR!F604</f>
        <v>0</v>
      </c>
      <c r="O2517" s="1713">
        <f>BR!G604</f>
        <v>0</v>
      </c>
      <c r="P2517" s="1713">
        <f>BR!H604</f>
        <v>0</v>
      </c>
      <c r="Q2517" s="1713">
        <f>BR!I604</f>
        <v>0.77503999999999995</v>
      </c>
      <c r="R2517" s="1747">
        <f>BR!J604</f>
        <v>0.69169999999999998</v>
      </c>
    </row>
    <row r="2518" spans="2:18" s="57" customFormat="1" ht="12.5">
      <c r="B2518" s="1753" t="s">
        <v>943</v>
      </c>
      <c r="C2518" s="1897">
        <f>BR!C452</f>
        <v>0.79059999999999997</v>
      </c>
      <c r="D2518" s="1713">
        <f>BR!D452</f>
        <v>0.78420000000000001</v>
      </c>
      <c r="E2518" s="1713">
        <f>BR!E452</f>
        <v>0.68689999999999996</v>
      </c>
      <c r="F2518" s="1713">
        <f>BR!F452</f>
        <v>0.79300000000000004</v>
      </c>
      <c r="G2518" s="1713">
        <f>BR!G452</f>
        <v>0.79310000000000003</v>
      </c>
      <c r="H2518" s="1713">
        <f>BR!H452</f>
        <v>0.78180000000000005</v>
      </c>
      <c r="I2518" s="1713">
        <f>BR!I452</f>
        <v>0.76980000000000004</v>
      </c>
      <c r="J2518" s="1713">
        <f>BR!J452</f>
        <v>0.75347085396360403</v>
      </c>
      <c r="K2518" s="1897">
        <f>BR!C564</f>
        <v>0.79810000000000003</v>
      </c>
      <c r="L2518" s="1713">
        <f>BR!D564</f>
        <v>0.78900000000000003</v>
      </c>
      <c r="M2518" s="1713">
        <f>BR!E564</f>
        <v>0.69379999999999997</v>
      </c>
      <c r="N2518" s="1713">
        <f>BR!F564</f>
        <v>0.79330000000000001</v>
      </c>
      <c r="O2518" s="1713">
        <f>BR!G564</f>
        <v>0.79390000000000005</v>
      </c>
      <c r="P2518" s="1713">
        <f>BR!H564</f>
        <v>0.80200000000000005</v>
      </c>
      <c r="Q2518" s="1713">
        <f>BR!I564</f>
        <v>0.77310000000000001</v>
      </c>
      <c r="R2518" s="1747">
        <f>BR!J564</f>
        <v>0.75010100000000002</v>
      </c>
    </row>
    <row r="2519" spans="2:18" s="57" customFormat="1">
      <c r="B2519" s="1753"/>
      <c r="C2519" s="1901"/>
      <c r="D2519" s="731"/>
      <c r="E2519" s="731"/>
      <c r="F2519" s="731"/>
      <c r="G2519" s="731"/>
      <c r="H2519" s="731"/>
      <c r="I2519" s="731"/>
      <c r="J2519" s="731"/>
      <c r="K2519" s="1904"/>
      <c r="L2519" s="733"/>
      <c r="M2519" s="733"/>
      <c r="N2519" s="733"/>
      <c r="O2519" s="733"/>
      <c r="P2519" s="733"/>
      <c r="Q2519" s="733"/>
      <c r="R2519" s="1708"/>
    </row>
    <row r="2520" spans="2:18" s="57" customFormat="1">
      <c r="B2520" s="1755" t="s">
        <v>1042</v>
      </c>
      <c r="C2520" s="1902"/>
      <c r="D2520" s="732"/>
      <c r="E2520" s="732"/>
      <c r="F2520" s="732"/>
      <c r="G2520" s="732"/>
      <c r="H2520" s="732"/>
      <c r="I2520" s="732"/>
      <c r="J2520" s="732"/>
      <c r="K2520" s="1905"/>
      <c r="L2520" s="735"/>
      <c r="M2520" s="735"/>
      <c r="N2520" s="735"/>
      <c r="O2520" s="735"/>
      <c r="P2520" s="732"/>
      <c r="Q2520" s="732"/>
      <c r="R2520" s="1708"/>
    </row>
    <row r="2521" spans="2:18" s="57" customFormat="1" ht="12.5">
      <c r="B2521" s="1758" t="s">
        <v>94</v>
      </c>
      <c r="C2521" s="1897">
        <f>CL!C340</f>
        <v>0</v>
      </c>
      <c r="D2521" s="1713">
        <f>CL!D340</f>
        <v>0</v>
      </c>
      <c r="E2521" s="1713">
        <f>CL!E340</f>
        <v>0</v>
      </c>
      <c r="F2521" s="1713">
        <f>CL!F340</f>
        <v>0</v>
      </c>
      <c r="G2521" s="1713">
        <f>CL!G340</f>
        <v>0</v>
      </c>
      <c r="H2521" s="1713">
        <f>CL!H340</f>
        <v>0</v>
      </c>
      <c r="I2521" s="1713">
        <f>CL!I340</f>
        <v>0</v>
      </c>
      <c r="J2521" s="1713">
        <f>CL!J340</f>
        <v>0</v>
      </c>
      <c r="K2521" s="1897">
        <f>CL!C381</f>
        <v>0</v>
      </c>
      <c r="L2521" s="1713">
        <f>CL!D381</f>
        <v>0</v>
      </c>
      <c r="M2521" s="1713">
        <f>CL!E381</f>
        <v>0</v>
      </c>
      <c r="N2521" s="1713">
        <f>CL!F381</f>
        <v>0</v>
      </c>
      <c r="O2521" s="1713">
        <f>CL!G381</f>
        <v>0</v>
      </c>
      <c r="P2521" s="1713">
        <f>CL!H381</f>
        <v>0</v>
      </c>
      <c r="Q2521" s="1713">
        <f>CL!I381</f>
        <v>0</v>
      </c>
      <c r="R2521" s="1747">
        <f>CL!J381</f>
        <v>0</v>
      </c>
    </row>
    <row r="2522" spans="2:18" s="57" customFormat="1" ht="12.5">
      <c r="B2522" s="1758" t="s">
        <v>489</v>
      </c>
      <c r="C2522" s="1897">
        <f>CL!C365</f>
        <v>0</v>
      </c>
      <c r="D2522" s="1713">
        <f>CL!D365</f>
        <v>0</v>
      </c>
      <c r="E2522" s="1713">
        <f>CL!E365</f>
        <v>0</v>
      </c>
      <c r="F2522" s="1713">
        <f>CL!F365</f>
        <v>0</v>
      </c>
      <c r="G2522" s="1713">
        <f>CL!G365</f>
        <v>0</v>
      </c>
      <c r="H2522" s="1713">
        <f>CL!H365</f>
        <v>0</v>
      </c>
      <c r="I2522" s="1713">
        <f>CL!I365</f>
        <v>0</v>
      </c>
      <c r="J2522" s="1713">
        <f>CL!J365</f>
        <v>0</v>
      </c>
      <c r="K2522" s="1897">
        <f>CL!C406</f>
        <v>0</v>
      </c>
      <c r="L2522" s="1713">
        <f>CL!D406</f>
        <v>0</v>
      </c>
      <c r="M2522" s="1713">
        <f>CL!E406</f>
        <v>0</v>
      </c>
      <c r="N2522" s="1713">
        <f>CL!F406</f>
        <v>0</v>
      </c>
      <c r="O2522" s="1713">
        <f>CL!G406</f>
        <v>0</v>
      </c>
      <c r="P2522" s="1713">
        <f>CL!H406</f>
        <v>0</v>
      </c>
      <c r="Q2522" s="1713">
        <f>CL!I406</f>
        <v>0</v>
      </c>
      <c r="R2522" s="1747">
        <f>CL!J406</f>
        <v>0</v>
      </c>
    </row>
    <row r="2523" spans="2:18" s="57" customFormat="1" ht="12.5">
      <c r="B2523" s="1758" t="s">
        <v>1230</v>
      </c>
      <c r="C2523" s="1901" t="s">
        <v>2131</v>
      </c>
      <c r="D2523" s="731" t="s">
        <v>2131</v>
      </c>
      <c r="E2523" s="731" t="s">
        <v>2131</v>
      </c>
      <c r="F2523" s="731" t="s">
        <v>2131</v>
      </c>
      <c r="G2523" s="731" t="s">
        <v>2131</v>
      </c>
      <c r="H2523" s="731" t="s">
        <v>2131</v>
      </c>
      <c r="I2523" s="731" t="s">
        <v>2131</v>
      </c>
      <c r="J2523" s="731" t="s">
        <v>2131</v>
      </c>
      <c r="K2523" s="1905" t="s">
        <v>2131</v>
      </c>
      <c r="L2523" s="735" t="s">
        <v>2131</v>
      </c>
      <c r="M2523" s="735" t="s">
        <v>2131</v>
      </c>
      <c r="N2523" s="735" t="s">
        <v>2131</v>
      </c>
      <c r="O2523" s="735" t="s">
        <v>2131</v>
      </c>
      <c r="P2523" s="735" t="s">
        <v>2131</v>
      </c>
      <c r="Q2523" s="735" t="s">
        <v>2131</v>
      </c>
      <c r="R2523" s="736" t="s">
        <v>2131</v>
      </c>
    </row>
    <row r="2524" spans="2:18" s="57" customFormat="1">
      <c r="B2524" s="1758"/>
      <c r="C2524" s="1901"/>
      <c r="D2524" s="731"/>
      <c r="E2524" s="731"/>
      <c r="F2524" s="731"/>
      <c r="G2524" s="731"/>
      <c r="H2524" s="731"/>
      <c r="I2524" s="731"/>
      <c r="J2524" s="731"/>
      <c r="K2524" s="1905"/>
      <c r="L2524" s="735"/>
      <c r="M2524" s="735"/>
      <c r="N2524" s="735"/>
      <c r="O2524" s="735"/>
      <c r="P2524" s="731"/>
      <c r="Q2524" s="731"/>
      <c r="R2524" s="1708"/>
    </row>
    <row r="2525" spans="2:18" s="57" customFormat="1">
      <c r="B2525" s="1755" t="s">
        <v>1043</v>
      </c>
      <c r="C2525" s="1901"/>
      <c r="D2525" s="731"/>
      <c r="E2525" s="731"/>
      <c r="F2525" s="731"/>
      <c r="G2525" s="731"/>
      <c r="H2525" s="732"/>
      <c r="I2525" s="732"/>
      <c r="J2525" s="732"/>
      <c r="K2525" s="1905"/>
      <c r="L2525" s="735"/>
      <c r="M2525" s="735"/>
      <c r="N2525" s="735"/>
      <c r="O2525" s="735"/>
      <c r="P2525" s="732"/>
      <c r="Q2525" s="732"/>
      <c r="R2525" s="1708"/>
    </row>
    <row r="2526" spans="2:18" s="57" customFormat="1" ht="12.5">
      <c r="B2526" s="1890" t="s">
        <v>605</v>
      </c>
      <c r="C2526" s="1897">
        <f>CO!C349</f>
        <v>0.2063888233428568</v>
      </c>
      <c r="D2526" s="1713">
        <f>CO!D349</f>
        <v>0.330544793158636</v>
      </c>
      <c r="E2526" s="1713">
        <f>CO!E349</f>
        <v>0.29358272858104001</v>
      </c>
      <c r="F2526" s="1713">
        <f>CO!F349</f>
        <v>0.32879999999999998</v>
      </c>
      <c r="G2526" s="1713">
        <f>CO!G349</f>
        <v>0.33</v>
      </c>
      <c r="H2526" s="1713">
        <f>CO!H349</f>
        <v>0.28520000000000001</v>
      </c>
      <c r="I2526" s="1713">
        <f>CO!I349</f>
        <v>0.27213311552752728</v>
      </c>
      <c r="J2526" s="1713">
        <f>CO!J349</f>
        <v>0.3380599254033711</v>
      </c>
      <c r="K2526" s="1897">
        <f>CO!C426</f>
        <v>0.3581828616552859</v>
      </c>
      <c r="L2526" s="1713">
        <f>CO!D426</f>
        <v>0.375</v>
      </c>
      <c r="M2526" s="1713">
        <f>CO!E426</f>
        <v>0.31642239755763862</v>
      </c>
      <c r="N2526" s="1713">
        <f>CO!F426</f>
        <v>0.36499999999999999</v>
      </c>
      <c r="O2526" s="1713">
        <f>CO!G426</f>
        <v>0.35399999999999998</v>
      </c>
      <c r="P2526" s="1713">
        <f>CO!H426</f>
        <v>0.35899999999999999</v>
      </c>
      <c r="Q2526" s="1713">
        <f>CO!I426</f>
        <v>0.35546992243575015</v>
      </c>
      <c r="R2526" s="1747">
        <f>CO!J426</f>
        <v>0.33810000000000001</v>
      </c>
    </row>
    <row r="2527" spans="2:18" s="57" customFormat="1" ht="12.5">
      <c r="B2527" s="1890" t="s">
        <v>573</v>
      </c>
      <c r="C2527" s="1897">
        <f>CO!C371</f>
        <v>0</v>
      </c>
      <c r="D2527" s="1713">
        <f>CO!D371</f>
        <v>0</v>
      </c>
      <c r="E2527" s="1713">
        <f>CO!E371</f>
        <v>0</v>
      </c>
      <c r="F2527" s="1713">
        <f>CO!F371</f>
        <v>0.73309999999999997</v>
      </c>
      <c r="G2527" s="1713">
        <f>CO!G371</f>
        <v>0.73199999999999998</v>
      </c>
      <c r="H2527" s="1713">
        <f>CO!H371</f>
        <v>0.7278</v>
      </c>
      <c r="I2527" s="1713">
        <f>CO!I371</f>
        <v>0.73286837138230576</v>
      </c>
      <c r="J2527" s="1713">
        <f>CO!J371</f>
        <v>0.71</v>
      </c>
      <c r="K2527" s="1897">
        <f>CO!C448</f>
        <v>0.72148214434495206</v>
      </c>
      <c r="L2527" s="1713">
        <f>CO!D448</f>
        <v>0.72099999999999997</v>
      </c>
      <c r="M2527" s="1713">
        <f>CO!E448</f>
        <v>0.72213950928136161</v>
      </c>
      <c r="N2527" s="1713">
        <f>CO!F448</f>
        <v>0.73299999999999998</v>
      </c>
      <c r="O2527" s="1713">
        <f>CO!G448</f>
        <v>0.71299999999999997</v>
      </c>
      <c r="P2527" s="1713">
        <f>CO!H448</f>
        <v>0.70779999999999998</v>
      </c>
      <c r="Q2527" s="1713">
        <f>CO!I448</f>
        <v>0.70519417777369087</v>
      </c>
      <c r="R2527" s="1747">
        <f>CO!J448</f>
        <v>0.71399999999999997</v>
      </c>
    </row>
    <row r="2528" spans="2:18" s="57" customFormat="1" ht="12.5">
      <c r="B2528" s="1890" t="s">
        <v>608</v>
      </c>
      <c r="C2528" s="1897">
        <f>CO!C391</f>
        <v>0.79786566475943943</v>
      </c>
      <c r="D2528" s="1713">
        <f>CO!D391</f>
        <v>0.8659</v>
      </c>
      <c r="E2528" s="1713">
        <f>CO!E391</f>
        <v>0.90499959850581646</v>
      </c>
      <c r="F2528" s="1713">
        <f>CO!F391</f>
        <v>0.89100000000000001</v>
      </c>
      <c r="G2528" s="1713">
        <f>CO!G391</f>
        <v>0.88239999999999996</v>
      </c>
      <c r="H2528" s="1713">
        <f>CO!H391</f>
        <v>0.82169999999999999</v>
      </c>
      <c r="I2528" s="1713">
        <f>CO!I391</f>
        <v>0.81257639745738153</v>
      </c>
      <c r="J2528" s="1713">
        <f>CO!J391</f>
        <v>0.9</v>
      </c>
      <c r="K2528" s="1897">
        <f>CO!C468</f>
        <v>0.91022965000049294</v>
      </c>
      <c r="L2528" s="1713">
        <f>CO!D468</f>
        <v>0.91814836733125871</v>
      </c>
      <c r="M2528" s="1713">
        <f>CO!E468</f>
        <v>0.9393795586379915</v>
      </c>
      <c r="N2528" s="1713">
        <f>CO!F468</f>
        <v>0.93969999999999998</v>
      </c>
      <c r="O2528" s="1713">
        <f>CO!G468</f>
        <v>0.92530000000000001</v>
      </c>
      <c r="P2528" s="1713">
        <f>CO!H468</f>
        <v>0.9365</v>
      </c>
      <c r="Q2528" s="1713">
        <f>CO!I468</f>
        <v>0.9446656155267773</v>
      </c>
      <c r="R2528" s="1747">
        <f>CO!J468</f>
        <v>0.91400000000000003</v>
      </c>
    </row>
    <row r="2529" spans="2:18" s="57" customFormat="1" ht="12.5">
      <c r="B2529" s="1890" t="s">
        <v>609</v>
      </c>
      <c r="C2529" s="1897">
        <f>CO!C411</f>
        <v>0.68959451981815911</v>
      </c>
      <c r="D2529" s="1713">
        <f>CO!D411</f>
        <v>0.66822194078445452</v>
      </c>
      <c r="E2529" s="1713">
        <f>CO!E411</f>
        <v>0.66263690691749921</v>
      </c>
      <c r="F2529" s="1713">
        <f>CO!F411</f>
        <v>0.69210000000000005</v>
      </c>
      <c r="G2529" s="1713">
        <f>CO!G411</f>
        <v>0.7036</v>
      </c>
      <c r="H2529" s="1713">
        <f>CO!H411</f>
        <v>0.73429999999999995</v>
      </c>
      <c r="I2529" s="1713">
        <f>CO!I411</f>
        <v>0.72284709967380645</v>
      </c>
      <c r="J2529" s="1713">
        <f>CO!J411</f>
        <v>0.68966907471684136</v>
      </c>
      <c r="K2529" s="1897">
        <f>CO!C488</f>
        <v>0.70240429238262725</v>
      </c>
      <c r="L2529" s="1713">
        <f>CO!D488</f>
        <v>0.70279999999999998</v>
      </c>
      <c r="M2529" s="1713">
        <f>CO!E488</f>
        <v>0.85281291134636961</v>
      </c>
      <c r="N2529" s="1713">
        <f>CO!F488</f>
        <v>0.91</v>
      </c>
      <c r="O2529" s="1713">
        <f>CO!G488</f>
        <v>0.74250000000000005</v>
      </c>
      <c r="P2529" s="1713">
        <f>CO!H488</f>
        <v>0.74250000000000005</v>
      </c>
      <c r="Q2529" s="1713">
        <f>CO!I488</f>
        <v>0.74325003129789891</v>
      </c>
      <c r="R2529" s="1747">
        <f>CO!J488</f>
        <v>0.72199999999999998</v>
      </c>
    </row>
    <row r="2530" spans="2:18" s="57" customFormat="1">
      <c r="B2530" s="1890"/>
      <c r="C2530" s="1903"/>
      <c r="D2530" s="734"/>
      <c r="E2530" s="734"/>
      <c r="F2530" s="734"/>
      <c r="G2530" s="734"/>
      <c r="H2530" s="734"/>
      <c r="I2530" s="734"/>
      <c r="J2530" s="734"/>
      <c r="K2530" s="1903"/>
      <c r="L2530" s="734"/>
      <c r="M2530" s="734"/>
      <c r="N2530" s="734"/>
      <c r="O2530" s="734"/>
      <c r="P2530" s="734"/>
      <c r="Q2530" s="734"/>
      <c r="R2530" s="1708"/>
    </row>
    <row r="2531" spans="2:18" s="57" customFormat="1">
      <c r="B2531" s="1755" t="s">
        <v>1044</v>
      </c>
      <c r="C2531" s="1901"/>
      <c r="D2531" s="731"/>
      <c r="E2531" s="731"/>
      <c r="F2531" s="731"/>
      <c r="G2531" s="731"/>
      <c r="H2531" s="732"/>
      <c r="I2531" s="732"/>
      <c r="J2531" s="732"/>
      <c r="K2531" s="1901"/>
      <c r="L2531" s="731"/>
      <c r="M2531" s="731"/>
      <c r="N2531" s="731"/>
      <c r="O2531" s="731"/>
      <c r="P2531" s="732"/>
      <c r="Q2531" s="732"/>
      <c r="R2531" s="1708"/>
    </row>
    <row r="2532" spans="2:18" s="57" customFormat="1" ht="12.5">
      <c r="B2532" s="1890" t="s">
        <v>1264</v>
      </c>
      <c r="C2532" s="1897">
        <f>CR!C327</f>
        <v>2.9316960155994953E-3</v>
      </c>
      <c r="D2532" s="1713">
        <f>CR!D327</f>
        <v>2.5587200839942178E-3</v>
      </c>
      <c r="E2532" s="1713">
        <f>CR!E327</f>
        <v>2.1009903870698871E-3</v>
      </c>
      <c r="F2532" s="1713">
        <f>CR!F327</f>
        <v>1.7371038612511178E-3</v>
      </c>
      <c r="G2532" s="1713">
        <f>CR!G327</f>
        <v>1.4927909109164951E-3</v>
      </c>
      <c r="H2532" s="1713">
        <f>CR!H327</f>
        <v>1.1468964347759025E-3</v>
      </c>
      <c r="I2532" s="1713">
        <f>CR!I327</f>
        <v>5.9045883499435554E-4</v>
      </c>
      <c r="J2532" s="1713">
        <f>CR!J327</f>
        <v>2.6822284940164573E-4</v>
      </c>
      <c r="K2532" s="1897" t="s">
        <v>2131</v>
      </c>
      <c r="L2532" s="1713" t="s">
        <v>2131</v>
      </c>
      <c r="M2532" s="1713" t="s">
        <v>2131</v>
      </c>
      <c r="N2532" s="1713" t="s">
        <v>2131</v>
      </c>
      <c r="O2532" s="1713" t="s">
        <v>2131</v>
      </c>
      <c r="P2532" s="1713" t="s">
        <v>2131</v>
      </c>
      <c r="Q2532" s="1713" t="s">
        <v>2131</v>
      </c>
      <c r="R2532" s="1747" t="s">
        <v>2131</v>
      </c>
    </row>
    <row r="2533" spans="2:18" s="57" customFormat="1" ht="12.5">
      <c r="B2533" s="1890" t="s">
        <v>94</v>
      </c>
      <c r="C2533" s="1897" t="s">
        <v>2131</v>
      </c>
      <c r="D2533" s="1713" t="s">
        <v>2131</v>
      </c>
      <c r="E2533" s="1713" t="s">
        <v>2131</v>
      </c>
      <c r="F2533" s="1713" t="s">
        <v>2131</v>
      </c>
      <c r="G2533" s="1713" t="s">
        <v>2131</v>
      </c>
      <c r="H2533" s="1713" t="s">
        <v>2131</v>
      </c>
      <c r="I2533" s="1713" t="s">
        <v>2131</v>
      </c>
      <c r="J2533" s="1713" t="s">
        <v>2131</v>
      </c>
      <c r="K2533" s="1897">
        <f>CR!C375</f>
        <v>0.22679857886510965</v>
      </c>
      <c r="L2533" s="1713">
        <f>CR!D375</f>
        <v>0.1861337575717224</v>
      </c>
      <c r="M2533" s="1713">
        <f>CR!E375</f>
        <v>0.18682415987822745</v>
      </c>
      <c r="N2533" s="1713">
        <f>CR!F375</f>
        <v>0.19276790704617794</v>
      </c>
      <c r="O2533" s="1713">
        <f>CR!G375</f>
        <v>0.17070939179214983</v>
      </c>
      <c r="P2533" s="1713">
        <f>CR!H375</f>
        <v>0.13720602490991068</v>
      </c>
      <c r="Q2533" s="1713">
        <f>CR!I375</f>
        <v>8.0940830436226407E-2</v>
      </c>
      <c r="R2533" s="1747">
        <f>CR!J375</f>
        <v>8.9703590806410854E-2</v>
      </c>
    </row>
    <row r="2534" spans="2:18" s="57" customFormat="1" ht="12.5">
      <c r="B2534" s="1899" t="s">
        <v>1265</v>
      </c>
      <c r="C2534" s="1897">
        <f>CR!C347</f>
        <v>0.99193293819637118</v>
      </c>
      <c r="D2534" s="1713">
        <f>CR!D347</f>
        <v>0.99427279503132371</v>
      </c>
      <c r="E2534" s="1713">
        <f>CR!E347</f>
        <v>0.99849344365417536</v>
      </c>
      <c r="F2534" s="1713">
        <f>CR!F347</f>
        <v>0.99617120338041409</v>
      </c>
      <c r="G2534" s="1713">
        <f>CR!G347</f>
        <v>0.99673746790649476</v>
      </c>
      <c r="H2534" s="1713">
        <f>CR!H347</f>
        <v>0.99730700606855427</v>
      </c>
      <c r="I2534" s="1713">
        <f>CR!I347</f>
        <v>0.99850540233904495</v>
      </c>
      <c r="J2534" s="1713">
        <f>CR!J347</f>
        <v>0.99926423468342773</v>
      </c>
      <c r="K2534" s="1897">
        <f>CR!C395</f>
        <v>0.3027394756884233</v>
      </c>
      <c r="L2534" s="1713">
        <f>CR!D395</f>
        <v>0.29393476683366232</v>
      </c>
      <c r="M2534" s="1713">
        <f>CR!E395</f>
        <v>0.32577008637407923</v>
      </c>
      <c r="N2534" s="1713">
        <f>CR!F395</f>
        <v>0.32756651720748481</v>
      </c>
      <c r="O2534" s="1713">
        <f>CR!G395</f>
        <v>0.30218093787123279</v>
      </c>
      <c r="P2534" s="1713">
        <f>CR!H395</f>
        <v>0.31554516941022293</v>
      </c>
      <c r="Q2534" s="1713">
        <f>CR!I395</f>
        <v>0.20173463304628034</v>
      </c>
      <c r="R2534" s="1747">
        <f>CR!J395</f>
        <v>0.25314466538925418</v>
      </c>
    </row>
    <row r="2535" spans="2:18" s="57" customFormat="1" ht="12.5">
      <c r="B2535" s="1890" t="s">
        <v>1277</v>
      </c>
      <c r="C2535" s="1901" t="s">
        <v>2131</v>
      </c>
      <c r="D2535" s="731" t="s">
        <v>2131</v>
      </c>
      <c r="E2535" s="731" t="s">
        <v>2131</v>
      </c>
      <c r="F2535" s="731" t="s">
        <v>2131</v>
      </c>
      <c r="G2535" s="731" t="s">
        <v>2131</v>
      </c>
      <c r="H2535" s="731" t="s">
        <v>2131</v>
      </c>
      <c r="I2535" s="731" t="s">
        <v>2131</v>
      </c>
      <c r="J2535" s="731" t="s">
        <v>2131</v>
      </c>
      <c r="K2535" s="1897">
        <f>CR!C406</f>
        <v>0.47046194544646702</v>
      </c>
      <c r="L2535" s="1713">
        <f>CR!D406</f>
        <v>0.51993147559461528</v>
      </c>
      <c r="M2535" s="1713">
        <f>CR!E406</f>
        <v>0.48740575374769329</v>
      </c>
      <c r="N2535" s="1713">
        <f>CR!F406</f>
        <v>0.47966557574633722</v>
      </c>
      <c r="O2535" s="1713">
        <f>CR!G406</f>
        <v>0.52710967033661738</v>
      </c>
      <c r="P2535" s="1713">
        <f>CR!H406</f>
        <v>0.54724880567986656</v>
      </c>
      <c r="Q2535" s="1713">
        <f>CR!I406</f>
        <v>0.71732453651749328</v>
      </c>
      <c r="R2535" s="1747">
        <f>CR!J406</f>
        <v>0.65715174380433494</v>
      </c>
    </row>
    <row r="2536" spans="2:18" s="57" customFormat="1" ht="12.5">
      <c r="B2536" s="1899" t="s">
        <v>1266</v>
      </c>
      <c r="C2536" s="1897">
        <f>CR!C358</f>
        <v>5.0233878685267859E-3</v>
      </c>
      <c r="D2536" s="1713">
        <f>CR!D358</f>
        <v>3.8743015555346024E-3</v>
      </c>
      <c r="E2536" s="1713">
        <f>CR!E358</f>
        <v>2.8136968344546756E-3</v>
      </c>
      <c r="F2536" s="1713">
        <f>CR!F358</f>
        <v>2.7503496463783987E-3</v>
      </c>
      <c r="G2536" s="1713">
        <f>CR!G358</f>
        <v>2.3809518355384783E-3</v>
      </c>
      <c r="H2536" s="1713">
        <f>CR!H358</f>
        <v>2.0808280419475295E-3</v>
      </c>
      <c r="I2536" s="1713">
        <f>CR!I358</f>
        <v>1.0017558205360187E-3</v>
      </c>
      <c r="J2536" s="1713">
        <f>CR!J358</f>
        <v>4.8267365009248492E-4</v>
      </c>
      <c r="K2536" s="1897" t="s">
        <v>2131</v>
      </c>
      <c r="L2536" s="1713" t="s">
        <v>2131</v>
      </c>
      <c r="M2536" s="1713" t="s">
        <v>2131</v>
      </c>
      <c r="N2536" s="1713" t="s">
        <v>2131</v>
      </c>
      <c r="O2536" s="1713" t="s">
        <v>2131</v>
      </c>
      <c r="P2536" s="1713" t="s">
        <v>2131</v>
      </c>
      <c r="Q2536" s="1713" t="s">
        <v>2131</v>
      </c>
      <c r="R2536" s="1747" t="s">
        <v>2131</v>
      </c>
    </row>
    <row r="2537" spans="2:18" s="57" customFormat="1">
      <c r="B2537" s="1890"/>
      <c r="C2537" s="1901"/>
      <c r="D2537" s="731"/>
      <c r="E2537" s="731"/>
      <c r="F2537" s="731"/>
      <c r="G2537" s="731"/>
      <c r="H2537" s="731"/>
      <c r="I2537" s="731"/>
      <c r="J2537" s="731"/>
      <c r="K2537" s="1901"/>
      <c r="L2537" s="731"/>
      <c r="M2537" s="731"/>
      <c r="N2537" s="731"/>
      <c r="O2537" s="731"/>
      <c r="P2537" s="731"/>
      <c r="Q2537" s="731"/>
      <c r="R2537" s="1708"/>
    </row>
    <row r="2538" spans="2:18" s="57" customFormat="1">
      <c r="B2538" s="1754" t="s">
        <v>1061</v>
      </c>
      <c r="C2538" s="1901"/>
      <c r="D2538" s="731"/>
      <c r="E2538" s="731"/>
      <c r="F2538" s="731"/>
      <c r="G2538" s="731"/>
      <c r="H2538" s="731"/>
      <c r="I2538" s="731"/>
      <c r="J2538" s="731"/>
      <c r="K2538" s="1901"/>
      <c r="L2538" s="731"/>
      <c r="M2538" s="731"/>
      <c r="N2538" s="731"/>
      <c r="O2538" s="731"/>
      <c r="P2538" s="731"/>
      <c r="Q2538" s="731"/>
      <c r="R2538" s="1708"/>
    </row>
    <row r="2539" spans="2:18" s="57" customFormat="1" ht="12.5">
      <c r="B2539" s="1890" t="s">
        <v>1267</v>
      </c>
      <c r="C2539" s="1897">
        <f>CR!C345</f>
        <v>0</v>
      </c>
      <c r="D2539" s="1713">
        <f>CR!D345</f>
        <v>0</v>
      </c>
      <c r="E2539" s="1713">
        <f>CR!E345</f>
        <v>0</v>
      </c>
      <c r="F2539" s="1713">
        <f>CR!F345</f>
        <v>0</v>
      </c>
      <c r="G2539" s="1713">
        <f>CR!G345</f>
        <v>0</v>
      </c>
      <c r="H2539" s="1713">
        <f>CR!H345</f>
        <v>0</v>
      </c>
      <c r="I2539" s="1713">
        <f>CR!I345</f>
        <v>0</v>
      </c>
      <c r="J2539" s="1713">
        <f>CR!J345</f>
        <v>0</v>
      </c>
      <c r="K2539" s="1897">
        <f>CW!C382</f>
        <v>0</v>
      </c>
      <c r="L2539" s="1713">
        <f>CW!D382</f>
        <v>0</v>
      </c>
      <c r="M2539" s="1713">
        <f>CW!E382</f>
        <v>0</v>
      </c>
      <c r="N2539" s="1713">
        <f>CW!F382</f>
        <v>0</v>
      </c>
      <c r="O2539" s="1713">
        <f>CW!G382</f>
        <v>0</v>
      </c>
      <c r="P2539" s="1713">
        <f>CW!H382</f>
        <v>0</v>
      </c>
      <c r="Q2539" s="1713">
        <f>CW!I382</f>
        <v>0</v>
      </c>
      <c r="R2539" s="1747">
        <f>CW!J382</f>
        <v>0.86639999999999995</v>
      </c>
    </row>
    <row r="2540" spans="2:18" s="57" customFormat="1" ht="12.5">
      <c r="B2540" s="1890" t="s">
        <v>1268</v>
      </c>
      <c r="C2540" s="1897">
        <f>CW!C367</f>
        <v>0</v>
      </c>
      <c r="D2540" s="1713">
        <f>CW!D367</f>
        <v>0</v>
      </c>
      <c r="E2540" s="1713">
        <f>CW!E367</f>
        <v>0</v>
      </c>
      <c r="F2540" s="1713">
        <f>CW!F367</f>
        <v>0</v>
      </c>
      <c r="G2540" s="1713">
        <f>CW!G367</f>
        <v>0</v>
      </c>
      <c r="H2540" s="1713">
        <f>CW!H367</f>
        <v>0</v>
      </c>
      <c r="I2540" s="1713">
        <f>CW!I367</f>
        <v>0</v>
      </c>
      <c r="J2540" s="1713">
        <f>CW!J367</f>
        <v>74.92</v>
      </c>
      <c r="K2540" s="1897">
        <f>CW!C404</f>
        <v>0</v>
      </c>
      <c r="L2540" s="1713">
        <f>CW!D404</f>
        <v>0</v>
      </c>
      <c r="M2540" s="1713">
        <f>CW!E404</f>
        <v>0</v>
      </c>
      <c r="N2540" s="1713">
        <f>CW!F404</f>
        <v>0</v>
      </c>
      <c r="O2540" s="1713">
        <f>CW!G404</f>
        <v>0</v>
      </c>
      <c r="P2540" s="1713">
        <f>CW!H404</f>
        <v>0</v>
      </c>
      <c r="Q2540" s="1713">
        <f>CW!I404</f>
        <v>0</v>
      </c>
      <c r="R2540" s="1747">
        <f>CW!J404</f>
        <v>0.75019999999999998</v>
      </c>
    </row>
    <row r="2541" spans="2:18" s="57" customFormat="1" ht="12.5">
      <c r="B2541" s="1890"/>
      <c r="C2541" s="1897"/>
      <c r="D2541" s="1713"/>
      <c r="E2541" s="1713"/>
      <c r="F2541" s="1713"/>
      <c r="G2541" s="1713"/>
      <c r="H2541" s="1713"/>
      <c r="I2541" s="1713"/>
      <c r="J2541" s="1713"/>
      <c r="K2541" s="1897"/>
      <c r="L2541" s="1713"/>
      <c r="M2541" s="1713"/>
      <c r="N2541" s="1713"/>
      <c r="O2541" s="1713"/>
      <c r="P2541" s="1713"/>
      <c r="Q2541" s="1713"/>
      <c r="R2541" s="1747"/>
    </row>
    <row r="2542" spans="2:18" s="57" customFormat="1" ht="13">
      <c r="B2542" s="1705" t="s">
        <v>1047</v>
      </c>
      <c r="C2542" s="1897"/>
      <c r="D2542" s="1713"/>
      <c r="E2542" s="1713"/>
      <c r="F2542" s="1713"/>
      <c r="G2542" s="1713"/>
      <c r="H2542" s="1713"/>
      <c r="I2542" s="1713"/>
      <c r="J2542" s="1713"/>
      <c r="K2542" s="1897"/>
      <c r="L2542" s="1713"/>
      <c r="M2542" s="1713"/>
      <c r="N2542" s="1713"/>
      <c r="O2542" s="1713"/>
      <c r="P2542" s="1713"/>
      <c r="Q2542" s="1713"/>
      <c r="R2542" s="1747"/>
    </row>
    <row r="2543" spans="2:18" s="57" customFormat="1" ht="25">
      <c r="B2543" s="1885" t="s">
        <v>849</v>
      </c>
      <c r="C2543" s="1897">
        <f>EC!C354</f>
        <v>0</v>
      </c>
      <c r="D2543" s="1713">
        <f>EC!D354</f>
        <v>0</v>
      </c>
      <c r="E2543" s="1713">
        <f>EC!E354</f>
        <v>0</v>
      </c>
      <c r="F2543" s="1713">
        <f>EC!F354</f>
        <v>0</v>
      </c>
      <c r="G2543" s="1713">
        <f>EC!G354</f>
        <v>0</v>
      </c>
      <c r="H2543" s="1713">
        <f>EC!H354</f>
        <v>0</v>
      </c>
      <c r="I2543" s="1713">
        <f>EC!I354</f>
        <v>0</v>
      </c>
      <c r="J2543" s="1713">
        <f>EC!J354</f>
        <v>0</v>
      </c>
      <c r="K2543" s="1897">
        <f>EC!C395</f>
        <v>0</v>
      </c>
      <c r="L2543" s="1713">
        <f>EC!D395</f>
        <v>0</v>
      </c>
      <c r="M2543" s="1713">
        <f>EC!E395</f>
        <v>0</v>
      </c>
      <c r="N2543" s="1713">
        <f>EC!F395</f>
        <v>0</v>
      </c>
      <c r="O2543" s="1713">
        <f>EC!G395</f>
        <v>0</v>
      </c>
      <c r="P2543" s="1713">
        <f>EC!H395</f>
        <v>0</v>
      </c>
      <c r="Q2543" s="1713">
        <f>EC!I395</f>
        <v>0</v>
      </c>
      <c r="R2543" s="1747">
        <f>EC!J395</f>
        <v>0</v>
      </c>
    </row>
    <row r="2544" spans="2:18" s="57" customFormat="1" ht="25">
      <c r="B2544" s="1707" t="s">
        <v>850</v>
      </c>
      <c r="C2544" s="1897">
        <f>EC!C361</f>
        <v>0</v>
      </c>
      <c r="D2544" s="1713">
        <f>EC!D361</f>
        <v>0</v>
      </c>
      <c r="E2544" s="1713">
        <f>EC!E361</f>
        <v>0</v>
      </c>
      <c r="F2544" s="1713">
        <f>EC!F361</f>
        <v>0</v>
      </c>
      <c r="G2544" s="1713">
        <f>EC!G361</f>
        <v>0</v>
      </c>
      <c r="H2544" s="1713">
        <f>EC!H361</f>
        <v>0</v>
      </c>
      <c r="I2544" s="1713">
        <f>EC!I361</f>
        <v>0</v>
      </c>
      <c r="J2544" s="1713">
        <f>EC!J361</f>
        <v>0</v>
      </c>
      <c r="K2544" s="1897">
        <f>EC!C402</f>
        <v>0</v>
      </c>
      <c r="L2544" s="1713">
        <f>EC!D402</f>
        <v>0</v>
      </c>
      <c r="M2544" s="1713">
        <f>EC!E402</f>
        <v>0</v>
      </c>
      <c r="N2544" s="1713">
        <f>EC!F402</f>
        <v>0</v>
      </c>
      <c r="O2544" s="1713">
        <f>EC!G402</f>
        <v>0</v>
      </c>
      <c r="P2544" s="1713">
        <f>EC!H402</f>
        <v>0</v>
      </c>
      <c r="Q2544" s="1713">
        <f>EC!I402</f>
        <v>0</v>
      </c>
      <c r="R2544" s="1747">
        <f>EC!J402</f>
        <v>0</v>
      </c>
    </row>
    <row r="2545" spans="2:18" s="57" customFormat="1" ht="25">
      <c r="B2545" s="1707" t="s">
        <v>851</v>
      </c>
      <c r="C2545" s="1897">
        <f>EC!C368</f>
        <v>0</v>
      </c>
      <c r="D2545" s="1713">
        <f>EC!D368</f>
        <v>0</v>
      </c>
      <c r="E2545" s="1713">
        <f>EC!E368</f>
        <v>0</v>
      </c>
      <c r="F2545" s="1713">
        <f>EC!F368</f>
        <v>0</v>
      </c>
      <c r="G2545" s="1713">
        <f>EC!G368</f>
        <v>0</v>
      </c>
      <c r="H2545" s="1713">
        <f>EC!H368</f>
        <v>0</v>
      </c>
      <c r="I2545" s="1713">
        <f>EC!I368</f>
        <v>0</v>
      </c>
      <c r="J2545" s="1713">
        <f>EC!J368</f>
        <v>0</v>
      </c>
      <c r="K2545" s="1897">
        <f>EC!C409</f>
        <v>0</v>
      </c>
      <c r="L2545" s="1713">
        <f>EC!D409</f>
        <v>0</v>
      </c>
      <c r="M2545" s="1713">
        <f>EC!E409</f>
        <v>0</v>
      </c>
      <c r="N2545" s="1713">
        <f>EC!F409</f>
        <v>0</v>
      </c>
      <c r="O2545" s="1713">
        <f>EC!G409</f>
        <v>0</v>
      </c>
      <c r="P2545" s="1713">
        <f>EC!H409</f>
        <v>0</v>
      </c>
      <c r="Q2545" s="1713">
        <f>EC!I409</f>
        <v>0</v>
      </c>
      <c r="R2545" s="1747">
        <f>EC!J409</f>
        <v>0</v>
      </c>
    </row>
    <row r="2546" spans="2:18" s="57" customFormat="1" ht="37.5">
      <c r="B2546" s="1707" t="s">
        <v>844</v>
      </c>
      <c r="C2546" s="1897">
        <f>EC!C375</f>
        <v>0</v>
      </c>
      <c r="D2546" s="1713">
        <f>EC!D375</f>
        <v>0</v>
      </c>
      <c r="E2546" s="1713">
        <f>EC!E375</f>
        <v>0</v>
      </c>
      <c r="F2546" s="1713">
        <f>EC!F375</f>
        <v>0</v>
      </c>
      <c r="G2546" s="1713">
        <f>EC!G375</f>
        <v>0</v>
      </c>
      <c r="H2546" s="1713">
        <f>EC!H375</f>
        <v>0</v>
      </c>
      <c r="I2546" s="1713">
        <f>EC!I375</f>
        <v>0</v>
      </c>
      <c r="J2546" s="1713">
        <f>EC!J375</f>
        <v>0</v>
      </c>
      <c r="K2546" s="1897">
        <f>EC!C416</f>
        <v>0</v>
      </c>
      <c r="L2546" s="1713">
        <f>EC!D416</f>
        <v>0</v>
      </c>
      <c r="M2546" s="1713">
        <f>EC!E416</f>
        <v>0</v>
      </c>
      <c r="N2546" s="1713">
        <f>EC!F416</f>
        <v>0</v>
      </c>
      <c r="O2546" s="1713">
        <f>EC!G416</f>
        <v>0</v>
      </c>
      <c r="P2546" s="1713">
        <f>EC!H416</f>
        <v>0</v>
      </c>
      <c r="Q2546" s="1713">
        <f>EC!I416</f>
        <v>0</v>
      </c>
      <c r="R2546" s="1747">
        <f>EC!J416</f>
        <v>0</v>
      </c>
    </row>
    <row r="2547" spans="2:18" s="57" customFormat="1" ht="12.5">
      <c r="B2547" s="1890"/>
      <c r="C2547" s="1897"/>
      <c r="D2547" s="1713"/>
      <c r="E2547" s="1713"/>
      <c r="F2547" s="1713"/>
      <c r="G2547" s="1713"/>
      <c r="H2547" s="1713"/>
      <c r="I2547" s="1713"/>
      <c r="J2547" s="1713"/>
      <c r="K2547" s="1897"/>
      <c r="L2547" s="1713"/>
      <c r="M2547" s="1713"/>
      <c r="N2547" s="1713"/>
      <c r="O2547" s="1713"/>
      <c r="P2547" s="1713"/>
      <c r="Q2547" s="1713"/>
      <c r="R2547" s="1747"/>
    </row>
    <row r="2548" spans="2:18" s="57" customFormat="1">
      <c r="B2548" s="1754" t="s">
        <v>1048</v>
      </c>
      <c r="C2548" s="1901"/>
      <c r="D2548" s="731"/>
      <c r="E2548" s="731"/>
      <c r="F2548" s="731"/>
      <c r="G2548" s="731"/>
      <c r="H2548" s="731"/>
      <c r="I2548" s="731"/>
      <c r="J2548" s="731"/>
      <c r="K2548" s="1906"/>
      <c r="L2548" s="737"/>
      <c r="M2548" s="737"/>
      <c r="N2548" s="737"/>
      <c r="O2548" s="737"/>
      <c r="P2548" s="737"/>
      <c r="Q2548" s="737"/>
      <c r="R2548" s="1708"/>
    </row>
    <row r="2549" spans="2:18" s="57" customFormat="1" ht="12.5">
      <c r="B2549" s="1892" t="s">
        <v>94</v>
      </c>
      <c r="C2549" s="1897">
        <f>SV!C329</f>
        <v>1</v>
      </c>
      <c r="D2549" s="1713">
        <f>SV!D329</f>
        <v>0.99999999999999989</v>
      </c>
      <c r="E2549" s="1713">
        <f>SV!E329</f>
        <v>1</v>
      </c>
      <c r="F2549" s="1713">
        <f>SV!F329</f>
        <v>1</v>
      </c>
      <c r="G2549" s="1713">
        <f>SV!G329</f>
        <v>1</v>
      </c>
      <c r="H2549" s="1713">
        <f>SV!H329</f>
        <v>1</v>
      </c>
      <c r="I2549" s="1713">
        <f>SV!I329</f>
        <v>1</v>
      </c>
      <c r="J2549" s="1713">
        <f>SV!J329</f>
        <v>1</v>
      </c>
      <c r="K2549" s="1897">
        <f>SV!C366</f>
        <v>1</v>
      </c>
      <c r="L2549" s="1713">
        <f>SV!D366</f>
        <v>1</v>
      </c>
      <c r="M2549" s="1713">
        <f>SV!E366</f>
        <v>1.0000000000000002</v>
      </c>
      <c r="N2549" s="1713">
        <f>SV!F366</f>
        <v>1</v>
      </c>
      <c r="O2549" s="1713">
        <f>SV!G366</f>
        <v>0.99999999999999989</v>
      </c>
      <c r="P2549" s="1713">
        <f>SV!H366</f>
        <v>0.99999999999999978</v>
      </c>
      <c r="Q2549" s="1713">
        <f>SV!I366</f>
        <v>0.99999999999999978</v>
      </c>
      <c r="R2549" s="1747">
        <f>SV!J366</f>
        <v>0.99999999999999978</v>
      </c>
    </row>
    <row r="2550" spans="2:18" s="57" customFormat="1" ht="12.5">
      <c r="B2550" s="1892" t="s">
        <v>1270</v>
      </c>
      <c r="C2550" s="1897">
        <f>SV!C351</f>
        <v>0</v>
      </c>
      <c r="D2550" s="1713">
        <f>SV!D351</f>
        <v>0</v>
      </c>
      <c r="E2550" s="1713">
        <f>SV!E351</f>
        <v>0</v>
      </c>
      <c r="F2550" s="1713">
        <f>SV!F351</f>
        <v>0</v>
      </c>
      <c r="G2550" s="1713">
        <f>SV!G351</f>
        <v>0</v>
      </c>
      <c r="H2550" s="1713">
        <f>SV!H351</f>
        <v>0</v>
      </c>
      <c r="I2550" s="1713">
        <f>SV!I351</f>
        <v>0</v>
      </c>
      <c r="J2550" s="1713">
        <f>SV!J351</f>
        <v>0</v>
      </c>
      <c r="K2550" s="1897">
        <f>SV!C388</f>
        <v>0</v>
      </c>
      <c r="L2550" s="1713">
        <f>SV!D388</f>
        <v>0</v>
      </c>
      <c r="M2550" s="1713">
        <f>SV!E388</f>
        <v>0</v>
      </c>
      <c r="N2550" s="1713">
        <f>SV!F388</f>
        <v>0</v>
      </c>
      <c r="O2550" s="1713">
        <f>SV!G388</f>
        <v>0</v>
      </c>
      <c r="P2550" s="1713">
        <f>SV!H388</f>
        <v>0</v>
      </c>
      <c r="Q2550" s="1713">
        <f>SV!I388</f>
        <v>0</v>
      </c>
      <c r="R2550" s="1747">
        <f>SV!J388</f>
        <v>0</v>
      </c>
    </row>
    <row r="2551" spans="2:18" s="57" customFormat="1">
      <c r="B2551" s="1758"/>
      <c r="C2551" s="1901"/>
      <c r="D2551" s="731"/>
      <c r="E2551" s="731"/>
      <c r="F2551" s="731"/>
      <c r="G2551" s="731"/>
      <c r="H2551" s="731"/>
      <c r="I2551" s="731"/>
      <c r="J2551" s="731"/>
      <c r="K2551" s="1906"/>
      <c r="L2551" s="737"/>
      <c r="M2551" s="737"/>
      <c r="N2551" s="737"/>
      <c r="O2551" s="737"/>
      <c r="P2551" s="737"/>
      <c r="Q2551" s="737"/>
      <c r="R2551" s="1708"/>
    </row>
    <row r="2552" spans="2:18" s="57" customFormat="1">
      <c r="B2552" s="1755" t="s">
        <v>1049</v>
      </c>
      <c r="C2552" s="1901"/>
      <c r="D2552" s="731"/>
      <c r="E2552" s="731"/>
      <c r="F2552" s="731"/>
      <c r="G2552" s="731"/>
      <c r="H2552" s="731"/>
      <c r="I2552" s="731"/>
      <c r="J2552" s="731"/>
      <c r="K2552" s="1906"/>
      <c r="L2552" s="737"/>
      <c r="M2552" s="733"/>
      <c r="N2552" s="733"/>
      <c r="O2552" s="733"/>
      <c r="P2552" s="733"/>
      <c r="Q2552" s="733"/>
      <c r="R2552" s="1708"/>
    </row>
    <row r="2553" spans="2:18" s="57" customFormat="1">
      <c r="B2553" s="1892" t="s">
        <v>94</v>
      </c>
      <c r="C2553" s="1901"/>
      <c r="D2553" s="731"/>
      <c r="E2553" s="731"/>
      <c r="F2553" s="731"/>
      <c r="G2553" s="731"/>
      <c r="H2553" s="731"/>
      <c r="I2553" s="731"/>
      <c r="J2553" s="731"/>
      <c r="K2553" s="1906"/>
      <c r="L2553" s="737"/>
      <c r="M2553" s="733"/>
      <c r="N2553" s="733"/>
      <c r="O2553" s="733"/>
      <c r="P2553" s="733"/>
      <c r="Q2553" s="733"/>
      <c r="R2553" s="1708"/>
    </row>
    <row r="2554" spans="2:18" s="57" customFormat="1" ht="13">
      <c r="B2554" s="1898" t="s">
        <v>1287</v>
      </c>
      <c r="C2554" s="1897">
        <f>GT!C348</f>
        <v>0.52029999999999998</v>
      </c>
      <c r="D2554" s="1713">
        <f>GT!D348</f>
        <v>0.50729999999999997</v>
      </c>
      <c r="E2554" s="1713">
        <f>GT!E348</f>
        <v>0.51049999999999995</v>
      </c>
      <c r="F2554" s="1713">
        <f>GT!F348</f>
        <v>0.54479999999999995</v>
      </c>
      <c r="G2554" s="1713">
        <f>GT!G348</f>
        <v>0.5716</v>
      </c>
      <c r="H2554" s="1713">
        <f>GT!H348</f>
        <v>0.57879999999999998</v>
      </c>
      <c r="I2554" s="1713">
        <f>GT!I348</f>
        <v>0.59096862594958388</v>
      </c>
      <c r="J2554" s="1713">
        <f>GT!J348</f>
        <v>0.62011929856034442</v>
      </c>
      <c r="K2554" s="1897">
        <f>GT!C455</f>
        <v>0.79959999999999998</v>
      </c>
      <c r="L2554" s="1713">
        <f>GT!D455</f>
        <v>0.77259999999999995</v>
      </c>
      <c r="M2554" s="1713">
        <f>GT!E455</f>
        <v>0.81689999999999996</v>
      </c>
      <c r="N2554" s="1713">
        <f>GT!F455</f>
        <v>0.85370000000000001</v>
      </c>
      <c r="O2554" s="1713">
        <f>GT!G455</f>
        <v>0.83730000000000004</v>
      </c>
      <c r="P2554" s="1713">
        <f>GT!H455</f>
        <v>0.8508</v>
      </c>
      <c r="Q2554" s="1713">
        <f>GT!I455</f>
        <v>0.90155239869835335</v>
      </c>
      <c r="R2554" s="1747">
        <f>GT!J455</f>
        <v>0.82820424008842575</v>
      </c>
    </row>
    <row r="2555" spans="2:18" s="57" customFormat="1" ht="13">
      <c r="B2555" s="1898" t="s">
        <v>659</v>
      </c>
      <c r="C2555" s="1897">
        <f>GT!C355</f>
        <v>0.57750000000000001</v>
      </c>
      <c r="D2555" s="1713">
        <f>GT!D355</f>
        <v>0.56999999999999995</v>
      </c>
      <c r="E2555" s="1713">
        <f>GT!E355</f>
        <v>0.59140000000000004</v>
      </c>
      <c r="F2555" s="1713">
        <f>GT!F355</f>
        <v>0.57299999999999995</v>
      </c>
      <c r="G2555" s="1713">
        <f>GT!G355</f>
        <v>0.56879999999999997</v>
      </c>
      <c r="H2555" s="1713">
        <f>GT!H355</f>
        <v>0.61419999999999997</v>
      </c>
      <c r="I2555" s="1713">
        <f>GT!I355</f>
        <v>0.65148406510737245</v>
      </c>
      <c r="J2555" s="1713">
        <f>GT!J355</f>
        <v>0.6874488244239092</v>
      </c>
      <c r="K2555" s="1897">
        <f>GT!C462</f>
        <v>0.77569999999999995</v>
      </c>
      <c r="L2555" s="1713">
        <f>GT!D462</f>
        <v>0.69199999999999995</v>
      </c>
      <c r="M2555" s="1713">
        <f>GT!E462</f>
        <v>0.72809999999999997</v>
      </c>
      <c r="N2555" s="1713">
        <f>GT!F462</f>
        <v>0.78449999999999998</v>
      </c>
      <c r="O2555" s="1713">
        <f>GT!G462</f>
        <v>0.72960000000000003</v>
      </c>
      <c r="P2555" s="1713">
        <f>GT!H462</f>
        <v>0.7641</v>
      </c>
      <c r="Q2555" s="1713">
        <f>GT!I462</f>
        <v>0.73254335998708786</v>
      </c>
      <c r="R2555" s="1747">
        <f>GT!J462</f>
        <v>0.72642006056660902</v>
      </c>
    </row>
    <row r="2556" spans="2:18" s="57" customFormat="1">
      <c r="B2556" s="1892" t="s">
        <v>1247</v>
      </c>
      <c r="C2556" s="1901"/>
      <c r="D2556" s="731"/>
      <c r="E2556" s="731"/>
      <c r="F2556" s="731"/>
      <c r="G2556" s="731"/>
      <c r="H2556" s="732"/>
      <c r="I2556" s="732"/>
      <c r="J2556" s="1713"/>
      <c r="K2556" s="1906"/>
      <c r="L2556" s="737"/>
      <c r="M2556" s="737"/>
      <c r="N2556" s="737"/>
      <c r="O2556" s="737"/>
      <c r="P2556" s="732"/>
      <c r="Q2556" s="732"/>
      <c r="R2556" s="1708"/>
    </row>
    <row r="2557" spans="2:18" s="57" customFormat="1" ht="13">
      <c r="B2557" s="1898" t="s">
        <v>1287</v>
      </c>
      <c r="C2557" s="1897">
        <f>GT!C378</f>
        <v>0.82950000000000002</v>
      </c>
      <c r="D2557" s="1713">
        <f>GT!D378</f>
        <v>0.82750000000000001</v>
      </c>
      <c r="E2557" s="1713">
        <f>GT!E378</f>
        <v>0.87949999999999995</v>
      </c>
      <c r="F2557" s="1713">
        <f>GT!F378</f>
        <v>0.88056999999999996</v>
      </c>
      <c r="G2557" s="1713">
        <f>GT!G378</f>
        <v>0.88</v>
      </c>
      <c r="H2557" s="1713">
        <f>GT!H378</f>
        <v>0.87619999999999998</v>
      </c>
      <c r="I2557" s="1713">
        <f>GT!I378</f>
        <v>0.87160000000000004</v>
      </c>
      <c r="J2557" s="1713">
        <f>GT!J378</f>
        <v>0.86338627665414058</v>
      </c>
      <c r="K2557" s="1897">
        <f>GT!C485</f>
        <v>0.86660000000000004</v>
      </c>
      <c r="L2557" s="1713">
        <f>GT!D485</f>
        <v>0.85209999999999997</v>
      </c>
      <c r="M2557" s="1713">
        <f>GT!E485</f>
        <v>0.83079999999999998</v>
      </c>
      <c r="N2557" s="1713">
        <f>GT!F485</f>
        <v>0.83540000000000003</v>
      </c>
      <c r="O2557" s="1713">
        <f>GT!G485</f>
        <v>0.83279999999999998</v>
      </c>
      <c r="P2557" s="1713">
        <f>GT!H485</f>
        <v>0.81799999999999995</v>
      </c>
      <c r="Q2557" s="1713">
        <f>GT!I485</f>
        <v>0.83209999999999995</v>
      </c>
      <c r="R2557" s="1747">
        <f>GT!J485</f>
        <v>0.82736265678530396</v>
      </c>
    </row>
    <row r="2558" spans="2:18" s="57" customFormat="1" ht="13">
      <c r="B2558" s="1898" t="s">
        <v>659</v>
      </c>
      <c r="C2558" s="1897">
        <f>GT!C398</f>
        <v>0.77510000000000001</v>
      </c>
      <c r="D2558" s="1713">
        <f>GT!D398</f>
        <v>0.78959999999999997</v>
      </c>
      <c r="E2558" s="1713">
        <f>GT!E398</f>
        <v>0.83209999999999995</v>
      </c>
      <c r="F2558" s="1713">
        <f>GT!F398</f>
        <v>0.83565999999999996</v>
      </c>
      <c r="G2558" s="1713">
        <f>GT!G398</f>
        <v>0.87529999999999997</v>
      </c>
      <c r="H2558" s="1713">
        <f>GT!H398</f>
        <v>0.86060000000000003</v>
      </c>
      <c r="I2558" s="1713">
        <f>GT!I398</f>
        <v>0.85540000000000005</v>
      </c>
      <c r="J2558" s="1713">
        <f>GT!J398</f>
        <v>0.8537424527184152</v>
      </c>
      <c r="K2558" s="1897">
        <f>GT!C505</f>
        <v>0.85670000000000002</v>
      </c>
      <c r="L2558" s="1713">
        <f>GT!D505</f>
        <v>0.89729999999999999</v>
      </c>
      <c r="M2558" s="1713">
        <f>GT!E505</f>
        <v>0.91520000000000001</v>
      </c>
      <c r="N2558" s="1713">
        <f>GT!F505</f>
        <v>0.84345999999999999</v>
      </c>
      <c r="O2558" s="1713">
        <f>GT!G505</f>
        <v>0.8458</v>
      </c>
      <c r="P2558" s="1713">
        <f>GT!H505</f>
        <v>0.83830000000000005</v>
      </c>
      <c r="Q2558" s="1713">
        <f>GT!I505</f>
        <v>0.86499999999999999</v>
      </c>
      <c r="R2558" s="1747">
        <f>GT!J505</f>
        <v>0.84818769845733799</v>
      </c>
    </row>
    <row r="2559" spans="2:18" s="57" customFormat="1">
      <c r="B2559" s="1892" t="s">
        <v>1249</v>
      </c>
      <c r="C2559" s="1901"/>
      <c r="D2559" s="731"/>
      <c r="E2559" s="731"/>
      <c r="F2559" s="731"/>
      <c r="G2559" s="731"/>
      <c r="H2559" s="732"/>
      <c r="I2559" s="732"/>
      <c r="K2559" s="1906"/>
      <c r="L2559" s="737"/>
      <c r="M2559" s="737"/>
      <c r="N2559" s="737"/>
      <c r="O2559" s="737"/>
      <c r="P2559" s="732"/>
      <c r="Q2559" s="732"/>
      <c r="R2559" s="1708"/>
    </row>
    <row r="2560" spans="2:18" s="57" customFormat="1" ht="13">
      <c r="B2560" s="1898" t="s">
        <v>1287</v>
      </c>
      <c r="C2560" s="1897">
        <f>GT!C419</f>
        <v>0.83830000000000005</v>
      </c>
      <c r="D2560" s="1713">
        <f>GT!D419</f>
        <v>0.8306</v>
      </c>
      <c r="E2560" s="1713">
        <f>GT!E419</f>
        <v>0.86870000000000003</v>
      </c>
      <c r="F2560" s="1713">
        <f>GT!F419</f>
        <v>0.87380000000000002</v>
      </c>
      <c r="G2560" s="1713">
        <f>GT!G419</f>
        <v>0.82620000000000005</v>
      </c>
      <c r="H2560" s="1713">
        <f>GT!H419</f>
        <v>0.87119999999999997</v>
      </c>
      <c r="I2560" s="1713">
        <f>GT!I419</f>
        <v>0.86338335886925088</v>
      </c>
      <c r="J2560" s="1713">
        <f>GT!J419</f>
        <v>0.74338545331915151</v>
      </c>
      <c r="K2560" s="1897">
        <f>GT!C526</f>
        <v>0.83830000000000005</v>
      </c>
      <c r="L2560" s="1713">
        <f>GT!D526</f>
        <v>0.8306</v>
      </c>
      <c r="M2560" s="1713">
        <f>GT!E526</f>
        <v>0.86870000000000003</v>
      </c>
      <c r="N2560" s="1713">
        <f>GT!F526</f>
        <v>0.87887999999999999</v>
      </c>
      <c r="O2560" s="1713">
        <f>GT!G526</f>
        <v>0.86380000000000001</v>
      </c>
      <c r="P2560" s="1713">
        <f>GT!H526</f>
        <v>0.85419999999999996</v>
      </c>
      <c r="Q2560" s="1713">
        <f>GT!I526</f>
        <v>0.81873404390332205</v>
      </c>
      <c r="R2560" s="1747">
        <f>GT!J526</f>
        <v>0.82387013227943451</v>
      </c>
    </row>
    <row r="2561" spans="2:18" s="57" customFormat="1" ht="13">
      <c r="B2561" s="1898" t="s">
        <v>659</v>
      </c>
      <c r="C2561" s="1897">
        <f>GT!C439</f>
        <v>0.80759999999999998</v>
      </c>
      <c r="D2561" s="1713">
        <f>GT!D439</f>
        <v>0.78239999999999998</v>
      </c>
      <c r="E2561" s="1713">
        <f>GT!E439</f>
        <v>0.80510000000000004</v>
      </c>
      <c r="F2561" s="1713">
        <f>GT!F439</f>
        <v>0.80289999999999995</v>
      </c>
      <c r="G2561" s="1713">
        <f>GT!G439</f>
        <v>0.82620000000000005</v>
      </c>
      <c r="H2561" s="1713">
        <f>GT!H439</f>
        <v>0.86509999999999998</v>
      </c>
      <c r="I2561" s="1713">
        <f>GT!I439</f>
        <v>0.88193083713260256</v>
      </c>
      <c r="J2561" s="1713">
        <f>GT!J439</f>
        <v>0.83475226624003174</v>
      </c>
      <c r="K2561" s="1897">
        <f>GT!C546</f>
        <v>0.86860000000000004</v>
      </c>
      <c r="L2561" s="1713">
        <f>GT!D546</f>
        <v>0.8347</v>
      </c>
      <c r="M2561" s="1713">
        <f>GT!E546</f>
        <v>0.84789999999999999</v>
      </c>
      <c r="N2561" s="1713">
        <f>GT!F546</f>
        <v>0.85324</v>
      </c>
      <c r="O2561" s="1713">
        <f>GT!G546</f>
        <v>0.85460000000000003</v>
      </c>
      <c r="P2561" s="1713">
        <f>GT!H546</f>
        <v>0.86319999999999997</v>
      </c>
      <c r="Q2561" s="1713">
        <f>GT!I546</f>
        <v>0.87287473721601594</v>
      </c>
      <c r="R2561" s="1747">
        <f>GT!J546</f>
        <v>0.85891557426152898</v>
      </c>
    </row>
    <row r="2562" spans="2:18" s="57" customFormat="1">
      <c r="B2562" s="1898"/>
      <c r="C2562" s="1901"/>
      <c r="D2562" s="731"/>
      <c r="E2562" s="731"/>
      <c r="F2562" s="731"/>
      <c r="G2562" s="731"/>
      <c r="H2562" s="731"/>
      <c r="I2562" s="731"/>
      <c r="J2562" s="731"/>
      <c r="K2562" s="1906"/>
      <c r="L2562" s="737"/>
      <c r="M2562" s="737"/>
      <c r="N2562" s="737"/>
      <c r="O2562" s="737"/>
      <c r="P2562" s="737"/>
      <c r="Q2562" s="737"/>
      <c r="R2562" s="1708"/>
    </row>
    <row r="2563" spans="2:18" s="57" customFormat="1">
      <c r="B2563" s="1754" t="s">
        <v>1050</v>
      </c>
      <c r="C2563" s="1901"/>
      <c r="D2563" s="731"/>
      <c r="E2563" s="731"/>
      <c r="F2563" s="731"/>
      <c r="G2563" s="731"/>
      <c r="H2563" s="731"/>
      <c r="I2563" s="731"/>
      <c r="J2563" s="731"/>
      <c r="K2563" s="1906"/>
      <c r="L2563" s="737"/>
      <c r="M2563" s="737"/>
      <c r="N2563" s="737"/>
      <c r="O2563" s="737"/>
      <c r="P2563" s="737"/>
      <c r="Q2563" s="737"/>
      <c r="R2563" s="1708"/>
    </row>
    <row r="2564" spans="2:18" s="57" customFormat="1" ht="12.5">
      <c r="B2564" s="1890" t="s">
        <v>94</v>
      </c>
      <c r="C2564" s="1897" t="str">
        <f>HN!C346</f>
        <v>0</v>
      </c>
      <c r="D2564" s="1713" t="str">
        <f>HN!D346</f>
        <v>0</v>
      </c>
      <c r="E2564" s="1713" t="str">
        <f>HN!E346</f>
        <v>0</v>
      </c>
      <c r="F2564" s="1713" t="str">
        <f>HN!F346</f>
        <v>0</v>
      </c>
      <c r="G2564" s="1713" t="str">
        <f>HN!G346</f>
        <v>0</v>
      </c>
      <c r="H2564" s="1713" t="str">
        <f>HN!H346</f>
        <v>0</v>
      </c>
      <c r="I2564" s="1713" t="str">
        <f>HN!I346</f>
        <v>0</v>
      </c>
      <c r="J2564" s="1713" t="str">
        <f>HN!J346</f>
        <v>0</v>
      </c>
      <c r="K2564" s="1897" t="str">
        <f>HN!C406</f>
        <v>0</v>
      </c>
      <c r="L2564" s="1713" t="str">
        <f>HN!D406</f>
        <v>0</v>
      </c>
      <c r="M2564" s="1713" t="str">
        <f>HN!E406</f>
        <v>0</v>
      </c>
      <c r="N2564" s="1713" t="str">
        <f>HN!F406</f>
        <v>0</v>
      </c>
      <c r="O2564" s="1713" t="str">
        <f>HN!G406</f>
        <v>0</v>
      </c>
      <c r="P2564" s="1713" t="str">
        <f>HN!H406</f>
        <v>0</v>
      </c>
      <c r="Q2564" s="1713" t="str">
        <f>HN!I406</f>
        <v>0</v>
      </c>
      <c r="R2564" s="1747" t="str">
        <f>HN!J406</f>
        <v>0</v>
      </c>
    </row>
    <row r="2565" spans="2:18" s="57" customFormat="1" ht="12.5">
      <c r="B2565" s="1892" t="s">
        <v>1271</v>
      </c>
      <c r="C2565" s="1897" t="str">
        <f>HN!C369</f>
        <v>0</v>
      </c>
      <c r="D2565" s="1713" t="str">
        <f>HN!D369</f>
        <v>0</v>
      </c>
      <c r="E2565" s="1713" t="str">
        <f>HN!E369</f>
        <v>0</v>
      </c>
      <c r="F2565" s="1713" t="str">
        <f>HN!F369</f>
        <v>0</v>
      </c>
      <c r="G2565" s="1713" t="str">
        <f>HN!G369</f>
        <v>0</v>
      </c>
      <c r="H2565" s="1713" t="str">
        <f>HN!H369</f>
        <v>0</v>
      </c>
      <c r="I2565" s="1713" t="str">
        <f>HN!I369</f>
        <v>0</v>
      </c>
      <c r="J2565" s="1713" t="str">
        <f>HN!J369</f>
        <v>0</v>
      </c>
      <c r="K2565" s="1897" t="str">
        <f>HN!C428</f>
        <v>0</v>
      </c>
      <c r="L2565" s="1713" t="str">
        <f>HN!D428</f>
        <v>0</v>
      </c>
      <c r="M2565" s="1713" t="str">
        <f>HN!E428</f>
        <v>0</v>
      </c>
      <c r="N2565" s="1713" t="str">
        <f>HN!F428</f>
        <v>0</v>
      </c>
      <c r="O2565" s="1713" t="str">
        <f>HN!G428</f>
        <v>0</v>
      </c>
      <c r="P2565" s="1713" t="str">
        <f>HN!H428</f>
        <v>0</v>
      </c>
      <c r="Q2565" s="1713" t="str">
        <f>HN!I428</f>
        <v>0</v>
      </c>
      <c r="R2565" s="1747" t="str">
        <f>HN!J428</f>
        <v>0</v>
      </c>
    </row>
    <row r="2566" spans="2:18" s="57" customFormat="1" ht="12.5">
      <c r="B2566" s="1892" t="s">
        <v>1272</v>
      </c>
      <c r="C2566" s="1897" t="str">
        <f>HN!C390</f>
        <v>0</v>
      </c>
      <c r="D2566" s="1713" t="str">
        <f>HN!D390</f>
        <v>0</v>
      </c>
      <c r="E2566" s="1713" t="str">
        <f>HN!E390</f>
        <v>0</v>
      </c>
      <c r="F2566" s="1713" t="str">
        <f>HN!F390</f>
        <v>0</v>
      </c>
      <c r="G2566" s="1713" t="str">
        <f>HN!G390</f>
        <v>0</v>
      </c>
      <c r="H2566" s="1713" t="str">
        <f>HN!H390</f>
        <v>0</v>
      </c>
      <c r="I2566" s="1713" t="str">
        <f>HN!I390</f>
        <v>0</v>
      </c>
      <c r="J2566" s="1713" t="str">
        <f>HN!J390</f>
        <v>0</v>
      </c>
      <c r="K2566" s="1897" t="str">
        <f>HN!C449</f>
        <v>0</v>
      </c>
      <c r="L2566" s="1713" t="str">
        <f>HN!D449</f>
        <v>0</v>
      </c>
      <c r="M2566" s="1713" t="str">
        <f>HN!E449</f>
        <v>0</v>
      </c>
      <c r="N2566" s="1713" t="str">
        <f>HN!F449</f>
        <v>0</v>
      </c>
      <c r="O2566" s="1713" t="str">
        <f>HN!G449</f>
        <v>0</v>
      </c>
      <c r="P2566" s="1713" t="str">
        <f>HN!H449</f>
        <v>0</v>
      </c>
      <c r="Q2566" s="1713" t="str">
        <f>HN!I449</f>
        <v>0</v>
      </c>
      <c r="R2566" s="1747" t="str">
        <f>HN!J449</f>
        <v>0</v>
      </c>
    </row>
    <row r="2567" spans="2:18" s="57" customFormat="1">
      <c r="B2567" s="1898"/>
      <c r="C2567" s="1901"/>
      <c r="D2567" s="731"/>
      <c r="E2567" s="731"/>
      <c r="F2567" s="731"/>
      <c r="G2567" s="731"/>
      <c r="H2567" s="731"/>
      <c r="I2567" s="731"/>
      <c r="J2567" s="731"/>
      <c r="K2567" s="1906"/>
      <c r="L2567" s="737"/>
      <c r="M2567" s="737"/>
      <c r="N2567" s="737"/>
      <c r="O2567" s="737"/>
      <c r="P2567" s="737"/>
      <c r="Q2567" s="737"/>
      <c r="R2567" s="1708"/>
    </row>
    <row r="2568" spans="2:18" s="57" customFormat="1">
      <c r="B2568" s="1755" t="s">
        <v>1051</v>
      </c>
      <c r="C2568" s="1901"/>
      <c r="D2568" s="731"/>
      <c r="E2568" s="731"/>
      <c r="F2568" s="731"/>
      <c r="G2568" s="731"/>
      <c r="H2568" s="731"/>
      <c r="I2568" s="731"/>
      <c r="J2568" s="731"/>
      <c r="K2568" s="1901"/>
      <c r="L2568" s="731"/>
      <c r="M2568" s="732"/>
      <c r="N2568" s="732"/>
      <c r="O2568" s="732"/>
      <c r="P2568" s="732"/>
      <c r="Q2568" s="732"/>
      <c r="R2568" s="1708"/>
    </row>
    <row r="2569" spans="2:18" s="57" customFormat="1" ht="12.5">
      <c r="B2569" s="1758" t="s">
        <v>1251</v>
      </c>
      <c r="C2569" s="1897" t="str">
        <f>JM!C341</f>
        <v>0</v>
      </c>
      <c r="D2569" s="1713" t="str">
        <f>JM!D341</f>
        <v>0</v>
      </c>
      <c r="E2569" s="1713" t="str">
        <f>JM!E341</f>
        <v>0</v>
      </c>
      <c r="F2569" s="1713" t="str">
        <f>JM!F341</f>
        <v>0</v>
      </c>
      <c r="G2569" s="1713" t="str">
        <f>JM!G341</f>
        <v>0</v>
      </c>
      <c r="H2569" s="1713" t="str">
        <f>JM!H341</f>
        <v>0</v>
      </c>
      <c r="I2569" s="1713" t="str">
        <f>JM!I341</f>
        <v>0</v>
      </c>
      <c r="J2569" s="1713" t="str">
        <f>JM!J341</f>
        <v>0</v>
      </c>
      <c r="K2569" s="1897">
        <f>JM!C399</f>
        <v>0</v>
      </c>
      <c r="L2569" s="1713">
        <f>JM!D399</f>
        <v>0</v>
      </c>
      <c r="M2569" s="1713">
        <f>JM!E399</f>
        <v>0</v>
      </c>
      <c r="N2569" s="1713">
        <f>JM!F399</f>
        <v>0</v>
      </c>
      <c r="O2569" s="1713">
        <f>JM!G399</f>
        <v>0</v>
      </c>
      <c r="P2569" s="1713">
        <f>JM!H399</f>
        <v>0</v>
      </c>
      <c r="Q2569" s="1713">
        <f>JM!I399</f>
        <v>0</v>
      </c>
      <c r="R2569" s="1747">
        <f>JM!J399</f>
        <v>0</v>
      </c>
    </row>
    <row r="2570" spans="2:18" s="57" customFormat="1" ht="12.5">
      <c r="B2570" s="1758" t="s">
        <v>1252</v>
      </c>
      <c r="C2570" s="1897">
        <f>JM!C363</f>
        <v>0.45919183872586333</v>
      </c>
      <c r="D2570" s="1713">
        <f>JM!D363</f>
        <v>0.4486047445262662</v>
      </c>
      <c r="E2570" s="1713">
        <f>JM!E363</f>
        <v>0.44541762095298498</v>
      </c>
      <c r="F2570" s="1713">
        <f>JM!F363</f>
        <v>0.43913203483831176</v>
      </c>
      <c r="G2570" s="1713">
        <f>JM!G363</f>
        <v>0.43451968321957696</v>
      </c>
      <c r="H2570" s="1713">
        <f>JM!H363</f>
        <v>0.42428515257984883</v>
      </c>
      <c r="I2570" s="1713">
        <f>JM!I363</f>
        <v>0.46154733088255301</v>
      </c>
      <c r="J2570" s="1713">
        <f>JM!J363</f>
        <v>0.45251027697849211</v>
      </c>
      <c r="K2570" s="1897">
        <f>JM!C421</f>
        <v>0.94463214905717763</v>
      </c>
      <c r="L2570" s="1713">
        <f>JM!D421</f>
        <v>0.94087935479056795</v>
      </c>
      <c r="M2570" s="1713">
        <f>JM!E421</f>
        <v>0.92903788160334599</v>
      </c>
      <c r="N2570" s="1713">
        <f>JM!F421</f>
        <v>0.91627198789054198</v>
      </c>
      <c r="O2570" s="1713">
        <f>JM!G421</f>
        <v>0.90991986018563908</v>
      </c>
      <c r="P2570" s="1713">
        <f>JM!H421</f>
        <v>0.9024531873392867</v>
      </c>
      <c r="Q2570" s="1713">
        <f>JM!I421</f>
        <v>0.89183648558890061</v>
      </c>
      <c r="R2570" s="1747">
        <f>JM!J421</f>
        <v>0.87009230489380796</v>
      </c>
    </row>
    <row r="2571" spans="2:18" s="57" customFormat="1" ht="12.5">
      <c r="B2571" s="1758" t="s">
        <v>1254</v>
      </c>
      <c r="C2571" s="1897">
        <f>JM!C383</f>
        <v>0.54080816127413667</v>
      </c>
      <c r="D2571" s="1713">
        <f>JM!D383</f>
        <v>0.5513952554737338</v>
      </c>
      <c r="E2571" s="1713">
        <f>JM!E383</f>
        <v>0.55458237904701502</v>
      </c>
      <c r="F2571" s="1713">
        <f>JM!F383</f>
        <v>0.56086796516168824</v>
      </c>
      <c r="G2571" s="1713">
        <f>JM!G383</f>
        <v>0.56548031678042299</v>
      </c>
      <c r="H2571" s="1713">
        <f>JM!H383</f>
        <v>0.57571484742015111</v>
      </c>
      <c r="I2571" s="1713">
        <f>JM!I383</f>
        <v>0.5384526691174466</v>
      </c>
      <c r="J2571" s="1713">
        <f>JM!J383</f>
        <v>0.54748972302150778</v>
      </c>
      <c r="K2571" s="1897">
        <f>JM!C441</f>
        <v>5.5367850942822358E-2</v>
      </c>
      <c r="L2571" s="1713">
        <f>JM!D441</f>
        <v>5.9120645209432013E-2</v>
      </c>
      <c r="M2571" s="1713">
        <f>JM!E441</f>
        <v>7.0962118396654048E-2</v>
      </c>
      <c r="N2571" s="1713">
        <f>JM!F441</f>
        <v>8.3728012109457989E-2</v>
      </c>
      <c r="O2571" s="1713">
        <f>JM!G441</f>
        <v>9.0080139814360985E-2</v>
      </c>
      <c r="P2571" s="1713">
        <f>JM!H441</f>
        <v>9.7546812660713356E-2</v>
      </c>
      <c r="Q2571" s="1713">
        <f>JM!I441</f>
        <v>0.10816351441109948</v>
      </c>
      <c r="R2571" s="1747">
        <f>JM!J441</f>
        <v>0.12990769510619207</v>
      </c>
    </row>
    <row r="2572" spans="2:18" s="57" customFormat="1" ht="12.5">
      <c r="B2572" s="1758"/>
      <c r="C2572" s="1897"/>
      <c r="D2572" s="1713"/>
      <c r="E2572" s="1713"/>
      <c r="F2572" s="1713"/>
      <c r="G2572" s="1713"/>
      <c r="H2572" s="1713"/>
      <c r="I2572" s="1713"/>
      <c r="J2572" s="1713"/>
      <c r="K2572" s="1897"/>
      <c r="L2572" s="1713"/>
      <c r="M2572" s="1713"/>
      <c r="N2572" s="1713"/>
      <c r="O2572" s="1713"/>
      <c r="P2572" s="1713"/>
      <c r="Q2572" s="1713"/>
      <c r="R2572" s="1747"/>
    </row>
    <row r="2573" spans="2:18" s="57" customFormat="1">
      <c r="B2573" s="1755" t="s">
        <v>1052</v>
      </c>
      <c r="C2573" s="1901"/>
      <c r="D2573" s="731"/>
      <c r="E2573" s="731"/>
      <c r="F2573" s="731"/>
      <c r="G2573" s="731"/>
      <c r="H2573" s="731"/>
      <c r="I2573" s="731"/>
      <c r="J2573" s="731"/>
      <c r="K2573" s="1902"/>
      <c r="L2573" s="732"/>
      <c r="M2573" s="732"/>
      <c r="N2573" s="732"/>
      <c r="O2573" s="732"/>
      <c r="P2573" s="732"/>
      <c r="Q2573" s="732"/>
      <c r="R2573" s="1708"/>
    </row>
    <row r="2574" spans="2:18" s="57" customFormat="1" ht="12.5">
      <c r="B2574" s="1756" t="s">
        <v>671</v>
      </c>
      <c r="C2574" s="1897">
        <f>RD!C384</f>
        <v>0</v>
      </c>
      <c r="D2574" s="1713">
        <f>RD!D384</f>
        <v>0</v>
      </c>
      <c r="E2574" s="1713">
        <f>RD!E384</f>
        <v>0</v>
      </c>
      <c r="F2574" s="1713">
        <f>RD!F384</f>
        <v>0</v>
      </c>
      <c r="G2574" s="1713">
        <f>RD!G384</f>
        <v>0</v>
      </c>
      <c r="H2574" s="1713">
        <f>RD!H384</f>
        <v>0</v>
      </c>
      <c r="I2574" s="1713">
        <f>RD!I384</f>
        <v>0</v>
      </c>
      <c r="J2574" s="1713">
        <f>RD!J384</f>
        <v>0</v>
      </c>
      <c r="K2574" s="1897">
        <f>RD!C450</f>
        <v>0</v>
      </c>
      <c r="L2574" s="1713">
        <f>RD!D450</f>
        <v>0</v>
      </c>
      <c r="M2574" s="1713">
        <f>RD!E450</f>
        <v>0</v>
      </c>
      <c r="N2574" s="1713">
        <f>RD!F450</f>
        <v>0</v>
      </c>
      <c r="O2574" s="1713">
        <f>RD!G450</f>
        <v>0</v>
      </c>
      <c r="P2574" s="1713">
        <f>RD!H450</f>
        <v>0</v>
      </c>
      <c r="Q2574" s="1713">
        <f>RD!I450</f>
        <v>0</v>
      </c>
      <c r="R2574" s="1747">
        <f>RD!J450</f>
        <v>0</v>
      </c>
    </row>
    <row r="2575" spans="2:18" s="57" customFormat="1" ht="12.5">
      <c r="B2575" s="1756" t="s">
        <v>684</v>
      </c>
      <c r="C2575" s="1897">
        <f>RD!C392</f>
        <v>0</v>
      </c>
      <c r="D2575" s="1713">
        <f>RD!D392</f>
        <v>0</v>
      </c>
      <c r="E2575" s="1713">
        <f>RD!E392</f>
        <v>0</v>
      </c>
      <c r="F2575" s="1713">
        <f>RD!F392</f>
        <v>0</v>
      </c>
      <c r="G2575" s="1713">
        <f>RD!G392</f>
        <v>0</v>
      </c>
      <c r="H2575" s="1713">
        <f>RD!H392</f>
        <v>0</v>
      </c>
      <c r="I2575" s="1713">
        <f>RD!I392</f>
        <v>0</v>
      </c>
      <c r="J2575" s="1713">
        <f>RD!J392</f>
        <v>0</v>
      </c>
      <c r="K2575" s="1897">
        <f>RD!C458</f>
        <v>0</v>
      </c>
      <c r="L2575" s="1713">
        <f>RD!D458</f>
        <v>0</v>
      </c>
      <c r="M2575" s="1713">
        <f>RD!E458</f>
        <v>0</v>
      </c>
      <c r="N2575" s="1713">
        <f>RD!F458</f>
        <v>0</v>
      </c>
      <c r="O2575" s="1713">
        <f>RD!G458</f>
        <v>0</v>
      </c>
      <c r="P2575" s="1713">
        <f>RD!H458</f>
        <v>0</v>
      </c>
      <c r="Q2575" s="1713">
        <f>RD!I458</f>
        <v>0</v>
      </c>
      <c r="R2575" s="1747">
        <f>RD!J458</f>
        <v>0</v>
      </c>
    </row>
    <row r="2576" spans="2:18" s="57" customFormat="1" ht="12.5">
      <c r="B2576" s="1757" t="s">
        <v>674</v>
      </c>
      <c r="C2576" s="1897">
        <f>RD!C399</f>
        <v>0</v>
      </c>
      <c r="D2576" s="1713">
        <f>RD!D399</f>
        <v>0</v>
      </c>
      <c r="E2576" s="1713">
        <f>RD!E399</f>
        <v>0</v>
      </c>
      <c r="F2576" s="1713">
        <f>RD!F399</f>
        <v>0</v>
      </c>
      <c r="G2576" s="1713">
        <f>RD!G399</f>
        <v>0</v>
      </c>
      <c r="H2576" s="1713">
        <f>RD!H399</f>
        <v>0</v>
      </c>
      <c r="I2576" s="1713">
        <f>RD!I399</f>
        <v>0</v>
      </c>
      <c r="J2576" s="1713">
        <f>RD!J399</f>
        <v>0</v>
      </c>
      <c r="K2576" s="1897">
        <f>RD!C465</f>
        <v>0</v>
      </c>
      <c r="L2576" s="1713">
        <f>RD!D465</f>
        <v>0</v>
      </c>
      <c r="M2576" s="1713">
        <f>RD!E465</f>
        <v>0</v>
      </c>
      <c r="N2576" s="1713">
        <f>RD!F465</f>
        <v>0</v>
      </c>
      <c r="O2576" s="1713">
        <f>RD!G465</f>
        <v>0</v>
      </c>
      <c r="P2576" s="1713">
        <f>RD!H465</f>
        <v>0</v>
      </c>
      <c r="Q2576" s="1713">
        <f>RD!I465</f>
        <v>0</v>
      </c>
      <c r="R2576" s="1747">
        <f>RD!J465</f>
        <v>0</v>
      </c>
    </row>
    <row r="2577" spans="2:18" s="57" customFormat="1" ht="12.5">
      <c r="B2577" s="1757" t="s">
        <v>1269</v>
      </c>
      <c r="C2577" s="1897">
        <f>RD!C404</f>
        <v>0</v>
      </c>
      <c r="D2577" s="1713">
        <f>RD!D404</f>
        <v>0</v>
      </c>
      <c r="E2577" s="1713">
        <f>RD!E404</f>
        <v>0</v>
      </c>
      <c r="F2577" s="1713">
        <f>RD!F404</f>
        <v>0</v>
      </c>
      <c r="G2577" s="1713">
        <f>RD!G404</f>
        <v>0</v>
      </c>
      <c r="H2577" s="1713">
        <f>RD!H404</f>
        <v>0</v>
      </c>
      <c r="I2577" s="1713">
        <f>RD!I404</f>
        <v>0</v>
      </c>
      <c r="J2577" s="1713">
        <f>RD!J404</f>
        <v>0</v>
      </c>
      <c r="K2577" s="1897">
        <f>RD!C470</f>
        <v>0</v>
      </c>
      <c r="L2577" s="1713">
        <f>RD!D470</f>
        <v>0</v>
      </c>
      <c r="M2577" s="1713">
        <f>RD!E470</f>
        <v>0</v>
      </c>
      <c r="N2577" s="1713">
        <f>RD!F470</f>
        <v>0</v>
      </c>
      <c r="O2577" s="1713">
        <f>RD!G470</f>
        <v>0</v>
      </c>
      <c r="P2577" s="1713">
        <f>RD!H470</f>
        <v>0</v>
      </c>
      <c r="Q2577" s="1713">
        <f>RD!I470</f>
        <v>0</v>
      </c>
      <c r="R2577" s="1747">
        <f>RD!J470</f>
        <v>0</v>
      </c>
    </row>
    <row r="2578" spans="2:18" s="57" customFormat="1" ht="12.5">
      <c r="B2578" s="1757" t="s">
        <v>677</v>
      </c>
      <c r="C2578" s="1897">
        <f>RD!C410</f>
        <v>0</v>
      </c>
      <c r="D2578" s="1713">
        <f>RD!D410</f>
        <v>0</v>
      </c>
      <c r="E2578" s="1713">
        <f>RD!E410</f>
        <v>0</v>
      </c>
      <c r="F2578" s="1713">
        <f>RD!F410</f>
        <v>0</v>
      </c>
      <c r="G2578" s="1713">
        <f>RD!G410</f>
        <v>0</v>
      </c>
      <c r="H2578" s="1713">
        <f>RD!H410</f>
        <v>0</v>
      </c>
      <c r="I2578" s="1713">
        <f>RD!I410</f>
        <v>0</v>
      </c>
      <c r="J2578" s="1713">
        <f>RD!J410</f>
        <v>0</v>
      </c>
      <c r="K2578" s="1897">
        <f>RD!C476</f>
        <v>0</v>
      </c>
      <c r="L2578" s="1713">
        <f>RD!D476</f>
        <v>0</v>
      </c>
      <c r="M2578" s="1713">
        <f>RD!E476</f>
        <v>0</v>
      </c>
      <c r="N2578" s="1713">
        <f>RD!F476</f>
        <v>0</v>
      </c>
      <c r="O2578" s="1713">
        <f>RD!G476</f>
        <v>0</v>
      </c>
      <c r="P2578" s="1713">
        <f>RD!H476</f>
        <v>0</v>
      </c>
      <c r="Q2578" s="1713">
        <f>RD!I476</f>
        <v>0</v>
      </c>
      <c r="R2578" s="1747">
        <f>RD!J476</f>
        <v>0</v>
      </c>
    </row>
    <row r="2579" spans="2:18" s="57" customFormat="1" ht="12.5">
      <c r="B2579" s="1757" t="s">
        <v>678</v>
      </c>
      <c r="C2579" s="1897">
        <f>RD!C416</f>
        <v>0</v>
      </c>
      <c r="D2579" s="1713">
        <f>RD!D416</f>
        <v>0</v>
      </c>
      <c r="E2579" s="1713">
        <f>RD!E416</f>
        <v>0</v>
      </c>
      <c r="F2579" s="1713">
        <f>RD!F416</f>
        <v>0</v>
      </c>
      <c r="G2579" s="1713">
        <f>RD!G416</f>
        <v>0</v>
      </c>
      <c r="H2579" s="1713">
        <f>RD!H416</f>
        <v>0</v>
      </c>
      <c r="I2579" s="1713">
        <f>RD!I416</f>
        <v>0</v>
      </c>
      <c r="J2579" s="1713">
        <f>RD!J416</f>
        <v>0</v>
      </c>
      <c r="K2579" s="1897">
        <f>RD!C482</f>
        <v>0</v>
      </c>
      <c r="L2579" s="1713">
        <f>RD!D482</f>
        <v>0</v>
      </c>
      <c r="M2579" s="1713">
        <f>RD!E482</f>
        <v>0</v>
      </c>
      <c r="N2579" s="1713">
        <f>RD!F482</f>
        <v>0</v>
      </c>
      <c r="O2579" s="1713">
        <f>RD!G482</f>
        <v>0</v>
      </c>
      <c r="P2579" s="1713">
        <f>RD!H482</f>
        <v>0</v>
      </c>
      <c r="Q2579" s="1713">
        <f>RD!I482</f>
        <v>0</v>
      </c>
      <c r="R2579" s="1747">
        <f>RD!J482</f>
        <v>0</v>
      </c>
    </row>
    <row r="2580" spans="2:18" s="57" customFormat="1" ht="12.5">
      <c r="B2580" s="1757" t="s">
        <v>1245</v>
      </c>
      <c r="C2580" s="1897">
        <f>RD!C422</f>
        <v>0</v>
      </c>
      <c r="D2580" s="1713">
        <f>RD!D422</f>
        <v>0</v>
      </c>
      <c r="E2580" s="1713">
        <f>RD!E422</f>
        <v>0</v>
      </c>
      <c r="F2580" s="1713">
        <f>RD!F422</f>
        <v>0</v>
      </c>
      <c r="G2580" s="1713">
        <f>RD!G422</f>
        <v>0</v>
      </c>
      <c r="H2580" s="1713">
        <f>RD!H422</f>
        <v>0</v>
      </c>
      <c r="I2580" s="1713">
        <f>RD!I422</f>
        <v>0</v>
      </c>
      <c r="J2580" s="1713">
        <f>RD!J422</f>
        <v>0</v>
      </c>
      <c r="K2580" s="1897">
        <f>RD!C488</f>
        <v>0</v>
      </c>
      <c r="L2580" s="1713">
        <f>RD!D488</f>
        <v>0</v>
      </c>
      <c r="M2580" s="1713">
        <f>RD!E488</f>
        <v>0</v>
      </c>
      <c r="N2580" s="1713">
        <f>RD!F488</f>
        <v>0</v>
      </c>
      <c r="O2580" s="1713">
        <f>RD!G488</f>
        <v>0</v>
      </c>
      <c r="P2580" s="1713">
        <f>RD!H488</f>
        <v>0</v>
      </c>
      <c r="Q2580" s="1713">
        <f>RD!I488</f>
        <v>0</v>
      </c>
      <c r="R2580" s="1747">
        <f>RD!J488</f>
        <v>0</v>
      </c>
    </row>
    <row r="2581" spans="2:18" s="57" customFormat="1" ht="12.5">
      <c r="B2581" s="1757" t="s">
        <v>1246</v>
      </c>
      <c r="C2581" s="1897">
        <f>RD!C428</f>
        <v>0</v>
      </c>
      <c r="D2581" s="1713">
        <f>RD!D428</f>
        <v>0</v>
      </c>
      <c r="E2581" s="1713">
        <f>RD!E428</f>
        <v>0</v>
      </c>
      <c r="F2581" s="1713">
        <f>RD!F428</f>
        <v>0</v>
      </c>
      <c r="G2581" s="1713">
        <f>RD!G428</f>
        <v>0</v>
      </c>
      <c r="H2581" s="1713">
        <f>RD!H428</f>
        <v>0</v>
      </c>
      <c r="I2581" s="1713">
        <f>RD!I428</f>
        <v>0</v>
      </c>
      <c r="J2581" s="1713">
        <f>RD!J428</f>
        <v>0</v>
      </c>
      <c r="K2581" s="1897">
        <f>RD!C494</f>
        <v>0</v>
      </c>
      <c r="L2581" s="1713">
        <f>RD!D494</f>
        <v>0</v>
      </c>
      <c r="M2581" s="1713">
        <f>RD!E494</f>
        <v>0</v>
      </c>
      <c r="N2581" s="1713">
        <f>RD!F494</f>
        <v>0</v>
      </c>
      <c r="O2581" s="1713">
        <f>RD!G494</f>
        <v>0</v>
      </c>
      <c r="P2581" s="1713">
        <f>RD!H494</f>
        <v>0</v>
      </c>
      <c r="Q2581" s="1713">
        <f>RD!I494</f>
        <v>0</v>
      </c>
      <c r="R2581" s="1747">
        <f>RD!J494</f>
        <v>0</v>
      </c>
    </row>
    <row r="2582" spans="2:18" s="57" customFormat="1" ht="12.5">
      <c r="B2582" s="1757" t="s">
        <v>681</v>
      </c>
      <c r="C2582" s="1897">
        <f>RD!C434</f>
        <v>0</v>
      </c>
      <c r="D2582" s="1713">
        <f>RD!D434</f>
        <v>0</v>
      </c>
      <c r="E2582" s="1713">
        <f>RD!E434</f>
        <v>0</v>
      </c>
      <c r="F2582" s="1713">
        <f>RD!F434</f>
        <v>0</v>
      </c>
      <c r="G2582" s="1713">
        <f>RD!G434</f>
        <v>0</v>
      </c>
      <c r="H2582" s="1713">
        <f>RD!H434</f>
        <v>0</v>
      </c>
      <c r="I2582" s="1713">
        <f>RD!I434</f>
        <v>0</v>
      </c>
      <c r="J2582" s="1713">
        <f>RD!J434</f>
        <v>0</v>
      </c>
      <c r="K2582" s="1897">
        <f>RD!C500</f>
        <v>0</v>
      </c>
      <c r="L2582" s="1713">
        <f>RD!D500</f>
        <v>0</v>
      </c>
      <c r="M2582" s="1713">
        <f>RD!E500</f>
        <v>0</v>
      </c>
      <c r="N2582" s="1713">
        <f>RD!F500</f>
        <v>0</v>
      </c>
      <c r="O2582" s="1713">
        <f>RD!G500</f>
        <v>0</v>
      </c>
      <c r="P2582" s="1713">
        <f>RD!H500</f>
        <v>0</v>
      </c>
      <c r="Q2582" s="1713">
        <f>RD!I500</f>
        <v>0</v>
      </c>
      <c r="R2582" s="1747">
        <f>RD!J500</f>
        <v>0</v>
      </c>
    </row>
    <row r="2583" spans="2:18" s="57" customFormat="1">
      <c r="B2583" s="1758"/>
      <c r="C2583" s="1904"/>
      <c r="D2583" s="733"/>
      <c r="E2583" s="733"/>
      <c r="F2583" s="733"/>
      <c r="G2583" s="733"/>
      <c r="H2583" s="732"/>
      <c r="I2583" s="732"/>
      <c r="J2583" s="732"/>
      <c r="K2583" s="1904"/>
      <c r="L2583" s="733"/>
      <c r="M2583" s="733"/>
      <c r="N2583" s="733"/>
      <c r="O2583" s="733"/>
      <c r="P2583" s="732"/>
      <c r="Q2583" s="732"/>
      <c r="R2583" s="1708"/>
    </row>
    <row r="2584" spans="2:18" s="57" customFormat="1">
      <c r="B2584" s="1755" t="s">
        <v>1053</v>
      </c>
      <c r="C2584" s="1901"/>
      <c r="D2584" s="731"/>
      <c r="E2584" s="731"/>
      <c r="F2584" s="731"/>
      <c r="G2584" s="731"/>
      <c r="H2584" s="732"/>
      <c r="I2584" s="732"/>
      <c r="J2584" s="732"/>
      <c r="K2584" s="1901"/>
      <c r="L2584" s="731"/>
      <c r="M2584" s="731"/>
      <c r="N2584" s="731"/>
      <c r="O2584" s="731"/>
      <c r="P2584" s="732"/>
      <c r="Q2584" s="732"/>
      <c r="R2584" s="1708"/>
    </row>
    <row r="2585" spans="2:18" s="57" customFormat="1" ht="12.5">
      <c r="B2585" s="1706" t="s">
        <v>2127</v>
      </c>
      <c r="C2585" s="1897">
        <f>PY!C421</f>
        <v>1</v>
      </c>
      <c r="D2585" s="1713">
        <f>PY!D421</f>
        <v>1</v>
      </c>
      <c r="E2585" s="1713">
        <f>PY!E421</f>
        <v>1</v>
      </c>
      <c r="F2585" s="1713">
        <f>PY!F421</f>
        <v>1</v>
      </c>
      <c r="G2585" s="1713">
        <f>PY!G421</f>
        <v>1</v>
      </c>
      <c r="H2585" s="1713">
        <f>PY!H421</f>
        <v>1</v>
      </c>
      <c r="I2585" s="1713">
        <f>PY!I421</f>
        <v>1</v>
      </c>
      <c r="J2585" s="1713">
        <f>PY!J421</f>
        <v>1</v>
      </c>
      <c r="K2585" s="1897">
        <f>PY!C600</f>
        <v>0</v>
      </c>
      <c r="L2585" s="1713">
        <f>PY!D600</f>
        <v>1</v>
      </c>
      <c r="M2585" s="1713">
        <f>PY!E600</f>
        <v>1</v>
      </c>
      <c r="N2585" s="1713">
        <f>PY!F600</f>
        <v>1</v>
      </c>
      <c r="O2585" s="1713">
        <f>PY!G600</f>
        <v>1</v>
      </c>
      <c r="P2585" s="1713">
        <f>PY!H600</f>
        <v>1</v>
      </c>
      <c r="Q2585" s="1713">
        <f>PY!I600</f>
        <v>1</v>
      </c>
      <c r="R2585" s="1747">
        <f>PY!J600</f>
        <v>1</v>
      </c>
    </row>
    <row r="2586" spans="2:18" s="57" customFormat="1" ht="12.5">
      <c r="B2586" s="1706" t="s">
        <v>2119</v>
      </c>
      <c r="C2586" s="1897">
        <f>PY!C443</f>
        <v>0</v>
      </c>
      <c r="D2586" s="1713">
        <f>PY!D443</f>
        <v>3.6372637402777839E-3</v>
      </c>
      <c r="E2586" s="1713">
        <f>PY!E443</f>
        <v>6.3461145318265749E-3</v>
      </c>
      <c r="F2586" s="1713">
        <f>PY!F443</f>
        <v>1.051303070063328E-2</v>
      </c>
      <c r="G2586" s="1713">
        <f>PY!G443</f>
        <v>3.2511680728709622E-2</v>
      </c>
      <c r="H2586" s="1713">
        <f>PY!H443</f>
        <v>4.5370917030815257E-2</v>
      </c>
      <c r="I2586" s="1713">
        <f>PY!I443</f>
        <v>8.4615580599594606E-2</v>
      </c>
      <c r="J2586" s="1713">
        <f>PY!J443</f>
        <v>0.12212312763279055</v>
      </c>
      <c r="K2586" s="1897">
        <f>PY!C622</f>
        <v>0</v>
      </c>
      <c r="L2586" s="1713">
        <f>PY!D622</f>
        <v>0.32629634576088612</v>
      </c>
      <c r="M2586" s="1713">
        <f>PY!E622</f>
        <v>0.40447568399817541</v>
      </c>
      <c r="N2586" s="1713">
        <f>PY!F622</f>
        <v>0.45805491733503478</v>
      </c>
      <c r="O2586" s="1713">
        <f>PY!G622</f>
        <v>0.57737641997884737</v>
      </c>
      <c r="P2586" s="1713">
        <f>PY!H622</f>
        <v>0.61873178639149884</v>
      </c>
      <c r="Q2586" s="1713">
        <f>PY!I622</f>
        <v>0.67447458564687235</v>
      </c>
      <c r="R2586" s="1747">
        <f>PY!J622</f>
        <v>0.71777935230756262</v>
      </c>
    </row>
    <row r="2587" spans="2:18" s="57" customFormat="1" ht="12.5">
      <c r="B2587" s="1706" t="s">
        <v>489</v>
      </c>
      <c r="C2587" s="1897">
        <f>PY!C463</f>
        <v>0</v>
      </c>
      <c r="D2587" s="1713">
        <f>PY!D463</f>
        <v>1.157290200841781E-3</v>
      </c>
      <c r="E2587" s="1713">
        <f>PY!E463</f>
        <v>1.3731563765092859E-3</v>
      </c>
      <c r="F2587" s="1713">
        <f>PY!F463</f>
        <v>1.6959658938730023E-3</v>
      </c>
      <c r="G2587" s="1713">
        <f>PY!G463</f>
        <v>3.9851872740592348E-3</v>
      </c>
      <c r="H2587" s="1713">
        <f>PY!H463</f>
        <v>3.580897138785261E-3</v>
      </c>
      <c r="I2587" s="1713">
        <f>PY!I463</f>
        <v>9.6009206239257468E-3</v>
      </c>
      <c r="J2587" s="1713">
        <f>PY!J463</f>
        <v>2.2963725898712286E-2</v>
      </c>
      <c r="K2587" s="1897">
        <f>PY!C642</f>
        <v>0</v>
      </c>
      <c r="L2587" s="1713">
        <f>PY!D642</f>
        <v>1.3723189086715442E-2</v>
      </c>
      <c r="M2587" s="1713">
        <f>PY!E642</f>
        <v>1.557951178227087E-2</v>
      </c>
      <c r="N2587" s="1713">
        <f>PY!F642</f>
        <v>1.5136033860947648E-2</v>
      </c>
      <c r="O2587" s="1713">
        <f>PY!G642</f>
        <v>1.6514289014475797E-2</v>
      </c>
      <c r="P2587" s="1713">
        <f>PY!H642</f>
        <v>1.4687405963779968E-2</v>
      </c>
      <c r="Q2587" s="1713">
        <f>PY!I642</f>
        <v>1.8971007209474897E-2</v>
      </c>
      <c r="R2587" s="1747">
        <f>PY!J642</f>
        <v>2.6174069969145765E-2</v>
      </c>
    </row>
    <row r="2588" spans="2:18" s="57" customFormat="1" ht="25">
      <c r="B2588" s="1707" t="s">
        <v>2133</v>
      </c>
      <c r="C2588" s="1897">
        <f>PY!C483</f>
        <v>0</v>
      </c>
      <c r="D2588" s="1713">
        <f>PY!D483</f>
        <v>0.83466835276951123</v>
      </c>
      <c r="E2588" s="1713">
        <f>PY!E483</f>
        <v>0.82928352616703083</v>
      </c>
      <c r="F2588" s="1713">
        <f>PY!F483</f>
        <v>0.84223928600062148</v>
      </c>
      <c r="G2588" s="1713">
        <f>PY!G483</f>
        <v>0.83753086325477655</v>
      </c>
      <c r="H2588" s="1713">
        <f>PY!H483</f>
        <v>0.82700666568826342</v>
      </c>
      <c r="I2588" s="1713">
        <f>PY!I483</f>
        <v>0.76233840351255244</v>
      </c>
      <c r="J2588" s="1713">
        <f>PY!J483</f>
        <v>0.7308183803877395</v>
      </c>
      <c r="K2588" s="1897">
        <f>PY!C662</f>
        <v>0</v>
      </c>
      <c r="L2588" s="1713">
        <f>PY!D662</f>
        <v>0.6082975291029542</v>
      </c>
      <c r="M2588" s="1713">
        <f>PY!E662</f>
        <v>0.53120725943958402</v>
      </c>
      <c r="N2588" s="1713">
        <f>PY!F662</f>
        <v>0.48644091897980896</v>
      </c>
      <c r="O2588" s="1713">
        <f>PY!G662</f>
        <v>0.38546847522890809</v>
      </c>
      <c r="P2588" s="1713">
        <f>PY!H662</f>
        <v>0.34629891094578841</v>
      </c>
      <c r="Q2588" s="1713">
        <f>PY!I662</f>
        <v>0.28543024606516826</v>
      </c>
      <c r="R2588" s="1747">
        <f>PY!J662</f>
        <v>0.23631498103449802</v>
      </c>
    </row>
    <row r="2589" spans="2:18" s="57" customFormat="1" ht="12.5">
      <c r="B2589" s="1706" t="s">
        <v>2121</v>
      </c>
      <c r="C2589" s="1897">
        <f>PY!C503</f>
        <v>0</v>
      </c>
      <c r="D2589" s="1713">
        <f>PY!D503</f>
        <v>0.13541531589905192</v>
      </c>
      <c r="E2589" s="1713">
        <f>PY!E503</f>
        <v>0.1235993303508453</v>
      </c>
      <c r="F2589" s="1713">
        <f>PY!F503</f>
        <v>0.10882207822505055</v>
      </c>
      <c r="G2589" s="1713">
        <f>PY!G503</f>
        <v>9.4914120545143657E-2</v>
      </c>
      <c r="H2589" s="1713">
        <f>PY!H503</f>
        <v>9.4622193540705002E-2</v>
      </c>
      <c r="I2589" s="1713">
        <f>PY!I503</f>
        <v>0.12112746965045319</v>
      </c>
      <c r="J2589" s="1713">
        <f>PY!J503</f>
        <v>0.10625068669171439</v>
      </c>
      <c r="K2589" s="1897">
        <f>PY!C682</f>
        <v>0</v>
      </c>
      <c r="L2589" s="1713">
        <f>PY!D682</f>
        <v>4.8946181841352292E-2</v>
      </c>
      <c r="M2589" s="1713">
        <f>PY!E682</f>
        <v>4.3329128570425972E-2</v>
      </c>
      <c r="N2589" s="1713">
        <f>PY!F682</f>
        <v>3.5655802640620959E-2</v>
      </c>
      <c r="O2589" s="1713">
        <f>PY!G682</f>
        <v>1.8570776087675798E-2</v>
      </c>
      <c r="P2589" s="1713">
        <f>PY!H682</f>
        <v>1.8349257446676672E-2</v>
      </c>
      <c r="Q2589" s="1713">
        <f>PY!I682</f>
        <v>1.9741787139258615E-2</v>
      </c>
      <c r="R2589" s="1747">
        <f>PY!J682</f>
        <v>1.879057034102799E-2</v>
      </c>
    </row>
    <row r="2590" spans="2:18" s="57" customFormat="1" ht="12.5">
      <c r="B2590" s="1706" t="s">
        <v>2122</v>
      </c>
      <c r="C2590" s="1897">
        <f>PY!C523</f>
        <v>0</v>
      </c>
      <c r="D2590" s="1713">
        <f>PY!D523</f>
        <v>2.1124034232755554E-2</v>
      </c>
      <c r="E2590" s="1713">
        <f>PY!E523</f>
        <v>1.9456650740251567E-2</v>
      </c>
      <c r="F2590" s="1713">
        <f>PY!F523</f>
        <v>1.5290627564800017E-2</v>
      </c>
      <c r="G2590" s="1713">
        <f>PY!G523</f>
        <v>1.3852919772115384E-2</v>
      </c>
      <c r="H2590" s="1713">
        <f>PY!H523</f>
        <v>1.292644432813793E-2</v>
      </c>
      <c r="I2590" s="1713">
        <f>PY!I523</f>
        <v>9.3324170480386312E-3</v>
      </c>
      <c r="J2590" s="1713">
        <f>PY!J523</f>
        <v>8.1977954622066487E-3</v>
      </c>
      <c r="K2590" s="1897">
        <f>PY!C702</f>
        <v>0</v>
      </c>
      <c r="L2590" s="1713">
        <f>PY!D702</f>
        <v>2.3953355339352321E-3</v>
      </c>
      <c r="M2590" s="1713">
        <f>PY!E702</f>
        <v>2.1767322072524485E-3</v>
      </c>
      <c r="N2590" s="1713">
        <f>PY!F702</f>
        <v>1.7110388736842597E-3</v>
      </c>
      <c r="O2590" s="1713">
        <f>PY!G702</f>
        <v>8.8522089627504955E-4</v>
      </c>
      <c r="P2590" s="1713">
        <f>PY!H702</f>
        <v>8.5360522501604314E-4</v>
      </c>
      <c r="Q2590" s="1713">
        <f>PY!I702</f>
        <v>6.1872964921194293E-4</v>
      </c>
      <c r="R2590" s="1747">
        <f>PY!J702</f>
        <v>5.4841816897212888E-4</v>
      </c>
    </row>
    <row r="2591" spans="2:18" s="57" customFormat="1" ht="12.5">
      <c r="B2591" s="1706" t="s">
        <v>2123</v>
      </c>
      <c r="C2591" s="1897">
        <f>PY!C543</f>
        <v>0</v>
      </c>
      <c r="D2591" s="1713">
        <f>PY!D543</f>
        <v>0</v>
      </c>
      <c r="E2591" s="1713">
        <f>PY!E543</f>
        <v>7.6924736142471939E-3</v>
      </c>
      <c r="F2591" s="1713">
        <f>PY!F543</f>
        <v>7.4323653967838937E-3</v>
      </c>
      <c r="G2591" s="1713">
        <f>PY!G543</f>
        <v>7.7022387905893702E-3</v>
      </c>
      <c r="H2591" s="1713">
        <f>PY!H543</f>
        <v>7.0903344546085637E-3</v>
      </c>
      <c r="I2591" s="1713">
        <f>PY!I543</f>
        <v>4.9226468057028648E-3</v>
      </c>
      <c r="J2591" s="1713">
        <f>PY!J543</f>
        <v>3.2493102975473648E-3</v>
      </c>
      <c r="K2591" s="1897">
        <f>PY!C722</f>
        <v>0</v>
      </c>
      <c r="L2591" s="1713">
        <f>PY!D722</f>
        <v>0</v>
      </c>
      <c r="M2591" s="1713">
        <f>PY!E722</f>
        <v>1.0017189775629676E-3</v>
      </c>
      <c r="N2591" s="1713">
        <f>PY!F722</f>
        <v>8.6159942411236188E-4</v>
      </c>
      <c r="O2591" s="1713">
        <f>PY!G722</f>
        <v>4.4294273232564385E-4</v>
      </c>
      <c r="P2591" s="1713">
        <f>PY!H722</f>
        <v>4.3253311005508519E-4</v>
      </c>
      <c r="Q2591" s="1713">
        <f>PY!I722</f>
        <v>3.3266584508912021E-4</v>
      </c>
      <c r="R2591" s="1747">
        <f>PY!J722</f>
        <v>2.4885411179937571E-4</v>
      </c>
    </row>
    <row r="2592" spans="2:18" s="57" customFormat="1" ht="12.5">
      <c r="B2592" s="1706" t="s">
        <v>2124</v>
      </c>
      <c r="C2592" s="1897">
        <f>PY!C563</f>
        <v>0</v>
      </c>
      <c r="D2592" s="1713">
        <f>PY!D563</f>
        <v>3.9977431575618002E-3</v>
      </c>
      <c r="E2592" s="1713">
        <f>PY!E563</f>
        <v>1.2248748219289467E-2</v>
      </c>
      <c r="F2592" s="1713">
        <f>PY!F563</f>
        <v>1.4006646218237899E-2</v>
      </c>
      <c r="G2592" s="1713">
        <f>PY!G563</f>
        <v>9.5029896346061019E-3</v>
      </c>
      <c r="H2592" s="1713">
        <f>PY!H563</f>
        <v>9.4025478186844837E-3</v>
      </c>
      <c r="I2592" s="1713">
        <f>PY!I563</f>
        <v>7.5592182683287181E-3</v>
      </c>
      <c r="J2592" s="1713">
        <f>PY!J563</f>
        <v>4.4840502806075388E-3</v>
      </c>
      <c r="K2592" s="1897">
        <f>PY!C742</f>
        <v>0</v>
      </c>
      <c r="L2592" s="1713">
        <f>PY!D742</f>
        <v>3.4141867415647572E-4</v>
      </c>
      <c r="M2592" s="1713">
        <f>PY!E742</f>
        <v>2.2299650247283383E-3</v>
      </c>
      <c r="N2592" s="1713">
        <f>PY!F742</f>
        <v>2.1396888857912375E-3</v>
      </c>
      <c r="O2592" s="1713">
        <f>PY!G742</f>
        <v>7.4187606149237557E-4</v>
      </c>
      <c r="P2592" s="1713">
        <f>PY!H742</f>
        <v>6.4650091718492853E-4</v>
      </c>
      <c r="Q2592" s="1713">
        <f>PY!I742</f>
        <v>4.1493293154388203E-4</v>
      </c>
      <c r="R2592" s="1747">
        <f>PY!J742</f>
        <v>2.4657423600264419E-4</v>
      </c>
    </row>
    <row r="2593" spans="2:18" s="57" customFormat="1" ht="12.5">
      <c r="B2593" s="1707" t="s">
        <v>2130</v>
      </c>
      <c r="C2593" s="1897">
        <f>PY!C583</f>
        <v>0</v>
      </c>
      <c r="D2593" s="1713">
        <f>PY!D583</f>
        <v>0</v>
      </c>
      <c r="E2593" s="1713">
        <f>PY!E583</f>
        <v>0</v>
      </c>
      <c r="F2593" s="1713">
        <f>PY!F583</f>
        <v>0</v>
      </c>
      <c r="G2593" s="1713">
        <f>PY!G583</f>
        <v>0</v>
      </c>
      <c r="H2593" s="1713">
        <f>PY!H583</f>
        <v>0</v>
      </c>
      <c r="I2593" s="1713">
        <f>PY!I583</f>
        <v>5.03343491403786E-4</v>
      </c>
      <c r="J2593" s="1713">
        <f>PY!J583</f>
        <v>5.1622336462290239E-3</v>
      </c>
      <c r="K2593" s="1897">
        <f>PY!C762</f>
        <v>0</v>
      </c>
      <c r="L2593" s="1713">
        <f>PY!D762</f>
        <v>0</v>
      </c>
      <c r="M2593" s="1713">
        <f>PY!E762</f>
        <v>0</v>
      </c>
      <c r="N2593" s="1713">
        <f>PY!F762</f>
        <v>0</v>
      </c>
      <c r="O2593" s="1713">
        <f>PY!G762</f>
        <v>0</v>
      </c>
      <c r="P2593" s="1713">
        <f>PY!H762</f>
        <v>0</v>
      </c>
      <c r="Q2593" s="1713">
        <f>PY!I762</f>
        <v>1.6045513381102654E-5</v>
      </c>
      <c r="R2593" s="1747">
        <f>PY!J762</f>
        <v>1.46033942791064E-4</v>
      </c>
    </row>
    <row r="2594" spans="2:18" s="57" customFormat="1" ht="25">
      <c r="B2594" s="1707" t="s">
        <v>2134</v>
      </c>
      <c r="C2594" s="1903" t="s">
        <v>2131</v>
      </c>
      <c r="D2594" s="734" t="s">
        <v>2131</v>
      </c>
      <c r="E2594" s="734" t="s">
        <v>2131</v>
      </c>
      <c r="F2594" s="734" t="s">
        <v>2131</v>
      </c>
      <c r="G2594" s="734" t="s">
        <v>2131</v>
      </c>
      <c r="H2594" s="734" t="s">
        <v>2131</v>
      </c>
      <c r="I2594" s="734" t="s">
        <v>2131</v>
      </c>
      <c r="J2594" s="734" t="s">
        <v>2131</v>
      </c>
      <c r="K2594" s="1897" t="s">
        <v>2131</v>
      </c>
      <c r="L2594" s="1713" t="s">
        <v>2131</v>
      </c>
      <c r="M2594" s="1713" t="s">
        <v>2131</v>
      </c>
      <c r="N2594" s="1713" t="s">
        <v>2131</v>
      </c>
      <c r="O2594" s="1713" t="s">
        <v>2131</v>
      </c>
      <c r="P2594" s="1713" t="s">
        <v>2131</v>
      </c>
      <c r="Q2594" s="1713" t="s">
        <v>2131</v>
      </c>
      <c r="R2594" s="1747" t="s">
        <v>2131</v>
      </c>
    </row>
    <row r="2595" spans="2:18" s="57" customFormat="1" ht="12.5">
      <c r="B2595" s="1703"/>
      <c r="C2595" s="1703"/>
      <c r="K2595" s="1703"/>
      <c r="R2595" s="656"/>
    </row>
    <row r="2596" spans="2:18" s="57" customFormat="1">
      <c r="B2596" s="1755" t="s">
        <v>1054</v>
      </c>
      <c r="C2596" s="1903"/>
      <c r="D2596" s="734"/>
      <c r="E2596" s="734"/>
      <c r="F2596" s="734"/>
      <c r="G2596" s="734"/>
      <c r="H2596" s="734"/>
      <c r="I2596" s="734"/>
      <c r="J2596" s="734"/>
      <c r="K2596" s="1904"/>
      <c r="L2596" s="733"/>
      <c r="M2596" s="733"/>
      <c r="N2596" s="733"/>
      <c r="O2596" s="733"/>
      <c r="P2596" s="734"/>
      <c r="Q2596" s="734"/>
      <c r="R2596" s="1708"/>
    </row>
    <row r="2597" spans="2:18" s="57" customFormat="1" ht="12.5">
      <c r="B2597" s="1753" t="s">
        <v>94</v>
      </c>
      <c r="C2597" s="1897">
        <f>PE!C331</f>
        <v>0</v>
      </c>
      <c r="D2597" s="1713">
        <f>PE!D331</f>
        <v>0</v>
      </c>
      <c r="E2597" s="1713">
        <f>PE!E331</f>
        <v>0</v>
      </c>
      <c r="F2597" s="1713">
        <f>PE!F331</f>
        <v>0</v>
      </c>
      <c r="G2597" s="1713">
        <f>PE!G331</f>
        <v>0</v>
      </c>
      <c r="H2597" s="1713">
        <f>PE!H331</f>
        <v>0</v>
      </c>
      <c r="I2597" s="1713">
        <f>PE!I331</f>
        <v>0</v>
      </c>
      <c r="J2597" s="1713">
        <f>PE!J331</f>
        <v>0</v>
      </c>
      <c r="K2597" s="1897">
        <f>PE!C368</f>
        <v>0</v>
      </c>
      <c r="L2597" s="1713">
        <f>PE!D368</f>
        <v>0</v>
      </c>
      <c r="M2597" s="1713">
        <f>PE!E368</f>
        <v>0</v>
      </c>
      <c r="N2597" s="1713">
        <f>PE!F368</f>
        <v>0</v>
      </c>
      <c r="O2597" s="1713">
        <f>PE!G368</f>
        <v>0</v>
      </c>
      <c r="P2597" s="1713">
        <f>PE!H368</f>
        <v>0</v>
      </c>
      <c r="Q2597" s="1713">
        <f>PE!I368</f>
        <v>0</v>
      </c>
      <c r="R2597" s="1747">
        <f>PE!J368</f>
        <v>0</v>
      </c>
    </row>
    <row r="2598" spans="2:18" s="57" customFormat="1" ht="12.5">
      <c r="B2598" s="1753" t="s">
        <v>1257</v>
      </c>
      <c r="C2598" s="1897">
        <f>PE!C353</f>
        <v>0</v>
      </c>
      <c r="D2598" s="1713">
        <f>PE!D353</f>
        <v>0</v>
      </c>
      <c r="E2598" s="1713">
        <f>PE!E353</f>
        <v>0</v>
      </c>
      <c r="F2598" s="1713">
        <f>PE!F353</f>
        <v>0</v>
      </c>
      <c r="G2598" s="1713">
        <f>PE!G353</f>
        <v>0</v>
      </c>
      <c r="H2598" s="1713">
        <f>PE!H353</f>
        <v>0</v>
      </c>
      <c r="I2598" s="1713">
        <f>PE!I353</f>
        <v>0</v>
      </c>
      <c r="J2598" s="1713">
        <f>PE!J353</f>
        <v>0</v>
      </c>
      <c r="K2598" s="1897">
        <f>PE!C390</f>
        <v>0</v>
      </c>
      <c r="L2598" s="1713">
        <f>PE!D390</f>
        <v>0</v>
      </c>
      <c r="M2598" s="1713">
        <f>PE!E390</f>
        <v>0</v>
      </c>
      <c r="N2598" s="1713">
        <f>PE!F390</f>
        <v>0</v>
      </c>
      <c r="O2598" s="1713">
        <f>PE!G390</f>
        <v>0</v>
      </c>
      <c r="P2598" s="1713">
        <f>PE!H390</f>
        <v>0</v>
      </c>
      <c r="Q2598" s="1713">
        <f>PE!I390</f>
        <v>0</v>
      </c>
      <c r="R2598" s="1747">
        <f>PE!J390</f>
        <v>0</v>
      </c>
    </row>
    <row r="2599" spans="2:18" s="57" customFormat="1">
      <c r="B2599" s="1703"/>
      <c r="C2599" s="1903"/>
      <c r="D2599" s="734"/>
      <c r="E2599" s="734"/>
      <c r="F2599" s="734"/>
      <c r="G2599" s="734"/>
      <c r="H2599" s="734"/>
      <c r="I2599" s="734"/>
      <c r="J2599" s="734"/>
      <c r="K2599" s="1904"/>
      <c r="L2599" s="733"/>
      <c r="M2599" s="733"/>
      <c r="N2599" s="733"/>
      <c r="O2599" s="733"/>
      <c r="P2599" s="734"/>
      <c r="Q2599" s="734"/>
      <c r="R2599" s="1708"/>
    </row>
    <row r="2600" spans="2:18" s="57" customFormat="1">
      <c r="B2600" s="1755" t="s">
        <v>1055</v>
      </c>
      <c r="C2600" s="1902"/>
      <c r="D2600" s="732"/>
      <c r="E2600" s="732"/>
      <c r="F2600" s="732"/>
      <c r="G2600" s="732"/>
      <c r="H2600" s="732"/>
      <c r="I2600" s="732"/>
      <c r="J2600" s="732"/>
      <c r="K2600" s="1902"/>
      <c r="L2600" s="732"/>
      <c r="M2600" s="732"/>
      <c r="N2600" s="732"/>
      <c r="O2600" s="732"/>
      <c r="P2600" s="732"/>
      <c r="Q2600" s="732"/>
      <c r="R2600" s="1708"/>
    </row>
    <row r="2601" spans="2:18" s="57" customFormat="1" ht="12.5">
      <c r="B2601" s="1706" t="s">
        <v>2126</v>
      </c>
      <c r="C2601" s="1897">
        <f>TT!C351</f>
        <v>0</v>
      </c>
      <c r="D2601" s="1713">
        <f>TT!D351</f>
        <v>0</v>
      </c>
      <c r="E2601" s="1713">
        <f>TT!E351</f>
        <v>0</v>
      </c>
      <c r="F2601" s="1713">
        <f>TT!F351</f>
        <v>0</v>
      </c>
      <c r="G2601" s="1713">
        <f>TT!G351</f>
        <v>0</v>
      </c>
      <c r="H2601" s="1713">
        <f>TT!H351</f>
        <v>0</v>
      </c>
      <c r="I2601" s="1713">
        <f>TT!I351</f>
        <v>0</v>
      </c>
      <c r="J2601" s="1713">
        <f>TT!J351</f>
        <v>0</v>
      </c>
      <c r="K2601" s="1897">
        <f>TT!C429</f>
        <v>0</v>
      </c>
      <c r="L2601" s="1713">
        <f>TT!D429</f>
        <v>0</v>
      </c>
      <c r="M2601" s="1713">
        <f>TT!E429</f>
        <v>0</v>
      </c>
      <c r="N2601" s="1713">
        <f>TT!F429</f>
        <v>0</v>
      </c>
      <c r="O2601" s="1713">
        <f>TT!G429</f>
        <v>0</v>
      </c>
      <c r="P2601" s="1713">
        <f>TT!H429</f>
        <v>0</v>
      </c>
      <c r="Q2601" s="1713">
        <f>TT!I429</f>
        <v>0</v>
      </c>
      <c r="R2601" s="1747">
        <f>TT!J429</f>
        <v>0</v>
      </c>
    </row>
    <row r="2602" spans="2:18" s="57" customFormat="1" ht="12.5">
      <c r="B2602" s="1758" t="s">
        <v>489</v>
      </c>
      <c r="C2602" s="1897">
        <f>TT!C373</f>
        <v>0</v>
      </c>
      <c r="D2602" s="1713">
        <f>TT!D373</f>
        <v>0</v>
      </c>
      <c r="E2602" s="1713">
        <f>TT!E373</f>
        <v>0</v>
      </c>
      <c r="F2602" s="1713">
        <f>TT!F373</f>
        <v>0</v>
      </c>
      <c r="G2602" s="1713">
        <f>TT!G373</f>
        <v>0</v>
      </c>
      <c r="H2602" s="1713">
        <f>TT!H373</f>
        <v>0</v>
      </c>
      <c r="I2602" s="1713">
        <f>TT!I373</f>
        <v>0</v>
      </c>
      <c r="J2602" s="1713">
        <f>TT!J373</f>
        <v>0</v>
      </c>
      <c r="K2602" s="1897">
        <f>TT!C451</f>
        <v>0</v>
      </c>
      <c r="L2602" s="1713">
        <f>TT!D451</f>
        <v>0</v>
      </c>
      <c r="M2602" s="1713">
        <f>TT!E451</f>
        <v>0</v>
      </c>
      <c r="N2602" s="1713">
        <f>TT!F451</f>
        <v>0</v>
      </c>
      <c r="O2602" s="1713">
        <f>TT!G451</f>
        <v>0</v>
      </c>
      <c r="P2602" s="1713">
        <f>TT!H451</f>
        <v>0</v>
      </c>
      <c r="Q2602" s="1713">
        <f>TT!I451</f>
        <v>0</v>
      </c>
      <c r="R2602" s="1747">
        <f>TT!J451</f>
        <v>0</v>
      </c>
    </row>
    <row r="2603" spans="2:18" s="57" customFormat="1" ht="12.5">
      <c r="B2603" s="1758" t="s">
        <v>353</v>
      </c>
      <c r="C2603" s="1897">
        <f>TT!C393</f>
        <v>0</v>
      </c>
      <c r="D2603" s="1713">
        <f>TT!D393</f>
        <v>0</v>
      </c>
      <c r="E2603" s="1713">
        <f>TT!E393</f>
        <v>0</v>
      </c>
      <c r="F2603" s="1713">
        <f>TT!F393</f>
        <v>0</v>
      </c>
      <c r="G2603" s="1713">
        <f>TT!G393</f>
        <v>0</v>
      </c>
      <c r="H2603" s="1713">
        <f>TT!H393</f>
        <v>0</v>
      </c>
      <c r="I2603" s="1713">
        <f>TT!I393</f>
        <v>0</v>
      </c>
      <c r="J2603" s="1713">
        <f>TT!J393</f>
        <v>0</v>
      </c>
      <c r="K2603" s="1897">
        <f>TT!C471</f>
        <v>0</v>
      </c>
      <c r="L2603" s="1713">
        <f>TT!D471</f>
        <v>0</v>
      </c>
      <c r="M2603" s="1713">
        <f>TT!E471</f>
        <v>0</v>
      </c>
      <c r="N2603" s="1713">
        <f>TT!F471</f>
        <v>0</v>
      </c>
      <c r="O2603" s="1713">
        <f>TT!G471</f>
        <v>0</v>
      </c>
      <c r="P2603" s="1713">
        <f>TT!H471</f>
        <v>0</v>
      </c>
      <c r="Q2603" s="1713">
        <f>TT!I471</f>
        <v>0</v>
      </c>
      <c r="R2603" s="1747">
        <f>TT!J471</f>
        <v>0</v>
      </c>
    </row>
    <row r="2604" spans="2:18" s="57" customFormat="1" ht="12.5">
      <c r="B2604" s="726" t="s">
        <v>1259</v>
      </c>
      <c r="C2604" s="1714">
        <f>TT!C413</f>
        <v>0.99</v>
      </c>
      <c r="D2604" s="1715">
        <f>TT!D413</f>
        <v>0.99</v>
      </c>
      <c r="E2604" s="1715">
        <f>TT!E413</f>
        <v>0.99</v>
      </c>
      <c r="F2604" s="1715">
        <f>TT!F413</f>
        <v>0.99</v>
      </c>
      <c r="G2604" s="1715">
        <f>TT!G413</f>
        <v>0.99</v>
      </c>
      <c r="H2604" s="1715">
        <f>TT!H413</f>
        <v>0.99</v>
      </c>
      <c r="I2604" s="1715">
        <f>TT!I413</f>
        <v>0.99</v>
      </c>
      <c r="J2604" s="1715">
        <f>TT!J413</f>
        <v>0.99</v>
      </c>
      <c r="K2604" s="1714">
        <f>TT!C491</f>
        <v>0.99</v>
      </c>
      <c r="L2604" s="1715">
        <f>TT!D491</f>
        <v>0.99</v>
      </c>
      <c r="M2604" s="1715">
        <f>TT!E491</f>
        <v>0.99</v>
      </c>
      <c r="N2604" s="1715">
        <f>TT!F491</f>
        <v>0.99</v>
      </c>
      <c r="O2604" s="1715">
        <f>TT!G491</f>
        <v>0.99</v>
      </c>
      <c r="P2604" s="1715">
        <f>TT!H491</f>
        <v>0.99</v>
      </c>
      <c r="Q2604" s="1715">
        <f>TT!I491</f>
        <v>0.99</v>
      </c>
      <c r="R2604" s="1748">
        <f>TT!J491</f>
        <v>0.99</v>
      </c>
    </row>
    <row r="2605" spans="2:18" s="57" customFormat="1" ht="12.5"/>
    <row r="2606" spans="2:18" s="57" customFormat="1" ht="13">
      <c r="B2606" s="2158" t="s">
        <v>76</v>
      </c>
      <c r="C2606" s="2158"/>
      <c r="D2606" s="2158"/>
      <c r="E2606" s="2158"/>
      <c r="F2606" s="2158"/>
      <c r="G2606" s="2158"/>
      <c r="H2606" s="2158"/>
      <c r="I2606" s="2158"/>
      <c r="J2606" s="2158"/>
      <c r="K2606" s="2158"/>
      <c r="L2606" s="2158"/>
      <c r="M2606" s="2158"/>
      <c r="N2606" s="2158"/>
      <c r="O2606" s="2158"/>
      <c r="P2606" s="2158"/>
      <c r="Q2606" s="2158"/>
      <c r="R2606" s="2158"/>
    </row>
    <row r="2607" spans="2:18" s="57" customFormat="1" ht="13">
      <c r="B2607" s="2159" t="s">
        <v>75</v>
      </c>
      <c r="C2607" s="2159"/>
      <c r="D2607" s="2159"/>
      <c r="E2607" s="2159"/>
      <c r="F2607" s="2159"/>
      <c r="G2607" s="2159"/>
      <c r="H2607" s="2159"/>
      <c r="I2607" s="2159"/>
      <c r="J2607" s="2159"/>
      <c r="K2607" s="2159"/>
      <c r="L2607" s="2159"/>
      <c r="M2607" s="2159"/>
      <c r="N2607" s="2159"/>
      <c r="O2607" s="2159"/>
      <c r="P2607" s="2159"/>
      <c r="Q2607" s="2159"/>
      <c r="R2607" s="2159"/>
    </row>
    <row r="2608" spans="2:18" s="57" customFormat="1" ht="13">
      <c r="B2608" s="581" t="s">
        <v>1219</v>
      </c>
      <c r="C2608" s="613"/>
      <c r="D2608" s="613"/>
      <c r="E2608" s="644"/>
      <c r="F2608" s="644"/>
      <c r="G2608" s="644"/>
      <c r="H2608" s="644"/>
      <c r="I2608" s="644"/>
      <c r="J2608" s="644"/>
      <c r="K2608" s="644"/>
      <c r="L2608" s="644"/>
      <c r="M2608" s="644"/>
      <c r="N2608" s="644"/>
      <c r="O2608" s="644"/>
      <c r="P2608" s="644"/>
      <c r="Q2608" s="644"/>
    </row>
    <row r="2609" spans="2:17" s="57" customFormat="1" ht="13">
      <c r="B2609" s="581"/>
      <c r="C2609" s="613"/>
      <c r="D2609" s="613"/>
      <c r="E2609" s="644"/>
      <c r="F2609" s="644"/>
      <c r="G2609" s="644"/>
      <c r="H2609" s="644"/>
      <c r="I2609" s="644"/>
      <c r="J2609" s="644"/>
      <c r="K2609" s="644"/>
      <c r="L2609" s="644"/>
      <c r="M2609" s="644"/>
      <c r="N2609" s="644"/>
      <c r="O2609" s="644"/>
      <c r="P2609" s="644"/>
      <c r="Q2609" s="644"/>
    </row>
    <row r="2610" spans="2:17" s="57" customFormat="1" ht="23">
      <c r="B2610" s="738" t="s">
        <v>11</v>
      </c>
      <c r="C2610" s="739" t="s">
        <v>1220</v>
      </c>
      <c r="D2610" s="739" t="s">
        <v>74</v>
      </c>
      <c r="E2610" s="739" t="s">
        <v>73</v>
      </c>
      <c r="F2610" s="1783" t="s">
        <v>72</v>
      </c>
      <c r="G2610" s="740" t="s">
        <v>71</v>
      </c>
      <c r="H2610"/>
      <c r="I2610"/>
      <c r="K2610"/>
      <c r="L2610" s="644"/>
      <c r="M2610" s="644"/>
      <c r="N2610" s="644"/>
      <c r="O2610" s="644"/>
      <c r="P2610" s="644"/>
    </row>
    <row r="2611" spans="2:17" s="57" customFormat="1">
      <c r="B2611" s="741" t="s">
        <v>1038</v>
      </c>
      <c r="C2611" s="743"/>
      <c r="D2611" s="743"/>
      <c r="E2611" s="743"/>
      <c r="F2611" s="1782"/>
      <c r="G2611" s="744"/>
      <c r="H2611"/>
      <c r="I2611"/>
      <c r="K2611"/>
      <c r="L2611"/>
      <c r="M2611"/>
      <c r="N2611"/>
      <c r="O2611"/>
      <c r="P2611"/>
    </row>
    <row r="2612" spans="2:17" s="57" customFormat="1">
      <c r="B2612" s="1787" t="s">
        <v>70</v>
      </c>
      <c r="C2612" s="1800" t="s">
        <v>522</v>
      </c>
      <c r="D2612" s="1713" t="str">
        <f>ARG!C1716</f>
        <v>SEC, B, G, DER</v>
      </c>
      <c r="E2612" s="1713" t="str">
        <f>ARG!D1716</f>
        <v>ELT</v>
      </c>
      <c r="F2612" s="1713" t="str">
        <f>ARG!E1716</f>
        <v>10:00-17:00 HS</v>
      </c>
      <c r="G2612" s="1747" t="str">
        <f>ARG!F1716</f>
        <v>INT</v>
      </c>
      <c r="H2612"/>
      <c r="I2612"/>
      <c r="K2612"/>
      <c r="L2612"/>
      <c r="M2612"/>
      <c r="N2612"/>
      <c r="O2612"/>
      <c r="P2612"/>
    </row>
    <row r="2613" spans="2:17" s="57" customFormat="1">
      <c r="B2613" s="1787" t="s">
        <v>67</v>
      </c>
      <c r="C2613" s="1800" t="s">
        <v>522</v>
      </c>
      <c r="D2613" s="1713" t="str">
        <f>ARG!C1717</f>
        <v>SEC, B, G, E, DER, O</v>
      </c>
      <c r="E2613" s="1713" t="str">
        <f>ARG!D1717</f>
        <v>ELT</v>
      </c>
      <c r="F2613" s="1713" t="str">
        <f>ARG!E1717</f>
        <v>9:30-18:00 HS</v>
      </c>
      <c r="G2613" s="1747" t="str">
        <f>ARG!F1717</f>
        <v>INT</v>
      </c>
      <c r="H2613"/>
      <c r="I2613"/>
      <c r="K2613"/>
      <c r="L2613"/>
      <c r="M2613"/>
      <c r="N2613"/>
      <c r="O2613"/>
      <c r="P2613"/>
    </row>
    <row r="2614" spans="2:17" s="57" customFormat="1">
      <c r="B2614" s="1788" t="s">
        <v>64</v>
      </c>
      <c r="C2614" s="1800" t="s">
        <v>522</v>
      </c>
      <c r="D2614" s="1713" t="str">
        <f>ARG!C1718</f>
        <v>SEC, B, G,  C, E, O</v>
      </c>
      <c r="E2614" s="1713" t="str">
        <f>ARG!D1718</f>
        <v>ELT</v>
      </c>
      <c r="F2614" s="1713" t="str">
        <f>ARG!E1718</f>
        <v>10:30-17:00 HS</v>
      </c>
      <c r="G2614" s="1747" t="str">
        <f>ARG!F1718</f>
        <v>INT</v>
      </c>
      <c r="H2614"/>
      <c r="I2614"/>
      <c r="K2614"/>
      <c r="L2614"/>
      <c r="M2614"/>
      <c r="N2614"/>
      <c r="O2614"/>
      <c r="P2614"/>
    </row>
    <row r="2615" spans="2:17" s="57" customFormat="1">
      <c r="B2615" s="1789" t="s">
        <v>61</v>
      </c>
      <c r="C2615" s="1800" t="s">
        <v>522</v>
      </c>
      <c r="D2615" s="1713" t="str">
        <f>ARG!C1719</f>
        <v>SEC, B, G, E, O</v>
      </c>
      <c r="E2615" s="1713" t="str">
        <f>ARG!D1719</f>
        <v>ELT</v>
      </c>
      <c r="F2615" s="1713" t="str">
        <f>ARG!E1719</f>
        <v>11:00-17:00 HS</v>
      </c>
      <c r="G2615" s="1747" t="str">
        <f>ARG!F1719</f>
        <v>INT</v>
      </c>
      <c r="H2615"/>
      <c r="I2615"/>
      <c r="K2615"/>
      <c r="L2615"/>
      <c r="M2615"/>
      <c r="N2615"/>
      <c r="O2615"/>
      <c r="P2615"/>
    </row>
    <row r="2616" spans="2:17" s="57" customFormat="1" ht="14.5" customHeight="1">
      <c r="B2616" s="1789" t="s">
        <v>58</v>
      </c>
      <c r="C2616" s="1800" t="s">
        <v>1</v>
      </c>
      <c r="D2616" s="1713" t="str">
        <f>ARG!C1720</f>
        <v>G</v>
      </c>
      <c r="E2616" s="1713" t="str">
        <f>ARG!D1720</f>
        <v>ELT</v>
      </c>
      <c r="F2616" s="1713" t="str">
        <f>ARG!E1720</f>
        <v>10 a 17 hs</v>
      </c>
      <c r="G2616" s="1747" t="str">
        <f>ARG!F1720</f>
        <v>INT</v>
      </c>
      <c r="H2616"/>
      <c r="I2616"/>
      <c r="K2616"/>
      <c r="L2616"/>
      <c r="M2616"/>
      <c r="N2616"/>
      <c r="O2616"/>
      <c r="P2616"/>
    </row>
    <row r="2617" spans="2:17" s="57" customFormat="1" ht="14.5" customHeight="1">
      <c r="B2617" s="1789"/>
      <c r="C2617" s="1800"/>
      <c r="D2617" s="1800"/>
      <c r="E2617" s="1800"/>
      <c r="F2617" s="718"/>
      <c r="G2617" s="719"/>
      <c r="H2617"/>
      <c r="I2617"/>
      <c r="K2617"/>
      <c r="L2617" s="644"/>
      <c r="M2617" s="644"/>
      <c r="N2617" s="644"/>
      <c r="O2617" s="644"/>
      <c r="P2617" s="644"/>
    </row>
    <row r="2618" spans="2:17" s="57" customFormat="1" ht="14.5" customHeight="1">
      <c r="B2618" s="654" t="s">
        <v>1039</v>
      </c>
      <c r="C2618" s="718"/>
      <c r="D2618" s="718"/>
      <c r="E2618" s="718"/>
      <c r="F2618" s="718"/>
      <c r="G2618" s="719"/>
      <c r="H2618"/>
      <c r="I2618"/>
      <c r="J2618"/>
      <c r="K2618"/>
      <c r="L2618"/>
      <c r="M2618"/>
      <c r="N2618" s="644"/>
      <c r="O2618" s="644"/>
      <c r="P2618" s="644"/>
    </row>
    <row r="2619" spans="2:17" s="57" customFormat="1" ht="27.75" customHeight="1">
      <c r="B2619" s="1790" t="str">
        <f>BA!B705</f>
        <v>Bahamas International Securities Exchange (BISX)</v>
      </c>
      <c r="C2619" s="1713" t="str">
        <f>BA!C705</f>
        <v>SE</v>
      </c>
      <c r="D2619" s="1713" t="str">
        <f>BA!D705</f>
        <v>SEC, B, G, E</v>
      </c>
      <c r="E2619" s="1713" t="str">
        <f>BA!E705</f>
        <v>ELT</v>
      </c>
      <c r="F2619" s="1713" t="str">
        <f>BA!F705</f>
        <v>1000 - 1500</v>
      </c>
      <c r="G2619" s="1747" t="str">
        <f>BA!G705</f>
        <v>No CCP</v>
      </c>
      <c r="H2619"/>
      <c r="I2619"/>
      <c r="J2619"/>
      <c r="K2619"/>
      <c r="L2619"/>
      <c r="M2619"/>
      <c r="N2619" s="644"/>
      <c r="O2619" s="644"/>
      <c r="P2619" s="644"/>
    </row>
    <row r="2620" spans="2:17" s="57" customFormat="1">
      <c r="B2620" s="1789"/>
      <c r="C2620" s="1800"/>
      <c r="D2620" s="1800"/>
      <c r="E2620" s="1800"/>
      <c r="F2620" s="718"/>
      <c r="G2620" s="719"/>
      <c r="H2620"/>
      <c r="I2620"/>
      <c r="J2620"/>
      <c r="K2620"/>
      <c r="L2620"/>
      <c r="M2620"/>
      <c r="N2620"/>
      <c r="O2620"/>
      <c r="P2620" s="644"/>
    </row>
    <row r="2621" spans="2:17" s="57" customFormat="1">
      <c r="B2621" s="649" t="s">
        <v>1040</v>
      </c>
      <c r="C2621" s="1800"/>
      <c r="D2621" s="1800"/>
      <c r="E2621" s="1800"/>
      <c r="F2621" s="718"/>
      <c r="G2621" s="719"/>
      <c r="N2621"/>
      <c r="O2621"/>
      <c r="P2621" s="644"/>
    </row>
    <row r="2622" spans="2:17" s="57" customFormat="1" ht="12.5">
      <c r="B2622" s="1791" t="str">
        <f>BO!B1008</f>
        <v>Bolsa Boliviana de Valores (BBV)</v>
      </c>
      <c r="C2622" s="1713" t="str">
        <f>BO!C1008</f>
        <v>SE</v>
      </c>
      <c r="D2622" s="1713" t="str">
        <f>BO!D1008</f>
        <v>S, B, C, G, E, O</v>
      </c>
      <c r="E2622" s="1713" t="str">
        <f>BO!E1008</f>
        <v>ELT</v>
      </c>
      <c r="F2622" s="1713" t="str">
        <f>BO!F1008</f>
        <v>7:45 - 12:22</v>
      </c>
      <c r="G2622" s="1747" t="str">
        <f>BO!G1008</f>
        <v>INDEP</v>
      </c>
      <c r="N2622" s="644"/>
      <c r="O2622" s="644"/>
      <c r="P2622" s="644"/>
    </row>
    <row r="2623" spans="2:17" s="57" customFormat="1" ht="12.5">
      <c r="B2623" s="1789"/>
      <c r="C2623" s="1800"/>
      <c r="D2623" s="1800"/>
      <c r="E2623" s="1800"/>
      <c r="F2623" s="718"/>
      <c r="G2623" s="719"/>
      <c r="N2623" s="644"/>
      <c r="O2623" s="644"/>
      <c r="P2623" s="644"/>
    </row>
    <row r="2624" spans="2:17" s="57" customFormat="1" ht="13">
      <c r="B2624" s="649" t="s">
        <v>1041</v>
      </c>
      <c r="C2624" s="1800"/>
      <c r="D2624" s="1800"/>
      <c r="E2624" s="1800"/>
      <c r="F2624" s="718"/>
      <c r="G2624" s="719"/>
      <c r="N2624" s="644"/>
      <c r="O2624" s="644"/>
      <c r="P2624" s="644"/>
    </row>
    <row r="2625" spans="2:16" s="57" customFormat="1">
      <c r="B2625" s="1791" t="str">
        <f>BR!B1554</f>
        <v>BmfBovespa-Clearinghouse</v>
      </c>
      <c r="C2625" s="1713" t="str">
        <f>BR!C1554</f>
        <v>SE</v>
      </c>
      <c r="D2625" s="1713" t="str">
        <f>BR!D1554</f>
        <v>SEC, E, O, DER</v>
      </c>
      <c r="E2625" s="1713" t="str">
        <f>BR!E1554</f>
        <v>ELT</v>
      </c>
      <c r="F2625" s="1713" t="str">
        <f>BR!F1554</f>
        <v>9:00-18:00(3)</v>
      </c>
      <c r="G2625" s="1747" t="str">
        <f>BR!G1554</f>
        <v>int(2)</v>
      </c>
      <c r="H2625"/>
      <c r="I2625"/>
      <c r="K2625"/>
      <c r="L2625" s="644"/>
      <c r="M2625" s="644"/>
      <c r="N2625" s="644"/>
      <c r="O2625" s="644"/>
      <c r="P2625" s="644"/>
    </row>
    <row r="2626" spans="2:16" s="57" customFormat="1">
      <c r="B2626" s="1789"/>
      <c r="C2626" s="1800"/>
      <c r="D2626" s="1800"/>
      <c r="E2626" s="1800"/>
      <c r="F2626" s="718"/>
      <c r="G2626" s="1801"/>
      <c r="H2626"/>
      <c r="I2626"/>
      <c r="K2626"/>
      <c r="L2626" s="644"/>
      <c r="M2626" s="644"/>
      <c r="N2626" s="644"/>
      <c r="O2626" s="644"/>
      <c r="P2626" s="644"/>
    </row>
    <row r="2627" spans="2:16" s="57" customFormat="1">
      <c r="B2627" s="649" t="s">
        <v>1042</v>
      </c>
      <c r="C2627" s="1800"/>
      <c r="D2627" s="1800"/>
      <c r="E2627" s="1800"/>
      <c r="F2627" s="718"/>
      <c r="G2627" s="1801"/>
      <c r="H2627"/>
      <c r="I2627"/>
      <c r="J2627"/>
      <c r="K2627"/>
      <c r="L2627"/>
      <c r="M2627"/>
      <c r="N2627" s="644"/>
      <c r="O2627" s="644"/>
      <c r="P2627" s="644"/>
    </row>
    <row r="2628" spans="2:16" s="57" customFormat="1">
      <c r="B2628" s="1791" t="str">
        <f>CL!B819</f>
        <v>Bolsa de Comercio de Santiago (Chile)</v>
      </c>
      <c r="C2628" s="1713" t="str">
        <f>CL!C819</f>
        <v>O</v>
      </c>
      <c r="D2628" s="1713" t="str">
        <f>CL!D819</f>
        <v>SEC, B, C, G, E, DER</v>
      </c>
      <c r="E2628" s="1713" t="str">
        <f>CL!E819</f>
        <v>ELT</v>
      </c>
      <c r="F2628" s="1713" t="str">
        <f>CL!F819</f>
        <v>09:00 a 16:00</v>
      </c>
      <c r="G2628" s="1747" t="str">
        <f>CL!G819</f>
        <v>DEP</v>
      </c>
      <c r="H2628"/>
      <c r="I2628"/>
      <c r="J2628"/>
      <c r="K2628"/>
      <c r="L2628"/>
      <c r="M2628"/>
      <c r="N2628" s="749"/>
      <c r="O2628" s="749"/>
      <c r="P2628" s="749"/>
    </row>
    <row r="2629" spans="2:16" s="57" customFormat="1">
      <c r="B2629" s="1791" t="str">
        <f>CL!B820</f>
        <v>Bolsa Electrónica de Chile (Chile)</v>
      </c>
      <c r="C2629" s="1713" t="str">
        <f>CL!C820</f>
        <v>O</v>
      </c>
      <c r="D2629" s="1713" t="str">
        <f>CL!D820</f>
        <v>SEC, B, C, G, E</v>
      </c>
      <c r="E2629" s="1713" t="str">
        <f>CL!E820</f>
        <v>ELT</v>
      </c>
      <c r="F2629" s="1713" t="str">
        <f>CL!F820</f>
        <v>09:30 a 16:00</v>
      </c>
      <c r="G2629" s="1747" t="str">
        <f>CL!G820</f>
        <v>INDEP</v>
      </c>
      <c r="H2629"/>
      <c r="I2629"/>
      <c r="J2629"/>
      <c r="K2629"/>
      <c r="L2629"/>
      <c r="M2629"/>
      <c r="N2629" s="749"/>
      <c r="O2629" s="749"/>
      <c r="P2629" s="749"/>
    </row>
    <row r="2630" spans="2:16" s="57" customFormat="1">
      <c r="B2630" s="1791"/>
      <c r="C2630" s="1713"/>
      <c r="D2630" s="1713"/>
      <c r="E2630" s="1713"/>
      <c r="F2630" s="1713"/>
      <c r="G2630" s="1747"/>
      <c r="H2630"/>
      <c r="I2630"/>
      <c r="J2630"/>
      <c r="K2630"/>
      <c r="L2630"/>
      <c r="M2630"/>
      <c r="N2630" s="749"/>
      <c r="O2630" s="749"/>
      <c r="P2630" s="749"/>
    </row>
    <row r="2631" spans="2:16" s="57" customFormat="1">
      <c r="B2631" s="649" t="s">
        <v>1043</v>
      </c>
      <c r="C2631" s="1800"/>
      <c r="D2631" s="1800"/>
      <c r="E2631" s="1800"/>
      <c r="F2631" s="718"/>
      <c r="G2631" s="603"/>
      <c r="H2631"/>
      <c r="I2631"/>
      <c r="J2631"/>
      <c r="K2631"/>
      <c r="L2631"/>
      <c r="M2631"/>
      <c r="N2631" s="749"/>
      <c r="O2631" s="749"/>
      <c r="P2631" s="749"/>
    </row>
    <row r="2632" spans="2:16" s="57" customFormat="1">
      <c r="B2632" s="1791" t="str">
        <f>CO!B1061</f>
        <v>SEN</v>
      </c>
      <c r="C2632" s="1713" t="str">
        <f>CO!C1061</f>
        <v>CB</v>
      </c>
      <c r="D2632" s="1713" t="str">
        <f>CO!D1061</f>
        <v>G</v>
      </c>
      <c r="E2632" s="1713" t="str">
        <f>CO!E1061</f>
        <v>ELT</v>
      </c>
      <c r="F2632" s="1713" t="str">
        <f>CO!F1061</f>
        <v>8:00 - 15:45</v>
      </c>
      <c r="G2632" s="1747" t="str">
        <f>CO!G1061</f>
        <v>INDEP</v>
      </c>
      <c r="H2632"/>
      <c r="I2632"/>
      <c r="J2632"/>
      <c r="K2632"/>
      <c r="L2632"/>
      <c r="M2632"/>
      <c r="N2632" s="749"/>
      <c r="O2632" s="749"/>
      <c r="P2632" s="749"/>
    </row>
    <row r="2633" spans="2:16" s="57" customFormat="1">
      <c r="B2633" s="1791" t="str">
        <f>CO!B1062</f>
        <v>MEC</v>
      </c>
      <c r="C2633" s="1713" t="str">
        <f>CO!C1062</f>
        <v>SE</v>
      </c>
      <c r="D2633" s="1713" t="str">
        <f>CO!D1062</f>
        <v>G, B, O</v>
      </c>
      <c r="E2633" s="1713" t="str">
        <f>CO!E1062</f>
        <v>ELT</v>
      </c>
      <c r="F2633" s="1713" t="str">
        <f>CO!F1062</f>
        <v>8:00 - 17:00</v>
      </c>
      <c r="G2633" s="1747" t="str">
        <f>CO!G1062</f>
        <v>INDEP</v>
      </c>
      <c r="H2633"/>
      <c r="I2633"/>
      <c r="J2633"/>
      <c r="K2633"/>
      <c r="L2633"/>
      <c r="M2633"/>
      <c r="N2633" s="749"/>
      <c r="O2633" s="749"/>
      <c r="P2633" s="749"/>
    </row>
    <row r="2634" spans="2:16" s="57" customFormat="1">
      <c r="B2634" s="1790" t="str">
        <f>CO!B1063</f>
        <v>Sistema de Negociación y Registro -BVC</v>
      </c>
      <c r="C2634" s="1713" t="str">
        <f>CO!C1063</f>
        <v>SE</v>
      </c>
      <c r="D2634" s="1713" t="str">
        <f>CO!D1063</f>
        <v>E, DER</v>
      </c>
      <c r="E2634" s="1713" t="str">
        <f>CO!E1063</f>
        <v>ELT</v>
      </c>
      <c r="F2634" s="1713" t="str">
        <f>CO!F1063</f>
        <v>8:00 - 16:00</v>
      </c>
      <c r="G2634" s="1747" t="str">
        <f>CO!G1063</f>
        <v>INDEP</v>
      </c>
      <c r="H2634"/>
      <c r="I2634"/>
      <c r="J2634"/>
      <c r="K2634"/>
      <c r="L2634"/>
      <c r="M2634"/>
      <c r="N2634" s="749"/>
      <c r="O2634" s="749"/>
      <c r="P2634" s="749"/>
    </row>
    <row r="2635" spans="2:16" s="57" customFormat="1">
      <c r="B2635" s="1792"/>
      <c r="C2635" s="1800"/>
      <c r="D2635" s="1800"/>
      <c r="E2635" s="1800"/>
      <c r="F2635" s="718"/>
      <c r="G2635" s="603"/>
      <c r="H2635"/>
      <c r="I2635"/>
      <c r="J2635"/>
      <c r="K2635"/>
      <c r="L2635"/>
      <c r="M2635" s="749"/>
      <c r="N2635" s="749"/>
      <c r="O2635" s="749"/>
      <c r="P2635" s="749"/>
    </row>
    <row r="2636" spans="2:16" s="57" customFormat="1">
      <c r="B2636" s="649" t="s">
        <v>1044</v>
      </c>
      <c r="C2636" s="1800"/>
      <c r="D2636" s="1800"/>
      <c r="E2636" s="1800"/>
      <c r="F2636" s="718"/>
      <c r="G2636" s="603"/>
      <c r="H2636"/>
      <c r="I2636"/>
      <c r="J2636"/>
      <c r="K2636"/>
      <c r="L2636"/>
      <c r="M2636" s="644"/>
      <c r="N2636" s="644"/>
      <c r="O2636" s="644"/>
      <c r="P2636" s="644"/>
    </row>
    <row r="2637" spans="2:16" s="57" customFormat="1">
      <c r="B2637" s="1791" t="str">
        <f>CR!B970</f>
        <v>MONEX</v>
      </c>
      <c r="C2637" s="1713" t="str">
        <f>CR!C970</f>
        <v>CB</v>
      </c>
      <c r="D2637" s="1713" t="str">
        <f>CR!D970</f>
        <v>O</v>
      </c>
      <c r="E2637" s="1713" t="str">
        <f>CR!E970</f>
        <v>ELT</v>
      </c>
      <c r="F2637" s="1713" t="str">
        <f>CR!F970</f>
        <v>12:00 - 13:00</v>
      </c>
      <c r="G2637" s="1747" t="str">
        <f>CR!G970</f>
        <v>INT</v>
      </c>
      <c r="H2637"/>
      <c r="O2637" s="644"/>
      <c r="P2637" s="644"/>
    </row>
    <row r="2638" spans="2:16" s="57" customFormat="1">
      <c r="B2638" s="1791" t="str">
        <f>CR!B971</f>
        <v>MIL (1)</v>
      </c>
      <c r="C2638" s="1713" t="str">
        <f>CR!C971</f>
        <v>CB</v>
      </c>
      <c r="D2638" s="1713" t="str">
        <f>CR!D971</f>
        <v>O</v>
      </c>
      <c r="E2638" s="1713" t="str">
        <f>CR!E971</f>
        <v>ELT</v>
      </c>
      <c r="F2638" s="1713" t="str">
        <f>CR!F971</f>
        <v>08:00 - 18:00</v>
      </c>
      <c r="G2638" s="1747" t="str">
        <f>CR!G971</f>
        <v>INT</v>
      </c>
      <c r="H2638"/>
      <c r="O2638" s="644"/>
      <c r="P2638" s="644"/>
    </row>
    <row r="2639" spans="2:16" s="57" customFormat="1">
      <c r="B2639" s="1791" t="str">
        <f>CR!B972</f>
        <v>LIM</v>
      </c>
      <c r="C2639" s="1713" t="str">
        <f>CR!C972</f>
        <v>CB</v>
      </c>
      <c r="D2639" s="1713" t="str">
        <f>CR!D972</f>
        <v>O</v>
      </c>
      <c r="E2639" s="1713" t="str">
        <f>CR!E972</f>
        <v>ELT</v>
      </c>
      <c r="F2639" s="1713" t="str">
        <f>CR!F972</f>
        <v>08:00 - 15:00</v>
      </c>
      <c r="G2639" s="1747" t="str">
        <f>CR!G972</f>
        <v>INT</v>
      </c>
      <c r="H2639"/>
      <c r="I2639"/>
      <c r="J2639"/>
      <c r="K2639"/>
      <c r="L2639"/>
      <c r="M2639" s="644"/>
      <c r="N2639" s="644"/>
      <c r="O2639" s="644"/>
      <c r="P2639" s="644"/>
    </row>
    <row r="2640" spans="2:16" s="57" customFormat="1">
      <c r="B2640" s="1791" t="str">
        <f>CR!B973</f>
        <v>MEN</v>
      </c>
      <c r="C2640" s="1713" t="str">
        <f>CR!C973</f>
        <v>CB</v>
      </c>
      <c r="D2640" s="1713" t="str">
        <f>CR!D973</f>
        <v>O</v>
      </c>
      <c r="E2640" s="1713" t="str">
        <f>CR!E973</f>
        <v>ELT</v>
      </c>
      <c r="F2640" s="1713" t="str">
        <f>CR!F973</f>
        <v>00:00 - 23:59</v>
      </c>
      <c r="G2640" s="1747" t="str">
        <f>CR!G973</f>
        <v>INT</v>
      </c>
      <c r="H2640"/>
      <c r="I2640"/>
      <c r="J2640"/>
      <c r="K2640"/>
      <c r="L2640"/>
      <c r="M2640" s="644"/>
      <c r="N2640" s="644"/>
      <c r="O2640" s="644"/>
      <c r="P2640" s="644"/>
    </row>
    <row r="2641" spans="2:16" s="57" customFormat="1">
      <c r="B2641" s="1789"/>
      <c r="C2641" s="1800"/>
      <c r="D2641" s="1800"/>
      <c r="E2641" s="1800"/>
      <c r="F2641" s="718"/>
      <c r="G2641" s="703"/>
      <c r="H2641"/>
      <c r="I2641"/>
      <c r="J2641"/>
      <c r="K2641"/>
      <c r="L2641"/>
      <c r="M2641" s="644"/>
      <c r="N2641" s="644"/>
      <c r="O2641" s="644"/>
      <c r="P2641" s="644"/>
    </row>
    <row r="2642" spans="2:16" s="57" customFormat="1">
      <c r="B2642" s="649" t="s">
        <v>1061</v>
      </c>
      <c r="C2642" s="1800"/>
      <c r="D2642" s="1800"/>
      <c r="E2642" s="1800"/>
      <c r="F2642" s="718"/>
      <c r="G2642" s="703"/>
      <c r="H2642"/>
      <c r="I2642"/>
      <c r="J2642"/>
      <c r="K2642"/>
      <c r="L2642"/>
      <c r="M2642" s="644"/>
      <c r="N2642" s="644"/>
      <c r="O2642" s="644"/>
      <c r="P2642" s="644"/>
    </row>
    <row r="2643" spans="2:16" s="57" customFormat="1">
      <c r="B2643" s="1789" t="s">
        <v>2111</v>
      </c>
      <c r="C2643" s="1800" t="s">
        <v>19</v>
      </c>
      <c r="D2643" s="1800" t="s">
        <v>1295</v>
      </c>
      <c r="E2643" s="1713" t="str">
        <f>CW!C734</f>
        <v>ELT</v>
      </c>
      <c r="F2643" s="1713" t="str">
        <f>CW!D734</f>
        <v>09:30-16:00</v>
      </c>
      <c r="G2643" s="1747" t="str">
        <f>CW!E734</f>
        <v>INDEP</v>
      </c>
      <c r="H2643"/>
      <c r="O2643" s="644"/>
      <c r="P2643" s="644"/>
    </row>
    <row r="2644" spans="2:16" s="57" customFormat="1">
      <c r="B2644" s="1793"/>
      <c r="C2644" s="1800"/>
      <c r="D2644" s="1800"/>
      <c r="E2644" s="1800"/>
      <c r="F2644" s="718"/>
      <c r="G2644" s="1802"/>
      <c r="H2644"/>
      <c r="O2644" s="644"/>
      <c r="P2644" s="644"/>
    </row>
    <row r="2645" spans="2:16" s="57" customFormat="1">
      <c r="B2645" s="649" t="s">
        <v>1047</v>
      </c>
      <c r="C2645" s="1800"/>
      <c r="D2645" s="1800"/>
      <c r="E2645" s="1800"/>
      <c r="F2645" s="718"/>
      <c r="G2645" s="1803"/>
      <c r="H2645"/>
      <c r="I2645"/>
      <c r="J2645"/>
      <c r="K2645"/>
      <c r="L2645"/>
      <c r="M2645" s="644"/>
      <c r="N2645" s="644"/>
      <c r="O2645" s="644"/>
      <c r="P2645" s="644"/>
    </row>
    <row r="2646" spans="2:16" s="57" customFormat="1">
      <c r="B2646" s="1794" t="str">
        <f>EC!B780</f>
        <v>BOLSA DE VALORES DE QUITO</v>
      </c>
      <c r="C2646" s="1784" t="str">
        <f>EC!C780</f>
        <v>SE</v>
      </c>
      <c r="D2646" s="1784" t="str">
        <f>EC!D780</f>
        <v>SEC, B, C, G, E, O</v>
      </c>
      <c r="E2646" s="1784" t="str">
        <f>EC!E780</f>
        <v>FLT, ELT</v>
      </c>
      <c r="F2646" s="1784" t="str">
        <f>EC!F780</f>
        <v>09:30 - 16:00</v>
      </c>
      <c r="G2646" s="1785" t="str">
        <f>EC!G780</f>
        <v>INDEP</v>
      </c>
      <c r="H2646"/>
      <c r="I2646"/>
      <c r="J2646"/>
      <c r="K2646"/>
      <c r="L2646"/>
      <c r="M2646" s="644"/>
      <c r="N2646" s="644"/>
      <c r="O2646" s="644"/>
      <c r="P2646" s="644"/>
    </row>
    <row r="2647" spans="2:16" s="57" customFormat="1">
      <c r="B2647" s="1794" t="str">
        <f>EC!B781</f>
        <v>BOLSA DE VALORES DE GUAYAQUIL</v>
      </c>
      <c r="C2647" s="1784" t="str">
        <f>EC!C781</f>
        <v>SE</v>
      </c>
      <c r="D2647" s="1784" t="str">
        <f>EC!D781</f>
        <v>SEC, B, C, G, E, O</v>
      </c>
      <c r="E2647" s="1784" t="str">
        <f>EC!E781</f>
        <v>FLT, ELT</v>
      </c>
      <c r="F2647" s="1784" t="str">
        <f>EC!F781</f>
        <v>09:30 - 16:00</v>
      </c>
      <c r="G2647" s="1785" t="str">
        <f>EC!G781</f>
        <v>INDEP</v>
      </c>
      <c r="H2647"/>
      <c r="I2647"/>
      <c r="J2647"/>
      <c r="K2647"/>
      <c r="L2647"/>
      <c r="M2647" s="644"/>
      <c r="N2647" s="644"/>
      <c r="O2647" s="644"/>
      <c r="P2647" s="644"/>
    </row>
    <row r="2648" spans="2:16" s="57" customFormat="1">
      <c r="B2648" s="1792"/>
      <c r="C2648" s="1800"/>
      <c r="D2648" s="1800"/>
      <c r="E2648" s="1800"/>
      <c r="F2648" s="718"/>
      <c r="G2648" s="1803"/>
      <c r="H2648"/>
      <c r="I2648"/>
      <c r="J2648"/>
      <c r="K2648"/>
      <c r="L2648"/>
      <c r="M2648" s="644"/>
      <c r="N2648" s="644"/>
      <c r="O2648" s="644"/>
      <c r="P2648" s="644"/>
    </row>
    <row r="2649" spans="2:16" s="57" customFormat="1">
      <c r="B2649" s="649" t="s">
        <v>1048</v>
      </c>
      <c r="C2649" s="1800"/>
      <c r="D2649" s="1800"/>
      <c r="E2649" s="1800"/>
      <c r="F2649" s="718"/>
      <c r="G2649" s="703"/>
      <c r="H2649"/>
      <c r="I2649"/>
      <c r="J2649"/>
      <c r="K2649"/>
      <c r="L2649"/>
      <c r="M2649" s="644"/>
      <c r="N2649" s="644"/>
      <c r="O2649" s="644"/>
      <c r="P2649" s="644"/>
    </row>
    <row r="2650" spans="2:16" s="57" customFormat="1">
      <c r="B2650" s="1794" t="str">
        <f>SV!B733</f>
        <v>Bolsa de Valores de El Salvador (BVES)</v>
      </c>
      <c r="C2650" s="1784">
        <f>SV!C733</f>
        <v>0</v>
      </c>
      <c r="D2650" s="1784">
        <f>SV!D733</f>
        <v>0</v>
      </c>
      <c r="E2650" s="1784">
        <f>SV!E733</f>
        <v>0</v>
      </c>
      <c r="F2650" s="1784">
        <f>SV!F733</f>
        <v>0</v>
      </c>
      <c r="G2650" s="1785">
        <f>SV!G733</f>
        <v>0</v>
      </c>
      <c r="H2650"/>
      <c r="I2650"/>
      <c r="J2650"/>
      <c r="K2650"/>
      <c r="L2650"/>
      <c r="M2650" s="644"/>
      <c r="N2650" s="644"/>
      <c r="O2650" s="644"/>
      <c r="P2650" s="644"/>
    </row>
    <row r="2651" spans="2:16" s="57" customFormat="1">
      <c r="B2651" s="1793"/>
      <c r="C2651" s="1800"/>
      <c r="D2651" s="1800"/>
      <c r="E2651" s="1800"/>
      <c r="F2651" s="718"/>
      <c r="G2651" s="703"/>
      <c r="H2651"/>
      <c r="I2651"/>
      <c r="J2651"/>
      <c r="K2651"/>
      <c r="L2651"/>
      <c r="M2651" s="644"/>
      <c r="N2651" s="644"/>
      <c r="O2651" s="644"/>
      <c r="P2651" s="644"/>
    </row>
    <row r="2652" spans="2:16" s="57" customFormat="1">
      <c r="B2652" s="649" t="s">
        <v>1049</v>
      </c>
      <c r="C2652" s="1800"/>
      <c r="D2652" s="1800"/>
      <c r="E2652" s="1800"/>
      <c r="F2652" s="718"/>
      <c r="G2652" s="703"/>
      <c r="H2652"/>
      <c r="I2652"/>
      <c r="J2652"/>
      <c r="K2652"/>
      <c r="L2652"/>
      <c r="M2652" s="644"/>
      <c r="N2652" s="644"/>
      <c r="O2652" s="644"/>
      <c r="P2652" s="644"/>
    </row>
    <row r="2653" spans="2:16" s="57" customFormat="1">
      <c r="B2653" s="1794" t="str">
        <f>GT!B998</f>
        <v>SINEDI</v>
      </c>
      <c r="C2653" s="1784" t="str">
        <f>GT!C998</f>
        <v>B</v>
      </c>
      <c r="D2653" s="1784" t="str">
        <f>GT!D998</f>
        <v>O</v>
      </c>
      <c r="E2653" s="1784" t="str">
        <f>GT!E998</f>
        <v>ELT</v>
      </c>
      <c r="F2653" s="1784" t="str">
        <f>GT!F998</f>
        <v>09:00 - 18:30</v>
      </c>
      <c r="G2653" s="1785" t="str">
        <f>GT!G998</f>
        <v>INT</v>
      </c>
      <c r="H2653"/>
      <c r="I2653"/>
      <c r="J2653"/>
      <c r="K2653"/>
      <c r="L2653"/>
      <c r="M2653" s="644"/>
      <c r="N2653" s="644"/>
      <c r="O2653" s="644"/>
      <c r="P2653" s="644"/>
    </row>
    <row r="2654" spans="2:16" s="57" customFormat="1">
      <c r="B2654" s="1794" t="str">
        <f>GT!B999</f>
        <v>MEBD</v>
      </c>
      <c r="C2654" s="1784" t="str">
        <f>GT!C999</f>
        <v>B</v>
      </c>
      <c r="D2654" s="1784" t="str">
        <f>GT!D999</f>
        <v>C</v>
      </c>
      <c r="E2654" s="1784" t="str">
        <f>GT!E999</f>
        <v>ELT</v>
      </c>
      <c r="F2654" s="1784" t="str">
        <f>GT!F999</f>
        <v>09:00 - 17:00</v>
      </c>
      <c r="G2654" s="1785" t="str">
        <f>GT!G999</f>
        <v>INT</v>
      </c>
      <c r="H2654"/>
      <c r="I2654"/>
      <c r="J2654"/>
      <c r="K2654"/>
      <c r="L2654"/>
      <c r="M2654" s="644"/>
      <c r="N2654" s="644"/>
      <c r="O2654" s="644"/>
      <c r="P2654" s="644"/>
    </row>
    <row r="2655" spans="2:16" s="57" customFormat="1">
      <c r="B2655" s="1794" t="str">
        <f>GT!B1000</f>
        <v>SEL</v>
      </c>
      <c r="C2655" s="1784" t="str">
        <f>GT!C1000</f>
        <v>B</v>
      </c>
      <c r="D2655" s="1784" t="str">
        <f>GT!D1000</f>
        <v>SEC,B</v>
      </c>
      <c r="E2655" s="1784" t="str">
        <f>GT!E1000</f>
        <v>ELT</v>
      </c>
      <c r="F2655" s="1784" t="str">
        <f>GT!F1000</f>
        <v>09:00 - 18:30</v>
      </c>
      <c r="G2655" s="1785" t="str">
        <f>GT!G1000</f>
        <v>INT</v>
      </c>
      <c r="H2655"/>
      <c r="I2655"/>
      <c r="J2655"/>
      <c r="K2655"/>
      <c r="L2655"/>
      <c r="M2655" s="644"/>
      <c r="N2655" s="644"/>
      <c r="O2655" s="644"/>
      <c r="P2655" s="644"/>
    </row>
    <row r="2656" spans="2:16" s="57" customFormat="1">
      <c r="B2656" s="1795"/>
      <c r="C2656" s="1800"/>
      <c r="D2656" s="1800"/>
      <c r="E2656" s="1800"/>
      <c r="F2656" s="718"/>
      <c r="G2656" s="703"/>
      <c r="H2656"/>
      <c r="I2656"/>
      <c r="J2656"/>
      <c r="K2656"/>
      <c r="L2656"/>
      <c r="M2656" s="644"/>
      <c r="N2656" s="644"/>
      <c r="O2656" s="644"/>
      <c r="P2656" s="644"/>
    </row>
    <row r="2657" spans="1:16" s="57" customFormat="1">
      <c r="B2657" s="649" t="s">
        <v>1050</v>
      </c>
      <c r="C2657" s="1800"/>
      <c r="D2657" s="1800"/>
      <c r="E2657" s="1800"/>
      <c r="F2657" s="718"/>
      <c r="G2657" s="703"/>
      <c r="H2657"/>
      <c r="I2657"/>
      <c r="J2657"/>
      <c r="K2657"/>
      <c r="L2657"/>
      <c r="M2657" s="644"/>
      <c r="N2657" s="644"/>
      <c r="O2657" s="644"/>
      <c r="P2657" s="644"/>
    </row>
    <row r="2658" spans="1:16" s="57" customFormat="1">
      <c r="B2658" s="1794" t="str">
        <f>HN!B867</f>
        <v>System A Name</v>
      </c>
      <c r="C2658" s="1784">
        <f>HN!C867</f>
        <v>0</v>
      </c>
      <c r="D2658" s="1784">
        <f>HN!D867</f>
        <v>0</v>
      </c>
      <c r="E2658" s="1784">
        <f>HN!E867</f>
        <v>0</v>
      </c>
      <c r="F2658" s="1784">
        <f>HN!F867</f>
        <v>0</v>
      </c>
      <c r="G2658" s="1785">
        <f>HN!G867</f>
        <v>0</v>
      </c>
      <c r="H2658"/>
      <c r="I2658"/>
      <c r="J2658"/>
      <c r="K2658"/>
      <c r="L2658"/>
      <c r="M2658" s="644"/>
      <c r="N2658" s="644"/>
      <c r="O2658" s="644"/>
      <c r="P2658" s="644"/>
    </row>
    <row r="2659" spans="1:16" s="57" customFormat="1">
      <c r="B2659" s="1793"/>
      <c r="C2659" s="1800"/>
      <c r="D2659" s="1800"/>
      <c r="E2659" s="1800"/>
      <c r="F2659" s="718"/>
      <c r="G2659" s="703"/>
      <c r="H2659"/>
      <c r="I2659"/>
      <c r="J2659"/>
      <c r="K2659"/>
      <c r="L2659"/>
      <c r="M2659" s="644"/>
      <c r="N2659" s="644"/>
      <c r="O2659" s="644"/>
      <c r="P2659" s="644"/>
    </row>
    <row r="2660" spans="1:16" s="57" customFormat="1">
      <c r="B2660" s="649" t="s">
        <v>1051</v>
      </c>
      <c r="C2660" s="1800"/>
      <c r="D2660" s="1800"/>
      <c r="E2660" s="1800"/>
      <c r="F2660" s="718"/>
      <c r="G2660" s="703"/>
      <c r="H2660"/>
      <c r="I2660"/>
      <c r="J2660"/>
      <c r="K2660"/>
      <c r="L2660"/>
      <c r="M2660" s="644"/>
      <c r="N2660" s="644"/>
      <c r="O2660" s="644"/>
      <c r="P2660" s="644"/>
    </row>
    <row r="2661" spans="1:16" s="57" customFormat="1" ht="24">
      <c r="B2661" s="1794" t="str">
        <f>JM!B1003</f>
        <v>Avvento</v>
      </c>
      <c r="C2661" s="1784" t="str">
        <f>JM!C1003</f>
        <v>JSE</v>
      </c>
      <c r="D2661" s="1784" t="str">
        <f>JM!D1003</f>
        <v>Equity and Bonds</v>
      </c>
      <c r="E2661" s="1784">
        <f>JM!E1003</f>
        <v>0</v>
      </c>
      <c r="F2661" s="1784" t="str">
        <f>JM!F1003</f>
        <v>9am - 1pm</v>
      </c>
      <c r="G2661" s="1786" t="str">
        <f>JM!G1003</f>
        <v>Parent company</v>
      </c>
      <c r="H2661"/>
      <c r="I2661"/>
      <c r="J2661"/>
      <c r="K2661"/>
      <c r="L2661"/>
      <c r="M2661" s="644"/>
      <c r="N2661" s="644"/>
      <c r="O2661" s="644"/>
      <c r="P2661" s="644"/>
    </row>
    <row r="2662" spans="1:16" s="57" customFormat="1" ht="24">
      <c r="B2662" s="1796" t="str">
        <f>JM!B1004</f>
        <v>Migrated to the Nasdaq ME Platform on December 2, 2019</v>
      </c>
      <c r="C2662" s="1784" t="str">
        <f>JM!C1004</f>
        <v>JSE</v>
      </c>
      <c r="D2662" s="1784" t="str">
        <f>JM!D1004</f>
        <v>Equity and Bonds</v>
      </c>
      <c r="E2662" s="1784">
        <f>JM!E1004</f>
        <v>0</v>
      </c>
      <c r="F2662" s="1784" t="str">
        <f>JM!F1004</f>
        <v>9am - 1pm</v>
      </c>
      <c r="G2662" s="1786" t="str">
        <f>JM!G1004</f>
        <v>Parent company</v>
      </c>
      <c r="H2662"/>
      <c r="I2662"/>
      <c r="J2662"/>
      <c r="K2662"/>
      <c r="L2662"/>
      <c r="M2662" s="644"/>
      <c r="N2662" s="644"/>
      <c r="O2662" s="644"/>
      <c r="P2662" s="644"/>
    </row>
    <row r="2663" spans="1:16" s="57" customFormat="1">
      <c r="B2663" s="1796"/>
      <c r="C2663" s="1784"/>
      <c r="D2663" s="1784"/>
      <c r="E2663" s="1784"/>
      <c r="F2663" s="1784"/>
      <c r="G2663" s="1786"/>
      <c r="H2663"/>
      <c r="I2663"/>
      <c r="J2663"/>
      <c r="K2663"/>
      <c r="L2663"/>
      <c r="M2663" s="644"/>
      <c r="N2663" s="644"/>
      <c r="O2663" s="644"/>
      <c r="P2663" s="644"/>
    </row>
    <row r="2664" spans="1:16" s="57" customFormat="1">
      <c r="B2664" s="649" t="s">
        <v>1052</v>
      </c>
      <c r="C2664" s="1800"/>
      <c r="D2664" s="1800"/>
      <c r="E2664" s="1800"/>
      <c r="F2664" s="718"/>
      <c r="G2664" s="1802"/>
      <c r="H2664"/>
      <c r="I2664"/>
      <c r="J2664"/>
      <c r="K2664"/>
      <c r="L2664"/>
      <c r="M2664" s="644"/>
      <c r="N2664" s="644"/>
      <c r="O2664" s="644"/>
      <c r="P2664" s="644"/>
    </row>
    <row r="2665" spans="1:16" s="57" customFormat="1">
      <c r="B2665" s="1791" t="str">
        <f>RD!B869</f>
        <v>System A</v>
      </c>
      <c r="C2665" s="1784">
        <f>RD!C869</f>
        <v>0</v>
      </c>
      <c r="D2665" s="1784">
        <f>RD!D869</f>
        <v>0</v>
      </c>
      <c r="E2665" s="1784">
        <f>RD!E869</f>
        <v>0</v>
      </c>
      <c r="F2665" s="1784">
        <f>RD!F869</f>
        <v>0</v>
      </c>
      <c r="G2665" s="1785">
        <f>RD!G869</f>
        <v>0</v>
      </c>
      <c r="H2665"/>
      <c r="I2665"/>
      <c r="J2665"/>
      <c r="K2665"/>
      <c r="L2665"/>
      <c r="M2665" s="644"/>
      <c r="N2665" s="644"/>
      <c r="O2665" s="644"/>
      <c r="P2665" s="644"/>
    </row>
    <row r="2666" spans="1:16" s="57" customFormat="1">
      <c r="B2666" s="1797"/>
      <c r="C2666" s="1800"/>
      <c r="D2666" s="1800"/>
      <c r="E2666" s="1800"/>
      <c r="F2666" s="718"/>
      <c r="G2666" s="703"/>
      <c r="H2666"/>
      <c r="I2666"/>
      <c r="J2666"/>
      <c r="K2666"/>
      <c r="L2666"/>
      <c r="M2666" s="644"/>
      <c r="N2666" s="644"/>
      <c r="O2666" s="644"/>
      <c r="P2666" s="644"/>
    </row>
    <row r="2667" spans="1:16" s="57" customFormat="1">
      <c r="B2667" s="649" t="s">
        <v>1053</v>
      </c>
      <c r="C2667" s="1800"/>
      <c r="D2667" s="1800"/>
      <c r="E2667" s="1800"/>
      <c r="F2667" s="718"/>
      <c r="G2667" s="703"/>
      <c r="H2667"/>
      <c r="I2667"/>
      <c r="J2667"/>
      <c r="K2667"/>
      <c r="L2667"/>
      <c r="M2667" s="644"/>
      <c r="N2667" s="644"/>
      <c r="O2667" s="644"/>
      <c r="P2667" s="644"/>
    </row>
    <row r="2668" spans="1:16" s="57" customFormat="1">
      <c r="B2668" s="1798" t="s">
        <v>1306</v>
      </c>
      <c r="C2668" s="1784" t="str">
        <f>PY!C1291</f>
        <v>BC</v>
      </c>
      <c r="D2668" s="1784" t="str">
        <f>PY!D1291</f>
        <v>B/VG/O</v>
      </c>
      <c r="E2668" s="1784" t="str">
        <f>PY!E1291</f>
        <v>NEP</v>
      </c>
      <c r="F2668" s="1862">
        <f>PY!F1291</f>
        <v>8.3333333333333339</v>
      </c>
      <c r="G2668" s="1785" t="str">
        <f>PY!G1291</f>
        <v>N/A</v>
      </c>
      <c r="H2668"/>
      <c r="I2668"/>
      <c r="J2668"/>
      <c r="K2668"/>
      <c r="L2668"/>
      <c r="M2668" s="644"/>
      <c r="N2668" s="644"/>
      <c r="O2668" s="644"/>
      <c r="P2668" s="644"/>
    </row>
    <row r="2669" spans="1:16" s="57" customFormat="1">
      <c r="B2669" s="1798"/>
      <c r="C2669" s="1800"/>
      <c r="D2669" s="1800"/>
      <c r="E2669" s="1800"/>
      <c r="F2669" s="1804"/>
      <c r="G2669" s="703"/>
      <c r="H2669"/>
      <c r="I2669"/>
      <c r="J2669"/>
      <c r="K2669"/>
      <c r="L2669"/>
      <c r="M2669" s="644"/>
      <c r="N2669" s="644"/>
      <c r="O2669" s="644"/>
      <c r="P2669" s="644"/>
    </row>
    <row r="2670" spans="1:16" s="750" customFormat="1">
      <c r="A2670" s="668"/>
      <c r="B2670" s="649" t="s">
        <v>1054</v>
      </c>
      <c r="C2670" s="1800"/>
      <c r="D2670" s="1800"/>
      <c r="E2670" s="1800"/>
      <c r="F2670" s="1805"/>
      <c r="G2670" s="1806"/>
      <c r="H2670"/>
      <c r="I2670"/>
      <c r="J2670"/>
      <c r="K2670"/>
      <c r="L2670"/>
    </row>
    <row r="2671" spans="1:16" s="750" customFormat="1" ht="19.5" customHeight="1">
      <c r="A2671" s="668"/>
      <c r="B2671" s="1794" t="str">
        <f>PE!B771</f>
        <v>MILLENNIUM SOR</v>
      </c>
      <c r="C2671" s="1784" t="str">
        <f>PE!C771</f>
        <v>SE</v>
      </c>
      <c r="D2671" s="1784" t="str">
        <f>PE!D771</f>
        <v>SEC, B, C, G, E, O</v>
      </c>
      <c r="E2671" s="1784" t="str">
        <f>PE!E771</f>
        <v>ELT</v>
      </c>
      <c r="F2671" s="1784" t="str">
        <f>PE!F771</f>
        <v>08:20 - 15:10*
09:00 - 16:10**</v>
      </c>
      <c r="G2671" s="1785">
        <f>PE!G771</f>
        <v>0</v>
      </c>
      <c r="H2671"/>
      <c r="I2671"/>
      <c r="J2671"/>
      <c r="K2671"/>
      <c r="L2671"/>
    </row>
    <row r="2672" spans="1:16" s="57" customFormat="1">
      <c r="B2672" s="1798"/>
      <c r="C2672" s="1800"/>
      <c r="D2672" s="1800"/>
      <c r="E2672" s="1800"/>
      <c r="F2672" s="1804"/>
      <c r="G2672" s="703"/>
      <c r="H2672"/>
      <c r="I2672"/>
      <c r="J2672"/>
      <c r="K2672"/>
      <c r="L2672"/>
      <c r="M2672" s="644"/>
      <c r="N2672" s="644"/>
      <c r="O2672" s="644"/>
      <c r="P2672" s="644"/>
    </row>
    <row r="2673" spans="2:19" s="57" customFormat="1">
      <c r="B2673" s="649" t="s">
        <v>1055</v>
      </c>
      <c r="C2673" s="1800"/>
      <c r="D2673" s="1800"/>
      <c r="E2673" s="1800"/>
      <c r="F2673" s="718"/>
      <c r="G2673" s="703"/>
      <c r="H2673"/>
      <c r="I2673"/>
      <c r="J2673"/>
      <c r="K2673"/>
      <c r="L2673"/>
      <c r="M2673" s="644"/>
      <c r="N2673" s="644"/>
      <c r="O2673" s="644"/>
      <c r="P2673" s="644"/>
    </row>
    <row r="2674" spans="2:19" s="57" customFormat="1" ht="18.75" customHeight="1">
      <c r="B2674" s="1794" t="str">
        <f>TT!B969</f>
        <v>TTSE</v>
      </c>
      <c r="C2674" s="1784" t="str">
        <f>TT!C969</f>
        <v>SE</v>
      </c>
      <c r="D2674" s="1784" t="str">
        <f>TT!D969</f>
        <v>G,E,O</v>
      </c>
      <c r="E2674" s="1784" t="str">
        <f>TT!E969</f>
        <v>ELT</v>
      </c>
      <c r="F2674" s="1784" t="str">
        <f>TT!F969</f>
        <v>Pre-Open: 8:00am - 9:30am
Open: 9:30am - 12:00pm
Close: 12:00pm - 8:00am</v>
      </c>
      <c r="G2674" s="1785">
        <f>TT!G969</f>
        <v>0</v>
      </c>
      <c r="H2674"/>
      <c r="I2674"/>
      <c r="J2674"/>
      <c r="K2674"/>
      <c r="L2674"/>
      <c r="M2674" s="644"/>
      <c r="N2674" s="644"/>
      <c r="O2674" s="644"/>
      <c r="P2674" s="644"/>
    </row>
    <row r="2675" spans="2:19" s="57" customFormat="1" ht="18" customHeight="1">
      <c r="B2675" s="1799" t="str">
        <f>TT!B970</f>
        <v>GSS (1)</v>
      </c>
      <c r="C2675" s="1643" t="str">
        <f>TT!C970</f>
        <v>CB</v>
      </c>
      <c r="D2675" s="1643" t="str">
        <f>TT!D970</f>
        <v>G</v>
      </c>
      <c r="E2675" s="1643" t="str">
        <f>TT!E970</f>
        <v>ELT (1)</v>
      </c>
      <c r="F2675" s="1643" t="str">
        <f>TT!F970</f>
        <v>08:30 - 15:15</v>
      </c>
      <c r="G2675" s="1635">
        <f>TT!G970</f>
        <v>0</v>
      </c>
      <c r="H2675"/>
      <c r="I2675"/>
      <c r="J2675"/>
      <c r="K2675"/>
      <c r="L2675"/>
      <c r="M2675" s="644"/>
      <c r="N2675" s="644"/>
      <c r="O2675" s="644"/>
      <c r="P2675" s="644"/>
    </row>
    <row r="2676" spans="2:19" s="57" customFormat="1" ht="12.5">
      <c r="B2676" s="751"/>
      <c r="C2676" s="622"/>
      <c r="D2676" s="622"/>
      <c r="E2676" s="644"/>
      <c r="F2676" s="644"/>
      <c r="G2676" s="644"/>
      <c r="H2676" s="644"/>
      <c r="I2676" s="644"/>
      <c r="J2676" s="644"/>
      <c r="K2676" s="644"/>
      <c r="L2676" s="644"/>
      <c r="M2676" s="644"/>
      <c r="N2676" s="644"/>
      <c r="O2676" s="644"/>
      <c r="P2676" s="644"/>
      <c r="Q2676" s="644"/>
    </row>
    <row r="2677" spans="2:19" s="57" customFormat="1" ht="13">
      <c r="B2677" s="2158" t="s">
        <v>748</v>
      </c>
      <c r="C2677" s="2158"/>
      <c r="D2677" s="2158"/>
      <c r="E2677" s="2158"/>
      <c r="F2677" s="2158"/>
      <c r="G2677" s="2158"/>
      <c r="H2677" s="2158"/>
      <c r="I2677" s="2158"/>
      <c r="J2677" s="2158"/>
      <c r="K2677" s="2158"/>
      <c r="L2677" s="2158"/>
      <c r="M2677" s="2158"/>
      <c r="N2677" s="2158"/>
      <c r="O2677" s="2158"/>
      <c r="P2677" s="2158"/>
      <c r="Q2677" s="2158"/>
      <c r="R2677" s="2158"/>
    </row>
    <row r="2678" spans="2:19" s="57" customFormat="1" ht="13">
      <c r="B2678" s="2159" t="s">
        <v>747</v>
      </c>
      <c r="C2678" s="2159"/>
      <c r="D2678" s="2159"/>
      <c r="E2678" s="2159"/>
      <c r="F2678" s="2159"/>
      <c r="G2678" s="2159"/>
      <c r="H2678" s="2159"/>
      <c r="I2678" s="2159"/>
      <c r="J2678" s="2159"/>
      <c r="K2678" s="2159"/>
      <c r="L2678" s="2159"/>
      <c r="M2678" s="2159"/>
      <c r="N2678" s="2159"/>
      <c r="O2678" s="2159"/>
      <c r="P2678" s="2159"/>
      <c r="Q2678" s="2159"/>
      <c r="R2678" s="2159"/>
    </row>
    <row r="2679" spans="2:19" s="57" customFormat="1" ht="13">
      <c r="B2679" s="2244" t="s">
        <v>1098</v>
      </c>
      <c r="C2679" s="2244"/>
      <c r="D2679" s="2244"/>
      <c r="E2679" s="2244"/>
      <c r="F2679" s="2244"/>
      <c r="G2679" s="2244"/>
      <c r="H2679" s="2244"/>
      <c r="I2679" s="2244"/>
      <c r="J2679" s="2244"/>
      <c r="K2679" s="2244"/>
      <c r="L2679" s="2244"/>
      <c r="M2679" s="2244"/>
      <c r="N2679" s="2244"/>
      <c r="O2679" s="2244"/>
      <c r="P2679" s="2244"/>
      <c r="Q2679" s="2244"/>
    </row>
    <row r="2680" spans="2:19" s="57" customFormat="1" ht="13">
      <c r="B2680" s="612" t="s">
        <v>2135</v>
      </c>
      <c r="C2680" s="613"/>
      <c r="D2680" s="613"/>
      <c r="E2680" s="644"/>
      <c r="F2680" s="644"/>
      <c r="G2680" s="644"/>
      <c r="H2680" s="644"/>
      <c r="I2680" s="644"/>
      <c r="J2680" s="644"/>
      <c r="K2680" s="644"/>
      <c r="L2680" s="644"/>
      <c r="M2680" s="644"/>
      <c r="N2680" s="644"/>
      <c r="O2680" s="644"/>
      <c r="P2680" s="644"/>
      <c r="Q2680" s="644"/>
    </row>
    <row r="2681" spans="2:19" s="57" customFormat="1" ht="13.9" customHeight="1">
      <c r="B2681" s="2233" t="s">
        <v>11</v>
      </c>
      <c r="C2681" s="2230" t="s">
        <v>1260</v>
      </c>
      <c r="D2681" s="2231"/>
      <c r="E2681" s="2231"/>
      <c r="F2681" s="2231"/>
      <c r="G2681" s="2231"/>
      <c r="H2681" s="2231"/>
      <c r="I2681" s="2231"/>
      <c r="J2681" s="2232"/>
      <c r="K2681" s="2230" t="s">
        <v>1311</v>
      </c>
      <c r="L2681" s="2231"/>
      <c r="M2681" s="2231"/>
      <c r="N2681" s="2231"/>
      <c r="O2681" s="2231"/>
      <c r="P2681" s="2231"/>
      <c r="Q2681" s="2231"/>
      <c r="R2681" s="2232"/>
    </row>
    <row r="2682" spans="2:19" s="57" customFormat="1" ht="12.5">
      <c r="B2682" s="2234"/>
      <c r="C2682" s="587">
        <v>2014</v>
      </c>
      <c r="D2682" s="588">
        <v>2015</v>
      </c>
      <c r="E2682" s="588">
        <v>2016</v>
      </c>
      <c r="F2682" s="588">
        <v>2017</v>
      </c>
      <c r="G2682" s="588">
        <v>2018</v>
      </c>
      <c r="H2682" s="588">
        <v>2019</v>
      </c>
      <c r="I2682" s="588">
        <v>2020</v>
      </c>
      <c r="J2682" s="588">
        <v>2021</v>
      </c>
      <c r="K2682" s="587">
        <v>2014</v>
      </c>
      <c r="L2682" s="588">
        <v>2015</v>
      </c>
      <c r="M2682" s="588">
        <v>2016</v>
      </c>
      <c r="N2682" s="588">
        <v>2017</v>
      </c>
      <c r="O2682" s="588">
        <v>2018</v>
      </c>
      <c r="P2682" s="588">
        <v>2019</v>
      </c>
      <c r="Q2682" s="588">
        <v>2020</v>
      </c>
      <c r="R2682" s="848">
        <v>2021</v>
      </c>
    </row>
    <row r="2683" spans="2:19" s="57" customFormat="1">
      <c r="B2683" s="752" t="s">
        <v>1038</v>
      </c>
      <c r="C2683" s="761"/>
      <c r="D2683" s="755"/>
      <c r="E2683" s="755"/>
      <c r="F2683" s="755"/>
      <c r="G2683" s="755"/>
      <c r="H2683" s="755"/>
      <c r="I2683" s="755"/>
      <c r="J2683" s="755"/>
      <c r="K2683" s="754"/>
      <c r="L2683" s="755"/>
      <c r="M2683" s="755"/>
      <c r="N2683" s="755"/>
      <c r="O2683" s="755"/>
      <c r="P2683" s="755"/>
      <c r="Q2683" s="755"/>
      <c r="R2683" s="1653"/>
      <c r="S2683"/>
    </row>
    <row r="2684" spans="2:19" s="57" customFormat="1">
      <c r="B2684" s="1907" t="s">
        <v>70</v>
      </c>
      <c r="C2684" s="1700">
        <f>ARG!C914</f>
        <v>0</v>
      </c>
      <c r="D2684" s="679">
        <f>ARG!D914</f>
        <v>0</v>
      </c>
      <c r="E2684" s="679">
        <f>ARG!E914</f>
        <v>0</v>
      </c>
      <c r="F2684" s="679">
        <f>ARG!F914</f>
        <v>0</v>
      </c>
      <c r="G2684" s="679">
        <f>ARG!G914</f>
        <v>0</v>
      </c>
      <c r="H2684" s="679">
        <f>ARG!H914</f>
        <v>1.2430000000000001</v>
      </c>
      <c r="I2684" s="679">
        <f>ARG!I914</f>
        <v>8125</v>
      </c>
      <c r="J2684" s="679">
        <f>ARG!J914</f>
        <v>21047</v>
      </c>
      <c r="K2684" s="1700">
        <v>0</v>
      </c>
      <c r="L2684" s="679">
        <f>IFERROR((D2684/C2684-1)*100,0)</f>
        <v>0</v>
      </c>
      <c r="M2684" s="679">
        <f t="shared" ref="M2684:R2684" si="930">IFERROR((E2684/D2684-1)*100,0)</f>
        <v>0</v>
      </c>
      <c r="N2684" s="679">
        <f t="shared" si="930"/>
        <v>0</v>
      </c>
      <c r="O2684" s="679">
        <f t="shared" si="930"/>
        <v>0</v>
      </c>
      <c r="P2684" s="679">
        <f t="shared" si="930"/>
        <v>0</v>
      </c>
      <c r="Q2684" s="679">
        <f t="shared" si="930"/>
        <v>653560.49879324215</v>
      </c>
      <c r="R2684" s="680">
        <f t="shared" si="930"/>
        <v>159.04</v>
      </c>
      <c r="S2684"/>
    </row>
    <row r="2685" spans="2:19" s="57" customFormat="1">
      <c r="B2685" s="1907" t="s">
        <v>67</v>
      </c>
      <c r="C2685" s="1700">
        <f>ARG!C930</f>
        <v>174.93100000000001</v>
      </c>
      <c r="D2685" s="679">
        <f>ARG!D930</f>
        <v>97.808999999999997</v>
      </c>
      <c r="E2685" s="679">
        <f>ARG!E930</f>
        <v>136.47</v>
      </c>
      <c r="F2685" s="679">
        <f>ARG!F930</f>
        <v>199.21600000000001</v>
      </c>
      <c r="G2685" s="679">
        <f>ARG!G930</f>
        <v>283.99199999999996</v>
      </c>
      <c r="H2685" s="679">
        <f>ARG!H930</f>
        <v>312.23399999999998</v>
      </c>
      <c r="I2685" s="679">
        <f>ARG!I930</f>
        <v>240.72</v>
      </c>
      <c r="J2685" s="679">
        <f>ARG!J930</f>
        <v>305.459</v>
      </c>
      <c r="K2685" s="1700">
        <v>0</v>
      </c>
      <c r="L2685" s="679">
        <f t="shared" ref="L2685:L2686" si="931">IFERROR((D2685/C2685-1)*100,0)</f>
        <v>-44.08709719832391</v>
      </c>
      <c r="M2685" s="679">
        <f t="shared" ref="M2685:M2687" si="932">IFERROR((E2685/D2685-1)*100,0)</f>
        <v>39.527037389197318</v>
      </c>
      <c r="N2685" s="679">
        <f t="shared" ref="N2685:N2687" si="933">IFERROR((F2685/E2685-1)*100,0)</f>
        <v>45.97787059426981</v>
      </c>
      <c r="O2685" s="679">
        <f t="shared" ref="O2685:O2687" si="934">IFERROR((G2685/F2685-1)*100,0)</f>
        <v>42.554814874307255</v>
      </c>
      <c r="P2685" s="679">
        <f t="shared" ref="P2685:P2687" si="935">IFERROR((H2685/G2685-1)*100,0)</f>
        <v>9.944646328065577</v>
      </c>
      <c r="Q2685" s="679">
        <f t="shared" ref="Q2685:Q2687" si="936">IFERROR((I2685/H2685-1)*100,0)</f>
        <v>-22.903975864255656</v>
      </c>
      <c r="R2685" s="680">
        <f t="shared" ref="R2685:R2687" si="937">IFERROR((J2685/I2685-1)*100,0)</f>
        <v>26.893901628447981</v>
      </c>
      <c r="S2685"/>
    </row>
    <row r="2686" spans="2:19" s="57" customFormat="1">
      <c r="B2686" s="1907" t="s">
        <v>64</v>
      </c>
      <c r="C2686" s="1700">
        <f>ARG!C946</f>
        <v>85.08</v>
      </c>
      <c r="D2686" s="679">
        <f>ARG!D946</f>
        <v>127.54</v>
      </c>
      <c r="E2686" s="679">
        <f>ARG!E946</f>
        <v>164.17699999999999</v>
      </c>
      <c r="F2686" s="679">
        <f>ARG!F946</f>
        <v>234.07900000000001</v>
      </c>
      <c r="G2686" s="679">
        <f>ARG!G946</f>
        <v>343.63299999999998</v>
      </c>
      <c r="H2686" s="679">
        <f>ARG!H946</f>
        <v>538.95000000000005</v>
      </c>
      <c r="I2686" s="679">
        <f>ARG!I946</f>
        <v>606.68899999999996</v>
      </c>
      <c r="J2686" s="679">
        <f>ARG!J946</f>
        <v>612.84699999999998</v>
      </c>
      <c r="K2686" s="1700">
        <v>0</v>
      </c>
      <c r="L2686" s="679">
        <f t="shared" si="931"/>
        <v>49.905970850963797</v>
      </c>
      <c r="M2686" s="679">
        <f t="shared" si="932"/>
        <v>28.725889916888804</v>
      </c>
      <c r="N2686" s="679">
        <f t="shared" si="933"/>
        <v>42.57721848980065</v>
      </c>
      <c r="O2686" s="679">
        <f t="shared" si="934"/>
        <v>46.802147992771651</v>
      </c>
      <c r="P2686" s="679">
        <f t="shared" si="935"/>
        <v>56.838836782264821</v>
      </c>
      <c r="Q2686" s="679">
        <f t="shared" si="936"/>
        <v>12.568698395027344</v>
      </c>
      <c r="R2686" s="680">
        <f t="shared" si="937"/>
        <v>1.015017579023203</v>
      </c>
      <c r="S2686"/>
    </row>
    <row r="2687" spans="2:19" s="57" customFormat="1">
      <c r="B2687" s="1907" t="s">
        <v>61</v>
      </c>
      <c r="C2687" s="1700">
        <f>ARG!C898</f>
        <v>3307.8879999999999</v>
      </c>
      <c r="D2687" s="679">
        <f>ARG!D898</f>
        <v>3578.098</v>
      </c>
      <c r="E2687" s="679">
        <f>ARG!E898</f>
        <v>4114.4040000000005</v>
      </c>
      <c r="F2687" s="679">
        <f>ARG!F898</f>
        <v>5385.07</v>
      </c>
      <c r="G2687" s="679">
        <f>ARG!G898</f>
        <v>6002.3389999999999</v>
      </c>
      <c r="H2687" s="679">
        <f>ARG!H898</f>
        <v>8287.1864999999998</v>
      </c>
      <c r="I2687" s="679">
        <f>ARG!I898</f>
        <v>16895.091</v>
      </c>
      <c r="J2687" s="679">
        <f>ARG!J898</f>
        <v>23134.982</v>
      </c>
      <c r="K2687" s="1700">
        <v>0</v>
      </c>
      <c r="L2687" s="679">
        <f>IFERROR((D2687/C2687-1)*100,0)</f>
        <v>8.1686562543834551</v>
      </c>
      <c r="M2687" s="679">
        <f t="shared" si="932"/>
        <v>14.98857773040314</v>
      </c>
      <c r="N2687" s="679">
        <f t="shared" si="933"/>
        <v>30.883355159094705</v>
      </c>
      <c r="O2687" s="679">
        <f t="shared" si="934"/>
        <v>11.462599371967318</v>
      </c>
      <c r="P2687" s="679">
        <f t="shared" si="935"/>
        <v>38.065952289599103</v>
      </c>
      <c r="Q2687" s="679">
        <f t="shared" si="936"/>
        <v>103.87004684883104</v>
      </c>
      <c r="R2687" s="680">
        <f t="shared" si="937"/>
        <v>36.933160052230548</v>
      </c>
      <c r="S2687"/>
    </row>
    <row r="2688" spans="2:19" s="57" customFormat="1">
      <c r="B2688" s="1907" t="s">
        <v>58</v>
      </c>
      <c r="C2688" s="1700">
        <f>ARG!C962</f>
        <v>50.15</v>
      </c>
      <c r="D2688" s="679">
        <f>ARG!D962</f>
        <v>69.289000000000001</v>
      </c>
      <c r="E2688" s="679">
        <f>ARG!E962</f>
        <v>512.61300000000006</v>
      </c>
      <c r="F2688" s="679">
        <f>ARG!F962</f>
        <v>400688</v>
      </c>
      <c r="G2688" s="679">
        <f>ARG!G962</f>
        <v>338963</v>
      </c>
      <c r="H2688" s="679">
        <f>ARG!H962</f>
        <v>260542</v>
      </c>
      <c r="I2688" s="679">
        <f>ARG!I962</f>
        <v>147550</v>
      </c>
      <c r="J2688" s="679">
        <f>ARG!J962</f>
        <v>141577</v>
      </c>
      <c r="K2688" s="1700">
        <v>0</v>
      </c>
      <c r="L2688" s="679">
        <f t="shared" ref="L2688" si="938">IFERROR((D2688/C2688-1)*100,0)</f>
        <v>38.163509471585243</v>
      </c>
      <c r="M2688" s="679">
        <f t="shared" ref="M2688" si="939">IFERROR((E2688/D2688-1)*100,0)</f>
        <v>639.81873024578226</v>
      </c>
      <c r="N2688" s="679">
        <f t="shared" ref="N2688" si="940">IFERROR((F2688/E2688-1)*100,0)</f>
        <v>78065.789786837238</v>
      </c>
      <c r="O2688" s="679">
        <f t="shared" ref="O2688" si="941">IFERROR((G2688/F2688-1)*100,0)</f>
        <v>-15.404753823423711</v>
      </c>
      <c r="P2688" s="679">
        <f t="shared" ref="P2688" si="942">IFERROR((H2688/G2688-1)*100,0)</f>
        <v>-23.135563468579168</v>
      </c>
      <c r="Q2688" s="679">
        <f t="shared" ref="Q2688" si="943">IFERROR((I2688/H2688-1)*100,0)</f>
        <v>-43.368055822093943</v>
      </c>
      <c r="R2688" s="680">
        <f t="shared" ref="R2688" si="944">IFERROR((J2688/I2688-1)*100,0)</f>
        <v>-4.04811928159946</v>
      </c>
      <c r="S2688"/>
    </row>
    <row r="2689" spans="2:19" s="57" customFormat="1">
      <c r="B2689" s="1907"/>
      <c r="C2689" s="1700"/>
      <c r="D2689" s="679"/>
      <c r="E2689" s="679"/>
      <c r="F2689" s="679"/>
      <c r="G2689" s="679"/>
      <c r="H2689" s="679"/>
      <c r="I2689" s="679"/>
      <c r="J2689" s="679"/>
      <c r="K2689" s="1700"/>
      <c r="L2689" s="679"/>
      <c r="M2689" s="679"/>
      <c r="N2689" s="679"/>
      <c r="O2689" s="679"/>
      <c r="P2689" s="679"/>
      <c r="Q2689" s="679"/>
      <c r="R2689" s="680"/>
      <c r="S2689"/>
    </row>
    <row r="2690" spans="2:19" s="57" customFormat="1">
      <c r="B2690" s="1754" t="s">
        <v>1039</v>
      </c>
      <c r="C2690" s="1700"/>
      <c r="D2690" s="679"/>
      <c r="E2690" s="679"/>
      <c r="F2690" s="679"/>
      <c r="G2690" s="679"/>
      <c r="H2690" s="679"/>
      <c r="I2690" s="679"/>
      <c r="J2690" s="679"/>
      <c r="K2690" s="1700"/>
      <c r="L2690" s="679"/>
      <c r="M2690" s="679"/>
      <c r="N2690" s="679"/>
      <c r="O2690" s="679"/>
      <c r="P2690" s="679"/>
      <c r="Q2690" s="679"/>
      <c r="R2690" s="680"/>
      <c r="S2690"/>
    </row>
    <row r="2691" spans="2:19" s="57" customFormat="1" ht="25">
      <c r="B2691" s="1908" t="s">
        <v>1885</v>
      </c>
      <c r="C2691" s="1700">
        <f>BA!C431</f>
        <v>4026.8580000000002</v>
      </c>
      <c r="D2691" s="679">
        <f>BA!D431</f>
        <v>3223.433</v>
      </c>
      <c r="E2691" s="679">
        <f>BA!E431</f>
        <v>5558.5929999999998</v>
      </c>
      <c r="F2691" s="679">
        <f>BA!F431</f>
        <v>5128.5950000000003</v>
      </c>
      <c r="G2691" s="679">
        <f>BA!G431</f>
        <v>8519.7109999999993</v>
      </c>
      <c r="H2691" s="679">
        <f>BA!H431</f>
        <v>8853.3449999999993</v>
      </c>
      <c r="I2691" s="679">
        <f>BA!I431</f>
        <v>5558.4840000000004</v>
      </c>
      <c r="J2691" s="679">
        <f>BA!J431</f>
        <v>12044.767</v>
      </c>
      <c r="K2691" s="1700">
        <f>IFERROR((C2691/B2691-1)*100,0)</f>
        <v>0</v>
      </c>
      <c r="L2691" s="679">
        <f>IFERROR((D2691/C2691-1)*100,0)</f>
        <v>-19.951659581738422</v>
      </c>
      <c r="M2691" s="679">
        <f t="shared" ref="M2691:R2691" si="945">IFERROR((E2691/D2691-1)*100,0)</f>
        <v>72.443261578571665</v>
      </c>
      <c r="N2691" s="679">
        <f t="shared" si="945"/>
        <v>-7.7357345644842095</v>
      </c>
      <c r="O2691" s="679">
        <f t="shared" si="945"/>
        <v>66.121735095089377</v>
      </c>
      <c r="P2691" s="679">
        <f t="shared" si="945"/>
        <v>3.9160248510776929</v>
      </c>
      <c r="Q2691" s="679">
        <f t="shared" si="945"/>
        <v>-37.216001409636689</v>
      </c>
      <c r="R2691" s="680">
        <f t="shared" si="945"/>
        <v>116.69158353248834</v>
      </c>
      <c r="S2691"/>
    </row>
    <row r="2692" spans="2:19" s="57" customFormat="1">
      <c r="B2692" s="1913"/>
      <c r="C2692" s="1700"/>
      <c r="D2692" s="679"/>
      <c r="E2692" s="679"/>
      <c r="F2692" s="679"/>
      <c r="G2692" s="679"/>
      <c r="H2692" s="679"/>
      <c r="I2692" s="679"/>
      <c r="J2692" s="679"/>
      <c r="K2692" s="1700"/>
      <c r="L2692" s="679"/>
      <c r="M2692" s="679"/>
      <c r="N2692" s="679"/>
      <c r="O2692" s="679"/>
      <c r="P2692" s="679"/>
      <c r="Q2692" s="679"/>
      <c r="R2692" s="1708"/>
      <c r="S2692"/>
    </row>
    <row r="2693" spans="2:19" s="57" customFormat="1">
      <c r="B2693" s="1754" t="s">
        <v>1040</v>
      </c>
      <c r="C2693" s="1700"/>
      <c r="D2693" s="679"/>
      <c r="E2693" s="679"/>
      <c r="F2693" s="679"/>
      <c r="G2693" s="679"/>
      <c r="H2693" s="679"/>
      <c r="I2693" s="679"/>
      <c r="J2693" s="679"/>
      <c r="K2693" s="1700"/>
      <c r="L2693" s="679"/>
      <c r="M2693" s="679"/>
      <c r="N2693" s="679"/>
      <c r="O2693" s="679"/>
      <c r="P2693" s="679"/>
      <c r="Q2693" s="679"/>
      <c r="R2693" s="1708"/>
      <c r="S2693"/>
    </row>
    <row r="2694" spans="2:19" s="57" customFormat="1">
      <c r="B2694" s="1913" t="s">
        <v>1312</v>
      </c>
      <c r="C2694" s="1700">
        <f>BO!C679</f>
        <v>50.662999999999997</v>
      </c>
      <c r="D2694" s="679">
        <f>BO!D679</f>
        <v>46.230999999999995</v>
      </c>
      <c r="E2694" s="679">
        <f>BO!E679</f>
        <v>42.033000000000001</v>
      </c>
      <c r="F2694" s="679">
        <f>BO!F679</f>
        <v>48.522000000000006</v>
      </c>
      <c r="G2694" s="679">
        <f>BO!G679</f>
        <v>61.204999999999998</v>
      </c>
      <c r="H2694" s="679">
        <f>BO!H679</f>
        <v>48.278999999999996</v>
      </c>
      <c r="I2694" s="679">
        <f>BO!I679</f>
        <v>48.136000000000003</v>
      </c>
      <c r="J2694" s="679">
        <f>BO!J679</f>
        <v>51.195999999999998</v>
      </c>
      <c r="K2694" s="1700">
        <v>46.547684475427396</v>
      </c>
      <c r="L2694" s="679">
        <f>IFERROR((D2694/C2694-1)*100,0)</f>
        <v>-8.7480015001085594</v>
      </c>
      <c r="M2694" s="679">
        <f t="shared" ref="M2694:R2694" si="946">IFERROR((E2694/D2694-1)*100,0)</f>
        <v>-9.0804871190326644</v>
      </c>
      <c r="N2694" s="679">
        <f t="shared" si="946"/>
        <v>15.43787024480765</v>
      </c>
      <c r="O2694" s="679">
        <f t="shared" si="946"/>
        <v>26.138658752730692</v>
      </c>
      <c r="P2694" s="679">
        <f t="shared" si="946"/>
        <v>-21.119189608692103</v>
      </c>
      <c r="Q2694" s="679">
        <f t="shared" si="946"/>
        <v>-0.29619503303712769</v>
      </c>
      <c r="R2694" s="680">
        <f t="shared" si="946"/>
        <v>6.35698853249127</v>
      </c>
      <c r="S2694"/>
    </row>
    <row r="2695" spans="2:19" s="57" customFormat="1">
      <c r="B2695" s="1913"/>
      <c r="C2695" s="1700"/>
      <c r="D2695" s="679"/>
      <c r="E2695" s="679"/>
      <c r="F2695" s="679"/>
      <c r="G2695" s="679"/>
      <c r="H2695" s="679"/>
      <c r="I2695" s="679"/>
      <c r="J2695" s="679"/>
      <c r="K2695" s="1700"/>
      <c r="L2695" s="679"/>
      <c r="M2695" s="679"/>
      <c r="N2695" s="679"/>
      <c r="O2695" s="679"/>
      <c r="P2695" s="679"/>
      <c r="Q2695" s="679"/>
      <c r="R2695" s="1708"/>
      <c r="S2695"/>
    </row>
    <row r="2696" spans="2:19" s="57" customFormat="1">
      <c r="B2696" s="1754" t="s">
        <v>1041</v>
      </c>
      <c r="C2696" s="1700"/>
      <c r="D2696" s="679"/>
      <c r="E2696" s="679"/>
      <c r="F2696" s="679"/>
      <c r="G2696" s="679"/>
      <c r="H2696" s="679"/>
      <c r="I2696" s="679"/>
      <c r="J2696" s="679"/>
      <c r="K2696" s="1700"/>
      <c r="L2696" s="679"/>
      <c r="M2696" s="679"/>
      <c r="N2696" s="679"/>
      <c r="O2696" s="679"/>
      <c r="P2696" s="679"/>
      <c r="Q2696" s="679"/>
      <c r="R2696" s="1708"/>
      <c r="S2696"/>
    </row>
    <row r="2697" spans="2:19" s="57" customFormat="1">
      <c r="B2697" s="1913" t="s">
        <v>1313</v>
      </c>
      <c r="C2697" s="1700">
        <f>BR!C695</f>
        <v>203848.39</v>
      </c>
      <c r="D2697" s="679">
        <f>BR!D695</f>
        <v>230217.75799999997</v>
      </c>
      <c r="E2697" s="679">
        <f>BR!E695</f>
        <v>245610.30300000001</v>
      </c>
      <c r="F2697" s="679">
        <f>BR!F695</f>
        <v>245395.59299999999</v>
      </c>
      <c r="G2697" s="679">
        <f>BR!G695</f>
        <v>0</v>
      </c>
      <c r="H2697" s="679">
        <f>BR!H695</f>
        <v>0</v>
      </c>
      <c r="I2697" s="679">
        <f>BR!I695</f>
        <v>0</v>
      </c>
      <c r="J2697" s="679">
        <f>BR!J695</f>
        <v>0</v>
      </c>
      <c r="K2697" s="1700">
        <v>3.4144458087374123</v>
      </c>
      <c r="L2697" s="679">
        <f>IFERROR((D2697/C2697-1)*100,0)</f>
        <v>12.93577447435319</v>
      </c>
      <c r="M2697" s="679">
        <f t="shared" ref="M2697:R2697" si="947">IFERROR((E2697/D2697-1)*100,0)</f>
        <v>6.6860806628131764</v>
      </c>
      <c r="N2697" s="679">
        <f t="shared" si="947"/>
        <v>-8.7418971182173788E-2</v>
      </c>
      <c r="O2697" s="679">
        <f t="shared" si="947"/>
        <v>-100</v>
      </c>
      <c r="P2697" s="679">
        <f t="shared" si="947"/>
        <v>0</v>
      </c>
      <c r="Q2697" s="679">
        <f t="shared" si="947"/>
        <v>0</v>
      </c>
      <c r="R2697" s="680">
        <f t="shared" si="947"/>
        <v>0</v>
      </c>
      <c r="S2697"/>
    </row>
    <row r="2698" spans="2:19" s="57" customFormat="1">
      <c r="B2698" s="1913" t="s">
        <v>1314</v>
      </c>
      <c r="C2698" s="1700">
        <f>BR!C711</f>
        <v>0</v>
      </c>
      <c r="D2698" s="679">
        <f>BR!D711</f>
        <v>0</v>
      </c>
      <c r="E2698" s="679">
        <f>BR!E711</f>
        <v>0</v>
      </c>
      <c r="F2698" s="679">
        <f>BR!F711</f>
        <v>0</v>
      </c>
      <c r="G2698" s="679">
        <f>BR!G711</f>
        <v>284719.96000000002</v>
      </c>
      <c r="H2698" s="679">
        <f>BR!H711</f>
        <v>406413.02299999999</v>
      </c>
      <c r="I2698" s="679">
        <f>BR!I711</f>
        <v>895353.80999999994</v>
      </c>
      <c r="J2698" s="679">
        <f>BR!J711</f>
        <v>870073.82199999993</v>
      </c>
      <c r="K2698" s="1700">
        <v>39.6111822695038</v>
      </c>
      <c r="L2698" s="679">
        <f>IFERROR((D2698/C2698-1)*100,0)</f>
        <v>0</v>
      </c>
      <c r="M2698" s="679">
        <f t="shared" ref="M2698" si="948">IFERROR((E2698/D2698-1)*100,0)</f>
        <v>0</v>
      </c>
      <c r="N2698" s="679">
        <f t="shared" ref="N2698" si="949">IFERROR((F2698/E2698-1)*100,0)</f>
        <v>0</v>
      </c>
      <c r="O2698" s="679">
        <f t="shared" ref="O2698" si="950">IFERROR((G2698/F2698-1)*100,0)</f>
        <v>0</v>
      </c>
      <c r="P2698" s="679">
        <f t="shared" ref="P2698" si="951">IFERROR((H2698/G2698-1)*100,0)</f>
        <v>42.741317819797374</v>
      </c>
      <c r="Q2698" s="679">
        <f t="shared" ref="Q2698" si="952">IFERROR((I2698/H2698-1)*100,0)</f>
        <v>120.30637782982656</v>
      </c>
      <c r="R2698" s="680">
        <f t="shared" ref="R2698" si="953">IFERROR((J2698/I2698-1)*100,0)</f>
        <v>-2.8234634976311734</v>
      </c>
      <c r="S2698"/>
    </row>
    <row r="2699" spans="2:19" s="57" customFormat="1">
      <c r="B2699" s="1913"/>
      <c r="C2699" s="1700"/>
      <c r="D2699" s="679"/>
      <c r="E2699" s="679"/>
      <c r="F2699" s="679"/>
      <c r="G2699" s="679"/>
      <c r="H2699" s="679"/>
      <c r="I2699" s="679"/>
      <c r="J2699" s="679"/>
      <c r="K2699" s="1700"/>
      <c r="L2699" s="679"/>
      <c r="M2699" s="679"/>
      <c r="N2699" s="679"/>
      <c r="O2699" s="679"/>
      <c r="P2699" s="679"/>
      <c r="Q2699" s="679"/>
      <c r="R2699" s="1708"/>
      <c r="S2699"/>
    </row>
    <row r="2700" spans="2:19" s="57" customFormat="1">
      <c r="B2700" s="1754" t="s">
        <v>1042</v>
      </c>
      <c r="C2700" s="1700"/>
      <c r="D2700" s="679"/>
      <c r="E2700" s="679"/>
      <c r="F2700" s="679"/>
      <c r="G2700" s="679"/>
      <c r="H2700" s="679"/>
      <c r="I2700" s="679"/>
      <c r="J2700" s="679"/>
      <c r="K2700" s="1700"/>
      <c r="L2700" s="679"/>
      <c r="M2700" s="679"/>
      <c r="N2700" s="679"/>
      <c r="O2700" s="679"/>
      <c r="P2700" s="679"/>
      <c r="Q2700" s="679"/>
      <c r="R2700" s="1708"/>
      <c r="S2700"/>
    </row>
    <row r="2701" spans="2:19" s="57" customFormat="1">
      <c r="B2701" s="1909" t="s">
        <v>1315</v>
      </c>
      <c r="C2701" s="1700">
        <f>CL!C465</f>
        <v>1642.4625000000001</v>
      </c>
      <c r="D2701" s="679">
        <f>CL!D465</f>
        <v>1653.0409999999999</v>
      </c>
      <c r="E2701" s="679">
        <f>CL!E465</f>
        <v>1708.098</v>
      </c>
      <c r="F2701" s="679">
        <f>CL!F465</f>
        <v>1755.1949999999999</v>
      </c>
      <c r="G2701" s="679">
        <f>CL!G465</f>
        <v>1634.1869999999999</v>
      </c>
      <c r="H2701" s="679">
        <f>CL!H465</f>
        <v>1617.9</v>
      </c>
      <c r="I2701" s="679">
        <f>CL!I465</f>
        <v>1497.48</v>
      </c>
      <c r="J2701" s="679">
        <f>CL!J465</f>
        <v>1291.5</v>
      </c>
      <c r="K2701" s="1700">
        <v>-3.1244193967919656</v>
      </c>
      <c r="L2701" s="679">
        <f>IFERROR((D2701/C2701-1)*100,0)</f>
        <v>0.64406341088456553</v>
      </c>
      <c r="M2701" s="679">
        <f t="shared" ref="M2701:R2701" si="954">IFERROR((E2701/D2701-1)*100,0)</f>
        <v>3.3306493910314483</v>
      </c>
      <c r="N2701" s="679">
        <f t="shared" si="954"/>
        <v>2.7572773927491356</v>
      </c>
      <c r="O2701" s="679">
        <f t="shared" si="954"/>
        <v>-6.8942767042978197</v>
      </c>
      <c r="P2701" s="679">
        <f t="shared" si="954"/>
        <v>-0.9966423671219915</v>
      </c>
      <c r="Q2701" s="679">
        <f t="shared" si="954"/>
        <v>-7.4429816428703948</v>
      </c>
      <c r="R2701" s="680">
        <f t="shared" si="954"/>
        <v>-13.755108582418462</v>
      </c>
      <c r="S2701"/>
    </row>
    <row r="2702" spans="2:19" s="57" customFormat="1">
      <c r="B2702" s="1909"/>
      <c r="C2702" s="1700"/>
      <c r="D2702" s="679"/>
      <c r="E2702" s="679"/>
      <c r="F2702" s="679"/>
      <c r="G2702" s="679"/>
      <c r="H2702" s="679"/>
      <c r="I2702" s="679"/>
      <c r="J2702" s="679"/>
      <c r="K2702" s="1700"/>
      <c r="L2702" s="679"/>
      <c r="M2702" s="679"/>
      <c r="N2702" s="679"/>
      <c r="O2702" s="679"/>
      <c r="P2702" s="679"/>
      <c r="Q2702" s="679"/>
      <c r="R2702" s="1708"/>
      <c r="S2702"/>
    </row>
    <row r="2703" spans="2:19" s="57" customFormat="1">
      <c r="B2703" s="1754" t="s">
        <v>1316</v>
      </c>
      <c r="C2703" s="1700"/>
      <c r="D2703" s="679"/>
      <c r="E2703" s="679"/>
      <c r="F2703" s="679"/>
      <c r="G2703" s="679"/>
      <c r="H2703" s="679"/>
      <c r="I2703" s="679"/>
      <c r="J2703" s="679"/>
      <c r="K2703" s="1700"/>
      <c r="L2703" s="679"/>
      <c r="M2703" s="679"/>
      <c r="N2703" s="679"/>
      <c r="O2703" s="679"/>
      <c r="P2703" s="679"/>
      <c r="Q2703" s="679"/>
      <c r="R2703" s="1708"/>
      <c r="S2703"/>
    </row>
    <row r="2704" spans="2:19" s="57" customFormat="1">
      <c r="B2704" s="1864" t="s">
        <v>584</v>
      </c>
      <c r="C2704" s="1700">
        <f>CO!C603</f>
        <v>258.41800000000001</v>
      </c>
      <c r="D2704" s="679">
        <f>CO!D603</f>
        <v>193.34299999999999</v>
      </c>
      <c r="E2704" s="679">
        <f>CO!E603</f>
        <v>150.636</v>
      </c>
      <c r="F2704" s="679">
        <f>CO!F603</f>
        <v>305.92399999999998</v>
      </c>
      <c r="G2704" s="679">
        <f>CO!G603</f>
        <v>424.49599999999998</v>
      </c>
      <c r="H2704" s="679">
        <f>CO!H603</f>
        <v>187.566</v>
      </c>
      <c r="I2704" s="679">
        <f>CO!I603</f>
        <v>151.86099999999999</v>
      </c>
      <c r="J2704" s="679">
        <f>CO!J603</f>
        <v>170.429</v>
      </c>
      <c r="K2704" s="1700">
        <v>57.945627460088481</v>
      </c>
      <c r="L2704" s="679">
        <f>IFERROR((D2704/C2704-1)*100,0)</f>
        <v>-25.182069360493475</v>
      </c>
      <c r="M2704" s="679">
        <f t="shared" ref="M2704:R2704" si="955">IFERROR((E2704/D2704-1)*100,0)</f>
        <v>-22.088723150049393</v>
      </c>
      <c r="N2704" s="679">
        <f t="shared" si="955"/>
        <v>103.08823919912902</v>
      </c>
      <c r="O2704" s="679">
        <f t="shared" si="955"/>
        <v>38.758645938206882</v>
      </c>
      <c r="P2704" s="679">
        <f t="shared" si="955"/>
        <v>-55.814424635332252</v>
      </c>
      <c r="Q2704" s="679">
        <f t="shared" si="955"/>
        <v>-19.035966006632343</v>
      </c>
      <c r="R2704" s="680">
        <f t="shared" si="955"/>
        <v>12.226970716642205</v>
      </c>
      <c r="S2704"/>
    </row>
    <row r="2705" spans="2:19" s="57" customFormat="1">
      <c r="B2705" s="1864" t="s">
        <v>585</v>
      </c>
      <c r="C2705" s="1700">
        <f>CO!C619</f>
        <v>423.62900000000002</v>
      </c>
      <c r="D2705" s="679">
        <f>CO!D619</f>
        <v>389.97800000000001</v>
      </c>
      <c r="E2705" s="679">
        <f>CO!E619</f>
        <v>411.82799999999997</v>
      </c>
      <c r="F2705" s="679">
        <f>CO!F619</f>
        <v>355.32100000000003</v>
      </c>
      <c r="G2705" s="679">
        <f>CO!G619</f>
        <v>299.726</v>
      </c>
      <c r="H2705" s="679">
        <f>CO!H619</f>
        <v>256.48200000000003</v>
      </c>
      <c r="I2705" s="679">
        <f>CO!I619</f>
        <v>214.33600000000001</v>
      </c>
      <c r="J2705" s="679">
        <f>CO!J619</f>
        <v>176.02</v>
      </c>
      <c r="K2705" s="1700">
        <v>-4.5908569660344387</v>
      </c>
      <c r="L2705" s="679">
        <f t="shared" ref="L2705:L2706" si="956">IFERROR((D2705/C2705-1)*100,0)</f>
        <v>-7.9435071725495687</v>
      </c>
      <c r="M2705" s="679">
        <f t="shared" ref="M2705:M2706" si="957">IFERROR((E2705/D2705-1)*100,0)</f>
        <v>5.6028801624707025</v>
      </c>
      <c r="N2705" s="679">
        <f t="shared" ref="N2705:N2706" si="958">IFERROR((F2705/E2705-1)*100,0)</f>
        <v>-13.721019454723804</v>
      </c>
      <c r="O2705" s="679">
        <f t="shared" ref="O2705:O2706" si="959">IFERROR((G2705/F2705-1)*100,0)</f>
        <v>-15.646415494721676</v>
      </c>
      <c r="P2705" s="679">
        <f t="shared" ref="P2705:P2706" si="960">IFERROR((H2705/G2705-1)*100,0)</f>
        <v>-14.427844097609144</v>
      </c>
      <c r="Q2705" s="679">
        <f t="shared" ref="Q2705:Q2706" si="961">IFERROR((I2705/H2705-1)*100,0)</f>
        <v>-16.432342230643869</v>
      </c>
      <c r="R2705" s="680">
        <f t="shared" ref="R2705:R2706" si="962">IFERROR((J2705/I2705-1)*100,0)</f>
        <v>-17.876604956703488</v>
      </c>
      <c r="S2705"/>
    </row>
    <row r="2706" spans="2:19" s="57" customFormat="1" ht="26">
      <c r="B2706" s="1914" t="s">
        <v>586</v>
      </c>
      <c r="C2706" s="1700">
        <f>CO!C635</f>
        <v>651.82600000000002</v>
      </c>
      <c r="D2706" s="679">
        <f>CO!D635</f>
        <v>580.03700000000003</v>
      </c>
      <c r="E2706" s="679">
        <f>CO!E635</f>
        <v>602.60399999999993</v>
      </c>
      <c r="F2706" s="679">
        <f>CO!F635</f>
        <v>527.05700000000002</v>
      </c>
      <c r="G2706" s="679">
        <f>CO!G635</f>
        <v>564.36099999999999</v>
      </c>
      <c r="H2706" s="679">
        <f>CO!H635</f>
        <v>572.24800000000005</v>
      </c>
      <c r="I2706" s="679">
        <f>CO!I635</f>
        <v>908.31700000000001</v>
      </c>
      <c r="J2706" s="679">
        <f>CO!J635</f>
        <v>925.68</v>
      </c>
      <c r="K2706" s="1700">
        <v>0.89818766162589359</v>
      </c>
      <c r="L2706" s="679">
        <f t="shared" si="956"/>
        <v>-11.013522013543486</v>
      </c>
      <c r="M2706" s="679">
        <f t="shared" si="957"/>
        <v>3.8906138746321206</v>
      </c>
      <c r="N2706" s="679">
        <f t="shared" si="958"/>
        <v>-12.536757140676114</v>
      </c>
      <c r="O2706" s="679">
        <f t="shared" si="959"/>
        <v>7.0777923450404678</v>
      </c>
      <c r="P2706" s="679">
        <f t="shared" si="960"/>
        <v>1.3975097499650202</v>
      </c>
      <c r="Q2706" s="679">
        <f t="shared" si="961"/>
        <v>58.727859249835724</v>
      </c>
      <c r="R2706" s="680">
        <f t="shared" si="962"/>
        <v>1.9115573087369109</v>
      </c>
      <c r="S2706"/>
    </row>
    <row r="2707" spans="2:19" s="57" customFormat="1">
      <c r="B2707" s="1914"/>
      <c r="C2707" s="1700"/>
      <c r="D2707" s="679"/>
      <c r="E2707" s="679"/>
      <c r="F2707" s="679"/>
      <c r="G2707" s="679"/>
      <c r="H2707" s="679"/>
      <c r="I2707" s="679"/>
      <c r="J2707" s="679"/>
      <c r="K2707" s="1700"/>
      <c r="L2707" s="679"/>
      <c r="M2707" s="679"/>
      <c r="N2707" s="679"/>
      <c r="O2707" s="679"/>
      <c r="P2707" s="679"/>
      <c r="Q2707" s="679"/>
      <c r="R2707" s="1708"/>
      <c r="S2707"/>
    </row>
    <row r="2708" spans="2:19" s="57" customFormat="1">
      <c r="B2708" s="1754" t="s">
        <v>1044</v>
      </c>
      <c r="C2708" s="1700"/>
      <c r="D2708" s="679"/>
      <c r="E2708" s="679"/>
      <c r="F2708" s="679"/>
      <c r="G2708" s="679"/>
      <c r="H2708" s="679"/>
      <c r="I2708" s="679"/>
      <c r="J2708" s="679"/>
      <c r="K2708" s="1700"/>
      <c r="L2708" s="679"/>
      <c r="M2708" s="679"/>
      <c r="N2708" s="679"/>
      <c r="O2708" s="679"/>
      <c r="P2708" s="679"/>
      <c r="Q2708" s="679"/>
      <c r="R2708" s="1708"/>
      <c r="S2708"/>
    </row>
    <row r="2709" spans="2:19" s="57" customFormat="1">
      <c r="B2709" s="1909" t="s">
        <v>1317</v>
      </c>
      <c r="C2709" s="1700">
        <f>CR!C507</f>
        <v>90048</v>
      </c>
      <c r="D2709" s="679">
        <f>CR!D507</f>
        <v>96423</v>
      </c>
      <c r="E2709" s="679">
        <f>CR!E507</f>
        <v>89441</v>
      </c>
      <c r="F2709" s="679">
        <f>CR!F507</f>
        <v>84587</v>
      </c>
      <c r="G2709" s="679">
        <f>CR!G507</f>
        <v>101587</v>
      </c>
      <c r="H2709" s="679">
        <f>CR!H507</f>
        <v>104437</v>
      </c>
      <c r="I2709" s="679">
        <f>CR!I507</f>
        <v>69054</v>
      </c>
      <c r="J2709" s="679">
        <f>CR!J507</f>
        <v>62316</v>
      </c>
      <c r="K2709" s="1700">
        <v>-8.9191430825561842</v>
      </c>
      <c r="L2709" s="679">
        <f>IFERROR((D2709/C2709-1)*100,0)</f>
        <v>7.0795575692963686</v>
      </c>
      <c r="M2709" s="679">
        <f t="shared" ref="M2709:R2709" si="963">IFERROR((E2709/D2709-1)*100,0)</f>
        <v>-7.2410109621148466</v>
      </c>
      <c r="N2709" s="679">
        <f t="shared" si="963"/>
        <v>-5.4270412897888036</v>
      </c>
      <c r="O2709" s="679">
        <f t="shared" si="963"/>
        <v>20.097650939269627</v>
      </c>
      <c r="P2709" s="679">
        <f t="shared" si="963"/>
        <v>2.805477078760088</v>
      </c>
      <c r="Q2709" s="679">
        <f t="shared" si="963"/>
        <v>-33.879755259151445</v>
      </c>
      <c r="R2709" s="680">
        <f t="shared" si="963"/>
        <v>-9.7575810235467912</v>
      </c>
      <c r="S2709"/>
    </row>
    <row r="2710" spans="2:19" s="57" customFormat="1">
      <c r="B2710" s="1909"/>
      <c r="C2710" s="1700"/>
      <c r="D2710" s="679"/>
      <c r="E2710" s="679"/>
      <c r="F2710" s="679"/>
      <c r="G2710" s="679"/>
      <c r="H2710" s="679"/>
      <c r="I2710" s="679"/>
      <c r="J2710" s="679"/>
      <c r="K2710" s="1700"/>
      <c r="L2710" s="679"/>
      <c r="M2710" s="679"/>
      <c r="N2710" s="679"/>
      <c r="O2710" s="679"/>
      <c r="P2710" s="679"/>
      <c r="Q2710" s="679"/>
      <c r="R2710" s="1708"/>
      <c r="S2710"/>
    </row>
    <row r="2711" spans="2:19" s="57" customFormat="1">
      <c r="B2711" s="1754" t="s">
        <v>1061</v>
      </c>
      <c r="C2711" s="1700"/>
      <c r="D2711" s="679"/>
      <c r="E2711" s="679"/>
      <c r="F2711" s="679"/>
      <c r="G2711" s="679"/>
      <c r="H2711" s="679"/>
      <c r="I2711" s="679"/>
      <c r="J2711" s="679"/>
      <c r="K2711" s="1700"/>
      <c r="L2711" s="679"/>
      <c r="M2711" s="679"/>
      <c r="N2711" s="679"/>
      <c r="O2711" s="679"/>
      <c r="P2711" s="679"/>
      <c r="Q2711" s="679"/>
      <c r="R2711" s="1708"/>
      <c r="S2711"/>
    </row>
    <row r="2712" spans="2:19" s="57" customFormat="1" ht="25">
      <c r="B2712" s="1909" t="s">
        <v>2136</v>
      </c>
      <c r="C2712" s="1700">
        <f>CW!C462</f>
        <v>0</v>
      </c>
      <c r="D2712" s="679">
        <f>CW!D462</f>
        <v>0</v>
      </c>
      <c r="E2712" s="679">
        <f>CW!E462</f>
        <v>0</v>
      </c>
      <c r="F2712" s="679">
        <f>CW!F462</f>
        <v>0</v>
      </c>
      <c r="G2712" s="679">
        <f>CW!G462</f>
        <v>0</v>
      </c>
      <c r="H2712" s="679">
        <f>CW!H462</f>
        <v>0</v>
      </c>
      <c r="I2712" s="679">
        <f>CW!I462</f>
        <v>0</v>
      </c>
      <c r="J2712" s="679">
        <f>CW!J462</f>
        <v>0</v>
      </c>
      <c r="K2712" s="1700">
        <v>0</v>
      </c>
      <c r="L2712" s="679">
        <f>IFERROR((D2712/C2712-1)*100,0)</f>
        <v>0</v>
      </c>
      <c r="M2712" s="679">
        <f t="shared" ref="M2712:R2712" si="964">IFERROR((E2712/D2712-1)*100,0)</f>
        <v>0</v>
      </c>
      <c r="N2712" s="679">
        <f t="shared" si="964"/>
        <v>0</v>
      </c>
      <c r="O2712" s="679">
        <f t="shared" si="964"/>
        <v>0</v>
      </c>
      <c r="P2712" s="679">
        <f t="shared" si="964"/>
        <v>0</v>
      </c>
      <c r="Q2712" s="679">
        <f t="shared" si="964"/>
        <v>0</v>
      </c>
      <c r="R2712" s="680">
        <f t="shared" si="964"/>
        <v>0</v>
      </c>
      <c r="S2712"/>
    </row>
    <row r="2713" spans="2:19" s="57" customFormat="1">
      <c r="B2713" s="1909"/>
      <c r="C2713" s="1700"/>
      <c r="D2713" s="679"/>
      <c r="E2713" s="679"/>
      <c r="F2713" s="679"/>
      <c r="G2713" s="679"/>
      <c r="H2713" s="679"/>
      <c r="I2713" s="679"/>
      <c r="J2713" s="679"/>
      <c r="K2713" s="1700"/>
      <c r="L2713" s="679"/>
      <c r="M2713" s="679"/>
      <c r="N2713" s="679"/>
      <c r="O2713" s="679"/>
      <c r="P2713" s="679"/>
      <c r="Q2713" s="679"/>
      <c r="R2713" s="680"/>
      <c r="S2713"/>
    </row>
    <row r="2714" spans="2:19" s="57" customFormat="1">
      <c r="B2714" s="1754" t="s">
        <v>1047</v>
      </c>
      <c r="C2714" s="1700"/>
      <c r="D2714" s="679"/>
      <c r="E2714" s="679"/>
      <c r="F2714" s="679"/>
      <c r="G2714" s="679"/>
      <c r="H2714" s="679"/>
      <c r="I2714" s="679"/>
      <c r="J2714" s="679"/>
      <c r="K2714" s="1700"/>
      <c r="L2714" s="679"/>
      <c r="M2714" s="679"/>
      <c r="N2714" s="679"/>
      <c r="O2714" s="679"/>
      <c r="P2714" s="679"/>
      <c r="Q2714" s="679"/>
      <c r="R2714" s="680"/>
      <c r="S2714"/>
    </row>
    <row r="2715" spans="2:19" s="57" customFormat="1">
      <c r="B2715" s="1909" t="s">
        <v>858</v>
      </c>
      <c r="C2715" s="1700">
        <f>EC!C484</f>
        <v>3.8839999999999999</v>
      </c>
      <c r="D2715" s="679">
        <f>EC!D484</f>
        <v>3.9039999999999999</v>
      </c>
      <c r="E2715" s="679">
        <f>EC!E484</f>
        <v>5.4050000000000002</v>
      </c>
      <c r="F2715" s="679">
        <f>EC!F484</f>
        <v>6.0839999999999996</v>
      </c>
      <c r="G2715" s="679">
        <f>EC!G484</f>
        <v>4.0759999999999996</v>
      </c>
      <c r="H2715" s="679">
        <f>EC!H484</f>
        <v>8.4930000000000003</v>
      </c>
      <c r="I2715" s="679">
        <f>EC!I484</f>
        <v>7.859</v>
      </c>
      <c r="J2715" s="679">
        <f>EC!J484</f>
        <v>7489</v>
      </c>
      <c r="K2715" s="1700">
        <f>IFERROR((C2715/B2715-1)*100,0)</f>
        <v>0</v>
      </c>
      <c r="L2715" s="679">
        <f t="shared" ref="L2715:R2715" si="965">IFERROR((D2715/C2715-1)*100,0)</f>
        <v>0.51493305870236039</v>
      </c>
      <c r="M2715" s="679">
        <f t="shared" si="965"/>
        <v>38.447745901639351</v>
      </c>
      <c r="N2715" s="679">
        <f t="shared" si="965"/>
        <v>12.562442183163736</v>
      </c>
      <c r="O2715" s="679">
        <f t="shared" si="965"/>
        <v>-33.004602235371472</v>
      </c>
      <c r="P2715" s="679">
        <f t="shared" si="965"/>
        <v>108.3660451422964</v>
      </c>
      <c r="Q2715" s="679">
        <f t="shared" si="965"/>
        <v>-7.4649711527140061</v>
      </c>
      <c r="R2715" s="680">
        <f t="shared" si="965"/>
        <v>95192.021885736103</v>
      </c>
      <c r="S2715"/>
    </row>
    <row r="2716" spans="2:19" s="57" customFormat="1">
      <c r="B2716" s="1915"/>
      <c r="C2716" s="1700"/>
      <c r="D2716" s="679"/>
      <c r="E2716" s="679"/>
      <c r="F2716" s="679"/>
      <c r="G2716" s="679"/>
      <c r="H2716" s="679"/>
      <c r="I2716" s="679"/>
      <c r="J2716" s="679"/>
      <c r="K2716" s="1700"/>
      <c r="L2716" s="679"/>
      <c r="M2716" s="679"/>
      <c r="N2716" s="679"/>
      <c r="O2716" s="679"/>
      <c r="P2716" s="679"/>
      <c r="Q2716" s="679"/>
      <c r="R2716" s="1708"/>
      <c r="S2716"/>
    </row>
    <row r="2717" spans="2:19" s="57" customFormat="1">
      <c r="B2717" s="1754" t="s">
        <v>1048</v>
      </c>
      <c r="C2717" s="1700"/>
      <c r="D2717" s="679"/>
      <c r="E2717" s="679"/>
      <c r="F2717" s="679"/>
      <c r="G2717" s="679"/>
      <c r="H2717" s="679"/>
      <c r="I2717" s="679"/>
      <c r="J2717" s="679"/>
      <c r="K2717" s="1700"/>
      <c r="L2717" s="679"/>
      <c r="M2717" s="679"/>
      <c r="N2717" s="679"/>
      <c r="O2717" s="679"/>
      <c r="P2717" s="679"/>
      <c r="Q2717" s="679"/>
      <c r="R2717" s="1708"/>
      <c r="S2717"/>
    </row>
    <row r="2718" spans="2:19" s="57" customFormat="1" ht="25">
      <c r="B2718" s="1909" t="s">
        <v>2137</v>
      </c>
      <c r="C2718" s="1700">
        <f>SV!C448</f>
        <v>16</v>
      </c>
      <c r="D2718" s="679">
        <f>SV!D448</f>
        <v>19</v>
      </c>
      <c r="E2718" s="679">
        <f>SV!E448</f>
        <v>22</v>
      </c>
      <c r="F2718" s="679">
        <f>SV!F448</f>
        <v>16</v>
      </c>
      <c r="G2718" s="679">
        <f>SV!G448</f>
        <v>18</v>
      </c>
      <c r="H2718" s="679">
        <f>SV!H448</f>
        <v>17</v>
      </c>
      <c r="I2718" s="679">
        <f>SV!I448</f>
        <v>7.3810000000000002</v>
      </c>
      <c r="J2718" s="679">
        <f>SV!J448</f>
        <v>11</v>
      </c>
      <c r="K2718" s="1700">
        <v>33.333333333333329</v>
      </c>
      <c r="L2718" s="679">
        <f>IFERROR((D2718/C2718-1)*100,0)</f>
        <v>18.75</v>
      </c>
      <c r="M2718" s="679">
        <f t="shared" ref="M2718:R2718" si="966">IFERROR((E2718/D2718-1)*100,0)</f>
        <v>15.789473684210531</v>
      </c>
      <c r="N2718" s="679">
        <f t="shared" si="966"/>
        <v>-27.27272727272727</v>
      </c>
      <c r="O2718" s="679">
        <f t="shared" si="966"/>
        <v>12.5</v>
      </c>
      <c r="P2718" s="679">
        <f t="shared" si="966"/>
        <v>-5.555555555555558</v>
      </c>
      <c r="Q2718" s="679">
        <f t="shared" si="966"/>
        <v>-56.58235294117646</v>
      </c>
      <c r="R2718" s="680">
        <f t="shared" si="966"/>
        <v>49.031296572280183</v>
      </c>
      <c r="S2718"/>
    </row>
    <row r="2719" spans="2:19" s="57" customFormat="1">
      <c r="B2719" s="1915"/>
      <c r="C2719" s="1700"/>
      <c r="D2719" s="679"/>
      <c r="E2719" s="679"/>
      <c r="F2719" s="679"/>
      <c r="G2719" s="679"/>
      <c r="H2719" s="679"/>
      <c r="I2719" s="679"/>
      <c r="J2719" s="679"/>
      <c r="K2719" s="1700"/>
      <c r="L2719" s="679"/>
      <c r="M2719" s="679"/>
      <c r="N2719" s="679"/>
      <c r="O2719" s="679"/>
      <c r="P2719" s="679"/>
      <c r="Q2719" s="679"/>
      <c r="R2719" s="1708"/>
      <c r="S2719"/>
    </row>
    <row r="2720" spans="2:19" s="57" customFormat="1">
      <c r="B2720" s="1754" t="s">
        <v>1049</v>
      </c>
      <c r="C2720" s="1700"/>
      <c r="D2720" s="679"/>
      <c r="E2720" s="679"/>
      <c r="F2720" s="679"/>
      <c r="G2720" s="679"/>
      <c r="H2720" s="679"/>
      <c r="I2720" s="679"/>
      <c r="J2720" s="679"/>
      <c r="K2720" s="1700"/>
      <c r="L2720" s="679"/>
      <c r="M2720" s="679"/>
      <c r="N2720" s="679"/>
      <c r="O2720" s="679"/>
      <c r="P2720" s="679"/>
      <c r="Q2720" s="679"/>
      <c r="R2720" s="1708"/>
      <c r="S2720"/>
    </row>
    <row r="2721" spans="2:19" s="57" customFormat="1">
      <c r="B2721" s="1909" t="s">
        <v>695</v>
      </c>
      <c r="C2721" s="1700">
        <f>GT!C659</f>
        <v>0.93600000000000005</v>
      </c>
      <c r="D2721" s="679">
        <f>GT!D659</f>
        <v>0.91</v>
      </c>
      <c r="E2721" s="679">
        <f>GT!E659</f>
        <v>0.93200000000000005</v>
      </c>
      <c r="F2721" s="679">
        <f>GT!F659</f>
        <v>0.95899999999999996</v>
      </c>
      <c r="G2721" s="679">
        <f>GT!G659</f>
        <v>0.91100000000000003</v>
      </c>
      <c r="H2721" s="679">
        <f>GT!H659</f>
        <v>0.93</v>
      </c>
      <c r="I2721" s="679">
        <f>GT!I659</f>
        <v>0.78400000000000003</v>
      </c>
      <c r="J2721" s="679">
        <f>GT!J659</f>
        <v>0.45400000000000001</v>
      </c>
      <c r="K2721" s="1700">
        <v>-4.7812817904374212</v>
      </c>
      <c r="L2721" s="679">
        <f>IFERROR((D2721/C2721-1)*100,0)</f>
        <v>-2.777777777777779</v>
      </c>
      <c r="M2721" s="679">
        <f t="shared" ref="M2721:R2721" si="967">IFERROR((E2721/D2721-1)*100,0)</f>
        <v>2.417582417582409</v>
      </c>
      <c r="N2721" s="679">
        <f t="shared" si="967"/>
        <v>2.8969957081544928</v>
      </c>
      <c r="O2721" s="679">
        <f t="shared" si="967"/>
        <v>-5.0052137643378458</v>
      </c>
      <c r="P2721" s="679">
        <f t="shared" si="967"/>
        <v>2.0856201975850697</v>
      </c>
      <c r="Q2721" s="679">
        <f t="shared" si="967"/>
        <v>-15.698924731182796</v>
      </c>
      <c r="R2721" s="680">
        <f t="shared" si="967"/>
        <v>-42.091836734693878</v>
      </c>
      <c r="S2721"/>
    </row>
    <row r="2722" spans="2:19" s="57" customFormat="1">
      <c r="B2722" s="1916" t="s">
        <v>1299</v>
      </c>
      <c r="C2722" s="1700">
        <f>GT!C643</f>
        <v>3.6589999999999998</v>
      </c>
      <c r="D2722" s="679">
        <f>GT!D643</f>
        <v>3.395</v>
      </c>
      <c r="E2722" s="679">
        <f>GT!E643</f>
        <v>3.1739999999999999</v>
      </c>
      <c r="F2722" s="679">
        <f>GT!F643</f>
        <v>3.31</v>
      </c>
      <c r="G2722" s="679">
        <f>GT!G643</f>
        <v>3.125</v>
      </c>
      <c r="H2722" s="679">
        <f>GT!H643</f>
        <v>2.6269999999999998</v>
      </c>
      <c r="I2722" s="679">
        <f>GT!I643</f>
        <v>3.044</v>
      </c>
      <c r="J2722" s="679">
        <f>GT!J643</f>
        <v>2.2559999999999998</v>
      </c>
      <c r="K2722" s="1700">
        <v>-15.574526995846782</v>
      </c>
      <c r="L2722" s="679">
        <f t="shared" ref="L2722:L2723" si="968">IFERROR((D2722/C2722-1)*100,0)</f>
        <v>-7.2150860890953794</v>
      </c>
      <c r="M2722" s="679">
        <f t="shared" ref="M2722:M2723" si="969">IFERROR((E2722/D2722-1)*100,0)</f>
        <v>-6.5095729013254777</v>
      </c>
      <c r="N2722" s="679">
        <f t="shared" ref="N2722:N2723" si="970">IFERROR((F2722/E2722-1)*100,0)</f>
        <v>4.2848141146818008</v>
      </c>
      <c r="O2722" s="679">
        <f t="shared" ref="O2722:O2723" si="971">IFERROR((G2722/F2722-1)*100,0)</f>
        <v>-5.5891238670694898</v>
      </c>
      <c r="P2722" s="679">
        <f t="shared" ref="P2722:P2723" si="972">IFERROR((H2722/G2722-1)*100,0)</f>
        <v>-15.936000000000005</v>
      </c>
      <c r="Q2722" s="679">
        <f t="shared" ref="Q2722:Q2723" si="973">IFERROR((I2722/H2722-1)*100,0)</f>
        <v>15.873620098972218</v>
      </c>
      <c r="R2722" s="680">
        <f t="shared" ref="R2722:R2723" si="974">IFERROR((J2722/I2722-1)*100,0)</f>
        <v>-25.886990801576882</v>
      </c>
      <c r="S2722"/>
    </row>
    <row r="2723" spans="2:19" s="57" customFormat="1">
      <c r="B2723" s="1916" t="s">
        <v>1301</v>
      </c>
      <c r="C2723" s="1700">
        <f>GT!C675</f>
        <v>9.6669999999999998</v>
      </c>
      <c r="D2723" s="679">
        <f>GT!D675</f>
        <v>9.2420000000000009</v>
      </c>
      <c r="E2723" s="679">
        <f>GT!E675</f>
        <v>8.2959999999999994</v>
      </c>
      <c r="F2723" s="679">
        <f>GT!F675</f>
        <v>3.7469999999999999</v>
      </c>
      <c r="G2723" s="679">
        <f>GT!G675</f>
        <v>7.4079999999999995</v>
      </c>
      <c r="H2723" s="679">
        <f>GT!H675</f>
        <v>3.4180000000000001</v>
      </c>
      <c r="I2723" s="679">
        <f>GT!I675</f>
        <v>4.0209999999999999</v>
      </c>
      <c r="J2723" s="679">
        <f>GT!J675</f>
        <v>4.6890000000000001</v>
      </c>
      <c r="K2723" s="1700">
        <v>-1.5179299103504464</v>
      </c>
      <c r="L2723" s="679">
        <f t="shared" si="968"/>
        <v>-4.3964001241336366</v>
      </c>
      <c r="M2723" s="679">
        <f t="shared" si="969"/>
        <v>-10.235879679723014</v>
      </c>
      <c r="N2723" s="679">
        <f t="shared" si="970"/>
        <v>-54.833654773384751</v>
      </c>
      <c r="O2723" s="679">
        <f t="shared" si="971"/>
        <v>97.704830531091531</v>
      </c>
      <c r="P2723" s="679">
        <f t="shared" si="972"/>
        <v>-53.860691144708419</v>
      </c>
      <c r="Q2723" s="679">
        <f t="shared" si="973"/>
        <v>17.641895845523692</v>
      </c>
      <c r="R2723" s="680">
        <f t="shared" si="974"/>
        <v>16.612782889828416</v>
      </c>
      <c r="S2723"/>
    </row>
    <row r="2724" spans="2:19" s="57" customFormat="1">
      <c r="B2724" s="1916"/>
      <c r="C2724" s="1700"/>
      <c r="D2724" s="679"/>
      <c r="E2724" s="679"/>
      <c r="F2724" s="679"/>
      <c r="G2724" s="679"/>
      <c r="H2724" s="679"/>
      <c r="I2724" s="679"/>
      <c r="J2724" s="679"/>
      <c r="K2724" s="1700"/>
      <c r="L2724" s="679"/>
      <c r="M2724" s="679"/>
      <c r="N2724" s="679"/>
      <c r="O2724" s="679"/>
      <c r="P2724" s="679"/>
      <c r="Q2724" s="679"/>
      <c r="R2724" s="1708"/>
      <c r="S2724"/>
    </row>
    <row r="2725" spans="2:19" s="57" customFormat="1">
      <c r="B2725" s="1754" t="s">
        <v>1050</v>
      </c>
      <c r="C2725" s="1700"/>
      <c r="D2725" s="679"/>
      <c r="E2725" s="679"/>
      <c r="F2725" s="679"/>
      <c r="G2725" s="679"/>
      <c r="H2725" s="679"/>
      <c r="I2725" s="679"/>
      <c r="J2725" s="679"/>
      <c r="K2725" s="1700"/>
      <c r="L2725" s="679"/>
      <c r="M2725" s="679"/>
      <c r="N2725" s="679"/>
      <c r="O2725" s="679"/>
      <c r="P2725" s="679"/>
      <c r="Q2725" s="679"/>
      <c r="R2725" s="1708"/>
      <c r="S2725"/>
    </row>
    <row r="2726" spans="2:19" s="57" customFormat="1">
      <c r="B2726" s="1916" t="s">
        <v>1303</v>
      </c>
      <c r="C2726" s="1700">
        <f>HN!C531</f>
        <v>0.308</v>
      </c>
      <c r="D2726" s="679">
        <f>HN!D531</f>
        <v>0.378</v>
      </c>
      <c r="E2726" s="679">
        <f>HN!E531</f>
        <v>0.47499999999999998</v>
      </c>
      <c r="F2726" s="679">
        <f>HN!F531</f>
        <v>0.46399999999999997</v>
      </c>
      <c r="G2726" s="679">
        <f>HN!G531</f>
        <v>0.39499999999999996</v>
      </c>
      <c r="H2726" s="679">
        <f>HN!H531</f>
        <v>0.505</v>
      </c>
      <c r="I2726" s="679">
        <f>HN!I531</f>
        <v>0.745</v>
      </c>
      <c r="J2726" s="679">
        <f>HN!J531</f>
        <v>0.42499999999999999</v>
      </c>
      <c r="K2726" s="1700">
        <v>0</v>
      </c>
      <c r="L2726" s="679">
        <f>IFERROR((D2726/C2726-1)*100,0)</f>
        <v>22.72727272727273</v>
      </c>
      <c r="M2726" s="679">
        <f t="shared" ref="M2726:R2726" si="975">IFERROR((E2726/D2726-1)*100,0)</f>
        <v>25.661375661375651</v>
      </c>
      <c r="N2726" s="679">
        <f t="shared" si="975"/>
        <v>-2.3157894736842155</v>
      </c>
      <c r="O2726" s="679">
        <f t="shared" si="975"/>
        <v>-14.87068965517242</v>
      </c>
      <c r="P2726" s="679">
        <f t="shared" si="975"/>
        <v>27.848101265822798</v>
      </c>
      <c r="Q2726" s="679">
        <f t="shared" si="975"/>
        <v>47.524752475247524</v>
      </c>
      <c r="R2726" s="680">
        <f t="shared" si="975"/>
        <v>-42.95302013422819</v>
      </c>
      <c r="S2726"/>
    </row>
    <row r="2727" spans="2:19" s="57" customFormat="1">
      <c r="B2727" s="1910" t="s">
        <v>1592</v>
      </c>
      <c r="C2727" s="1700">
        <f>HN!C547</f>
        <v>0</v>
      </c>
      <c r="D2727" s="679">
        <f>HN!D547</f>
        <v>0</v>
      </c>
      <c r="E2727" s="679">
        <f>HN!E547</f>
        <v>0</v>
      </c>
      <c r="F2727" s="679">
        <f>HN!F547</f>
        <v>0</v>
      </c>
      <c r="G2727" s="679">
        <f>HN!G547</f>
        <v>0</v>
      </c>
      <c r="H2727" s="679">
        <f>HN!H547</f>
        <v>0</v>
      </c>
      <c r="I2727" s="679">
        <f>HN!I547</f>
        <v>0</v>
      </c>
      <c r="J2727" s="679">
        <f>HN!J547</f>
        <v>0</v>
      </c>
      <c r="K2727" s="1700">
        <v>0</v>
      </c>
      <c r="L2727" s="679">
        <f>IFERROR((D2727/C2727-1)*100,0)</f>
        <v>0</v>
      </c>
      <c r="M2727" s="679">
        <f t="shared" ref="M2727" si="976">IFERROR((E2727/D2727-1)*100,0)</f>
        <v>0</v>
      </c>
      <c r="N2727" s="679">
        <f t="shared" ref="N2727" si="977">IFERROR((F2727/E2727-1)*100,0)</f>
        <v>0</v>
      </c>
      <c r="O2727" s="679">
        <f t="shared" ref="O2727" si="978">IFERROR((G2727/F2727-1)*100,0)</f>
        <v>0</v>
      </c>
      <c r="P2727" s="679">
        <f t="shared" ref="P2727" si="979">IFERROR((H2727/G2727-1)*100,0)</f>
        <v>0</v>
      </c>
      <c r="Q2727" s="679">
        <f t="shared" ref="Q2727" si="980">IFERROR((I2727/H2727-1)*100,0)</f>
        <v>0</v>
      </c>
      <c r="R2727" s="680">
        <f t="shared" ref="R2727" si="981">IFERROR((J2727/I2727-1)*100,0)</f>
        <v>0</v>
      </c>
      <c r="S2727"/>
    </row>
    <row r="2728" spans="2:19" s="57" customFormat="1">
      <c r="B2728" s="1916"/>
      <c r="C2728" s="1700"/>
      <c r="D2728" s="679"/>
      <c r="E2728" s="679"/>
      <c r="F2728" s="679"/>
      <c r="G2728" s="679"/>
      <c r="H2728" s="679"/>
      <c r="I2728" s="679"/>
      <c r="J2728" s="679"/>
      <c r="K2728" s="1700"/>
      <c r="L2728" s="679"/>
      <c r="M2728" s="679"/>
      <c r="N2728" s="679"/>
      <c r="O2728" s="679"/>
      <c r="P2728" s="679"/>
      <c r="Q2728" s="679"/>
      <c r="R2728" s="1708"/>
      <c r="S2728" s="59"/>
    </row>
    <row r="2729" spans="2:19" s="57" customFormat="1">
      <c r="B2729" s="1754" t="s">
        <v>1051</v>
      </c>
      <c r="C2729" s="1700"/>
      <c r="D2729" s="679"/>
      <c r="E2729" s="679"/>
      <c r="F2729" s="679"/>
      <c r="G2729" s="679"/>
      <c r="H2729" s="679"/>
      <c r="I2729" s="679"/>
      <c r="J2729" s="679"/>
      <c r="K2729" s="1700"/>
      <c r="L2729" s="679"/>
      <c r="M2729" s="679"/>
      <c r="N2729" s="679"/>
      <c r="O2729" s="679"/>
      <c r="P2729" s="679"/>
      <c r="Q2729" s="679"/>
      <c r="R2729" s="1708"/>
      <c r="S2729"/>
    </row>
    <row r="2730" spans="2:19" s="57" customFormat="1">
      <c r="B2730" s="1910" t="s">
        <v>1318</v>
      </c>
      <c r="C2730" s="1700">
        <f>JM!C523</f>
        <v>0</v>
      </c>
      <c r="D2730" s="679">
        <f>JM!D523</f>
        <v>0</v>
      </c>
      <c r="E2730" s="679">
        <f>JM!E523</f>
        <v>0</v>
      </c>
      <c r="F2730" s="679">
        <f>JM!F523</f>
        <v>0</v>
      </c>
      <c r="G2730" s="679">
        <f>JM!G523</f>
        <v>0</v>
      </c>
      <c r="H2730" s="679">
        <f>JM!H523</f>
        <v>0</v>
      </c>
      <c r="I2730" s="679">
        <f>JM!I523</f>
        <v>0</v>
      </c>
      <c r="J2730" s="679">
        <f>JM!J523</f>
        <v>0</v>
      </c>
      <c r="K2730" s="1700">
        <v>-19.213820535818741</v>
      </c>
      <c r="L2730" s="679">
        <f>IFERROR((D2730/C2730-1)*100,0)</f>
        <v>0</v>
      </c>
      <c r="M2730" s="679">
        <f t="shared" ref="M2730:R2730" si="982">IFERROR((E2730/D2730-1)*100,0)</f>
        <v>0</v>
      </c>
      <c r="N2730" s="679">
        <f t="shared" si="982"/>
        <v>0</v>
      </c>
      <c r="O2730" s="679">
        <f t="shared" si="982"/>
        <v>0</v>
      </c>
      <c r="P2730" s="679">
        <f t="shared" si="982"/>
        <v>0</v>
      </c>
      <c r="Q2730" s="679">
        <f t="shared" si="982"/>
        <v>0</v>
      </c>
      <c r="R2730" s="680">
        <f t="shared" si="982"/>
        <v>0</v>
      </c>
      <c r="S2730"/>
    </row>
    <row r="2731" spans="2:19" s="57" customFormat="1">
      <c r="B2731" s="1910"/>
      <c r="C2731" s="1700"/>
      <c r="D2731" s="679"/>
      <c r="E2731" s="679"/>
      <c r="F2731" s="679"/>
      <c r="G2731" s="679"/>
      <c r="H2731" s="679"/>
      <c r="I2731" s="679"/>
      <c r="J2731" s="679"/>
      <c r="K2731" s="1700"/>
      <c r="L2731" s="679"/>
      <c r="M2731" s="679"/>
      <c r="N2731" s="679"/>
      <c r="O2731" s="679"/>
      <c r="P2731" s="679"/>
      <c r="Q2731" s="679"/>
      <c r="R2731" s="680"/>
      <c r="S2731"/>
    </row>
    <row r="2732" spans="2:19" s="57" customFormat="1">
      <c r="B2732" s="1754" t="s">
        <v>1052</v>
      </c>
      <c r="C2732" s="1700"/>
      <c r="D2732" s="679"/>
      <c r="E2732" s="679"/>
      <c r="F2732" s="679"/>
      <c r="G2732" s="679"/>
      <c r="H2732" s="679"/>
      <c r="I2732" s="679"/>
      <c r="J2732" s="679"/>
      <c r="K2732" s="1700"/>
      <c r="L2732" s="679"/>
      <c r="M2732" s="679"/>
      <c r="N2732" s="679"/>
      <c r="O2732" s="679"/>
      <c r="P2732" s="679"/>
      <c r="Q2732" s="679"/>
      <c r="R2732" s="1708"/>
      <c r="S2732"/>
    </row>
    <row r="2733" spans="2:19" s="57" customFormat="1">
      <c r="B2733" s="1909" t="s">
        <v>689</v>
      </c>
      <c r="C2733" s="1700">
        <f>RD!C561</f>
        <v>53589</v>
      </c>
      <c r="D2733" s="679">
        <f>RD!D561</f>
        <v>94021</v>
      </c>
      <c r="E2733" s="679">
        <f>RD!E561</f>
        <v>147611</v>
      </c>
      <c r="F2733" s="679">
        <f>RD!F561</f>
        <v>193288</v>
      </c>
      <c r="G2733" s="679">
        <f>RD!G561</f>
        <v>267986</v>
      </c>
      <c r="H2733" s="679">
        <f>RD!H561</f>
        <v>266351</v>
      </c>
      <c r="I2733" s="679">
        <f>RD!I561</f>
        <v>239949</v>
      </c>
      <c r="J2733" s="679">
        <f>RD!J561</f>
        <v>273209</v>
      </c>
      <c r="K2733" s="1700">
        <v>84.503356860044747</v>
      </c>
      <c r="L2733" s="679">
        <f>IFERROR((D2733/C2733-1)*100,0)</f>
        <v>75.448319617832027</v>
      </c>
      <c r="M2733" s="679">
        <f t="shared" ref="M2733:R2733" si="983">IFERROR((E2733/D2733-1)*100,0)</f>
        <v>56.997904723412859</v>
      </c>
      <c r="N2733" s="679">
        <f t="shared" si="983"/>
        <v>30.94417082737737</v>
      </c>
      <c r="O2733" s="679">
        <f t="shared" si="983"/>
        <v>38.645958362650546</v>
      </c>
      <c r="P2733" s="679">
        <f t="shared" si="983"/>
        <v>-0.61010649810064876</v>
      </c>
      <c r="Q2733" s="679">
        <f t="shared" si="983"/>
        <v>-9.9124839028199681</v>
      </c>
      <c r="R2733" s="680">
        <f t="shared" si="983"/>
        <v>13.861278855090031</v>
      </c>
      <c r="S2733"/>
    </row>
    <row r="2734" spans="2:19" s="57" customFormat="1">
      <c r="B2734" s="1910"/>
      <c r="C2734" s="1700"/>
      <c r="D2734" s="679"/>
      <c r="E2734" s="679"/>
      <c r="F2734" s="679"/>
      <c r="G2734" s="679"/>
      <c r="H2734" s="679"/>
      <c r="I2734" s="679"/>
      <c r="J2734" s="679"/>
      <c r="K2734" s="1700"/>
      <c r="L2734" s="679"/>
      <c r="M2734" s="679"/>
      <c r="N2734" s="679"/>
      <c r="O2734" s="679"/>
      <c r="P2734" s="679"/>
      <c r="Q2734" s="679"/>
      <c r="R2734" s="1708"/>
      <c r="S2734"/>
    </row>
    <row r="2735" spans="2:19" s="57" customFormat="1">
      <c r="B2735" s="1754" t="s">
        <v>1053</v>
      </c>
      <c r="C2735" s="1700"/>
      <c r="D2735" s="679"/>
      <c r="E2735" s="679"/>
      <c r="F2735" s="679"/>
      <c r="G2735" s="679"/>
      <c r="H2735" s="679"/>
      <c r="I2735" s="679"/>
      <c r="J2735" s="679"/>
      <c r="K2735" s="1700"/>
      <c r="L2735" s="679"/>
      <c r="M2735" s="679"/>
      <c r="N2735" s="679"/>
      <c r="O2735" s="679"/>
      <c r="P2735" s="679"/>
      <c r="Q2735" s="679"/>
      <c r="R2735" s="1708"/>
      <c r="S2735"/>
    </row>
    <row r="2736" spans="2:19" s="57" customFormat="1">
      <c r="B2736" s="1917" t="s">
        <v>1306</v>
      </c>
      <c r="C2736" s="1700">
        <f>PY!C849</f>
        <v>3.5470000000000002</v>
      </c>
      <c r="D2736" s="679">
        <f>PY!D849</f>
        <v>11.1</v>
      </c>
      <c r="E2736" s="679">
        <f>PY!E849</f>
        <v>9.0399999999999991</v>
      </c>
      <c r="F2736" s="679">
        <f>PY!F849</f>
        <v>20.931000000000001</v>
      </c>
      <c r="G2736" s="679">
        <f>PY!G849</f>
        <v>37.834999999999994</v>
      </c>
      <c r="H2736" s="679">
        <f>PY!H849</f>
        <v>34.07</v>
      </c>
      <c r="I2736" s="679">
        <f>PY!I849</f>
        <v>15.961</v>
      </c>
      <c r="J2736" s="679">
        <f>PY!J849</f>
        <v>28.634</v>
      </c>
      <c r="K2736" s="1700">
        <v>961.97604790419155</v>
      </c>
      <c r="L2736" s="679">
        <f>IFERROR((D2736/C2736-1)*100,0)</f>
        <v>212.94051310967012</v>
      </c>
      <c r="M2736" s="679">
        <f t="shared" ref="M2736:R2736" si="984">IFERROR((E2736/D2736-1)*100,0)</f>
        <v>-18.55855855855857</v>
      </c>
      <c r="N2736" s="679">
        <f t="shared" si="984"/>
        <v>131.53761061946904</v>
      </c>
      <c r="O2736" s="679">
        <f t="shared" si="984"/>
        <v>80.760594333763279</v>
      </c>
      <c r="P2736" s="679">
        <f t="shared" si="984"/>
        <v>-9.9511034756177956</v>
      </c>
      <c r="Q2736" s="679">
        <f t="shared" si="984"/>
        <v>-53.152333431171115</v>
      </c>
      <c r="R2736" s="680">
        <f t="shared" si="984"/>
        <v>79.399786980765612</v>
      </c>
      <c r="S2736"/>
    </row>
    <row r="2737" spans="2:19" s="57" customFormat="1">
      <c r="B2737" s="1917" t="s">
        <v>1319</v>
      </c>
      <c r="C2737" s="1700">
        <f>PY!C865</f>
        <v>0</v>
      </c>
      <c r="D2737" s="679">
        <f>PY!D865</f>
        <v>5.2560000000000002</v>
      </c>
      <c r="E2737" s="679">
        <f>PY!E865</f>
        <v>7.6280000000000001</v>
      </c>
      <c r="F2737" s="679">
        <f>PY!F865</f>
        <v>6.3190000000000008</v>
      </c>
      <c r="G2737" s="679">
        <f>PY!G865</f>
        <v>6.2080000000000002</v>
      </c>
      <c r="H2737" s="679">
        <f>PY!H865</f>
        <v>10.009467000000001</v>
      </c>
      <c r="I2737" s="679">
        <f>PY!I865</f>
        <v>11.291</v>
      </c>
      <c r="J2737" s="679">
        <f>PY!J865</f>
        <v>11.816000000000001</v>
      </c>
      <c r="K2737" s="1700">
        <v>17.237869019341701</v>
      </c>
      <c r="L2737" s="679">
        <f>IFERROR((D2737/C2737-1)*100,0)</f>
        <v>0</v>
      </c>
      <c r="M2737" s="679">
        <f t="shared" ref="M2737" si="985">IFERROR((E2737/D2737-1)*100,0)</f>
        <v>45.12937595129376</v>
      </c>
      <c r="N2737" s="679">
        <f t="shared" ref="N2737" si="986">IFERROR((F2737/E2737-1)*100,0)</f>
        <v>-17.16046145778709</v>
      </c>
      <c r="O2737" s="679">
        <f t="shared" ref="O2737" si="987">IFERROR((G2737/F2737-1)*100,0)</f>
        <v>-1.7566070580788185</v>
      </c>
      <c r="P2737" s="679">
        <f t="shared" ref="P2737" si="988">IFERROR((H2737/G2737-1)*100,0)</f>
        <v>61.234971005154648</v>
      </c>
      <c r="Q2737" s="679">
        <f t="shared" ref="Q2737" si="989">IFERROR((I2737/H2737-1)*100,0)</f>
        <v>12.80320920184861</v>
      </c>
      <c r="R2737" s="680">
        <f t="shared" ref="R2737" si="990">IFERROR((J2737/I2737-1)*100,0)</f>
        <v>4.6497210167389946</v>
      </c>
      <c r="S2737"/>
    </row>
    <row r="2738" spans="2:19" s="57" customFormat="1">
      <c r="B2738" s="1917"/>
      <c r="C2738" s="1700"/>
      <c r="D2738" s="679"/>
      <c r="E2738" s="679"/>
      <c r="F2738" s="679"/>
      <c r="G2738" s="679"/>
      <c r="H2738" s="679"/>
      <c r="I2738" s="679"/>
      <c r="J2738" s="679"/>
      <c r="K2738" s="1700"/>
      <c r="L2738" s="679"/>
      <c r="M2738" s="679"/>
      <c r="N2738" s="679"/>
      <c r="O2738" s="679"/>
      <c r="P2738" s="679"/>
      <c r="Q2738" s="679"/>
      <c r="R2738" s="1708"/>
      <c r="S2738"/>
    </row>
    <row r="2739" spans="2:19" s="57" customFormat="1">
      <c r="B2739" s="1754" t="s">
        <v>1054</v>
      </c>
      <c r="C2739" s="1700"/>
      <c r="D2739" s="679"/>
      <c r="E2739" s="679"/>
      <c r="F2739" s="679"/>
      <c r="G2739" s="679"/>
      <c r="H2739" s="679"/>
      <c r="I2739" s="679"/>
      <c r="J2739" s="679"/>
      <c r="K2739" s="1700"/>
      <c r="L2739" s="679"/>
      <c r="M2739" s="679"/>
      <c r="N2739" s="679"/>
      <c r="O2739" s="679"/>
      <c r="P2739" s="679"/>
      <c r="Q2739" s="679"/>
      <c r="R2739" s="1708"/>
      <c r="S2739"/>
    </row>
    <row r="2740" spans="2:19" s="57" customFormat="1">
      <c r="B2740" s="1917" t="s">
        <v>1497</v>
      </c>
      <c r="C2740" s="1700">
        <f>PE!C480</f>
        <v>199.99</v>
      </c>
      <c r="D2740" s="679">
        <f>PE!D480</f>
        <v>110.035</v>
      </c>
      <c r="E2740" s="679">
        <f>PE!E480</f>
        <v>143.95699999999999</v>
      </c>
      <c r="F2740" s="679">
        <f>PE!F480</f>
        <v>176.41600000000003</v>
      </c>
      <c r="G2740" s="679">
        <f>PE!G480</f>
        <v>131.048</v>
      </c>
      <c r="H2740" s="679">
        <f>PE!H480</f>
        <v>101.363</v>
      </c>
      <c r="I2740" s="679">
        <f>PE!I480</f>
        <v>128.624</v>
      </c>
      <c r="J2740" s="679">
        <f>PE!J480</f>
        <v>163.89399999999998</v>
      </c>
      <c r="K2740" s="1700">
        <v>-6.5248889927553178</v>
      </c>
      <c r="L2740" s="679">
        <f>IFERROR((D2740/C2740-1)*100,0)</f>
        <v>-44.979748987449376</v>
      </c>
      <c r="M2740" s="679">
        <f t="shared" ref="M2740:R2740" si="991">IFERROR((E2740/D2740-1)*100,0)</f>
        <v>30.828372790475768</v>
      </c>
      <c r="N2740" s="679">
        <f t="shared" si="991"/>
        <v>22.547705217530268</v>
      </c>
      <c r="O2740" s="679">
        <f t="shared" si="991"/>
        <v>-25.716488300380924</v>
      </c>
      <c r="P2740" s="679">
        <f t="shared" si="991"/>
        <v>-22.652005372077411</v>
      </c>
      <c r="Q2740" s="679">
        <f t="shared" si="991"/>
        <v>26.894428933634561</v>
      </c>
      <c r="R2740" s="680">
        <f t="shared" si="991"/>
        <v>27.421010075880069</v>
      </c>
      <c r="S2740"/>
    </row>
    <row r="2741" spans="2:19" s="57" customFormat="1">
      <c r="B2741" s="1909"/>
      <c r="C2741" s="1700"/>
      <c r="D2741" s="679"/>
      <c r="E2741" s="679"/>
      <c r="F2741" s="679"/>
      <c r="G2741" s="679"/>
      <c r="H2741" s="679"/>
      <c r="I2741" s="679"/>
      <c r="J2741" s="679"/>
      <c r="K2741" s="1700"/>
      <c r="L2741" s="679"/>
      <c r="M2741" s="679"/>
      <c r="N2741" s="679"/>
      <c r="O2741" s="679"/>
      <c r="P2741" s="679"/>
      <c r="Q2741" s="679"/>
      <c r="R2741" s="1708"/>
      <c r="S2741"/>
    </row>
    <row r="2742" spans="2:19" s="57" customFormat="1">
      <c r="B2742" s="1754" t="s">
        <v>1055</v>
      </c>
      <c r="C2742" s="1700"/>
      <c r="D2742" s="679"/>
      <c r="E2742" s="679"/>
      <c r="F2742" s="679"/>
      <c r="G2742" s="679"/>
      <c r="H2742" s="679"/>
      <c r="I2742" s="679"/>
      <c r="J2742" s="679"/>
      <c r="K2742" s="1700"/>
      <c r="L2742" s="679"/>
      <c r="M2742" s="679"/>
      <c r="N2742" s="679"/>
      <c r="O2742" s="679"/>
      <c r="P2742" s="679"/>
      <c r="Q2742" s="679"/>
      <c r="R2742" s="1708"/>
      <c r="S2742"/>
    </row>
    <row r="2743" spans="2:19" s="57" customFormat="1" ht="25">
      <c r="B2743" s="1909" t="s">
        <v>1852</v>
      </c>
      <c r="C2743" s="1700">
        <f>TT!C578</f>
        <v>13.89</v>
      </c>
      <c r="D2743" s="679">
        <f>TT!D578</f>
        <v>12.55</v>
      </c>
      <c r="E2743" s="679">
        <f>TT!E578</f>
        <v>11.92</v>
      </c>
      <c r="F2743" s="679">
        <f>TT!F578</f>
        <v>12.52</v>
      </c>
      <c r="G2743" s="679">
        <f>TT!G578</f>
        <v>13.92</v>
      </c>
      <c r="H2743" s="679">
        <f>TT!H578</f>
        <v>14.67</v>
      </c>
      <c r="I2743" s="679">
        <f>TT!I578</f>
        <v>14.15</v>
      </c>
      <c r="J2743" s="679">
        <f>TT!J578</f>
        <v>17.501999999999999</v>
      </c>
      <c r="K2743" s="1700">
        <v>-2.3819561551433388</v>
      </c>
      <c r="L2743" s="679">
        <f>IFERROR((D2743/C2743-1)*100,0)</f>
        <v>-9.6472282217422549</v>
      </c>
      <c r="M2743" s="679">
        <f t="shared" ref="M2743:R2743" si="992">IFERROR((E2743/D2743-1)*100,0)</f>
        <v>-5.0199203187251022</v>
      </c>
      <c r="N2743" s="679">
        <f t="shared" si="992"/>
        <v>5.033557046979853</v>
      </c>
      <c r="O2743" s="679">
        <f t="shared" si="992"/>
        <v>11.182108626198083</v>
      </c>
      <c r="P2743" s="679">
        <f t="shared" si="992"/>
        <v>5.3879310344827624</v>
      </c>
      <c r="Q2743" s="679">
        <f t="shared" si="992"/>
        <v>-3.5446489434219464</v>
      </c>
      <c r="R2743" s="680">
        <f t="shared" si="992"/>
        <v>23.689045936395758</v>
      </c>
      <c r="S2743"/>
    </row>
    <row r="2744" spans="2:19" s="57" customFormat="1">
      <c r="B2744" s="758" t="s">
        <v>1309</v>
      </c>
      <c r="C2744" s="691">
        <f>TT!C594</f>
        <v>0</v>
      </c>
      <c r="D2744" s="692">
        <f>TT!D594</f>
        <v>1.1399999999999999</v>
      </c>
      <c r="E2744" s="692">
        <f>TT!E594</f>
        <v>1.8160000000000001</v>
      </c>
      <c r="F2744" s="692">
        <f>TT!F594</f>
        <v>1.5</v>
      </c>
      <c r="G2744" s="692">
        <f>TT!G594</f>
        <v>1.774</v>
      </c>
      <c r="H2744" s="692">
        <f>TT!H594</f>
        <v>1.548</v>
      </c>
      <c r="I2744" s="692">
        <f>TT!I594</f>
        <v>1.26</v>
      </c>
      <c r="J2744" s="692">
        <f>TT!J594</f>
        <v>0.71199999999999997</v>
      </c>
      <c r="K2744" s="691">
        <v>24.680851063829778</v>
      </c>
      <c r="L2744" s="692">
        <f>IFERROR((D2744/C2744-1)*100,0)</f>
        <v>0</v>
      </c>
      <c r="M2744" s="692">
        <f t="shared" ref="M2744" si="993">IFERROR((E2744/D2744-1)*100,0)</f>
        <v>59.298245614035118</v>
      </c>
      <c r="N2744" s="692">
        <f t="shared" ref="N2744" si="994">IFERROR((F2744/E2744-1)*100,0)</f>
        <v>-17.400881057268723</v>
      </c>
      <c r="O2744" s="692">
        <f t="shared" ref="O2744" si="995">IFERROR((G2744/F2744-1)*100,0)</f>
        <v>18.266666666666676</v>
      </c>
      <c r="P2744" s="692">
        <f t="shared" ref="P2744" si="996">IFERROR((H2744/G2744-1)*100,0)</f>
        <v>-12.739571589627962</v>
      </c>
      <c r="Q2744" s="692">
        <f t="shared" ref="Q2744" si="997">IFERROR((I2744/H2744-1)*100,0)</f>
        <v>-18.604651162790699</v>
      </c>
      <c r="R2744" s="693">
        <f t="shared" ref="R2744" si="998">IFERROR((J2744/I2744-1)*100,0)</f>
        <v>-43.492063492063494</v>
      </c>
      <c r="S2744"/>
    </row>
    <row r="2745" spans="2:19" s="57" customFormat="1">
      <c r="B2745" s="619"/>
      <c r="C2745" s="644"/>
      <c r="D2745" s="644"/>
      <c r="E2745" s="644"/>
      <c r="F2745" s="644"/>
      <c r="G2745" s="644"/>
      <c r="H2745" s="644"/>
      <c r="I2745" s="644"/>
      <c r="J2745" s="644"/>
      <c r="K2745" s="644"/>
      <c r="L2745" s="644"/>
      <c r="M2745" s="644"/>
      <c r="N2745" s="644"/>
      <c r="O2745" s="644"/>
      <c r="P2745" s="644"/>
      <c r="Q2745" s="644"/>
      <c r="R2745"/>
      <c r="S2745"/>
    </row>
    <row r="2746" spans="2:19" s="57" customFormat="1">
      <c r="B2746" s="2158" t="s">
        <v>750</v>
      </c>
      <c r="C2746" s="2158"/>
      <c r="D2746" s="2158"/>
      <c r="E2746" s="2158"/>
      <c r="F2746" s="2158"/>
      <c r="G2746" s="2158"/>
      <c r="H2746" s="2158"/>
      <c r="I2746" s="2158"/>
      <c r="J2746" s="2158"/>
      <c r="K2746" s="2158"/>
      <c r="L2746" s="2158"/>
      <c r="M2746" s="2158"/>
      <c r="N2746" s="2158"/>
      <c r="O2746" s="2158"/>
      <c r="P2746" s="2158"/>
      <c r="Q2746" s="2158"/>
      <c r="R2746" s="2158"/>
      <c r="S2746"/>
    </row>
    <row r="2747" spans="2:19" s="57" customFormat="1">
      <c r="B2747" s="2243" t="s">
        <v>749</v>
      </c>
      <c r="C2747" s="2243"/>
      <c r="D2747" s="2243"/>
      <c r="E2747" s="2243"/>
      <c r="F2747" s="2243"/>
      <c r="G2747" s="2243"/>
      <c r="H2747" s="2243"/>
      <c r="I2747" s="2243"/>
      <c r="J2747" s="2243"/>
      <c r="K2747" s="2243"/>
      <c r="L2747" s="2243"/>
      <c r="M2747" s="2243"/>
      <c r="N2747" s="2243"/>
      <c r="O2747" s="2243"/>
      <c r="P2747" s="2243"/>
      <c r="Q2747" s="2243"/>
      <c r="R2747" s="2243"/>
      <c r="S2747"/>
    </row>
    <row r="2748" spans="2:19" s="57" customFormat="1">
      <c r="B2748" s="759" t="s">
        <v>1098</v>
      </c>
      <c r="C2748" s="760"/>
      <c r="D2748" s="760"/>
      <c r="E2748" s="644"/>
      <c r="F2748" s="644"/>
      <c r="G2748" s="644"/>
      <c r="H2748" s="644"/>
      <c r="I2748" s="644"/>
      <c r="J2748" s="644"/>
      <c r="K2748" s="644"/>
      <c r="L2748" s="644"/>
      <c r="M2748" s="644"/>
      <c r="N2748" s="644"/>
      <c r="O2748" s="644"/>
      <c r="P2748" s="644"/>
      <c r="Q2748" s="644"/>
      <c r="R2748"/>
      <c r="S2748"/>
    </row>
    <row r="2749" spans="2:19" s="57" customFormat="1">
      <c r="B2749" s="580" t="s">
        <v>2138</v>
      </c>
      <c r="C2749" s="760"/>
      <c r="D2749" s="760"/>
      <c r="E2749" s="644"/>
      <c r="F2749" s="644"/>
      <c r="G2749" s="644"/>
      <c r="H2749" s="644"/>
      <c r="I2749" s="644"/>
      <c r="J2749" s="644"/>
      <c r="K2749" s="644"/>
      <c r="L2749" s="644"/>
      <c r="M2749" s="644"/>
      <c r="N2749" s="644"/>
      <c r="O2749" s="644"/>
      <c r="P2749" s="644"/>
      <c r="Q2749" s="644"/>
      <c r="R2749"/>
      <c r="S2749"/>
    </row>
    <row r="2750" spans="2:19" s="57" customFormat="1">
      <c r="B2750" s="2248" t="s">
        <v>11</v>
      </c>
      <c r="C2750" s="2230" t="s">
        <v>1320</v>
      </c>
      <c r="D2750" s="2231"/>
      <c r="E2750" s="2231"/>
      <c r="F2750" s="2231"/>
      <c r="G2750" s="2231"/>
      <c r="H2750" s="2231"/>
      <c r="I2750" s="2231"/>
      <c r="J2750" s="2232"/>
      <c r="K2750" s="2230" t="s">
        <v>1321</v>
      </c>
      <c r="L2750" s="2231"/>
      <c r="M2750" s="2231"/>
      <c r="N2750" s="2231"/>
      <c r="O2750" s="2231"/>
      <c r="P2750" s="2231"/>
      <c r="Q2750" s="2231"/>
      <c r="R2750" s="2232"/>
      <c r="S2750"/>
    </row>
    <row r="2751" spans="2:19" s="57" customFormat="1">
      <c r="B2751" s="2252"/>
      <c r="C2751" s="587">
        <v>2014</v>
      </c>
      <c r="D2751" s="588">
        <v>2015</v>
      </c>
      <c r="E2751" s="588">
        <v>2016</v>
      </c>
      <c r="F2751" s="588">
        <v>2017</v>
      </c>
      <c r="G2751" s="588">
        <v>2018</v>
      </c>
      <c r="H2751" s="588">
        <v>2019</v>
      </c>
      <c r="I2751" s="588">
        <v>2020</v>
      </c>
      <c r="J2751" s="588">
        <v>2021</v>
      </c>
      <c r="K2751" s="587">
        <v>2014</v>
      </c>
      <c r="L2751" s="588">
        <v>2015</v>
      </c>
      <c r="M2751" s="588">
        <v>2016</v>
      </c>
      <c r="N2751" s="588">
        <v>2017</v>
      </c>
      <c r="O2751" s="588">
        <v>2018</v>
      </c>
      <c r="P2751" s="588">
        <v>2019</v>
      </c>
      <c r="Q2751" s="588">
        <v>2020</v>
      </c>
      <c r="R2751" s="848">
        <v>2021</v>
      </c>
      <c r="S2751"/>
    </row>
    <row r="2752" spans="2:19" s="57" customFormat="1">
      <c r="B2752" s="696" t="s">
        <v>1038</v>
      </c>
      <c r="C2752" s="761"/>
      <c r="D2752" s="755"/>
      <c r="E2752" s="755"/>
      <c r="F2752" s="755"/>
      <c r="G2752" s="755"/>
      <c r="H2752" s="755"/>
      <c r="I2752" s="755"/>
      <c r="J2752" s="755"/>
      <c r="K2752" s="761"/>
      <c r="L2752" s="755"/>
      <c r="M2752" s="755"/>
      <c r="N2752" s="755"/>
      <c r="O2752" s="755"/>
      <c r="P2752" s="755"/>
      <c r="Q2752" s="755"/>
      <c r="R2752" s="1653"/>
      <c r="S2752"/>
    </row>
    <row r="2753" spans="2:19" s="57" customFormat="1">
      <c r="B2753" s="1911" t="s">
        <v>70</v>
      </c>
      <c r="C2753" s="1700">
        <f>ARG!C1007/1000</f>
        <v>6.75420688756014</v>
      </c>
      <c r="D2753" s="679">
        <f>ARG!D1007/1000</f>
        <v>3.5052235644653589</v>
      </c>
      <c r="E2753" s="679">
        <f>ARG!E1007/1000</f>
        <v>6.147814402176313</v>
      </c>
      <c r="F2753" s="679">
        <f>ARG!F1007/1000</f>
        <v>5.9320523910472884</v>
      </c>
      <c r="G2753" s="679">
        <f>ARG!G1007/1000</f>
        <v>7814.9630107674766</v>
      </c>
      <c r="H2753" s="679">
        <f>ARG!H1007/1000</f>
        <v>177.65176725294359</v>
      </c>
      <c r="I2753" s="679">
        <f>ARG!I1007/1000</f>
        <v>116.55790556987164</v>
      </c>
      <c r="J2753" s="679">
        <f>ARG!J1007/1000</f>
        <v>133.63030554153522</v>
      </c>
      <c r="K2753" s="1700">
        <f>C2753/$C$6*100000</f>
        <v>1.1528039019642162</v>
      </c>
      <c r="L2753" s="679">
        <f>D2753/$D$6*100000</f>
        <v>0.69573349250583771</v>
      </c>
      <c r="M2753" s="679">
        <f>E2753/$E$6*100000</f>
        <v>1.0870836126496126</v>
      </c>
      <c r="N2753" s="679">
        <f>F2753/$F$6*100000</f>
        <v>0.94981391689123607</v>
      </c>
      <c r="O2753" s="679">
        <f>G2753/$G$6*100000</f>
        <v>1760.8979248172209</v>
      </c>
      <c r="P2753" s="679">
        <f>H2753/$H$6*100000</f>
        <v>42.257646619317832</v>
      </c>
      <c r="Q2753" s="679">
        <f>I2753/I6*100000</f>
        <v>30.067605454267007</v>
      </c>
      <c r="R2753" s="680">
        <f>J2753/J6*100000</f>
        <v>25.007947942683298</v>
      </c>
      <c r="S2753"/>
    </row>
    <row r="2754" spans="2:19" s="57" customFormat="1" ht="26">
      <c r="B2754" s="1911" t="s">
        <v>67</v>
      </c>
      <c r="C2754" s="1700">
        <f>ARG!C1016/1000</f>
        <v>125.27430765833975</v>
      </c>
      <c r="D2754" s="679">
        <f>ARG!D1016/1000</f>
        <v>135.62362421360015</v>
      </c>
      <c r="E2754" s="679">
        <f>ARG!E1016/1000</f>
        <v>253.76182204142597</v>
      </c>
      <c r="F2754" s="679">
        <f>ARG!F1016/1000</f>
        <v>525.86385548368128</v>
      </c>
      <c r="G2754" s="679">
        <f>ARG!G1016/1000</f>
        <v>896.30679950088552</v>
      </c>
      <c r="H2754" s="679">
        <f>ARG!H1016/1000</f>
        <v>1018.5493066412306</v>
      </c>
      <c r="I2754" s="679">
        <f>ARG!I1016/1000</f>
        <v>46.129130043890704</v>
      </c>
      <c r="J2754" s="679">
        <f>ARG!J1016/1000</f>
        <v>25.189755583596217</v>
      </c>
      <c r="K2754" s="1700">
        <f>C2754/$C$6*100000</f>
        <v>21.381742236884342</v>
      </c>
      <c r="L2754" s="679">
        <f>D2754/$D$6*100000</f>
        <v>26.919223839812183</v>
      </c>
      <c r="M2754" s="679">
        <f>E2754/$E$6*100000</f>
        <v>44.871282737437141</v>
      </c>
      <c r="N2754" s="679">
        <f>F2754/$F$6*100000</f>
        <v>84.198988040343579</v>
      </c>
      <c r="O2754" s="679">
        <f>G2754/$G$6*100000</f>
        <v>201.95934146663032</v>
      </c>
      <c r="P2754" s="679">
        <f>H2754/$H$6*100000</f>
        <v>242.28014913644574</v>
      </c>
      <c r="Q2754" s="679">
        <f>I2754/$I$6*100000</f>
        <v>11.899600248709305</v>
      </c>
      <c r="R2754" s="680">
        <f>J2754/$I$6*100000</f>
        <v>6.4980202644681446</v>
      </c>
      <c r="S2754"/>
    </row>
    <row r="2755" spans="2:19" s="57" customFormat="1" ht="26">
      <c r="B2755" s="1911" t="s">
        <v>64</v>
      </c>
      <c r="C2755" s="1700">
        <f>ARG!C1031/1000</f>
        <v>2.4261739297067009</v>
      </c>
      <c r="D2755" s="679">
        <f>ARG!D1031/1000</f>
        <v>2.8158388312187617</v>
      </c>
      <c r="E2755" s="679">
        <f>ARG!E1031/1000</f>
        <v>3.5681739662591014</v>
      </c>
      <c r="F2755" s="679">
        <f>ARG!F1031/1000</f>
        <v>3.3056168039117511</v>
      </c>
      <c r="G2755" s="679">
        <f>ARG!G1031/1000</f>
        <v>3.5890556041927293</v>
      </c>
      <c r="H2755" s="679">
        <f>ARG!H1031/1000</f>
        <v>3.6448603389264544</v>
      </c>
      <c r="I2755" s="679">
        <f>ARG!I1031/1000</f>
        <v>11.010884359401</v>
      </c>
      <c r="J2755" s="679">
        <f>ARG!J1031/1000</f>
        <v>36.43802378592666</v>
      </c>
      <c r="K2755" s="1700">
        <f>C2755/$C$6*100000</f>
        <v>0.41409788292997962</v>
      </c>
      <c r="L2755" s="679">
        <f>D2755/$D$6*100000</f>
        <v>0.55890112238138989</v>
      </c>
      <c r="M2755" s="679">
        <f>E2755/$E$6*100000</f>
        <v>0.63094023209778705</v>
      </c>
      <c r="N2755" s="679">
        <f>F2755/$F$6*100000</f>
        <v>0.52928070038683517</v>
      </c>
      <c r="O2755" s="679">
        <f>G2755/$G$6*100000</f>
        <v>0.80869999727048414</v>
      </c>
      <c r="P2755" s="679">
        <f>H2755/$H$6*100000</f>
        <v>0.86699514764646435</v>
      </c>
      <c r="Q2755" s="679">
        <f t="shared" ref="Q2755:R2757" si="999">I2755/$I$6*100000</f>
        <v>2.8403987271593989</v>
      </c>
      <c r="R2755" s="680">
        <f t="shared" si="999"/>
        <v>9.3996551960318993</v>
      </c>
      <c r="S2755"/>
    </row>
    <row r="2756" spans="2:19" s="57" customFormat="1" ht="26">
      <c r="B2756" s="1911" t="s">
        <v>61</v>
      </c>
      <c r="C2756" s="1700">
        <f>ARG!C984/1000</f>
        <v>76.591412806717514</v>
      </c>
      <c r="D2756" s="679">
        <f>ARG!D984/1000</f>
        <v>57.656958567935405</v>
      </c>
      <c r="E2756" s="679">
        <f>ARG!E984/1000</f>
        <v>83.885819567239537</v>
      </c>
      <c r="F2756" s="679">
        <f>ARG!F984/1000</f>
        <v>136.27951571837946</v>
      </c>
      <c r="G2756" s="679">
        <f>ARG!G984/1000</f>
        <v>110.30511942211102</v>
      </c>
      <c r="H2756" s="679">
        <f>ARG!H984/1000</f>
        <v>130.07537080559311</v>
      </c>
      <c r="I2756" s="679">
        <f>ARG!I984/1000</f>
        <v>69.66696805067744</v>
      </c>
      <c r="J2756" s="679">
        <f>ARG!J984/1000</f>
        <v>477.12065957939018</v>
      </c>
      <c r="K2756" s="1700">
        <f>C2756/$C$6*100000</f>
        <v>13.072575508925706</v>
      </c>
      <c r="L2756" s="679">
        <f>D2756/$D$6*100000</f>
        <v>11.444028152267808</v>
      </c>
      <c r="M2756" s="679">
        <f>E2756/$E$6*100000</f>
        <v>14.833059981925761</v>
      </c>
      <c r="N2756" s="679">
        <f>F2756/$F$6*100000</f>
        <v>21.820471581111985</v>
      </c>
      <c r="O2756" s="679">
        <f>G2756/$G$6*100000</f>
        <v>24.854379428218923</v>
      </c>
      <c r="P2756" s="679">
        <f>H2756/$H$6*100000</f>
        <v>30.940750764123958</v>
      </c>
      <c r="Q2756" s="679">
        <f t="shared" si="999"/>
        <v>17.971487204590318</v>
      </c>
      <c r="R2756" s="680">
        <f t="shared" si="999"/>
        <v>123.07938853373601</v>
      </c>
      <c r="S2756"/>
    </row>
    <row r="2757" spans="2:19" s="57" customFormat="1" ht="26">
      <c r="B2757" s="1911" t="s">
        <v>58</v>
      </c>
      <c r="C2757" s="1700">
        <f>ARG!C1047/1000</f>
        <v>1423.9271483980037</v>
      </c>
      <c r="D2757" s="679">
        <f>ARG!D1047/1000</f>
        <v>1276.8253748558245</v>
      </c>
      <c r="E2757" s="679">
        <f>ARG!E1047/1000</f>
        <v>2705.2808797365333</v>
      </c>
      <c r="F2757" s="679">
        <f>ARG!F1047/1000</f>
        <v>2895.1014222604817</v>
      </c>
      <c r="G2757" s="679">
        <f>ARG!G1047/1000</f>
        <v>1589.3145155957818</v>
      </c>
      <c r="H2757" s="679">
        <f>ARG!H1047/1000</f>
        <v>3.1092348777026459</v>
      </c>
      <c r="I2757" s="679">
        <f>ARG!I1047/1000</f>
        <v>4.4286657119087236</v>
      </c>
      <c r="J2757" s="679">
        <f>ARG!J1047/1000</f>
        <v>6037.2119920713585</v>
      </c>
      <c r="K2757" s="1700">
        <f>C2757/$C$6*100000</f>
        <v>243.03501508212904</v>
      </c>
      <c r="L2757" s="679">
        <f>D2757/$D$6*100000</f>
        <v>253.43039068151776</v>
      </c>
      <c r="M2757" s="679">
        <f>E2757/$E$6*100000</f>
        <v>478.35967704796889</v>
      </c>
      <c r="N2757" s="679">
        <f>F2757/$F$6*100000</f>
        <v>463.55079834167566</v>
      </c>
      <c r="O2757" s="679">
        <f>G2757/$G$6*100000</f>
        <v>358.11054109130805</v>
      </c>
      <c r="P2757" s="679">
        <f>H2757/$H$6*100000</f>
        <v>0.73958706265692542</v>
      </c>
      <c r="Q2757" s="679">
        <f t="shared" si="999"/>
        <v>1.1424310746102802</v>
      </c>
      <c r="R2757" s="680">
        <f t="shared" si="999"/>
        <v>1557.3762014156521</v>
      </c>
      <c r="S2757"/>
    </row>
    <row r="2758" spans="2:19" s="57" customFormat="1">
      <c r="B2758" s="1911"/>
      <c r="C2758" s="1700"/>
      <c r="D2758" s="679"/>
      <c r="E2758" s="679"/>
      <c r="F2758" s="679"/>
      <c r="G2758" s="679"/>
      <c r="H2758" s="679"/>
      <c r="I2758" s="679"/>
      <c r="J2758" s="679"/>
      <c r="K2758" s="1700"/>
      <c r="L2758" s="679"/>
      <c r="M2758" s="679"/>
      <c r="N2758" s="679"/>
      <c r="O2758" s="679"/>
      <c r="P2758" s="679"/>
      <c r="Q2758" s="679"/>
      <c r="R2758" s="680"/>
      <c r="S2758"/>
    </row>
    <row r="2759" spans="2:19" s="57" customFormat="1">
      <c r="B2759" s="1754" t="s">
        <v>1039</v>
      </c>
      <c r="C2759" s="1700"/>
      <c r="D2759" s="679"/>
      <c r="E2759" s="679"/>
      <c r="F2759" s="679"/>
      <c r="G2759" s="679"/>
      <c r="H2759" s="679"/>
      <c r="I2759" s="679"/>
      <c r="J2759" s="679"/>
      <c r="K2759" s="1700"/>
      <c r="L2759" s="679"/>
      <c r="M2759" s="679"/>
      <c r="N2759" s="679"/>
      <c r="O2759" s="679"/>
      <c r="P2759" s="679"/>
      <c r="Q2759" s="679"/>
      <c r="R2759" s="680"/>
      <c r="S2759"/>
    </row>
    <row r="2760" spans="2:19" s="57" customFormat="1" ht="25">
      <c r="B2760" s="1908" t="s">
        <v>1885</v>
      </c>
      <c r="C2760" s="1700">
        <f>BA!C453/1000</f>
        <v>1.7883251000000003E-2</v>
      </c>
      <c r="D2760" s="679">
        <f>BA!D453/1000</f>
        <v>2.189325261E-2</v>
      </c>
      <c r="E2760" s="679">
        <f>BA!E453/1000</f>
        <v>4.0070454820000004E-2</v>
      </c>
      <c r="F2760" s="679">
        <f>BA!F453/1000</f>
        <v>4.4596767000000002E-2</v>
      </c>
      <c r="G2760" s="679">
        <f>BA!G453/1000</f>
        <v>4.183286236E-2</v>
      </c>
      <c r="H2760" s="679">
        <f>BA!H453/1000</f>
        <v>4.2745590470000004E-2</v>
      </c>
      <c r="I2760" s="679">
        <f>BA!I453/1000</f>
        <v>2.788566436E-2</v>
      </c>
      <c r="J2760" s="679">
        <f>BA!J453/1000</f>
        <v>0.108435</v>
      </c>
      <c r="K2760" s="1700">
        <f>C2760/C7*100000</f>
        <v>0.16094217754418808</v>
      </c>
      <c r="L2760" s="679">
        <f>D2760/D7*100000</f>
        <v>0.18456783997504617</v>
      </c>
      <c r="M2760" s="679">
        <f t="shared" ref="M2760:R2760" si="1000">E2760/E7*100000</f>
        <v>0.33858731870954661</v>
      </c>
      <c r="N2760" s="679">
        <f t="shared" si="1000"/>
        <v>0.36088534181394444</v>
      </c>
      <c r="O2760" s="679">
        <f t="shared" si="1000"/>
        <v>0.32795169538562852</v>
      </c>
      <c r="P2760" s="679">
        <f t="shared" si="1000"/>
        <v>0.32400696190346256</v>
      </c>
      <c r="Q2760" s="679">
        <f t="shared" si="1000"/>
        <v>0.2874958952523326</v>
      </c>
      <c r="R2760" s="680">
        <f t="shared" si="1000"/>
        <v>0.96742679728065961</v>
      </c>
      <c r="S2760"/>
    </row>
    <row r="2761" spans="2:19" s="57" customFormat="1">
      <c r="B2761" s="1908"/>
      <c r="C2761" s="1700"/>
      <c r="D2761" s="679"/>
      <c r="E2761" s="679"/>
      <c r="F2761" s="679"/>
      <c r="G2761" s="679"/>
      <c r="H2761" s="679"/>
      <c r="I2761" s="679"/>
      <c r="J2761" s="679"/>
      <c r="K2761" s="1700"/>
      <c r="L2761" s="679"/>
      <c r="M2761" s="679"/>
      <c r="N2761" s="679"/>
      <c r="O2761" s="679"/>
      <c r="P2761" s="679"/>
      <c r="Q2761" s="679"/>
      <c r="R2761" s="1708"/>
      <c r="S2761"/>
    </row>
    <row r="2762" spans="2:19" s="57" customFormat="1">
      <c r="B2762" s="1918" t="s">
        <v>1040</v>
      </c>
      <c r="C2762" s="1700"/>
      <c r="D2762" s="679"/>
      <c r="E2762" s="679"/>
      <c r="F2762" s="679"/>
      <c r="G2762" s="679"/>
      <c r="H2762" s="679"/>
      <c r="I2762" s="679"/>
      <c r="J2762" s="679"/>
      <c r="K2762" s="1700"/>
      <c r="L2762" s="679"/>
      <c r="M2762" s="679"/>
      <c r="N2762" s="679"/>
      <c r="O2762" s="679"/>
      <c r="P2762" s="679"/>
      <c r="Q2762" s="679"/>
      <c r="R2762" s="1708"/>
      <c r="S2762"/>
    </row>
    <row r="2763" spans="2:19" s="57" customFormat="1">
      <c r="B2763" s="1912" t="s">
        <v>1312</v>
      </c>
      <c r="C2763" s="1700">
        <f>BO!C701/1000</f>
        <v>14.245420546608454</v>
      </c>
      <c r="D2763" s="679">
        <f>BO!D701/1000</f>
        <v>16.315841040715934</v>
      </c>
      <c r="E2763" s="679">
        <f>BO!E701/1000</f>
        <v>17.731302078348843</v>
      </c>
      <c r="F2763" s="679">
        <f>BO!F701/1000</f>
        <v>19.432457422646532</v>
      </c>
      <c r="G2763" s="679">
        <f>BO!G701/1000</f>
        <v>26.1511290103285</v>
      </c>
      <c r="H2763" s="679">
        <f>BO!H701/1000</f>
        <v>18.341553184939574</v>
      </c>
      <c r="I2763" s="679">
        <f>BO!I701/1000</f>
        <v>20.347537798691569</v>
      </c>
      <c r="J2763" s="679">
        <f>BO!J701/1000</f>
        <v>18.150220576427962</v>
      </c>
      <c r="K2763" s="1700">
        <f t="shared" ref="K2763:R2763" si="1001">C2763/C8*100000</f>
        <v>42.860533601457412</v>
      </c>
      <c r="L2763" s="679">
        <f t="shared" si="1001"/>
        <v>49.083891216835198</v>
      </c>
      <c r="M2763" s="679">
        <f t="shared" si="1001"/>
        <v>51.863336009943801</v>
      </c>
      <c r="N2763" s="679">
        <f t="shared" si="1001"/>
        <v>51.433070312136813</v>
      </c>
      <c r="O2763" s="679">
        <f t="shared" si="1001"/>
        <v>64.441345302306118</v>
      </c>
      <c r="P2763" s="679">
        <f t="shared" si="1001"/>
        <v>44.525422205793433</v>
      </c>
      <c r="Q2763" s="679">
        <f t="shared" si="1001"/>
        <v>53.057464924880229</v>
      </c>
      <c r="R2763" s="680">
        <f t="shared" si="1001"/>
        <v>44.592146578439497</v>
      </c>
      <c r="S2763"/>
    </row>
    <row r="2764" spans="2:19" s="57" customFormat="1">
      <c r="B2764" s="1912"/>
      <c r="C2764" s="1700"/>
      <c r="D2764" s="679"/>
      <c r="E2764" s="679"/>
      <c r="F2764" s="679"/>
      <c r="G2764" s="679"/>
      <c r="H2764" s="679"/>
      <c r="I2764" s="679"/>
      <c r="J2764" s="679"/>
      <c r="K2764" s="1700"/>
      <c r="L2764" s="679"/>
      <c r="M2764" s="679"/>
      <c r="N2764" s="679"/>
      <c r="O2764" s="679"/>
      <c r="P2764" s="679"/>
      <c r="Q2764" s="679"/>
      <c r="R2764" s="1708"/>
      <c r="S2764"/>
    </row>
    <row r="2765" spans="2:19" s="57" customFormat="1">
      <c r="B2765" s="1918" t="s">
        <v>1041</v>
      </c>
      <c r="C2765" s="1700"/>
      <c r="D2765" s="679"/>
      <c r="E2765" s="679"/>
      <c r="F2765" s="679"/>
      <c r="G2765" s="679"/>
      <c r="H2765" s="679"/>
      <c r="I2765" s="679"/>
      <c r="J2765" s="679"/>
      <c r="K2765" s="1700"/>
      <c r="L2765" s="679"/>
      <c r="M2765" s="679"/>
      <c r="N2765" s="679"/>
      <c r="O2765" s="679"/>
      <c r="P2765" s="679"/>
      <c r="Q2765" s="679"/>
      <c r="R2765" s="1708"/>
      <c r="S2765"/>
    </row>
    <row r="2766" spans="2:19" s="57" customFormat="1">
      <c r="B2766" s="1912" t="s">
        <v>1313</v>
      </c>
      <c r="C2766" s="1700">
        <f>BR!C734/1000</f>
        <v>1054.0720074421699</v>
      </c>
      <c r="D2766" s="679">
        <f>BR!D734/1000</f>
        <v>706.68506784572594</v>
      </c>
      <c r="E2766" s="679">
        <f>BR!E734/1000</f>
        <v>737.31668620524897</v>
      </c>
      <c r="F2766" s="679">
        <f>BR!F734/1000</f>
        <v>909.31641781299925</v>
      </c>
      <c r="G2766" s="679">
        <f>BR!G734/1000</f>
        <v>0</v>
      </c>
      <c r="H2766" s="679">
        <f>BR!H734/1000</f>
        <v>0</v>
      </c>
      <c r="I2766" s="679">
        <f>BR!I734/1000</f>
        <v>0</v>
      </c>
      <c r="J2766" s="679">
        <f>BR!J734/1000</f>
        <v>0</v>
      </c>
      <c r="K2766" s="1700">
        <f t="shared" ref="K2766:R2766" si="1002">C2766/C9*100000</f>
        <v>48.448673421775396</v>
      </c>
      <c r="L2766" s="679">
        <f t="shared" si="1002"/>
        <v>46.023380298933077</v>
      </c>
      <c r="M2766" s="679">
        <f t="shared" si="1002"/>
        <v>38.329288434287172</v>
      </c>
      <c r="N2766" s="679">
        <f t="shared" si="1002"/>
        <v>45.676536363192497</v>
      </c>
      <c r="O2766" s="679">
        <f t="shared" si="1002"/>
        <v>0</v>
      </c>
      <c r="P2766" s="679">
        <f t="shared" si="1002"/>
        <v>0</v>
      </c>
      <c r="Q2766" s="679">
        <f t="shared" si="1002"/>
        <v>0</v>
      </c>
      <c r="R2766" s="680">
        <f t="shared" si="1002"/>
        <v>0</v>
      </c>
      <c r="S2766"/>
    </row>
    <row r="2767" spans="2:19" s="57" customFormat="1">
      <c r="B2767" s="1912" t="s">
        <v>1314</v>
      </c>
      <c r="C2767" s="1700">
        <f>BR!C757/1000</f>
        <v>20061.918187879561</v>
      </c>
      <c r="D2767" s="679">
        <f>BR!D757/1000</f>
        <v>17952.441703347406</v>
      </c>
      <c r="E2767" s="679">
        <f>BR!E757/1000</f>
        <v>16797.659898050701</v>
      </c>
      <c r="F2767" s="679">
        <f>BR!F757/1000</f>
        <v>21194.737766953796</v>
      </c>
      <c r="G2767" s="679">
        <f>BR!G757/1000</f>
        <v>50603.58433273479</v>
      </c>
      <c r="H2767" s="679">
        <f>BR!H757/1000</f>
        <v>68314.591984229104</v>
      </c>
      <c r="I2767" s="679">
        <f>BR!I757/1000</f>
        <v>70614.970132033035</v>
      </c>
      <c r="J2767" s="679">
        <f>BR!J757/1000</f>
        <v>99606.773772889006</v>
      </c>
      <c r="K2767" s="1700">
        <f t="shared" ref="K2767:R2767" si="1003">C2767/C9*100000</f>
        <v>922.11283065713974</v>
      </c>
      <c r="L2767" s="679">
        <f t="shared" si="1003"/>
        <v>1169.1658553452774</v>
      </c>
      <c r="M2767" s="679">
        <f t="shared" si="1003"/>
        <v>873.22362737660296</v>
      </c>
      <c r="N2767" s="679">
        <f t="shared" si="1003"/>
        <v>1064.648335118573</v>
      </c>
      <c r="O2767" s="679">
        <f t="shared" si="1003"/>
        <v>2799.4691793394904</v>
      </c>
      <c r="P2767" s="679">
        <f t="shared" si="1003"/>
        <v>3726.4953874954349</v>
      </c>
      <c r="Q2767" s="679">
        <f t="shared" si="1003"/>
        <v>4914.0823008440229</v>
      </c>
      <c r="R2767" s="680">
        <f t="shared" si="1003"/>
        <v>6404.2429763258706</v>
      </c>
      <c r="S2767"/>
    </row>
    <row r="2768" spans="2:19" s="57" customFormat="1">
      <c r="B2768" s="1912"/>
      <c r="C2768" s="1700"/>
      <c r="D2768" s="679"/>
      <c r="E2768" s="679"/>
      <c r="F2768" s="679"/>
      <c r="G2768" s="679"/>
      <c r="H2768" s="679"/>
      <c r="I2768" s="679"/>
      <c r="J2768" s="679"/>
      <c r="K2768" s="1700"/>
      <c r="L2768" s="679"/>
      <c r="M2768" s="679"/>
      <c r="N2768" s="679"/>
      <c r="O2768" s="679"/>
      <c r="P2768" s="679"/>
      <c r="Q2768" s="679"/>
      <c r="R2768" s="1708"/>
      <c r="S2768"/>
    </row>
    <row r="2769" spans="2:19" s="57" customFormat="1">
      <c r="B2769" s="1918" t="s">
        <v>1042</v>
      </c>
      <c r="C2769" s="1700"/>
      <c r="D2769" s="679"/>
      <c r="E2769" s="679"/>
      <c r="F2769" s="679"/>
      <c r="G2769" s="679"/>
      <c r="H2769" s="679"/>
      <c r="I2769" s="679"/>
      <c r="J2769" s="679"/>
      <c r="K2769" s="1700"/>
      <c r="L2769" s="679"/>
      <c r="M2769" s="679"/>
      <c r="N2769" s="679"/>
      <c r="O2769" s="679"/>
      <c r="P2769" s="679"/>
      <c r="Q2769" s="679"/>
      <c r="R2769" s="1708"/>
      <c r="S2769"/>
    </row>
    <row r="2770" spans="2:19" s="57" customFormat="1">
      <c r="B2770" s="1912" t="s">
        <v>1322</v>
      </c>
      <c r="C2770" s="1700">
        <f>CL!C487/1000000</f>
        <v>1070.1952575999999</v>
      </c>
      <c r="D2770" s="679">
        <f>CL!D487/1000000</f>
        <v>1124.5532110199999</v>
      </c>
      <c r="E2770" s="679">
        <f>CL!E487/1000000</f>
        <v>1234.8771266400001</v>
      </c>
      <c r="F2770" s="679">
        <f>CL!F487/1000000</f>
        <v>1551.612306</v>
      </c>
      <c r="G2770" s="679">
        <f>CL!G487/1000000</f>
        <v>1658.9919395700001</v>
      </c>
      <c r="H2770" s="679">
        <f>CL!H487/1000000</f>
        <v>1904.32473398</v>
      </c>
      <c r="I2770" s="679">
        <f>CL!I487/1000000</f>
        <v>2191.5540380399998</v>
      </c>
      <c r="J2770" s="679">
        <f>CL!J487/1000000</f>
        <v>1794.2977790400003</v>
      </c>
      <c r="K2770" s="1700">
        <f t="shared" ref="K2770:R2770" si="1004">C2770/C10*100000</f>
        <v>437.42771498196254</v>
      </c>
      <c r="L2770" s="679">
        <f t="shared" si="1004"/>
        <v>498.54263586960559</v>
      </c>
      <c r="M2770" s="679">
        <f t="shared" si="1004"/>
        <v>486.04096648392363</v>
      </c>
      <c r="N2770" s="679">
        <f t="shared" si="1004"/>
        <v>531.0433336638207</v>
      </c>
      <c r="O2770" s="679">
        <f t="shared" si="1004"/>
        <v>603.42370920517442</v>
      </c>
      <c r="P2770" s="679">
        <f t="shared" si="1004"/>
        <v>714.57026438249602</v>
      </c>
      <c r="Q2770" s="679">
        <f t="shared" si="1004"/>
        <v>1092.9766161935213</v>
      </c>
      <c r="R2770" s="680">
        <f t="shared" si="1004"/>
        <v>559.24244233691513</v>
      </c>
      <c r="S2770"/>
    </row>
    <row r="2771" spans="2:19" s="57" customFormat="1">
      <c r="B2771" s="1912"/>
      <c r="C2771" s="1700"/>
      <c r="D2771" s="679"/>
      <c r="E2771" s="679"/>
      <c r="F2771" s="679"/>
      <c r="G2771" s="679"/>
      <c r="H2771" s="679"/>
      <c r="I2771" s="679"/>
      <c r="J2771" s="679"/>
      <c r="K2771" s="1700"/>
      <c r="L2771" s="679"/>
      <c r="M2771" s="679"/>
      <c r="N2771" s="679"/>
      <c r="O2771" s="679"/>
      <c r="P2771" s="679"/>
      <c r="Q2771" s="679"/>
      <c r="R2771" s="1708"/>
      <c r="S2771"/>
    </row>
    <row r="2772" spans="2:19" s="57" customFormat="1">
      <c r="B2772" s="1918" t="s">
        <v>1316</v>
      </c>
      <c r="C2772" s="1700"/>
      <c r="D2772" s="679"/>
      <c r="E2772" s="679"/>
      <c r="F2772" s="679"/>
      <c r="G2772" s="679"/>
      <c r="H2772" s="679"/>
      <c r="I2772" s="679"/>
      <c r="J2772" s="679"/>
      <c r="K2772" s="1700"/>
      <c r="L2772" s="679"/>
      <c r="M2772" s="679"/>
      <c r="N2772" s="679"/>
      <c r="O2772" s="679"/>
      <c r="P2772" s="679"/>
      <c r="Q2772" s="679"/>
      <c r="R2772" s="1708"/>
      <c r="S2772"/>
    </row>
    <row r="2773" spans="2:19" s="57" customFormat="1">
      <c r="B2773" s="1912" t="s">
        <v>584</v>
      </c>
      <c r="C2773" s="1700">
        <f>CO!C657/1000</f>
        <v>782.7880237721937</v>
      </c>
      <c r="D2773" s="679">
        <f>CO!D657/1000</f>
        <v>564.71473898490785</v>
      </c>
      <c r="E2773" s="679">
        <f>CO!E657/1000</f>
        <v>442.57497797455636</v>
      </c>
      <c r="F2773" s="679">
        <f>CO!F657/1000</f>
        <v>711.31977567856939</v>
      </c>
      <c r="G2773" s="679">
        <f>CO!G657/1000</f>
        <v>1012.7390260314917</v>
      </c>
      <c r="H2773" s="679">
        <f>CO!H657/1000</f>
        <v>445.07272675472444</v>
      </c>
      <c r="I2773" s="679">
        <f>CO!I657/1000</f>
        <v>454.19277240728621</v>
      </c>
      <c r="J2773" s="679">
        <f>CO!J657/1000</f>
        <v>367.62831506270788</v>
      </c>
      <c r="K2773" s="1700">
        <f>C2773/$C$11*100000</f>
        <v>245.48193352942971</v>
      </c>
      <c r="L2773" s="679">
        <f>D2773/$D$11*100000</f>
        <v>221.02271788346371</v>
      </c>
      <c r="M2773" s="679">
        <f>E2773/$E$11*100000</f>
        <v>153.74702901403742</v>
      </c>
      <c r="N2773" s="679">
        <f>F2773/$F$11*100000</f>
        <v>230.59696727271702</v>
      </c>
      <c r="O2773" s="679">
        <f>G2773/$G$11*100000</f>
        <v>333.81125553875916</v>
      </c>
      <c r="P2773" s="679">
        <f>H2773/$H$11*100000</f>
        <v>137.37638376122999</v>
      </c>
      <c r="Q2773" s="679">
        <f>I2773/I11*100000</f>
        <v>155.44740276486934</v>
      </c>
      <c r="R2773" s="680">
        <f>J2773/J11*100000</f>
        <v>124.32521078890736</v>
      </c>
      <c r="S2773"/>
    </row>
    <row r="2774" spans="2:19" s="57" customFormat="1">
      <c r="B2774" s="1912" t="s">
        <v>585</v>
      </c>
      <c r="C2774" s="1700">
        <f>CO!C673/1000</f>
        <v>438.18417500449328</v>
      </c>
      <c r="D2774" s="679">
        <f>CO!D673/1000</f>
        <v>299.43951265773416</v>
      </c>
      <c r="E2774" s="679">
        <f>CO!E673/1000</f>
        <v>343.25289069846133</v>
      </c>
      <c r="F2774" s="679">
        <f>CO!F673/1000</f>
        <v>336.35656150954418</v>
      </c>
      <c r="G2774" s="679">
        <f>CO!G673/1000</f>
        <v>326.83978631336254</v>
      </c>
      <c r="H2774" s="679">
        <f>CO!H673/1000</f>
        <v>340.68541151648083</v>
      </c>
      <c r="I2774" s="679">
        <f>CO!I673/1000</f>
        <v>290.50407057517407</v>
      </c>
      <c r="J2774" s="679">
        <f>CO!J673/1000</f>
        <v>214.98322161109252</v>
      </c>
      <c r="K2774" s="1700">
        <f t="shared" ref="K2774:K2775" si="1005">C2774/$C$11*100000</f>
        <v>137.41433856352006</v>
      </c>
      <c r="L2774" s="679">
        <f t="shared" ref="L2774:L2775" si="1006">D2774/$D$11*100000</f>
        <v>117.19710919583595</v>
      </c>
      <c r="M2774" s="679">
        <f t="shared" ref="M2774:M2775" si="1007">E2774/$E$11*100000</f>
        <v>119.24332547422625</v>
      </c>
      <c r="N2774" s="679">
        <f t="shared" ref="N2774:N2775" si="1008">F2774/$F$11*100000</f>
        <v>109.0406954205488</v>
      </c>
      <c r="O2774" s="679">
        <f t="shared" ref="O2774:O2775" si="1009">G2774/$G$11*100000</f>
        <v>107.73041881955747</v>
      </c>
      <c r="P2774" s="679">
        <f t="shared" ref="P2774:P2775" si="1010">H2774/$H$11*100000</f>
        <v>105.15613970687731</v>
      </c>
      <c r="Q2774" s="679">
        <f>I2774/I11*100000</f>
        <v>99.424971084829792</v>
      </c>
      <c r="R2774" s="680">
        <f>J2774/J11*100000</f>
        <v>72.703416053027311</v>
      </c>
      <c r="S2774"/>
    </row>
    <row r="2775" spans="2:19" s="57" customFormat="1" ht="26">
      <c r="B2775" s="1911" t="s">
        <v>616</v>
      </c>
      <c r="C2775" s="1700">
        <f>(CO!C689/1000)+(CO!C696/1000)</f>
        <v>60.312695571760187</v>
      </c>
      <c r="D2775" s="679">
        <f>(CO!D689/1000)+(CO!D696/1000)</f>
        <v>50.964525847070433</v>
      </c>
      <c r="E2775" s="679">
        <f>(CO!E689/1000)+(CO!E696/1000)</f>
        <v>58.470961589539911</v>
      </c>
      <c r="F2775" s="679">
        <f>(CO!F689/1000)+(CO!F696/1000)</f>
        <v>57.922136151830728</v>
      </c>
      <c r="G2775" s="679">
        <f>(CO!G689/1000)+(CO!G696/1000)</f>
        <v>59.686490357787861</v>
      </c>
      <c r="H2775" s="679">
        <f>(CO!H689/1000)+(CO!H696/1000)</f>
        <v>48.303868503208413</v>
      </c>
      <c r="I2775" s="679">
        <f>(CO!I689/1000)+(CO!I696/1000)</f>
        <v>36.463942644162017</v>
      </c>
      <c r="J2775" s="679">
        <f>(CO!J689/1000)+(CO!J696/1000)</f>
        <v>32.953329442353237</v>
      </c>
      <c r="K2775" s="1700">
        <f t="shared" si="1005"/>
        <v>18.914031226461763</v>
      </c>
      <c r="L2775" s="679">
        <f t="shared" si="1006"/>
        <v>19.946916984333548</v>
      </c>
      <c r="M2775" s="679">
        <f t="shared" si="1007"/>
        <v>20.312347230128495</v>
      </c>
      <c r="N2775" s="679">
        <f t="shared" si="1008"/>
        <v>18.77730577900476</v>
      </c>
      <c r="O2775" s="679">
        <f t="shared" si="1009"/>
        <v>19.673402300994827</v>
      </c>
      <c r="P2775" s="679">
        <f t="shared" si="1010"/>
        <v>14.909497656785618</v>
      </c>
      <c r="Q2775" s="679">
        <f>I2775/I11*100000</f>
        <v>12.479778461818645</v>
      </c>
      <c r="R2775" s="680">
        <f>J2775/J11*100000</f>
        <v>11.144216757128849</v>
      </c>
      <c r="S2775"/>
    </row>
    <row r="2776" spans="2:19" s="57" customFormat="1">
      <c r="B2776" s="1912"/>
      <c r="C2776" s="1700"/>
      <c r="D2776" s="679"/>
      <c r="E2776" s="679"/>
      <c r="F2776" s="679"/>
      <c r="G2776" s="679"/>
      <c r="H2776" s="679"/>
      <c r="I2776" s="679"/>
      <c r="J2776" s="679"/>
      <c r="K2776" s="1700"/>
      <c r="L2776" s="679"/>
      <c r="M2776" s="679"/>
      <c r="N2776" s="679"/>
      <c r="O2776" s="679"/>
      <c r="P2776" s="679"/>
      <c r="Q2776" s="679"/>
      <c r="R2776" s="1708"/>
      <c r="S2776"/>
    </row>
    <row r="2777" spans="2:19" s="57" customFormat="1">
      <c r="B2777" s="1918" t="s">
        <v>1044</v>
      </c>
      <c r="C2777" s="1700"/>
      <c r="D2777" s="679"/>
      <c r="E2777" s="679"/>
      <c r="F2777" s="679"/>
      <c r="G2777" s="679"/>
      <c r="H2777" s="679"/>
      <c r="I2777" s="679"/>
      <c r="J2777" s="679"/>
      <c r="K2777" s="1700"/>
      <c r="L2777" s="679"/>
      <c r="M2777" s="679"/>
      <c r="N2777" s="679"/>
      <c r="O2777" s="679"/>
      <c r="P2777" s="679"/>
      <c r="Q2777" s="679"/>
      <c r="R2777" s="1708"/>
      <c r="S2777"/>
    </row>
    <row r="2778" spans="2:19" s="57" customFormat="1">
      <c r="B2778" s="1912" t="s">
        <v>1317</v>
      </c>
      <c r="C2778" s="1700">
        <f>CR!C537/1000</f>
        <v>50.376829355706889</v>
      </c>
      <c r="D2778" s="679">
        <f>CR!D537/1000</f>
        <v>54.064628973641511</v>
      </c>
      <c r="E2778" s="679">
        <f>CR!E537/1000</f>
        <v>49.026687501671908</v>
      </c>
      <c r="F2778" s="679">
        <f>CR!F537/1000</f>
        <v>46.995026247020334</v>
      </c>
      <c r="G2778" s="679">
        <f>CR!G537/1000</f>
        <v>56.705758551230893</v>
      </c>
      <c r="H2778" s="679">
        <f>CR!H537/1000</f>
        <v>56.583505255529808</v>
      </c>
      <c r="I2778" s="679">
        <f>CR!I537/1000</f>
        <v>34.163709150281647</v>
      </c>
      <c r="J2778" s="679">
        <f>CR!J537/1000</f>
        <v>34.435732314764188</v>
      </c>
      <c r="K2778" s="1700">
        <f t="shared" ref="K2778:R2778" si="1011">C2778/C12*100000</f>
        <v>96.848178916507791</v>
      </c>
      <c r="L2778" s="679">
        <f t="shared" si="1011"/>
        <v>95.788209217439544</v>
      </c>
      <c r="M2778" s="679">
        <f t="shared" si="1011"/>
        <v>83.312226442319016</v>
      </c>
      <c r="N2778" s="679">
        <f t="shared" si="1011"/>
        <v>77.657269514978893</v>
      </c>
      <c r="O2778" s="679">
        <f t="shared" si="1011"/>
        <v>90.845255829286515</v>
      </c>
      <c r="P2778" s="679">
        <f t="shared" si="1011"/>
        <v>87.83848401743883</v>
      </c>
      <c r="Q2778" s="679">
        <f t="shared" si="1011"/>
        <v>54.753385265313952</v>
      </c>
      <c r="R2778" s="680">
        <f t="shared" si="1011"/>
        <v>53.292665199615932</v>
      </c>
      <c r="S2778"/>
    </row>
    <row r="2779" spans="2:19" s="57" customFormat="1">
      <c r="B2779" s="1912" t="s">
        <v>1675</v>
      </c>
      <c r="C2779" s="1700" t="s">
        <v>2131</v>
      </c>
      <c r="D2779" s="679" t="s">
        <v>2131</v>
      </c>
      <c r="E2779" s="679" t="s">
        <v>2131</v>
      </c>
      <c r="F2779" s="679" t="s">
        <v>2131</v>
      </c>
      <c r="G2779" s="679" t="s">
        <v>2131</v>
      </c>
      <c r="H2779" s="679" t="s">
        <v>2131</v>
      </c>
      <c r="I2779" s="679" t="s">
        <v>2131</v>
      </c>
      <c r="J2779" s="679" t="s">
        <v>2131</v>
      </c>
      <c r="K2779" s="1700">
        <f t="shared" ref="K2779:R2779" si="1012">IFERROR(C2779/K13*100000,0)</f>
        <v>0</v>
      </c>
      <c r="L2779" s="679">
        <f t="shared" si="1012"/>
        <v>0</v>
      </c>
      <c r="M2779" s="679">
        <f t="shared" si="1012"/>
        <v>0</v>
      </c>
      <c r="N2779" s="679">
        <f t="shared" si="1012"/>
        <v>0</v>
      </c>
      <c r="O2779" s="679">
        <f t="shared" si="1012"/>
        <v>0</v>
      </c>
      <c r="P2779" s="679">
        <f t="shared" si="1012"/>
        <v>0</v>
      </c>
      <c r="Q2779" s="679">
        <f t="shared" si="1012"/>
        <v>0</v>
      </c>
      <c r="R2779" s="680">
        <f t="shared" si="1012"/>
        <v>0</v>
      </c>
      <c r="S2779"/>
    </row>
    <row r="2780" spans="2:19" s="57" customFormat="1">
      <c r="B2780" s="1912"/>
      <c r="C2780" s="1700"/>
      <c r="D2780" s="679"/>
      <c r="E2780" s="679"/>
      <c r="F2780" s="679"/>
      <c r="G2780" s="679"/>
      <c r="H2780" s="679"/>
      <c r="I2780" s="679"/>
      <c r="J2780" s="679"/>
      <c r="K2780" s="1700"/>
      <c r="L2780" s="679"/>
      <c r="M2780" s="679"/>
      <c r="N2780" s="679"/>
      <c r="O2780" s="679"/>
      <c r="P2780" s="679"/>
      <c r="Q2780" s="679"/>
      <c r="R2780" s="1708"/>
      <c r="S2780"/>
    </row>
    <row r="2781" spans="2:19" s="57" customFormat="1">
      <c r="B2781" s="1918" t="s">
        <v>1061</v>
      </c>
      <c r="C2781" s="1700"/>
      <c r="D2781" s="679"/>
      <c r="E2781" s="679"/>
      <c r="F2781" s="679"/>
      <c r="G2781" s="679"/>
      <c r="H2781" s="679"/>
      <c r="I2781" s="679"/>
      <c r="J2781" s="679"/>
      <c r="K2781" s="1700"/>
      <c r="L2781" s="679"/>
      <c r="M2781" s="679"/>
      <c r="N2781" s="679"/>
      <c r="O2781" s="679"/>
      <c r="P2781" s="679"/>
      <c r="Q2781" s="679"/>
      <c r="R2781" s="1708"/>
      <c r="S2781"/>
    </row>
    <row r="2782" spans="2:19" s="57" customFormat="1">
      <c r="B2782" s="1912" t="s">
        <v>486</v>
      </c>
      <c r="C2782" s="1700">
        <f>IFERROR(CW!C484/1000,0)</f>
        <v>0</v>
      </c>
      <c r="D2782" s="679">
        <f>IFERROR(CW!D484/1000,0)</f>
        <v>0</v>
      </c>
      <c r="E2782" s="679">
        <f>IFERROR(CW!E484/1000,0)</f>
        <v>0</v>
      </c>
      <c r="F2782" s="679">
        <f>IFERROR(CW!F484/1000,0)</f>
        <v>0</v>
      </c>
      <c r="G2782" s="679">
        <f>IFERROR(CW!G484/1000,0)</f>
        <v>0</v>
      </c>
      <c r="H2782" s="679">
        <f>IFERROR(CW!H484/1000,0)</f>
        <v>0</v>
      </c>
      <c r="I2782" s="679">
        <f>IFERROR(CW!I484/1000,0)</f>
        <v>0</v>
      </c>
      <c r="J2782" s="679">
        <f>IFERROR(CW!J484/1000,0)</f>
        <v>0</v>
      </c>
      <c r="K2782" s="1700">
        <f>C2782/K15*100000</f>
        <v>0</v>
      </c>
      <c r="L2782" s="679">
        <f t="shared" ref="L2782:R2782" si="1013">D2782/L15*100000</f>
        <v>0</v>
      </c>
      <c r="M2782" s="679">
        <f t="shared" si="1013"/>
        <v>0</v>
      </c>
      <c r="N2782" s="679">
        <f t="shared" si="1013"/>
        <v>0</v>
      </c>
      <c r="O2782" s="679">
        <f t="shared" si="1013"/>
        <v>0</v>
      </c>
      <c r="P2782" s="679">
        <f t="shared" si="1013"/>
        <v>0</v>
      </c>
      <c r="Q2782" s="679">
        <f t="shared" si="1013"/>
        <v>0</v>
      </c>
      <c r="R2782" s="680">
        <f t="shared" si="1013"/>
        <v>0</v>
      </c>
      <c r="S2782"/>
    </row>
    <row r="2783" spans="2:19" s="57" customFormat="1">
      <c r="B2783" s="1912"/>
      <c r="C2783" s="1700"/>
      <c r="D2783" s="679"/>
      <c r="E2783" s="679"/>
      <c r="F2783" s="679"/>
      <c r="G2783" s="679"/>
      <c r="H2783" s="679"/>
      <c r="I2783" s="679"/>
      <c r="J2783" s="679"/>
      <c r="K2783" s="1700"/>
      <c r="L2783" s="679"/>
      <c r="M2783" s="679"/>
      <c r="N2783" s="679"/>
      <c r="O2783" s="679"/>
      <c r="P2783" s="679"/>
      <c r="Q2783" s="679"/>
      <c r="R2783" s="680"/>
      <c r="S2783"/>
    </row>
    <row r="2784" spans="2:19" s="57" customFormat="1">
      <c r="B2784" s="1754" t="s">
        <v>1047</v>
      </c>
      <c r="C2784" s="1700"/>
      <c r="D2784" s="679"/>
      <c r="E2784" s="679"/>
      <c r="F2784" s="679"/>
      <c r="G2784" s="679"/>
      <c r="H2784" s="679"/>
      <c r="I2784" s="679"/>
      <c r="J2784" s="679"/>
      <c r="K2784" s="1700"/>
      <c r="L2784" s="679"/>
      <c r="M2784" s="679"/>
      <c r="N2784" s="679"/>
      <c r="O2784" s="679"/>
      <c r="P2784" s="679"/>
      <c r="Q2784" s="679"/>
      <c r="R2784" s="680"/>
      <c r="S2784"/>
    </row>
    <row r="2785" spans="2:19" s="57" customFormat="1">
      <c r="B2785" s="1909" t="s">
        <v>858</v>
      </c>
      <c r="C2785" s="1700">
        <f>EC!C507/1000</f>
        <v>4.38626</v>
      </c>
      <c r="D2785" s="679">
        <f>EC!D507/1000</f>
        <v>3.2660800000000001</v>
      </c>
      <c r="E2785" s="679">
        <f>EC!E507/1000</f>
        <v>6.6918109999999995</v>
      </c>
      <c r="F2785" s="679">
        <f>EC!F507/1000</f>
        <v>4.9184180779999993</v>
      </c>
      <c r="G2785" s="679">
        <f>EC!G507/1000</f>
        <v>5.244955</v>
      </c>
      <c r="H2785" s="679">
        <f>EC!H507/1000</f>
        <v>9.3084150000000001</v>
      </c>
      <c r="I2785" s="679">
        <f>EC!I507/1000</f>
        <v>9.8722900000000013</v>
      </c>
      <c r="J2785" s="679">
        <f>EC!J507/1000</f>
        <v>13.453124868519966</v>
      </c>
      <c r="K2785" s="1700">
        <f>C2785/K16*100000</f>
        <v>27367.145873215391</v>
      </c>
      <c r="L2785" s="679"/>
      <c r="M2785" s="679"/>
      <c r="N2785" s="679"/>
      <c r="O2785" s="679"/>
      <c r="P2785" s="679"/>
      <c r="Q2785" s="679"/>
      <c r="R2785" s="680"/>
      <c r="S2785"/>
    </row>
    <row r="2786" spans="2:19" s="57" customFormat="1">
      <c r="B2786" s="1912"/>
      <c r="C2786" s="1700"/>
      <c r="D2786" s="679"/>
      <c r="E2786" s="679"/>
      <c r="F2786" s="679"/>
      <c r="G2786" s="679"/>
      <c r="H2786" s="679"/>
      <c r="I2786" s="679"/>
      <c r="J2786" s="679"/>
      <c r="K2786" s="1700"/>
      <c r="L2786" s="679"/>
      <c r="M2786" s="679"/>
      <c r="N2786" s="679"/>
      <c r="O2786" s="679"/>
      <c r="P2786" s="679"/>
      <c r="Q2786" s="679"/>
      <c r="R2786" s="1708"/>
      <c r="S2786"/>
    </row>
    <row r="2787" spans="2:19" s="57" customFormat="1">
      <c r="B2787" s="1918" t="s">
        <v>1048</v>
      </c>
      <c r="C2787" s="1700"/>
      <c r="D2787" s="679"/>
      <c r="E2787" s="679"/>
      <c r="F2787" s="679"/>
      <c r="G2787" s="679"/>
      <c r="H2787" s="679"/>
      <c r="I2787" s="679"/>
      <c r="J2787" s="679"/>
      <c r="K2787" s="1700"/>
      <c r="L2787" s="679"/>
      <c r="M2787" s="679"/>
      <c r="N2787" s="679"/>
      <c r="O2787" s="679"/>
      <c r="P2787" s="679"/>
      <c r="Q2787" s="679"/>
      <c r="R2787" s="1708"/>
      <c r="S2787"/>
    </row>
    <row r="2788" spans="2:19" s="57" customFormat="1">
      <c r="B2788" s="1912" t="s">
        <v>486</v>
      </c>
      <c r="C2788" s="1700">
        <f>IFERROR(SV!C471/1000,0)</f>
        <v>5.5449999999999999</v>
      </c>
      <c r="D2788" s="679">
        <f>IFERROR(SV!D471/1000,0)</f>
        <v>7.1580000000000004</v>
      </c>
      <c r="E2788" s="679">
        <f>IFERROR(SV!E471/1000,0)</f>
        <v>8.4109999999999996</v>
      </c>
      <c r="F2788" s="679">
        <f>IFERROR(SV!F471/1000,0)</f>
        <v>4.6920000000000002</v>
      </c>
      <c r="G2788" s="679">
        <f>IFERROR(SV!G471/1000,0)</f>
        <v>6.4130000000000003</v>
      </c>
      <c r="H2788" s="679">
        <f>IFERROR(SV!H471/1000,0)</f>
        <v>8.0939999999999994</v>
      </c>
      <c r="I2788" s="679">
        <f>IFERROR(SV!I471/1000,0)</f>
        <v>3.47471</v>
      </c>
      <c r="J2788" s="679">
        <f>IFERROR(SV!J471/1000,0)</f>
        <v>2828.1289999999999</v>
      </c>
      <c r="K2788" s="1700">
        <f t="shared" ref="K2788:R2788" si="1014">C2788/C17*100000</f>
        <v>24.542489489219669</v>
      </c>
      <c r="L2788" s="679">
        <f t="shared" si="1014"/>
        <v>30.539835755585745</v>
      </c>
      <c r="M2788" s="679">
        <f t="shared" si="1014"/>
        <v>34.768510997489599</v>
      </c>
      <c r="N2788" s="679">
        <f t="shared" si="1014"/>
        <v>18.783635498188694</v>
      </c>
      <c r="O2788" s="679">
        <f t="shared" si="1014"/>
        <v>24.645620723381445</v>
      </c>
      <c r="P2788" s="679">
        <f t="shared" si="1014"/>
        <v>30.092955779639553</v>
      </c>
      <c r="Q2788" s="679">
        <f t="shared" si="1014"/>
        <v>14.102640072211543</v>
      </c>
      <c r="R2788" s="680">
        <f t="shared" si="1014"/>
        <v>9841.4410163364646</v>
      </c>
      <c r="S2788"/>
    </row>
    <row r="2789" spans="2:19" s="57" customFormat="1">
      <c r="B2789" s="1912"/>
      <c r="C2789" s="1700"/>
      <c r="D2789" s="679"/>
      <c r="E2789" s="679"/>
      <c r="F2789" s="679"/>
      <c r="G2789" s="679"/>
      <c r="H2789" s="679"/>
      <c r="I2789" s="679"/>
      <c r="J2789" s="679"/>
      <c r="K2789" s="1700"/>
      <c r="L2789" s="679"/>
      <c r="M2789" s="679"/>
      <c r="N2789" s="679"/>
      <c r="O2789" s="679"/>
      <c r="P2789" s="679"/>
      <c r="Q2789" s="679"/>
      <c r="R2789" s="1708"/>
      <c r="S2789"/>
    </row>
    <row r="2790" spans="2:19" s="57" customFormat="1">
      <c r="B2790" s="1918" t="s">
        <v>1049</v>
      </c>
      <c r="C2790" s="1700"/>
      <c r="D2790" s="679"/>
      <c r="E2790" s="679"/>
      <c r="F2790" s="679"/>
      <c r="G2790" s="679"/>
      <c r="H2790" s="679"/>
      <c r="I2790" s="679"/>
      <c r="J2790" s="679"/>
      <c r="K2790" s="1700"/>
      <c r="L2790" s="679"/>
      <c r="M2790" s="679"/>
      <c r="N2790" s="679"/>
      <c r="O2790" s="679"/>
      <c r="P2790" s="679"/>
      <c r="Q2790" s="679"/>
      <c r="R2790" s="1708"/>
      <c r="S2790"/>
    </row>
    <row r="2791" spans="2:19" s="57" customFormat="1">
      <c r="B2791" s="1912" t="s">
        <v>1323</v>
      </c>
      <c r="C2791" s="1700">
        <f>IFERROR(GT!C713/1000,0)</f>
        <v>50.839786999999994</v>
      </c>
      <c r="D2791" s="679">
        <f>IFERROR(GT!D713/1000,0)</f>
        <v>51.675366000000004</v>
      </c>
      <c r="E2791" s="679">
        <f>IFERROR(GT!E713/1000,0)</f>
        <v>70.341907000000006</v>
      </c>
      <c r="F2791" s="679">
        <f>IFERROR(GT!F713/1000,0)</f>
        <v>97.448858999999999</v>
      </c>
      <c r="G2791" s="679">
        <f>IFERROR(GT!G713/1000,0)</f>
        <v>71.521149000000008</v>
      </c>
      <c r="H2791" s="679">
        <f>IFERROR(GT!H713/1000,0)</f>
        <v>64.91376799999999</v>
      </c>
      <c r="I2791" s="679">
        <f>IFERROR(GT!I713/1000,0)</f>
        <v>123.35106500000001</v>
      </c>
      <c r="J2791" s="679">
        <f>IFERROR(GT!J713/1000,0)</f>
        <v>56.959883000000005</v>
      </c>
      <c r="K2791" s="1700">
        <f t="shared" ref="K2791:R2791" si="1015">C2791/C18*100000</f>
        <v>87.909695321264905</v>
      </c>
      <c r="L2791" s="679">
        <f t="shared" si="1015"/>
        <v>83.106940159551016</v>
      </c>
      <c r="M2791" s="679">
        <f t="shared" si="1015"/>
        <v>106.52222731060461</v>
      </c>
      <c r="N2791" s="679">
        <f t="shared" si="1015"/>
        <v>136.05371963566884</v>
      </c>
      <c r="O2791" s="679">
        <f t="shared" si="1015"/>
        <v>97.534343585798268</v>
      </c>
      <c r="P2791" s="679">
        <f t="shared" si="1015"/>
        <v>84.135453924864763</v>
      </c>
      <c r="Q2791" s="679">
        <f t="shared" si="1015"/>
        <v>158.91606778951785</v>
      </c>
      <c r="R2791" s="680">
        <f t="shared" si="1015"/>
        <v>66.255130653850628</v>
      </c>
      <c r="S2791"/>
    </row>
    <row r="2792" spans="2:19" s="57" customFormat="1">
      <c r="B2792" s="1912" t="s">
        <v>1324</v>
      </c>
      <c r="C2792" s="1700">
        <f>IFERROR(GT!C697/1000,0)</f>
        <v>64.986806999999999</v>
      </c>
      <c r="D2792" s="679">
        <f>IFERROR(GT!D697/1000,0)</f>
        <v>62.871980999999998</v>
      </c>
      <c r="E2792" s="679">
        <f>IFERROR(GT!E697/1000,0)</f>
        <v>72.30028999999999</v>
      </c>
      <c r="F2792" s="679">
        <f>IFERROR(GT!F697/1000,0)</f>
        <v>62.325429</v>
      </c>
      <c r="G2792" s="679">
        <f>IFERROR(GT!G697/1000,0)</f>
        <v>77.176781000000005</v>
      </c>
      <c r="H2792" s="679">
        <f>IFERROR(GT!H697/1000,0)</f>
        <v>69.850465</v>
      </c>
      <c r="I2792" s="679">
        <f>IFERROR(GT!I697/1000,0)</f>
        <v>181.412756</v>
      </c>
      <c r="J2792" s="679">
        <f>IFERROR(GT!J697/1000,0)</f>
        <v>93.222082999999998</v>
      </c>
      <c r="K2792" s="1700">
        <f t="shared" ref="K2792:R2792" si="1016">C2792/C18*100000</f>
        <v>112.37203655616902</v>
      </c>
      <c r="L2792" s="679">
        <f t="shared" si="1016"/>
        <v>101.11390333799335</v>
      </c>
      <c r="M2792" s="679">
        <f t="shared" si="1016"/>
        <v>109.48790350541152</v>
      </c>
      <c r="N2792" s="679">
        <f t="shared" si="1016"/>
        <v>87.015964377158951</v>
      </c>
      <c r="O2792" s="679">
        <f t="shared" si="1016"/>
        <v>105.24700427980969</v>
      </c>
      <c r="P2792" s="679">
        <f t="shared" si="1016"/>
        <v>90.533961603305485</v>
      </c>
      <c r="Q2792" s="679">
        <f t="shared" si="1016"/>
        <v>233.71830498892945</v>
      </c>
      <c r="R2792" s="680">
        <f t="shared" si="1016"/>
        <v>108.43493637423916</v>
      </c>
      <c r="S2792"/>
    </row>
    <row r="2793" spans="2:19" s="57" customFormat="1" ht="12.5">
      <c r="B2793" s="1912" t="s">
        <v>1301</v>
      </c>
      <c r="C2793" s="1700">
        <f>IFERROR(GT!C729/1000,0)</f>
        <v>33.922181999999999</v>
      </c>
      <c r="D2793" s="679">
        <f>IFERROR(GT!D729/1000,0)</f>
        <v>46.269728000000001</v>
      </c>
      <c r="E2793" s="679">
        <f>IFERROR(GT!E729/1000,0)</f>
        <v>22.166357000000001</v>
      </c>
      <c r="F2793" s="679">
        <f>IFERROR(GT!F729/1000,0)</f>
        <v>15.369429999999999</v>
      </c>
      <c r="G2793" s="679">
        <f>IFERROR(GT!G729/1000,0)</f>
        <v>28.641499</v>
      </c>
      <c r="H2793" s="679">
        <f>IFERROR(GT!H729/1000,0)</f>
        <v>13.925182000000001</v>
      </c>
      <c r="I2793" s="679">
        <f>IFERROR(GT!I729/1000,0)</f>
        <v>18.382754000000002</v>
      </c>
      <c r="J2793" s="679">
        <f>IFERROR(GT!J729/1000,0)</f>
        <v>32.278421000000002</v>
      </c>
      <c r="K2793" s="1700">
        <f t="shared" ref="K2793:R2793" si="1017">C2793/C18*100000</f>
        <v>58.656592803044141</v>
      </c>
      <c r="L2793" s="679">
        <f t="shared" si="1017"/>
        <v>74.413319415961212</v>
      </c>
      <c r="M2793" s="679">
        <f t="shared" si="1017"/>
        <v>33.567610258306075</v>
      </c>
      <c r="N2793" s="679">
        <f t="shared" si="1017"/>
        <v>21.458107787388645</v>
      </c>
      <c r="O2793" s="679">
        <f t="shared" si="1017"/>
        <v>39.05879370419926</v>
      </c>
      <c r="P2793" s="679">
        <f t="shared" si="1017"/>
        <v>18.048582675964159</v>
      </c>
      <c r="Q2793" s="679">
        <f t="shared" si="1017"/>
        <v>23.682932780694117</v>
      </c>
      <c r="R2793" s="680">
        <f t="shared" si="1017"/>
        <v>37.545916318946709</v>
      </c>
    </row>
    <row r="2794" spans="2:19" s="57" customFormat="1" ht="12.5">
      <c r="B2794" s="1912"/>
      <c r="C2794" s="1700"/>
      <c r="D2794" s="679"/>
      <c r="E2794" s="679"/>
      <c r="F2794" s="679"/>
      <c r="G2794" s="679"/>
      <c r="H2794" s="679"/>
      <c r="I2794" s="679"/>
      <c r="J2794" s="679"/>
      <c r="K2794" s="1700"/>
      <c r="L2794" s="679"/>
      <c r="M2794" s="679"/>
      <c r="N2794" s="679"/>
      <c r="O2794" s="679"/>
      <c r="P2794" s="679"/>
      <c r="Q2794" s="679"/>
      <c r="R2794" s="656"/>
    </row>
    <row r="2795" spans="2:19" s="57" customFormat="1" ht="13">
      <c r="B2795" s="1918" t="s">
        <v>1050</v>
      </c>
      <c r="C2795" s="1700"/>
      <c r="D2795" s="679"/>
      <c r="E2795" s="679"/>
      <c r="F2795" s="679"/>
      <c r="G2795" s="679"/>
      <c r="H2795" s="679"/>
      <c r="I2795" s="679"/>
      <c r="J2795" s="679"/>
      <c r="K2795" s="1700"/>
      <c r="L2795" s="679"/>
      <c r="M2795" s="679"/>
      <c r="N2795" s="679"/>
      <c r="O2795" s="679"/>
      <c r="P2795" s="679"/>
      <c r="Q2795" s="679"/>
      <c r="R2795" s="656"/>
    </row>
    <row r="2796" spans="2:19" s="57" customFormat="1" ht="12.5">
      <c r="B2796" s="1912" t="s">
        <v>1303</v>
      </c>
      <c r="C2796" s="1700">
        <f>HN!C570/1000</f>
        <v>11.45709480371713</v>
      </c>
      <c r="D2796" s="679">
        <f>HN!D570/1000</f>
        <v>16.568285809447389</v>
      </c>
      <c r="E2796" s="679">
        <f>HN!E570/1000</f>
        <v>72.727050280238132</v>
      </c>
      <c r="F2796" s="679">
        <f>HN!F570/1000</f>
        <v>71.023239361300739</v>
      </c>
      <c r="G2796" s="679">
        <f>HN!G570/1000</f>
        <v>66.074308311397459</v>
      </c>
      <c r="H2796" s="679">
        <f>HN!H570/1000</f>
        <v>54.523598458427756</v>
      </c>
      <c r="I2796" s="679">
        <f>HN!I570/1000</f>
        <v>38.822675250846871</v>
      </c>
      <c r="J2796" s="679">
        <f>HN!J570/1000</f>
        <v>110.24102857847038</v>
      </c>
      <c r="K2796" s="1700">
        <f t="shared" ref="K2796:R2796" si="1018">C2796/C19*100000</f>
        <v>58.094028293902937</v>
      </c>
      <c r="L2796" s="679">
        <f t="shared" si="1018"/>
        <v>80.492746318111827</v>
      </c>
      <c r="M2796" s="679">
        <f t="shared" si="1018"/>
        <v>337.22039276749018</v>
      </c>
      <c r="N2796" s="679">
        <f t="shared" si="1018"/>
        <v>309.12711155440803</v>
      </c>
      <c r="O2796" s="679">
        <f t="shared" si="1018"/>
        <v>276.45646809085378</v>
      </c>
      <c r="P2796" s="679">
        <f t="shared" si="1018"/>
        <v>218.83385744141046</v>
      </c>
      <c r="Q2796" s="679">
        <f t="shared" si="1018"/>
        <v>164.07021895277992</v>
      </c>
      <c r="R2796" s="680">
        <f t="shared" si="1018"/>
        <v>389.6723094281823</v>
      </c>
    </row>
    <row r="2797" spans="2:19" s="57" customFormat="1" ht="12.5">
      <c r="B2797" s="1912"/>
      <c r="C2797" s="1700"/>
      <c r="D2797" s="679"/>
      <c r="E2797" s="679"/>
      <c r="F2797" s="679"/>
      <c r="G2797" s="679"/>
      <c r="H2797" s="679"/>
      <c r="I2797" s="679"/>
      <c r="J2797" s="679"/>
      <c r="K2797" s="1700"/>
      <c r="L2797" s="679"/>
      <c r="M2797" s="679"/>
      <c r="N2797" s="679"/>
      <c r="O2797" s="679"/>
      <c r="P2797" s="679"/>
      <c r="Q2797" s="679"/>
      <c r="R2797" s="656"/>
    </row>
    <row r="2798" spans="2:19" s="57" customFormat="1" ht="13">
      <c r="B2798" s="1918" t="s">
        <v>1051</v>
      </c>
      <c r="C2798" s="1700"/>
      <c r="D2798" s="679"/>
      <c r="E2798" s="679"/>
      <c r="F2798" s="679"/>
      <c r="G2798" s="679"/>
      <c r="H2798" s="679"/>
      <c r="I2798" s="679"/>
      <c r="J2798" s="679"/>
      <c r="K2798" s="1700"/>
      <c r="L2798" s="679"/>
      <c r="M2798" s="679"/>
      <c r="N2798" s="679"/>
      <c r="O2798" s="679"/>
      <c r="P2798" s="679"/>
      <c r="Q2798" s="679"/>
      <c r="R2798" s="656"/>
    </row>
    <row r="2799" spans="2:19" s="57" customFormat="1" ht="12.5">
      <c r="B2799" s="1912" t="s">
        <v>1318</v>
      </c>
      <c r="C2799" s="1700">
        <f>JM!C562/1000</f>
        <v>0.13349661825717093</v>
      </c>
      <c r="D2799" s="679">
        <f>JM!D562/1000</f>
        <v>0.59913781505626362</v>
      </c>
      <c r="E2799" s="679">
        <f>JM!E562/1000</f>
        <v>0.42882862401549665</v>
      </c>
      <c r="F2799" s="679">
        <f>JM!F562/1000</f>
        <v>0.46650586718122505</v>
      </c>
      <c r="G2799" s="679">
        <f>JM!G562/1000</f>
        <v>0.63722072845888</v>
      </c>
      <c r="H2799" s="679">
        <f>JM!H562/1000</f>
        <v>0.87573474945122931</v>
      </c>
      <c r="I2799" s="679">
        <f>JM!I562/1000</f>
        <v>0.4438297278710796</v>
      </c>
      <c r="J2799" s="679">
        <f>JM!J562/1000</f>
        <v>0.73914589026345079</v>
      </c>
      <c r="K2799" s="1700">
        <f t="shared" ref="K2799:R2799" si="1019">C2799/C20*100000</f>
        <v>0.99272187367956444</v>
      </c>
      <c r="L2799" s="679">
        <f t="shared" si="1019"/>
        <v>4.3469402694520269</v>
      </c>
      <c r="M2799" s="679">
        <f t="shared" si="1019"/>
        <v>3.1277502615277766</v>
      </c>
      <c r="N2799" s="679">
        <f t="shared" si="1019"/>
        <v>3.077184653283648</v>
      </c>
      <c r="O2799" s="679">
        <f t="shared" si="1019"/>
        <v>4.0144713372949221</v>
      </c>
      <c r="P2799" s="679">
        <f t="shared" si="1019"/>
        <v>5.5010182784511699</v>
      </c>
      <c r="Q2799" s="679">
        <f t="shared" si="1019"/>
        <v>3.218825792200847</v>
      </c>
      <c r="R2799" s="680">
        <f t="shared" si="1019"/>
        <v>5.1864784078632153</v>
      </c>
    </row>
    <row r="2800" spans="2:19" s="57" customFormat="1" ht="12.5">
      <c r="B2800" s="1911" t="s">
        <v>1592</v>
      </c>
      <c r="C2800" s="1700" t="s">
        <v>2131</v>
      </c>
      <c r="D2800" s="679" t="s">
        <v>2131</v>
      </c>
      <c r="E2800" s="679" t="s">
        <v>2131</v>
      </c>
      <c r="F2800" s="679" t="s">
        <v>2131</v>
      </c>
      <c r="G2800" s="679" t="s">
        <v>2131</v>
      </c>
      <c r="H2800" s="679" t="s">
        <v>2131</v>
      </c>
      <c r="I2800" s="679" t="s">
        <v>2131</v>
      </c>
      <c r="J2800" s="679" t="s">
        <v>2131</v>
      </c>
      <c r="K2800" s="1700">
        <f t="shared" ref="K2800:R2800" si="1020">IFERROR(C2800/C20*100000,0)</f>
        <v>0</v>
      </c>
      <c r="L2800" s="679">
        <f t="shared" si="1020"/>
        <v>0</v>
      </c>
      <c r="M2800" s="679">
        <f t="shared" si="1020"/>
        <v>0</v>
      </c>
      <c r="N2800" s="679">
        <f t="shared" si="1020"/>
        <v>0</v>
      </c>
      <c r="O2800" s="679">
        <f t="shared" si="1020"/>
        <v>0</v>
      </c>
      <c r="P2800" s="679">
        <f t="shared" si="1020"/>
        <v>0</v>
      </c>
      <c r="Q2800" s="679">
        <f t="shared" si="1020"/>
        <v>0</v>
      </c>
      <c r="R2800" s="680">
        <f t="shared" si="1020"/>
        <v>0</v>
      </c>
    </row>
    <row r="2801" spans="2:18" s="57" customFormat="1" ht="12.5">
      <c r="B2801" s="1911"/>
      <c r="C2801" s="1700"/>
      <c r="D2801" s="679"/>
      <c r="E2801" s="679"/>
      <c r="F2801" s="679"/>
      <c r="G2801" s="679"/>
      <c r="H2801" s="679"/>
      <c r="I2801" s="679"/>
      <c r="J2801" s="679"/>
      <c r="K2801" s="1700"/>
      <c r="L2801" s="679"/>
      <c r="M2801" s="679"/>
      <c r="N2801" s="679"/>
      <c r="O2801" s="679"/>
      <c r="P2801" s="679"/>
      <c r="Q2801" s="679"/>
      <c r="R2801" s="680"/>
    </row>
    <row r="2802" spans="2:18" s="57" customFormat="1">
      <c r="B2802" s="1918" t="s">
        <v>1052</v>
      </c>
      <c r="C2802" s="1700"/>
      <c r="D2802" s="679"/>
      <c r="E2802" s="679"/>
      <c r="F2802" s="679"/>
      <c r="G2802" s="679"/>
      <c r="H2802" s="679"/>
      <c r="I2802" s="679"/>
      <c r="J2802" s="679"/>
      <c r="K2802" s="1700"/>
      <c r="L2802" s="679"/>
      <c r="M2802" s="679"/>
      <c r="N2802" s="679"/>
      <c r="O2802" s="679"/>
      <c r="P2802" s="679"/>
      <c r="Q2802" s="679"/>
      <c r="R2802" s="1708"/>
    </row>
    <row r="2803" spans="2:18" s="57" customFormat="1" ht="12.5">
      <c r="B2803" s="1911" t="s">
        <v>695</v>
      </c>
      <c r="C2803" s="1700">
        <f>IFERROR(RD!C584/1000,0)</f>
        <v>21.914638839792428</v>
      </c>
      <c r="D2803" s="679">
        <f>IFERROR(RD!D584/1000,0)</f>
        <v>28.563953683204396</v>
      </c>
      <c r="E2803" s="679">
        <f>IFERROR(RD!E584/1000,0)</f>
        <v>37.89591893977196</v>
      </c>
      <c r="F2803" s="679">
        <f>IFERROR(RD!F584/1000,0)</f>
        <v>44.112600130901718</v>
      </c>
      <c r="G2803" s="679">
        <f>IFERROR(RD!G584/1000,0)</f>
        <v>48.173641515640185</v>
      </c>
      <c r="H2803" s="679">
        <f>IFERROR(RD!H584/1000,0)</f>
        <v>57.557262916246614</v>
      </c>
      <c r="I2803" s="679">
        <f>IFERROR(RD!I584/1000,0)</f>
        <v>61.473099701248429</v>
      </c>
      <c r="J2803" s="679">
        <f>IFERROR(RD!J584/1000,0)</f>
        <v>76.723244069112226</v>
      </c>
      <c r="K2803" s="1700">
        <f t="shared" ref="K2803:R2803" si="1021">C2803/C21*100000</f>
        <v>33.110397851339052</v>
      </c>
      <c r="L2803" s="679">
        <f t="shared" si="1021"/>
        <v>40.515189914591858</v>
      </c>
      <c r="M2803" s="679">
        <f t="shared" si="1021"/>
        <v>50.658149162201497</v>
      </c>
      <c r="N2803" s="679">
        <f t="shared" si="1021"/>
        <v>55.90615257670342</v>
      </c>
      <c r="O2803" s="679">
        <f t="shared" si="1021"/>
        <v>57.094881456810008</v>
      </c>
      <c r="P2803" s="679">
        <f t="shared" si="1021"/>
        <v>66.741537507391911</v>
      </c>
      <c r="Q2803" s="679">
        <f t="shared" si="1021"/>
        <v>80.15856028968409</v>
      </c>
      <c r="R2803" s="680">
        <f t="shared" si="1021"/>
        <v>81.296093642944982</v>
      </c>
    </row>
    <row r="2804" spans="2:18" s="57" customFormat="1" ht="12.5">
      <c r="B2804" s="1911"/>
      <c r="C2804" s="1700"/>
      <c r="D2804" s="679"/>
      <c r="E2804" s="679"/>
      <c r="F2804" s="679"/>
      <c r="G2804" s="679"/>
      <c r="H2804" s="679"/>
      <c r="I2804" s="679"/>
      <c r="J2804" s="679"/>
      <c r="K2804" s="1700"/>
      <c r="L2804" s="679"/>
      <c r="M2804" s="679"/>
      <c r="N2804" s="679"/>
      <c r="O2804" s="679"/>
      <c r="P2804" s="679"/>
      <c r="Q2804" s="679"/>
      <c r="R2804" s="680"/>
    </row>
    <row r="2805" spans="2:18" s="57" customFormat="1" ht="13">
      <c r="B2805" s="1918" t="s">
        <v>1053</v>
      </c>
      <c r="C2805" s="1700"/>
      <c r="D2805" s="679"/>
      <c r="E2805" s="679"/>
      <c r="F2805" s="679"/>
      <c r="G2805" s="679"/>
      <c r="H2805" s="679"/>
      <c r="I2805" s="679"/>
      <c r="J2805" s="679"/>
      <c r="K2805" s="1700"/>
      <c r="L2805" s="679"/>
      <c r="M2805" s="679"/>
      <c r="N2805" s="679"/>
      <c r="O2805" s="679"/>
      <c r="P2805" s="679"/>
      <c r="Q2805" s="679"/>
      <c r="R2805" s="656"/>
    </row>
    <row r="2806" spans="2:18" s="57" customFormat="1" ht="12.5">
      <c r="B2806" s="1912" t="s">
        <v>1306</v>
      </c>
      <c r="C2806" s="1700">
        <f>PY!C889/1000</f>
        <v>0</v>
      </c>
      <c r="D2806" s="679">
        <f>PY!D889/1000</f>
        <v>0</v>
      </c>
      <c r="E2806" s="679">
        <f>PY!E889/1000</f>
        <v>0</v>
      </c>
      <c r="F2806" s="679">
        <f>PY!F889/1000</f>
        <v>0</v>
      </c>
      <c r="G2806" s="679">
        <f>PY!G889/1000</f>
        <v>0</v>
      </c>
      <c r="H2806" s="679">
        <f>PY!H889/1000</f>
        <v>0</v>
      </c>
      <c r="I2806" s="679">
        <f>PY!I889/1000</f>
        <v>0</v>
      </c>
      <c r="J2806" s="679">
        <f>PY!J889/1000</f>
        <v>0</v>
      </c>
      <c r="K2806" s="1700">
        <f t="shared" ref="K2806:R2806" si="1022">C2806/C22*100000</f>
        <v>0</v>
      </c>
      <c r="L2806" s="679">
        <f t="shared" si="1022"/>
        <v>0</v>
      </c>
      <c r="M2806" s="679">
        <f t="shared" si="1022"/>
        <v>0</v>
      </c>
      <c r="N2806" s="679">
        <f t="shared" si="1022"/>
        <v>0</v>
      </c>
      <c r="O2806" s="679">
        <f t="shared" si="1022"/>
        <v>0</v>
      </c>
      <c r="P2806" s="679">
        <f t="shared" si="1022"/>
        <v>0</v>
      </c>
      <c r="Q2806" s="679">
        <f t="shared" si="1022"/>
        <v>0</v>
      </c>
      <c r="R2806" s="680">
        <f t="shared" si="1022"/>
        <v>0</v>
      </c>
    </row>
    <row r="2807" spans="2:18" s="57" customFormat="1" ht="12.5">
      <c r="B2807" s="1912" t="s">
        <v>1319</v>
      </c>
      <c r="C2807" s="1700">
        <f>PY!C905/1000</f>
        <v>0</v>
      </c>
      <c r="D2807" s="679">
        <f>PY!D905/1000</f>
        <v>0</v>
      </c>
      <c r="E2807" s="679">
        <f>PY!E905/1000</f>
        <v>0</v>
      </c>
      <c r="F2807" s="679">
        <f>PY!F905/1000</f>
        <v>0</v>
      </c>
      <c r="G2807" s="679">
        <f>PY!G905/1000</f>
        <v>0</v>
      </c>
      <c r="H2807" s="679">
        <f>PY!H905/1000</f>
        <v>0.91277373278984475</v>
      </c>
      <c r="I2807" s="679">
        <f>PY!I905/1000</f>
        <v>1.8797001143361249</v>
      </c>
      <c r="J2807" s="679">
        <f>PY!J905/1000</f>
        <v>3.104927037649019</v>
      </c>
      <c r="K2807" s="1700">
        <f t="shared" ref="K2807:R2807" si="1023">C2807/C22*100000</f>
        <v>0</v>
      </c>
      <c r="L2807" s="679">
        <f t="shared" si="1023"/>
        <v>0</v>
      </c>
      <c r="M2807" s="679">
        <f t="shared" si="1023"/>
        <v>0</v>
      </c>
      <c r="N2807" s="679">
        <f t="shared" si="1023"/>
        <v>0</v>
      </c>
      <c r="O2807" s="679">
        <f t="shared" si="1023"/>
        <v>0</v>
      </c>
      <c r="P2807" s="679">
        <f t="shared" si="1023"/>
        <v>2.4857215794682368</v>
      </c>
      <c r="Q2807" s="679">
        <f t="shared" si="1023"/>
        <v>5.3637122981531054</v>
      </c>
      <c r="R2807" s="680">
        <f t="shared" si="1023"/>
        <v>8.4014125811837239</v>
      </c>
    </row>
    <row r="2808" spans="2:18" s="57" customFormat="1" ht="12.5">
      <c r="B2808" s="1912"/>
      <c r="C2808" s="1700"/>
      <c r="D2808" s="679"/>
      <c r="E2808" s="679"/>
      <c r="F2808" s="679"/>
      <c r="G2808" s="679"/>
      <c r="H2808" s="679"/>
      <c r="I2808" s="679"/>
      <c r="J2808" s="679"/>
      <c r="K2808" s="1700"/>
      <c r="L2808" s="679"/>
      <c r="M2808" s="679"/>
      <c r="N2808" s="679"/>
      <c r="O2808" s="679"/>
      <c r="P2808" s="679"/>
      <c r="Q2808" s="679"/>
      <c r="R2808" s="656"/>
    </row>
    <row r="2809" spans="2:18" s="57" customFormat="1" ht="13">
      <c r="B2809" s="1918" t="s">
        <v>1054</v>
      </c>
      <c r="C2809" s="1700"/>
      <c r="D2809" s="679"/>
      <c r="E2809" s="679"/>
      <c r="F2809" s="679"/>
      <c r="G2809" s="679"/>
      <c r="H2809" s="679"/>
      <c r="I2809" s="679"/>
      <c r="J2809" s="679"/>
      <c r="K2809" s="1700"/>
      <c r="L2809" s="679"/>
      <c r="M2809" s="679"/>
      <c r="N2809" s="679"/>
      <c r="O2809" s="679"/>
      <c r="P2809" s="679"/>
      <c r="Q2809" s="679"/>
      <c r="R2809" s="656"/>
    </row>
    <row r="2810" spans="2:18" s="57" customFormat="1" ht="12.5">
      <c r="B2810" s="1912" t="s">
        <v>486</v>
      </c>
      <c r="C2810" s="1700">
        <f>PE!C522/1000</f>
        <v>19.005272840953772</v>
      </c>
      <c r="D2810" s="679">
        <f>PE!D522/1000</f>
        <v>10.056068406685238</v>
      </c>
      <c r="E2810" s="679">
        <f>PE!E522/1000</f>
        <v>14.958661352800954</v>
      </c>
      <c r="F2810" s="679">
        <f>PE!F522/1000</f>
        <v>30.027617766510872</v>
      </c>
      <c r="G2810" s="679">
        <f>PE!G522/1000</f>
        <v>26.541101066982812</v>
      </c>
      <c r="H2810" s="679">
        <f>PE!H522/1000</f>
        <v>31.366912492456244</v>
      </c>
      <c r="I2810" s="679">
        <f>PE!I522/1000</f>
        <v>29.287609759041704</v>
      </c>
      <c r="J2810" s="679">
        <f>PE!J522/1000</f>
        <v>20.364250344914083</v>
      </c>
      <c r="K2810" s="1700">
        <f t="shared" ref="K2810:R2810" si="1024">C2810/C23*100000</f>
        <v>9.3660373529420635</v>
      </c>
      <c r="L2810" s="679">
        <f t="shared" si="1024"/>
        <v>5.2365539902848628</v>
      </c>
      <c r="M2810" s="679">
        <f t="shared" si="1024"/>
        <v>7.6420936928000751</v>
      </c>
      <c r="N2810" s="679">
        <f t="shared" si="1024"/>
        <v>13.909070136882768</v>
      </c>
      <c r="O2810" s="679">
        <f t="shared" si="1024"/>
        <v>11.699511791856064</v>
      </c>
      <c r="P2810" s="679">
        <f t="shared" si="1024"/>
        <v>13.494237250373379</v>
      </c>
      <c r="Q2810" s="679">
        <f t="shared" si="1024"/>
        <v>14.248231337054426</v>
      </c>
      <c r="R2810" s="680">
        <f t="shared" si="1024"/>
        <v>9.0162866985880292</v>
      </c>
    </row>
    <row r="2811" spans="2:18" s="57" customFormat="1" ht="12.5">
      <c r="B2811" s="1912"/>
      <c r="C2811" s="1700"/>
      <c r="D2811" s="679"/>
      <c r="E2811" s="679"/>
      <c r="F2811" s="679"/>
      <c r="G2811" s="679"/>
      <c r="H2811" s="679"/>
      <c r="I2811" s="679"/>
      <c r="J2811" s="679"/>
      <c r="K2811" s="1700"/>
      <c r="L2811" s="679"/>
      <c r="M2811" s="679"/>
      <c r="N2811" s="679"/>
      <c r="O2811" s="679"/>
      <c r="P2811" s="679"/>
      <c r="Q2811" s="679"/>
      <c r="R2811" s="656"/>
    </row>
    <row r="2812" spans="2:18" s="57" customFormat="1" ht="13">
      <c r="B2812" s="1918" t="s">
        <v>1055</v>
      </c>
      <c r="C2812" s="1700"/>
      <c r="D2812" s="679"/>
      <c r="E2812" s="679"/>
      <c r="F2812" s="679"/>
      <c r="G2812" s="679"/>
      <c r="H2812" s="679"/>
      <c r="I2812" s="679"/>
      <c r="J2812" s="679"/>
      <c r="K2812" s="1700"/>
      <c r="L2812" s="679"/>
      <c r="M2812" s="679"/>
      <c r="N2812" s="679"/>
      <c r="O2812" s="679"/>
      <c r="P2812" s="679"/>
      <c r="Q2812" s="679"/>
      <c r="R2812" s="656"/>
    </row>
    <row r="2813" spans="2:18" s="57" customFormat="1" ht="25">
      <c r="B2813" s="1911" t="s">
        <v>1852</v>
      </c>
      <c r="C2813" s="1700">
        <f>TT!C616/1000</f>
        <v>0.37137300000000001</v>
      </c>
      <c r="D2813" s="679">
        <f>TT!D616/1000</f>
        <v>0.66152599999999995</v>
      </c>
      <c r="E2813" s="679">
        <f>TT!E616/1000</f>
        <v>0.69968499999999989</v>
      </c>
      <c r="F2813" s="679">
        <f>TT!F616/1000</f>
        <v>0.64952399999999999</v>
      </c>
      <c r="G2813" s="679">
        <f>TT!G616/1000</f>
        <v>0.59782199999999996</v>
      </c>
      <c r="H2813" s="679">
        <f>TT!H616/1000</f>
        <v>0.762131</v>
      </c>
      <c r="I2813" s="679">
        <f>TT!I616/1000</f>
        <v>0.53970600000000002</v>
      </c>
      <c r="J2813" s="679">
        <f>TT!J616/1000</f>
        <v>0.74948907436334633</v>
      </c>
      <c r="K2813" s="1700">
        <f t="shared" ref="K2813:R2813" si="1025">C2813/C24*100000</f>
        <v>1.254611545109197</v>
      </c>
      <c r="L2813" s="679">
        <f t="shared" si="1025"/>
        <v>2.4544186751361461</v>
      </c>
      <c r="M2813" s="679">
        <f t="shared" si="1025"/>
        <v>2.9664365048521963</v>
      </c>
      <c r="N2813" s="679">
        <f t="shared" si="1025"/>
        <v>2.7190502239976619</v>
      </c>
      <c r="O2813" s="679">
        <f t="shared" si="1025"/>
        <v>2.4528083329976385</v>
      </c>
      <c r="P2813" s="679">
        <f t="shared" si="1025"/>
        <v>3.1960252573876655</v>
      </c>
      <c r="Q2813" s="679">
        <f t="shared" si="1025"/>
        <v>2.5625009559225971</v>
      </c>
      <c r="R2813" s="680">
        <f t="shared" si="1025"/>
        <v>3.0635082738311246</v>
      </c>
    </row>
    <row r="2814" spans="2:18" s="57" customFormat="1" ht="12.5">
      <c r="B2814" s="1749" t="s">
        <v>1309</v>
      </c>
      <c r="C2814" s="691">
        <f>TT!C632/1000</f>
        <v>0</v>
      </c>
      <c r="D2814" s="692">
        <f>TT!D632/1000</f>
        <v>4.7943237485766081</v>
      </c>
      <c r="E2814" s="692">
        <f>TT!E632/1000</f>
        <v>4.8633577265534873</v>
      </c>
      <c r="F2814" s="692">
        <f>TT!F632/1000</f>
        <v>3.869597288924187</v>
      </c>
      <c r="G2814" s="692">
        <f>TT!G632/1000</f>
        <v>6.2220575461479042</v>
      </c>
      <c r="H2814" s="692">
        <f>TT!H632/1000</f>
        <v>3.9898190643072455</v>
      </c>
      <c r="I2814" s="692">
        <f>TT!I632/1000</f>
        <v>3.3571203651732038</v>
      </c>
      <c r="J2814" s="692">
        <f>TT!J632/1000</f>
        <v>2.9628376620051644</v>
      </c>
      <c r="K2814" s="691">
        <f t="shared" ref="K2814:R2814" si="1026">C2814/C24*100000</f>
        <v>0</v>
      </c>
      <c r="L2814" s="692">
        <f t="shared" si="1026"/>
        <v>17.788080503495191</v>
      </c>
      <c r="M2814" s="692">
        <f t="shared" si="1026"/>
        <v>20.619052711153238</v>
      </c>
      <c r="N2814" s="692">
        <f t="shared" si="1026"/>
        <v>16.19898475688359</v>
      </c>
      <c r="O2814" s="692">
        <f t="shared" si="1026"/>
        <v>25.528526212789796</v>
      </c>
      <c r="P2814" s="692">
        <f t="shared" si="1026"/>
        <v>16.73145758659965</v>
      </c>
      <c r="Q2814" s="692">
        <f t="shared" si="1026"/>
        <v>15.939463605932772</v>
      </c>
      <c r="R2814" s="693">
        <f t="shared" si="1026"/>
        <v>12.110486999802461</v>
      </c>
    </row>
    <row r="2815" spans="2:18" s="57" customFormat="1" ht="12.5">
      <c r="B2815" s="72"/>
      <c r="C2815" s="679"/>
      <c r="D2815" s="679"/>
      <c r="E2815" s="679"/>
      <c r="F2815" s="679"/>
      <c r="G2815" s="679"/>
      <c r="H2815" s="679"/>
      <c r="I2815" s="679"/>
      <c r="J2815" s="679"/>
      <c r="K2815" s="679"/>
      <c r="L2815" s="679"/>
      <c r="M2815" s="679"/>
      <c r="N2815" s="679"/>
      <c r="O2815" s="679"/>
      <c r="P2815" s="679"/>
      <c r="Q2815" s="679"/>
    </row>
    <row r="2816" spans="2:18" s="57" customFormat="1" ht="13">
      <c r="B2816" s="2158" t="s">
        <v>752</v>
      </c>
      <c r="C2816" s="2158"/>
      <c r="D2816" s="2158"/>
      <c r="E2816" s="2158"/>
      <c r="F2816" s="2158"/>
      <c r="G2816" s="2158"/>
      <c r="H2816" s="2158"/>
      <c r="I2816" s="2158"/>
      <c r="J2816" s="2158"/>
      <c r="K2816" s="2158"/>
      <c r="L2816" s="2158"/>
      <c r="M2816" s="2158"/>
      <c r="N2816" s="2158"/>
      <c r="O2816" s="2158"/>
      <c r="P2816" s="2158"/>
      <c r="Q2816" s="2158"/>
      <c r="R2816" s="2158"/>
    </row>
    <row r="2817" spans="2:18" s="57" customFormat="1" ht="13">
      <c r="B2817" s="2253" t="s">
        <v>751</v>
      </c>
      <c r="C2817" s="2253"/>
      <c r="D2817" s="2253"/>
      <c r="E2817" s="2253"/>
      <c r="F2817" s="2253"/>
      <c r="G2817" s="2253"/>
      <c r="H2817" s="2253"/>
      <c r="I2817" s="2253"/>
      <c r="J2817" s="2253"/>
      <c r="K2817" s="2253"/>
      <c r="L2817" s="2253"/>
      <c r="M2817" s="2253"/>
      <c r="N2817" s="2253"/>
      <c r="O2817" s="2253"/>
      <c r="P2817" s="2253"/>
      <c r="Q2817" s="2253"/>
      <c r="R2817" s="2253"/>
    </row>
    <row r="2818" spans="2:18" s="57" customFormat="1" ht="13">
      <c r="B2818" s="759" t="s">
        <v>1035</v>
      </c>
      <c r="C2818" s="679"/>
      <c r="D2818" s="679"/>
      <c r="E2818" s="679"/>
      <c r="F2818" s="679"/>
      <c r="G2818" s="679"/>
      <c r="H2818" s="679"/>
      <c r="I2818" s="679"/>
      <c r="J2818" s="679"/>
      <c r="K2818" s="679"/>
      <c r="L2818" s="679"/>
      <c r="M2818" s="679"/>
      <c r="N2818" s="679"/>
      <c r="O2818" s="679"/>
      <c r="P2818" s="679"/>
      <c r="Q2818" s="679"/>
    </row>
    <row r="2819" spans="2:18" s="57" customFormat="1" ht="13">
      <c r="B2819" s="612" t="s">
        <v>2153</v>
      </c>
      <c r="C2819" s="679"/>
      <c r="D2819" s="679"/>
      <c r="E2819" s="679"/>
      <c r="F2819" s="679"/>
      <c r="G2819" s="679"/>
      <c r="H2819" s="679"/>
      <c r="I2819" s="679"/>
      <c r="J2819" s="679"/>
      <c r="K2819" s="679"/>
      <c r="L2819" s="679"/>
      <c r="M2819" s="679"/>
      <c r="N2819" s="679"/>
      <c r="O2819" s="679"/>
      <c r="P2819" s="679"/>
      <c r="Q2819" s="679"/>
    </row>
    <row r="2820" spans="2:18" s="57" customFormat="1" ht="12.5">
      <c r="B2820" s="2248" t="s">
        <v>11</v>
      </c>
      <c r="C2820" s="2230" t="s">
        <v>265</v>
      </c>
      <c r="D2820" s="2231"/>
      <c r="E2820" s="2231"/>
      <c r="F2820" s="2231"/>
      <c r="G2820" s="2231"/>
      <c r="H2820" s="2231"/>
      <c r="I2820" s="2231"/>
      <c r="J2820" s="2232"/>
      <c r="K2820" s="679"/>
      <c r="L2820" s="679"/>
      <c r="M2820" s="679"/>
      <c r="N2820" s="679"/>
      <c r="O2820" s="679"/>
      <c r="P2820" s="679"/>
      <c r="Q2820" s="679"/>
    </row>
    <row r="2821" spans="2:18" s="57" customFormat="1" ht="12.5">
      <c r="B2821" s="2249"/>
      <c r="C2821" s="587">
        <v>2014</v>
      </c>
      <c r="D2821" s="588">
        <v>2015</v>
      </c>
      <c r="E2821" s="588">
        <v>2016</v>
      </c>
      <c r="F2821" s="588">
        <v>2017</v>
      </c>
      <c r="G2821" s="588">
        <v>2018</v>
      </c>
      <c r="H2821" s="588">
        <v>2019</v>
      </c>
      <c r="I2821" s="588">
        <v>2020</v>
      </c>
      <c r="J2821" s="848">
        <v>2021</v>
      </c>
      <c r="K2821" s="679"/>
      <c r="L2821" s="679"/>
      <c r="M2821" s="679"/>
      <c r="N2821" s="679"/>
      <c r="O2821" s="679"/>
      <c r="P2821" s="679"/>
      <c r="Q2821" s="679"/>
    </row>
    <row r="2822" spans="2:18" s="57" customFormat="1" ht="13">
      <c r="B2822" s="708" t="s">
        <v>1038</v>
      </c>
      <c r="C2822" s="762"/>
      <c r="D2822" s="763"/>
      <c r="E2822" s="763"/>
      <c r="F2822" s="763"/>
      <c r="G2822" s="763"/>
      <c r="H2822" s="763"/>
      <c r="I2822" s="763"/>
      <c r="J2822" s="764"/>
      <c r="K2822" s="679"/>
      <c r="L2822" s="679"/>
      <c r="M2822" s="679"/>
      <c r="N2822" s="679"/>
      <c r="O2822" s="679"/>
      <c r="P2822" s="679"/>
      <c r="Q2822" s="679"/>
    </row>
    <row r="2823" spans="2:18" s="57" customFormat="1" ht="12.5">
      <c r="B2823" s="1750" t="s">
        <v>70</v>
      </c>
      <c r="C2823" s="1768">
        <f>ARG!C752</f>
        <v>85</v>
      </c>
      <c r="D2823" s="724">
        <f>ARG!D752</f>
        <v>72</v>
      </c>
      <c r="E2823" s="724">
        <f>ARG!E752</f>
        <v>77</v>
      </c>
      <c r="F2823" s="724">
        <f>ARG!F752</f>
        <v>73</v>
      </c>
      <c r="G2823" s="724">
        <f>ARG!G752</f>
        <v>127</v>
      </c>
      <c r="H2823" s="724">
        <f>ARG!H752</f>
        <v>238</v>
      </c>
      <c r="I2823" s="724">
        <f>ARG!I752</f>
        <v>242</v>
      </c>
      <c r="J2823" s="725">
        <f>ARG!J752</f>
        <v>271</v>
      </c>
      <c r="K2823" s="679"/>
      <c r="L2823" s="679"/>
      <c r="M2823" s="679"/>
      <c r="N2823" s="679"/>
      <c r="O2823" s="679"/>
      <c r="P2823" s="679"/>
      <c r="Q2823" s="679"/>
    </row>
    <row r="2824" spans="2:18" s="57" customFormat="1" ht="25">
      <c r="B2824" s="1750" t="s">
        <v>67</v>
      </c>
      <c r="C2824" s="1768">
        <f>ARG!C790</f>
        <v>0</v>
      </c>
      <c r="D2824" s="724">
        <f>ARG!D790</f>
        <v>72</v>
      </c>
      <c r="E2824" s="724">
        <f>ARG!E790</f>
        <v>88</v>
      </c>
      <c r="F2824" s="724">
        <f>ARG!F790</f>
        <v>99</v>
      </c>
      <c r="G2824" s="724">
        <f>ARG!G790</f>
        <v>106</v>
      </c>
      <c r="H2824" s="724">
        <f>ARG!H790</f>
        <v>165</v>
      </c>
      <c r="I2824" s="724">
        <f>ARG!I790</f>
        <v>179</v>
      </c>
      <c r="J2824" s="725">
        <f>ARG!J790</f>
        <v>173</v>
      </c>
      <c r="K2824" s="679"/>
      <c r="L2824" s="679"/>
      <c r="M2824" s="679"/>
      <c r="N2824" s="679"/>
      <c r="O2824" s="679"/>
      <c r="P2824" s="679"/>
      <c r="Q2824" s="679"/>
    </row>
    <row r="2825" spans="2:18" s="57" customFormat="1" ht="37.5">
      <c r="B2825" s="1750" t="s">
        <v>64</v>
      </c>
      <c r="C2825" s="1768">
        <f>ARG!C733</f>
        <v>70</v>
      </c>
      <c r="D2825" s="724">
        <f>ARG!D733</f>
        <v>92</v>
      </c>
      <c r="E2825" s="724">
        <f>ARG!E733</f>
        <v>134</v>
      </c>
      <c r="F2825" s="724">
        <f>ARG!F733</f>
        <v>151</v>
      </c>
      <c r="G2825" s="724">
        <f>ARG!G733</f>
        <v>162</v>
      </c>
      <c r="H2825" s="724">
        <f>ARG!H733</f>
        <v>180</v>
      </c>
      <c r="I2825" s="724">
        <f>ARG!I733</f>
        <v>194</v>
      </c>
      <c r="J2825" s="725">
        <f>ARG!J733</f>
        <v>211</v>
      </c>
      <c r="K2825" s="644"/>
      <c r="L2825" s="644"/>
      <c r="M2825" s="644"/>
      <c r="N2825" s="644"/>
      <c r="O2825" s="644"/>
      <c r="P2825" s="644"/>
      <c r="Q2825" s="644"/>
    </row>
    <row r="2826" spans="2:18" s="57" customFormat="1" ht="37.5">
      <c r="B2826" s="1750" t="s">
        <v>61</v>
      </c>
      <c r="C2826" s="1768">
        <f>ARG!C771</f>
        <v>200</v>
      </c>
      <c r="D2826" s="724">
        <f>ARG!D771</f>
        <v>205</v>
      </c>
      <c r="E2826" s="724">
        <f>ARG!E771</f>
        <v>229</v>
      </c>
      <c r="F2826" s="724">
        <f>ARG!F771</f>
        <v>249</v>
      </c>
      <c r="G2826" s="724">
        <f>ARG!G771</f>
        <v>240</v>
      </c>
      <c r="H2826" s="724">
        <f>ARG!H771</f>
        <v>247</v>
      </c>
      <c r="I2826" s="724">
        <f>ARG!I771</f>
        <v>248</v>
      </c>
      <c r="J2826" s="725">
        <f>ARG!J771</f>
        <v>255</v>
      </c>
      <c r="K2826" s="644"/>
      <c r="L2826" s="644"/>
      <c r="M2826" s="644"/>
      <c r="N2826" s="644"/>
      <c r="O2826" s="644"/>
      <c r="P2826" s="644"/>
      <c r="Q2826" s="644"/>
    </row>
    <row r="2827" spans="2:18" s="57" customFormat="1" ht="25">
      <c r="B2827" s="1750" t="s">
        <v>58</v>
      </c>
      <c r="C2827" s="1768">
        <f>ARG!C809</f>
        <v>0</v>
      </c>
      <c r="D2827" s="724">
        <f>ARG!D809</f>
        <v>162</v>
      </c>
      <c r="E2827" s="724">
        <f>ARG!E809</f>
        <v>337</v>
      </c>
      <c r="F2827" s="724">
        <f>ARG!F809</f>
        <v>327</v>
      </c>
      <c r="G2827" s="724">
        <f>ARG!G809</f>
        <v>332</v>
      </c>
      <c r="H2827" s="724">
        <f>ARG!H809</f>
        <v>340</v>
      </c>
      <c r="I2827" s="724">
        <f>ARG!I809</f>
        <v>281</v>
      </c>
      <c r="J2827" s="725">
        <f>ARG!J809</f>
        <v>325</v>
      </c>
      <c r="K2827" s="644"/>
      <c r="L2827" s="644"/>
      <c r="M2827" s="644"/>
      <c r="N2827" s="644"/>
      <c r="O2827" s="644"/>
      <c r="P2827" s="644"/>
      <c r="Q2827" s="644"/>
    </row>
    <row r="2828" spans="2:18" s="57" customFormat="1" ht="12.5">
      <c r="B2828" s="1908"/>
      <c r="C2828" s="1768"/>
      <c r="D2828" s="724"/>
      <c r="E2828" s="724"/>
      <c r="F2828" s="724"/>
      <c r="G2828" s="724"/>
      <c r="H2828" s="724"/>
      <c r="I2828" s="724"/>
      <c r="J2828" s="725"/>
      <c r="K2828" s="644"/>
      <c r="L2828" s="644"/>
      <c r="M2828" s="644"/>
      <c r="N2828" s="644"/>
      <c r="O2828" s="644"/>
      <c r="P2828" s="644"/>
      <c r="Q2828" s="644"/>
    </row>
    <row r="2829" spans="2:18" s="57" customFormat="1" ht="13">
      <c r="B2829" s="1754" t="s">
        <v>1039</v>
      </c>
      <c r="C2829" s="1768"/>
      <c r="D2829" s="724"/>
      <c r="E2829" s="724"/>
      <c r="F2829" s="724"/>
      <c r="G2829" s="724"/>
      <c r="H2829" s="724"/>
      <c r="I2829" s="724"/>
      <c r="J2829" s="725"/>
      <c r="K2829" s="644"/>
      <c r="L2829" s="644"/>
      <c r="M2829" s="644"/>
      <c r="N2829" s="644"/>
      <c r="O2829" s="644"/>
      <c r="P2829" s="644"/>
      <c r="Q2829" s="644"/>
    </row>
    <row r="2830" spans="2:18" s="57" customFormat="1" ht="25">
      <c r="B2830" s="1908" t="s">
        <v>1885</v>
      </c>
      <c r="C2830" s="1768">
        <f>BA!C382</f>
        <v>6</v>
      </c>
      <c r="D2830" s="724">
        <f>BA!D382</f>
        <v>5</v>
      </c>
      <c r="E2830" s="724">
        <f>BA!E382</f>
        <v>5</v>
      </c>
      <c r="F2830" s="724">
        <f>BA!F382</f>
        <v>5</v>
      </c>
      <c r="G2830" s="724">
        <f>BA!G382</f>
        <v>6</v>
      </c>
      <c r="H2830" s="724">
        <f>BA!H382</f>
        <v>5</v>
      </c>
      <c r="I2830" s="724">
        <f>BA!I382</f>
        <v>6</v>
      </c>
      <c r="J2830" s="725">
        <f>BA!J382</f>
        <v>6</v>
      </c>
      <c r="K2830" s="644"/>
      <c r="L2830" s="644"/>
      <c r="M2830" s="644"/>
      <c r="N2830" s="644"/>
      <c r="O2830" s="644"/>
      <c r="P2830" s="644"/>
      <c r="Q2830" s="644"/>
    </row>
    <row r="2831" spans="2:18" s="57" customFormat="1" ht="12.5">
      <c r="B2831" s="704"/>
      <c r="C2831" s="1776"/>
      <c r="D2831" s="632"/>
      <c r="E2831" s="632"/>
      <c r="F2831" s="632"/>
      <c r="G2831" s="632"/>
      <c r="H2831" s="632"/>
      <c r="I2831" s="632"/>
      <c r="J2831" s="765"/>
      <c r="K2831" s="644"/>
      <c r="L2831" s="644"/>
      <c r="M2831" s="644"/>
      <c r="N2831" s="644"/>
      <c r="O2831" s="644"/>
      <c r="P2831" s="644"/>
      <c r="Q2831" s="644"/>
    </row>
    <row r="2832" spans="2:18" s="57" customFormat="1" ht="13">
      <c r="B2832" s="708" t="s">
        <v>1040</v>
      </c>
      <c r="C2832" s="1776"/>
      <c r="D2832" s="632"/>
      <c r="E2832" s="632"/>
      <c r="F2832" s="632"/>
      <c r="G2832" s="632"/>
      <c r="H2832" s="632"/>
      <c r="I2832" s="632"/>
      <c r="J2832" s="765"/>
      <c r="K2832" s="644"/>
      <c r="L2832" s="644"/>
      <c r="M2832" s="644"/>
      <c r="N2832" s="644"/>
      <c r="O2832" s="644"/>
      <c r="P2832" s="644"/>
      <c r="Q2832" s="644"/>
    </row>
    <row r="2833" spans="2:17" s="57" customFormat="1" ht="12.5">
      <c r="B2833" s="704" t="s">
        <v>1325</v>
      </c>
      <c r="C2833" s="1768">
        <f>BO!C621</f>
        <v>28</v>
      </c>
      <c r="D2833" s="724">
        <f>BO!D621</f>
        <v>10</v>
      </c>
      <c r="E2833" s="724">
        <f>BO!E621</f>
        <v>11</v>
      </c>
      <c r="F2833" s="724">
        <f>BO!F621</f>
        <v>12</v>
      </c>
      <c r="G2833" s="724">
        <f>BO!G621</f>
        <v>12</v>
      </c>
      <c r="H2833" s="724">
        <f>BO!H621</f>
        <v>12</v>
      </c>
      <c r="I2833" s="724">
        <f>BO!I621</f>
        <v>12</v>
      </c>
      <c r="J2833" s="725">
        <f>BO!J621</f>
        <v>12</v>
      </c>
      <c r="K2833" s="644"/>
      <c r="L2833" s="644"/>
      <c r="M2833" s="644"/>
      <c r="N2833" s="644"/>
      <c r="O2833" s="644"/>
      <c r="P2833" s="644"/>
      <c r="Q2833" s="644"/>
    </row>
    <row r="2834" spans="2:17" s="57" customFormat="1" ht="12.5">
      <c r="B2834" s="704"/>
      <c r="C2834" s="1776"/>
      <c r="D2834" s="632"/>
      <c r="E2834" s="632"/>
      <c r="F2834" s="632"/>
      <c r="G2834" s="632"/>
      <c r="H2834" s="632"/>
      <c r="I2834" s="632"/>
      <c r="J2834" s="765"/>
      <c r="K2834" s="644"/>
      <c r="L2834" s="644"/>
      <c r="M2834" s="644"/>
      <c r="N2834" s="644"/>
      <c r="O2834" s="644"/>
      <c r="P2834" s="644"/>
      <c r="Q2834" s="644"/>
    </row>
    <row r="2835" spans="2:17" s="57" customFormat="1" ht="13">
      <c r="B2835" s="708" t="s">
        <v>1041</v>
      </c>
      <c r="C2835" s="1776"/>
      <c r="D2835" s="632"/>
      <c r="E2835" s="632"/>
      <c r="F2835" s="632"/>
      <c r="G2835" s="632"/>
      <c r="H2835" s="632"/>
      <c r="I2835" s="632"/>
      <c r="J2835" s="765"/>
      <c r="K2835" s="644"/>
      <c r="L2835" s="644"/>
      <c r="M2835" s="644"/>
      <c r="N2835" s="644"/>
      <c r="O2835" s="644"/>
      <c r="P2835" s="644"/>
      <c r="Q2835" s="644"/>
    </row>
    <row r="2836" spans="2:17" s="57" customFormat="1" ht="12.5">
      <c r="B2836" s="704" t="s">
        <v>1313</v>
      </c>
      <c r="C2836" s="1768">
        <f>BR!C614</f>
        <v>72</v>
      </c>
      <c r="D2836" s="724">
        <f>BR!D614</f>
        <v>98</v>
      </c>
      <c r="E2836" s="724">
        <f>BR!E614</f>
        <v>88</v>
      </c>
      <c r="F2836" s="724">
        <f>BR!F614</f>
        <v>85</v>
      </c>
      <c r="G2836" s="724">
        <f>BR!G614</f>
        <v>0</v>
      </c>
      <c r="H2836" s="724">
        <f>BR!H614</f>
        <v>0</v>
      </c>
      <c r="I2836" s="724">
        <f>BR!I614</f>
        <v>0</v>
      </c>
      <c r="J2836" s="725">
        <f>BR!J614</f>
        <v>0</v>
      </c>
      <c r="K2836" s="644"/>
      <c r="L2836" s="644"/>
      <c r="M2836" s="644"/>
      <c r="N2836" s="644"/>
      <c r="O2836" s="644"/>
      <c r="P2836" s="644"/>
      <c r="Q2836" s="644"/>
    </row>
    <row r="2837" spans="2:17" s="57" customFormat="1" ht="12.5">
      <c r="B2837" s="704" t="s">
        <v>1314</v>
      </c>
      <c r="C2837" s="1768">
        <f>BR!C633</f>
        <v>0</v>
      </c>
      <c r="D2837" s="724">
        <f>BR!D633</f>
        <v>0</v>
      </c>
      <c r="E2837" s="724">
        <f>BR!E633</f>
        <v>0</v>
      </c>
      <c r="F2837" s="724">
        <f>BR!F633</f>
        <v>0</v>
      </c>
      <c r="G2837" s="724">
        <f>BR!G633</f>
        <v>87</v>
      </c>
      <c r="H2837" s="724">
        <f>BR!H633</f>
        <v>89</v>
      </c>
      <c r="I2837" s="724">
        <f>BR!I633</f>
        <v>90</v>
      </c>
      <c r="J2837" s="725">
        <f>BR!J633</f>
        <v>91</v>
      </c>
      <c r="K2837" s="644"/>
      <c r="L2837" s="644"/>
      <c r="M2837" s="644"/>
      <c r="N2837" s="644"/>
      <c r="O2837" s="644"/>
      <c r="P2837" s="644"/>
      <c r="Q2837" s="644"/>
    </row>
    <row r="2838" spans="2:17" s="57" customFormat="1" ht="12.5">
      <c r="B2838" s="704"/>
      <c r="C2838" s="1776"/>
      <c r="D2838" s="632"/>
      <c r="E2838" s="632"/>
      <c r="F2838" s="632"/>
      <c r="G2838" s="632"/>
      <c r="H2838" s="632"/>
      <c r="I2838" s="632"/>
      <c r="J2838" s="765"/>
      <c r="K2838" s="644"/>
      <c r="L2838" s="644"/>
      <c r="M2838" s="644"/>
      <c r="N2838" s="644"/>
      <c r="O2838" s="644"/>
      <c r="P2838" s="644"/>
      <c r="Q2838" s="644"/>
    </row>
    <row r="2839" spans="2:17" s="57" customFormat="1" ht="13">
      <c r="B2839" s="708" t="s">
        <v>1042</v>
      </c>
      <c r="C2839" s="1776"/>
      <c r="D2839" s="632"/>
      <c r="E2839" s="632"/>
      <c r="F2839" s="632"/>
      <c r="G2839" s="632"/>
      <c r="H2839" s="632"/>
      <c r="I2839" s="632"/>
      <c r="J2839" s="765"/>
      <c r="K2839" s="644"/>
      <c r="L2839" s="644"/>
      <c r="M2839" s="644"/>
      <c r="N2839" s="644"/>
      <c r="O2839" s="644"/>
      <c r="P2839" s="644"/>
      <c r="Q2839" s="644"/>
    </row>
    <row r="2840" spans="2:17" s="57" customFormat="1" ht="17.25" customHeight="1">
      <c r="B2840" s="766" t="s">
        <v>1326</v>
      </c>
      <c r="C2840" s="1776">
        <f>CL!C415</f>
        <v>47</v>
      </c>
      <c r="D2840" s="632">
        <f>CL!D415</f>
        <v>45</v>
      </c>
      <c r="E2840" s="632">
        <f>CL!E415</f>
        <v>43</v>
      </c>
      <c r="F2840" s="632">
        <f>CL!F415</f>
        <v>39</v>
      </c>
      <c r="G2840" s="632">
        <f>CL!G415</f>
        <v>35</v>
      </c>
      <c r="H2840" s="632">
        <f>CL!H415</f>
        <v>34</v>
      </c>
      <c r="I2840" s="632">
        <f>CL!I415</f>
        <v>34</v>
      </c>
      <c r="J2840" s="765">
        <f>CL!J415</f>
        <v>33</v>
      </c>
      <c r="K2840" s="644"/>
      <c r="L2840" s="644"/>
      <c r="M2840" s="644"/>
      <c r="N2840" s="644"/>
      <c r="O2840" s="644"/>
      <c r="P2840" s="644"/>
      <c r="Q2840" s="644"/>
    </row>
    <row r="2841" spans="2:17" s="57" customFormat="1" ht="12.5">
      <c r="B2841" s="766" t="s">
        <v>493</v>
      </c>
      <c r="C2841" s="1776">
        <f>CL!C422</f>
        <v>47</v>
      </c>
      <c r="D2841" s="632">
        <f>CL!D422</f>
        <v>45</v>
      </c>
      <c r="E2841" s="632">
        <f>CL!E422</f>
        <v>43</v>
      </c>
      <c r="F2841" s="632">
        <f>CL!F422</f>
        <v>39</v>
      </c>
      <c r="G2841" s="632">
        <f>CL!G422</f>
        <v>35</v>
      </c>
      <c r="H2841" s="632">
        <f>CL!H422</f>
        <v>34</v>
      </c>
      <c r="I2841" s="632">
        <f>CL!I422</f>
        <v>34</v>
      </c>
      <c r="J2841" s="765">
        <f>CL!J422</f>
        <v>33</v>
      </c>
      <c r="K2841" s="644"/>
      <c r="L2841" s="644"/>
      <c r="M2841" s="644"/>
      <c r="N2841" s="644"/>
      <c r="O2841" s="644"/>
      <c r="P2841" s="644"/>
      <c r="Q2841" s="644"/>
    </row>
    <row r="2842" spans="2:17" s="57" customFormat="1" ht="12.5">
      <c r="B2842" s="766"/>
      <c r="C2842" s="1776"/>
      <c r="D2842" s="632"/>
      <c r="E2842" s="632"/>
      <c r="F2842" s="632"/>
      <c r="G2842" s="632"/>
      <c r="H2842" s="632"/>
      <c r="I2842" s="632"/>
      <c r="J2842" s="765"/>
      <c r="K2842" s="644"/>
      <c r="L2842" s="644"/>
      <c r="M2842" s="644"/>
      <c r="N2842" s="644"/>
      <c r="O2842" s="644"/>
      <c r="P2842" s="644"/>
      <c r="Q2842" s="644"/>
    </row>
    <row r="2843" spans="2:17" s="57" customFormat="1" ht="13">
      <c r="B2843" s="708" t="s">
        <v>1043</v>
      </c>
      <c r="C2843" s="1776"/>
      <c r="D2843" s="632"/>
      <c r="E2843" s="632"/>
      <c r="F2843" s="632"/>
      <c r="G2843" s="632"/>
      <c r="H2843" s="632"/>
      <c r="I2843" s="632"/>
      <c r="J2843" s="765"/>
      <c r="K2843" s="644"/>
      <c r="L2843" s="644"/>
      <c r="M2843" s="644"/>
      <c r="N2843" s="644"/>
      <c r="O2843" s="644"/>
      <c r="P2843" s="644"/>
      <c r="Q2843" s="644"/>
    </row>
    <row r="2844" spans="2:17" s="57" customFormat="1" ht="12.5">
      <c r="B2844" s="663" t="s">
        <v>584</v>
      </c>
      <c r="C2844" s="1776">
        <f>CO!C501</f>
        <v>41</v>
      </c>
      <c r="D2844" s="632">
        <f>CO!D501</f>
        <v>30</v>
      </c>
      <c r="E2844" s="632">
        <f>CO!E501</f>
        <v>30</v>
      </c>
      <c r="F2844" s="632">
        <f>CO!F501</f>
        <v>31</v>
      </c>
      <c r="G2844" s="632">
        <f>CO!G501</f>
        <v>30</v>
      </c>
      <c r="H2844" s="632">
        <f>CO!H501</f>
        <v>29</v>
      </c>
      <c r="I2844" s="632">
        <f>CO!I501</f>
        <v>30</v>
      </c>
      <c r="J2844" s="765">
        <f>CO!J501</f>
        <v>30</v>
      </c>
      <c r="K2844" s="644"/>
      <c r="L2844" s="644"/>
      <c r="M2844" s="644"/>
      <c r="N2844" s="644"/>
      <c r="O2844" s="644"/>
      <c r="P2844" s="644"/>
      <c r="Q2844" s="644"/>
    </row>
    <row r="2845" spans="2:17" s="57" customFormat="1" ht="12.5">
      <c r="B2845" s="663" t="s">
        <v>585</v>
      </c>
      <c r="C2845" s="1776">
        <f>CO!C520</f>
        <v>107</v>
      </c>
      <c r="D2845" s="632">
        <f>CO!D520</f>
        <v>107</v>
      </c>
      <c r="E2845" s="632">
        <f>CO!E520</f>
        <v>108</v>
      </c>
      <c r="F2845" s="632">
        <f>CO!F520</f>
        <v>100</v>
      </c>
      <c r="G2845" s="632">
        <f>CO!G520</f>
        <v>102</v>
      </c>
      <c r="H2845" s="632">
        <f>CO!H520</f>
        <v>103</v>
      </c>
      <c r="I2845" s="632">
        <f>CO!I520</f>
        <v>98</v>
      </c>
      <c r="J2845" s="765">
        <f>CO!J520</f>
        <v>91</v>
      </c>
      <c r="K2845" s="644"/>
      <c r="L2845" s="644"/>
      <c r="M2845" s="644"/>
      <c r="N2845" s="644"/>
      <c r="O2845" s="644"/>
      <c r="P2845" s="644"/>
      <c r="Q2845" s="644"/>
    </row>
    <row r="2846" spans="2:17" s="57" customFormat="1" ht="25">
      <c r="B2846" s="767" t="s">
        <v>1327</v>
      </c>
      <c r="C2846" s="1776">
        <f>CO!C539</f>
        <v>44</v>
      </c>
      <c r="D2846" s="632">
        <f>CO!D539</f>
        <v>43</v>
      </c>
      <c r="E2846" s="632">
        <f>CO!E539</f>
        <v>41</v>
      </c>
      <c r="F2846" s="632">
        <f>CO!F539</f>
        <v>40</v>
      </c>
      <c r="G2846" s="632">
        <f>CO!G539</f>
        <v>39</v>
      </c>
      <c r="H2846" s="632">
        <f>CO!H539</f>
        <v>38</v>
      </c>
      <c r="I2846" s="632">
        <f>CO!I539</f>
        <v>36</v>
      </c>
      <c r="J2846" s="765">
        <f>CO!J539</f>
        <v>30</v>
      </c>
      <c r="K2846" s="644"/>
      <c r="L2846" s="644"/>
      <c r="M2846" s="644"/>
      <c r="N2846" s="644"/>
      <c r="O2846" s="644"/>
      <c r="P2846" s="644"/>
      <c r="Q2846" s="644"/>
    </row>
    <row r="2847" spans="2:17" s="57" customFormat="1" ht="12.5">
      <c r="B2847" s="767"/>
      <c r="C2847" s="1776"/>
      <c r="D2847" s="632"/>
      <c r="E2847" s="632"/>
      <c r="F2847" s="632"/>
      <c r="G2847" s="632"/>
      <c r="H2847" s="632"/>
      <c r="I2847" s="632"/>
      <c r="J2847" s="765"/>
      <c r="K2847" s="644"/>
      <c r="L2847" s="644"/>
      <c r="M2847" s="644"/>
      <c r="N2847" s="644"/>
      <c r="O2847" s="644"/>
      <c r="P2847" s="644"/>
      <c r="Q2847" s="644"/>
    </row>
    <row r="2848" spans="2:17" s="57" customFormat="1" ht="13">
      <c r="B2848" s="708" t="s">
        <v>1044</v>
      </c>
      <c r="C2848" s="1776"/>
      <c r="D2848" s="632"/>
      <c r="E2848" s="632"/>
      <c r="F2848" s="632"/>
      <c r="G2848" s="632"/>
      <c r="H2848" s="632"/>
      <c r="I2848" s="632"/>
      <c r="J2848" s="765"/>
      <c r="K2848" s="768"/>
      <c r="L2848" s="768"/>
      <c r="M2848" s="768"/>
      <c r="N2848" s="768"/>
      <c r="O2848" s="768"/>
      <c r="P2848" s="768"/>
      <c r="Q2848" s="768"/>
    </row>
    <row r="2849" spans="2:17" s="57" customFormat="1" ht="12.5">
      <c r="B2849" s="766" t="s">
        <v>1317</v>
      </c>
      <c r="C2849" s="1776">
        <f>CR!C415</f>
        <v>74</v>
      </c>
      <c r="D2849" s="632">
        <f>CR!D415</f>
        <v>69</v>
      </c>
      <c r="E2849" s="632">
        <f>CR!E415</f>
        <v>74</v>
      </c>
      <c r="F2849" s="632">
        <f>CR!F415</f>
        <v>76</v>
      </c>
      <c r="G2849" s="632">
        <f>CR!G415</f>
        <v>74</v>
      </c>
      <c r="H2849" s="632">
        <f>CR!H415</f>
        <v>72</v>
      </c>
      <c r="I2849" s="632">
        <f>CR!I415</f>
        <v>74</v>
      </c>
      <c r="J2849" s="765">
        <f>CR!J415</f>
        <v>74</v>
      </c>
      <c r="K2849" s="769"/>
      <c r="L2849" s="769"/>
      <c r="M2849" s="769"/>
      <c r="N2849" s="769"/>
      <c r="O2849" s="769"/>
      <c r="P2849" s="769"/>
      <c r="Q2849" s="769"/>
    </row>
    <row r="2850" spans="2:17" s="57" customFormat="1" ht="12.5">
      <c r="B2850" s="766" t="s">
        <v>1675</v>
      </c>
      <c r="C2850" s="1776">
        <f>CR!C440</f>
        <v>0</v>
      </c>
      <c r="D2850" s="632">
        <f>CR!D440</f>
        <v>0</v>
      </c>
      <c r="E2850" s="632">
        <f>CR!E440</f>
        <v>0</v>
      </c>
      <c r="F2850" s="632">
        <f>CR!F440</f>
        <v>0</v>
      </c>
      <c r="G2850" s="632">
        <f>CR!G440</f>
        <v>0</v>
      </c>
      <c r="H2850" s="632">
        <f>CR!H440</f>
        <v>0</v>
      </c>
      <c r="I2850" s="632">
        <f>CR!I440</f>
        <v>0</v>
      </c>
      <c r="J2850" s="765">
        <f>CR!J440</f>
        <v>0</v>
      </c>
      <c r="K2850" s="769"/>
      <c r="L2850" s="769"/>
      <c r="M2850" s="769"/>
      <c r="N2850" s="769"/>
      <c r="O2850" s="769"/>
      <c r="P2850" s="769"/>
      <c r="Q2850" s="769"/>
    </row>
    <row r="2851" spans="2:17" s="57" customFormat="1" ht="12.5">
      <c r="B2851" s="766"/>
      <c r="C2851" s="1776"/>
      <c r="D2851" s="632"/>
      <c r="E2851" s="632"/>
      <c r="F2851" s="632"/>
      <c r="G2851" s="632"/>
      <c r="H2851" s="632"/>
      <c r="I2851" s="632"/>
      <c r="J2851" s="765"/>
      <c r="K2851" s="769"/>
    </row>
    <row r="2852" spans="2:17" s="57" customFormat="1" ht="13">
      <c r="B2852" s="708" t="s">
        <v>1328</v>
      </c>
      <c r="C2852" s="1776"/>
      <c r="D2852" s="632"/>
      <c r="E2852" s="632"/>
      <c r="F2852" s="632"/>
      <c r="G2852" s="632"/>
      <c r="H2852" s="632"/>
      <c r="I2852" s="632"/>
      <c r="J2852" s="765"/>
      <c r="K2852" s="769"/>
    </row>
    <row r="2853" spans="2:17" s="57" customFormat="1" ht="25">
      <c r="B2853" s="766" t="s">
        <v>2111</v>
      </c>
      <c r="C2853" s="1776">
        <v>4</v>
      </c>
      <c r="D2853" s="632">
        <v>4</v>
      </c>
      <c r="E2853" s="632">
        <f>CW!E413</f>
        <v>4</v>
      </c>
      <c r="F2853" s="632">
        <f>CW!F413</f>
        <v>6</v>
      </c>
      <c r="G2853" s="632">
        <f>CW!G413</f>
        <v>6</v>
      </c>
      <c r="H2853" s="632">
        <f>CW!H413</f>
        <v>6</v>
      </c>
      <c r="I2853" s="632">
        <f>CW!I413</f>
        <v>6</v>
      </c>
      <c r="J2853" s="765">
        <f>CW!J413</f>
        <v>6</v>
      </c>
      <c r="K2853" s="769"/>
      <c r="L2853" s="769"/>
      <c r="M2853" s="769"/>
      <c r="N2853" s="769"/>
      <c r="O2853" s="769"/>
      <c r="P2853" s="769"/>
      <c r="Q2853" s="769"/>
    </row>
    <row r="2854" spans="2:17" s="57" customFormat="1" ht="12.5">
      <c r="B2854" s="1772"/>
      <c r="C2854" s="1776"/>
      <c r="D2854" s="632"/>
      <c r="E2854" s="632"/>
      <c r="F2854" s="632"/>
      <c r="G2854" s="632"/>
      <c r="H2854" s="632"/>
      <c r="I2854" s="632"/>
      <c r="J2854" s="765"/>
      <c r="K2854" s="769"/>
      <c r="L2854" s="769"/>
      <c r="M2854" s="769"/>
      <c r="N2854" s="769"/>
      <c r="O2854" s="769"/>
      <c r="P2854" s="769"/>
      <c r="Q2854" s="769"/>
    </row>
    <row r="2855" spans="2:17" s="57" customFormat="1" ht="13">
      <c r="B2855" s="1754" t="s">
        <v>1047</v>
      </c>
      <c r="C2855" s="1776"/>
      <c r="D2855" s="632"/>
      <c r="E2855" s="632"/>
      <c r="F2855" s="632"/>
      <c r="G2855" s="632"/>
      <c r="H2855" s="632"/>
      <c r="I2855" s="632"/>
      <c r="J2855" s="765"/>
      <c r="K2855" s="769"/>
      <c r="L2855" s="769"/>
      <c r="M2855" s="769"/>
      <c r="N2855" s="769"/>
      <c r="O2855" s="769"/>
      <c r="P2855" s="769"/>
      <c r="Q2855" s="769"/>
    </row>
    <row r="2856" spans="2:17" s="57" customFormat="1" ht="12.5">
      <c r="B2856" s="1909" t="s">
        <v>858</v>
      </c>
      <c r="C2856" s="1776">
        <f>EC!C430</f>
        <v>35</v>
      </c>
      <c r="D2856" s="632">
        <f>EC!D430</f>
        <v>39</v>
      </c>
      <c r="E2856" s="632">
        <f>EC!E430</f>
        <v>39</v>
      </c>
      <c r="F2856" s="632">
        <f>EC!F430</f>
        <v>39</v>
      </c>
      <c r="G2856" s="632">
        <f>EC!G430</f>
        <v>35</v>
      </c>
      <c r="H2856" s="632">
        <f>EC!H430</f>
        <v>34</v>
      </c>
      <c r="I2856" s="632">
        <f>EC!I430</f>
        <v>32</v>
      </c>
      <c r="J2856" s="765">
        <f>EC!J430</f>
        <v>32</v>
      </c>
      <c r="K2856" s="769"/>
      <c r="L2856" s="769"/>
      <c r="M2856" s="769"/>
      <c r="N2856" s="769"/>
      <c r="O2856" s="769"/>
      <c r="P2856" s="769"/>
      <c r="Q2856" s="769"/>
    </row>
    <row r="2857" spans="2:17" s="57" customFormat="1" ht="12.5">
      <c r="B2857" s="710"/>
      <c r="C2857" s="1776"/>
      <c r="D2857" s="632"/>
      <c r="E2857" s="632"/>
      <c r="F2857" s="632"/>
      <c r="G2857" s="632"/>
      <c r="H2857" s="632"/>
      <c r="I2857" s="632"/>
      <c r="J2857" s="765"/>
      <c r="K2857" s="644"/>
      <c r="L2857" s="644"/>
      <c r="M2857" s="644"/>
      <c r="N2857" s="644"/>
      <c r="O2857" s="644"/>
      <c r="P2857" s="644"/>
      <c r="Q2857" s="644"/>
    </row>
    <row r="2858" spans="2:17" s="57" customFormat="1" ht="13">
      <c r="B2858" s="708" t="s">
        <v>1048</v>
      </c>
      <c r="C2858" s="1776"/>
      <c r="D2858" s="632"/>
      <c r="E2858" s="632"/>
      <c r="F2858" s="632"/>
      <c r="G2858" s="632"/>
      <c r="H2858" s="632"/>
      <c r="I2858" s="632"/>
      <c r="J2858" s="765"/>
      <c r="K2858" s="644"/>
      <c r="L2858" s="644"/>
      <c r="M2858" s="644"/>
      <c r="N2858" s="644"/>
      <c r="O2858" s="644"/>
      <c r="P2858" s="644"/>
      <c r="Q2858" s="644"/>
    </row>
    <row r="2859" spans="2:17" s="57" customFormat="1" ht="25">
      <c r="B2859" s="766" t="s">
        <v>1566</v>
      </c>
      <c r="C2859" s="1776">
        <f>SV!C397</f>
        <v>25</v>
      </c>
      <c r="D2859" s="632">
        <f>SV!D397</f>
        <v>25</v>
      </c>
      <c r="E2859" s="632">
        <f>SV!E397</f>
        <v>25</v>
      </c>
      <c r="F2859" s="632">
        <f>SV!F397</f>
        <v>27</v>
      </c>
      <c r="G2859" s="632">
        <f>SV!G397</f>
        <v>29</v>
      </c>
      <c r="H2859" s="632">
        <f>SV!H397</f>
        <v>29</v>
      </c>
      <c r="I2859" s="632">
        <f>SV!I397</f>
        <v>29</v>
      </c>
      <c r="J2859" s="765">
        <f>SV!J397</f>
        <v>24</v>
      </c>
      <c r="K2859" s="644"/>
      <c r="L2859" s="644"/>
      <c r="M2859" s="644"/>
      <c r="N2859" s="644"/>
      <c r="O2859" s="644"/>
      <c r="P2859" s="644"/>
      <c r="Q2859" s="644"/>
    </row>
    <row r="2860" spans="2:17" s="57" customFormat="1" ht="12.5">
      <c r="B2860" s="710"/>
      <c r="C2860" s="1776"/>
      <c r="D2860" s="632"/>
      <c r="E2860" s="632"/>
      <c r="F2860" s="632"/>
      <c r="G2860" s="632"/>
      <c r="H2860" s="632"/>
      <c r="I2860" s="632"/>
      <c r="J2860" s="765"/>
      <c r="K2860" s="644"/>
      <c r="L2860" s="644"/>
      <c r="M2860" s="644"/>
      <c r="N2860" s="644"/>
      <c r="O2860" s="644"/>
      <c r="P2860" s="644"/>
      <c r="Q2860" s="644"/>
    </row>
    <row r="2861" spans="2:17" s="57" customFormat="1" ht="13">
      <c r="B2861" s="708" t="s">
        <v>1049</v>
      </c>
      <c r="C2861" s="1776"/>
      <c r="D2861" s="632"/>
      <c r="E2861" s="632"/>
      <c r="F2861" s="632"/>
      <c r="G2861" s="632"/>
      <c r="H2861" s="632"/>
      <c r="I2861" s="632"/>
      <c r="J2861" s="765"/>
      <c r="K2861" s="644"/>
      <c r="L2861" s="644"/>
      <c r="M2861" s="644"/>
      <c r="N2861" s="644"/>
      <c r="O2861" s="644"/>
      <c r="P2861" s="644"/>
      <c r="Q2861" s="644"/>
    </row>
    <row r="2862" spans="2:17" s="57" customFormat="1" ht="12.5">
      <c r="B2862" s="700" t="s">
        <v>1297</v>
      </c>
      <c r="C2862" s="1776">
        <f>GT!C556</f>
        <v>0</v>
      </c>
      <c r="D2862" s="632">
        <f>GT!D556</f>
        <v>0</v>
      </c>
      <c r="E2862" s="632">
        <f>GT!E556</f>
        <v>19</v>
      </c>
      <c r="F2862" s="632">
        <f>GT!F556</f>
        <v>17</v>
      </c>
      <c r="G2862" s="632">
        <f>GT!G556</f>
        <v>16</v>
      </c>
      <c r="H2862" s="632">
        <f>GT!H556</f>
        <v>15</v>
      </c>
      <c r="I2862" s="632">
        <f>GT!I556</f>
        <v>17</v>
      </c>
      <c r="J2862" s="765">
        <f>GT!J556</f>
        <v>17</v>
      </c>
      <c r="K2862" s="644"/>
      <c r="L2862" s="644"/>
      <c r="M2862" s="644"/>
      <c r="N2862" s="644"/>
      <c r="O2862" s="644"/>
      <c r="P2862" s="644"/>
      <c r="Q2862" s="644"/>
    </row>
    <row r="2863" spans="2:17" s="57" customFormat="1" ht="12.5">
      <c r="B2863" s="700" t="s">
        <v>1299</v>
      </c>
      <c r="C2863" s="1776">
        <f>GT!C594</f>
        <v>0</v>
      </c>
      <c r="D2863" s="632">
        <f>GT!D594</f>
        <v>0</v>
      </c>
      <c r="E2863" s="632">
        <f>GT!E594</f>
        <v>20</v>
      </c>
      <c r="F2863" s="632">
        <f>GT!F594</f>
        <v>20</v>
      </c>
      <c r="G2863" s="632">
        <f>GT!G594</f>
        <v>19</v>
      </c>
      <c r="H2863" s="632">
        <f>GT!H594</f>
        <v>19</v>
      </c>
      <c r="I2863" s="632">
        <f>GT!I594</f>
        <v>19</v>
      </c>
      <c r="J2863" s="765">
        <f>GT!J594</f>
        <v>21</v>
      </c>
      <c r="K2863" s="644"/>
      <c r="L2863" s="644"/>
      <c r="M2863" s="644"/>
      <c r="N2863" s="644"/>
      <c r="O2863" s="644"/>
      <c r="P2863" s="644"/>
      <c r="Q2863" s="644"/>
    </row>
    <row r="2864" spans="2:17" s="57" customFormat="1" ht="12.5">
      <c r="B2864" s="700" t="s">
        <v>1301</v>
      </c>
      <c r="C2864" s="1776">
        <f>GT!C575</f>
        <v>0</v>
      </c>
      <c r="D2864" s="632">
        <f>GT!D575</f>
        <v>0</v>
      </c>
      <c r="E2864" s="632">
        <f>GT!E575</f>
        <v>16</v>
      </c>
      <c r="F2864" s="632">
        <f>GT!F575</f>
        <v>16</v>
      </c>
      <c r="G2864" s="632">
        <f>GT!G575</f>
        <v>16</v>
      </c>
      <c r="H2864" s="632">
        <f>GT!H575</f>
        <v>16</v>
      </c>
      <c r="I2864" s="632">
        <f>GT!I575</f>
        <v>17</v>
      </c>
      <c r="J2864" s="765">
        <f>GT!J575</f>
        <v>17</v>
      </c>
      <c r="K2864" s="644"/>
      <c r="L2864" s="644"/>
      <c r="M2864" s="644"/>
      <c r="N2864" s="644"/>
      <c r="O2864" s="644"/>
      <c r="P2864" s="644"/>
      <c r="Q2864" s="644"/>
    </row>
    <row r="2865" spans="2:17" s="57" customFormat="1" ht="12.5">
      <c r="B2865" s="700"/>
      <c r="C2865" s="1776"/>
      <c r="D2865" s="632"/>
      <c r="E2865" s="632"/>
      <c r="F2865" s="632"/>
      <c r="G2865" s="632"/>
      <c r="H2865" s="632"/>
      <c r="I2865" s="632"/>
      <c r="J2865" s="765"/>
      <c r="K2865" s="644"/>
      <c r="L2865" s="644"/>
      <c r="M2865" s="644"/>
      <c r="N2865" s="644"/>
      <c r="O2865" s="644"/>
      <c r="P2865" s="644"/>
      <c r="Q2865" s="644"/>
    </row>
    <row r="2866" spans="2:17" s="57" customFormat="1" ht="13">
      <c r="B2866" s="708" t="s">
        <v>1050</v>
      </c>
      <c r="C2866" s="1776"/>
      <c r="D2866" s="632"/>
      <c r="E2866" s="632"/>
      <c r="F2866" s="632"/>
      <c r="G2866" s="632"/>
      <c r="H2866" s="632"/>
      <c r="I2866" s="632"/>
      <c r="J2866" s="765"/>
      <c r="K2866" s="644"/>
      <c r="L2866" s="644"/>
      <c r="M2866" s="644"/>
      <c r="N2866" s="644"/>
      <c r="O2866" s="644"/>
      <c r="P2866" s="644"/>
      <c r="Q2866" s="644"/>
    </row>
    <row r="2867" spans="2:17" s="57" customFormat="1" ht="12.5">
      <c r="B2867" s="700" t="s">
        <v>1303</v>
      </c>
      <c r="C2867" s="1776">
        <f>HN!C458</f>
        <v>41</v>
      </c>
      <c r="D2867" s="632">
        <f>HN!D458</f>
        <v>56</v>
      </c>
      <c r="E2867" s="632">
        <f>HN!E458</f>
        <v>53</v>
      </c>
      <c r="F2867" s="632">
        <f>HN!F458</f>
        <v>52</v>
      </c>
      <c r="G2867" s="632">
        <f>HN!G458</f>
        <v>52</v>
      </c>
      <c r="H2867" s="632">
        <f>HN!H458</f>
        <v>52</v>
      </c>
      <c r="I2867" s="632">
        <f>HN!I458</f>
        <v>52</v>
      </c>
      <c r="J2867" s="765">
        <f>HN!J458</f>
        <v>52</v>
      </c>
      <c r="K2867" s="644"/>
      <c r="L2867" s="644"/>
      <c r="M2867" s="644"/>
      <c r="N2867" s="644"/>
      <c r="O2867" s="644"/>
      <c r="P2867" s="644"/>
      <c r="Q2867" s="644"/>
    </row>
    <row r="2868" spans="2:17" s="57" customFormat="1" ht="12.5">
      <c r="B2868" s="700" t="s">
        <v>1591</v>
      </c>
      <c r="C2868" s="1776">
        <f>HN!C477</f>
        <v>0</v>
      </c>
      <c r="D2868" s="632">
        <f>HN!D477</f>
        <v>0</v>
      </c>
      <c r="E2868" s="632">
        <f>HN!E477</f>
        <v>0</v>
      </c>
      <c r="F2868" s="632">
        <f>HN!F477</f>
        <v>0</v>
      </c>
      <c r="G2868" s="632">
        <f>HN!G477</f>
        <v>0</v>
      </c>
      <c r="H2868" s="632">
        <f>HN!H477</f>
        <v>0</v>
      </c>
      <c r="I2868" s="632">
        <f>HN!I477</f>
        <v>0</v>
      </c>
      <c r="J2868" s="765">
        <f>HN!J477</f>
        <v>0</v>
      </c>
      <c r="K2868" s="644"/>
      <c r="L2868" s="644"/>
      <c r="M2868" s="644"/>
      <c r="N2868" s="644"/>
      <c r="O2868" s="644"/>
      <c r="P2868" s="644"/>
      <c r="Q2868" s="644"/>
    </row>
    <row r="2869" spans="2:17" s="57" customFormat="1" ht="12.5">
      <c r="B2869" s="700"/>
      <c r="C2869" s="1776"/>
      <c r="D2869" s="632"/>
      <c r="E2869" s="632"/>
      <c r="F2869" s="632"/>
      <c r="G2869" s="632"/>
      <c r="H2869" s="632"/>
      <c r="I2869" s="632"/>
      <c r="J2869" s="765"/>
      <c r="K2869" s="644"/>
      <c r="L2869" s="644"/>
      <c r="M2869" s="644"/>
      <c r="N2869" s="644"/>
      <c r="O2869" s="644"/>
      <c r="P2869" s="644"/>
      <c r="Q2869" s="644"/>
    </row>
    <row r="2870" spans="2:17" s="57" customFormat="1" ht="13">
      <c r="B2870" s="708" t="s">
        <v>1051</v>
      </c>
      <c r="C2870" s="1776"/>
      <c r="D2870" s="632"/>
      <c r="E2870" s="632"/>
      <c r="F2870" s="632"/>
      <c r="G2870" s="632"/>
      <c r="H2870" s="632"/>
      <c r="I2870" s="632"/>
      <c r="J2870" s="765"/>
      <c r="K2870" s="770"/>
      <c r="L2870" s="770"/>
      <c r="M2870" s="770"/>
      <c r="N2870" s="770"/>
      <c r="O2870" s="770"/>
      <c r="P2870" s="770"/>
      <c r="Q2870" s="769"/>
    </row>
    <row r="2871" spans="2:17" s="57" customFormat="1" ht="12.5">
      <c r="B2871" s="706" t="s">
        <v>1318</v>
      </c>
      <c r="C2871" s="1776">
        <f>JM!C450</f>
        <v>17</v>
      </c>
      <c r="D2871" s="632">
        <f>JM!D450</f>
        <v>22</v>
      </c>
      <c r="E2871" s="632">
        <f>JM!E450</f>
        <v>22</v>
      </c>
      <c r="F2871" s="632">
        <f>JM!F450</f>
        <v>19</v>
      </c>
      <c r="G2871" s="632">
        <f>JM!G450</f>
        <v>20</v>
      </c>
      <c r="H2871" s="632">
        <f>JM!H450</f>
        <v>19</v>
      </c>
      <c r="I2871" s="632">
        <f>JM!I450</f>
        <v>19</v>
      </c>
      <c r="J2871" s="765">
        <f>JM!J450</f>
        <v>21</v>
      </c>
      <c r="K2871" s="770"/>
      <c r="L2871" s="770"/>
      <c r="M2871" s="770"/>
      <c r="N2871" s="770"/>
      <c r="O2871" s="770"/>
      <c r="P2871" s="770"/>
      <c r="Q2871" s="769"/>
    </row>
    <row r="2872" spans="2:17" s="57" customFormat="1" ht="12.5">
      <c r="B2872" s="706" t="s">
        <v>1591</v>
      </c>
      <c r="C2872" s="1776">
        <f>JM!C469</f>
        <v>0</v>
      </c>
      <c r="D2872" s="632">
        <f>JM!D469</f>
        <v>0</v>
      </c>
      <c r="E2872" s="632">
        <f>JM!E469</f>
        <v>0</v>
      </c>
      <c r="F2872" s="632">
        <f>JM!F469</f>
        <v>0</v>
      </c>
      <c r="G2872" s="632">
        <f>JM!G469</f>
        <v>0</v>
      </c>
      <c r="H2872" s="632">
        <f>JM!H469</f>
        <v>0</v>
      </c>
      <c r="I2872" s="632">
        <f>JM!I469</f>
        <v>0</v>
      </c>
      <c r="J2872" s="765">
        <f>JM!J469</f>
        <v>0</v>
      </c>
      <c r="K2872" s="770"/>
      <c r="L2872" s="770"/>
      <c r="M2872" s="770"/>
      <c r="N2872" s="770"/>
      <c r="O2872" s="770"/>
      <c r="P2872" s="770"/>
      <c r="Q2872" s="769"/>
    </row>
    <row r="2873" spans="2:17" s="57" customFormat="1" ht="12.5">
      <c r="B2873" s="1752"/>
      <c r="C2873" s="1776"/>
      <c r="D2873" s="632"/>
      <c r="E2873" s="632"/>
      <c r="F2873" s="632"/>
      <c r="G2873" s="632"/>
      <c r="H2873" s="632"/>
      <c r="I2873" s="632"/>
      <c r="J2873" s="765"/>
      <c r="K2873" s="770"/>
      <c r="L2873" s="770"/>
      <c r="M2873" s="770"/>
      <c r="N2873" s="770"/>
      <c r="O2873" s="770"/>
      <c r="P2873" s="770"/>
      <c r="Q2873" s="769"/>
    </row>
    <row r="2874" spans="2:17" s="57" customFormat="1" ht="13">
      <c r="B2874" s="708" t="s">
        <v>1052</v>
      </c>
      <c r="C2874" s="1776"/>
      <c r="D2874" s="632"/>
      <c r="E2874" s="632"/>
      <c r="F2874" s="632"/>
      <c r="G2874" s="632"/>
      <c r="H2874" s="632"/>
      <c r="I2874" s="632"/>
      <c r="J2874" s="765"/>
      <c r="K2874" s="770"/>
      <c r="L2874" s="770"/>
      <c r="M2874" s="770"/>
      <c r="N2874" s="770"/>
      <c r="O2874" s="770"/>
      <c r="P2874" s="770"/>
      <c r="Q2874" s="769"/>
    </row>
    <row r="2875" spans="2:17" s="57" customFormat="1" ht="12.5">
      <c r="B2875" s="766" t="s">
        <v>486</v>
      </c>
      <c r="C2875" s="1776">
        <f>RD!C510</f>
        <v>0</v>
      </c>
      <c r="D2875" s="632">
        <f>RD!D510</f>
        <v>0</v>
      </c>
      <c r="E2875" s="632">
        <f>RD!E510</f>
        <v>0</v>
      </c>
      <c r="F2875" s="632">
        <f>RD!F510</f>
        <v>0</v>
      </c>
      <c r="G2875" s="632">
        <f>RD!G510</f>
        <v>0</v>
      </c>
      <c r="H2875" s="632">
        <f>RD!H510</f>
        <v>0</v>
      </c>
      <c r="I2875" s="632">
        <f>RD!I510</f>
        <v>0</v>
      </c>
      <c r="J2875" s="765">
        <f>RD!J510</f>
        <v>0</v>
      </c>
      <c r="K2875" s="770"/>
      <c r="L2875" s="770"/>
      <c r="M2875" s="770"/>
      <c r="N2875" s="770"/>
      <c r="O2875" s="770"/>
      <c r="P2875" s="770"/>
      <c r="Q2875" s="769"/>
    </row>
    <row r="2876" spans="2:17" s="57" customFormat="1" ht="12.5">
      <c r="B2876" s="706"/>
      <c r="C2876" s="1776"/>
      <c r="D2876" s="632"/>
      <c r="E2876" s="632"/>
      <c r="F2876" s="632"/>
      <c r="G2876" s="632"/>
      <c r="H2876" s="632"/>
      <c r="I2876" s="632"/>
      <c r="J2876" s="765"/>
      <c r="K2876" s="770"/>
      <c r="L2876" s="770"/>
      <c r="M2876" s="770"/>
      <c r="N2876" s="770"/>
      <c r="O2876" s="770"/>
      <c r="P2876" s="770"/>
      <c r="Q2876" s="769"/>
    </row>
    <row r="2877" spans="2:17" s="57" customFormat="1" ht="13">
      <c r="B2877" s="708" t="s">
        <v>1053</v>
      </c>
      <c r="C2877" s="1776"/>
      <c r="D2877" s="632"/>
      <c r="E2877" s="632"/>
      <c r="F2877" s="632"/>
      <c r="G2877" s="632"/>
      <c r="H2877" s="632"/>
      <c r="I2877" s="632"/>
      <c r="J2877" s="765"/>
      <c r="K2877" s="644"/>
      <c r="L2877" s="644"/>
      <c r="M2877" s="644"/>
      <c r="N2877" s="644"/>
      <c r="O2877" s="644"/>
      <c r="P2877" s="644"/>
      <c r="Q2877" s="644"/>
    </row>
    <row r="2878" spans="2:17" s="57" customFormat="1" ht="12.5">
      <c r="B2878" s="716" t="s">
        <v>94</v>
      </c>
      <c r="C2878" s="1776">
        <f>PY!C772</f>
        <v>31</v>
      </c>
      <c r="D2878" s="632">
        <f>PY!D772</f>
        <v>31</v>
      </c>
      <c r="E2878" s="632">
        <f>PY!E772</f>
        <v>29</v>
      </c>
      <c r="F2878" s="632">
        <f>PY!F772</f>
        <v>29</v>
      </c>
      <c r="G2878" s="632">
        <f>PY!G772</f>
        <v>29</v>
      </c>
      <c r="H2878" s="632">
        <f>PY!H772</f>
        <v>29</v>
      </c>
      <c r="I2878" s="632">
        <f>PY!I772</f>
        <v>29</v>
      </c>
      <c r="J2878" s="765">
        <f>PY!J772</f>
        <v>29</v>
      </c>
      <c r="K2878" s="644"/>
      <c r="L2878" s="644"/>
      <c r="M2878" s="644"/>
      <c r="N2878" s="644"/>
      <c r="O2878" s="644"/>
      <c r="P2878" s="644"/>
      <c r="Q2878" s="644"/>
    </row>
    <row r="2879" spans="2:17" s="57" customFormat="1" ht="12.5">
      <c r="B2879" s="716" t="s">
        <v>489</v>
      </c>
      <c r="C2879" s="1776">
        <f>PY!C791</f>
        <v>0</v>
      </c>
      <c r="D2879" s="632">
        <f>PY!D791</f>
        <v>31</v>
      </c>
      <c r="E2879" s="632">
        <f>PY!E791</f>
        <v>29</v>
      </c>
      <c r="F2879" s="632">
        <f>PY!F791</f>
        <v>29</v>
      </c>
      <c r="G2879" s="632">
        <f>PY!G791</f>
        <v>29</v>
      </c>
      <c r="H2879" s="632">
        <f>PY!H791</f>
        <v>29</v>
      </c>
      <c r="I2879" s="632">
        <f>PY!I791</f>
        <v>29</v>
      </c>
      <c r="J2879" s="765">
        <f>PY!J791</f>
        <v>29</v>
      </c>
      <c r="K2879" s="644"/>
      <c r="L2879" s="644"/>
      <c r="M2879" s="644"/>
      <c r="N2879" s="644"/>
      <c r="O2879" s="644"/>
      <c r="P2879" s="644"/>
      <c r="Q2879" s="644"/>
    </row>
    <row r="2880" spans="2:17" s="57" customFormat="1" ht="12.5">
      <c r="B2880" s="716"/>
      <c r="C2880" s="1776"/>
      <c r="D2880" s="632"/>
      <c r="E2880" s="632"/>
      <c r="F2880" s="632"/>
      <c r="G2880" s="632"/>
      <c r="H2880" s="632"/>
      <c r="I2880" s="632"/>
      <c r="J2880" s="765"/>
      <c r="K2880" s="644"/>
      <c r="L2880" s="644"/>
      <c r="M2880" s="644"/>
      <c r="N2880" s="644"/>
      <c r="O2880" s="644"/>
      <c r="P2880" s="644"/>
      <c r="Q2880" s="644"/>
    </row>
    <row r="2881" spans="2:17" s="57" customFormat="1" ht="13">
      <c r="B2881" s="708" t="s">
        <v>1054</v>
      </c>
      <c r="C2881" s="1776"/>
      <c r="D2881" s="632"/>
      <c r="E2881" s="632"/>
      <c r="F2881" s="632"/>
      <c r="G2881" s="632"/>
      <c r="H2881" s="632"/>
      <c r="I2881" s="632"/>
      <c r="J2881" s="765"/>
      <c r="K2881" s="644"/>
      <c r="L2881" s="644"/>
      <c r="M2881" s="644"/>
      <c r="N2881" s="644"/>
      <c r="O2881" s="644"/>
      <c r="P2881" s="644"/>
      <c r="Q2881" s="644"/>
    </row>
    <row r="2882" spans="2:17" s="57" customFormat="1" ht="12.5">
      <c r="B2882" s="716" t="s">
        <v>1329</v>
      </c>
      <c r="C2882" s="1776">
        <f>PE!C432</f>
        <v>25</v>
      </c>
      <c r="D2882" s="632">
        <f>PE!D432</f>
        <v>24</v>
      </c>
      <c r="E2882" s="632">
        <f>PE!E432</f>
        <v>24</v>
      </c>
      <c r="F2882" s="632">
        <f>PE!F432</f>
        <v>23</v>
      </c>
      <c r="G2882" s="632">
        <f>PE!G432</f>
        <v>22</v>
      </c>
      <c r="H2882" s="632">
        <f>PE!H432</f>
        <v>21</v>
      </c>
      <c r="I2882" s="632">
        <f>PE!I432</f>
        <v>21</v>
      </c>
      <c r="J2882" s="765">
        <f>PE!J432</f>
        <v>21</v>
      </c>
      <c r="K2882" s="644"/>
      <c r="L2882" s="644"/>
      <c r="M2882" s="644"/>
      <c r="N2882" s="644"/>
      <c r="O2882" s="644"/>
      <c r="P2882" s="644"/>
      <c r="Q2882" s="644"/>
    </row>
    <row r="2883" spans="2:17" s="57" customFormat="1" ht="12.5">
      <c r="B2883" s="716"/>
      <c r="C2883" s="1776"/>
      <c r="D2883" s="632"/>
      <c r="E2883" s="632"/>
      <c r="F2883" s="632"/>
      <c r="G2883" s="632"/>
      <c r="H2883" s="632"/>
      <c r="I2883" s="632"/>
      <c r="J2883" s="765"/>
      <c r="K2883" s="644"/>
      <c r="L2883" s="644"/>
      <c r="M2883" s="644"/>
      <c r="N2883" s="644"/>
      <c r="O2883" s="644"/>
      <c r="P2883" s="644"/>
      <c r="Q2883" s="644"/>
    </row>
    <row r="2884" spans="2:17" s="57" customFormat="1" ht="13">
      <c r="B2884" s="708" t="s">
        <v>1055</v>
      </c>
      <c r="C2884" s="1776"/>
      <c r="D2884" s="632"/>
      <c r="E2884" s="632"/>
      <c r="F2884" s="632"/>
      <c r="G2884" s="632"/>
      <c r="H2884" s="632"/>
      <c r="I2884" s="632"/>
      <c r="J2884" s="765"/>
      <c r="K2884" s="644"/>
      <c r="L2884" s="644"/>
      <c r="M2884" s="644"/>
      <c r="N2884" s="644"/>
      <c r="O2884" s="644"/>
      <c r="P2884" s="644"/>
      <c r="Q2884" s="644"/>
    </row>
    <row r="2885" spans="2:17" s="57" customFormat="1" ht="25">
      <c r="B2885" s="766" t="s">
        <v>1852</v>
      </c>
      <c r="C2885" s="1776">
        <f>TT!C501</f>
        <v>7</v>
      </c>
      <c r="D2885" s="632">
        <f>TT!D501</f>
        <v>7</v>
      </c>
      <c r="E2885" s="632">
        <f>TT!E501</f>
        <v>6</v>
      </c>
      <c r="F2885" s="632">
        <f>TT!F501</f>
        <v>6</v>
      </c>
      <c r="G2885" s="632">
        <f>TT!G501</f>
        <v>6</v>
      </c>
      <c r="H2885" s="632">
        <f>TT!H501</f>
        <v>6</v>
      </c>
      <c r="I2885" s="632">
        <f>TT!I501</f>
        <v>6</v>
      </c>
      <c r="J2885" s="765">
        <f>TT!J501</f>
        <v>7</v>
      </c>
      <c r="K2885" s="644"/>
      <c r="L2885" s="644"/>
      <c r="M2885" s="644"/>
      <c r="N2885" s="644"/>
      <c r="O2885" s="644"/>
      <c r="P2885" s="644"/>
      <c r="Q2885" s="644"/>
    </row>
    <row r="2886" spans="2:17" s="57" customFormat="1" ht="12.5">
      <c r="B2886" s="726" t="s">
        <v>1309</v>
      </c>
      <c r="C2886" s="771">
        <f>TT!C520</f>
        <v>16</v>
      </c>
      <c r="D2886" s="772">
        <f>TT!D520</f>
        <v>16</v>
      </c>
      <c r="E2886" s="772">
        <f>TT!E520</f>
        <v>16</v>
      </c>
      <c r="F2886" s="772">
        <f>TT!F520</f>
        <v>16</v>
      </c>
      <c r="G2886" s="772">
        <f>TT!G520</f>
        <v>16</v>
      </c>
      <c r="H2886" s="772">
        <f>TT!H520</f>
        <v>17</v>
      </c>
      <c r="I2886" s="772">
        <f>TT!I520</f>
        <v>17</v>
      </c>
      <c r="J2886" s="773">
        <f>TT!J520</f>
        <v>20</v>
      </c>
      <c r="K2886" s="644"/>
      <c r="L2886" s="644"/>
      <c r="M2886" s="644"/>
      <c r="N2886" s="644"/>
      <c r="O2886" s="644"/>
      <c r="P2886" s="644"/>
      <c r="Q2886" s="644"/>
    </row>
    <row r="2887" spans="2:17" s="57" customFormat="1" ht="12.5">
      <c r="B2887" s="619"/>
      <c r="C2887" s="622"/>
      <c r="D2887" s="622"/>
      <c r="E2887" s="644"/>
      <c r="F2887" s="644"/>
      <c r="G2887" s="644"/>
      <c r="H2887" s="644"/>
      <c r="I2887" s="644"/>
      <c r="J2887" s="644"/>
      <c r="K2887" s="644"/>
      <c r="L2887" s="644"/>
      <c r="M2887" s="644"/>
      <c r="N2887" s="644"/>
      <c r="O2887" s="644"/>
      <c r="P2887" s="644"/>
      <c r="Q2887" s="644"/>
    </row>
    <row r="2888" spans="2:17" s="57" customFormat="1" ht="13">
      <c r="B2888" s="2250" t="s">
        <v>754</v>
      </c>
      <c r="C2888" s="2250"/>
      <c r="D2888" s="2250"/>
      <c r="E2888" s="2250"/>
      <c r="F2888" s="2250"/>
      <c r="G2888" s="2250"/>
      <c r="H2888" s="2250"/>
      <c r="I2888" s="2250"/>
      <c r="J2888" s="2250"/>
      <c r="K2888" s="2250"/>
      <c r="L2888" s="2250"/>
      <c r="M2888" s="2250"/>
      <c r="N2888" s="2250"/>
      <c r="O2888" s="2250"/>
      <c r="P2888" s="2250"/>
      <c r="Q2888" s="2250"/>
    </row>
    <row r="2889" spans="2:17" s="57" customFormat="1" ht="13">
      <c r="B2889" s="2243" t="s">
        <v>753</v>
      </c>
      <c r="C2889" s="2243"/>
      <c r="D2889" s="2243"/>
      <c r="E2889" s="2243"/>
      <c r="F2889" s="2243"/>
      <c r="G2889" s="2243"/>
      <c r="H2889" s="2243"/>
      <c r="I2889" s="2243"/>
      <c r="J2889" s="2243"/>
      <c r="K2889" s="2243"/>
      <c r="L2889" s="2243"/>
      <c r="M2889" s="2243"/>
      <c r="N2889" s="2243"/>
      <c r="O2889" s="2243"/>
      <c r="P2889" s="2243"/>
      <c r="Q2889" s="2243"/>
    </row>
    <row r="2890" spans="2:17" s="57" customFormat="1" ht="13">
      <c r="B2890" s="581" t="s">
        <v>1035</v>
      </c>
      <c r="C2890" s="611"/>
      <c r="D2890" s="611"/>
      <c r="E2890" s="644"/>
      <c r="F2890" s="644"/>
      <c r="G2890" s="644"/>
      <c r="H2890" s="644"/>
      <c r="I2890" s="644"/>
      <c r="J2890" s="644"/>
      <c r="K2890" s="644"/>
      <c r="L2890" s="644"/>
      <c r="M2890" s="644"/>
      <c r="N2890" s="644"/>
      <c r="O2890" s="644"/>
      <c r="P2890" s="644"/>
      <c r="Q2890" s="644"/>
    </row>
    <row r="2891" spans="2:17" s="57" customFormat="1" ht="13">
      <c r="B2891" s="612" t="s">
        <v>2154</v>
      </c>
      <c r="C2891" s="613"/>
      <c r="D2891" s="613"/>
      <c r="E2891" s="644"/>
      <c r="F2891" s="644"/>
      <c r="G2891" s="644"/>
      <c r="H2891" s="644"/>
      <c r="I2891" s="644"/>
      <c r="J2891" s="644"/>
      <c r="K2891" s="644"/>
      <c r="L2891" s="644"/>
      <c r="M2891" s="644"/>
      <c r="N2891" s="644"/>
      <c r="O2891" s="644"/>
      <c r="P2891" s="644"/>
      <c r="Q2891" s="644"/>
    </row>
    <row r="2892" spans="2:17" s="57" customFormat="1" ht="12.5">
      <c r="B2892" s="2233" t="s">
        <v>11</v>
      </c>
      <c r="C2892" s="2230" t="s">
        <v>1330</v>
      </c>
      <c r="D2892" s="2231"/>
      <c r="E2892" s="2231"/>
      <c r="F2892" s="2231"/>
      <c r="G2892" s="2231"/>
      <c r="H2892" s="2231"/>
      <c r="I2892" s="2231"/>
      <c r="J2892" s="2232"/>
      <c r="K2892" s="1955"/>
      <c r="L2892" s="1955"/>
      <c r="M2892" s="1955"/>
      <c r="N2892" s="1955"/>
      <c r="O2892" s="1955"/>
      <c r="P2892" s="1955"/>
      <c r="Q2892" s="1955"/>
    </row>
    <row r="2893" spans="2:17" s="57" customFormat="1" ht="12.5">
      <c r="B2893" s="2251"/>
      <c r="C2893" s="587">
        <v>2014</v>
      </c>
      <c r="D2893" s="588">
        <v>2015</v>
      </c>
      <c r="E2893" s="588">
        <v>2016</v>
      </c>
      <c r="F2893" s="588">
        <v>2017</v>
      </c>
      <c r="G2893" s="588">
        <v>2018</v>
      </c>
      <c r="H2893" s="588">
        <v>2019</v>
      </c>
      <c r="I2893" s="588">
        <v>2020</v>
      </c>
      <c r="J2893" s="848">
        <v>2021</v>
      </c>
      <c r="K2893" s="621"/>
      <c r="L2893" s="621"/>
      <c r="M2893" s="621"/>
      <c r="N2893" s="621"/>
      <c r="O2893" s="621"/>
      <c r="P2893" s="621"/>
      <c r="Q2893" s="621"/>
    </row>
    <row r="2894" spans="2:17" s="57" customFormat="1" ht="13">
      <c r="B2894" s="752" t="s">
        <v>1038</v>
      </c>
      <c r="C2894" s="761"/>
      <c r="D2894" s="755"/>
      <c r="E2894" s="755"/>
      <c r="F2894" s="755"/>
      <c r="G2894" s="755"/>
      <c r="H2894" s="755"/>
      <c r="I2894" s="755"/>
      <c r="J2894" s="756"/>
      <c r="K2894" s="622"/>
      <c r="L2894" s="622"/>
      <c r="M2894" s="622"/>
      <c r="N2894" s="644"/>
      <c r="O2894" s="644"/>
      <c r="P2894" s="644"/>
      <c r="Q2894" s="644"/>
    </row>
    <row r="2895" spans="2:17" s="57" customFormat="1" ht="12.5">
      <c r="B2895" s="704" t="s">
        <v>70</v>
      </c>
      <c r="C2895" s="1700">
        <f>ARG!C851</f>
        <v>237.76600000000002</v>
      </c>
      <c r="D2895" s="679">
        <f>ARG!D851</f>
        <v>251.13900000000001</v>
      </c>
      <c r="E2895" s="679">
        <f>ARG!E851</f>
        <v>279.24700000000001</v>
      </c>
      <c r="F2895" s="679">
        <f>ARG!F851</f>
        <v>284.46100000000001</v>
      </c>
      <c r="G2895" s="679">
        <f>ARG!G851</f>
        <v>715.50099999999998</v>
      </c>
      <c r="H2895" s="679">
        <f>ARG!H851</f>
        <v>17</v>
      </c>
      <c r="I2895" s="679">
        <f>ARG!I851</f>
        <v>107</v>
      </c>
      <c r="J2895" s="680">
        <f>ARG!J851</f>
        <v>0.16</v>
      </c>
      <c r="K2895" s="745"/>
      <c r="L2895" s="745"/>
      <c r="M2895" s="745"/>
      <c r="N2895" s="776"/>
      <c r="O2895" s="776"/>
      <c r="P2895" s="776"/>
      <c r="Q2895" s="776"/>
    </row>
    <row r="2896" spans="2:17" s="57" customFormat="1" ht="25">
      <c r="B2896" s="716" t="s">
        <v>67</v>
      </c>
      <c r="C2896" s="1700">
        <f>ARG!C835</f>
        <v>1.4140000000000001</v>
      </c>
      <c r="D2896" s="679">
        <f>ARG!D835</f>
        <v>1.4770000000000001</v>
      </c>
      <c r="E2896" s="679">
        <f>ARG!E835</f>
        <v>1.405</v>
      </c>
      <c r="F2896" s="679">
        <f>ARG!F835</f>
        <v>1.4219999999999999</v>
      </c>
      <c r="G2896" s="679">
        <f>ARG!G835</f>
        <v>1.454</v>
      </c>
      <c r="H2896" s="679">
        <f>ARG!H835</f>
        <v>1.0329999999999999</v>
      </c>
      <c r="I2896" s="679">
        <f>ARG!I835</f>
        <v>0.81699999999999995</v>
      </c>
      <c r="J2896" s="680">
        <f>ARG!J835</f>
        <v>0.88400000000000001</v>
      </c>
      <c r="K2896" s="745"/>
      <c r="L2896" s="745"/>
      <c r="M2896" s="745"/>
      <c r="N2896" s="776"/>
      <c r="O2896" s="776"/>
      <c r="P2896" s="776"/>
      <c r="Q2896" s="776"/>
    </row>
    <row r="2897" spans="2:17" s="57" customFormat="1" ht="37.5">
      <c r="B2897" s="716" t="s">
        <v>64</v>
      </c>
      <c r="C2897" s="1776">
        <f>ARG!C843</f>
        <v>0</v>
      </c>
      <c r="D2897" s="632">
        <f>ARG!D843</f>
        <v>35</v>
      </c>
      <c r="E2897" s="632">
        <f>ARG!E843</f>
        <v>39</v>
      </c>
      <c r="F2897" s="632">
        <f>ARG!F843</f>
        <v>45</v>
      </c>
      <c r="G2897" s="632">
        <f>ARG!G843</f>
        <v>70</v>
      </c>
      <c r="H2897" s="632">
        <f>ARG!H843</f>
        <v>44</v>
      </c>
      <c r="I2897" s="632">
        <f>ARG!I843</f>
        <v>30</v>
      </c>
      <c r="J2897" s="765">
        <f>ARG!J843</f>
        <v>77.103999999999999</v>
      </c>
      <c r="K2897" s="745"/>
      <c r="L2897" s="745"/>
      <c r="M2897" s="745"/>
      <c r="N2897" s="776"/>
      <c r="O2897" s="776"/>
      <c r="P2897" s="776"/>
      <c r="Q2897" s="776"/>
    </row>
    <row r="2898" spans="2:17" s="57" customFormat="1" ht="37.5">
      <c r="B2898" s="716" t="s">
        <v>61</v>
      </c>
      <c r="C2898" s="1700">
        <f>ARG!C859</f>
        <v>1.044</v>
      </c>
      <c r="D2898" s="679">
        <f>ARG!D859</f>
        <v>1.036</v>
      </c>
      <c r="E2898" s="679">
        <f>ARG!E859</f>
        <v>0.97399999999999998</v>
      </c>
      <c r="F2898" s="679">
        <f>ARG!F859</f>
        <v>0.96</v>
      </c>
      <c r="G2898" s="679">
        <f>ARG!G859</f>
        <v>0.80899999999999994</v>
      </c>
      <c r="H2898" s="679">
        <f>ARG!H859</f>
        <v>1.3120000000000001</v>
      </c>
      <c r="I2898" s="679">
        <f>ARG!I859</f>
        <v>1.849</v>
      </c>
      <c r="J2898" s="680">
        <f>ARG!J859</f>
        <v>0.89</v>
      </c>
      <c r="K2898" s="745"/>
      <c r="L2898" s="745"/>
      <c r="M2898" s="745"/>
      <c r="N2898" s="776"/>
      <c r="O2898" s="776"/>
      <c r="P2898" s="776"/>
      <c r="Q2898" s="776"/>
    </row>
    <row r="2899" spans="2:17" s="57" customFormat="1" ht="25">
      <c r="B2899" s="716" t="s">
        <v>58</v>
      </c>
      <c r="C2899" s="1700">
        <f>ARG!C867</f>
        <v>0</v>
      </c>
      <c r="D2899" s="679">
        <f>ARG!D867</f>
        <v>192</v>
      </c>
      <c r="E2899" s="679">
        <f>ARG!E867</f>
        <v>155</v>
      </c>
      <c r="F2899" s="679">
        <f>ARG!F867</f>
        <v>1.538</v>
      </c>
      <c r="G2899" s="679">
        <f>ARG!G867</f>
        <v>3.266</v>
      </c>
      <c r="H2899" s="679">
        <f>ARG!H867</f>
        <v>3.653</v>
      </c>
      <c r="I2899" s="679">
        <f>ARG!I867</f>
        <v>3.294</v>
      </c>
      <c r="J2899" s="680">
        <f>ARG!J867</f>
        <v>3.0409999999999999</v>
      </c>
      <c r="K2899" s="745"/>
      <c r="L2899" s="745"/>
      <c r="M2899" s="745"/>
      <c r="N2899" s="776"/>
      <c r="O2899" s="776"/>
      <c r="P2899" s="776"/>
      <c r="Q2899" s="776"/>
    </row>
    <row r="2900" spans="2:17" s="57" customFormat="1" ht="12.5">
      <c r="B2900" s="1756"/>
      <c r="C2900" s="1700"/>
      <c r="D2900" s="679"/>
      <c r="E2900" s="679"/>
      <c r="F2900" s="679"/>
      <c r="G2900" s="679"/>
      <c r="H2900" s="679"/>
      <c r="I2900" s="679"/>
      <c r="J2900" s="680"/>
      <c r="K2900" s="745"/>
      <c r="L2900" s="745"/>
      <c r="M2900" s="745"/>
      <c r="N2900" s="776"/>
      <c r="O2900" s="776"/>
      <c r="P2900" s="776"/>
      <c r="Q2900" s="776"/>
    </row>
    <row r="2901" spans="2:17" s="57" customFormat="1" ht="13">
      <c r="B2901" s="1754" t="s">
        <v>1039</v>
      </c>
      <c r="C2901" s="1700"/>
      <c r="D2901" s="679"/>
      <c r="E2901" s="679"/>
      <c r="F2901" s="679"/>
      <c r="G2901" s="679"/>
      <c r="H2901" s="679"/>
      <c r="I2901" s="679"/>
      <c r="J2901" s="680"/>
      <c r="K2901" s="745"/>
      <c r="L2901" s="745"/>
      <c r="M2901" s="745"/>
      <c r="N2901" s="776"/>
      <c r="O2901" s="776"/>
      <c r="P2901" s="776"/>
      <c r="Q2901" s="776"/>
    </row>
    <row r="2902" spans="2:17" s="57" customFormat="1" ht="25">
      <c r="B2902" s="1908" t="s">
        <v>1885</v>
      </c>
      <c r="C2902" s="1700">
        <f>BA!C407</f>
        <v>28</v>
      </c>
      <c r="D2902" s="679">
        <f>BA!D407</f>
        <v>45</v>
      </c>
      <c r="E2902" s="679">
        <f>BA!E407</f>
        <v>53</v>
      </c>
      <c r="F2902" s="679">
        <f>BA!F407</f>
        <v>53</v>
      </c>
      <c r="G2902" s="679">
        <f>BA!G407</f>
        <v>49</v>
      </c>
      <c r="H2902" s="679">
        <f>BA!H407</f>
        <v>44</v>
      </c>
      <c r="I2902" s="679">
        <f>BA!I407</f>
        <v>47</v>
      </c>
      <c r="J2902" s="680">
        <f>BA!J407</f>
        <v>47</v>
      </c>
      <c r="K2902" s="745"/>
      <c r="L2902" s="745"/>
      <c r="M2902" s="745"/>
      <c r="N2902" s="776"/>
      <c r="O2902" s="776"/>
      <c r="P2902" s="776"/>
      <c r="Q2902" s="776"/>
    </row>
    <row r="2903" spans="2:17" s="57" customFormat="1" ht="12.5">
      <c r="B2903" s="1756"/>
      <c r="C2903" s="1700"/>
      <c r="D2903" s="679"/>
      <c r="E2903" s="679"/>
      <c r="F2903" s="679"/>
      <c r="G2903" s="679"/>
      <c r="H2903" s="679"/>
      <c r="I2903" s="679"/>
      <c r="J2903" s="680"/>
      <c r="K2903" s="745"/>
      <c r="L2903" s="745"/>
      <c r="M2903" s="745"/>
      <c r="N2903" s="776"/>
      <c r="O2903" s="776"/>
      <c r="P2903" s="776"/>
      <c r="Q2903" s="776"/>
    </row>
    <row r="2904" spans="2:17" s="57" customFormat="1" ht="13">
      <c r="B2904" s="708" t="s">
        <v>1040</v>
      </c>
      <c r="C2904" s="1760"/>
      <c r="D2904" s="774"/>
      <c r="E2904" s="774"/>
      <c r="F2904" s="774"/>
      <c r="G2904" s="774"/>
      <c r="H2904" s="774"/>
      <c r="I2904" s="774"/>
      <c r="J2904" s="775"/>
      <c r="K2904" s="745"/>
      <c r="L2904" s="745"/>
      <c r="M2904" s="745"/>
      <c r="N2904" s="776"/>
      <c r="O2904" s="776"/>
      <c r="P2904" s="776"/>
      <c r="Q2904" s="776"/>
    </row>
    <row r="2905" spans="2:17" s="57" customFormat="1" ht="12.5">
      <c r="B2905" s="704" t="s">
        <v>1325</v>
      </c>
      <c r="C2905" s="1700">
        <f>BO!C655</f>
        <v>295859.64199999999</v>
      </c>
      <c r="D2905" s="679">
        <f>BO!D655</f>
        <v>157512.53899999999</v>
      </c>
      <c r="E2905" s="679">
        <f>BO!E655</f>
        <v>111743.04400000001</v>
      </c>
      <c r="F2905" s="679">
        <f>BO!F655</f>
        <v>96074.043000000005</v>
      </c>
      <c r="G2905" s="679">
        <f>BO!G655</f>
        <v>246117.5422496</v>
      </c>
      <c r="H2905" s="679">
        <f>BO!H655</f>
        <v>189866.39599999998</v>
      </c>
      <c r="I2905" s="679">
        <f>BO!I655</f>
        <v>190517.234</v>
      </c>
      <c r="J2905" s="680">
        <f>BO!J655</f>
        <v>838323.82799999998</v>
      </c>
      <c r="K2905" s="745"/>
      <c r="L2905" s="745"/>
      <c r="M2905" s="745"/>
      <c r="N2905" s="776"/>
      <c r="O2905" s="776"/>
      <c r="P2905" s="776"/>
      <c r="Q2905" s="776"/>
    </row>
    <row r="2906" spans="2:17" s="57" customFormat="1" ht="12.5">
      <c r="B2906" s="704"/>
      <c r="C2906" s="1760"/>
      <c r="D2906" s="774"/>
      <c r="E2906" s="774"/>
      <c r="F2906" s="774"/>
      <c r="G2906" s="774"/>
      <c r="H2906" s="774"/>
      <c r="I2906" s="774"/>
      <c r="J2906" s="775"/>
      <c r="K2906" s="745"/>
      <c r="L2906" s="745"/>
      <c r="M2906" s="745"/>
      <c r="N2906" s="776"/>
      <c r="O2906" s="776"/>
      <c r="P2906" s="776"/>
      <c r="Q2906" s="776"/>
    </row>
    <row r="2907" spans="2:17" s="57" customFormat="1" ht="13">
      <c r="B2907" s="708" t="s">
        <v>1041</v>
      </c>
      <c r="C2907" s="1760"/>
      <c r="D2907" s="774"/>
      <c r="E2907" s="774"/>
      <c r="F2907" s="774"/>
      <c r="G2907" s="774"/>
      <c r="H2907" s="774"/>
      <c r="I2907" s="774"/>
      <c r="J2907" s="775"/>
      <c r="K2907" s="745"/>
      <c r="L2907" s="745"/>
      <c r="M2907" s="745"/>
      <c r="N2907" s="776"/>
      <c r="O2907" s="776"/>
      <c r="P2907" s="776"/>
      <c r="Q2907" s="776"/>
    </row>
    <row r="2908" spans="2:17" s="57" customFormat="1" ht="12.5">
      <c r="B2908" s="704" t="s">
        <v>1313</v>
      </c>
      <c r="C2908" s="1700">
        <f>BR!C659</f>
        <v>1.2050000000000001</v>
      </c>
      <c r="D2908" s="679">
        <f>BR!D659</f>
        <v>1.224</v>
      </c>
      <c r="E2908" s="679">
        <f>BR!E659</f>
        <v>1.262</v>
      </c>
      <c r="F2908" s="679">
        <f>BR!F659</f>
        <v>1.26</v>
      </c>
      <c r="G2908" s="679" t="str">
        <f>BR!G659</f>
        <v>0</v>
      </c>
      <c r="H2908" s="679" t="str">
        <f>BR!H659</f>
        <v>0</v>
      </c>
      <c r="I2908" s="679" t="str">
        <f>BR!I659</f>
        <v>0</v>
      </c>
      <c r="J2908" s="680" t="str">
        <f>BR!J659</f>
        <v>0</v>
      </c>
      <c r="K2908" s="745"/>
      <c r="L2908" s="745"/>
      <c r="M2908" s="745"/>
      <c r="N2908" s="776"/>
      <c r="O2908" s="776"/>
      <c r="P2908" s="776"/>
      <c r="Q2908" s="776"/>
    </row>
    <row r="2909" spans="2:17" s="57" customFormat="1" ht="12.5">
      <c r="B2909" s="704" t="s">
        <v>1314</v>
      </c>
      <c r="C2909" s="1700">
        <f>BR!C667</f>
        <v>0</v>
      </c>
      <c r="D2909" s="679">
        <f>BR!D667</f>
        <v>0</v>
      </c>
      <c r="E2909" s="679">
        <f>BR!E667</f>
        <v>0</v>
      </c>
      <c r="F2909" s="679">
        <f>BR!F667</f>
        <v>0</v>
      </c>
      <c r="G2909" s="679">
        <f>BR!G667</f>
        <v>1.129</v>
      </c>
      <c r="H2909" s="679">
        <f>BR!H667</f>
        <v>1.3</v>
      </c>
      <c r="I2909" s="679">
        <f>BR!I667</f>
        <v>1.7150000000000001</v>
      </c>
      <c r="J2909" s="680">
        <f>BR!J667</f>
        <v>1.9550000000000001</v>
      </c>
      <c r="K2909" s="745"/>
      <c r="L2909" s="745"/>
      <c r="M2909" s="745"/>
      <c r="N2909" s="776"/>
      <c r="O2909" s="776"/>
      <c r="P2909" s="776"/>
      <c r="Q2909" s="776"/>
    </row>
    <row r="2910" spans="2:17" s="57" customFormat="1" ht="12.5">
      <c r="B2910" s="704"/>
      <c r="C2910" s="1760"/>
      <c r="D2910" s="774"/>
      <c r="E2910" s="774"/>
      <c r="F2910" s="774"/>
      <c r="G2910" s="774"/>
      <c r="H2910" s="774"/>
      <c r="I2910" s="774"/>
      <c r="J2910" s="775"/>
      <c r="K2910" s="745"/>
      <c r="L2910" s="745"/>
      <c r="M2910" s="745"/>
      <c r="N2910" s="776"/>
      <c r="O2910" s="776"/>
      <c r="P2910" s="776"/>
      <c r="Q2910" s="776"/>
    </row>
    <row r="2911" spans="2:17" s="57" customFormat="1" ht="13">
      <c r="B2911" s="708" t="s">
        <v>1042</v>
      </c>
      <c r="C2911" s="1761"/>
      <c r="D2911" s="777"/>
      <c r="E2911" s="777"/>
      <c r="F2911" s="777"/>
      <c r="G2911" s="777"/>
      <c r="H2911" s="753"/>
      <c r="I2911" s="753"/>
      <c r="J2911" s="778"/>
      <c r="K2911" s="670"/>
      <c r="L2911" s="670"/>
      <c r="M2911" s="670"/>
      <c r="N2911" s="776"/>
      <c r="O2911" s="776"/>
      <c r="P2911" s="776"/>
      <c r="Q2911" s="776"/>
    </row>
    <row r="2912" spans="2:17" s="57" customFormat="1" ht="25">
      <c r="B2912" s="766" t="s">
        <v>521</v>
      </c>
      <c r="C2912" s="1700">
        <f>CL!C441</f>
        <v>364</v>
      </c>
      <c r="D2912" s="679">
        <f>CL!D441</f>
        <v>358</v>
      </c>
      <c r="E2912" s="679">
        <f>CL!E441</f>
        <v>349</v>
      </c>
      <c r="F2912" s="679">
        <f>CL!F441</f>
        <v>343</v>
      </c>
      <c r="G2912" s="679">
        <f>CL!G441</f>
        <v>340</v>
      </c>
      <c r="H2912" s="679">
        <f>CL!H441</f>
        <v>347</v>
      </c>
      <c r="I2912" s="679">
        <f>CL!I441</f>
        <v>348</v>
      </c>
      <c r="J2912" s="680">
        <f>CL!J441</f>
        <v>353</v>
      </c>
      <c r="K2912" s="670"/>
      <c r="L2912" s="670"/>
      <c r="M2912" s="670"/>
      <c r="N2912" s="776"/>
      <c r="O2912" s="776"/>
      <c r="P2912" s="776"/>
      <c r="Q2912" s="776"/>
    </row>
    <row r="2913" spans="2:17" s="57" customFormat="1" ht="12.5">
      <c r="B2913" s="766"/>
      <c r="C2913" s="1761"/>
      <c r="D2913" s="777"/>
      <c r="E2913" s="777"/>
      <c r="F2913" s="777"/>
      <c r="G2913" s="777"/>
      <c r="H2913" s="779"/>
      <c r="I2913" s="779"/>
      <c r="J2913" s="780"/>
      <c r="K2913" s="670"/>
      <c r="L2913" s="670"/>
      <c r="M2913" s="670"/>
      <c r="N2913" s="776"/>
      <c r="O2913" s="776"/>
      <c r="P2913" s="776"/>
      <c r="Q2913" s="776"/>
    </row>
    <row r="2914" spans="2:17" s="57" customFormat="1" ht="13">
      <c r="B2914" s="708" t="s">
        <v>1043</v>
      </c>
      <c r="C2914" s="1761"/>
      <c r="D2914" s="777"/>
      <c r="E2914" s="777"/>
      <c r="F2914" s="777"/>
      <c r="G2914" s="777"/>
      <c r="H2914" s="753"/>
      <c r="I2914" s="753"/>
      <c r="J2914" s="778"/>
      <c r="K2914" s="670"/>
      <c r="L2914" s="670"/>
      <c r="M2914" s="670"/>
      <c r="N2914" s="776"/>
      <c r="O2914" s="776"/>
      <c r="P2914" s="776"/>
      <c r="Q2914" s="776"/>
    </row>
    <row r="2915" spans="2:17" s="57" customFormat="1" ht="12.5">
      <c r="B2915" s="663" t="s">
        <v>584</v>
      </c>
      <c r="C2915" s="1700">
        <f>CO!C564</f>
        <v>0.52100000000000002</v>
      </c>
      <c r="D2915" s="679">
        <f>CO!D564</f>
        <v>0.36899999999999999</v>
      </c>
      <c r="E2915" s="679">
        <f>CO!E564</f>
        <v>0.29199999999999998</v>
      </c>
      <c r="F2915" s="679">
        <f>CO!F564</f>
        <v>0.253</v>
      </c>
      <c r="G2915" s="679">
        <f>CO!G564</f>
        <v>0.20300000000000001</v>
      </c>
      <c r="H2915" s="679">
        <f>CO!H564</f>
        <v>0.20299999999999999</v>
      </c>
      <c r="I2915" s="679">
        <f>CO!I564</f>
        <v>0.23599999999999999</v>
      </c>
      <c r="J2915" s="680">
        <f>CO!J564</f>
        <v>0.247</v>
      </c>
      <c r="K2915" s="670"/>
      <c r="L2915" s="670"/>
      <c r="M2915" s="670"/>
      <c r="N2915" s="776"/>
      <c r="O2915" s="776"/>
      <c r="P2915" s="776"/>
      <c r="Q2915" s="776"/>
    </row>
    <row r="2916" spans="2:17" s="57" customFormat="1" ht="12.5">
      <c r="B2916" s="663" t="s">
        <v>585</v>
      </c>
      <c r="C2916" s="1700">
        <f>CO!C572</f>
        <v>0.19800000000000001</v>
      </c>
      <c r="D2916" s="679">
        <f>CO!D572</f>
        <v>0.20200000000000001</v>
      </c>
      <c r="E2916" s="679">
        <f>CO!E572</f>
        <v>0.19800000000000001</v>
      </c>
      <c r="F2916" s="679">
        <f>CO!F572</f>
        <v>0.83</v>
      </c>
      <c r="G2916" s="679">
        <f>CO!G572</f>
        <v>0.86</v>
      </c>
      <c r="H2916" s="679">
        <f>CO!H572</f>
        <v>1.0409999999999999</v>
      </c>
      <c r="I2916" s="679">
        <f>CO!I572</f>
        <v>1.0900000000000001</v>
      </c>
      <c r="J2916" s="680">
        <f>CO!J572</f>
        <v>1.1080000000000001</v>
      </c>
      <c r="K2916" s="670"/>
      <c r="L2916" s="670"/>
      <c r="M2916" s="670"/>
      <c r="N2916" s="776"/>
      <c r="O2916" s="776"/>
      <c r="P2916" s="776"/>
      <c r="Q2916" s="776"/>
    </row>
    <row r="2917" spans="2:17" s="57" customFormat="1" ht="12.5">
      <c r="B2917" s="767" t="s">
        <v>1331</v>
      </c>
      <c r="C2917" s="1700">
        <f>CO!C580</f>
        <v>8.8999999999999996E-2</v>
      </c>
      <c r="D2917" s="679">
        <f>CO!D580</f>
        <v>0.09</v>
      </c>
      <c r="E2917" s="679">
        <f>CO!E580</f>
        <v>8.7999999999999995E-2</v>
      </c>
      <c r="F2917" s="679">
        <f>CO!F580</f>
        <v>8.5000000000000006E-2</v>
      </c>
      <c r="G2917" s="679">
        <f>CO!G580</f>
        <v>8.4000000000000005E-2</v>
      </c>
      <c r="H2917" s="679">
        <f>CO!H580</f>
        <v>8.3000000000000004E-2</v>
      </c>
      <c r="I2917" s="679">
        <f>CO!I580</f>
        <v>8.1000000000000003E-2</v>
      </c>
      <c r="J2917" s="680">
        <f>CO!J580</f>
        <v>0.08</v>
      </c>
      <c r="K2917" s="670"/>
      <c r="L2917" s="670"/>
      <c r="M2917" s="670"/>
      <c r="N2917" s="776"/>
      <c r="O2917" s="776"/>
      <c r="P2917" s="776"/>
      <c r="Q2917" s="776"/>
    </row>
    <row r="2918" spans="2:17" s="57" customFormat="1" ht="12.5">
      <c r="B2918" s="767"/>
      <c r="C2918" s="1761"/>
      <c r="D2918" s="777"/>
      <c r="E2918" s="777"/>
      <c r="F2918" s="777"/>
      <c r="G2918" s="777"/>
      <c r="H2918" s="753"/>
      <c r="I2918" s="753"/>
      <c r="J2918" s="778"/>
      <c r="K2918" s="670"/>
      <c r="L2918" s="670"/>
      <c r="M2918" s="670"/>
      <c r="N2918" s="776"/>
      <c r="O2918" s="776"/>
      <c r="P2918" s="776"/>
      <c r="Q2918" s="776"/>
    </row>
    <row r="2919" spans="2:17" s="57" customFormat="1" ht="13">
      <c r="B2919" s="708" t="s">
        <v>1044</v>
      </c>
      <c r="C2919" s="1956"/>
      <c r="D2919" s="781"/>
      <c r="E2919" s="781"/>
      <c r="F2919" s="781"/>
      <c r="G2919" s="781"/>
      <c r="H2919" s="753"/>
      <c r="I2919" s="753"/>
      <c r="J2919" s="778"/>
      <c r="K2919" s="650"/>
      <c r="L2919" s="650"/>
      <c r="M2919" s="745"/>
      <c r="N2919" s="776"/>
      <c r="O2919" s="776"/>
      <c r="P2919" s="776"/>
      <c r="Q2919" s="776"/>
    </row>
    <row r="2920" spans="2:17" s="57" customFormat="1" ht="12.5">
      <c r="B2920" s="766" t="s">
        <v>1671</v>
      </c>
      <c r="C2920" s="1700">
        <f>CR!C475</f>
        <v>0.45</v>
      </c>
      <c r="D2920" s="679">
        <f>CR!D475</f>
        <v>0.47000000000000003</v>
      </c>
      <c r="E2920" s="679">
        <f>CR!E475</f>
        <v>0.50700000000000001</v>
      </c>
      <c r="F2920" s="679">
        <f>CR!F475</f>
        <v>0.54700000000000004</v>
      </c>
      <c r="G2920" s="679">
        <f>CR!G475</f>
        <v>0.53800000000000003</v>
      </c>
      <c r="H2920" s="679">
        <f>CR!H475</f>
        <v>0.55000000000000004</v>
      </c>
      <c r="I2920" s="679">
        <f>CR!I475</f>
        <v>0.57100000000000006</v>
      </c>
      <c r="J2920" s="680">
        <f>CR!J475</f>
        <v>0.54200000000000004</v>
      </c>
      <c r="K2920" s="650"/>
      <c r="L2920" s="650"/>
      <c r="M2920" s="745"/>
      <c r="N2920" s="776"/>
      <c r="O2920" s="776"/>
      <c r="P2920" s="776"/>
      <c r="Q2920" s="776"/>
    </row>
    <row r="2921" spans="2:17" s="57" customFormat="1" ht="12.5">
      <c r="B2921" s="766" t="s">
        <v>1675</v>
      </c>
      <c r="C2921" s="1700">
        <f>CR!C483</f>
        <v>0.12</v>
      </c>
      <c r="D2921" s="679">
        <f>CR!D483</f>
        <v>0.23599999999999999</v>
      </c>
      <c r="E2921" s="679">
        <f>CR!E483</f>
        <v>0.25900000000000001</v>
      </c>
      <c r="F2921" s="679">
        <f>CR!F483</f>
        <v>0.245</v>
      </c>
      <c r="G2921" s="679">
        <f>CR!G483</f>
        <v>0.22700000000000001</v>
      </c>
      <c r="H2921" s="679">
        <f>CR!H483</f>
        <v>0.21000000000000002</v>
      </c>
      <c r="I2921" s="679">
        <f>CR!I483</f>
        <v>0.20500000000000002</v>
      </c>
      <c r="J2921" s="680">
        <f>CR!J483</f>
        <v>0.182</v>
      </c>
      <c r="K2921" s="650"/>
      <c r="L2921" s="650"/>
      <c r="M2921" s="745"/>
      <c r="N2921" s="776"/>
      <c r="O2921" s="776"/>
      <c r="P2921" s="776"/>
      <c r="Q2921" s="776"/>
    </row>
    <row r="2922" spans="2:17" s="57" customFormat="1" ht="12.5">
      <c r="B2922" s="766"/>
      <c r="C2922" s="1956"/>
      <c r="D2922" s="781"/>
      <c r="E2922" s="781"/>
      <c r="F2922" s="781"/>
      <c r="G2922" s="781"/>
      <c r="H2922" s="781"/>
      <c r="I2922" s="781"/>
      <c r="J2922" s="782"/>
      <c r="K2922" s="650"/>
      <c r="L2922" s="650"/>
      <c r="M2922" s="745"/>
      <c r="N2922" s="776"/>
      <c r="O2922" s="776"/>
      <c r="P2922" s="776"/>
      <c r="Q2922" s="776"/>
    </row>
    <row r="2923" spans="2:17" s="57" customFormat="1" ht="13">
      <c r="B2923" s="708" t="s">
        <v>1061</v>
      </c>
      <c r="C2923" s="1956"/>
      <c r="D2923" s="781"/>
      <c r="E2923" s="781"/>
      <c r="F2923" s="781"/>
      <c r="G2923" s="781"/>
      <c r="H2923" s="781"/>
      <c r="I2923" s="781"/>
      <c r="J2923" s="782"/>
      <c r="K2923" s="650"/>
      <c r="L2923" s="650"/>
      <c r="M2923" s="745"/>
      <c r="N2923" s="776"/>
      <c r="O2923" s="776"/>
      <c r="P2923" s="776"/>
      <c r="Q2923" s="776"/>
    </row>
    <row r="2924" spans="2:17" s="57" customFormat="1" ht="25">
      <c r="B2924" s="766" t="s">
        <v>2111</v>
      </c>
      <c r="C2924" s="1956">
        <v>7</v>
      </c>
      <c r="D2924" s="781">
        <v>9</v>
      </c>
      <c r="E2924" s="679">
        <f>CW!E438</f>
        <v>11</v>
      </c>
      <c r="F2924" s="679">
        <f>CW!F438</f>
        <v>13</v>
      </c>
      <c r="G2924" s="679">
        <f>CW!G438</f>
        <v>53</v>
      </c>
      <c r="H2924" s="679">
        <f>CW!H438</f>
        <v>60</v>
      </c>
      <c r="I2924" s="679">
        <f>CW!I438</f>
        <v>69</v>
      </c>
      <c r="J2924" s="680">
        <f>CW!J438</f>
        <v>71</v>
      </c>
      <c r="K2924" s="650"/>
    </row>
    <row r="2925" spans="2:17" s="57" customFormat="1" ht="12.5">
      <c r="B2925" s="766"/>
      <c r="C2925" s="1956"/>
      <c r="D2925" s="781"/>
      <c r="E2925" s="781"/>
      <c r="F2925" s="781"/>
      <c r="G2925" s="781"/>
      <c r="H2925" s="781"/>
      <c r="I2925" s="781"/>
      <c r="J2925" s="782"/>
      <c r="K2925" s="650"/>
    </row>
    <row r="2926" spans="2:17" s="57" customFormat="1" ht="13">
      <c r="B2926" s="1754" t="s">
        <v>1047</v>
      </c>
      <c r="C2926" s="1956"/>
      <c r="D2926" s="781"/>
      <c r="E2926" s="781"/>
      <c r="F2926" s="781"/>
      <c r="G2926" s="781"/>
      <c r="H2926" s="781"/>
      <c r="I2926" s="781"/>
      <c r="J2926" s="782"/>
      <c r="K2926" s="650"/>
      <c r="L2926" s="650"/>
      <c r="M2926" s="745"/>
      <c r="N2926" s="776"/>
      <c r="O2926" s="776"/>
      <c r="P2926" s="776"/>
      <c r="Q2926" s="776"/>
    </row>
    <row r="2927" spans="2:17" s="57" customFormat="1" ht="12.5">
      <c r="B2927" s="1909" t="s">
        <v>858</v>
      </c>
      <c r="C2927" s="1700">
        <f>EC!C455</f>
        <v>145</v>
      </c>
      <c r="D2927" s="679">
        <f>EC!D455</f>
        <v>162</v>
      </c>
      <c r="E2927" s="679">
        <f>EC!E455</f>
        <v>176</v>
      </c>
      <c r="F2927" s="679">
        <f>EC!F455</f>
        <v>198</v>
      </c>
      <c r="G2927" s="679">
        <f>EC!G455</f>
        <v>236</v>
      </c>
      <c r="H2927" s="679">
        <f>EC!H455</f>
        <v>296</v>
      </c>
      <c r="I2927" s="679">
        <f>EC!I455</f>
        <v>326</v>
      </c>
      <c r="J2927" s="680">
        <f>EC!J455</f>
        <v>330</v>
      </c>
      <c r="K2927" s="650"/>
      <c r="L2927" s="650"/>
      <c r="M2927" s="745"/>
      <c r="N2927" s="776"/>
      <c r="O2927" s="776"/>
      <c r="P2927" s="776"/>
      <c r="Q2927" s="776"/>
    </row>
    <row r="2928" spans="2:17" s="57" customFormat="1" ht="12.5">
      <c r="B2928" s="766"/>
      <c r="C2928" s="1957"/>
      <c r="D2928" s="783"/>
      <c r="E2928" s="783"/>
      <c r="F2928" s="783"/>
      <c r="G2928" s="783"/>
      <c r="H2928" s="753"/>
      <c r="I2928" s="753"/>
      <c r="J2928" s="778"/>
      <c r="K2928" s="769"/>
      <c r="L2928" s="769"/>
      <c r="M2928" s="769"/>
      <c r="N2928" s="769"/>
      <c r="O2928" s="769"/>
      <c r="P2928" s="769"/>
      <c r="Q2928" s="769"/>
    </row>
    <row r="2929" spans="2:17" s="57" customFormat="1" ht="13">
      <c r="B2929" s="708" t="s">
        <v>1048</v>
      </c>
      <c r="C2929" s="1957"/>
      <c r="D2929" s="783"/>
      <c r="E2929" s="783"/>
      <c r="F2929" s="783"/>
      <c r="G2929" s="783"/>
      <c r="H2929" s="783"/>
      <c r="I2929" s="783"/>
      <c r="J2929" s="784"/>
      <c r="K2929" s="769"/>
      <c r="L2929" s="769"/>
      <c r="M2929" s="769"/>
      <c r="N2929" s="769"/>
      <c r="O2929" s="769"/>
      <c r="P2929" s="769"/>
      <c r="Q2929" s="769"/>
    </row>
    <row r="2930" spans="2:17" s="57" customFormat="1" ht="25">
      <c r="B2930" s="766" t="s">
        <v>1566</v>
      </c>
      <c r="C2930" s="1700">
        <f>SV!C423</f>
        <v>755</v>
      </c>
      <c r="D2930" s="679">
        <f>SV!D423</f>
        <v>691</v>
      </c>
      <c r="E2930" s="679">
        <f>SV!E423</f>
        <v>607</v>
      </c>
      <c r="F2930" s="679">
        <f>SV!F423</f>
        <v>513</v>
      </c>
      <c r="G2930" s="679">
        <f>SV!G423</f>
        <v>408</v>
      </c>
      <c r="H2930" s="679">
        <f>SV!H423</f>
        <v>305</v>
      </c>
      <c r="I2930" s="679">
        <f>SV!I423</f>
        <v>329</v>
      </c>
      <c r="J2930" s="680">
        <f>SV!J423</f>
        <v>70</v>
      </c>
      <c r="K2930" s="769"/>
      <c r="L2930" s="769"/>
      <c r="M2930" s="769"/>
      <c r="N2930" s="769"/>
      <c r="O2930" s="769"/>
      <c r="P2930" s="769"/>
      <c r="Q2930" s="769"/>
    </row>
    <row r="2931" spans="2:17" s="57" customFormat="1" ht="12.5">
      <c r="B2931" s="766"/>
      <c r="C2931" s="1957"/>
      <c r="D2931" s="783"/>
      <c r="E2931" s="783"/>
      <c r="F2931" s="783"/>
      <c r="G2931" s="783"/>
      <c r="H2931" s="783"/>
      <c r="I2931" s="783"/>
      <c r="J2931" s="784"/>
      <c r="K2931" s="769"/>
      <c r="L2931" s="769"/>
      <c r="M2931" s="769"/>
      <c r="N2931" s="769"/>
      <c r="O2931" s="769"/>
      <c r="P2931" s="769"/>
      <c r="Q2931" s="769"/>
    </row>
    <row r="2932" spans="2:17" s="57" customFormat="1" ht="13">
      <c r="B2932" s="708" t="s">
        <v>1049</v>
      </c>
      <c r="C2932" s="1700"/>
      <c r="D2932" s="679"/>
      <c r="E2932" s="679"/>
      <c r="F2932" s="679"/>
      <c r="G2932" s="679"/>
      <c r="H2932" s="679"/>
      <c r="I2932" s="679"/>
      <c r="J2932" s="680"/>
      <c r="K2932" s="650"/>
      <c r="L2932" s="650"/>
      <c r="M2932" s="650"/>
      <c r="N2932" s="776"/>
      <c r="O2932" s="776"/>
      <c r="P2932" s="776"/>
      <c r="Q2932" s="776"/>
    </row>
    <row r="2933" spans="2:17" s="57" customFormat="1" ht="12.5">
      <c r="B2933" s="700" t="s">
        <v>1332</v>
      </c>
      <c r="C2933" s="1700">
        <f>GT!C619</f>
        <v>0</v>
      </c>
      <c r="D2933" s="679">
        <f>GT!D619</f>
        <v>0</v>
      </c>
      <c r="E2933" s="679">
        <f>GT!E619</f>
        <v>0</v>
      </c>
      <c r="F2933" s="679">
        <f>GT!F619</f>
        <v>0</v>
      </c>
      <c r="G2933" s="679">
        <f>GT!G619</f>
        <v>0</v>
      </c>
      <c r="H2933" s="679">
        <f>GT!H619</f>
        <v>0</v>
      </c>
      <c r="I2933" s="679">
        <f>GT!I619</f>
        <v>0</v>
      </c>
      <c r="J2933" s="680">
        <f>GT!J619</f>
        <v>0</v>
      </c>
      <c r="K2933" s="650"/>
      <c r="L2933" s="650"/>
      <c r="M2933" s="650"/>
      <c r="N2933" s="776"/>
      <c r="O2933" s="776"/>
      <c r="P2933" s="776"/>
      <c r="Q2933" s="776"/>
    </row>
    <row r="2934" spans="2:17" s="57" customFormat="1" ht="12.5">
      <c r="B2934" s="700"/>
      <c r="C2934" s="1700"/>
      <c r="D2934" s="679"/>
      <c r="E2934" s="679"/>
      <c r="F2934" s="679"/>
      <c r="G2934" s="679"/>
      <c r="H2934" s="679"/>
      <c r="I2934" s="679"/>
      <c r="J2934" s="680"/>
      <c r="K2934" s="650"/>
      <c r="L2934" s="650"/>
      <c r="M2934" s="650"/>
      <c r="N2934" s="776"/>
      <c r="O2934" s="776"/>
      <c r="P2934" s="776"/>
      <c r="Q2934" s="776"/>
    </row>
    <row r="2935" spans="2:17" s="57" customFormat="1" ht="13">
      <c r="B2935" s="708" t="s">
        <v>1050</v>
      </c>
      <c r="C2935" s="1700"/>
      <c r="D2935" s="679"/>
      <c r="E2935" s="679"/>
      <c r="F2935" s="679"/>
      <c r="G2935" s="679"/>
      <c r="H2935" s="679"/>
      <c r="I2935" s="679"/>
      <c r="J2935" s="680"/>
      <c r="K2935" s="650"/>
      <c r="L2935" s="650"/>
      <c r="M2935" s="650"/>
      <c r="N2935" s="776"/>
      <c r="O2935" s="776"/>
      <c r="P2935" s="776"/>
      <c r="Q2935" s="776"/>
    </row>
    <row r="2936" spans="2:17" s="57" customFormat="1" ht="12.5">
      <c r="B2936" s="700" t="s">
        <v>1303</v>
      </c>
      <c r="C2936" s="1700">
        <f>HN!C503</f>
        <v>8.2000000000000003E-2</v>
      </c>
      <c r="D2936" s="679">
        <f>HN!D503</f>
        <v>7.3999999999999996E-2</v>
      </c>
      <c r="E2936" s="679">
        <f>HN!E503</f>
        <v>0.28599999999999998</v>
      </c>
      <c r="F2936" s="679">
        <f>HN!F503</f>
        <v>0.27700000000000002</v>
      </c>
      <c r="G2936" s="679">
        <f>HN!G503</f>
        <v>0.27400000000000002</v>
      </c>
      <c r="H2936" s="679">
        <f>HN!H503</f>
        <v>0.28100000000000003</v>
      </c>
      <c r="I2936" s="679">
        <f>HN!I503</f>
        <v>0.14199999999999999</v>
      </c>
      <c r="J2936" s="680">
        <f>HN!J503</f>
        <v>0.27600000000000002</v>
      </c>
      <c r="K2936" s="650"/>
      <c r="L2936" s="650"/>
      <c r="M2936" s="650"/>
      <c r="N2936" s="776"/>
      <c r="O2936" s="776"/>
      <c r="P2936" s="776"/>
      <c r="Q2936" s="776"/>
    </row>
    <row r="2937" spans="2:17" s="57" customFormat="1" ht="12.5">
      <c r="B2937" s="700"/>
      <c r="C2937" s="1700"/>
      <c r="D2937" s="679"/>
      <c r="E2937" s="679"/>
      <c r="F2937" s="679"/>
      <c r="G2937" s="679"/>
      <c r="H2937" s="679"/>
      <c r="I2937" s="679"/>
      <c r="J2937" s="680"/>
      <c r="K2937" s="650"/>
      <c r="L2937" s="650"/>
      <c r="M2937" s="650"/>
      <c r="N2937" s="776"/>
      <c r="O2937" s="776"/>
      <c r="P2937" s="776"/>
      <c r="Q2937" s="776"/>
    </row>
    <row r="2938" spans="2:17" s="57" customFormat="1" ht="13">
      <c r="B2938" s="708" t="s">
        <v>1051</v>
      </c>
      <c r="C2938" s="1700"/>
      <c r="D2938" s="679"/>
      <c r="E2938" s="679"/>
      <c r="F2938" s="679"/>
      <c r="G2938" s="679"/>
      <c r="H2938" s="679"/>
      <c r="I2938" s="679"/>
      <c r="J2938" s="680"/>
      <c r="K2938" s="770"/>
      <c r="L2938" s="770"/>
      <c r="M2938" s="770"/>
      <c r="N2938" s="770"/>
      <c r="O2938" s="770"/>
      <c r="P2938" s="770"/>
      <c r="Q2938" s="769"/>
    </row>
    <row r="2939" spans="2:17" s="57" customFormat="1" ht="12.5">
      <c r="B2939" s="706" t="s">
        <v>1318</v>
      </c>
      <c r="C2939" s="1700">
        <f>JM!C495</f>
        <v>36</v>
      </c>
      <c r="D2939" s="679">
        <f>JM!D495</f>
        <v>75</v>
      </c>
      <c r="E2939" s="679">
        <f>JM!E495</f>
        <v>88</v>
      </c>
      <c r="F2939" s="679">
        <f>JM!F495</f>
        <v>97</v>
      </c>
      <c r="G2939" s="679">
        <f>JM!G495</f>
        <v>110</v>
      </c>
      <c r="H2939" s="679">
        <f>JM!H495</f>
        <v>122</v>
      </c>
      <c r="I2939" s="679">
        <f>JM!I495</f>
        <v>127</v>
      </c>
      <c r="J2939" s="680">
        <f>JM!J495</f>
        <v>141</v>
      </c>
      <c r="K2939" s="770"/>
      <c r="L2939" s="770"/>
      <c r="M2939" s="770"/>
      <c r="N2939" s="770"/>
      <c r="O2939" s="770"/>
      <c r="P2939" s="770"/>
      <c r="Q2939" s="769"/>
    </row>
    <row r="2940" spans="2:17" s="57" customFormat="1" ht="12.5">
      <c r="B2940" s="706"/>
      <c r="C2940" s="1700"/>
      <c r="D2940" s="679"/>
      <c r="E2940" s="679"/>
      <c r="F2940" s="679"/>
      <c r="G2940" s="679"/>
      <c r="H2940" s="753"/>
      <c r="I2940" s="753"/>
      <c r="J2940" s="778"/>
      <c r="K2940" s="770"/>
      <c r="L2940" s="770"/>
      <c r="M2940" s="770"/>
      <c r="N2940" s="770"/>
      <c r="O2940" s="770"/>
      <c r="P2940" s="770"/>
      <c r="Q2940" s="769"/>
    </row>
    <row r="2941" spans="2:17" s="57" customFormat="1" ht="13">
      <c r="B2941" s="708" t="s">
        <v>1052</v>
      </c>
      <c r="C2941" s="1700"/>
      <c r="D2941" s="679"/>
      <c r="E2941" s="679"/>
      <c r="F2941" s="679"/>
      <c r="G2941" s="679"/>
      <c r="H2941" s="679"/>
      <c r="I2941" s="679"/>
      <c r="J2941" s="680"/>
      <c r="K2941" s="770"/>
      <c r="L2941" s="770"/>
      <c r="M2941" s="770"/>
      <c r="N2941" s="770"/>
      <c r="O2941" s="770"/>
      <c r="P2941" s="770"/>
      <c r="Q2941" s="769"/>
    </row>
    <row r="2942" spans="2:17" s="57" customFormat="1" ht="12.5">
      <c r="B2942" s="766" t="s">
        <v>689</v>
      </c>
      <c r="C2942" s="1700">
        <f>RD!C536</f>
        <v>68</v>
      </c>
      <c r="D2942" s="679">
        <f>RD!D536</f>
        <v>113</v>
      </c>
      <c r="E2942" s="679">
        <f>RD!E536</f>
        <v>96</v>
      </c>
      <c r="F2942" s="679">
        <f>RD!F536</f>
        <v>150</v>
      </c>
      <c r="G2942" s="679">
        <f>RD!G536</f>
        <v>36</v>
      </c>
      <c r="H2942" s="679">
        <f>RD!H536</f>
        <v>54</v>
      </c>
      <c r="I2942" s="679">
        <f>RD!I536</f>
        <v>46</v>
      </c>
      <c r="J2942" s="680">
        <f>RD!J536</f>
        <v>69</v>
      </c>
      <c r="K2942" s="770"/>
      <c r="L2942" s="770"/>
      <c r="M2942" s="770"/>
      <c r="N2942" s="770"/>
      <c r="O2942" s="770"/>
      <c r="P2942" s="770"/>
      <c r="Q2942" s="769"/>
    </row>
    <row r="2943" spans="2:17" s="57" customFormat="1" ht="12.5">
      <c r="B2943" s="1772"/>
      <c r="C2943" s="1700"/>
      <c r="D2943" s="679"/>
      <c r="E2943" s="679"/>
      <c r="F2943" s="679"/>
      <c r="G2943" s="679"/>
      <c r="H2943" s="679"/>
      <c r="I2943" s="679"/>
      <c r="J2943" s="680"/>
      <c r="K2943" s="770"/>
      <c r="L2943" s="770"/>
      <c r="M2943" s="770"/>
      <c r="N2943" s="770"/>
      <c r="O2943" s="770"/>
      <c r="P2943" s="770"/>
      <c r="Q2943" s="769"/>
    </row>
    <row r="2944" spans="2:17" s="57" customFormat="1" ht="13">
      <c r="B2944" s="708" t="s">
        <v>1053</v>
      </c>
      <c r="C2944" s="1958"/>
      <c r="D2944" s="785"/>
      <c r="E2944" s="785"/>
      <c r="F2944" s="785"/>
      <c r="G2944" s="785"/>
      <c r="H2944" s="753"/>
      <c r="I2944" s="753"/>
      <c r="J2944" s="778"/>
      <c r="K2944" s="613"/>
      <c r="L2944" s="613"/>
      <c r="M2944" s="613"/>
      <c r="N2944" s="776"/>
      <c r="O2944" s="776"/>
      <c r="P2944" s="776"/>
      <c r="Q2944" s="776"/>
    </row>
    <row r="2945" spans="2:17" s="57" customFormat="1" ht="12.5">
      <c r="B2945" s="716" t="s">
        <v>1306</v>
      </c>
      <c r="C2945" s="1700">
        <f>PY!C816</f>
        <v>0.03</v>
      </c>
      <c r="D2945" s="679">
        <f>PY!D816</f>
        <v>1.0999999999999999E-2</v>
      </c>
      <c r="E2945" s="679">
        <f>PY!E816</f>
        <v>4.4999999999999998E-2</v>
      </c>
      <c r="F2945" s="679">
        <f>PY!F816</f>
        <v>4.7E-2</v>
      </c>
      <c r="G2945" s="679">
        <f>PY!G816</f>
        <v>3.9E-2</v>
      </c>
      <c r="H2945" s="679">
        <f>PY!H816</f>
        <v>3.6999999999999998E-2</v>
      </c>
      <c r="I2945" s="679">
        <f>PY!I816</f>
        <v>4.2999999999999997E-2</v>
      </c>
      <c r="J2945" s="680">
        <f>PY!J816</f>
        <v>5.8999999999999997E-2</v>
      </c>
      <c r="K2945" s="613"/>
      <c r="L2945" s="613"/>
      <c r="M2945" s="613"/>
      <c r="N2945" s="776"/>
      <c r="O2945" s="776"/>
      <c r="P2945" s="776"/>
      <c r="Q2945" s="776"/>
    </row>
    <row r="2946" spans="2:17" s="57" customFormat="1" ht="12.5">
      <c r="B2946" s="716" t="s">
        <v>1319</v>
      </c>
      <c r="C2946" s="1700">
        <f>PY!C824</f>
        <v>8.8999999999999996E-2</v>
      </c>
      <c r="D2946" s="679">
        <f>PY!D824</f>
        <v>0.17199999999999999</v>
      </c>
      <c r="E2946" s="679">
        <f>PY!E824</f>
        <v>0.14000000000000001</v>
      </c>
      <c r="F2946" s="679">
        <f>PY!F824</f>
        <v>6.6000000000000003E-2</v>
      </c>
      <c r="G2946" s="679">
        <f>PY!G824</f>
        <v>8.8999999999999996E-2</v>
      </c>
      <c r="H2946" s="679">
        <f>PY!H824</f>
        <v>0.111</v>
      </c>
      <c r="I2946" s="679">
        <f>PY!I824</f>
        <v>0.121</v>
      </c>
      <c r="J2946" s="680">
        <f>PY!J824</f>
        <v>0.14000000000000001</v>
      </c>
      <c r="K2946" s="650"/>
      <c r="L2946" s="745"/>
      <c r="M2946" s="745"/>
      <c r="N2946" s="787"/>
      <c r="O2946" s="787"/>
      <c r="P2946" s="787"/>
      <c r="Q2946" s="787"/>
    </row>
    <row r="2947" spans="2:17" s="57" customFormat="1" ht="12.5">
      <c r="B2947" s="716"/>
      <c r="C2947" s="1959"/>
      <c r="D2947" s="786"/>
      <c r="E2947" s="786"/>
      <c r="F2947" s="786"/>
      <c r="G2947" s="786"/>
      <c r="H2947" s="753"/>
      <c r="I2947" s="753"/>
      <c r="J2947" s="778"/>
      <c r="K2947" s="650"/>
      <c r="L2947" s="745"/>
      <c r="M2947" s="745"/>
      <c r="N2947" s="787"/>
      <c r="O2947" s="787"/>
      <c r="P2947" s="787"/>
      <c r="Q2947" s="787"/>
    </row>
    <row r="2948" spans="2:17" s="57" customFormat="1" ht="13">
      <c r="B2948" s="708" t="s">
        <v>1054</v>
      </c>
      <c r="C2948" s="1959"/>
      <c r="D2948" s="786"/>
      <c r="E2948" s="786"/>
      <c r="F2948" s="786"/>
      <c r="G2948" s="786"/>
      <c r="H2948" s="753"/>
      <c r="I2948" s="753"/>
      <c r="J2948" s="778"/>
      <c r="K2948" s="650"/>
      <c r="L2948" s="745"/>
      <c r="M2948" s="745"/>
      <c r="N2948" s="787"/>
      <c r="O2948" s="787"/>
      <c r="P2948" s="787"/>
      <c r="Q2948" s="787"/>
    </row>
    <row r="2949" spans="2:17" s="57" customFormat="1" ht="12.5">
      <c r="B2949" s="716" t="s">
        <v>1329</v>
      </c>
      <c r="C2949" s="1700">
        <f>PE!C457</f>
        <v>0.66500000000000004</v>
      </c>
      <c r="D2949" s="679">
        <f>PE!D457</f>
        <v>0.66900000000000004</v>
      </c>
      <c r="E2949" s="679">
        <f>PE!E457</f>
        <v>0.69699999999999995</v>
      </c>
      <c r="F2949" s="679">
        <f>PE!F457</f>
        <v>0.69899999999999995</v>
      </c>
      <c r="G2949" s="679">
        <f>PE!G457</f>
        <v>0.70599999999999996</v>
      </c>
      <c r="H2949" s="679">
        <f>PE!H457</f>
        <v>0.69000000000000006</v>
      </c>
      <c r="I2949" s="679">
        <f>PE!I457</f>
        <v>0.70099999999999996</v>
      </c>
      <c r="J2949" s="680">
        <f>PE!J457</f>
        <v>0.71200000000000008</v>
      </c>
      <c r="K2949" s="650"/>
      <c r="L2949" s="745"/>
      <c r="M2949" s="745"/>
      <c r="N2949" s="787"/>
      <c r="O2949" s="787"/>
      <c r="P2949" s="787"/>
      <c r="Q2949" s="787"/>
    </row>
    <row r="2950" spans="2:17" s="57" customFormat="1" ht="12.5">
      <c r="B2950" s="716"/>
      <c r="C2950" s="1959"/>
      <c r="D2950" s="786"/>
      <c r="E2950" s="786"/>
      <c r="F2950" s="786"/>
      <c r="G2950" s="786"/>
      <c r="H2950" s="753"/>
      <c r="I2950" s="753"/>
      <c r="J2950" s="778"/>
      <c r="K2950" s="650"/>
      <c r="L2950" s="745"/>
      <c r="M2950" s="745"/>
      <c r="N2950" s="787"/>
      <c r="O2950" s="787"/>
      <c r="P2950" s="787"/>
      <c r="Q2950" s="787"/>
    </row>
    <row r="2951" spans="2:17" s="57" customFormat="1" ht="13">
      <c r="B2951" s="708" t="s">
        <v>1055</v>
      </c>
      <c r="C2951" s="1760"/>
      <c r="D2951" s="774"/>
      <c r="E2951" s="774"/>
      <c r="F2951" s="774"/>
      <c r="G2951" s="774"/>
      <c r="H2951" s="753"/>
      <c r="I2951" s="753"/>
      <c r="J2951" s="778"/>
      <c r="K2951" s="650"/>
      <c r="L2951" s="650"/>
      <c r="M2951" s="650"/>
      <c r="N2951" s="776"/>
      <c r="O2951" s="776"/>
      <c r="P2951" s="776"/>
      <c r="Q2951" s="776"/>
    </row>
    <row r="2952" spans="2:17" s="57" customFormat="1" ht="25">
      <c r="B2952" s="766" t="s">
        <v>1852</v>
      </c>
      <c r="C2952" s="1700">
        <f>TT!C546</f>
        <v>0.16300000000000001</v>
      </c>
      <c r="D2952" s="679">
        <f>TT!D546</f>
        <v>6.2E-2</v>
      </c>
      <c r="E2952" s="679">
        <f>TT!E546</f>
        <v>5.7000000000000002E-2</v>
      </c>
      <c r="F2952" s="679">
        <f>TT!F546</f>
        <v>5.6000000000000001E-2</v>
      </c>
      <c r="G2952" s="679">
        <f>TT!G546</f>
        <v>5.5E-2</v>
      </c>
      <c r="H2952" s="679">
        <f>TT!H546</f>
        <v>5.6000000000000001E-2</v>
      </c>
      <c r="I2952" s="679">
        <f>TT!I546</f>
        <v>5.3999999999999999E-2</v>
      </c>
      <c r="J2952" s="680">
        <f>TT!J546</f>
        <v>4.8000000000000001E-2</v>
      </c>
      <c r="K2952" s="657"/>
      <c r="L2952" s="657"/>
      <c r="M2952" s="657"/>
      <c r="N2952" s="787"/>
      <c r="O2952" s="787"/>
      <c r="P2952" s="787"/>
      <c r="Q2952" s="787"/>
    </row>
    <row r="2953" spans="2:17" s="57" customFormat="1" ht="12.5">
      <c r="B2953" s="726" t="s">
        <v>1309</v>
      </c>
      <c r="C2953" s="691">
        <f>TT!C554</f>
        <v>0.161</v>
      </c>
      <c r="D2953" s="692">
        <f>TT!D554</f>
        <v>0.16800000000000001</v>
      </c>
      <c r="E2953" s="692">
        <f>TT!E554</f>
        <v>0.15</v>
      </c>
      <c r="F2953" s="692">
        <f>TT!F554</f>
        <v>0.192</v>
      </c>
      <c r="G2953" s="692">
        <f>TT!G554</f>
        <v>0.105</v>
      </c>
      <c r="H2953" s="692">
        <f>TT!H554</f>
        <v>8.2000000000000003E-2</v>
      </c>
      <c r="I2953" s="692">
        <f>TT!I554</f>
        <v>8.7999999999999995E-2</v>
      </c>
      <c r="J2953" s="693">
        <f>TT!J554</f>
        <v>0.108</v>
      </c>
      <c r="K2953" s="657"/>
      <c r="L2953" s="657"/>
      <c r="M2953" s="657"/>
      <c r="N2953" s="787"/>
      <c r="O2953" s="787"/>
      <c r="P2953" s="787"/>
      <c r="Q2953" s="787"/>
    </row>
    <row r="2954" spans="2:17" s="57" customFormat="1" ht="12.5">
      <c r="B2954" s="789"/>
      <c r="C2954" s="790"/>
      <c r="D2954" s="790"/>
      <c r="E2954" s="790"/>
      <c r="F2954" s="790"/>
      <c r="G2954" s="790"/>
      <c r="H2954" s="790"/>
      <c r="I2954" s="790"/>
      <c r="J2954" s="790"/>
      <c r="K2954" s="657"/>
      <c r="L2954" s="657"/>
      <c r="M2954" s="657"/>
      <c r="N2954" s="787"/>
      <c r="O2954" s="787"/>
      <c r="P2954" s="787"/>
      <c r="Q2954" s="787"/>
    </row>
    <row r="2955" spans="2:17" s="57" customFormat="1" ht="13">
      <c r="B2955" s="2250" t="s">
        <v>1333</v>
      </c>
      <c r="C2955" s="2250"/>
      <c r="D2955" s="2250"/>
      <c r="E2955" s="2250"/>
      <c r="F2955" s="2250"/>
      <c r="G2955" s="2250"/>
      <c r="H2955" s="2250"/>
      <c r="I2955" s="2250"/>
      <c r="J2955" s="2250"/>
      <c r="K2955" s="2250"/>
      <c r="L2955" s="2250"/>
      <c r="M2955" s="2250"/>
      <c r="N2955" s="2250"/>
      <c r="O2955" s="2250"/>
      <c r="P2955" s="2250"/>
      <c r="Q2955" s="2250"/>
    </row>
    <row r="2956" spans="2:17" s="57" customFormat="1" ht="13">
      <c r="B2956" s="612" t="s">
        <v>2155</v>
      </c>
      <c r="C2956" s="790"/>
      <c r="D2956" s="790"/>
      <c r="E2956" s="790"/>
      <c r="F2956" s="790"/>
      <c r="G2956" s="790"/>
      <c r="H2956" s="790"/>
      <c r="I2956" s="790"/>
      <c r="J2956" s="790"/>
      <c r="K2956" s="657"/>
      <c r="L2956" s="657"/>
      <c r="M2956" s="657"/>
      <c r="N2956" s="787"/>
      <c r="O2956" s="787"/>
      <c r="P2956" s="787"/>
      <c r="Q2956" s="787"/>
    </row>
    <row r="2957" spans="2:17" s="57" customFormat="1" ht="12.5">
      <c r="B2957" s="2233" t="s">
        <v>11</v>
      </c>
      <c r="C2957" s="2245" t="s">
        <v>1334</v>
      </c>
      <c r="D2957" s="2246"/>
      <c r="E2957" s="2246"/>
      <c r="F2957" s="2246"/>
      <c r="G2957" s="2246"/>
      <c r="H2957" s="2246"/>
      <c r="I2957" s="2246"/>
      <c r="J2957" s="2247"/>
      <c r="K2957" s="644"/>
      <c r="L2957" s="644"/>
      <c r="M2957" s="644"/>
      <c r="N2957" s="644"/>
      <c r="O2957" s="644"/>
      <c r="P2957" s="644"/>
      <c r="Q2957" s="644"/>
    </row>
    <row r="2958" spans="2:17" s="57" customFormat="1" ht="12.5">
      <c r="B2958" s="2234"/>
      <c r="C2958" s="587">
        <v>2014</v>
      </c>
      <c r="D2958" s="588">
        <v>2015</v>
      </c>
      <c r="E2958" s="588">
        <v>2016</v>
      </c>
      <c r="F2958" s="588">
        <v>2017</v>
      </c>
      <c r="G2958" s="588">
        <v>2018</v>
      </c>
      <c r="H2958" s="588">
        <v>2019</v>
      </c>
      <c r="I2958" s="588">
        <v>2020</v>
      </c>
      <c r="J2958" s="848">
        <v>2021</v>
      </c>
      <c r="K2958" s="648"/>
      <c r="L2958" s="648"/>
      <c r="M2958" s="648"/>
      <c r="N2958" s="648"/>
      <c r="O2958" s="648"/>
      <c r="P2958" s="648"/>
      <c r="Q2958" s="648"/>
    </row>
    <row r="2959" spans="2:17" s="57" customFormat="1" ht="13">
      <c r="B2959" s="752" t="s">
        <v>1038</v>
      </c>
      <c r="C2959" s="761"/>
      <c r="D2959" s="755"/>
      <c r="E2959" s="755"/>
      <c r="F2959" s="755"/>
      <c r="G2959" s="755"/>
      <c r="H2959" s="755"/>
      <c r="I2959" s="755"/>
      <c r="J2959" s="756"/>
      <c r="K2959" s="644"/>
      <c r="L2959" s="644"/>
      <c r="M2959" s="644"/>
      <c r="N2959" s="644"/>
      <c r="O2959" s="644"/>
      <c r="P2959" s="644"/>
      <c r="Q2959" s="644"/>
    </row>
    <row r="2960" spans="2:17" s="57" customFormat="1" ht="25">
      <c r="B2960" s="757" t="s">
        <v>1335</v>
      </c>
      <c r="C2960" s="1700">
        <f>ARG!C884</f>
        <v>0</v>
      </c>
      <c r="D2960" s="679">
        <f>ARG!D884</f>
        <v>0</v>
      </c>
      <c r="E2960" s="679">
        <f>ARG!E884</f>
        <v>14.11440171101942</v>
      </c>
      <c r="F2960" s="679">
        <f>ARG!F884</f>
        <v>17.044667682244782</v>
      </c>
      <c r="G2960" s="679">
        <f>ARG!G884</f>
        <v>17.13909379686471</v>
      </c>
      <c r="H2960" s="679">
        <f>ARG!H884</f>
        <v>16.695884464479505</v>
      </c>
      <c r="I2960" s="679">
        <f>ARG!I884</f>
        <v>16.638935108153078</v>
      </c>
      <c r="J2960" s="680">
        <f>ARG!J884</f>
        <v>21.789883268482491</v>
      </c>
      <c r="K2960" s="644"/>
      <c r="L2960" s="644"/>
      <c r="M2960" s="644"/>
      <c r="N2960" s="644"/>
      <c r="O2960" s="644"/>
      <c r="P2960" s="644"/>
      <c r="Q2960" s="644"/>
    </row>
    <row r="2961" spans="2:17" s="57" customFormat="1" ht="12.5">
      <c r="B2961" s="595" t="s">
        <v>1336</v>
      </c>
      <c r="C2961" s="1700">
        <f>ARG!C886</f>
        <v>0</v>
      </c>
      <c r="D2961" s="679">
        <f>ARG!D886</f>
        <v>0</v>
      </c>
      <c r="E2961" s="679">
        <f>ARG!E886</f>
        <v>0</v>
      </c>
      <c r="F2961" s="679">
        <f>ARG!F886</f>
        <v>0</v>
      </c>
      <c r="G2961" s="679">
        <f>ARG!G886</f>
        <v>0</v>
      </c>
      <c r="H2961" s="679">
        <f>ARG!H886</f>
        <v>0</v>
      </c>
      <c r="I2961" s="679">
        <f>ARG!I886</f>
        <v>252.73544093178037</v>
      </c>
      <c r="J2961" s="680">
        <f>ARG!J886</f>
        <v>260.66692607003893</v>
      </c>
      <c r="K2961" s="644"/>
      <c r="L2961" s="644"/>
      <c r="M2961" s="644"/>
      <c r="N2961" s="644"/>
      <c r="O2961" s="644"/>
      <c r="P2961" s="644"/>
      <c r="Q2961" s="644"/>
    </row>
    <row r="2962" spans="2:17" s="57" customFormat="1" ht="25">
      <c r="B2962" s="757" t="s">
        <v>1337</v>
      </c>
      <c r="C2962" s="1760">
        <f>ARG!C882</f>
        <v>0</v>
      </c>
      <c r="D2962" s="774">
        <f>ARG!D882</f>
        <v>56059.054209919261</v>
      </c>
      <c r="E2962" s="774">
        <f>ARG!E882</f>
        <v>63789.237990849972</v>
      </c>
      <c r="F2962" s="774">
        <f>ARG!F882</f>
        <v>109775.66261145615</v>
      </c>
      <c r="G2962" s="774">
        <f>ARG!G882</f>
        <v>47714.39075546903</v>
      </c>
      <c r="H2962" s="774">
        <f>ARG!H882</f>
        <v>40220.385674931131</v>
      </c>
      <c r="I2962" s="774">
        <f>ARG!I882</f>
        <v>34276.20632279534</v>
      </c>
      <c r="J2962" s="775">
        <f>ARG!J882</f>
        <v>27665.369649805449</v>
      </c>
      <c r="K2962" s="644"/>
      <c r="L2962" s="644"/>
      <c r="M2962" s="644"/>
      <c r="N2962" s="644"/>
      <c r="O2962" s="644"/>
      <c r="P2962" s="644"/>
      <c r="Q2962" s="644"/>
    </row>
    <row r="2963" spans="2:17" s="57" customFormat="1" ht="25">
      <c r="B2963" s="757" t="s">
        <v>1338</v>
      </c>
      <c r="C2963" s="1760">
        <f>ARG!C888</f>
        <v>59526.691651075773</v>
      </c>
      <c r="D2963" s="774">
        <f>ARG!D888</f>
        <v>0</v>
      </c>
      <c r="E2963" s="774">
        <f>ARG!E888</f>
        <v>0</v>
      </c>
      <c r="F2963" s="774">
        <f>ARG!F888</f>
        <v>0</v>
      </c>
      <c r="G2963" s="774">
        <f>ARG!G888</f>
        <v>0</v>
      </c>
      <c r="H2963" s="774">
        <f>ARG!H888</f>
        <v>292123.67900390184</v>
      </c>
      <c r="I2963" s="774">
        <f>ARG!I888</f>
        <v>154153.14868077013</v>
      </c>
      <c r="J2963" s="775">
        <f>ARG!J888</f>
        <v>186186.5910603113</v>
      </c>
      <c r="K2963" s="644"/>
      <c r="L2963" s="644"/>
      <c r="M2963" s="644"/>
      <c r="N2963" s="644"/>
      <c r="O2963" s="644"/>
      <c r="P2963" s="644"/>
      <c r="Q2963" s="644"/>
    </row>
    <row r="2964" spans="2:17" s="57" customFormat="1" ht="12.5">
      <c r="B2964" s="1914"/>
      <c r="C2964" s="1760"/>
      <c r="D2964" s="774"/>
      <c r="E2964" s="774"/>
      <c r="F2964" s="774"/>
      <c r="G2964" s="774"/>
      <c r="H2964" s="774"/>
      <c r="I2964" s="774"/>
      <c r="J2964" s="775"/>
      <c r="K2964" s="644"/>
      <c r="L2964" s="644"/>
      <c r="M2964" s="644"/>
      <c r="N2964" s="644"/>
      <c r="O2964" s="644"/>
      <c r="P2964" s="644"/>
      <c r="Q2964" s="644"/>
    </row>
    <row r="2965" spans="2:17" s="57" customFormat="1" ht="13">
      <c r="B2965" s="1754" t="s">
        <v>1039</v>
      </c>
      <c r="C2965" s="1760"/>
      <c r="D2965" s="774"/>
      <c r="E2965" s="774"/>
      <c r="F2965" s="774"/>
      <c r="G2965" s="774"/>
      <c r="H2965" s="774"/>
      <c r="I2965" s="774"/>
      <c r="J2965" s="775"/>
      <c r="K2965" s="644"/>
      <c r="L2965" s="644"/>
      <c r="M2965" s="644"/>
      <c r="N2965" s="644"/>
      <c r="O2965" s="644"/>
      <c r="P2965" s="644"/>
      <c r="Q2965" s="644"/>
    </row>
    <row r="2966" spans="2:17" s="57" customFormat="1" ht="25">
      <c r="B2966" s="1908" t="s">
        <v>1885</v>
      </c>
      <c r="C2966" s="1760">
        <f>BA!C421</f>
        <v>3820</v>
      </c>
      <c r="D2966" s="774">
        <f>BA!D421</f>
        <v>4652</v>
      </c>
      <c r="E2966" s="774">
        <f>BA!E421</f>
        <v>5016</v>
      </c>
      <c r="F2966" s="774">
        <f>BA!F421</f>
        <v>5336</v>
      </c>
      <c r="G2966" s="774">
        <f>BA!G421</f>
        <v>5386</v>
      </c>
      <c r="H2966" s="774">
        <f>BA!H421</f>
        <v>5531.3965502000001</v>
      </c>
      <c r="I2966" s="774">
        <f>BA!I421</f>
        <v>8763.2995943599999</v>
      </c>
      <c r="J2966" s="775">
        <f>BA!J421</f>
        <v>9282.2837191399994</v>
      </c>
      <c r="K2966" s="644"/>
      <c r="L2966" s="644"/>
      <c r="M2966" s="644"/>
      <c r="N2966" s="644"/>
      <c r="O2966" s="644"/>
      <c r="P2966" s="644"/>
      <c r="Q2966" s="644"/>
    </row>
    <row r="2967" spans="2:17" s="57" customFormat="1" ht="12.5">
      <c r="B2967" s="1757"/>
      <c r="C2967" s="1761"/>
      <c r="D2967" s="777"/>
      <c r="E2967" s="777"/>
      <c r="F2967" s="777"/>
      <c r="G2967" s="777"/>
      <c r="H2967" s="777"/>
      <c r="I2967" s="777"/>
      <c r="J2967" s="791"/>
      <c r="K2967" s="622"/>
      <c r="L2967" s="622"/>
      <c r="M2967" s="622"/>
      <c r="N2967" s="622"/>
      <c r="O2967" s="622"/>
      <c r="P2967" s="622"/>
      <c r="Q2967" s="622"/>
    </row>
    <row r="2968" spans="2:17" s="57" customFormat="1" ht="13">
      <c r="B2968" s="708" t="s">
        <v>1040</v>
      </c>
      <c r="C2968" s="1761"/>
      <c r="D2968" s="777"/>
      <c r="E2968" s="777"/>
      <c r="F2968" s="777"/>
      <c r="G2968" s="777"/>
      <c r="H2968" s="777"/>
      <c r="I2968" s="777"/>
      <c r="J2968" s="791"/>
      <c r="K2968" s="622"/>
      <c r="L2968" s="622"/>
      <c r="M2968" s="622"/>
      <c r="N2968" s="622"/>
      <c r="O2968" s="622"/>
      <c r="P2968" s="622"/>
      <c r="Q2968" s="622"/>
    </row>
    <row r="2969" spans="2:17" s="57" customFormat="1" ht="12.5">
      <c r="B2969" s="704" t="s">
        <v>1325</v>
      </c>
      <c r="C2969" s="1700">
        <f>BO!C669</f>
        <v>5266.9548078717198</v>
      </c>
      <c r="D2969" s="679">
        <f>BO!D669</f>
        <v>6107.7341276967927</v>
      </c>
      <c r="E2969" s="679">
        <f>BO!E669</f>
        <v>7072.5908103498541</v>
      </c>
      <c r="F2969" s="679">
        <f>BO!F669</f>
        <v>7837.2484078717198</v>
      </c>
      <c r="G2969" s="679">
        <f>BO!G669</f>
        <v>9211.7423380466462</v>
      </c>
      <c r="H2969" s="679">
        <f>BO!H669</f>
        <v>12875.381690233235</v>
      </c>
      <c r="I2969" s="679">
        <f>BO!I669</f>
        <v>14671.68804664723</v>
      </c>
      <c r="J2969" s="680">
        <f>BO!J669</f>
        <v>14824.68118892128</v>
      </c>
      <c r="K2969" s="622"/>
      <c r="L2969" s="622"/>
      <c r="M2969" s="622"/>
      <c r="N2969" s="622"/>
      <c r="O2969" s="622"/>
      <c r="P2969" s="622"/>
      <c r="Q2969" s="622"/>
    </row>
    <row r="2970" spans="2:17" s="57" customFormat="1" ht="12.5">
      <c r="B2970" s="704"/>
      <c r="C2970" s="1761"/>
      <c r="D2970" s="777"/>
      <c r="E2970" s="777"/>
      <c r="F2970" s="777"/>
      <c r="G2970" s="777"/>
      <c r="H2970" s="777"/>
      <c r="I2970" s="777"/>
      <c r="J2970" s="791"/>
      <c r="K2970" s="622"/>
      <c r="L2970" s="622"/>
      <c r="M2970" s="622"/>
      <c r="N2970" s="622"/>
      <c r="O2970" s="622"/>
      <c r="P2970" s="622"/>
      <c r="Q2970" s="622"/>
    </row>
    <row r="2971" spans="2:17" s="57" customFormat="1" ht="13">
      <c r="B2971" s="708" t="s">
        <v>1041</v>
      </c>
      <c r="C2971" s="1761"/>
      <c r="D2971" s="777"/>
      <c r="E2971" s="777"/>
      <c r="F2971" s="777"/>
      <c r="G2971" s="777"/>
      <c r="H2971" s="777"/>
      <c r="I2971" s="777"/>
      <c r="J2971" s="791"/>
      <c r="K2971" s="622"/>
      <c r="L2971" s="622"/>
      <c r="M2971" s="622"/>
      <c r="N2971" s="622"/>
      <c r="O2971" s="622"/>
      <c r="P2971" s="622"/>
      <c r="Q2971" s="622"/>
    </row>
    <row r="2972" spans="2:17" s="57" customFormat="1" ht="12.5">
      <c r="B2972" s="704" t="s">
        <v>1313</v>
      </c>
      <c r="C2972" s="1700">
        <f>BR!C682</f>
        <v>841860.62526134693</v>
      </c>
      <c r="D2972" s="679">
        <f>BR!D682</f>
        <v>488379.14648588415</v>
      </c>
      <c r="E2972" s="679">
        <f>BR!E682</f>
        <v>757312.731919938</v>
      </c>
      <c r="F2972" s="679">
        <f>BR!F682</f>
        <v>955552.06344556529</v>
      </c>
      <c r="G2972" s="679">
        <f>BR!G682</f>
        <v>0</v>
      </c>
      <c r="H2972" s="679">
        <f>BR!H682</f>
        <v>0</v>
      </c>
      <c r="I2972" s="679">
        <f>BR!I682</f>
        <v>0</v>
      </c>
      <c r="J2972" s="680">
        <f>BR!J682</f>
        <v>0</v>
      </c>
      <c r="K2972" s="622"/>
      <c r="L2972" s="622"/>
      <c r="M2972" s="622"/>
      <c r="N2972" s="622"/>
      <c r="O2972" s="622"/>
      <c r="P2972" s="622"/>
      <c r="Q2972" s="622"/>
    </row>
    <row r="2973" spans="2:17" s="57" customFormat="1" ht="12.5">
      <c r="B2973" s="704" t="s">
        <v>1314</v>
      </c>
      <c r="C2973" s="1700">
        <f>BR!C685</f>
        <v>0</v>
      </c>
      <c r="D2973" s="679">
        <f>BR!D685</f>
        <v>0</v>
      </c>
      <c r="E2973" s="679">
        <f>BR!E685</f>
        <v>0</v>
      </c>
      <c r="F2973" s="679">
        <f>BR!F685</f>
        <v>0</v>
      </c>
      <c r="G2973" s="679">
        <f>BR!G685</f>
        <v>918110.22501334269</v>
      </c>
      <c r="H2973" s="679">
        <f>BR!H685</f>
        <v>1184209.6934028431</v>
      </c>
      <c r="I2973" s="679">
        <f>BR!I685</f>
        <v>988644.6714260974</v>
      </c>
      <c r="J2973" s="680">
        <f>BR!J685</f>
        <v>2103337.0559985666</v>
      </c>
      <c r="K2973" s="622"/>
      <c r="L2973" s="622"/>
      <c r="M2973" s="622"/>
      <c r="N2973" s="622"/>
      <c r="O2973" s="622"/>
      <c r="P2973" s="622"/>
      <c r="Q2973" s="622"/>
    </row>
    <row r="2974" spans="2:17" s="57" customFormat="1" ht="12.5">
      <c r="B2974" s="704"/>
      <c r="C2974" s="1761"/>
      <c r="D2974" s="777"/>
      <c r="E2974" s="777"/>
      <c r="F2974" s="777"/>
      <c r="G2974" s="777"/>
      <c r="H2974" s="777"/>
      <c r="I2974" s="777"/>
      <c r="J2974" s="791"/>
      <c r="K2974" s="622"/>
      <c r="L2974" s="622"/>
      <c r="M2974" s="622"/>
      <c r="N2974" s="622"/>
      <c r="O2974" s="622"/>
      <c r="P2974" s="622"/>
      <c r="Q2974" s="622"/>
    </row>
    <row r="2975" spans="2:17" s="57" customFormat="1" ht="13">
      <c r="B2975" s="708" t="s">
        <v>1042</v>
      </c>
      <c r="C2975" s="1761"/>
      <c r="D2975" s="777"/>
      <c r="E2975" s="777"/>
      <c r="F2975" s="777"/>
      <c r="G2975" s="777"/>
      <c r="H2975" s="777"/>
      <c r="I2975" s="777"/>
      <c r="J2975" s="791"/>
      <c r="K2975" s="622"/>
      <c r="L2975" s="622"/>
      <c r="M2975" s="622"/>
      <c r="N2975" s="622"/>
      <c r="O2975" s="622"/>
      <c r="P2975" s="622"/>
      <c r="Q2975" s="622"/>
    </row>
    <row r="2976" spans="2:17" s="57" customFormat="1" ht="25">
      <c r="B2976" s="766" t="s">
        <v>521</v>
      </c>
      <c r="C2976" s="1760">
        <f>CL!C455</f>
        <v>233041.93750205802</v>
      </c>
      <c r="D2976" s="774">
        <f>CL!D455</f>
        <v>190625.41776232081</v>
      </c>
      <c r="E2976" s="774">
        <f>CL!E455</f>
        <v>209857.27045212727</v>
      </c>
      <c r="F2976" s="774">
        <f>CL!F455</f>
        <v>294327.0472351354</v>
      </c>
      <c r="G2976" s="774">
        <f>CL!G455</f>
        <v>249802.11013526138</v>
      </c>
      <c r="H2976" s="774">
        <f>CL!H455</f>
        <v>205797.76530310762</v>
      </c>
      <c r="I2976" s="774">
        <f>CL!I455</f>
        <v>167675.65473145779</v>
      </c>
      <c r="J2976" s="775">
        <f>CL!J455</f>
        <v>169001.98956975227</v>
      </c>
      <c r="K2976" s="622"/>
      <c r="L2976" s="622"/>
      <c r="M2976" s="622"/>
      <c r="N2976" s="622"/>
      <c r="O2976" s="622"/>
      <c r="P2976" s="622"/>
      <c r="Q2976" s="622"/>
    </row>
    <row r="2977" spans="2:17" s="57" customFormat="1" ht="12.5">
      <c r="B2977" s="766"/>
      <c r="C2977" s="1761"/>
      <c r="D2977" s="777"/>
      <c r="E2977" s="777"/>
      <c r="F2977" s="777"/>
      <c r="G2977" s="777"/>
      <c r="H2977" s="777"/>
      <c r="I2977" s="777"/>
      <c r="J2977" s="791"/>
      <c r="K2977" s="622"/>
      <c r="L2977" s="622"/>
      <c r="M2977" s="622"/>
      <c r="N2977" s="622"/>
      <c r="O2977" s="622"/>
      <c r="P2977" s="622"/>
      <c r="Q2977" s="622"/>
    </row>
    <row r="2978" spans="2:17" s="57" customFormat="1" ht="13">
      <c r="B2978" s="708" t="s">
        <v>1043</v>
      </c>
      <c r="C2978" s="1761"/>
      <c r="D2978" s="777"/>
      <c r="E2978" s="777"/>
      <c r="F2978" s="777"/>
      <c r="G2978" s="777"/>
      <c r="H2978" s="777"/>
      <c r="I2978" s="777"/>
      <c r="J2978" s="791"/>
      <c r="K2978" s="622"/>
      <c r="L2978" s="622"/>
      <c r="M2978" s="622"/>
      <c r="N2978" s="622"/>
      <c r="O2978" s="622"/>
      <c r="P2978" s="622"/>
      <c r="Q2978" s="622"/>
    </row>
    <row r="2979" spans="2:17" s="57" customFormat="1" ht="12.5">
      <c r="B2979" s="767" t="s">
        <v>1331</v>
      </c>
      <c r="C2979" s="1760">
        <f>CO!C594</f>
        <v>152189.51351727865</v>
      </c>
      <c r="D2979" s="774">
        <f>CO!D594</f>
        <v>88487.854681899698</v>
      </c>
      <c r="E2979" s="774">
        <f>CO!E594</f>
        <v>103770.15169322328</v>
      </c>
      <c r="F2979" s="774">
        <f>CO!F594</f>
        <v>121931.58749521807</v>
      </c>
      <c r="G2979" s="774">
        <f>CO!G594</f>
        <v>104516.77077112164</v>
      </c>
      <c r="H2979" s="774">
        <f>CO!H594</f>
        <v>133282.73825323093</v>
      </c>
      <c r="I2979" s="774">
        <f>CO!I594</f>
        <v>106528.15061553415</v>
      </c>
      <c r="J2979" s="775">
        <f>CO!J594</f>
        <v>93017.794331550103</v>
      </c>
      <c r="K2979" s="622"/>
      <c r="L2979" s="622"/>
      <c r="M2979" s="622"/>
      <c r="N2979" s="622"/>
      <c r="O2979" s="622"/>
      <c r="P2979" s="622"/>
      <c r="Q2979" s="622"/>
    </row>
    <row r="2980" spans="2:17" s="57" customFormat="1" ht="12.5">
      <c r="B2980" s="767"/>
      <c r="C2980" s="1761"/>
      <c r="D2980" s="777"/>
      <c r="E2980" s="777"/>
      <c r="F2980" s="777"/>
      <c r="G2980" s="777"/>
      <c r="H2980" s="777"/>
      <c r="I2980" s="777"/>
      <c r="J2980" s="791"/>
      <c r="K2980" s="622"/>
      <c r="L2980" s="622"/>
      <c r="M2980" s="622"/>
      <c r="N2980" s="622"/>
      <c r="O2980" s="622"/>
      <c r="P2980" s="622"/>
      <c r="Q2980" s="622"/>
    </row>
    <row r="2981" spans="2:17" s="57" customFormat="1" ht="13">
      <c r="B2981" s="708" t="s">
        <v>1044</v>
      </c>
      <c r="C2981" s="1761"/>
      <c r="D2981" s="777"/>
      <c r="E2981" s="777"/>
      <c r="F2981" s="777"/>
      <c r="G2981" s="777"/>
      <c r="H2981" s="777"/>
      <c r="I2981" s="777"/>
      <c r="J2981" s="791"/>
      <c r="K2981" s="622"/>
      <c r="L2981" s="622"/>
      <c r="M2981" s="622"/>
      <c r="N2981" s="622"/>
      <c r="O2981" s="622"/>
      <c r="P2981" s="622"/>
      <c r="Q2981" s="622"/>
    </row>
    <row r="2982" spans="2:17" s="57" customFormat="1" ht="12.5">
      <c r="B2982" s="766" t="s">
        <v>1317</v>
      </c>
      <c r="C2982" s="1760">
        <f>CR!C497</f>
        <v>2093.3773189361868</v>
      </c>
      <c r="D2982" s="774">
        <f>CR!D497</f>
        <v>1954.1744989948174</v>
      </c>
      <c r="E2982" s="774">
        <f>CR!E497</f>
        <v>2299.7642898050894</v>
      </c>
      <c r="F2982" s="774">
        <f>CR!F497</f>
        <v>2409.8231480428949</v>
      </c>
      <c r="G2982" s="774">
        <f>CR!G497</f>
        <v>2156.0921913151774</v>
      </c>
      <c r="H2982" s="774">
        <f>CR!H497</f>
        <v>2139.019679032785</v>
      </c>
      <c r="I2982" s="774">
        <f>CR!I497</f>
        <v>1781.4424327912786</v>
      </c>
      <c r="J2982" s="775">
        <f>CR!J497</f>
        <v>2041.8449128325715</v>
      </c>
      <c r="K2982" s="622"/>
      <c r="L2982" s="622"/>
      <c r="M2982" s="622"/>
      <c r="N2982" s="622"/>
      <c r="O2982" s="622"/>
      <c r="P2982" s="622"/>
      <c r="Q2982" s="622"/>
    </row>
    <row r="2983" spans="2:17" s="57" customFormat="1" ht="12.5">
      <c r="B2983" s="766"/>
      <c r="C2983" s="1761"/>
      <c r="D2983" s="777"/>
      <c r="E2983" s="777"/>
      <c r="F2983" s="777"/>
      <c r="G2983" s="777"/>
      <c r="H2983" s="777"/>
      <c r="I2983" s="777"/>
      <c r="J2983" s="791"/>
      <c r="K2983" s="622"/>
      <c r="L2983" s="622"/>
      <c r="M2983" s="622"/>
      <c r="N2983" s="622"/>
      <c r="O2983" s="622"/>
      <c r="P2983" s="622"/>
      <c r="Q2983" s="622"/>
    </row>
    <row r="2984" spans="2:17" s="57" customFormat="1" ht="13">
      <c r="B2984" s="708" t="s">
        <v>1061</v>
      </c>
      <c r="C2984" s="1761"/>
      <c r="D2984" s="777"/>
      <c r="E2984" s="777"/>
      <c r="F2984" s="777"/>
      <c r="G2984" s="777"/>
      <c r="H2984" s="777"/>
      <c r="I2984" s="777"/>
      <c r="J2984" s="791"/>
      <c r="K2984" s="622"/>
      <c r="L2984" s="622"/>
      <c r="M2984" s="622"/>
      <c r="N2984" s="622"/>
      <c r="O2984" s="622"/>
      <c r="P2984" s="622"/>
      <c r="Q2984" s="622"/>
    </row>
    <row r="2985" spans="2:17" s="57" customFormat="1" ht="25">
      <c r="B2985" s="766" t="s">
        <v>2111</v>
      </c>
      <c r="C2985" s="1760">
        <f>CW!C452</f>
        <v>0</v>
      </c>
      <c r="D2985" s="774">
        <f>CW!D452</f>
        <v>0</v>
      </c>
      <c r="E2985" s="774">
        <f>CW!E452</f>
        <v>1344.9162011173185</v>
      </c>
      <c r="F2985" s="774">
        <f>CW!F452</f>
        <v>1344.921787709497</v>
      </c>
      <c r="G2985" s="774">
        <f>CW!G452</f>
        <v>1346.3128491620112</v>
      </c>
      <c r="H2985" s="774">
        <f>CW!H452</f>
        <v>1761.3519553072626</v>
      </c>
      <c r="I2985" s="774">
        <f>CW!I452</f>
        <v>2373.7430167597763</v>
      </c>
      <c r="J2985" s="775">
        <f>CW!J452</f>
        <v>2192.1799999999998</v>
      </c>
      <c r="K2985" s="622"/>
      <c r="L2985" s="622"/>
      <c r="M2985" s="622"/>
      <c r="N2985" s="622"/>
      <c r="O2985" s="622"/>
      <c r="P2985" s="622"/>
      <c r="Q2985" s="622"/>
    </row>
    <row r="2986" spans="2:17" s="57" customFormat="1" ht="12.5">
      <c r="B2986" s="1772"/>
      <c r="C2986" s="1760"/>
      <c r="D2986" s="774"/>
      <c r="E2986" s="774"/>
      <c r="F2986" s="774"/>
      <c r="G2986" s="774"/>
      <c r="H2986" s="774"/>
      <c r="I2986" s="774"/>
      <c r="J2986" s="775"/>
      <c r="K2986" s="622"/>
      <c r="L2986" s="622"/>
      <c r="M2986" s="622"/>
      <c r="N2986" s="622"/>
      <c r="O2986" s="622"/>
      <c r="P2986" s="622"/>
      <c r="Q2986" s="622"/>
    </row>
    <row r="2987" spans="2:17" s="57" customFormat="1" ht="13">
      <c r="B2987" s="1754" t="s">
        <v>1047</v>
      </c>
      <c r="C2987" s="1760"/>
      <c r="D2987" s="774"/>
      <c r="E2987" s="774"/>
      <c r="F2987" s="774"/>
      <c r="G2987" s="774"/>
      <c r="H2987" s="774"/>
      <c r="I2987" s="774"/>
      <c r="J2987" s="775"/>
      <c r="K2987" s="622"/>
      <c r="L2987" s="622"/>
      <c r="M2987" s="622"/>
      <c r="N2987" s="622"/>
      <c r="O2987" s="622"/>
      <c r="P2987" s="622"/>
      <c r="Q2987" s="622"/>
    </row>
    <row r="2988" spans="2:17" s="57" customFormat="1" ht="12.5">
      <c r="B2988" s="1909" t="s">
        <v>865</v>
      </c>
      <c r="C2988" s="1760">
        <f>EC!C470</f>
        <v>0</v>
      </c>
      <c r="D2988" s="774">
        <f>EC!D470</f>
        <v>0</v>
      </c>
      <c r="E2988" s="774">
        <f>EC!E470</f>
        <v>0</v>
      </c>
      <c r="F2988" s="774">
        <f>EC!F470</f>
        <v>6837.8853402499999</v>
      </c>
      <c r="G2988" s="774">
        <f>EC!G470</f>
        <v>8286.4214424900001</v>
      </c>
      <c r="H2988" s="774">
        <f>EC!H470</f>
        <v>8012.2341999999999</v>
      </c>
      <c r="I2988" s="774">
        <f>EC!I470</f>
        <v>8474.6789439999993</v>
      </c>
      <c r="J2988" s="775" t="str">
        <f>EC!J470</f>
        <v>0</v>
      </c>
      <c r="K2988" s="622"/>
      <c r="L2988" s="622"/>
      <c r="M2988" s="622"/>
      <c r="N2988" s="622"/>
      <c r="O2988" s="622"/>
      <c r="P2988" s="622"/>
      <c r="Q2988" s="622"/>
    </row>
    <row r="2989" spans="2:17" s="57" customFormat="1" ht="12.5">
      <c r="B2989" s="1909" t="s">
        <v>866</v>
      </c>
      <c r="C2989" s="1760" t="str">
        <f>EC!C473</f>
        <v>0</v>
      </c>
      <c r="D2989" s="774" t="str">
        <f>EC!D473</f>
        <v>0</v>
      </c>
      <c r="E2989" s="774" t="str">
        <f>EC!E473</f>
        <v>0</v>
      </c>
      <c r="F2989" s="774">
        <f>EC!F473</f>
        <v>6764.7266551149996</v>
      </c>
      <c r="G2989" s="774">
        <f>EC!G473</f>
        <v>8138.0689857099997</v>
      </c>
      <c r="H2989" s="774">
        <f>EC!H473</f>
        <v>8320.1212300000007</v>
      </c>
      <c r="I2989" s="774">
        <f>EC!I473</f>
        <v>8486.2360599999993</v>
      </c>
      <c r="J2989" s="775" t="str">
        <f>EC!J473</f>
        <v>0</v>
      </c>
      <c r="K2989" s="622"/>
      <c r="L2989" s="622"/>
      <c r="M2989" s="622"/>
      <c r="N2989" s="622"/>
      <c r="O2989" s="622"/>
      <c r="P2989" s="622"/>
      <c r="Q2989" s="622"/>
    </row>
    <row r="2990" spans="2:17" s="57" customFormat="1" ht="12.5">
      <c r="B2990" s="766"/>
      <c r="C2990" s="1761"/>
      <c r="D2990" s="777"/>
      <c r="E2990" s="777"/>
      <c r="F2990" s="777"/>
      <c r="G2990" s="777"/>
      <c r="H2990" s="777"/>
      <c r="I2990" s="777"/>
      <c r="J2990" s="791"/>
      <c r="K2990" s="622"/>
      <c r="L2990" s="622"/>
      <c r="M2990" s="622"/>
      <c r="N2990" s="622"/>
      <c r="O2990" s="622"/>
      <c r="P2990" s="622"/>
      <c r="Q2990" s="622"/>
    </row>
    <row r="2991" spans="2:17" s="57" customFormat="1" ht="13">
      <c r="B2991" s="708" t="s">
        <v>1048</v>
      </c>
      <c r="C2991" s="1761"/>
      <c r="D2991" s="777"/>
      <c r="E2991" s="777"/>
      <c r="F2991" s="777"/>
      <c r="G2991" s="777"/>
      <c r="H2991" s="777"/>
      <c r="I2991" s="777"/>
      <c r="J2991" s="791"/>
      <c r="K2991" s="622"/>
      <c r="L2991" s="622"/>
      <c r="M2991" s="622"/>
      <c r="N2991" s="622"/>
      <c r="O2991" s="622"/>
      <c r="P2991" s="622"/>
      <c r="Q2991" s="622"/>
    </row>
    <row r="2992" spans="2:17" s="57" customFormat="1" ht="25">
      <c r="B2992" s="766" t="s">
        <v>1566</v>
      </c>
      <c r="C2992" s="1760">
        <f>SV!C438</f>
        <v>10291.213</v>
      </c>
      <c r="D2992" s="774">
        <f>SV!D438</f>
        <v>10490.084000000001</v>
      </c>
      <c r="E2992" s="774">
        <f>SV!E438</f>
        <v>10555.07</v>
      </c>
      <c r="F2992" s="774">
        <f>SV!F438</f>
        <v>4595.1239999999998</v>
      </c>
      <c r="G2992" s="774">
        <f>SV!G438</f>
        <v>4492.8919999999998</v>
      </c>
      <c r="H2992" s="774">
        <f>SV!H438</f>
        <v>4813.6059999999998</v>
      </c>
      <c r="I2992" s="774">
        <f>SV!I438</f>
        <v>4781.8670000000002</v>
      </c>
      <c r="J2992" s="775">
        <f>SV!J438</f>
        <v>3927</v>
      </c>
      <c r="K2992" s="622"/>
      <c r="L2992" s="622"/>
      <c r="M2992" s="622"/>
      <c r="N2992" s="622"/>
      <c r="O2992" s="622"/>
      <c r="P2992" s="622"/>
      <c r="Q2992" s="622"/>
    </row>
    <row r="2993" spans="2:17" s="57" customFormat="1" ht="12.5">
      <c r="B2993" s="710"/>
      <c r="C2993" s="1761"/>
      <c r="D2993" s="777"/>
      <c r="E2993" s="777"/>
      <c r="F2993" s="777"/>
      <c r="G2993" s="777"/>
      <c r="H2993" s="777"/>
      <c r="I2993" s="777"/>
      <c r="J2993" s="791"/>
      <c r="K2993" s="622"/>
      <c r="L2993" s="622"/>
      <c r="M2993" s="622"/>
      <c r="N2993" s="622"/>
      <c r="O2993" s="622"/>
      <c r="P2993" s="622"/>
      <c r="Q2993" s="622"/>
    </row>
    <row r="2994" spans="2:17" s="57" customFormat="1" ht="13">
      <c r="B2994" s="708" t="s">
        <v>1049</v>
      </c>
      <c r="C2994" s="1761"/>
      <c r="D2994" s="777"/>
      <c r="E2994" s="777"/>
      <c r="F2994" s="777"/>
      <c r="G2994" s="777"/>
      <c r="H2994" s="777"/>
      <c r="I2994" s="777"/>
      <c r="J2994" s="791"/>
      <c r="K2994" s="622"/>
      <c r="L2994" s="622"/>
      <c r="M2994" s="622"/>
      <c r="N2994" s="622"/>
      <c r="O2994" s="622"/>
      <c r="P2994" s="622"/>
      <c r="Q2994" s="622"/>
    </row>
    <row r="2995" spans="2:17" s="57" customFormat="1" ht="12.5">
      <c r="B2995" s="700" t="s">
        <v>1332</v>
      </c>
      <c r="C2995" s="1760">
        <f>GT!C633</f>
        <v>23.0769737058611</v>
      </c>
      <c r="D2995" s="774">
        <f>GT!D633</f>
        <v>26.913789556847998</v>
      </c>
      <c r="E2995" s="774">
        <f>GT!E633</f>
        <v>26.9137863876322</v>
      </c>
      <c r="F2995" s="774">
        <f>GT!F633</f>
        <v>29.913802610565099</v>
      </c>
      <c r="G2995" s="774">
        <f>GT!G633</f>
        <v>29.913854942839201</v>
      </c>
      <c r="H2995" s="774">
        <f>GT!H633</f>
        <v>29.9138000010391</v>
      </c>
      <c r="I2995" s="774">
        <f>GT!I633</f>
        <v>29.885216748654699</v>
      </c>
      <c r="J2995" s="775">
        <f>GT!J633</f>
        <v>29.9137999927453</v>
      </c>
      <c r="K2995" s="622"/>
      <c r="L2995" s="622"/>
      <c r="M2995" s="622"/>
      <c r="N2995" s="622"/>
      <c r="O2995" s="622"/>
      <c r="P2995" s="622"/>
      <c r="Q2995" s="622"/>
    </row>
    <row r="2996" spans="2:17" s="57" customFormat="1" ht="12.5">
      <c r="B2996" s="700"/>
      <c r="C2996" s="1761"/>
      <c r="D2996" s="777"/>
      <c r="E2996" s="777"/>
      <c r="F2996" s="777"/>
      <c r="G2996" s="777"/>
      <c r="H2996" s="777"/>
      <c r="I2996" s="777"/>
      <c r="J2996" s="791"/>
      <c r="K2996" s="622"/>
      <c r="L2996" s="622"/>
      <c r="M2996" s="622"/>
      <c r="N2996" s="622"/>
      <c r="O2996" s="622"/>
      <c r="P2996" s="622"/>
      <c r="Q2996" s="622"/>
    </row>
    <row r="2997" spans="2:17" s="57" customFormat="1" ht="13">
      <c r="B2997" s="708" t="s">
        <v>1050</v>
      </c>
      <c r="C2997" s="1761"/>
      <c r="D2997" s="777"/>
      <c r="E2997" s="777"/>
      <c r="F2997" s="777"/>
      <c r="G2997" s="777"/>
      <c r="H2997" s="777"/>
      <c r="I2997" s="777"/>
      <c r="J2997" s="791"/>
      <c r="K2997" s="622"/>
      <c r="L2997" s="622"/>
      <c r="M2997" s="622"/>
      <c r="N2997" s="622"/>
      <c r="O2997" s="622"/>
      <c r="P2997" s="622"/>
      <c r="Q2997" s="622"/>
    </row>
    <row r="2998" spans="2:17" s="57" customFormat="1" ht="12.5">
      <c r="B2998" s="700" t="s">
        <v>486</v>
      </c>
      <c r="C2998" s="1760">
        <f>HN!C518</f>
        <v>0</v>
      </c>
      <c r="D2998" s="774">
        <f>HN!D518</f>
        <v>0</v>
      </c>
      <c r="E2998" s="774">
        <f>HN!E518</f>
        <v>0</v>
      </c>
      <c r="F2998" s="774">
        <f>HN!F518</f>
        <v>0</v>
      </c>
      <c r="G2998" s="774">
        <f>HN!G518</f>
        <v>0</v>
      </c>
      <c r="H2998" s="774">
        <f>HN!H518</f>
        <v>0</v>
      </c>
      <c r="I2998" s="774">
        <f>HN!I518</f>
        <v>0</v>
      </c>
      <c r="J2998" s="775">
        <f>HN!J518</f>
        <v>0</v>
      </c>
      <c r="K2998" s="622"/>
      <c r="L2998" s="622"/>
      <c r="M2998" s="622"/>
      <c r="N2998" s="622"/>
      <c r="O2998" s="622"/>
      <c r="P2998" s="622"/>
      <c r="Q2998" s="622"/>
    </row>
    <row r="2999" spans="2:17" s="57" customFormat="1" ht="12.5">
      <c r="B2999" s="700" t="s">
        <v>1591</v>
      </c>
      <c r="C2999" s="1760">
        <f>HN!C521</f>
        <v>0</v>
      </c>
      <c r="D2999" s="774">
        <f>HN!D521</f>
        <v>0</v>
      </c>
      <c r="E2999" s="774">
        <f>HN!E521</f>
        <v>0</v>
      </c>
      <c r="F2999" s="774">
        <f>HN!F521</f>
        <v>0</v>
      </c>
      <c r="G2999" s="774">
        <f>HN!G521</f>
        <v>0</v>
      </c>
      <c r="H2999" s="774">
        <f>HN!H521</f>
        <v>0</v>
      </c>
      <c r="I2999" s="774">
        <f>HN!I521</f>
        <v>0</v>
      </c>
      <c r="J2999" s="775">
        <f>HN!J521</f>
        <v>0</v>
      </c>
      <c r="K2999" s="622"/>
    </row>
    <row r="3000" spans="2:17" s="57" customFormat="1" ht="12.5">
      <c r="B3000" s="700"/>
      <c r="C3000" s="1761"/>
      <c r="D3000" s="777"/>
      <c r="E3000" s="777"/>
      <c r="F3000" s="777"/>
      <c r="G3000" s="777"/>
      <c r="H3000" s="777"/>
      <c r="I3000" s="777"/>
      <c r="J3000" s="791"/>
      <c r="K3000" s="622"/>
    </row>
    <row r="3001" spans="2:17" s="57" customFormat="1" ht="13">
      <c r="B3001" s="708" t="s">
        <v>1051</v>
      </c>
      <c r="C3001" s="1761"/>
      <c r="D3001" s="777"/>
      <c r="E3001" s="777"/>
      <c r="F3001" s="777"/>
      <c r="G3001" s="777"/>
      <c r="H3001" s="777"/>
      <c r="I3001" s="777"/>
      <c r="J3001" s="791"/>
      <c r="K3001" s="622"/>
      <c r="L3001" s="622"/>
      <c r="M3001" s="622"/>
      <c r="N3001" s="622"/>
      <c r="O3001" s="622"/>
      <c r="P3001" s="622"/>
      <c r="Q3001" s="622"/>
    </row>
    <row r="3002" spans="2:17" s="57" customFormat="1" ht="12.5">
      <c r="B3002" s="792" t="s">
        <v>486</v>
      </c>
      <c r="C3002" s="1760">
        <f>JM!C510</f>
        <v>2588.8282733316646</v>
      </c>
      <c r="D3002" s="774">
        <f>JM!D510</f>
        <v>5111.9841381887636</v>
      </c>
      <c r="E3002" s="774">
        <f>JM!E510</f>
        <v>5430.120312611919</v>
      </c>
      <c r="F3002" s="774">
        <f>JM!F510</f>
        <v>9308.2522931491421</v>
      </c>
      <c r="G3002" s="774">
        <f>JM!G510</f>
        <v>11929.667105660832</v>
      </c>
      <c r="H3002" s="774">
        <f>JM!H510</f>
        <v>15699.779284749829</v>
      </c>
      <c r="I3002" s="774">
        <f>JM!I510</f>
        <v>11684.731653011966</v>
      </c>
      <c r="J3002" s="775">
        <f>JM!J510</f>
        <v>12055.420413469015</v>
      </c>
      <c r="K3002" s="622"/>
      <c r="L3002" s="622"/>
      <c r="M3002" s="622"/>
      <c r="N3002" s="622"/>
      <c r="O3002" s="622"/>
      <c r="P3002" s="622"/>
      <c r="Q3002" s="622"/>
    </row>
    <row r="3003" spans="2:17" s="57" customFormat="1" ht="12.5">
      <c r="B3003" s="792" t="s">
        <v>1591</v>
      </c>
      <c r="C3003" s="1760">
        <f>JM!C513</f>
        <v>0</v>
      </c>
      <c r="D3003" s="774">
        <f>JM!D513</f>
        <v>0</v>
      </c>
      <c r="E3003" s="774">
        <f>JM!E513</f>
        <v>0</v>
      </c>
      <c r="F3003" s="774">
        <f>JM!F513</f>
        <v>0</v>
      </c>
      <c r="G3003" s="774">
        <f>JM!G513</f>
        <v>0</v>
      </c>
      <c r="H3003" s="774">
        <f>JM!H513</f>
        <v>0</v>
      </c>
      <c r="I3003" s="774">
        <f>JM!I513</f>
        <v>0</v>
      </c>
      <c r="J3003" s="775">
        <f>JM!J513</f>
        <v>0</v>
      </c>
      <c r="K3003" s="622"/>
      <c r="L3003" s="622"/>
      <c r="M3003" s="622"/>
      <c r="N3003" s="622"/>
      <c r="O3003" s="622"/>
      <c r="P3003" s="622"/>
      <c r="Q3003" s="622"/>
    </row>
    <row r="3004" spans="2:17" s="57" customFormat="1" ht="12.5">
      <c r="B3004" s="1960"/>
      <c r="C3004" s="1760"/>
      <c r="D3004" s="774"/>
      <c r="E3004" s="774"/>
      <c r="F3004" s="774"/>
      <c r="G3004" s="774"/>
      <c r="H3004" s="774"/>
      <c r="I3004" s="774"/>
      <c r="J3004" s="775"/>
      <c r="K3004" s="622"/>
      <c r="L3004" s="622"/>
      <c r="M3004" s="622"/>
      <c r="N3004" s="622"/>
      <c r="O3004" s="622"/>
      <c r="P3004" s="622"/>
      <c r="Q3004" s="622"/>
    </row>
    <row r="3005" spans="2:17" s="57" customFormat="1" ht="13">
      <c r="B3005" s="708" t="s">
        <v>1052</v>
      </c>
      <c r="C3005" s="1761"/>
      <c r="D3005" s="777"/>
      <c r="E3005" s="777"/>
      <c r="F3005" s="777"/>
      <c r="G3005" s="777"/>
      <c r="H3005" s="777"/>
      <c r="I3005" s="777"/>
      <c r="J3005" s="791"/>
      <c r="K3005" s="622"/>
      <c r="L3005" s="622"/>
      <c r="M3005" s="622"/>
      <c r="N3005" s="622"/>
      <c r="O3005" s="622"/>
      <c r="P3005" s="622"/>
      <c r="Q3005" s="622"/>
    </row>
    <row r="3006" spans="2:17" s="57" customFormat="1" ht="12.5">
      <c r="B3006" s="766" t="s">
        <v>486</v>
      </c>
      <c r="C3006" s="1760">
        <f>RD!C551</f>
        <v>0</v>
      </c>
      <c r="D3006" s="774">
        <f>RD!D551</f>
        <v>0</v>
      </c>
      <c r="E3006" s="774">
        <f>RD!E551</f>
        <v>0</v>
      </c>
      <c r="F3006" s="774">
        <f>RD!F551</f>
        <v>0</v>
      </c>
      <c r="G3006" s="774">
        <f>RD!G551</f>
        <v>0</v>
      </c>
      <c r="H3006" s="774">
        <f>RD!H551</f>
        <v>0</v>
      </c>
      <c r="I3006" s="774">
        <f>RD!I551</f>
        <v>0</v>
      </c>
      <c r="J3006" s="775">
        <f>RD!J551</f>
        <v>0</v>
      </c>
      <c r="K3006" s="622"/>
      <c r="L3006" s="622"/>
      <c r="M3006" s="622"/>
      <c r="N3006" s="622"/>
      <c r="O3006" s="622"/>
      <c r="P3006" s="622"/>
      <c r="Q3006" s="622"/>
    </row>
    <row r="3007" spans="2:17" s="57" customFormat="1" ht="12.5">
      <c r="B3007" s="792"/>
      <c r="C3007" s="1761"/>
      <c r="D3007" s="777"/>
      <c r="E3007" s="777"/>
      <c r="F3007" s="777"/>
      <c r="G3007" s="777"/>
      <c r="H3007" s="777"/>
      <c r="I3007" s="777"/>
      <c r="J3007" s="791"/>
      <c r="K3007" s="622"/>
      <c r="L3007" s="622"/>
      <c r="M3007" s="622"/>
      <c r="N3007" s="622"/>
      <c r="O3007" s="622"/>
      <c r="P3007" s="622"/>
      <c r="Q3007" s="622"/>
    </row>
    <row r="3008" spans="2:17" s="57" customFormat="1" ht="13">
      <c r="B3008" s="708" t="s">
        <v>1053</v>
      </c>
      <c r="C3008" s="1761"/>
      <c r="D3008" s="777"/>
      <c r="E3008" s="777"/>
      <c r="F3008" s="777"/>
      <c r="G3008" s="777"/>
      <c r="H3008" s="777"/>
      <c r="I3008" s="777"/>
      <c r="J3008" s="791"/>
      <c r="K3008" s="622"/>
      <c r="L3008" s="622"/>
      <c r="M3008" s="622"/>
      <c r="N3008" s="622"/>
      <c r="O3008" s="622"/>
      <c r="P3008" s="622"/>
      <c r="Q3008" s="622"/>
    </row>
    <row r="3009" spans="2:21" s="57" customFormat="1" ht="12.5">
      <c r="B3009" s="716" t="s">
        <v>1319</v>
      </c>
      <c r="C3009" s="1760">
        <f>PY!C840</f>
        <v>0</v>
      </c>
      <c r="D3009" s="774">
        <f>PY!D840</f>
        <v>1147.4743486514399</v>
      </c>
      <c r="E3009" s="774">
        <f>PY!E840</f>
        <v>1297.6989979563241</v>
      </c>
      <c r="F3009" s="774">
        <f>PY!F840</f>
        <v>1655.8515547574627</v>
      </c>
      <c r="G3009" s="774">
        <f>PY!G840</f>
        <v>1632.9408369602056</v>
      </c>
      <c r="H3009" s="774">
        <f>PY!H840</f>
        <v>1657.733459788617</v>
      </c>
      <c r="I3009" s="774">
        <f>PY!I840</f>
        <v>1375.4043842390263</v>
      </c>
      <c r="J3009" s="775">
        <f>PY!J840</f>
        <v>1419.8132086649468</v>
      </c>
      <c r="K3009" s="622"/>
      <c r="L3009" s="622"/>
      <c r="M3009" s="622"/>
      <c r="N3009" s="622"/>
      <c r="O3009" s="622"/>
      <c r="P3009" s="622"/>
      <c r="Q3009" s="622"/>
    </row>
    <row r="3010" spans="2:21" s="57" customFormat="1" ht="12.5">
      <c r="B3010" s="716"/>
      <c r="C3010" s="1761"/>
      <c r="D3010" s="777"/>
      <c r="E3010" s="777"/>
      <c r="F3010" s="777"/>
      <c r="G3010" s="777"/>
      <c r="H3010" s="777"/>
      <c r="I3010" s="777"/>
      <c r="J3010" s="791"/>
      <c r="K3010" s="622"/>
      <c r="L3010" s="622"/>
      <c r="M3010" s="622"/>
      <c r="N3010" s="622"/>
      <c r="O3010" s="622"/>
      <c r="P3010" s="622"/>
      <c r="Q3010" s="622"/>
    </row>
    <row r="3011" spans="2:21" s="57" customFormat="1" ht="13">
      <c r="B3011" s="708" t="s">
        <v>1054</v>
      </c>
      <c r="C3011" s="1761"/>
      <c r="D3011" s="777"/>
      <c r="E3011" s="777"/>
      <c r="F3011" s="777"/>
      <c r="G3011" s="777"/>
      <c r="H3011" s="777"/>
      <c r="I3011" s="777"/>
      <c r="J3011" s="791"/>
      <c r="K3011" s="622"/>
      <c r="L3011" s="622"/>
      <c r="M3011" s="622"/>
      <c r="N3011" s="622"/>
      <c r="O3011" s="622"/>
      <c r="P3011" s="622"/>
      <c r="Q3011" s="622"/>
    </row>
    <row r="3012" spans="2:21" s="57" customFormat="1" ht="12.5">
      <c r="B3012" s="716" t="s">
        <v>1339</v>
      </c>
      <c r="C3012" s="1760">
        <f>PE!C471</f>
        <v>120884.41183149078</v>
      </c>
      <c r="D3012" s="774">
        <f>PE!D471</f>
        <v>90603.638762644783</v>
      </c>
      <c r="E3012" s="774">
        <f>PE!E471</f>
        <v>124006.86255303933</v>
      </c>
      <c r="F3012" s="774">
        <f>PE!F471</f>
        <v>162379.81397501158</v>
      </c>
      <c r="G3012" s="774">
        <f>PE!G471</f>
        <v>142057.24659158269</v>
      </c>
      <c r="H3012" s="774">
        <f>PE!H471</f>
        <v>162132.8364514182</v>
      </c>
      <c r="I3012" s="774">
        <f>PE!I471</f>
        <v>165425.98453465893</v>
      </c>
      <c r="J3012" s="775">
        <f>PE!J471</f>
        <v>148434.37852753041</v>
      </c>
      <c r="K3012" s="622"/>
      <c r="L3012" s="622"/>
      <c r="M3012" s="622"/>
      <c r="N3012" s="622"/>
      <c r="O3012" s="622"/>
      <c r="P3012" s="622"/>
      <c r="Q3012" s="622"/>
    </row>
    <row r="3013" spans="2:21" s="57" customFormat="1" ht="12.5">
      <c r="B3013" s="716"/>
      <c r="C3013" s="1761"/>
      <c r="D3013" s="777"/>
      <c r="E3013" s="777"/>
      <c r="F3013" s="777"/>
      <c r="G3013" s="777"/>
      <c r="H3013" s="777"/>
      <c r="I3013" s="777"/>
      <c r="J3013" s="791"/>
      <c r="K3013" s="622"/>
      <c r="L3013" s="622"/>
      <c r="M3013" s="622"/>
      <c r="N3013" s="622"/>
      <c r="O3013" s="622"/>
      <c r="P3013" s="622"/>
      <c r="Q3013" s="622"/>
    </row>
    <row r="3014" spans="2:21" s="57" customFormat="1" ht="13">
      <c r="B3014" s="708" t="s">
        <v>1055</v>
      </c>
      <c r="C3014" s="1761"/>
      <c r="D3014" s="777"/>
      <c r="E3014" s="777"/>
      <c r="F3014" s="777"/>
      <c r="G3014" s="777"/>
      <c r="H3014" s="777"/>
      <c r="I3014" s="777"/>
      <c r="J3014" s="791"/>
      <c r="K3014" s="622"/>
      <c r="L3014" s="622"/>
      <c r="M3014" s="622"/>
      <c r="N3014" s="622"/>
      <c r="O3014" s="622"/>
      <c r="P3014" s="622"/>
      <c r="Q3014" s="622"/>
    </row>
    <row r="3015" spans="2:21" s="57" customFormat="1" ht="25">
      <c r="B3015" s="1774" t="s">
        <v>1852</v>
      </c>
      <c r="C3015" s="820">
        <f>TT!C568</f>
        <v>14911.879838483919</v>
      </c>
      <c r="D3015" s="821">
        <f>TT!D568</f>
        <v>15098.817768956971</v>
      </c>
      <c r="E3015" s="821">
        <f>TT!E568</f>
        <v>13622.273649873197</v>
      </c>
      <c r="F3015" s="821">
        <f>TT!F568</f>
        <v>12633.814780711184</v>
      </c>
      <c r="G3015" s="821">
        <f>TT!G568</f>
        <v>12464.041982630866</v>
      </c>
      <c r="H3015" s="821">
        <f>TT!H568</f>
        <v>13696.607672258397</v>
      </c>
      <c r="I3015" s="821">
        <f>TT!I568</f>
        <v>13016.669404804003</v>
      </c>
      <c r="J3015" s="822">
        <f>TT!J568</f>
        <v>15257.498219889094</v>
      </c>
      <c r="K3015" s="622"/>
      <c r="L3015" s="622"/>
      <c r="M3015" s="622"/>
      <c r="N3015" s="622"/>
      <c r="O3015" s="622"/>
      <c r="P3015" s="622"/>
      <c r="Q3015" s="622"/>
    </row>
    <row r="3016" spans="2:21" s="57" customFormat="1" ht="12.5">
      <c r="B3016" s="619"/>
      <c r="C3016" s="622"/>
      <c r="D3016" s="622"/>
      <c r="E3016" s="644"/>
      <c r="F3016" s="644"/>
      <c r="G3016" s="644"/>
      <c r="H3016" s="644"/>
      <c r="I3016" s="644"/>
      <c r="J3016" s="644"/>
      <c r="K3016" s="622"/>
      <c r="L3016" s="622"/>
      <c r="M3016" s="622"/>
      <c r="N3016" s="622"/>
      <c r="O3016" s="622"/>
      <c r="P3016" s="622"/>
      <c r="Q3016" s="622"/>
    </row>
    <row r="3017" spans="2:21" s="57" customFormat="1" ht="13">
      <c r="B3017" s="2250" t="s">
        <v>52</v>
      </c>
      <c r="C3017" s="2250"/>
      <c r="D3017" s="2250"/>
      <c r="E3017" s="2250"/>
      <c r="F3017" s="2250"/>
      <c r="G3017" s="2250"/>
      <c r="H3017" s="2250"/>
      <c r="I3017" s="2250"/>
      <c r="J3017" s="2250"/>
      <c r="K3017" s="2250"/>
      <c r="L3017" s="2250"/>
      <c r="M3017" s="2250"/>
      <c r="N3017" s="2250"/>
      <c r="O3017" s="2250"/>
      <c r="P3017" s="2250"/>
      <c r="Q3017" s="2250"/>
    </row>
    <row r="3018" spans="2:21" s="57" customFormat="1" ht="13">
      <c r="B3018" s="2179" t="s">
        <v>51</v>
      </c>
      <c r="C3018" s="2179"/>
      <c r="D3018" s="2179"/>
      <c r="E3018" s="2179"/>
      <c r="F3018" s="2179"/>
      <c r="G3018" s="2179"/>
      <c r="H3018" s="2179"/>
      <c r="I3018" s="2179"/>
      <c r="J3018" s="2179"/>
      <c r="K3018" s="2179"/>
      <c r="L3018" s="2179"/>
      <c r="M3018" s="2179"/>
      <c r="N3018" s="2179"/>
      <c r="O3018" s="2179"/>
      <c r="P3018" s="2179"/>
      <c r="Q3018" s="2179"/>
    </row>
    <row r="3019" spans="2:21" s="57" customFormat="1" ht="13">
      <c r="B3019" s="581" t="s">
        <v>1219</v>
      </c>
      <c r="C3019" s="613"/>
      <c r="D3019" s="613"/>
      <c r="E3019" s="644"/>
      <c r="F3019" s="644"/>
      <c r="G3019" s="644"/>
      <c r="H3019" s="644"/>
      <c r="I3019" s="644"/>
      <c r="J3019" s="644"/>
      <c r="K3019" s="644"/>
      <c r="L3019" s="644"/>
      <c r="M3019" s="644"/>
      <c r="N3019" s="644"/>
      <c r="O3019" s="644"/>
      <c r="P3019" s="644"/>
      <c r="Q3019" s="644"/>
    </row>
    <row r="3020" spans="2:21" s="57" customFormat="1" ht="13">
      <c r="B3020" s="581"/>
      <c r="C3020" s="613"/>
      <c r="D3020" s="613"/>
      <c r="E3020" s="644"/>
      <c r="F3020" s="644"/>
      <c r="G3020" s="644"/>
      <c r="H3020" s="644"/>
      <c r="I3020" s="644"/>
      <c r="J3020" s="644"/>
      <c r="K3020" s="644"/>
      <c r="L3020" s="644"/>
      <c r="M3020" s="644"/>
      <c r="N3020" s="644"/>
      <c r="O3020" s="644"/>
      <c r="P3020" s="644"/>
      <c r="Q3020" s="644"/>
    </row>
    <row r="3021" spans="2:21" s="57" customFormat="1" ht="24.65" customHeight="1">
      <c r="B3021" s="2233" t="s">
        <v>38</v>
      </c>
      <c r="C3021" s="2223" t="s">
        <v>530</v>
      </c>
      <c r="D3021" s="2223" t="s">
        <v>1220</v>
      </c>
      <c r="E3021" s="2223" t="s">
        <v>50</v>
      </c>
      <c r="F3021" s="2223" t="s">
        <v>49</v>
      </c>
      <c r="G3021" s="2223" t="s">
        <v>48</v>
      </c>
      <c r="H3021" s="2223" t="s">
        <v>47</v>
      </c>
      <c r="I3021" s="2235" t="s">
        <v>538</v>
      </c>
      <c r="J3021" s="2223" t="s">
        <v>37</v>
      </c>
      <c r="K3021" s="2223" t="s">
        <v>8</v>
      </c>
      <c r="L3021" s="2254" t="s">
        <v>36</v>
      </c>
      <c r="N3021" s="644"/>
      <c r="O3021" s="644"/>
      <c r="P3021" s="644"/>
    </row>
    <row r="3022" spans="2:21" s="57" customFormat="1">
      <c r="B3022" s="2236"/>
      <c r="C3022" s="2224"/>
      <c r="D3022" s="2224"/>
      <c r="E3022" s="2224"/>
      <c r="F3022" s="2224"/>
      <c r="G3022" s="2224"/>
      <c r="H3022" s="2224"/>
      <c r="I3022" s="2224"/>
      <c r="J3022" s="2224"/>
      <c r="K3022" s="2224"/>
      <c r="L3022" s="2255"/>
      <c r="M3022"/>
      <c r="N3022"/>
      <c r="O3022"/>
      <c r="P3022"/>
      <c r="Q3022"/>
      <c r="R3022"/>
      <c r="S3022"/>
      <c r="T3022"/>
      <c r="U3022"/>
    </row>
    <row r="3023" spans="2:21" s="57" customFormat="1">
      <c r="B3023" s="696" t="s">
        <v>1038</v>
      </c>
      <c r="C3023" s="742"/>
      <c r="D3023" s="743"/>
      <c r="E3023" s="743"/>
      <c r="F3023" s="743"/>
      <c r="G3023" s="743"/>
      <c r="H3023" s="743"/>
      <c r="I3023" s="743"/>
      <c r="J3023" s="743"/>
      <c r="K3023" s="743"/>
      <c r="L3023" s="793"/>
      <c r="M3023"/>
      <c r="N3023"/>
      <c r="O3023"/>
      <c r="P3023"/>
      <c r="Q3023"/>
      <c r="R3023"/>
      <c r="S3023"/>
      <c r="T3023"/>
      <c r="U3023"/>
    </row>
    <row r="3024" spans="2:21" s="57" customFormat="1" ht="26">
      <c r="B3024" s="1812" t="s">
        <v>1337</v>
      </c>
      <c r="C3024" s="674" t="s">
        <v>532</v>
      </c>
      <c r="D3024" s="786" t="str">
        <f>ARG!C1729</f>
        <v>SE (MaTBA-Rofex)</v>
      </c>
      <c r="E3024" s="774" t="str">
        <f>ARG!D1729</f>
        <v>INT</v>
      </c>
      <c r="F3024" s="774" t="str">
        <f>ARG!E1729</f>
        <v>INT</v>
      </c>
      <c r="G3024" s="774">
        <f>ARG!F1729</f>
        <v>0</v>
      </c>
      <c r="H3024" s="786" t="str">
        <f>ARG!G1729</f>
        <v>EQU, SEC, DFX</v>
      </c>
      <c r="I3024" s="622" t="s">
        <v>1340</v>
      </c>
      <c r="J3024" s="786" t="str">
        <f>ARG!C1736</f>
        <v>CSD  (CVSA), CB</v>
      </c>
      <c r="K3024" s="774" t="str">
        <f>ARG!D1736</f>
        <v>CB, B</v>
      </c>
      <c r="L3024" s="1639">
        <f>ARG!E1736</f>
        <v>2</v>
      </c>
      <c r="M3024"/>
      <c r="N3024"/>
      <c r="O3024"/>
      <c r="P3024"/>
      <c r="Q3024"/>
      <c r="R3024"/>
      <c r="S3024"/>
      <c r="T3024"/>
      <c r="U3024"/>
    </row>
    <row r="3025" spans="2:21" s="57" customFormat="1" ht="46">
      <c r="B3025" s="1818" t="s">
        <v>1341</v>
      </c>
      <c r="C3025" s="674" t="s">
        <v>532</v>
      </c>
      <c r="D3025" s="786" t="str">
        <f>ARG!C1730</f>
        <v>SE (Bolsa de Comercio 31%, Foreign 17%, Retail 16%, Other 36%)</v>
      </c>
      <c r="E3025" s="774" t="str">
        <f>ARG!D1730</f>
        <v>INT</v>
      </c>
      <c r="F3025" s="774" t="str">
        <f>ARG!E1730</f>
        <v>INT</v>
      </c>
      <c r="G3025" s="774" t="str">
        <f>ARG!F1730</f>
        <v>event:P</v>
      </c>
      <c r="H3025" s="786" t="str">
        <f>ARG!G1730</f>
        <v>EQU, SEC, DFX</v>
      </c>
      <c r="I3025" s="622" t="s">
        <v>1340</v>
      </c>
      <c r="J3025" s="786" t="str">
        <f>ARG!C1737</f>
        <v>CSD (CVSA)</v>
      </c>
      <c r="K3025" s="774" t="str">
        <f>ARG!D1737</f>
        <v>B</v>
      </c>
      <c r="L3025" s="1639">
        <f>ARG!E1737</f>
        <v>2</v>
      </c>
      <c r="M3025"/>
      <c r="N3025"/>
      <c r="O3025"/>
      <c r="P3025"/>
      <c r="Q3025"/>
      <c r="R3025"/>
      <c r="S3025"/>
      <c r="T3025"/>
      <c r="U3025"/>
    </row>
    <row r="3026" spans="2:21" s="57" customFormat="1" ht="25">
      <c r="B3026" s="1798" t="s">
        <v>1335</v>
      </c>
      <c r="C3026" s="650" t="s">
        <v>532</v>
      </c>
      <c r="D3026" s="786" t="str">
        <f>ARG!C1731</f>
        <v>SE</v>
      </c>
      <c r="E3026" s="774" t="str">
        <f>ARG!D1731</f>
        <v>INT</v>
      </c>
      <c r="F3026" s="774" t="str">
        <f>ARG!E1731</f>
        <v>INDEP</v>
      </c>
      <c r="G3026" s="774">
        <f>ARG!F1731</f>
        <v>0</v>
      </c>
      <c r="H3026" s="786" t="str">
        <f>ARG!G1731</f>
        <v>SEC</v>
      </c>
      <c r="I3026" s="650" t="s">
        <v>1340</v>
      </c>
      <c r="J3026" s="786" t="str">
        <f>ARG!C1738</f>
        <v>CSD (CVSA)</v>
      </c>
      <c r="K3026" s="774" t="str">
        <f>ARG!D1738</f>
        <v>CB</v>
      </c>
      <c r="L3026" s="1639">
        <f>ARG!E1738</f>
        <v>1</v>
      </c>
      <c r="M3026"/>
      <c r="N3026"/>
      <c r="O3026"/>
      <c r="P3026"/>
      <c r="Q3026"/>
      <c r="R3026"/>
      <c r="S3026"/>
      <c r="T3026"/>
      <c r="U3026"/>
    </row>
    <row r="3027" spans="2:21" s="57" customFormat="1" ht="26">
      <c r="B3027" s="1963" t="s">
        <v>1338</v>
      </c>
      <c r="C3027" s="622" t="s">
        <v>532</v>
      </c>
      <c r="D3027" s="786" t="str">
        <f>ARG!C1732</f>
        <v>SE</v>
      </c>
      <c r="E3027" s="774" t="str">
        <f>ARG!D1732</f>
        <v>INT</v>
      </c>
      <c r="F3027" s="774" t="str">
        <f>ARG!E1732</f>
        <v>INDEP</v>
      </c>
      <c r="G3027" s="774" t="str">
        <f>ARG!F1732</f>
        <v>event:P</v>
      </c>
      <c r="H3027" s="786" t="str">
        <f>ARG!G1732</f>
        <v>SEC, DFX, REP</v>
      </c>
      <c r="I3027" s="622" t="s">
        <v>1340</v>
      </c>
      <c r="J3027" s="786" t="str">
        <f>ARG!C1739</f>
        <v>CSD  (CVSA), CB</v>
      </c>
      <c r="K3027" s="774" t="str">
        <f>ARG!D1739</f>
        <v>CB</v>
      </c>
      <c r="L3027" s="1639">
        <f>ARG!E1739</f>
        <v>1</v>
      </c>
      <c r="M3027"/>
      <c r="N3027"/>
      <c r="O3027"/>
      <c r="P3027"/>
      <c r="Q3027"/>
      <c r="R3027"/>
      <c r="S3027"/>
      <c r="T3027"/>
      <c r="U3027"/>
    </row>
    <row r="3028" spans="2:21" s="57" customFormat="1">
      <c r="B3028" s="1963"/>
      <c r="C3028" s="622"/>
      <c r="D3028" s="786"/>
      <c r="E3028" s="774"/>
      <c r="F3028" s="774"/>
      <c r="G3028" s="774"/>
      <c r="H3028" s="786"/>
      <c r="I3028" s="622"/>
      <c r="J3028" s="786"/>
      <c r="K3028" s="774"/>
      <c r="L3028" s="1639"/>
      <c r="M3028"/>
      <c r="N3028"/>
      <c r="O3028"/>
      <c r="P3028"/>
      <c r="Q3028"/>
      <c r="R3028"/>
      <c r="S3028"/>
      <c r="T3028"/>
      <c r="U3028"/>
    </row>
    <row r="3029" spans="2:21" s="57" customFormat="1">
      <c r="B3029" s="746" t="s">
        <v>1039</v>
      </c>
      <c r="C3029" s="622"/>
      <c r="D3029" s="786"/>
      <c r="E3029" s="774"/>
      <c r="F3029" s="774"/>
      <c r="G3029" s="774"/>
      <c r="H3029" s="786"/>
      <c r="I3029" s="622"/>
      <c r="J3029" s="786"/>
      <c r="K3029" s="774"/>
      <c r="L3029" s="1639"/>
      <c r="M3029"/>
      <c r="N3029"/>
      <c r="O3029"/>
      <c r="P3029"/>
      <c r="Q3029"/>
      <c r="R3029"/>
      <c r="S3029"/>
      <c r="T3029"/>
      <c r="U3029"/>
    </row>
    <row r="3030" spans="2:21" s="57" customFormat="1" ht="23">
      <c r="B3030" s="1964" t="str">
        <f>BA!B714</f>
        <v>Bahamas International Securities Exchange (BISX)</v>
      </c>
      <c r="C3030" s="786" t="str">
        <f>BA!C714</f>
        <v>No CCP</v>
      </c>
      <c r="D3030" s="786">
        <f>BA!D714</f>
        <v>0</v>
      </c>
      <c r="E3030" s="786">
        <f>BA!E714</f>
        <v>0</v>
      </c>
      <c r="F3030" s="786">
        <f>BA!F714</f>
        <v>0</v>
      </c>
      <c r="G3030" s="786">
        <f>BA!G714</f>
        <v>0</v>
      </c>
      <c r="H3030" s="786">
        <f>BA!H714</f>
        <v>0</v>
      </c>
      <c r="I3030" s="786" t="str">
        <f>BA!C718</f>
        <v>Bs, USD</v>
      </c>
      <c r="J3030" s="786" t="str">
        <f>BA!D718</f>
        <v>EDV</v>
      </c>
      <c r="K3030" s="786" t="str">
        <f>BA!E718</f>
        <v>nav</v>
      </c>
      <c r="L3030" s="788" t="str">
        <f>BA!F718</f>
        <v>nav</v>
      </c>
      <c r="M3030"/>
      <c r="N3030"/>
      <c r="O3030"/>
      <c r="P3030"/>
      <c r="Q3030"/>
      <c r="R3030"/>
      <c r="S3030"/>
      <c r="T3030"/>
      <c r="U3030"/>
    </row>
    <row r="3031" spans="2:21" s="57" customFormat="1">
      <c r="B3031" s="1963"/>
      <c r="C3031" s="622"/>
      <c r="D3031" s="786"/>
      <c r="E3031" s="774"/>
      <c r="F3031" s="774"/>
      <c r="G3031" s="774"/>
      <c r="H3031" s="786"/>
      <c r="I3031" s="622"/>
      <c r="J3031" s="786"/>
      <c r="K3031" s="774"/>
      <c r="L3031" s="1639"/>
      <c r="M3031"/>
      <c r="N3031"/>
      <c r="O3031"/>
      <c r="P3031"/>
      <c r="Q3031"/>
      <c r="R3031"/>
      <c r="S3031"/>
      <c r="T3031"/>
      <c r="U3031"/>
    </row>
    <row r="3032" spans="2:21" s="57" customFormat="1" ht="13">
      <c r="B3032" s="1965" t="s">
        <v>1040</v>
      </c>
      <c r="C3032" s="622"/>
      <c r="D3032" s="622"/>
      <c r="E3032" s="622"/>
      <c r="F3032" s="622"/>
      <c r="G3032" s="794"/>
      <c r="H3032" s="794"/>
      <c r="I3032" s="622"/>
      <c r="K3032" s="622"/>
      <c r="L3032" s="661"/>
      <c r="N3032" s="644"/>
      <c r="O3032" s="644"/>
      <c r="P3032" s="644"/>
    </row>
    <row r="3033" spans="2:21" s="57" customFormat="1" ht="23">
      <c r="B3033" s="1966" t="str">
        <f>BO!B1017</f>
        <v>Cámara de Compensación y Liquidación de Transferencias Electrónicas (ACH)</v>
      </c>
      <c r="C3033" s="721" t="str">
        <f>BO!C1017</f>
        <v>CH</v>
      </c>
      <c r="D3033" s="721" t="str">
        <f>BO!D1017</f>
        <v>CH</v>
      </c>
      <c r="E3033" s="721" t="str">
        <f>BO!E1017</f>
        <v>indep</v>
      </c>
      <c r="F3033" s="721" t="str">
        <f>BO!F1017</f>
        <v>indep</v>
      </c>
      <c r="G3033" s="721">
        <f>BO!G1017</f>
        <v>0</v>
      </c>
      <c r="H3033" s="721">
        <f>BO!H1017</f>
        <v>0</v>
      </c>
      <c r="I3033" s="721" t="str">
        <f>BO!C1023</f>
        <v>BOB, USD</v>
      </c>
      <c r="J3033" s="721" t="str">
        <f>BO!E1023</f>
        <v>CB</v>
      </c>
      <c r="K3033" s="721">
        <f>BO!F1023</f>
        <v>0</v>
      </c>
      <c r="L3033" s="1639">
        <f>BO!G1023</f>
        <v>0</v>
      </c>
      <c r="N3033" s="644"/>
      <c r="O3033" s="644"/>
      <c r="P3033" s="644"/>
    </row>
    <row r="3034" spans="2:21" s="57" customFormat="1" ht="23">
      <c r="B3034" s="1816" t="str">
        <f>BO!B1018</f>
        <v>Cámara de Compensación y Liquidación de Transferencias Electrónicas UNILINK</v>
      </c>
      <c r="C3034" s="720" t="str">
        <f>BO!C1018</f>
        <v>CH</v>
      </c>
      <c r="D3034" s="721" t="str">
        <f>BO!D1018</f>
        <v>CH</v>
      </c>
      <c r="E3034" s="721" t="str">
        <f>BO!E1018</f>
        <v>indep</v>
      </c>
      <c r="F3034" s="721" t="str">
        <f>BO!F1018</f>
        <v>indep</v>
      </c>
      <c r="G3034" s="721">
        <f>BO!G1018</f>
        <v>0</v>
      </c>
      <c r="H3034" s="721">
        <f>BO!H1018</f>
        <v>0</v>
      </c>
      <c r="I3034" s="721" t="str">
        <f>BO!C1024</f>
        <v>BOB, USD</v>
      </c>
      <c r="J3034" s="721">
        <f>BO!D1024</f>
        <v>0</v>
      </c>
      <c r="K3034" s="721" t="str">
        <f>BO!E1024</f>
        <v>CB</v>
      </c>
      <c r="L3034" s="1639">
        <f>BO!F1024</f>
        <v>0</v>
      </c>
      <c r="N3034" s="644"/>
      <c r="O3034" s="644"/>
      <c r="P3034" s="644"/>
    </row>
    <row r="3035" spans="2:21" s="57" customFormat="1" ht="23">
      <c r="B3035" s="1816" t="str">
        <f>BO!B1019</f>
        <v>Camara de Compensación y Liquidación de Cheques (CCC)</v>
      </c>
      <c r="C3035" s="720" t="str">
        <f>BO!C1019</f>
        <v>CH</v>
      </c>
      <c r="D3035" s="721" t="str">
        <f>BO!D1019</f>
        <v>CH</v>
      </c>
      <c r="E3035" s="721" t="str">
        <f>BO!E1019</f>
        <v>indep</v>
      </c>
      <c r="F3035" s="721" t="str">
        <f>BO!F1019</f>
        <v>indep</v>
      </c>
      <c r="G3035" s="721">
        <f>BO!G1019</f>
        <v>0</v>
      </c>
      <c r="H3035" s="721">
        <f>BO!H1019</f>
        <v>0</v>
      </c>
      <c r="I3035" s="721" t="str">
        <f>BO!C1025</f>
        <v>BOB, USD</v>
      </c>
      <c r="J3035" s="721">
        <f>BO!D1025</f>
        <v>0</v>
      </c>
      <c r="K3035" s="721" t="str">
        <f>BO!E1025</f>
        <v>CB</v>
      </c>
      <c r="L3035" s="1639">
        <f>BO!F1025</f>
        <v>0</v>
      </c>
      <c r="N3035" s="644"/>
      <c r="O3035" s="644"/>
      <c r="P3035" s="644"/>
    </row>
    <row r="3036" spans="2:21" s="57" customFormat="1" ht="12.5">
      <c r="B3036" s="1816" t="str">
        <f>BO!B1026</f>
        <v>Entidad de Depósito de Valores (EDV)</v>
      </c>
      <c r="C3036" s="601"/>
      <c r="G3036" s="721"/>
      <c r="H3036" s="721"/>
      <c r="I3036" s="721" t="str">
        <f>BO!C1026</f>
        <v>BOB, USD</v>
      </c>
      <c r="J3036" s="721" t="str">
        <f>BO!D1026</f>
        <v xml:space="preserve"> CSD EDV</v>
      </c>
      <c r="K3036" s="721" t="str">
        <f>BO!E1026</f>
        <v>CB</v>
      </c>
      <c r="L3036" s="1639">
        <f>BO!F1026</f>
        <v>0</v>
      </c>
      <c r="N3036" s="644"/>
      <c r="O3036" s="644"/>
      <c r="P3036" s="644"/>
    </row>
    <row r="3037" spans="2:21" s="57" customFormat="1" ht="12.5">
      <c r="B3037" s="1812"/>
      <c r="C3037" s="674"/>
      <c r="D3037" s="622"/>
      <c r="E3037" s="622"/>
      <c r="F3037" s="622"/>
      <c r="G3037" s="794"/>
      <c r="H3037" s="794"/>
      <c r="I3037" s="622"/>
      <c r="K3037" s="622"/>
      <c r="L3037" s="661"/>
      <c r="N3037" s="644"/>
      <c r="O3037" s="644"/>
      <c r="P3037" s="644"/>
    </row>
    <row r="3038" spans="2:21" s="57" customFormat="1" ht="13">
      <c r="B3038" s="709" t="s">
        <v>1041</v>
      </c>
      <c r="C3038" s="674"/>
      <c r="D3038" s="622"/>
      <c r="E3038" s="622"/>
      <c r="F3038" s="622"/>
      <c r="G3038" s="794"/>
      <c r="H3038" s="794"/>
      <c r="I3038" s="622"/>
      <c r="K3038" s="622"/>
      <c r="L3038" s="661"/>
      <c r="N3038" s="644"/>
      <c r="O3038" s="644"/>
      <c r="P3038" s="644"/>
    </row>
    <row r="3039" spans="2:21" s="57" customFormat="1" ht="12.5">
      <c r="B3039" s="1811" t="str">
        <f>BR!B1563</f>
        <v>BMFBovespa-FX</v>
      </c>
      <c r="C3039" s="720" t="str">
        <f>BR!C1563</f>
        <v>CCP</v>
      </c>
      <c r="D3039" s="721" t="str">
        <f>BR!D1563</f>
        <v>SE</v>
      </c>
      <c r="E3039" s="721" t="str">
        <f>BR!E1563</f>
        <v>int (1)</v>
      </c>
      <c r="F3039" s="721">
        <f>BR!F1563</f>
        <v>0</v>
      </c>
      <c r="G3039" s="721" t="str">
        <f>BR!G1563</f>
        <v>event: P</v>
      </c>
      <c r="H3039" s="721" t="str">
        <f>BR!H1563</f>
        <v>Others</v>
      </c>
      <c r="I3039" s="721" t="str">
        <f>BR!C1569</f>
        <v>BRL, USD</v>
      </c>
      <c r="J3039" s="721">
        <f>BR!D1569</f>
        <v>0</v>
      </c>
      <c r="K3039" s="721" t="str">
        <f>BR!E1569</f>
        <v>CB</v>
      </c>
      <c r="L3039" s="1639">
        <f>BR!F1569</f>
        <v>0</v>
      </c>
      <c r="N3039" s="644"/>
      <c r="O3039" s="644"/>
      <c r="P3039" s="644"/>
    </row>
    <row r="3040" spans="2:21" s="57" customFormat="1" ht="12.5">
      <c r="B3040" s="1811" t="str">
        <f>BR!B1564</f>
        <v>BmfBovespa-Clearing House</v>
      </c>
      <c r="C3040" s="720" t="str">
        <f>BR!C1564</f>
        <v>CCP</v>
      </c>
      <c r="D3040" s="721" t="str">
        <f>BR!D1564</f>
        <v>SE</v>
      </c>
      <c r="E3040" s="721" t="str">
        <f>BR!E1564</f>
        <v>int1</v>
      </c>
      <c r="F3040" s="721" t="str">
        <f>BR!F1564</f>
        <v>int1</v>
      </c>
      <c r="G3040" s="721" t="str">
        <f>BR!G1564</f>
        <v>routine</v>
      </c>
      <c r="H3040" s="721" t="str">
        <f>BR!H1564</f>
        <v>SEC, DER</v>
      </c>
      <c r="I3040" s="721" t="str">
        <f>BR!C1570</f>
        <v>BRL</v>
      </c>
      <c r="J3040" s="721" t="str">
        <f>BR!D1570</f>
        <v>CSD (2)</v>
      </c>
      <c r="K3040" s="721" t="str">
        <f>BR!E1570</f>
        <v>CB</v>
      </c>
      <c r="L3040" s="1639">
        <f>BR!F1570</f>
        <v>0</v>
      </c>
      <c r="N3040" s="644"/>
      <c r="O3040" s="644"/>
      <c r="P3040" s="644"/>
    </row>
    <row r="3041" spans="2:16" s="57" customFormat="1" ht="12.5">
      <c r="B3041" s="1811" t="str">
        <f>BR!B1565</f>
        <v>CETIP</v>
      </c>
      <c r="C3041" s="720" t="str">
        <f>BR!C1565</f>
        <v>CH</v>
      </c>
      <c r="D3041" s="721" t="str">
        <f>BR!D1565</f>
        <v>O</v>
      </c>
      <c r="E3041" s="721">
        <f>BR!E1565</f>
        <v>0</v>
      </c>
      <c r="F3041" s="721" t="str">
        <f>BR!F1565</f>
        <v>int (3)</v>
      </c>
      <c r="G3041" s="721">
        <f>BR!G1565</f>
        <v>0</v>
      </c>
      <c r="H3041" s="721" t="str">
        <f>BR!H1565</f>
        <v xml:space="preserve">SEC, DER  </v>
      </c>
      <c r="I3041" s="721" t="str">
        <f>BR!C1571</f>
        <v>BRL</v>
      </c>
      <c r="J3041" s="721" t="str">
        <f>BR!D1571</f>
        <v>CSD (2)</v>
      </c>
      <c r="K3041" s="721" t="str">
        <f>BR!E1571</f>
        <v>CB</v>
      </c>
      <c r="L3041" s="1639">
        <f>BR!F1571</f>
        <v>0</v>
      </c>
      <c r="N3041" s="644"/>
      <c r="O3041" s="644"/>
      <c r="P3041" s="644"/>
    </row>
    <row r="3042" spans="2:16" s="57" customFormat="1" ht="12.5">
      <c r="B3042" s="1812"/>
      <c r="C3042" s="674"/>
      <c r="D3042" s="622"/>
      <c r="E3042" s="622"/>
      <c r="F3042" s="622"/>
      <c r="G3042" s="794"/>
      <c r="H3042" s="794"/>
      <c r="I3042" s="622"/>
      <c r="K3042" s="622"/>
      <c r="L3042" s="661"/>
      <c r="N3042" s="644"/>
      <c r="O3042" s="644"/>
      <c r="P3042" s="644"/>
    </row>
    <row r="3043" spans="2:16" s="57" customFormat="1" ht="13">
      <c r="B3043" s="709" t="s">
        <v>1042</v>
      </c>
      <c r="C3043" s="674"/>
      <c r="D3043" s="622"/>
      <c r="E3043" s="622"/>
      <c r="F3043" s="622"/>
      <c r="G3043" s="794"/>
      <c r="H3043" s="794"/>
      <c r="I3043" s="622"/>
      <c r="K3043" s="622"/>
      <c r="L3043" s="661"/>
      <c r="N3043" s="644"/>
      <c r="O3043" s="644"/>
      <c r="P3043" s="644"/>
    </row>
    <row r="3044" spans="2:16" s="57" customFormat="1" ht="12.5">
      <c r="B3044" s="1811" t="str">
        <f>CL!B828</f>
        <v>CCLV Contraparte Central</v>
      </c>
      <c r="C3044" s="720" t="str">
        <f>CL!C828</f>
        <v>CCP, CH</v>
      </c>
      <c r="D3044" s="721" t="str">
        <f>CL!D828</f>
        <v>SE</v>
      </c>
      <c r="E3044" s="721" t="str">
        <f>CL!E828</f>
        <v>DEP</v>
      </c>
      <c r="F3044" s="721" t="str">
        <f>CL!F828</f>
        <v>INDEP</v>
      </c>
      <c r="G3044" s="721" t="str">
        <f>CL!G828</f>
        <v>P</v>
      </c>
      <c r="H3044" s="721" t="str">
        <f>CL!H828</f>
        <v>SEC, DER, REP</v>
      </c>
      <c r="I3044" s="721" t="str">
        <f>CL!C833</f>
        <v>CLP, USD</v>
      </c>
      <c r="J3044" s="721" t="str">
        <f>CL!D833</f>
        <v>DCV</v>
      </c>
      <c r="K3044" s="721" t="str">
        <f>CL!E833</f>
        <v>CB</v>
      </c>
      <c r="L3044" s="1639">
        <f>CL!F833</f>
        <v>0</v>
      </c>
      <c r="N3044" s="644"/>
      <c r="O3044" s="644"/>
      <c r="P3044" s="644"/>
    </row>
    <row r="3045" spans="2:16" s="57" customFormat="1" ht="12.5">
      <c r="B3045" s="1811" t="str">
        <f>CL!B829</f>
        <v>ComDer</v>
      </c>
      <c r="C3045" s="720" t="str">
        <f>CL!C829</f>
        <v>CCP</v>
      </c>
      <c r="D3045" s="721" t="str">
        <f>CL!D829</f>
        <v>O</v>
      </c>
      <c r="E3045" s="721" t="str">
        <f>CL!E829</f>
        <v>INDEP</v>
      </c>
      <c r="F3045" s="721" t="str">
        <f>CL!F829</f>
        <v>INDEP</v>
      </c>
      <c r="G3045" s="721" t="str">
        <f>CL!G829</f>
        <v>P</v>
      </c>
      <c r="H3045" s="721" t="str">
        <f>CL!H829</f>
        <v>DER</v>
      </c>
      <c r="I3045" s="721" t="str">
        <f>CL!C834</f>
        <v>CLP, USD</v>
      </c>
      <c r="J3045" s="721">
        <f>CL!D834</f>
        <v>0</v>
      </c>
      <c r="K3045" s="721" t="str">
        <f>CL!E834</f>
        <v>CB</v>
      </c>
      <c r="L3045" s="1639">
        <f>CL!F834</f>
        <v>0</v>
      </c>
      <c r="N3045" s="644"/>
      <c r="O3045" s="644"/>
      <c r="P3045" s="644"/>
    </row>
    <row r="3046" spans="2:16" s="57" customFormat="1" ht="12.5">
      <c r="B3046" s="1810"/>
      <c r="C3046" s="674"/>
      <c r="D3046" s="622"/>
      <c r="E3046" s="622"/>
      <c r="F3046" s="622"/>
      <c r="G3046" s="794"/>
      <c r="H3046" s="794"/>
      <c r="I3046" s="622"/>
      <c r="K3046" s="622"/>
      <c r="L3046" s="661"/>
      <c r="N3046" s="644"/>
      <c r="O3046" s="644"/>
      <c r="P3046" s="644"/>
    </row>
    <row r="3047" spans="2:16" s="57" customFormat="1" ht="13">
      <c r="B3047" s="709" t="s">
        <v>1043</v>
      </c>
      <c r="C3047" s="674"/>
      <c r="D3047" s="622"/>
      <c r="E3047" s="622"/>
      <c r="F3047" s="622"/>
      <c r="G3047" s="794"/>
      <c r="H3047" s="794"/>
      <c r="I3047" s="622"/>
      <c r="K3047" s="622"/>
      <c r="L3047" s="661"/>
      <c r="N3047" s="644"/>
      <c r="O3047" s="644"/>
      <c r="P3047" s="644"/>
    </row>
    <row r="3048" spans="2:16" s="57" customFormat="1" ht="23">
      <c r="B3048" s="1811" t="str">
        <f>CO!B1072</f>
        <v>CRCC</v>
      </c>
      <c r="C3048" s="720" t="str">
        <f>CO!C1072</f>
        <v>CCP</v>
      </c>
      <c r="D3048" s="721" t="str">
        <f>CO!D1072</f>
        <v>B, SE, O</v>
      </c>
      <c r="E3048" s="721" t="str">
        <f>CO!E1072</f>
        <v>INDEP</v>
      </c>
      <c r="F3048" s="721" t="str">
        <f>CO!F1072</f>
        <v>INDEP</v>
      </c>
      <c r="G3048" s="721" t="str">
        <f>CO!G1072</f>
        <v>P</v>
      </c>
      <c r="H3048" s="721" t="str">
        <f>CO!H1072</f>
        <v>SEC,DER, REP</v>
      </c>
      <c r="I3048" s="721" t="str">
        <f>CO!C1077</f>
        <v>COP</v>
      </c>
      <c r="J3048" s="1808" t="str">
        <f>CO!D1077</f>
        <v>DCV, DECEVAL</v>
      </c>
      <c r="K3048" s="721" t="str">
        <f>CO!E1077</f>
        <v>CB</v>
      </c>
      <c r="L3048" s="1639">
        <f>CO!F1077</f>
        <v>0</v>
      </c>
      <c r="N3048" s="644"/>
      <c r="O3048" s="644"/>
      <c r="P3048" s="644"/>
    </row>
    <row r="3049" spans="2:16" s="57" customFormat="1" ht="12.5">
      <c r="B3049" s="1811" t="str">
        <f>CO!B1073</f>
        <v>CCDC</v>
      </c>
      <c r="C3049" s="720" t="str">
        <f>CO!C1073</f>
        <v>CH</v>
      </c>
      <c r="D3049" s="721" t="str">
        <f>CO!D1073</f>
        <v>B, SE, O</v>
      </c>
      <c r="E3049" s="721" t="str">
        <f>CO!E1073</f>
        <v>INDEP</v>
      </c>
      <c r="F3049" s="721" t="str">
        <f>CO!F1073</f>
        <v>INDEP</v>
      </c>
      <c r="G3049" s="721" t="str">
        <f>CO!G1073</f>
        <v>P</v>
      </c>
      <c r="H3049" s="721" t="str">
        <f>CO!H1073</f>
        <v>REP</v>
      </c>
      <c r="I3049" s="721" t="str">
        <f>CO!C1078</f>
        <v>COP, USD</v>
      </c>
      <c r="J3049" s="721">
        <f>CO!D1078</f>
        <v>0</v>
      </c>
      <c r="K3049" s="721" t="str">
        <f>CO!E1078</f>
        <v>CB,B</v>
      </c>
      <c r="L3049" s="1639">
        <f>CO!F1078</f>
        <v>0</v>
      </c>
      <c r="N3049" s="644"/>
      <c r="O3049" s="644"/>
      <c r="P3049" s="644"/>
    </row>
    <row r="3050" spans="2:16" s="57" customFormat="1" ht="12.5">
      <c r="B3050" s="1809"/>
      <c r="C3050" s="674"/>
      <c r="D3050" s="622"/>
      <c r="E3050" s="622"/>
      <c r="F3050" s="622"/>
      <c r="G3050" s="622"/>
      <c r="H3050" s="794"/>
      <c r="I3050" s="721"/>
      <c r="K3050" s="622"/>
      <c r="L3050" s="661"/>
      <c r="N3050" s="644"/>
      <c r="O3050" s="644"/>
      <c r="P3050" s="644"/>
    </row>
    <row r="3051" spans="2:16" s="57" customFormat="1" ht="13">
      <c r="B3051" s="709" t="s">
        <v>1044</v>
      </c>
      <c r="C3051" s="674"/>
      <c r="D3051" s="622"/>
      <c r="E3051" s="622"/>
      <c r="F3051" s="622"/>
      <c r="G3051" s="622"/>
      <c r="H3051" s="794"/>
      <c r="I3051" s="622"/>
      <c r="K3051" s="622"/>
      <c r="L3051" s="797"/>
      <c r="N3051" s="644"/>
      <c r="O3051" s="644"/>
      <c r="P3051" s="644"/>
    </row>
    <row r="3052" spans="2:16" s="57" customFormat="1" ht="12.5">
      <c r="B3052" s="1811" t="str">
        <f>CR!B982</f>
        <v>Bolsa Nacional de Valores (BNV)</v>
      </c>
      <c r="C3052" s="720" t="str">
        <f>CR!C982</f>
        <v>CH</v>
      </c>
      <c r="D3052" s="721" t="str">
        <f>CR!D982</f>
        <v>SE</v>
      </c>
      <c r="E3052" s="721" t="str">
        <f>CR!E982</f>
        <v>INT</v>
      </c>
      <c r="F3052" s="721">
        <f>CR!F982</f>
        <v>0</v>
      </c>
      <c r="G3052" s="721">
        <f>CR!G982</f>
        <v>0</v>
      </c>
      <c r="H3052" s="721">
        <f>CR!H982</f>
        <v>0</v>
      </c>
      <c r="I3052" s="721">
        <f>CR!I986</f>
        <v>0</v>
      </c>
      <c r="J3052" s="721">
        <f>CR!J986</f>
        <v>0</v>
      </c>
      <c r="K3052" s="721">
        <f>CR!K986</f>
        <v>0</v>
      </c>
      <c r="L3052" s="1639">
        <f>CR!L986</f>
        <v>0</v>
      </c>
      <c r="N3052" s="644"/>
      <c r="O3052" s="644"/>
      <c r="P3052" s="644"/>
    </row>
    <row r="3053" spans="2:16" s="57" customFormat="1" ht="12.5">
      <c r="B3053" s="1809"/>
      <c r="C3053" s="674"/>
      <c r="D3053" s="622"/>
      <c r="E3053" s="622"/>
      <c r="F3053" s="622"/>
      <c r="G3053" s="622"/>
      <c r="H3053" s="794"/>
      <c r="I3053" s="622"/>
      <c r="K3053" s="622"/>
      <c r="L3053" s="661"/>
      <c r="N3053" s="644"/>
      <c r="O3053" s="644"/>
      <c r="P3053" s="644"/>
    </row>
    <row r="3054" spans="2:16" s="750" customFormat="1" ht="14">
      <c r="B3054" s="709" t="s">
        <v>1061</v>
      </c>
      <c r="C3054" s="798"/>
      <c r="D3054" s="799"/>
      <c r="E3054" s="799"/>
      <c r="F3054" s="799"/>
      <c r="G3054" s="799"/>
      <c r="H3054" s="800"/>
      <c r="I3054" s="799"/>
      <c r="K3054" s="799"/>
      <c r="L3054" s="801"/>
    </row>
    <row r="3055" spans="2:16" s="750" customFormat="1" ht="14">
      <c r="B3055" s="1813" t="s">
        <v>1294</v>
      </c>
      <c r="C3055" s="802">
        <v>0</v>
      </c>
      <c r="D3055" s="803">
        <v>0</v>
      </c>
      <c r="E3055" s="721">
        <f>CW!C742</f>
        <v>0</v>
      </c>
      <c r="F3055" s="721">
        <f>CW!D742</f>
        <v>0</v>
      </c>
      <c r="G3055" s="721">
        <f>CW!E742</f>
        <v>0</v>
      </c>
      <c r="H3055" s="721">
        <f>CW!F742</f>
        <v>0</v>
      </c>
      <c r="I3055" s="721">
        <f>CW!G759</f>
        <v>0</v>
      </c>
      <c r="J3055" s="721">
        <f>CW!H759</f>
        <v>0</v>
      </c>
      <c r="K3055" s="721">
        <f>CW!I759</f>
        <v>0</v>
      </c>
      <c r="L3055" s="1639">
        <f>CW!J759</f>
        <v>0</v>
      </c>
    </row>
    <row r="3056" spans="2:16" s="750" customFormat="1" ht="14">
      <c r="B3056" s="1813"/>
      <c r="C3056" s="798"/>
      <c r="D3056" s="799"/>
      <c r="E3056" s="799"/>
      <c r="F3056" s="799"/>
      <c r="G3056" s="799"/>
      <c r="H3056" s="800"/>
      <c r="I3056" s="799"/>
      <c r="K3056" s="799"/>
      <c r="L3056" s="801"/>
    </row>
    <row r="3057" spans="2:16" s="750" customFormat="1" ht="14">
      <c r="B3057" s="709" t="s">
        <v>1047</v>
      </c>
      <c r="C3057" s="798"/>
      <c r="D3057" s="799"/>
      <c r="E3057" s="799"/>
      <c r="F3057" s="799"/>
      <c r="G3057" s="799"/>
      <c r="H3057" s="800"/>
      <c r="I3057" s="799"/>
      <c r="K3057" s="799"/>
      <c r="L3057" s="801"/>
    </row>
    <row r="3058" spans="2:16" s="750" customFormat="1" ht="14">
      <c r="B3058" s="1811" t="str">
        <f>EC!B789</f>
        <v>DCV-BCE (Público)</v>
      </c>
      <c r="C3058" s="720" t="str">
        <f>EC!C789</f>
        <v>CH</v>
      </c>
      <c r="D3058" s="721" t="str">
        <f>EC!D789</f>
        <v>BC</v>
      </c>
      <c r="E3058" s="721" t="str">
        <f>EC!E789</f>
        <v>INDEP</v>
      </c>
      <c r="F3058" s="721" t="str">
        <f>EC!F789</f>
        <v>INT</v>
      </c>
      <c r="G3058" s="721" t="str">
        <f>EC!G789</f>
        <v>ROUTINE</v>
      </c>
      <c r="H3058" s="721" t="str">
        <f>EC!H789</f>
        <v>VA</v>
      </c>
      <c r="I3058" s="721" t="str">
        <f>EC!C793</f>
        <v>USD</v>
      </c>
      <c r="J3058" s="721" t="str">
        <f>EC!D793</f>
        <v>DCV-BCE</v>
      </c>
      <c r="K3058" s="721" t="str">
        <f>EC!E793</f>
        <v>BC</v>
      </c>
      <c r="L3058" s="1639">
        <f>EC!F793</f>
        <v>0</v>
      </c>
    </row>
    <row r="3059" spans="2:16" s="750" customFormat="1" ht="14">
      <c r="B3059" s="1811" t="str">
        <f>EC!B790</f>
        <v>DECEVALE (Privado)</v>
      </c>
      <c r="C3059" s="720">
        <f>EC!C790</f>
        <v>0</v>
      </c>
      <c r="D3059" s="721">
        <f>EC!D790</f>
        <v>0</v>
      </c>
      <c r="E3059" s="721">
        <f>EC!E790</f>
        <v>0</v>
      </c>
      <c r="F3059" s="721">
        <f>EC!F790</f>
        <v>0</v>
      </c>
      <c r="G3059" s="721">
        <f>EC!G790</f>
        <v>0</v>
      </c>
      <c r="H3059" s="721">
        <f>EC!H790</f>
        <v>0</v>
      </c>
      <c r="I3059" s="721">
        <f>EC!C794</f>
        <v>0</v>
      </c>
      <c r="J3059" s="721">
        <f>EC!D794</f>
        <v>0</v>
      </c>
      <c r="K3059" s="721">
        <f>EC!E794</f>
        <v>0</v>
      </c>
      <c r="L3059" s="1639">
        <f>EC!F794</f>
        <v>0</v>
      </c>
    </row>
    <row r="3060" spans="2:16" s="750" customFormat="1" ht="14">
      <c r="B3060" s="1814"/>
      <c r="C3060" s="798"/>
      <c r="D3060" s="799"/>
      <c r="E3060" s="799"/>
      <c r="F3060" s="799"/>
      <c r="G3060" s="799"/>
      <c r="H3060" s="800"/>
      <c r="I3060" s="799"/>
      <c r="K3060" s="799"/>
      <c r="L3060" s="801"/>
    </row>
    <row r="3061" spans="2:16" s="750" customFormat="1" ht="14">
      <c r="B3061" s="709" t="s">
        <v>1048</v>
      </c>
      <c r="C3061" s="802"/>
      <c r="D3061" s="803"/>
      <c r="E3061" s="803"/>
      <c r="F3061" s="803"/>
      <c r="G3061" s="803"/>
      <c r="H3061" s="803"/>
      <c r="I3061" s="803"/>
      <c r="K3061" s="803"/>
      <c r="L3061" s="804"/>
    </row>
    <row r="3062" spans="2:16" s="750" customFormat="1" ht="14">
      <c r="B3062" s="1811" t="str">
        <f>SV!B742</f>
        <v>System A</v>
      </c>
      <c r="C3062" s="720">
        <f>SV!C742</f>
        <v>0</v>
      </c>
      <c r="D3062" s="721">
        <f>SV!D742</f>
        <v>0</v>
      </c>
      <c r="E3062" s="721">
        <f>SV!E742</f>
        <v>0</v>
      </c>
      <c r="F3062" s="721">
        <f>SV!F742</f>
        <v>0</v>
      </c>
      <c r="G3062" s="721">
        <f>SV!G742</f>
        <v>0</v>
      </c>
      <c r="H3062" s="721">
        <f>SV!H742</f>
        <v>0</v>
      </c>
      <c r="I3062" s="721">
        <f>SV!C746</f>
        <v>0</v>
      </c>
      <c r="J3062" s="721">
        <f>SV!D746</f>
        <v>0</v>
      </c>
      <c r="K3062" s="721">
        <f>SV!E746</f>
        <v>0</v>
      </c>
      <c r="L3062" s="1639">
        <f>SV!F746</f>
        <v>0</v>
      </c>
    </row>
    <row r="3063" spans="2:16" s="750" customFormat="1" ht="14">
      <c r="B3063" s="1809"/>
      <c r="C3063" s="802"/>
      <c r="D3063" s="803"/>
      <c r="E3063" s="803"/>
      <c r="F3063" s="803"/>
      <c r="G3063" s="803"/>
      <c r="H3063" s="803"/>
      <c r="I3063" s="803"/>
      <c r="K3063" s="803"/>
      <c r="L3063" s="804"/>
    </row>
    <row r="3064" spans="2:16" s="750" customFormat="1" ht="14">
      <c r="B3064" s="709" t="s">
        <v>1049</v>
      </c>
      <c r="C3064" s="806"/>
      <c r="D3064" s="807"/>
      <c r="E3064" s="807"/>
      <c r="F3064" s="807"/>
      <c r="G3064" s="807"/>
      <c r="H3064" s="807"/>
      <c r="I3064" s="807"/>
      <c r="K3064" s="807"/>
      <c r="L3064" s="808"/>
    </row>
    <row r="3065" spans="2:16" s="750" customFormat="1" ht="14">
      <c r="B3065" s="1811" t="str">
        <f>GT!B1008</f>
        <v>System A</v>
      </c>
      <c r="C3065" s="720">
        <f>GT!C1008</f>
        <v>0</v>
      </c>
      <c r="D3065" s="721">
        <f>GT!D1008</f>
        <v>0</v>
      </c>
      <c r="E3065" s="721">
        <f>GT!E1008</f>
        <v>0</v>
      </c>
      <c r="F3065" s="721">
        <f>GT!F1008</f>
        <v>0</v>
      </c>
      <c r="G3065" s="721">
        <f>GT!G1008</f>
        <v>0</v>
      </c>
      <c r="H3065" s="721">
        <f>GT!H1008</f>
        <v>0</v>
      </c>
      <c r="I3065" s="721">
        <f>GT!C1012</f>
        <v>0</v>
      </c>
      <c r="J3065" s="721">
        <f>GT!D1012</f>
        <v>0</v>
      </c>
      <c r="K3065" s="721">
        <f>GT!E1012</f>
        <v>0</v>
      </c>
      <c r="L3065" s="1639">
        <f>GT!F1012</f>
        <v>0</v>
      </c>
    </row>
    <row r="3066" spans="2:16" s="750" customFormat="1" ht="14">
      <c r="B3066" s="1815"/>
      <c r="C3066" s="802"/>
      <c r="D3066" s="803"/>
      <c r="E3066" s="803"/>
      <c r="F3066" s="803"/>
      <c r="G3066" s="803"/>
      <c r="H3066" s="803"/>
      <c r="I3066" s="803"/>
      <c r="K3066" s="803"/>
      <c r="L3066" s="804"/>
    </row>
    <row r="3067" spans="2:16" s="750" customFormat="1" ht="14">
      <c r="B3067" s="709" t="s">
        <v>1050</v>
      </c>
      <c r="C3067" s="806"/>
      <c r="D3067" s="807"/>
      <c r="E3067" s="807"/>
      <c r="F3067" s="807"/>
      <c r="G3067" s="807"/>
      <c r="H3067" s="807"/>
      <c r="I3067" s="807"/>
      <c r="K3067" s="807"/>
      <c r="L3067" s="808"/>
    </row>
    <row r="3068" spans="2:16" s="750" customFormat="1" ht="14">
      <c r="B3068" s="1811">
        <f>HN!B876</f>
        <v>0</v>
      </c>
      <c r="C3068" s="720">
        <f>HN!C876</f>
        <v>0</v>
      </c>
      <c r="D3068" s="721">
        <f>HN!D876</f>
        <v>0</v>
      </c>
      <c r="E3068" s="721">
        <f>HN!E876</f>
        <v>0</v>
      </c>
      <c r="F3068" s="721">
        <f>HN!F876</f>
        <v>0</v>
      </c>
      <c r="G3068" s="721">
        <f>HN!G876</f>
        <v>0</v>
      </c>
      <c r="H3068" s="721">
        <f>HN!H876</f>
        <v>0</v>
      </c>
      <c r="I3068" s="721">
        <f>HN!C880</f>
        <v>0</v>
      </c>
      <c r="J3068" s="721">
        <f>HN!D880</f>
        <v>0</v>
      </c>
      <c r="K3068" s="721">
        <f>HN!E880</f>
        <v>0</v>
      </c>
      <c r="L3068" s="1639">
        <f>HN!F880</f>
        <v>0</v>
      </c>
    </row>
    <row r="3069" spans="2:16" s="57" customFormat="1" ht="12.5">
      <c r="B3069" s="1809"/>
      <c r="C3069" s="674"/>
      <c r="D3069" s="622"/>
      <c r="E3069" s="622"/>
      <c r="F3069" s="622"/>
      <c r="G3069" s="622"/>
      <c r="H3069" s="622"/>
      <c r="I3069" s="622"/>
      <c r="K3069" s="622"/>
      <c r="L3069" s="661"/>
      <c r="N3069" s="644"/>
      <c r="O3069" s="644"/>
      <c r="P3069" s="644"/>
    </row>
    <row r="3070" spans="2:16" s="57" customFormat="1" ht="13">
      <c r="B3070" s="709" t="s">
        <v>1051</v>
      </c>
      <c r="C3070" s="674"/>
      <c r="D3070" s="622"/>
      <c r="E3070" s="622"/>
      <c r="F3070" s="622"/>
      <c r="G3070" s="622"/>
      <c r="H3070" s="622"/>
      <c r="I3070" s="622"/>
      <c r="K3070" s="622"/>
      <c r="L3070" s="661"/>
      <c r="N3070" s="644"/>
      <c r="O3070" s="644"/>
      <c r="P3070" s="644"/>
    </row>
    <row r="3071" spans="2:16" s="57" customFormat="1" ht="23">
      <c r="B3071" s="1811" t="str">
        <f>JM!B1013</f>
        <v>Jamaica Central Securities Depository</v>
      </c>
      <c r="C3071" s="1820" t="str">
        <f>JM!C1013</f>
        <v>Bank Of Jamaica</v>
      </c>
      <c r="D3071" s="1808" t="str">
        <f>JM!D1013</f>
        <v>Government of Jamaica</v>
      </c>
      <c r="E3071" s="1808" t="str">
        <f>JM!E1013</f>
        <v>Industry Regulator</v>
      </c>
      <c r="F3071" s="1808" t="str">
        <f>JM!F1013</f>
        <v>Industry Regulator</v>
      </c>
      <c r="G3071" s="721">
        <f>JM!G1013</f>
        <v>0</v>
      </c>
      <c r="H3071" s="721" t="str">
        <f>JM!H1013</f>
        <v>B, E</v>
      </c>
      <c r="I3071" s="721" t="str">
        <f>JM!C1017</f>
        <v>JMD</v>
      </c>
      <c r="J3071" s="721">
        <f>JM!D1017</f>
        <v>0</v>
      </c>
      <c r="K3071" s="1808" t="str">
        <f>JM!E1017</f>
        <v>Stockbrokers</v>
      </c>
      <c r="L3071" s="1639">
        <f>JM!F1017</f>
        <v>0</v>
      </c>
      <c r="N3071" s="644"/>
      <c r="O3071" s="644"/>
      <c r="P3071" s="644"/>
    </row>
    <row r="3072" spans="2:16" s="57" customFormat="1" ht="12.5">
      <c r="B3072" s="1961"/>
      <c r="C3072" s="1962"/>
      <c r="D3072" s="1808"/>
      <c r="E3072" s="1808"/>
      <c r="F3072" s="1808"/>
      <c r="G3072" s="721"/>
      <c r="H3072" s="721"/>
      <c r="I3072" s="721"/>
      <c r="J3072" s="721"/>
      <c r="K3072" s="1808"/>
      <c r="L3072" s="1639"/>
      <c r="N3072" s="644"/>
      <c r="O3072" s="644"/>
      <c r="P3072" s="644"/>
    </row>
    <row r="3073" spans="1:17" s="57" customFormat="1" ht="14">
      <c r="B3073" s="709" t="s">
        <v>1052</v>
      </c>
      <c r="C3073" s="798"/>
      <c r="D3073" s="799"/>
      <c r="E3073" s="799"/>
      <c r="F3073" s="799"/>
      <c r="G3073" s="799"/>
      <c r="H3073" s="800"/>
      <c r="I3073" s="799"/>
      <c r="J3073" s="750"/>
      <c r="K3073" s="799"/>
      <c r="L3073" s="805"/>
      <c r="N3073" s="644"/>
      <c r="O3073" s="644"/>
      <c r="P3073" s="644"/>
    </row>
    <row r="3074" spans="1:17" s="57" customFormat="1" ht="12.5">
      <c r="B3074" s="1811" t="str">
        <f>RD!B877</f>
        <v>System A</v>
      </c>
      <c r="C3074" s="720">
        <f>RD!C877</f>
        <v>0</v>
      </c>
      <c r="D3074" s="721">
        <f>RD!D877</f>
        <v>0</v>
      </c>
      <c r="E3074" s="721">
        <f>RD!E877</f>
        <v>0</v>
      </c>
      <c r="F3074" s="721">
        <f>RD!F877</f>
        <v>0</v>
      </c>
      <c r="G3074" s="721">
        <f>RD!G877</f>
        <v>0</v>
      </c>
      <c r="H3074" s="721">
        <f>RD!H877</f>
        <v>0</v>
      </c>
      <c r="I3074" s="721">
        <f>RD!I881</f>
        <v>0</v>
      </c>
      <c r="J3074" s="721">
        <f>RD!J881</f>
        <v>0</v>
      </c>
      <c r="K3074" s="721">
        <f>RD!K881</f>
        <v>0</v>
      </c>
      <c r="L3074" s="1639">
        <f>RD!L881</f>
        <v>0</v>
      </c>
      <c r="N3074" s="644"/>
      <c r="O3074" s="644"/>
      <c r="P3074" s="644"/>
    </row>
    <row r="3075" spans="1:17" s="57" customFormat="1" ht="12.5">
      <c r="B3075" s="1809"/>
      <c r="C3075" s="674"/>
      <c r="D3075" s="622"/>
      <c r="E3075" s="622"/>
      <c r="F3075" s="622"/>
      <c r="G3075" s="622"/>
      <c r="H3075" s="622"/>
      <c r="I3075" s="622"/>
      <c r="K3075" s="622"/>
      <c r="L3075" s="661"/>
      <c r="N3075" s="644"/>
      <c r="O3075" s="644"/>
      <c r="P3075" s="644"/>
    </row>
    <row r="3076" spans="1:17" s="57" customFormat="1" ht="13">
      <c r="B3076" s="709" t="s">
        <v>1053</v>
      </c>
      <c r="C3076" s="809"/>
      <c r="D3076" s="810"/>
      <c r="E3076" s="810"/>
      <c r="F3076" s="810"/>
      <c r="G3076" s="810"/>
      <c r="H3076" s="810"/>
      <c r="I3076" s="810"/>
      <c r="K3076" s="810"/>
      <c r="L3076" s="811"/>
      <c r="N3076" s="644"/>
      <c r="O3076" s="644"/>
      <c r="P3076" s="644"/>
    </row>
    <row r="3077" spans="1:17" s="57" customFormat="1" ht="23">
      <c r="B3077" s="1816" t="str">
        <f>PY!B1299</f>
        <v>CAMARA COMPENSADORA DE CHEQUES</v>
      </c>
      <c r="C3077" s="720" t="str">
        <f>PY!C1299</f>
        <v>CH</v>
      </c>
      <c r="D3077" s="721" t="str">
        <f>PY!D1299</f>
        <v>CH</v>
      </c>
      <c r="E3077" s="721" t="str">
        <f>PY!E1299</f>
        <v>INDEP</v>
      </c>
      <c r="F3077" s="721" t="str">
        <f>PY!F1299</f>
        <v>INT</v>
      </c>
      <c r="G3077" s="721" t="str">
        <f>PY!G1299</f>
        <v>ROUTINE</v>
      </c>
      <c r="H3077" s="721" t="str">
        <f>PY!H1299</f>
        <v>VA/REP</v>
      </c>
      <c r="I3077" s="721" t="str">
        <f>PY!C1303</f>
        <v>PYG</v>
      </c>
      <c r="J3077" s="721" t="str">
        <f>PY!D1303</f>
        <v>BC</v>
      </c>
      <c r="K3077" s="721" t="str">
        <f>PY!E1303</f>
        <v>BC</v>
      </c>
      <c r="L3077" s="1639">
        <f>PY!F1303</f>
        <v>0</v>
      </c>
      <c r="N3077" s="644"/>
      <c r="O3077" s="644"/>
      <c r="P3077" s="644"/>
    </row>
    <row r="3078" spans="1:17" s="57" customFormat="1" ht="13">
      <c r="B3078" s="709"/>
      <c r="C3078" s="809"/>
      <c r="D3078" s="810"/>
      <c r="E3078" s="810"/>
      <c r="F3078" s="810"/>
      <c r="G3078" s="810"/>
      <c r="H3078" s="810"/>
      <c r="I3078" s="810"/>
      <c r="K3078" s="810"/>
      <c r="L3078" s="811"/>
      <c r="N3078" s="644"/>
      <c r="O3078" s="644"/>
      <c r="P3078" s="644"/>
    </row>
    <row r="3079" spans="1:17" s="812" customFormat="1">
      <c r="A3079" s="668"/>
      <c r="B3079" s="709" t="s">
        <v>1054</v>
      </c>
      <c r="C3079" s="669"/>
      <c r="D3079" s="658"/>
      <c r="E3079" s="658"/>
      <c r="F3079" s="658"/>
      <c r="G3079" s="658"/>
      <c r="H3079" s="658"/>
      <c r="I3079" s="658"/>
      <c r="K3079" s="658"/>
      <c r="L3079" s="811"/>
      <c r="N3079" s="813"/>
      <c r="O3079" s="813"/>
      <c r="P3079" s="813"/>
    </row>
    <row r="3080" spans="1:17" s="812" customFormat="1">
      <c r="A3080" s="668"/>
      <c r="B3080" s="1811" t="str">
        <f>PE!B780</f>
        <v>nap</v>
      </c>
      <c r="C3080" s="720">
        <f>PE!C780</f>
        <v>0</v>
      </c>
      <c r="D3080" s="721">
        <f>PE!D780</f>
        <v>0</v>
      </c>
      <c r="E3080" s="721">
        <f>PE!E780</f>
        <v>0</v>
      </c>
      <c r="F3080" s="721">
        <f>PE!F780</f>
        <v>0</v>
      </c>
      <c r="G3080" s="721">
        <f>PE!G780</f>
        <v>0</v>
      </c>
      <c r="H3080" s="721">
        <f>PE!H780</f>
        <v>0</v>
      </c>
      <c r="I3080" s="721">
        <f>PE!C784</f>
        <v>0</v>
      </c>
      <c r="J3080" s="721">
        <f>PE!D784</f>
        <v>0</v>
      </c>
      <c r="K3080" s="721">
        <f>PE!E784</f>
        <v>0</v>
      </c>
      <c r="L3080" s="1639">
        <f>PE!F784</f>
        <v>0</v>
      </c>
      <c r="N3080" s="813"/>
      <c r="O3080" s="813"/>
      <c r="P3080" s="813"/>
    </row>
    <row r="3081" spans="1:17" s="812" customFormat="1">
      <c r="A3081" s="668"/>
      <c r="B3081" s="1814"/>
      <c r="C3081" s="674"/>
      <c r="D3081" s="622"/>
      <c r="E3081" s="622"/>
      <c r="F3081" s="622"/>
      <c r="G3081" s="622"/>
      <c r="H3081" s="622"/>
      <c r="I3081" s="622"/>
      <c r="K3081" s="622"/>
      <c r="L3081" s="661"/>
      <c r="N3081" s="813"/>
      <c r="O3081" s="813"/>
      <c r="P3081" s="813"/>
    </row>
    <row r="3082" spans="1:17" s="812" customFormat="1">
      <c r="A3082" s="668"/>
      <c r="B3082" s="709" t="s">
        <v>1055</v>
      </c>
      <c r="C3082" s="674"/>
      <c r="D3082" s="622"/>
      <c r="E3082" s="622"/>
      <c r="F3082" s="622"/>
      <c r="G3082" s="622"/>
      <c r="H3082" s="622"/>
      <c r="I3082" s="622"/>
      <c r="K3082" s="622"/>
      <c r="L3082" s="661"/>
      <c r="N3082" s="813"/>
      <c r="O3082" s="813"/>
      <c r="P3082" s="813"/>
    </row>
    <row r="3083" spans="1:17" s="812" customFormat="1">
      <c r="A3083" s="668"/>
      <c r="B3083" s="1817" t="str">
        <f>TT!B980</f>
        <v>nap</v>
      </c>
      <c r="C3083" s="1642">
        <f>TT!C980</f>
        <v>0</v>
      </c>
      <c r="D3083" s="1637">
        <f>TT!D980</f>
        <v>0</v>
      </c>
      <c r="E3083" s="1637">
        <f>TT!E980</f>
        <v>0</v>
      </c>
      <c r="F3083" s="1637">
        <f>TT!F980</f>
        <v>0</v>
      </c>
      <c r="G3083" s="1637">
        <f>TT!G980</f>
        <v>0</v>
      </c>
      <c r="H3083" s="1637">
        <f>TT!H980</f>
        <v>0</v>
      </c>
      <c r="I3083" s="1637">
        <f>TT!C984</f>
        <v>0</v>
      </c>
      <c r="J3083" s="1637">
        <f>TT!D984</f>
        <v>0</v>
      </c>
      <c r="K3083" s="1637">
        <f>TT!E984</f>
        <v>0</v>
      </c>
      <c r="L3083" s="1640">
        <f>TT!F984</f>
        <v>0</v>
      </c>
      <c r="N3083" s="813"/>
      <c r="O3083" s="813"/>
      <c r="P3083" s="813"/>
    </row>
    <row r="3084" spans="1:17" s="57" customFormat="1" ht="12.5">
      <c r="C3084" s="582"/>
      <c r="D3084" s="582"/>
      <c r="E3084" s="582"/>
      <c r="F3084" s="582"/>
      <c r="G3084" s="582"/>
      <c r="H3084" s="582"/>
      <c r="I3084" s="582"/>
      <c r="J3084" s="582"/>
      <c r="K3084" s="582"/>
      <c r="L3084" s="582"/>
      <c r="M3084" s="582"/>
      <c r="N3084" s="582"/>
      <c r="O3084" s="644"/>
      <c r="P3084" s="644"/>
      <c r="Q3084" s="644"/>
    </row>
    <row r="3085" spans="1:17" s="57" customFormat="1" ht="12.5">
      <c r="B3085" s="751"/>
      <c r="C3085" s="622"/>
      <c r="D3085" s="622"/>
      <c r="E3085" s="644"/>
      <c r="F3085" s="644"/>
      <c r="G3085" s="644"/>
      <c r="H3085" s="644"/>
      <c r="I3085" s="644"/>
      <c r="J3085" s="644"/>
      <c r="K3085" s="644"/>
      <c r="L3085" s="644"/>
      <c r="M3085" s="644"/>
      <c r="N3085" s="644"/>
      <c r="O3085" s="644"/>
      <c r="P3085" s="644"/>
      <c r="Q3085" s="644"/>
    </row>
    <row r="3086" spans="1:17" s="57" customFormat="1" ht="13">
      <c r="B3086" s="2250" t="s">
        <v>757</v>
      </c>
      <c r="C3086" s="2250"/>
      <c r="D3086" s="2250"/>
      <c r="E3086" s="2250"/>
      <c r="F3086" s="2250"/>
      <c r="G3086" s="2250"/>
      <c r="H3086" s="2250"/>
      <c r="I3086" s="2250"/>
      <c r="J3086" s="2250"/>
      <c r="K3086" s="2250"/>
      <c r="L3086" s="2250"/>
      <c r="M3086" s="2250"/>
      <c r="N3086" s="2250"/>
      <c r="O3086" s="2250"/>
      <c r="P3086" s="2250"/>
      <c r="Q3086" s="2250"/>
    </row>
    <row r="3087" spans="1:17" s="57" customFormat="1" ht="13">
      <c r="B3087" s="2179" t="s">
        <v>756</v>
      </c>
      <c r="C3087" s="2179"/>
      <c r="D3087" s="2179"/>
      <c r="E3087" s="2179"/>
      <c r="F3087" s="2179"/>
      <c r="G3087" s="2179"/>
      <c r="H3087" s="2179"/>
      <c r="I3087" s="2179"/>
      <c r="J3087" s="2179"/>
      <c r="K3087" s="2179"/>
      <c r="L3087" s="2179"/>
      <c r="M3087" s="2179"/>
      <c r="N3087" s="2179"/>
      <c r="O3087" s="2179"/>
      <c r="P3087" s="2179"/>
      <c r="Q3087" s="2179"/>
    </row>
    <row r="3088" spans="1:17" s="57" customFormat="1" ht="13">
      <c r="B3088" s="581" t="s">
        <v>1098</v>
      </c>
      <c r="C3088" s="611"/>
      <c r="D3088" s="611"/>
      <c r="E3088" s="644"/>
      <c r="F3088" s="644"/>
      <c r="G3088" s="644"/>
      <c r="H3088" s="644"/>
      <c r="I3088" s="644"/>
      <c r="J3088" s="644"/>
      <c r="K3088" s="644"/>
      <c r="L3088" s="644"/>
      <c r="M3088" s="644"/>
      <c r="N3088" s="644"/>
      <c r="O3088" s="644"/>
      <c r="P3088" s="644"/>
      <c r="Q3088" s="644"/>
    </row>
    <row r="3089" spans="2:18" s="57" customFormat="1" ht="13">
      <c r="B3089" s="612" t="s">
        <v>2156</v>
      </c>
      <c r="C3089" s="613"/>
      <c r="D3089" s="613"/>
      <c r="E3089" s="644"/>
      <c r="F3089" s="644"/>
      <c r="G3089" s="644"/>
      <c r="H3089" s="644"/>
      <c r="I3089" s="644"/>
      <c r="J3089" s="644"/>
      <c r="K3089" s="644"/>
      <c r="L3089" s="644"/>
      <c r="M3089" s="644"/>
      <c r="N3089" s="644"/>
      <c r="O3089" s="644"/>
      <c r="P3089" s="644"/>
      <c r="Q3089" s="644"/>
    </row>
    <row r="3090" spans="2:18" s="57" customFormat="1" ht="13.9" customHeight="1">
      <c r="B3090" s="2233" t="s">
        <v>11</v>
      </c>
      <c r="C3090" s="2230" t="s">
        <v>1260</v>
      </c>
      <c r="D3090" s="2231"/>
      <c r="E3090" s="2231"/>
      <c r="F3090" s="2231"/>
      <c r="G3090" s="2231"/>
      <c r="H3090" s="2231"/>
      <c r="I3090" s="2231"/>
      <c r="J3090" s="2232"/>
      <c r="K3090" s="2230" t="s">
        <v>1311</v>
      </c>
      <c r="L3090" s="2231"/>
      <c r="M3090" s="2231"/>
      <c r="N3090" s="2231"/>
      <c r="O3090" s="2231"/>
      <c r="P3090" s="2231"/>
      <c r="Q3090" s="2231"/>
      <c r="R3090" s="2232"/>
    </row>
    <row r="3091" spans="2:18" s="57" customFormat="1" ht="12.5">
      <c r="B3091" s="2234"/>
      <c r="C3091" s="587">
        <v>2014</v>
      </c>
      <c r="D3091" s="588">
        <v>2015</v>
      </c>
      <c r="E3091" s="588">
        <v>2016</v>
      </c>
      <c r="F3091" s="588">
        <v>2017</v>
      </c>
      <c r="G3091" s="588">
        <v>2018</v>
      </c>
      <c r="H3091" s="588">
        <v>2019</v>
      </c>
      <c r="I3091" s="588">
        <v>2020</v>
      </c>
      <c r="J3091" s="588">
        <v>2021</v>
      </c>
      <c r="K3091" s="587">
        <v>2014</v>
      </c>
      <c r="L3091" s="588">
        <v>2015</v>
      </c>
      <c r="M3091" s="588">
        <v>2016</v>
      </c>
      <c r="N3091" s="588">
        <v>2017</v>
      </c>
      <c r="O3091" s="588">
        <v>2018</v>
      </c>
      <c r="P3091" s="588">
        <v>2019</v>
      </c>
      <c r="Q3091" s="588">
        <v>2020</v>
      </c>
      <c r="R3091" s="848">
        <v>2021</v>
      </c>
    </row>
    <row r="3092" spans="2:18" s="57" customFormat="1" ht="13">
      <c r="B3092" s="696" t="s">
        <v>1038</v>
      </c>
      <c r="C3092" s="1977"/>
      <c r="D3092" s="1970"/>
      <c r="E3092" s="1970"/>
      <c r="F3092" s="1970"/>
      <c r="G3092" s="1970"/>
      <c r="H3092" s="1970"/>
      <c r="I3092" s="1970"/>
      <c r="J3092" s="1971"/>
      <c r="K3092" s="1969"/>
      <c r="L3092" s="1970"/>
      <c r="M3092" s="1970"/>
      <c r="N3092" s="1970"/>
      <c r="O3092" s="1970"/>
      <c r="P3092" s="1970"/>
      <c r="Q3092" s="1970"/>
      <c r="R3092" s="1971"/>
    </row>
    <row r="3093" spans="2:18" s="57" customFormat="1" ht="25">
      <c r="B3093" s="1752" t="s">
        <v>1338</v>
      </c>
      <c r="C3093" s="1760">
        <f>ARG!C1155/1000</f>
        <v>0.22271700000000003</v>
      </c>
      <c r="D3093" s="774">
        <f>ARG!D1155/1000</f>
        <v>0.24493199999999998</v>
      </c>
      <c r="E3093" s="774">
        <f>ARG!E1155/1000</f>
        <v>0.19153600000000001</v>
      </c>
      <c r="F3093" s="774">
        <f>ARG!F1155/1000</f>
        <v>0.115513</v>
      </c>
      <c r="G3093" s="774">
        <f>ARG!G1155/1000</f>
        <v>0.200405</v>
      </c>
      <c r="H3093" s="774">
        <f>ARG!H1155/1000</f>
        <v>0.18387299999999998</v>
      </c>
      <c r="I3093" s="774">
        <f>ARG!I1155/1000</f>
        <v>10.468385</v>
      </c>
      <c r="J3093" s="775">
        <f>ARG!J1155/1000</f>
        <v>12.021535</v>
      </c>
      <c r="K3093" s="1972">
        <v>-25.212657180403653</v>
      </c>
      <c r="L3093" s="774">
        <f>IFERROR((D3093/C3093-1)*100,0)</f>
        <v>9.9745416829429168</v>
      </c>
      <c r="M3093" s="774">
        <f t="shared" ref="M3093:R3096" si="1027">IFERROR((E3093/D3093-1)*100,0)</f>
        <v>-21.800336419904287</v>
      </c>
      <c r="N3093" s="774">
        <f t="shared" si="1027"/>
        <v>-39.691232979700942</v>
      </c>
      <c r="O3093" s="774">
        <f t="shared" si="1027"/>
        <v>73.491295352038293</v>
      </c>
      <c r="P3093" s="774">
        <f t="shared" si="1027"/>
        <v>-8.2492951772660472</v>
      </c>
      <c r="Q3093" s="774">
        <f t="shared" si="1027"/>
        <v>5593.2692673747642</v>
      </c>
      <c r="R3093" s="775">
        <f t="shared" si="1027"/>
        <v>14.836576988714123</v>
      </c>
    </row>
    <row r="3094" spans="2:18" s="57" customFormat="1" ht="25">
      <c r="B3094" s="1752" t="s">
        <v>1335</v>
      </c>
      <c r="C3094" s="1760">
        <f>ARG!C1243/1000</f>
        <v>0</v>
      </c>
      <c r="D3094" s="774">
        <f>ARG!D1243/1000</f>
        <v>0.12753600000000001</v>
      </c>
      <c r="E3094" s="774">
        <f>ARG!E1243/1000</f>
        <v>0.16345199999999999</v>
      </c>
      <c r="F3094" s="774">
        <f>ARG!F1243/1000</f>
        <v>0.23211400000000001</v>
      </c>
      <c r="G3094" s="774">
        <f>ARG!G1243/1000</f>
        <v>0.33993099999999998</v>
      </c>
      <c r="H3094" s="774">
        <f>ARG!H1243/1000</f>
        <v>0.52956500000000006</v>
      </c>
      <c r="I3094" s="774">
        <f>ARG!I1243/1000</f>
        <v>0.56856899999999999</v>
      </c>
      <c r="J3094" s="775">
        <f>ARG!J1243/1000</f>
        <v>0.57231399999999999</v>
      </c>
      <c r="K3094" s="1972">
        <v>-24.946919243217948</v>
      </c>
      <c r="L3094" s="774">
        <f t="shared" ref="L3094:L3096" si="1028">IFERROR((D3094/C3094-1)*100,0)</f>
        <v>0</v>
      </c>
      <c r="M3094" s="774">
        <f t="shared" si="1027"/>
        <v>28.161460293564144</v>
      </c>
      <c r="N3094" s="774">
        <f t="shared" si="1027"/>
        <v>42.007439492939838</v>
      </c>
      <c r="O3094" s="774">
        <f t="shared" si="1027"/>
        <v>46.450020248670889</v>
      </c>
      <c r="P3094" s="774">
        <f t="shared" si="1027"/>
        <v>55.786027164336318</v>
      </c>
      <c r="Q3094" s="774">
        <f t="shared" si="1027"/>
        <v>7.3652903798400393</v>
      </c>
      <c r="R3094" s="775">
        <f t="shared" si="1027"/>
        <v>0.65867115512805441</v>
      </c>
    </row>
    <row r="3095" spans="2:18" s="57" customFormat="1" ht="25">
      <c r="B3095" s="1752" t="s">
        <v>1337</v>
      </c>
      <c r="C3095" s="1760">
        <f>ARG!C1286/1000</f>
        <v>2.6203129999999994</v>
      </c>
      <c r="D3095" s="774">
        <f>ARG!D1286/1000</f>
        <v>3.5592220000000001</v>
      </c>
      <c r="E3095" s="774">
        <f>ARG!E1286/1000</f>
        <v>4.0811590000000004</v>
      </c>
      <c r="F3095" s="774">
        <f>ARG!F1286/1000</f>
        <v>5.2965</v>
      </c>
      <c r="G3095" s="774">
        <f>ARG!G1286/1000</f>
        <v>6.222861</v>
      </c>
      <c r="H3095" s="774">
        <f>ARG!H1286/1000</f>
        <v>43.365955</v>
      </c>
      <c r="I3095" s="774">
        <f>ARG!I1286/1000</f>
        <v>17.439567999999998</v>
      </c>
      <c r="J3095" s="775">
        <f>ARG!J1286/1000</f>
        <v>27.066152000000002</v>
      </c>
      <c r="K3095" s="1972">
        <v>26.565786785308674</v>
      </c>
      <c r="L3095" s="774">
        <f t="shared" si="1028"/>
        <v>35.831940688001815</v>
      </c>
      <c r="M3095" s="774">
        <f t="shared" si="1027"/>
        <v>14.664356423960069</v>
      </c>
      <c r="N3095" s="774">
        <f t="shared" si="1027"/>
        <v>29.779310240056802</v>
      </c>
      <c r="O3095" s="774">
        <f t="shared" si="1027"/>
        <v>17.490059473237054</v>
      </c>
      <c r="P3095" s="774">
        <f t="shared" si="1027"/>
        <v>596.88130588165154</v>
      </c>
      <c r="Q3095" s="774">
        <f t="shared" si="1027"/>
        <v>-59.785117150077753</v>
      </c>
      <c r="R3095" s="775">
        <f t="shared" si="1027"/>
        <v>55.199670083570915</v>
      </c>
    </row>
    <row r="3096" spans="2:18" s="57" customFormat="1" ht="25">
      <c r="B3096" s="1752" t="s">
        <v>1341</v>
      </c>
      <c r="C3096" s="1760">
        <f>ARG!C1200/1000</f>
        <v>0</v>
      </c>
      <c r="D3096" s="774">
        <f>ARG!D1200/1000</f>
        <v>0.251139</v>
      </c>
      <c r="E3096" s="774">
        <f>ARG!E1200/1000</f>
        <v>0.27924700000000002</v>
      </c>
      <c r="F3096" s="774">
        <f>ARG!F1200/1000</f>
        <v>0.28446100000000002</v>
      </c>
      <c r="G3096" s="774">
        <f>ARG!G1200/1000</f>
        <v>0.71550099999999994</v>
      </c>
      <c r="H3096" s="774">
        <f>ARG!H1200/1000</f>
        <v>210.15567800000002</v>
      </c>
      <c r="I3096" s="774">
        <f>ARG!I1200/1000</f>
        <v>117.474807</v>
      </c>
      <c r="J3096" s="775">
        <f>ARG!J1200/1000</f>
        <v>129.56162514285714</v>
      </c>
      <c r="K3096" s="1972">
        <v>8.6803662346435218E-2</v>
      </c>
      <c r="L3096" s="774">
        <f t="shared" si="1028"/>
        <v>0</v>
      </c>
      <c r="M3096" s="774">
        <f t="shared" si="1027"/>
        <v>11.192208298989815</v>
      </c>
      <c r="N3096" s="774">
        <f t="shared" si="1027"/>
        <v>1.8671641951390594</v>
      </c>
      <c r="O3096" s="774">
        <f t="shared" si="1027"/>
        <v>151.52868055726438</v>
      </c>
      <c r="P3096" s="774">
        <f t="shared" si="1027"/>
        <v>29271.82170255528</v>
      </c>
      <c r="Q3096" s="774">
        <f t="shared" si="1027"/>
        <v>-44.101054933191008</v>
      </c>
      <c r="R3096" s="775">
        <f t="shared" si="1027"/>
        <v>10.288859757698642</v>
      </c>
    </row>
    <row r="3097" spans="2:18" s="57" customFormat="1" ht="12.5">
      <c r="B3097" s="1752"/>
      <c r="C3097" s="1760"/>
      <c r="D3097" s="774"/>
      <c r="E3097" s="774"/>
      <c r="F3097" s="774"/>
      <c r="G3097" s="774"/>
      <c r="H3097" s="774"/>
      <c r="I3097" s="774"/>
      <c r="J3097" s="775"/>
      <c r="K3097" s="1972"/>
      <c r="L3097" s="774"/>
      <c r="M3097" s="774"/>
      <c r="N3097" s="774"/>
      <c r="O3097" s="774"/>
      <c r="P3097" s="774"/>
      <c r="Q3097" s="774"/>
      <c r="R3097" s="775"/>
    </row>
    <row r="3098" spans="2:18" s="57" customFormat="1" ht="13">
      <c r="B3098" s="1754" t="s">
        <v>1039</v>
      </c>
      <c r="C3098" s="1760"/>
      <c r="D3098" s="774"/>
      <c r="E3098" s="774"/>
      <c r="F3098" s="774"/>
      <c r="G3098" s="774"/>
      <c r="H3098" s="774"/>
      <c r="I3098" s="774"/>
      <c r="J3098" s="775"/>
      <c r="K3098" s="1972"/>
      <c r="L3098" s="774"/>
      <c r="M3098" s="774"/>
      <c r="N3098" s="774"/>
      <c r="O3098" s="774"/>
      <c r="P3098" s="774"/>
      <c r="Q3098" s="774"/>
      <c r="R3098" s="775"/>
    </row>
    <row r="3099" spans="2:18" s="57" customFormat="1" ht="12.5">
      <c r="B3099" s="1908" t="s">
        <v>1889</v>
      </c>
      <c r="C3099" s="1760">
        <f>BA!C490/1000</f>
        <v>0</v>
      </c>
      <c r="D3099" s="774">
        <f>BA!D490/1000</f>
        <v>0</v>
      </c>
      <c r="E3099" s="774">
        <f>BA!E490/1000</f>
        <v>0</v>
      </c>
      <c r="F3099" s="774">
        <f>BA!F490/1000</f>
        <v>0</v>
      </c>
      <c r="G3099" s="774">
        <f>BA!G490/1000</f>
        <v>0</v>
      </c>
      <c r="H3099" s="774">
        <f>BA!H490/1000</f>
        <v>0</v>
      </c>
      <c r="I3099" s="774">
        <f>BA!I490/1000</f>
        <v>0</v>
      </c>
      <c r="J3099" s="775">
        <f>BA!J490/1000</f>
        <v>0</v>
      </c>
      <c r="K3099" s="1760">
        <f t="shared" ref="K3099:L3099" si="1029">IFERROR((C3099/B3099-1)*100,0)</f>
        <v>0</v>
      </c>
      <c r="L3099" s="774">
        <f t="shared" si="1029"/>
        <v>0</v>
      </c>
      <c r="M3099" s="774">
        <f t="shared" ref="M3099" si="1030">IFERROR((E3099/D3099-1)*100,0)</f>
        <v>0</v>
      </c>
      <c r="N3099" s="774">
        <f t="shared" ref="N3099" si="1031">IFERROR((F3099/E3099-1)*100,0)</f>
        <v>0</v>
      </c>
      <c r="O3099" s="774">
        <f t="shared" ref="O3099" si="1032">IFERROR((G3099/F3099-1)*100,0)</f>
        <v>0</v>
      </c>
      <c r="P3099" s="774">
        <f t="shared" ref="P3099" si="1033">IFERROR((H3099/G3099-1)*100,0)</f>
        <v>0</v>
      </c>
      <c r="Q3099" s="774">
        <f t="shared" ref="Q3099" si="1034">IFERROR((I3099/H3099-1)*100,0)</f>
        <v>0</v>
      </c>
      <c r="R3099" s="775">
        <f t="shared" ref="R3099" si="1035">IFERROR((J3099/I3099-1)*100,0)</f>
        <v>0</v>
      </c>
    </row>
    <row r="3100" spans="2:18" s="57" customFormat="1" ht="12.5">
      <c r="B3100" s="1753"/>
      <c r="C3100" s="1760"/>
      <c r="D3100" s="774"/>
      <c r="E3100" s="774"/>
      <c r="F3100" s="774"/>
      <c r="G3100" s="774"/>
      <c r="H3100" s="779"/>
      <c r="I3100" s="779"/>
      <c r="J3100" s="780"/>
      <c r="K3100" s="1973"/>
      <c r="L3100" s="774"/>
      <c r="M3100" s="774"/>
      <c r="N3100" s="774"/>
      <c r="O3100" s="774"/>
      <c r="P3100" s="774"/>
      <c r="Q3100" s="774"/>
      <c r="R3100" s="775"/>
    </row>
    <row r="3101" spans="2:18" s="57" customFormat="1" ht="13">
      <c r="B3101" s="1754" t="s">
        <v>1040</v>
      </c>
      <c r="C3101" s="1760"/>
      <c r="D3101" s="774"/>
      <c r="E3101" s="774"/>
      <c r="F3101" s="774"/>
      <c r="G3101" s="774"/>
      <c r="H3101" s="774"/>
      <c r="I3101" s="774"/>
      <c r="J3101" s="775"/>
      <c r="K3101" s="1973"/>
      <c r="L3101" s="774"/>
      <c r="M3101" s="774"/>
      <c r="N3101" s="774"/>
      <c r="O3101" s="774"/>
      <c r="P3101" s="774"/>
      <c r="Q3101" s="774"/>
      <c r="R3101" s="775"/>
    </row>
    <row r="3102" spans="2:18" s="57" customFormat="1" ht="12.5">
      <c r="B3102" s="1753" t="s">
        <v>1312</v>
      </c>
      <c r="C3102" s="1760">
        <f>BO!C788/1000</f>
        <v>5.0663000000000007E-2</v>
      </c>
      <c r="D3102" s="774">
        <f>BO!D788/1000</f>
        <v>4.6231000000000001E-2</v>
      </c>
      <c r="E3102" s="774">
        <f>BO!E788/1000</f>
        <v>4.2033000000000001E-2</v>
      </c>
      <c r="F3102" s="774">
        <f>BO!F788/1000</f>
        <v>4.8522000000000003E-2</v>
      </c>
      <c r="G3102" s="774">
        <f>BO!G788/1000</f>
        <v>6.1204999999999996E-2</v>
      </c>
      <c r="H3102" s="774">
        <f>BO!H788/1000</f>
        <v>4.8278999999999996E-2</v>
      </c>
      <c r="I3102" s="774">
        <f>BO!I788/1000</f>
        <v>4.8136000000000005E-2</v>
      </c>
      <c r="J3102" s="775">
        <f>BO!J788/1000</f>
        <v>5.1195999999999998E-2</v>
      </c>
      <c r="K3102" s="1972">
        <v>46.54768447542741</v>
      </c>
      <c r="L3102" s="774">
        <f>IFERROR((D3102/C3102-1)*100,0)</f>
        <v>-8.7480015001085718</v>
      </c>
      <c r="M3102" s="774">
        <f t="shared" ref="M3102:R3102" si="1036">IFERROR((E3102/D3102-1)*100,0)</f>
        <v>-9.0804871190326875</v>
      </c>
      <c r="N3102" s="774">
        <f t="shared" si="1036"/>
        <v>15.43787024480765</v>
      </c>
      <c r="O3102" s="774">
        <f t="shared" si="1036"/>
        <v>26.138658752730713</v>
      </c>
      <c r="P3102" s="774">
        <f t="shared" si="1036"/>
        <v>-21.119189608692103</v>
      </c>
      <c r="Q3102" s="774">
        <f t="shared" si="1036"/>
        <v>-0.29619503303711658</v>
      </c>
      <c r="R3102" s="775">
        <f t="shared" si="1036"/>
        <v>6.35698853249127</v>
      </c>
    </row>
    <row r="3103" spans="2:18" s="57" customFormat="1" ht="12.5">
      <c r="B3103" s="1753"/>
      <c r="C3103" s="1760"/>
      <c r="D3103" s="774"/>
      <c r="E3103" s="774"/>
      <c r="F3103" s="774"/>
      <c r="G3103" s="774"/>
      <c r="H3103" s="774"/>
      <c r="I3103" s="774"/>
      <c r="J3103" s="775"/>
      <c r="K3103" s="1972"/>
      <c r="L3103" s="774"/>
      <c r="M3103" s="774"/>
      <c r="N3103" s="774"/>
      <c r="O3103" s="774"/>
      <c r="P3103" s="774"/>
      <c r="Q3103" s="774"/>
      <c r="R3103" s="775"/>
    </row>
    <row r="3104" spans="2:18" s="57" customFormat="1" ht="13">
      <c r="B3104" s="1754" t="s">
        <v>1041</v>
      </c>
      <c r="C3104" s="1760"/>
      <c r="D3104" s="774"/>
      <c r="E3104" s="774"/>
      <c r="F3104" s="774"/>
      <c r="G3104" s="774"/>
      <c r="H3104" s="774"/>
      <c r="I3104" s="774"/>
      <c r="J3104" s="775"/>
      <c r="K3104" s="1972"/>
      <c r="L3104" s="774"/>
      <c r="M3104" s="774"/>
      <c r="N3104" s="774"/>
      <c r="O3104" s="774"/>
      <c r="P3104" s="774"/>
      <c r="Q3104" s="774"/>
      <c r="R3104" s="775"/>
    </row>
    <row r="3105" spans="2:18" s="57" customFormat="1" ht="12.5">
      <c r="B3105" s="1753" t="s">
        <v>1313</v>
      </c>
      <c r="C3105" s="1760">
        <f>BR!C856/1000</f>
        <v>228.132496</v>
      </c>
      <c r="D3105" s="774">
        <f>BR!D856/1000</f>
        <v>244.84584699999999</v>
      </c>
      <c r="E3105" s="774">
        <f>BR!E856/1000</f>
        <v>260.474377</v>
      </c>
      <c r="F3105" s="774">
        <f>BR!F856/1000</f>
        <v>168.68416200000001</v>
      </c>
      <c r="G3105" s="774">
        <f>BR!G856/1000</f>
        <v>0</v>
      </c>
      <c r="H3105" s="774">
        <f>BR!H856/1000</f>
        <v>0</v>
      </c>
      <c r="I3105" s="774">
        <f>BR!I856/1000</f>
        <v>0</v>
      </c>
      <c r="J3105" s="775">
        <f>BR!J856/1000</f>
        <v>0</v>
      </c>
      <c r="K3105" s="1972">
        <v>5.352136496184678</v>
      </c>
      <c r="L3105" s="774">
        <f>IFERROR((D3105/C3105-1)*100,0)</f>
        <v>7.326159706769686</v>
      </c>
      <c r="M3105" s="774">
        <f t="shared" ref="M3105:R3108" si="1037">IFERROR((E3105/D3105-1)*100,0)</f>
        <v>6.3830079993147715</v>
      </c>
      <c r="N3105" s="774">
        <f t="shared" si="1037"/>
        <v>-35.239633186645449</v>
      </c>
      <c r="O3105" s="774">
        <f t="shared" si="1037"/>
        <v>-100</v>
      </c>
      <c r="P3105" s="774">
        <f t="shared" si="1037"/>
        <v>0</v>
      </c>
      <c r="Q3105" s="774">
        <f t="shared" si="1037"/>
        <v>0</v>
      </c>
      <c r="R3105" s="775">
        <f t="shared" si="1037"/>
        <v>0</v>
      </c>
    </row>
    <row r="3106" spans="2:18" s="57" customFormat="1" ht="12.5">
      <c r="B3106" s="1753" t="s">
        <v>1350</v>
      </c>
      <c r="C3106" s="1760">
        <f>BR!C899/1000</f>
        <v>637.526884</v>
      </c>
      <c r="D3106" s="774">
        <f>BR!D899/1000</f>
        <v>701.32628499999987</v>
      </c>
      <c r="E3106" s="774">
        <f>BR!E899/1000</f>
        <v>794.11181799999997</v>
      </c>
      <c r="F3106" s="774">
        <f>BR!F899/1000</f>
        <v>1195.3458469999998</v>
      </c>
      <c r="G3106" s="774">
        <f>BR!G899/1000</f>
        <v>644.90754100000004</v>
      </c>
      <c r="H3106" s="774">
        <f>BR!H899/1000</f>
        <v>993.95086100000003</v>
      </c>
      <c r="I3106" s="774">
        <f>BR!I899/1000</f>
        <v>1982.346708</v>
      </c>
      <c r="J3106" s="775">
        <f>BR!J899/1000</f>
        <v>1593.1343999999999</v>
      </c>
      <c r="K3106" s="1972">
        <v>0</v>
      </c>
      <c r="L3106" s="774">
        <f t="shared" ref="L3106:L3108" si="1038">IFERROR((D3106/C3106-1)*100,0)</f>
        <v>10.007327157673229</v>
      </c>
      <c r="M3106" s="774">
        <f t="shared" si="1037"/>
        <v>13.230009338663251</v>
      </c>
      <c r="N3106" s="774">
        <f t="shared" si="1037"/>
        <v>50.526137491634707</v>
      </c>
      <c r="O3106" s="774">
        <f t="shared" si="1037"/>
        <v>-46.048455966233838</v>
      </c>
      <c r="P3106" s="774">
        <f t="shared" si="1037"/>
        <v>54.12300179631486</v>
      </c>
      <c r="Q3106" s="774">
        <f t="shared" si="1037"/>
        <v>99.441117844154661</v>
      </c>
      <c r="R3106" s="775">
        <f t="shared" si="1037"/>
        <v>-19.63391703526365</v>
      </c>
    </row>
    <row r="3107" spans="2:18" s="57" customFormat="1" ht="12.5">
      <c r="B3107" s="1753" t="s">
        <v>965</v>
      </c>
      <c r="C3107" s="1760">
        <f>BR!C942/1000</f>
        <v>9.9999999999999995E-7</v>
      </c>
      <c r="D3107" s="774">
        <f>BR!D942/1000</f>
        <v>0</v>
      </c>
      <c r="E3107" s="774">
        <f>BR!E942/1000</f>
        <v>0</v>
      </c>
      <c r="F3107" s="774">
        <f>BR!F942/1000</f>
        <v>0</v>
      </c>
      <c r="G3107" s="774">
        <f>BR!G942/1000</f>
        <v>0</v>
      </c>
      <c r="H3107" s="774">
        <f>BR!H942/1000</f>
        <v>0</v>
      </c>
      <c r="I3107" s="774">
        <f>BR!I942/1000</f>
        <v>0</v>
      </c>
      <c r="J3107" s="775">
        <f>BR!J942/1000</f>
        <v>0</v>
      </c>
      <c r="K3107" s="1972">
        <v>0</v>
      </c>
      <c r="L3107" s="774">
        <f t="shared" si="1038"/>
        <v>-100</v>
      </c>
      <c r="M3107" s="774">
        <f t="shared" si="1037"/>
        <v>0</v>
      </c>
      <c r="N3107" s="774">
        <f t="shared" si="1037"/>
        <v>0</v>
      </c>
      <c r="O3107" s="774">
        <f t="shared" si="1037"/>
        <v>0</v>
      </c>
      <c r="P3107" s="774">
        <f t="shared" si="1037"/>
        <v>0</v>
      </c>
      <c r="Q3107" s="774">
        <f t="shared" si="1037"/>
        <v>0</v>
      </c>
      <c r="R3107" s="775">
        <f t="shared" si="1037"/>
        <v>0</v>
      </c>
    </row>
    <row r="3108" spans="2:18" s="57" customFormat="1" ht="12.5">
      <c r="B3108" s="1753" t="s">
        <v>1351</v>
      </c>
      <c r="C3108" s="1760">
        <f>BR!C985/1000</f>
        <v>116.942351</v>
      </c>
      <c r="D3108" s="774">
        <f>BR!D985/1000</f>
        <v>310.38059999999996</v>
      </c>
      <c r="E3108" s="774">
        <f>BR!E985/1000</f>
        <v>405.71616399999999</v>
      </c>
      <c r="F3108" s="774">
        <f>BR!F985/1000</f>
        <v>413.07474899999994</v>
      </c>
      <c r="G3108" s="774">
        <f>BR!G985/1000</f>
        <v>478.26845999999995</v>
      </c>
      <c r="H3108" s="774">
        <f>BR!H985/1000</f>
        <v>582.90540800000008</v>
      </c>
      <c r="I3108" s="774">
        <f>BR!I985/1000</f>
        <v>674.74135000000001</v>
      </c>
      <c r="J3108" s="775">
        <f>BR!J985/1000</f>
        <v>865.95821000000001</v>
      </c>
      <c r="K3108" s="1972">
        <v>35.906938368779038</v>
      </c>
      <c r="L3108" s="774">
        <f t="shared" si="1038"/>
        <v>165.41334028764308</v>
      </c>
      <c r="M3108" s="774">
        <f t="shared" si="1037"/>
        <v>30.715696792905245</v>
      </c>
      <c r="N3108" s="774">
        <f t="shared" si="1037"/>
        <v>1.813727342645377</v>
      </c>
      <c r="O3108" s="774">
        <f t="shared" si="1037"/>
        <v>15.782545691264227</v>
      </c>
      <c r="P3108" s="774">
        <f t="shared" si="1037"/>
        <v>21.878287353508561</v>
      </c>
      <c r="Q3108" s="774">
        <f t="shared" si="1037"/>
        <v>15.754861893475503</v>
      </c>
      <c r="R3108" s="775">
        <f t="shared" si="1037"/>
        <v>28.339282897068642</v>
      </c>
    </row>
    <row r="3109" spans="2:18" s="57" customFormat="1" ht="12.5">
      <c r="B3109" s="1753"/>
      <c r="C3109" s="1760"/>
      <c r="D3109" s="774"/>
      <c r="E3109" s="774"/>
      <c r="F3109" s="774"/>
      <c r="G3109" s="774"/>
      <c r="H3109" s="774"/>
      <c r="I3109" s="774"/>
      <c r="J3109" s="775"/>
      <c r="K3109" s="1972"/>
      <c r="L3109" s="774"/>
      <c r="M3109" s="774"/>
      <c r="N3109" s="774"/>
      <c r="O3109" s="774"/>
      <c r="P3109" s="774"/>
      <c r="Q3109" s="774"/>
      <c r="R3109" s="775"/>
    </row>
    <row r="3110" spans="2:18" s="57" customFormat="1" ht="13">
      <c r="B3110" s="1755" t="s">
        <v>1042</v>
      </c>
      <c r="C3110" s="1760"/>
      <c r="D3110" s="774"/>
      <c r="E3110" s="774"/>
      <c r="F3110" s="774"/>
      <c r="G3110" s="774"/>
      <c r="H3110" s="779"/>
      <c r="I3110" s="779"/>
      <c r="J3110" s="780"/>
      <c r="K3110" s="1972"/>
      <c r="L3110" s="774"/>
      <c r="M3110" s="774"/>
      <c r="N3110" s="774"/>
      <c r="O3110" s="774"/>
      <c r="P3110" s="774"/>
      <c r="Q3110" s="774"/>
      <c r="R3110" s="775"/>
    </row>
    <row r="3111" spans="2:18" s="57" customFormat="1" ht="12.5">
      <c r="B3111" s="1756" t="s">
        <v>1352</v>
      </c>
      <c r="C3111" s="1760">
        <f>CL!C530/1000</f>
        <v>2.9320580000000001</v>
      </c>
      <c r="D3111" s="774">
        <f>CL!D530/1000</f>
        <v>3.3653080000000002</v>
      </c>
      <c r="E3111" s="774">
        <f>CL!E530/1000</f>
        <v>3.8467609999999999</v>
      </c>
      <c r="F3111" s="774">
        <f>CL!F530/1000</f>
        <v>4.8968020000000001</v>
      </c>
      <c r="G3111" s="774">
        <f>CL!G530/1000</f>
        <v>4986.2060000000001</v>
      </c>
      <c r="H3111" s="774">
        <f>CL!H530/1000</f>
        <v>4.9050020000000005</v>
      </c>
      <c r="I3111" s="774">
        <f>CL!I530/1000</f>
        <v>6.6689999999999996</v>
      </c>
      <c r="J3111" s="775">
        <f>CL!J530/1000</f>
        <v>8.8889150000000008</v>
      </c>
      <c r="K3111" s="1972">
        <v>2.5723029475310324</v>
      </c>
      <c r="L3111" s="774">
        <f>IFERROR((D3111/C3111-1)*100,0)</f>
        <v>14.776310700538664</v>
      </c>
      <c r="M3111" s="774">
        <f t="shared" ref="M3111:R3112" si="1039">IFERROR((E3111/D3111-1)*100,0)</f>
        <v>14.306357694451721</v>
      </c>
      <c r="N3111" s="774">
        <f t="shared" si="1039"/>
        <v>27.296756933950416</v>
      </c>
      <c r="O3111" s="774">
        <f t="shared" si="1039"/>
        <v>101725.76301839446</v>
      </c>
      <c r="P3111" s="774">
        <f t="shared" si="1039"/>
        <v>-99.90162857290693</v>
      </c>
      <c r="Q3111" s="774">
        <f t="shared" si="1039"/>
        <v>35.963247313660609</v>
      </c>
      <c r="R3111" s="775">
        <f t="shared" si="1039"/>
        <v>33.287074523916658</v>
      </c>
    </row>
    <row r="3112" spans="2:18" s="57" customFormat="1" ht="12.5">
      <c r="B3112" s="1757" t="s">
        <v>1353</v>
      </c>
      <c r="C3112" s="1760">
        <f>CL!C573/1000</f>
        <v>0</v>
      </c>
      <c r="D3112" s="774">
        <f>CL!D573/1000</f>
        <v>0</v>
      </c>
      <c r="E3112" s="774">
        <f>CL!E573/1000</f>
        <v>1.3002000000000001E-2</v>
      </c>
      <c r="F3112" s="774">
        <f>CL!F573/1000</f>
        <v>1.2829E-2</v>
      </c>
      <c r="G3112" s="774">
        <f>CL!G573/1000</f>
        <v>1.2448000000000001E-2</v>
      </c>
      <c r="H3112" s="774">
        <f>CL!H573/1000</f>
        <v>1.0988E-2</v>
      </c>
      <c r="I3112" s="774">
        <f>CL!I573/1000</f>
        <v>8.5769999999999996E-3</v>
      </c>
      <c r="J3112" s="775">
        <f>CL!J573/1000</f>
        <v>8.4979999999999986E-3</v>
      </c>
      <c r="K3112" s="1972">
        <v>0</v>
      </c>
      <c r="L3112" s="774">
        <f>IFERROR((D3112/C3112-1)*100,0)</f>
        <v>0</v>
      </c>
      <c r="M3112" s="774">
        <f t="shared" si="1039"/>
        <v>0</v>
      </c>
      <c r="N3112" s="774">
        <f t="shared" si="1039"/>
        <v>-1.3305645285340839</v>
      </c>
      <c r="O3112" s="774">
        <f t="shared" si="1039"/>
        <v>-2.9698339699119169</v>
      </c>
      <c r="P3112" s="774">
        <f t="shared" si="1039"/>
        <v>-11.728791773778935</v>
      </c>
      <c r="Q3112" s="774">
        <f t="shared" si="1039"/>
        <v>-21.942118674918099</v>
      </c>
      <c r="R3112" s="775">
        <f t="shared" si="1039"/>
        <v>-0.92106797248456829</v>
      </c>
    </row>
    <row r="3113" spans="2:18" s="57" customFormat="1" ht="12.5">
      <c r="B3113" s="1757"/>
      <c r="C3113" s="1760"/>
      <c r="D3113" s="774"/>
      <c r="E3113" s="774"/>
      <c r="F3113" s="774"/>
      <c r="G3113" s="774"/>
      <c r="H3113" s="779"/>
      <c r="I3113" s="779"/>
      <c r="J3113" s="780"/>
      <c r="K3113" s="1973"/>
      <c r="L3113" s="774"/>
      <c r="M3113" s="774"/>
      <c r="N3113" s="774"/>
      <c r="O3113" s="774"/>
      <c r="P3113" s="774"/>
      <c r="Q3113" s="774"/>
      <c r="R3113" s="775"/>
    </row>
    <row r="3114" spans="2:18" s="57" customFormat="1" ht="13">
      <c r="B3114" s="1755" t="s">
        <v>1043</v>
      </c>
      <c r="C3114" s="1760"/>
      <c r="D3114" s="774"/>
      <c r="E3114" s="774"/>
      <c r="F3114" s="774"/>
      <c r="G3114" s="774"/>
      <c r="H3114" s="779"/>
      <c r="I3114" s="779"/>
      <c r="J3114" s="780"/>
      <c r="K3114" s="1973"/>
      <c r="L3114" s="774"/>
      <c r="M3114" s="774"/>
      <c r="N3114" s="774"/>
      <c r="O3114" s="774"/>
      <c r="P3114" s="774"/>
      <c r="Q3114" s="774"/>
      <c r="R3114" s="775"/>
    </row>
    <row r="3115" spans="2:18" s="57" customFormat="1" ht="12.5">
      <c r="B3115" s="1753" t="s">
        <v>620</v>
      </c>
      <c r="C3115" s="1760">
        <f>CO!C754/1000</f>
        <v>3.5562055199999998</v>
      </c>
      <c r="D3115" s="774">
        <f>CO!D754/1000</f>
        <v>3.9969200000000003</v>
      </c>
      <c r="E3115" s="774">
        <f>CO!E754/1000</f>
        <v>5.2559597144400003</v>
      </c>
      <c r="F3115" s="774">
        <f>CO!F754/1000</f>
        <v>11.506845826320001</v>
      </c>
      <c r="G3115" s="774">
        <f>CO!G754/1000</f>
        <v>12.421923319199999</v>
      </c>
      <c r="H3115" s="774">
        <f>CO!H754/1000</f>
        <v>11.7207244888</v>
      </c>
      <c r="I3115" s="774">
        <f>CO!I754/1000</f>
        <v>12.4776237964</v>
      </c>
      <c r="J3115" s="775">
        <f>CO!J754/1000</f>
        <v>8.8066754331599988</v>
      </c>
      <c r="K3115" s="1972">
        <v>21.850053308330466</v>
      </c>
      <c r="L3115" s="774">
        <f>IFERROR((D3115/C3115-1)*100,0)</f>
        <v>12.392829309820108</v>
      </c>
      <c r="M3115" s="774">
        <f t="shared" ref="M3115:R3116" si="1040">IFERROR((E3115/D3115-1)*100,0)</f>
        <v>31.500248052000046</v>
      </c>
      <c r="N3115" s="774">
        <f t="shared" si="1040"/>
        <v>118.92949054968179</v>
      </c>
      <c r="O3115" s="774">
        <f t="shared" si="1040"/>
        <v>7.9524615754120065</v>
      </c>
      <c r="P3115" s="774">
        <f t="shared" si="1040"/>
        <v>-5.6448491298943022</v>
      </c>
      <c r="Q3115" s="774">
        <f t="shared" si="1040"/>
        <v>6.4577860210200511</v>
      </c>
      <c r="R3115" s="775">
        <f t="shared" si="1040"/>
        <v>-29.420251989798974</v>
      </c>
    </row>
    <row r="3116" spans="2:18" s="57" customFormat="1" ht="12.5">
      <c r="B3116" s="1753" t="s">
        <v>622</v>
      </c>
      <c r="C3116" s="1760">
        <f>CO!C799/1000</f>
        <v>0.35114497256635913</v>
      </c>
      <c r="D3116" s="774">
        <f>CO!D799/1000</f>
        <v>0.42993000000000003</v>
      </c>
      <c r="E3116" s="774">
        <f>CO!E799/1000</f>
        <v>0.53153899999999998</v>
      </c>
      <c r="F3116" s="774">
        <f>CO!F799/1000</f>
        <v>0.39432899999999999</v>
      </c>
      <c r="G3116" s="774">
        <f>CO!G799/1000</f>
        <v>0.41091300000000003</v>
      </c>
      <c r="H3116" s="774">
        <f>CO!H799/1000</f>
        <v>0.43560500000000002</v>
      </c>
      <c r="I3116" s="774">
        <f>CO!I799/1000</f>
        <v>0.36046300000000003</v>
      </c>
      <c r="J3116" s="775">
        <f>CO!J799/1000</f>
        <v>0</v>
      </c>
      <c r="K3116" s="1972">
        <v>6.7330643013408951</v>
      </c>
      <c r="L3116" s="774">
        <f>IFERROR((D3116/C3116-1)*100,0)</f>
        <v>22.436609830360645</v>
      </c>
      <c r="M3116" s="774">
        <f t="shared" si="1040"/>
        <v>23.63384737050216</v>
      </c>
      <c r="N3116" s="774">
        <f t="shared" si="1040"/>
        <v>-25.813722041092003</v>
      </c>
      <c r="O3116" s="774">
        <f t="shared" si="1040"/>
        <v>4.205625252010381</v>
      </c>
      <c r="P3116" s="774">
        <f t="shared" si="1040"/>
        <v>6.0090578784316895</v>
      </c>
      <c r="Q3116" s="774">
        <f t="shared" si="1040"/>
        <v>-17.250031565294243</v>
      </c>
      <c r="R3116" s="775">
        <f t="shared" si="1040"/>
        <v>-100</v>
      </c>
    </row>
    <row r="3117" spans="2:18" s="57" customFormat="1" ht="12.5">
      <c r="B3117" s="1753"/>
      <c r="C3117" s="1760"/>
      <c r="D3117" s="774"/>
      <c r="E3117" s="774"/>
      <c r="F3117" s="774"/>
      <c r="G3117" s="774"/>
      <c r="H3117" s="779"/>
      <c r="I3117" s="779"/>
      <c r="J3117" s="780"/>
      <c r="K3117" s="1973"/>
      <c r="L3117" s="774"/>
      <c r="M3117" s="774"/>
      <c r="N3117" s="774"/>
      <c r="O3117" s="774"/>
      <c r="P3117" s="774"/>
      <c r="Q3117" s="774"/>
      <c r="R3117" s="775"/>
    </row>
    <row r="3118" spans="2:18" s="57" customFormat="1" ht="13">
      <c r="B3118" s="1755" t="s">
        <v>1044</v>
      </c>
      <c r="C3118" s="1760"/>
      <c r="D3118" s="774"/>
      <c r="E3118" s="774"/>
      <c r="F3118" s="774"/>
      <c r="G3118" s="774"/>
      <c r="H3118" s="779"/>
      <c r="I3118" s="779"/>
      <c r="J3118" s="780"/>
      <c r="K3118" s="1973"/>
      <c r="L3118" s="774"/>
      <c r="M3118" s="774"/>
      <c r="N3118" s="774"/>
      <c r="O3118" s="774"/>
      <c r="P3118" s="774"/>
      <c r="Q3118" s="774"/>
      <c r="R3118" s="775"/>
    </row>
    <row r="3119" spans="2:18" s="57" customFormat="1" ht="12.5">
      <c r="B3119" s="1753" t="s">
        <v>1317</v>
      </c>
      <c r="C3119" s="1760">
        <f>CR!C611/1000</f>
        <v>90.587999999999994</v>
      </c>
      <c r="D3119" s="774">
        <f>CR!D611/1000</f>
        <v>96.956999999999994</v>
      </c>
      <c r="E3119" s="774">
        <f>CR!E611/1000</f>
        <v>89.831000000000003</v>
      </c>
      <c r="F3119" s="774">
        <f>CR!F611/1000</f>
        <v>84.435000000000002</v>
      </c>
      <c r="G3119" s="774">
        <f>CR!G611/1000</f>
        <v>101.67499999999998</v>
      </c>
      <c r="H3119" s="774">
        <f>CR!H611/1000</f>
        <v>104.476</v>
      </c>
      <c r="I3119" s="774">
        <f>CR!I611/1000</f>
        <v>69.058000000000007</v>
      </c>
      <c r="J3119" s="775">
        <f>CR!J611/1000</f>
        <v>62.323999999999998</v>
      </c>
      <c r="K3119" s="1972">
        <v>-8.7660637312170326</v>
      </c>
      <c r="L3119" s="774">
        <f>IFERROR((D3119/C3119-1)*100,0)</f>
        <v>7.0307325473572657</v>
      </c>
      <c r="M3119" s="774">
        <f t="shared" ref="M3119:R3120" si="1041">IFERROR((E3119/D3119-1)*100,0)</f>
        <v>-7.3496498447765397</v>
      </c>
      <c r="N3119" s="774">
        <f t="shared" si="1041"/>
        <v>-6.0068350569402522</v>
      </c>
      <c r="O3119" s="774">
        <f t="shared" si="1041"/>
        <v>20.418073073962194</v>
      </c>
      <c r="P3119" s="774">
        <f t="shared" si="1041"/>
        <v>2.7548561593312204</v>
      </c>
      <c r="Q3119" s="774">
        <f t="shared" si="1041"/>
        <v>-33.900608752249319</v>
      </c>
      <c r="R3119" s="775">
        <f t="shared" si="1041"/>
        <v>-9.7512236091401583</v>
      </c>
    </row>
    <row r="3120" spans="2:18" s="57" customFormat="1" ht="12.5">
      <c r="B3120" s="1753" t="s">
        <v>1354</v>
      </c>
      <c r="C3120" s="1760">
        <f>CR!C654/1000</f>
        <v>0</v>
      </c>
      <c r="D3120" s="774">
        <f>CR!D654/1000</f>
        <v>0</v>
      </c>
      <c r="E3120" s="774">
        <f>CR!E654/1000</f>
        <v>3.0000000000000001E-6</v>
      </c>
      <c r="F3120" s="774">
        <f>CR!F654/1000</f>
        <v>1.7999999999999997E-5</v>
      </c>
      <c r="G3120" s="774">
        <f>CR!G654/1000</f>
        <v>2.8E-5</v>
      </c>
      <c r="H3120" s="774">
        <f>CR!H654/1000</f>
        <v>5.8E-4</v>
      </c>
      <c r="I3120" s="774">
        <f>CR!I654/1000</f>
        <v>9.41E-4</v>
      </c>
      <c r="J3120" s="775">
        <f>CR!J654/1000</f>
        <v>1.4630000000000001E-3</v>
      </c>
      <c r="K3120" s="1972">
        <v>0</v>
      </c>
      <c r="L3120" s="774">
        <f>IFERROR((D3120/C3120-1)*100,0)</f>
        <v>0</v>
      </c>
      <c r="M3120" s="774">
        <f t="shared" si="1041"/>
        <v>0</v>
      </c>
      <c r="N3120" s="774">
        <f t="shared" si="1041"/>
        <v>499.99999999999989</v>
      </c>
      <c r="O3120" s="774">
        <f t="shared" si="1041"/>
        <v>55.555555555555578</v>
      </c>
      <c r="P3120" s="774">
        <f t="shared" si="1041"/>
        <v>1971.4285714285716</v>
      </c>
      <c r="Q3120" s="774">
        <f t="shared" si="1041"/>
        <v>62.241379310344833</v>
      </c>
      <c r="R3120" s="775">
        <f t="shared" si="1041"/>
        <v>55.472901168969187</v>
      </c>
    </row>
    <row r="3121" spans="2:18" s="57" customFormat="1" ht="12.5">
      <c r="B3121" s="1753"/>
      <c r="C3121" s="1760"/>
      <c r="D3121" s="774"/>
      <c r="E3121" s="774"/>
      <c r="F3121" s="774"/>
      <c r="G3121" s="774"/>
      <c r="H3121" s="774"/>
      <c r="I3121" s="774"/>
      <c r="J3121" s="775"/>
      <c r="K3121" s="1972"/>
      <c r="L3121" s="774"/>
      <c r="M3121" s="774"/>
      <c r="N3121" s="774"/>
      <c r="O3121" s="774"/>
      <c r="P3121" s="774"/>
      <c r="Q3121" s="774"/>
      <c r="R3121" s="775"/>
    </row>
    <row r="3122" spans="2:18" s="57" customFormat="1" ht="13">
      <c r="B3122" s="1754" t="s">
        <v>1061</v>
      </c>
      <c r="C3122" s="1760"/>
      <c r="D3122" s="774"/>
      <c r="E3122" s="774"/>
      <c r="F3122" s="774"/>
      <c r="G3122" s="774"/>
      <c r="H3122" s="774"/>
      <c r="I3122" s="774"/>
      <c r="J3122" s="775"/>
      <c r="K3122" s="1972"/>
      <c r="L3122" s="774"/>
      <c r="M3122" s="774"/>
      <c r="N3122" s="774"/>
      <c r="O3122" s="774"/>
      <c r="P3122" s="774"/>
      <c r="Q3122" s="774"/>
      <c r="R3122" s="775"/>
    </row>
    <row r="3123" spans="2:18" s="57" customFormat="1" ht="12.5">
      <c r="B3123" s="1772" t="s">
        <v>486</v>
      </c>
      <c r="C3123" s="1760">
        <f>CW!C520/1000</f>
        <v>0</v>
      </c>
      <c r="D3123" s="774">
        <f>CW!D520/1000</f>
        <v>0</v>
      </c>
      <c r="E3123" s="774">
        <f>CW!E520/1000</f>
        <v>0</v>
      </c>
      <c r="F3123" s="774">
        <f>CW!F520/1000</f>
        <v>0</v>
      </c>
      <c r="G3123" s="774">
        <f>CW!G520/1000</f>
        <v>0</v>
      </c>
      <c r="H3123" s="774">
        <f>CW!H520/1000</f>
        <v>0</v>
      </c>
      <c r="I3123" s="774">
        <f>CW!I520/1000</f>
        <v>0</v>
      </c>
      <c r="J3123" s="775">
        <f>CW!J520/1000</f>
        <v>0</v>
      </c>
      <c r="K3123" s="1760">
        <f>IFERROR((C3123/B3123-1)*100,0)</f>
        <v>0</v>
      </c>
      <c r="L3123" s="774">
        <f t="shared" ref="L3123:R3123" si="1042">IFERROR((D3123/C3123-1)*100,0)</f>
        <v>0</v>
      </c>
      <c r="M3123" s="774">
        <f t="shared" si="1042"/>
        <v>0</v>
      </c>
      <c r="N3123" s="774">
        <f t="shared" si="1042"/>
        <v>0</v>
      </c>
      <c r="O3123" s="774">
        <f t="shared" si="1042"/>
        <v>0</v>
      </c>
      <c r="P3123" s="774">
        <f t="shared" si="1042"/>
        <v>0</v>
      </c>
      <c r="Q3123" s="774">
        <f t="shared" si="1042"/>
        <v>0</v>
      </c>
      <c r="R3123" s="775">
        <f t="shared" si="1042"/>
        <v>0</v>
      </c>
    </row>
    <row r="3124" spans="2:18" s="57" customFormat="1" ht="12.5">
      <c r="B3124" s="1772"/>
      <c r="C3124" s="1760"/>
      <c r="D3124" s="774"/>
      <c r="E3124" s="774"/>
      <c r="F3124" s="774"/>
      <c r="G3124" s="774"/>
      <c r="H3124" s="774"/>
      <c r="I3124" s="774"/>
      <c r="J3124" s="775"/>
      <c r="K3124" s="1972"/>
      <c r="L3124" s="774"/>
      <c r="M3124" s="774"/>
      <c r="N3124" s="774"/>
      <c r="O3124" s="774"/>
      <c r="P3124" s="774"/>
      <c r="Q3124" s="774"/>
      <c r="R3124" s="775"/>
    </row>
    <row r="3125" spans="2:18" s="57" customFormat="1" ht="13">
      <c r="B3125" s="1754" t="s">
        <v>1047</v>
      </c>
      <c r="C3125" s="1760"/>
      <c r="D3125" s="774"/>
      <c r="E3125" s="774"/>
      <c r="F3125" s="774"/>
      <c r="G3125" s="774"/>
      <c r="H3125" s="774"/>
      <c r="I3125" s="774"/>
      <c r="J3125" s="775"/>
      <c r="K3125" s="1972"/>
      <c r="L3125" s="774"/>
      <c r="M3125" s="774"/>
      <c r="N3125" s="774"/>
      <c r="O3125" s="774"/>
      <c r="P3125" s="774"/>
      <c r="Q3125" s="774"/>
      <c r="R3125" s="775"/>
    </row>
    <row r="3126" spans="2:18" s="57" customFormat="1" ht="12.5">
      <c r="B3126" s="1968" t="s">
        <v>697</v>
      </c>
      <c r="C3126" s="1967">
        <f>EC!C555/1000</f>
        <v>3.8839999999999999E-3</v>
      </c>
      <c r="D3126" s="1978">
        <f>EC!D555/1000</f>
        <v>3.9039999999999999E-3</v>
      </c>
      <c r="E3126" s="1978">
        <f>EC!E555/1000</f>
        <v>5.4050000000000001E-3</v>
      </c>
      <c r="F3126" s="1978">
        <f>EC!F555/1000</f>
        <v>6.084E-3</v>
      </c>
      <c r="G3126" s="1978">
        <f>EC!G555/1000</f>
        <v>4.0759999999999998E-3</v>
      </c>
      <c r="H3126" s="1978">
        <f>EC!H555/1000</f>
        <v>8.4930000000000005E-3</v>
      </c>
      <c r="I3126" s="1978">
        <f>EC!I555/1000</f>
        <v>7.8589999999999997E-3</v>
      </c>
      <c r="J3126" s="1979">
        <f>EC!J555/1000</f>
        <v>7.4889999999999999</v>
      </c>
      <c r="K3126" s="1760">
        <f>IFERROR((C3126/B3126-1)*100,0)</f>
        <v>0</v>
      </c>
      <c r="L3126" s="774">
        <f t="shared" ref="L3126:R3126" si="1043">IFERROR((D3126/C3126-1)*100,0)</f>
        <v>0.51493305870236039</v>
      </c>
      <c r="M3126" s="774">
        <f t="shared" si="1043"/>
        <v>38.447745901639351</v>
      </c>
      <c r="N3126" s="774">
        <f t="shared" si="1043"/>
        <v>12.562442183163736</v>
      </c>
      <c r="O3126" s="774">
        <f t="shared" si="1043"/>
        <v>-33.004602235371472</v>
      </c>
      <c r="P3126" s="774">
        <f t="shared" si="1043"/>
        <v>108.3660451422964</v>
      </c>
      <c r="Q3126" s="774">
        <f t="shared" si="1043"/>
        <v>-7.4649711527140061</v>
      </c>
      <c r="R3126" s="775">
        <f t="shared" si="1043"/>
        <v>95192.021885736103</v>
      </c>
    </row>
    <row r="3127" spans="2:18" s="57" customFormat="1" ht="12.5">
      <c r="B3127" s="1772"/>
      <c r="C3127" s="1760"/>
      <c r="D3127" s="774"/>
      <c r="E3127" s="774"/>
      <c r="F3127" s="774"/>
      <c r="G3127" s="774"/>
      <c r="H3127" s="774"/>
      <c r="I3127" s="774"/>
      <c r="J3127" s="775"/>
      <c r="K3127" s="1972"/>
      <c r="L3127" s="774"/>
      <c r="M3127" s="774"/>
      <c r="N3127" s="774"/>
      <c r="O3127" s="774"/>
      <c r="P3127" s="774"/>
      <c r="Q3127" s="774"/>
      <c r="R3127" s="775"/>
    </row>
    <row r="3128" spans="2:18" s="57" customFormat="1" ht="13">
      <c r="B3128" s="1754" t="s">
        <v>1048</v>
      </c>
      <c r="C3128" s="1760"/>
      <c r="D3128" s="774"/>
      <c r="E3128" s="774"/>
      <c r="F3128" s="774"/>
      <c r="G3128" s="774"/>
      <c r="H3128" s="774"/>
      <c r="I3128" s="774"/>
      <c r="J3128" s="775"/>
      <c r="K3128" s="1972"/>
      <c r="L3128" s="774"/>
      <c r="M3128" s="774"/>
      <c r="N3128" s="774"/>
      <c r="O3128" s="774"/>
      <c r="P3128" s="774"/>
      <c r="Q3128" s="774"/>
      <c r="R3128" s="775"/>
    </row>
    <row r="3129" spans="2:18" s="57" customFormat="1" ht="12.5">
      <c r="B3129" s="1772" t="s">
        <v>697</v>
      </c>
      <c r="C3129" s="1760">
        <f>SV!C519/1000</f>
        <v>0</v>
      </c>
      <c r="D3129" s="774">
        <f>SV!D519/1000</f>
        <v>0</v>
      </c>
      <c r="E3129" s="774">
        <f>SV!E519/1000</f>
        <v>0</v>
      </c>
      <c r="F3129" s="774">
        <f>SV!F519/1000</f>
        <v>0</v>
      </c>
      <c r="G3129" s="774">
        <f>SV!G519/1000</f>
        <v>0</v>
      </c>
      <c r="H3129" s="774">
        <f>SV!H519/1000</f>
        <v>0</v>
      </c>
      <c r="I3129" s="774">
        <f>SV!I519/1000</f>
        <v>0</v>
      </c>
      <c r="J3129" s="775">
        <f>SV!J519/1000</f>
        <v>0</v>
      </c>
      <c r="K3129" s="1760">
        <f>IFERROR((C3129/B3129-1)*100,0)</f>
        <v>0</v>
      </c>
      <c r="L3129" s="774">
        <f t="shared" ref="L3129:R3129" si="1044">IFERROR((D3129/C3129-1)*100,0)</f>
        <v>0</v>
      </c>
      <c r="M3129" s="774">
        <f t="shared" si="1044"/>
        <v>0</v>
      </c>
      <c r="N3129" s="774">
        <f t="shared" si="1044"/>
        <v>0</v>
      </c>
      <c r="O3129" s="774">
        <f t="shared" si="1044"/>
        <v>0</v>
      </c>
      <c r="P3129" s="774">
        <f t="shared" si="1044"/>
        <v>0</v>
      </c>
      <c r="Q3129" s="774">
        <f t="shared" si="1044"/>
        <v>0</v>
      </c>
      <c r="R3129" s="775">
        <f t="shared" si="1044"/>
        <v>0</v>
      </c>
    </row>
    <row r="3130" spans="2:18" s="57" customFormat="1" ht="12.5">
      <c r="B3130" s="1758"/>
      <c r="C3130" s="1760"/>
      <c r="D3130" s="774"/>
      <c r="E3130" s="774"/>
      <c r="F3130" s="774"/>
      <c r="G3130" s="774"/>
      <c r="H3130" s="774"/>
      <c r="I3130" s="774"/>
      <c r="J3130" s="775"/>
      <c r="K3130" s="1972"/>
      <c r="L3130" s="774"/>
      <c r="M3130" s="774"/>
      <c r="N3130" s="774"/>
      <c r="O3130" s="774"/>
      <c r="P3130" s="774"/>
      <c r="Q3130" s="774"/>
      <c r="R3130" s="775"/>
    </row>
    <row r="3131" spans="2:18" s="57" customFormat="1" ht="13">
      <c r="B3131" s="1754" t="s">
        <v>1049</v>
      </c>
      <c r="C3131" s="1760"/>
      <c r="D3131" s="774"/>
      <c r="E3131" s="774"/>
      <c r="F3131" s="774"/>
      <c r="G3131" s="774"/>
      <c r="H3131" s="774"/>
      <c r="I3131" s="774"/>
      <c r="J3131" s="775"/>
      <c r="K3131" s="1972"/>
      <c r="L3131" s="774"/>
      <c r="M3131" s="774"/>
      <c r="N3131" s="774"/>
      <c r="O3131" s="774"/>
      <c r="P3131" s="774"/>
      <c r="Q3131" s="774"/>
      <c r="R3131" s="775"/>
    </row>
    <row r="3132" spans="2:18" s="57" customFormat="1" ht="12.5">
      <c r="B3132" s="1753" t="s">
        <v>698</v>
      </c>
      <c r="C3132" s="1760">
        <f>GT!C777/1000</f>
        <v>0</v>
      </c>
      <c r="D3132" s="774">
        <f>GT!D777/1000</f>
        <v>0</v>
      </c>
      <c r="E3132" s="774">
        <f>GT!E777/1000</f>
        <v>0</v>
      </c>
      <c r="F3132" s="774">
        <f>GT!F777/1000</f>
        <v>0</v>
      </c>
      <c r="G3132" s="774">
        <f>GT!G777/1000</f>
        <v>0</v>
      </c>
      <c r="H3132" s="774">
        <f>GT!H777/1000</f>
        <v>0</v>
      </c>
      <c r="I3132" s="774">
        <f>GT!I777/1000</f>
        <v>0</v>
      </c>
      <c r="J3132" s="775">
        <f>GT!J777/1000</f>
        <v>0</v>
      </c>
      <c r="K3132" s="1760">
        <f>IFERROR((C3132/B3132-1)*100,0)</f>
        <v>0</v>
      </c>
      <c r="L3132" s="774">
        <f t="shared" ref="L3132:R3132" si="1045">IFERROR((D3132/C3132-1)*100,0)</f>
        <v>0</v>
      </c>
      <c r="M3132" s="774">
        <f t="shared" si="1045"/>
        <v>0</v>
      </c>
      <c r="N3132" s="774">
        <f t="shared" si="1045"/>
        <v>0</v>
      </c>
      <c r="O3132" s="774">
        <f t="shared" si="1045"/>
        <v>0</v>
      </c>
      <c r="P3132" s="774">
        <f t="shared" si="1045"/>
        <v>0</v>
      </c>
      <c r="Q3132" s="774">
        <f t="shared" si="1045"/>
        <v>0</v>
      </c>
      <c r="R3132" s="775">
        <f t="shared" si="1045"/>
        <v>0</v>
      </c>
    </row>
    <row r="3133" spans="2:18" s="57" customFormat="1" ht="12.5">
      <c r="B3133" s="1753"/>
      <c r="C3133" s="1760"/>
      <c r="D3133" s="774"/>
      <c r="E3133" s="774"/>
      <c r="F3133" s="774"/>
      <c r="G3133" s="774"/>
      <c r="H3133" s="774"/>
      <c r="I3133" s="774"/>
      <c r="J3133" s="775"/>
      <c r="K3133" s="1972"/>
      <c r="L3133" s="774"/>
      <c r="M3133" s="774"/>
      <c r="N3133" s="774"/>
      <c r="O3133" s="774"/>
      <c r="P3133" s="774"/>
      <c r="Q3133" s="774"/>
      <c r="R3133" s="775"/>
    </row>
    <row r="3134" spans="2:18" s="57" customFormat="1" ht="13">
      <c r="B3134" s="1754" t="s">
        <v>1050</v>
      </c>
      <c r="C3134" s="1760"/>
      <c r="D3134" s="774"/>
      <c r="E3134" s="774"/>
      <c r="F3134" s="774"/>
      <c r="G3134" s="774"/>
      <c r="H3134" s="774"/>
      <c r="I3134" s="774"/>
      <c r="J3134" s="775"/>
      <c r="K3134" s="1972"/>
      <c r="L3134" s="774"/>
      <c r="M3134" s="774"/>
      <c r="N3134" s="774"/>
      <c r="O3134" s="774"/>
      <c r="P3134" s="774"/>
      <c r="Q3134" s="774"/>
      <c r="R3134" s="775"/>
    </row>
    <row r="3135" spans="2:18" s="57" customFormat="1" ht="12.5">
      <c r="B3135" s="1753" t="s">
        <v>486</v>
      </c>
      <c r="C3135" s="1760">
        <f>HN!C634/1000</f>
        <v>0</v>
      </c>
      <c r="D3135" s="774">
        <f>HN!D634/1000</f>
        <v>0</v>
      </c>
      <c r="E3135" s="774">
        <f>HN!E634/1000</f>
        <v>0</v>
      </c>
      <c r="F3135" s="774">
        <f>HN!F634/1000</f>
        <v>0</v>
      </c>
      <c r="G3135" s="774">
        <f>HN!G634/1000</f>
        <v>0</v>
      </c>
      <c r="H3135" s="774">
        <f>HN!H634/1000</f>
        <v>0</v>
      </c>
      <c r="I3135" s="774">
        <f>HN!I634/1000</f>
        <v>0</v>
      </c>
      <c r="J3135" s="775">
        <f>HN!J634/1000</f>
        <v>0</v>
      </c>
      <c r="K3135" s="1760">
        <f>IFERROR((C3135/B3135-1)*100,0)</f>
        <v>0</v>
      </c>
      <c r="L3135" s="774">
        <f t="shared" ref="L3135:R3135" si="1046">IFERROR((D3135/C3135-1)*100,0)</f>
        <v>0</v>
      </c>
      <c r="M3135" s="774">
        <f t="shared" si="1046"/>
        <v>0</v>
      </c>
      <c r="N3135" s="774">
        <f t="shared" si="1046"/>
        <v>0</v>
      </c>
      <c r="O3135" s="774">
        <f t="shared" si="1046"/>
        <v>0</v>
      </c>
      <c r="P3135" s="774">
        <f t="shared" si="1046"/>
        <v>0</v>
      </c>
      <c r="Q3135" s="774">
        <f t="shared" si="1046"/>
        <v>0</v>
      </c>
      <c r="R3135" s="775">
        <f t="shared" si="1046"/>
        <v>0</v>
      </c>
    </row>
    <row r="3136" spans="2:18" s="57" customFormat="1" ht="12.5">
      <c r="B3136" s="1753"/>
      <c r="C3136" s="1760"/>
      <c r="D3136" s="774"/>
      <c r="E3136" s="774"/>
      <c r="F3136" s="774"/>
      <c r="G3136" s="774"/>
      <c r="H3136" s="774"/>
      <c r="I3136" s="774"/>
      <c r="J3136" s="775"/>
      <c r="K3136" s="1973"/>
      <c r="L3136" s="774"/>
      <c r="M3136" s="774"/>
      <c r="N3136" s="774"/>
      <c r="O3136" s="774"/>
      <c r="P3136" s="774"/>
      <c r="Q3136" s="774"/>
      <c r="R3136" s="775"/>
    </row>
    <row r="3137" spans="2:18" s="57" customFormat="1" ht="13">
      <c r="B3137" s="1755" t="s">
        <v>1051</v>
      </c>
      <c r="C3137" s="1760"/>
      <c r="D3137" s="774"/>
      <c r="E3137" s="774"/>
      <c r="F3137" s="774"/>
      <c r="G3137" s="774"/>
      <c r="H3137" s="774"/>
      <c r="I3137" s="774"/>
      <c r="J3137" s="775"/>
      <c r="K3137" s="1973"/>
      <c r="L3137" s="774"/>
      <c r="M3137" s="774"/>
      <c r="N3137" s="774"/>
      <c r="O3137" s="774"/>
      <c r="P3137" s="774"/>
      <c r="Q3137" s="774"/>
      <c r="R3137" s="775"/>
    </row>
    <row r="3138" spans="2:18" s="57" customFormat="1" ht="12.5">
      <c r="B3138" s="1753" t="s">
        <v>1355</v>
      </c>
      <c r="C3138" s="1760">
        <f>JM!C626/1000</f>
        <v>1.4763999999999999E-2</v>
      </c>
      <c r="D3138" s="774">
        <f>JM!D626/1000</f>
        <v>1.7108000000000002E-2</v>
      </c>
      <c r="E3138" s="774">
        <f>JM!E626/1000</f>
        <v>2.4972000000000001E-2</v>
      </c>
      <c r="F3138" s="774">
        <f>JM!F626/1000</f>
        <v>2.4133999999999999E-2</v>
      </c>
      <c r="G3138" s="774">
        <f>JM!G626/1000</f>
        <v>1.8582000000000001E-2</v>
      </c>
      <c r="H3138" s="774">
        <f>JM!H626/1000</f>
        <v>1.9272000000000001E-2</v>
      </c>
      <c r="I3138" s="774">
        <f>JM!I626/1000</f>
        <v>1.6963000000000002E-2</v>
      </c>
      <c r="J3138" s="775">
        <f>JM!J626/1000</f>
        <v>1.7072E-2</v>
      </c>
      <c r="K3138" s="1972">
        <v>-5.1583477869853001</v>
      </c>
      <c r="L3138" s="774">
        <f>IFERROR((D3138/C3138-1)*100,0)</f>
        <v>15.876456244920089</v>
      </c>
      <c r="M3138" s="774">
        <f t="shared" ref="M3138:R3139" si="1047">IFERROR((E3138/D3138-1)*100,0)</f>
        <v>45.966799158288516</v>
      </c>
      <c r="N3138" s="774">
        <f t="shared" si="1047"/>
        <v>-3.3557584494634085</v>
      </c>
      <c r="O3138" s="774">
        <f t="shared" si="1047"/>
        <v>-23.004889367697011</v>
      </c>
      <c r="P3138" s="774">
        <f t="shared" si="1047"/>
        <v>3.7132709073296688</v>
      </c>
      <c r="Q3138" s="774">
        <f t="shared" si="1047"/>
        <v>-11.98111249481112</v>
      </c>
      <c r="R3138" s="775">
        <f t="shared" si="1047"/>
        <v>0.64257501621174384</v>
      </c>
    </row>
    <row r="3139" spans="2:18" s="57" customFormat="1" ht="12.5">
      <c r="B3139" s="1753" t="s">
        <v>1318</v>
      </c>
      <c r="C3139" s="1760">
        <f>JM!C669/1000</f>
        <v>20.716000000000001</v>
      </c>
      <c r="D3139" s="774">
        <f>JM!D669/1000</f>
        <v>30.181000000000001</v>
      </c>
      <c r="E3139" s="774">
        <f>JM!E669/1000</f>
        <v>46.332000000000001</v>
      </c>
      <c r="F3139" s="774">
        <f>JM!F669/1000</f>
        <v>67.073999999999998</v>
      </c>
      <c r="G3139" s="774">
        <f>JM!G669/1000</f>
        <v>88.932000000000002</v>
      </c>
      <c r="H3139" s="774">
        <f>JM!H669/1000</f>
        <v>347.17</v>
      </c>
      <c r="I3139" s="774">
        <f>JM!I669/1000</f>
        <v>489.27800000000002</v>
      </c>
      <c r="J3139" s="775">
        <f>JM!J669/1000</f>
        <v>285.63400000000001</v>
      </c>
      <c r="K3139" s="1972">
        <v>-19.213820535818741</v>
      </c>
      <c r="L3139" s="774">
        <f>IFERROR((D3139/C3139-1)*100,0)</f>
        <v>45.689322262985122</v>
      </c>
      <c r="M3139" s="774">
        <f t="shared" si="1047"/>
        <v>53.513800072893545</v>
      </c>
      <c r="N3139" s="774">
        <f t="shared" si="1047"/>
        <v>44.768194768194761</v>
      </c>
      <c r="O3139" s="774">
        <f t="shared" si="1047"/>
        <v>32.587888004293774</v>
      </c>
      <c r="P3139" s="774">
        <f t="shared" si="1047"/>
        <v>290.37691719516039</v>
      </c>
      <c r="Q3139" s="774">
        <f t="shared" si="1047"/>
        <v>40.933260362358496</v>
      </c>
      <c r="R3139" s="775">
        <f t="shared" si="1047"/>
        <v>-41.621327752320767</v>
      </c>
    </row>
    <row r="3140" spans="2:18" s="57" customFormat="1" ht="12.5">
      <c r="B3140" s="1753"/>
      <c r="C3140" s="1760"/>
      <c r="D3140" s="774"/>
      <c r="E3140" s="774"/>
      <c r="F3140" s="774"/>
      <c r="G3140" s="774"/>
      <c r="H3140" s="774"/>
      <c r="I3140" s="774"/>
      <c r="J3140" s="775"/>
      <c r="K3140" s="1972"/>
      <c r="L3140" s="774"/>
      <c r="M3140" s="774"/>
      <c r="N3140" s="774"/>
      <c r="O3140" s="774"/>
      <c r="P3140" s="774"/>
      <c r="Q3140" s="774"/>
      <c r="R3140" s="775"/>
    </row>
    <row r="3141" spans="2:18" s="57" customFormat="1" ht="13">
      <c r="B3141" s="1754" t="s">
        <v>1052</v>
      </c>
      <c r="C3141" s="1974"/>
      <c r="D3141" s="125"/>
      <c r="E3141" s="125"/>
      <c r="F3141" s="125"/>
      <c r="G3141" s="125"/>
      <c r="H3141" s="125"/>
      <c r="I3141" s="125"/>
      <c r="J3141" s="1975"/>
      <c r="K3141" s="1974"/>
      <c r="L3141" s="125"/>
      <c r="M3141" s="125"/>
      <c r="N3141" s="125"/>
      <c r="O3141" s="125"/>
      <c r="P3141" s="125"/>
      <c r="Q3141" s="125"/>
      <c r="R3141" s="1975"/>
    </row>
    <row r="3142" spans="2:18" s="57" customFormat="1" ht="12.5">
      <c r="B3142" s="1772" t="s">
        <v>698</v>
      </c>
      <c r="C3142" s="1760">
        <f>RD!C632/1000</f>
        <v>0</v>
      </c>
      <c r="D3142" s="774">
        <f>RD!D632/1000</f>
        <v>0</v>
      </c>
      <c r="E3142" s="774">
        <f>RD!E632/1000</f>
        <v>0</v>
      </c>
      <c r="F3142" s="774">
        <f>RD!F632/1000</f>
        <v>0</v>
      </c>
      <c r="G3142" s="774">
        <f>RD!G632/1000</f>
        <v>0</v>
      </c>
      <c r="H3142" s="774">
        <f>RD!H632/1000</f>
        <v>0</v>
      </c>
      <c r="I3142" s="774">
        <f>RD!I632/1000</f>
        <v>0</v>
      </c>
      <c r="J3142" s="775">
        <f>RD!J632/1000</f>
        <v>0</v>
      </c>
      <c r="K3142" s="1760">
        <f>IFERROR((C3142/B3141-1)*100,0)</f>
        <v>0</v>
      </c>
      <c r="L3142" s="774">
        <f t="shared" ref="L3142:R3142" si="1048">IFERROR((D3142/C3142-1)*100,0)</f>
        <v>0</v>
      </c>
      <c r="M3142" s="774">
        <f>IFERROR((E3142/D3142-1)*100,0)</f>
        <v>0</v>
      </c>
      <c r="N3142" s="774">
        <f t="shared" si="1048"/>
        <v>0</v>
      </c>
      <c r="O3142" s="774">
        <f t="shared" si="1048"/>
        <v>0</v>
      </c>
      <c r="P3142" s="774">
        <f t="shared" si="1048"/>
        <v>0</v>
      </c>
      <c r="Q3142" s="774">
        <f t="shared" si="1048"/>
        <v>0</v>
      </c>
      <c r="R3142" s="775">
        <f t="shared" si="1048"/>
        <v>0</v>
      </c>
    </row>
    <row r="3143" spans="2:18" s="57" customFormat="1" ht="12.5">
      <c r="B3143" s="1772"/>
      <c r="C3143" s="1760"/>
      <c r="D3143" s="774"/>
      <c r="E3143" s="774"/>
      <c r="F3143" s="774"/>
      <c r="G3143" s="774"/>
      <c r="H3143" s="774"/>
      <c r="I3143" s="774"/>
      <c r="J3143" s="775"/>
      <c r="K3143" s="1973"/>
      <c r="L3143" s="774"/>
      <c r="M3143" s="774"/>
      <c r="N3143" s="774"/>
      <c r="O3143" s="774"/>
      <c r="P3143" s="774"/>
      <c r="Q3143" s="774"/>
      <c r="R3143" s="775"/>
    </row>
    <row r="3144" spans="2:18" s="57" customFormat="1" ht="13">
      <c r="B3144" s="1755" t="s">
        <v>1053</v>
      </c>
      <c r="C3144" s="1761"/>
      <c r="D3144" s="777"/>
      <c r="E3144" s="777"/>
      <c r="F3144" s="777"/>
      <c r="G3144" s="777"/>
      <c r="H3144" s="779"/>
      <c r="I3144" s="779"/>
      <c r="J3144" s="780"/>
      <c r="K3144" s="1973"/>
      <c r="L3144" s="774"/>
      <c r="M3144" s="774"/>
      <c r="N3144" s="774"/>
      <c r="O3144" s="774"/>
      <c r="P3144" s="774"/>
      <c r="Q3144" s="774"/>
      <c r="R3144" s="775"/>
    </row>
    <row r="3145" spans="2:18" s="57" customFormat="1" ht="12.5">
      <c r="B3145" s="1758" t="s">
        <v>1356</v>
      </c>
      <c r="C3145" s="1760">
        <f>PY!C996/1000</f>
        <v>3.2440000000000002</v>
      </c>
      <c r="D3145" s="774">
        <f>PY!D996/1000</f>
        <v>4.9420000000000002</v>
      </c>
      <c r="E3145" s="774">
        <f>PY!E996/1000</f>
        <v>7.2249999999999996</v>
      </c>
      <c r="F3145" s="774">
        <f>PY!F996/1000</f>
        <v>5.8570000000000002</v>
      </c>
      <c r="G3145" s="774">
        <f>PY!G996/1000</f>
        <v>5.7050000000000001</v>
      </c>
      <c r="H3145" s="774">
        <f>PY!H996/1000</f>
        <v>9.8089999999999993</v>
      </c>
      <c r="I3145" s="774">
        <f>PY!I996/1000</f>
        <v>10.5</v>
      </c>
      <c r="J3145" s="775">
        <f>PY!J996/1000</f>
        <v>10.5</v>
      </c>
      <c r="K3145" s="1972">
        <v>23.392925066565251</v>
      </c>
      <c r="L3145" s="774">
        <f>IFERROR((D3145/C3145-1)*100,0)</f>
        <v>52.342786683107278</v>
      </c>
      <c r="M3145" s="774">
        <f t="shared" ref="M3145:R3145" si="1049">IFERROR((E3145/D3145-1)*100,0)</f>
        <v>46.195872116551982</v>
      </c>
      <c r="N3145" s="774">
        <f t="shared" si="1049"/>
        <v>-18.934256055363321</v>
      </c>
      <c r="O3145" s="774">
        <f t="shared" si="1049"/>
        <v>-2.595185248420695</v>
      </c>
      <c r="P3145" s="774">
        <f t="shared" si="1049"/>
        <v>71.936897458369842</v>
      </c>
      <c r="Q3145" s="774">
        <f t="shared" si="1049"/>
        <v>7.0445509226220837</v>
      </c>
      <c r="R3145" s="775">
        <f t="shared" si="1049"/>
        <v>0</v>
      </c>
    </row>
    <row r="3146" spans="2:18" s="57" customFormat="1" ht="12.5">
      <c r="B3146" s="1758"/>
      <c r="C3146" s="1761"/>
      <c r="D3146" s="777"/>
      <c r="E3146" s="777"/>
      <c r="F3146" s="777"/>
      <c r="G3146" s="777"/>
      <c r="H3146" s="777"/>
      <c r="I3146" s="777"/>
      <c r="J3146" s="791"/>
      <c r="K3146" s="1972"/>
      <c r="L3146" s="774"/>
      <c r="M3146" s="774"/>
      <c r="N3146" s="774"/>
      <c r="O3146" s="774"/>
      <c r="P3146" s="774"/>
      <c r="Q3146" s="774"/>
      <c r="R3146" s="775"/>
    </row>
    <row r="3147" spans="2:18" s="57" customFormat="1" ht="13">
      <c r="B3147" s="1755" t="s">
        <v>1054</v>
      </c>
      <c r="C3147" s="1761"/>
      <c r="D3147" s="777"/>
      <c r="E3147" s="777"/>
      <c r="F3147" s="777"/>
      <c r="G3147" s="777"/>
      <c r="H3147" s="777"/>
      <c r="I3147" s="777"/>
      <c r="J3147" s="791"/>
      <c r="K3147" s="1972"/>
      <c r="L3147" s="774"/>
      <c r="M3147" s="774"/>
      <c r="N3147" s="774"/>
      <c r="O3147" s="774"/>
      <c r="P3147" s="774"/>
      <c r="Q3147" s="774"/>
      <c r="R3147" s="775"/>
    </row>
    <row r="3148" spans="2:18" s="57" customFormat="1" ht="12.5">
      <c r="B3148" s="1759" t="s">
        <v>1294</v>
      </c>
      <c r="C3148" s="1760">
        <f>PE!C591/1000</f>
        <v>0</v>
      </c>
      <c r="D3148" s="774">
        <f>PE!D591/1000</f>
        <v>0</v>
      </c>
      <c r="E3148" s="774">
        <f>PE!E591/1000</f>
        <v>0</v>
      </c>
      <c r="F3148" s="774">
        <f>PE!F591/1000</f>
        <v>0</v>
      </c>
      <c r="G3148" s="774">
        <f>PE!G591/1000</f>
        <v>0</v>
      </c>
      <c r="H3148" s="774">
        <f>PE!H591/1000</f>
        <v>0</v>
      </c>
      <c r="I3148" s="774">
        <f>PE!I591/1000</f>
        <v>0</v>
      </c>
      <c r="J3148" s="775">
        <f>PE!J591/1000</f>
        <v>0</v>
      </c>
      <c r="K3148" s="1972">
        <v>0</v>
      </c>
      <c r="L3148" s="774">
        <f>IFERROR((D3148/C3148-1)*100,0)</f>
        <v>0</v>
      </c>
      <c r="M3148" s="774">
        <f t="shared" ref="M3148:R3148" si="1050">IFERROR((E3148/D3148-1)*100,0)</f>
        <v>0</v>
      </c>
      <c r="N3148" s="774">
        <f t="shared" si="1050"/>
        <v>0</v>
      </c>
      <c r="O3148" s="774">
        <f t="shared" si="1050"/>
        <v>0</v>
      </c>
      <c r="P3148" s="774">
        <f t="shared" si="1050"/>
        <v>0</v>
      </c>
      <c r="Q3148" s="774">
        <f t="shared" si="1050"/>
        <v>0</v>
      </c>
      <c r="R3148" s="775">
        <f t="shared" si="1050"/>
        <v>0</v>
      </c>
    </row>
    <row r="3149" spans="2:18" s="57" customFormat="1" ht="12.5">
      <c r="B3149" s="1758"/>
      <c r="C3149" s="1761"/>
      <c r="D3149" s="777"/>
      <c r="E3149" s="777"/>
      <c r="F3149" s="777"/>
      <c r="G3149" s="777"/>
      <c r="H3149" s="777"/>
      <c r="I3149" s="777"/>
      <c r="J3149" s="791"/>
      <c r="K3149" s="1973"/>
      <c r="L3149" s="774"/>
      <c r="M3149" s="774"/>
      <c r="N3149" s="774"/>
      <c r="O3149" s="774"/>
      <c r="P3149" s="774"/>
      <c r="Q3149" s="774"/>
      <c r="R3149" s="775"/>
    </row>
    <row r="3150" spans="2:18" s="57" customFormat="1" ht="13">
      <c r="B3150" s="1755" t="s">
        <v>1055</v>
      </c>
      <c r="C3150" s="1760"/>
      <c r="D3150" s="774"/>
      <c r="E3150" s="774"/>
      <c r="F3150" s="774"/>
      <c r="G3150" s="774"/>
      <c r="H3150" s="779"/>
      <c r="I3150" s="779"/>
      <c r="J3150" s="780"/>
      <c r="K3150" s="1973"/>
      <c r="L3150" s="774"/>
      <c r="M3150" s="774"/>
      <c r="N3150" s="774"/>
      <c r="O3150" s="774"/>
      <c r="P3150" s="774"/>
      <c r="Q3150" s="774"/>
      <c r="R3150" s="775"/>
    </row>
    <row r="3151" spans="2:18" s="57" customFormat="1" ht="25">
      <c r="B3151" s="1775" t="s">
        <v>1852</v>
      </c>
      <c r="C3151" s="820">
        <f>TT!C681/1000</f>
        <v>1.1793E-2</v>
      </c>
      <c r="D3151" s="821">
        <f>TT!D681/1000</f>
        <v>1.1563E-2</v>
      </c>
      <c r="E3151" s="821">
        <f>TT!E681/1000</f>
        <v>1.2558E-2</v>
      </c>
      <c r="F3151" s="821">
        <f>TT!F681/1000</f>
        <v>1.3173000000000001E-2</v>
      </c>
      <c r="G3151" s="821">
        <f>TT!G681/1000</f>
        <v>1.3992000000000001E-2</v>
      </c>
      <c r="H3151" s="821">
        <f>TT!H681/1000</f>
        <v>1.4316000000000001E-2</v>
      </c>
      <c r="I3151" s="821">
        <f>TT!I681/1000</f>
        <v>1.3691999999999999E-2</v>
      </c>
      <c r="J3151" s="822">
        <f>TT!J681/1000</f>
        <v>1.6841000000000002E-2</v>
      </c>
      <c r="K3151" s="1976">
        <v>0.16137251571257671</v>
      </c>
      <c r="L3151" s="821">
        <f>IFERROR((D3151/C3151-1)*100,0)</f>
        <v>-1.9503095056389363</v>
      </c>
      <c r="M3151" s="821">
        <f t="shared" ref="M3151:R3151" si="1051">IFERROR((E3151/D3151-1)*100,0)</f>
        <v>8.6050332958574671</v>
      </c>
      <c r="N3151" s="821">
        <f t="shared" si="1051"/>
        <v>4.8972766364070885</v>
      </c>
      <c r="O3151" s="821">
        <f t="shared" si="1051"/>
        <v>6.2172625825552386</v>
      </c>
      <c r="P3151" s="821">
        <f t="shared" si="1051"/>
        <v>2.3156089193824947</v>
      </c>
      <c r="Q3151" s="821">
        <f t="shared" si="1051"/>
        <v>-4.3587594300083961</v>
      </c>
      <c r="R3151" s="822">
        <f t="shared" si="1051"/>
        <v>22.998831434414278</v>
      </c>
    </row>
    <row r="3152" spans="2:18" s="57" customFormat="1" ht="12.5">
      <c r="B3152" s="619"/>
      <c r="C3152" s="622"/>
      <c r="D3152" s="622"/>
      <c r="E3152" s="644"/>
      <c r="F3152" s="644"/>
      <c r="G3152" s="644"/>
      <c r="H3152" s="644"/>
      <c r="I3152" s="644"/>
      <c r="J3152" s="644"/>
      <c r="K3152" s="644"/>
      <c r="L3152" s="644"/>
      <c r="M3152" s="644"/>
      <c r="N3152" s="644"/>
      <c r="O3152" s="644"/>
      <c r="P3152" s="644"/>
      <c r="Q3152" s="644"/>
    </row>
    <row r="3153" spans="2:18" s="57" customFormat="1" ht="13">
      <c r="B3153" s="2158" t="s">
        <v>759</v>
      </c>
      <c r="C3153" s="2158"/>
      <c r="D3153" s="2158"/>
      <c r="E3153" s="2158"/>
      <c r="F3153" s="2158"/>
      <c r="G3153" s="2158"/>
      <c r="H3153" s="2158"/>
      <c r="I3153" s="2158"/>
      <c r="J3153" s="2158"/>
      <c r="K3153" s="2158"/>
      <c r="L3153" s="2158"/>
      <c r="M3153" s="2158"/>
      <c r="N3153" s="2158"/>
      <c r="O3153" s="2158"/>
      <c r="P3153" s="2158"/>
      <c r="Q3153" s="2158"/>
      <c r="R3153" s="2158"/>
    </row>
    <row r="3154" spans="2:18" s="57" customFormat="1" ht="13">
      <c r="B3154" s="2159" t="s">
        <v>1357</v>
      </c>
      <c r="C3154" s="2159"/>
      <c r="D3154" s="2159"/>
      <c r="E3154" s="2159"/>
      <c r="F3154" s="2159"/>
      <c r="G3154" s="2159"/>
      <c r="H3154" s="2159"/>
      <c r="I3154" s="2159"/>
      <c r="J3154" s="2159"/>
      <c r="K3154" s="2159"/>
      <c r="L3154" s="2159"/>
      <c r="M3154" s="2159"/>
      <c r="N3154" s="2159"/>
      <c r="O3154" s="2159"/>
      <c r="P3154" s="2159"/>
      <c r="Q3154" s="2159"/>
      <c r="R3154" s="2159"/>
    </row>
    <row r="3155" spans="2:18" s="57" customFormat="1" ht="13">
      <c r="B3155" s="581" t="s">
        <v>1098</v>
      </c>
      <c r="C3155" s="611"/>
      <c r="D3155" s="611"/>
      <c r="E3155" s="644"/>
      <c r="F3155" s="644"/>
      <c r="G3155" s="644"/>
      <c r="H3155" s="644"/>
      <c r="I3155" s="644"/>
      <c r="J3155" s="644"/>
      <c r="K3155" s="644"/>
      <c r="L3155" s="644"/>
      <c r="M3155" s="644"/>
      <c r="N3155" s="644"/>
      <c r="O3155" s="644"/>
      <c r="P3155" s="644"/>
      <c r="Q3155" s="644"/>
    </row>
    <row r="3156" spans="2:18" s="57" customFormat="1" ht="13">
      <c r="B3156" s="612" t="s">
        <v>2157</v>
      </c>
      <c r="C3156" s="613"/>
      <c r="D3156" s="613"/>
      <c r="E3156" s="644"/>
      <c r="F3156" s="644"/>
      <c r="G3156" s="644"/>
      <c r="H3156" s="644"/>
      <c r="I3156" s="644"/>
      <c r="J3156" s="644"/>
      <c r="K3156" s="644"/>
      <c r="L3156" s="644"/>
      <c r="M3156" s="644"/>
      <c r="N3156" s="644"/>
      <c r="O3156" s="644"/>
      <c r="P3156" s="644"/>
      <c r="Q3156" s="644"/>
    </row>
    <row r="3157" spans="2:18" s="57" customFormat="1" ht="12.5">
      <c r="B3157" s="2236" t="s">
        <v>11</v>
      </c>
      <c r="C3157" s="2230" t="s">
        <v>1358</v>
      </c>
      <c r="D3157" s="2231"/>
      <c r="E3157" s="2231"/>
      <c r="F3157" s="2231"/>
      <c r="G3157" s="2231"/>
      <c r="H3157" s="2231"/>
      <c r="I3157" s="2231"/>
      <c r="J3157" s="2232"/>
      <c r="K3157" s="2230" t="s">
        <v>1321</v>
      </c>
      <c r="L3157" s="2231"/>
      <c r="M3157" s="2231"/>
      <c r="N3157" s="2231"/>
      <c r="O3157" s="2231"/>
      <c r="P3157" s="2231"/>
      <c r="Q3157" s="2231"/>
      <c r="R3157" s="2232"/>
    </row>
    <row r="3158" spans="2:18" s="57" customFormat="1" ht="12.5">
      <c r="B3158" s="2256"/>
      <c r="C3158" s="587">
        <v>2014</v>
      </c>
      <c r="D3158" s="588">
        <v>2015</v>
      </c>
      <c r="E3158" s="588">
        <v>2016</v>
      </c>
      <c r="F3158" s="588">
        <v>2017</v>
      </c>
      <c r="G3158" s="588">
        <v>2018</v>
      </c>
      <c r="H3158" s="588">
        <v>2019</v>
      </c>
      <c r="I3158" s="588">
        <v>2020</v>
      </c>
      <c r="J3158" s="588">
        <v>2021</v>
      </c>
      <c r="K3158" s="587">
        <v>2014</v>
      </c>
      <c r="L3158" s="588">
        <v>2015</v>
      </c>
      <c r="M3158" s="588">
        <v>2016</v>
      </c>
      <c r="N3158" s="588">
        <v>2017</v>
      </c>
      <c r="O3158" s="588">
        <v>2018</v>
      </c>
      <c r="P3158" s="588">
        <v>2019</v>
      </c>
      <c r="Q3158" s="588">
        <v>2020</v>
      </c>
      <c r="R3158" s="848">
        <v>2021</v>
      </c>
    </row>
    <row r="3159" spans="2:18" s="57" customFormat="1" ht="13">
      <c r="B3159" s="696" t="s">
        <v>1038</v>
      </c>
      <c r="C3159" s="761"/>
      <c r="D3159" s="755"/>
      <c r="E3159" s="755"/>
      <c r="F3159" s="755"/>
      <c r="G3159" s="755"/>
      <c r="H3159" s="755"/>
      <c r="I3159" s="755"/>
      <c r="J3159" s="755"/>
      <c r="K3159" s="761"/>
      <c r="L3159" s="755"/>
      <c r="M3159" s="755"/>
      <c r="N3159" s="755"/>
      <c r="O3159" s="755"/>
      <c r="P3159" s="755"/>
      <c r="Q3159" s="755"/>
      <c r="R3159" s="756"/>
    </row>
    <row r="3160" spans="2:18" s="57" customFormat="1" ht="25">
      <c r="B3160" s="1752" t="s">
        <v>1338</v>
      </c>
      <c r="C3160" s="1760">
        <f>ARG!C1338/1000</f>
        <v>22.062584143094782</v>
      </c>
      <c r="D3160" s="774">
        <f>ARG!D1338/1000</f>
        <v>17.589319405613217</v>
      </c>
      <c r="E3160" s="774">
        <f>ARG!E1338/1000</f>
        <v>17.682786091639237</v>
      </c>
      <c r="F3160" s="774">
        <f>ARG!F1338/1000</f>
        <v>9.9963698586357879</v>
      </c>
      <c r="G3160" s="774">
        <f>ARG!G1338/1000</f>
        <v>11.587429215278126</v>
      </c>
      <c r="H3160" s="774">
        <f>ARG!H1338/1000</f>
        <v>716.24350056350318</v>
      </c>
      <c r="I3160" s="774">
        <f>ARG!I1338/1000</f>
        <v>128.89677332000565</v>
      </c>
      <c r="J3160" s="774">
        <f>ARG!J1338/1000</f>
        <v>273.49537329283538</v>
      </c>
      <c r="K3160" s="1760">
        <f>C3160/$C$6*100000</f>
        <v>3.7656283722101258</v>
      </c>
      <c r="L3160" s="774">
        <f>D3160/$D$6*100000</f>
        <v>3.4912120142426737</v>
      </c>
      <c r="M3160" s="774">
        <f>E3160/$E$6*100000</f>
        <v>3.1267480975685804</v>
      </c>
      <c r="N3160" s="774">
        <f>F3160/$F$6*100000</f>
        <v>1.6005744022850894</v>
      </c>
      <c r="O3160" s="774">
        <f>G3160/$G$6*100000</f>
        <v>2.6109247134038407</v>
      </c>
      <c r="P3160" s="774">
        <f>H3160/$H$6*100000</f>
        <v>170.37131241763194</v>
      </c>
      <c r="Q3160" s="774">
        <f>I3160/$I$6*100000</f>
        <v>33.250574515434714</v>
      </c>
      <c r="R3160" s="775">
        <f>J3160/$J$6*100000</f>
        <v>51.182686667928621</v>
      </c>
    </row>
    <row r="3161" spans="2:18" s="57" customFormat="1" ht="25">
      <c r="B3161" s="1752" t="s">
        <v>1335</v>
      </c>
      <c r="C3161" s="1760">
        <f>ARG!C1471/1000</f>
        <v>1.2134212081532765</v>
      </c>
      <c r="D3161" s="774">
        <f>ARG!D1471/1000</f>
        <v>1.4071133713679354</v>
      </c>
      <c r="E3161" s="774">
        <f>ARG!E1471/1000</f>
        <v>1.7055090280180401</v>
      </c>
      <c r="F3161" s="774">
        <f>ARG!F1471/1000</f>
        <v>9.7075387237019992</v>
      </c>
      <c r="G3161" s="774">
        <f>ARG!G1471/1000</f>
        <v>1.9939140750261177</v>
      </c>
      <c r="H3161" s="774">
        <f>ARG!H1471/1000</f>
        <v>3.276213043445686</v>
      </c>
      <c r="I3161" s="774">
        <f>ARG!I1471/1000</f>
        <v>10.634524839553125</v>
      </c>
      <c r="J3161" s="774">
        <f>ARG!J1471/1000</f>
        <v>26.690003259726605</v>
      </c>
      <c r="K3161" s="1760">
        <f>C3161/$C$6*100000</f>
        <v>0.20710598990706078</v>
      </c>
      <c r="L3161" s="774">
        <f>D3161/$D$6*100000</f>
        <v>0.27929057368493349</v>
      </c>
      <c r="M3161" s="774">
        <f>E3161/$E$6*100000</f>
        <v>0.30157561603161886</v>
      </c>
      <c r="N3161" s="774">
        <f>F3161/$F$6*100000</f>
        <v>1.5543280420867822</v>
      </c>
      <c r="O3161" s="774">
        <f>G3161/$G$6*100000</f>
        <v>0.44927649077030368</v>
      </c>
      <c r="P3161" s="774">
        <f>H3161/$H$6*100000</f>
        <v>0.77930580247145631</v>
      </c>
      <c r="Q3161" s="774">
        <f t="shared" ref="Q3161:Q3163" si="1052">I3161/$I$6*100000</f>
        <v>2.7433119658932599</v>
      </c>
      <c r="R3161" s="775">
        <f t="shared" ref="R3161:R3163" si="1053">J3161/$J$6*100000</f>
        <v>4.9948416222234</v>
      </c>
    </row>
    <row r="3162" spans="2:18" s="57" customFormat="1" ht="25">
      <c r="B3162" s="1752" t="s">
        <v>1337</v>
      </c>
      <c r="C3162" s="1760">
        <f>ARG!C1426/1000</f>
        <v>76.280685139530817</v>
      </c>
      <c r="D3162" s="774">
        <f>ARG!D1426/1000</f>
        <v>57.477418375590155</v>
      </c>
      <c r="E3162" s="774">
        <f>ARG!E1426/1000</f>
        <v>83.516955123503791</v>
      </c>
      <c r="F3162" s="774">
        <f>ARG!F1426/1000</f>
        <v>136.0252127920231</v>
      </c>
      <c r="G3162" s="774">
        <f>ARG!G1426/1000</f>
        <v>97.839807955451306</v>
      </c>
      <c r="H3162" s="774">
        <f>ARG!H1426/1000</f>
        <v>99.839137700350605</v>
      </c>
      <c r="I3162" s="774">
        <f>ARG!I1426/1000</f>
        <v>71.07542797007369</v>
      </c>
      <c r="J3162" s="774">
        <f>ARG!J1426/1000</f>
        <v>488.71607423860536</v>
      </c>
      <c r="K3162" s="1760">
        <f>C3162/$C$6*100000</f>
        <v>13.01954070067297</v>
      </c>
      <c r="L3162" s="774">
        <f>D3162/$D$6*100000</f>
        <v>11.408392158509281</v>
      </c>
      <c r="M3162" s="774">
        <f>E3162/$E$6*100000</f>
        <v>14.767835746800463</v>
      </c>
      <c r="N3162" s="774">
        <f>F3162/$F$6*100000</f>
        <v>21.779753724519221</v>
      </c>
      <c r="O3162" s="774">
        <f>G3162/$G$6*100000</f>
        <v>22.045646864341343</v>
      </c>
      <c r="P3162" s="774">
        <f>H3162/$H$6*100000</f>
        <v>23.748522544736591</v>
      </c>
      <c r="Q3162" s="774">
        <f t="shared" si="1052"/>
        <v>18.334817490489872</v>
      </c>
      <c r="R3162" s="775">
        <f t="shared" si="1053"/>
        <v>91.459688682016747</v>
      </c>
    </row>
    <row r="3163" spans="2:18" s="57" customFormat="1" ht="25">
      <c r="B3163" s="1752" t="s">
        <v>1341</v>
      </c>
      <c r="C3163" s="1760">
        <f>ARG!C1383/1000</f>
        <v>6.75420688756014</v>
      </c>
      <c r="D3163" s="774">
        <f>ARG!D1383/1000</f>
        <v>3.5052235644653589</v>
      </c>
      <c r="E3163" s="774">
        <f>ARG!E1383/1000</f>
        <v>6.147814402176313</v>
      </c>
      <c r="F3163" s="774">
        <f>ARG!F1383/1000</f>
        <v>5.932052337782701</v>
      </c>
      <c r="G3163" s="774">
        <f>ARG!G1383/1000</f>
        <v>7814.9630107674766</v>
      </c>
      <c r="H3163" s="774">
        <f>ARG!H1383/1000</f>
        <v>177.65176725294421</v>
      </c>
      <c r="I3163" s="774">
        <f>ARG!I1383/1000</f>
        <v>117.07286577611409</v>
      </c>
      <c r="J3163" s="774">
        <f>ARG!J1383/1000</f>
        <v>134.34992944269192</v>
      </c>
      <c r="K3163" s="1760">
        <f>C3163/$C$6*100000</f>
        <v>1.1528039019642162</v>
      </c>
      <c r="L3163" s="774">
        <f>D3163/$D$6*100000</f>
        <v>0.69573349250583771</v>
      </c>
      <c r="M3163" s="774">
        <f>E3163/$E$6*100000</f>
        <v>1.0870836126496126</v>
      </c>
      <c r="N3163" s="774">
        <f>F3163/$F$6*100000</f>
        <v>0.9498139083627466</v>
      </c>
      <c r="O3163" s="774">
        <f>G3163/$G$6*100000</f>
        <v>1760.8979248172209</v>
      </c>
      <c r="P3163" s="774">
        <f>H3163/$H$6*100000</f>
        <v>42.257646619317981</v>
      </c>
      <c r="Q3163" s="774">
        <f t="shared" si="1052"/>
        <v>30.200446038783728</v>
      </c>
      <c r="R3163" s="775">
        <f t="shared" si="1053"/>
        <v>25.142620365869842</v>
      </c>
    </row>
    <row r="3164" spans="2:18" s="57" customFormat="1" ht="12.5">
      <c r="B3164" s="1752"/>
      <c r="C3164" s="1760"/>
      <c r="D3164" s="774"/>
      <c r="E3164" s="774"/>
      <c r="F3164" s="774"/>
      <c r="G3164" s="774"/>
      <c r="H3164" s="774"/>
      <c r="I3164" s="774"/>
      <c r="J3164" s="774"/>
      <c r="K3164" s="1760"/>
      <c r="L3164" s="774"/>
      <c r="M3164" s="774"/>
      <c r="N3164" s="774"/>
      <c r="O3164" s="774"/>
      <c r="P3164" s="774"/>
      <c r="Q3164" s="774"/>
      <c r="R3164" s="775"/>
    </row>
    <row r="3165" spans="2:18" s="57" customFormat="1" ht="13">
      <c r="B3165" s="1754" t="s">
        <v>1039</v>
      </c>
      <c r="C3165" s="1760"/>
      <c r="D3165" s="774"/>
      <c r="E3165" s="774"/>
      <c r="F3165" s="774"/>
      <c r="G3165" s="774"/>
      <c r="H3165" s="774"/>
      <c r="I3165" s="774"/>
      <c r="J3165" s="774"/>
      <c r="K3165" s="1760"/>
      <c r="L3165" s="774"/>
      <c r="M3165" s="774"/>
      <c r="N3165" s="774"/>
      <c r="O3165" s="774"/>
      <c r="P3165" s="774"/>
      <c r="Q3165" s="774"/>
      <c r="R3165" s="775"/>
    </row>
    <row r="3166" spans="2:18" s="57" customFormat="1" ht="12.5">
      <c r="B3166" s="1908" t="s">
        <v>1889</v>
      </c>
      <c r="C3166" s="1760">
        <f>BA!C540/1000</f>
        <v>0</v>
      </c>
      <c r="D3166" s="774">
        <f>BA!D540/1000</f>
        <v>0</v>
      </c>
      <c r="E3166" s="774">
        <f>BA!E540/1000</f>
        <v>0</v>
      </c>
      <c r="F3166" s="774">
        <f>BA!F540/1000</f>
        <v>0</v>
      </c>
      <c r="G3166" s="774">
        <f>BA!G540/1000</f>
        <v>0</v>
      </c>
      <c r="H3166" s="774">
        <f>BA!H540/1000</f>
        <v>0</v>
      </c>
      <c r="I3166" s="774">
        <f>BA!I540/1000</f>
        <v>0</v>
      </c>
      <c r="J3166" s="774">
        <f>BA!J540/1000</f>
        <v>0</v>
      </c>
      <c r="K3166" s="1760">
        <f>C3166/C7*100000</f>
        <v>0</v>
      </c>
      <c r="L3166" s="774">
        <f t="shared" ref="L3166:R3166" si="1054">D3166/D7*100000</f>
        <v>0</v>
      </c>
      <c r="M3166" s="774">
        <f t="shared" si="1054"/>
        <v>0</v>
      </c>
      <c r="N3166" s="774">
        <f t="shared" si="1054"/>
        <v>0</v>
      </c>
      <c r="O3166" s="774">
        <f t="shared" si="1054"/>
        <v>0</v>
      </c>
      <c r="P3166" s="774">
        <f t="shared" si="1054"/>
        <v>0</v>
      </c>
      <c r="Q3166" s="774">
        <f t="shared" si="1054"/>
        <v>0</v>
      </c>
      <c r="R3166" s="775">
        <f t="shared" si="1054"/>
        <v>0</v>
      </c>
    </row>
    <row r="3167" spans="2:18" s="57" customFormat="1" ht="12.5">
      <c r="B3167" s="1753"/>
      <c r="C3167" s="1700"/>
      <c r="D3167" s="679"/>
      <c r="E3167" s="679"/>
      <c r="F3167" s="679"/>
      <c r="G3167" s="679"/>
      <c r="H3167" s="679"/>
      <c r="I3167" s="679"/>
      <c r="J3167" s="679"/>
      <c r="K3167" s="1700"/>
      <c r="L3167" s="679"/>
      <c r="M3167" s="679"/>
      <c r="N3167" s="679"/>
      <c r="O3167" s="679"/>
      <c r="P3167" s="679"/>
      <c r="Q3167" s="679"/>
      <c r="R3167" s="680"/>
    </row>
    <row r="3168" spans="2:18" s="57" customFormat="1" ht="13">
      <c r="B3168" s="1754" t="s">
        <v>1040</v>
      </c>
      <c r="C3168" s="1700"/>
      <c r="D3168" s="679"/>
      <c r="E3168" s="679"/>
      <c r="F3168" s="679"/>
      <c r="G3168" s="679"/>
      <c r="H3168" s="679"/>
      <c r="I3168" s="679"/>
      <c r="J3168" s="679"/>
      <c r="K3168" s="1700"/>
      <c r="L3168" s="679"/>
      <c r="M3168" s="679"/>
      <c r="N3168" s="679"/>
      <c r="O3168" s="679"/>
      <c r="P3168" s="679"/>
      <c r="Q3168" s="679"/>
      <c r="R3168" s="680"/>
    </row>
    <row r="3169" spans="2:18" s="57" customFormat="1" ht="12.5">
      <c r="B3169" s="1753" t="s">
        <v>1312</v>
      </c>
      <c r="C3169" s="1760">
        <f>BO!C838/1000</f>
        <v>14.245420546608456</v>
      </c>
      <c r="D3169" s="774">
        <f>BO!D838/1000</f>
        <v>16.315841040715714</v>
      </c>
      <c r="E3169" s="774">
        <f>BO!E838/1000</f>
        <v>17.731302078348843</v>
      </c>
      <c r="F3169" s="774">
        <f>BO!F838/1000</f>
        <v>19.432457422646532</v>
      </c>
      <c r="G3169" s="774">
        <f>BO!G838/1000</f>
        <v>26.1511290103285</v>
      </c>
      <c r="H3169" s="774">
        <f>BO!H838/1000</f>
        <v>18.341553184939574</v>
      </c>
      <c r="I3169" s="774">
        <f>BO!I838/1000</f>
        <v>20.347537798691569</v>
      </c>
      <c r="J3169" s="774">
        <f>BO!J838/1000</f>
        <v>18.15022057642793</v>
      </c>
      <c r="K3169" s="1760">
        <f t="shared" ref="K3169:R3169" si="1055">C3169/C8*100000</f>
        <v>42.860533601457419</v>
      </c>
      <c r="L3169" s="774">
        <f t="shared" si="1055"/>
        <v>49.083891216834537</v>
      </c>
      <c r="M3169" s="774">
        <f t="shared" si="1055"/>
        <v>51.863336009943801</v>
      </c>
      <c r="N3169" s="774">
        <f t="shared" si="1055"/>
        <v>51.433070312136813</v>
      </c>
      <c r="O3169" s="774">
        <f t="shared" si="1055"/>
        <v>64.441345302306118</v>
      </c>
      <c r="P3169" s="774">
        <f t="shared" si="1055"/>
        <v>44.525422205793433</v>
      </c>
      <c r="Q3169" s="774">
        <f t="shared" si="1055"/>
        <v>53.057464924880229</v>
      </c>
      <c r="R3169" s="775">
        <f t="shared" si="1055"/>
        <v>44.592146578439419</v>
      </c>
    </row>
    <row r="3170" spans="2:18" s="57" customFormat="1" ht="12.5">
      <c r="B3170" s="1753"/>
      <c r="C3170" s="1700"/>
      <c r="D3170" s="679"/>
      <c r="E3170" s="679"/>
      <c r="F3170" s="679"/>
      <c r="G3170" s="679"/>
      <c r="H3170" s="679"/>
      <c r="I3170" s="679"/>
      <c r="J3170" s="679"/>
      <c r="K3170" s="1700"/>
      <c r="L3170" s="679"/>
      <c r="M3170" s="679"/>
      <c r="N3170" s="679"/>
      <c r="O3170" s="679"/>
      <c r="P3170" s="679"/>
      <c r="Q3170" s="679"/>
      <c r="R3170" s="680"/>
    </row>
    <row r="3171" spans="2:18" s="57" customFormat="1" ht="13">
      <c r="B3171" s="1754" t="s">
        <v>1041</v>
      </c>
      <c r="C3171" s="1700"/>
      <c r="D3171" s="679"/>
      <c r="E3171" s="679"/>
      <c r="F3171" s="679"/>
      <c r="G3171" s="679"/>
      <c r="H3171" s="679"/>
      <c r="I3171" s="679"/>
      <c r="J3171" s="679"/>
      <c r="K3171" s="1700"/>
      <c r="L3171" s="679"/>
      <c r="M3171" s="679"/>
      <c r="N3171" s="679"/>
      <c r="O3171" s="679"/>
      <c r="P3171" s="679"/>
      <c r="Q3171" s="679"/>
      <c r="R3171" s="680"/>
    </row>
    <row r="3172" spans="2:18" s="57" customFormat="1" ht="12.5">
      <c r="B3172" s="1753" t="s">
        <v>1313</v>
      </c>
      <c r="C3172" s="1760">
        <f>BR!C1035/1000</f>
        <v>1087.2994470633203</v>
      </c>
      <c r="D3172" s="774">
        <f>BR!D1035/1000</f>
        <v>724.02583277409349</v>
      </c>
      <c r="E3172" s="774">
        <f>BR!E1035/1000</f>
        <v>758.04785596579688</v>
      </c>
      <c r="F3172" s="774">
        <f>BR!F1035/1000</f>
        <v>575.77356104171031</v>
      </c>
      <c r="G3172" s="774">
        <f>BR!G1035/1000</f>
        <v>0</v>
      </c>
      <c r="H3172" s="774">
        <f>BR!H1035/1000</f>
        <v>0</v>
      </c>
      <c r="I3172" s="774">
        <f>BR!I1035/1000</f>
        <v>0</v>
      </c>
      <c r="J3172" s="774">
        <f>BR!J1035/1000</f>
        <v>0</v>
      </c>
      <c r="K3172" s="1760">
        <f t="shared" ref="K3172:R3172" si="1056">C3172/C9*100000</f>
        <v>49.975917632304522</v>
      </c>
      <c r="L3172" s="774">
        <f t="shared" si="1056"/>
        <v>47.152710258324397</v>
      </c>
      <c r="M3172" s="774">
        <f t="shared" si="1056"/>
        <v>39.406994934355467</v>
      </c>
      <c r="N3172" s="774">
        <f t="shared" si="1056"/>
        <v>28.922101792838152</v>
      </c>
      <c r="O3172" s="774">
        <f t="shared" si="1056"/>
        <v>0</v>
      </c>
      <c r="P3172" s="774">
        <f t="shared" si="1056"/>
        <v>0</v>
      </c>
      <c r="Q3172" s="774">
        <f t="shared" si="1056"/>
        <v>0</v>
      </c>
      <c r="R3172" s="775">
        <f t="shared" si="1056"/>
        <v>0</v>
      </c>
    </row>
    <row r="3173" spans="2:18" s="57" customFormat="1" ht="12.5">
      <c r="B3173" s="1753" t="s">
        <v>1350</v>
      </c>
      <c r="C3173" s="1760">
        <f>BR!C1078/1000</f>
        <v>20157.493391963737</v>
      </c>
      <c r="D3173" s="774">
        <f>BR!D1078/1000</f>
        <v>18048.638282407821</v>
      </c>
      <c r="E3173" s="774">
        <f>BR!E1078/1000</f>
        <v>16915.418934792007</v>
      </c>
      <c r="F3173" s="774">
        <f>BR!F1078/1000</f>
        <v>8202.0492402411728</v>
      </c>
      <c r="G3173" s="774">
        <f>BR!G1078/1000</f>
        <v>26232.403923901744</v>
      </c>
      <c r="H3173" s="774">
        <f>BR!H1078/1000</f>
        <v>35563.849991637318</v>
      </c>
      <c r="I3173" s="774">
        <f>BR!I1078/1000</f>
        <v>38950.301346116568</v>
      </c>
      <c r="J3173" s="774">
        <f>BR!J1078/1000</f>
        <v>33649.002090000438</v>
      </c>
      <c r="K3173" s="1760">
        <f t="shared" ref="K3173:R3173" si="1057">C3173/C9*100000</f>
        <v>926.50578656261928</v>
      </c>
      <c r="L3173" s="774">
        <f t="shared" si="1057"/>
        <v>1175.4307276950642</v>
      </c>
      <c r="M3173" s="774">
        <f t="shared" si="1057"/>
        <v>879.3453118162048</v>
      </c>
      <c r="N3173" s="774">
        <f t="shared" si="1057"/>
        <v>412.00311908545808</v>
      </c>
      <c r="O3173" s="774">
        <f t="shared" si="1057"/>
        <v>1451.2174829766345</v>
      </c>
      <c r="P3173" s="774">
        <f t="shared" si="1057"/>
        <v>1939.9738636514314</v>
      </c>
      <c r="Q3173" s="774">
        <f t="shared" si="1057"/>
        <v>2710.5440404437072</v>
      </c>
      <c r="R3173" s="775">
        <f t="shared" si="1057"/>
        <v>2163.4711890840667</v>
      </c>
    </row>
    <row r="3174" spans="2:18" s="57" customFormat="1" ht="12.5">
      <c r="B3174" s="1753" t="s">
        <v>965</v>
      </c>
      <c r="C3174" s="1760">
        <f>BR!C11121/1000</f>
        <v>0</v>
      </c>
      <c r="D3174" s="774">
        <f>BR!D11121/1000</f>
        <v>0</v>
      </c>
      <c r="E3174" s="774">
        <f>BR!E11121/1000</f>
        <v>0</v>
      </c>
      <c r="F3174" s="774">
        <f>BR!F11121/1000</f>
        <v>0</v>
      </c>
      <c r="G3174" s="774">
        <f>BR!G11121/1000</f>
        <v>0</v>
      </c>
      <c r="H3174" s="774">
        <f>BR!H11121/1000</f>
        <v>0</v>
      </c>
      <c r="I3174" s="774">
        <f>BR!I11121/1000</f>
        <v>0</v>
      </c>
      <c r="J3174" s="774">
        <f>BR!J11121/1000</f>
        <v>0</v>
      </c>
      <c r="K3174" s="1760">
        <f t="shared" ref="K3174:R3174" si="1058">C3174/C9*100000</f>
        <v>0</v>
      </c>
      <c r="L3174" s="774">
        <f t="shared" si="1058"/>
        <v>0</v>
      </c>
      <c r="M3174" s="774">
        <f t="shared" si="1058"/>
        <v>0</v>
      </c>
      <c r="N3174" s="774">
        <f t="shared" si="1058"/>
        <v>0</v>
      </c>
      <c r="O3174" s="774">
        <f t="shared" si="1058"/>
        <v>0</v>
      </c>
      <c r="P3174" s="774">
        <f t="shared" si="1058"/>
        <v>0</v>
      </c>
      <c r="Q3174" s="774">
        <f t="shared" si="1058"/>
        <v>0</v>
      </c>
      <c r="R3174" s="775">
        <f t="shared" si="1058"/>
        <v>0</v>
      </c>
    </row>
    <row r="3175" spans="2:18" s="57" customFormat="1" ht="12.5">
      <c r="B3175" s="1753" t="s">
        <v>1351</v>
      </c>
      <c r="C3175" s="1760">
        <f>BR!C1164/1000</f>
        <v>9105.0116210132928</v>
      </c>
      <c r="D3175" s="774">
        <f>BR!D1164/1000</f>
        <v>8267.2319573486693</v>
      </c>
      <c r="E3175" s="774">
        <f>BR!E1164/1000</f>
        <v>6656.8779088795109</v>
      </c>
      <c r="F3175" s="774">
        <f>BR!F1164/1000</f>
        <v>7943.9363812059519</v>
      </c>
      <c r="G3175" s="774">
        <f>BR!G1164/1000</f>
        <v>6656.2876431634941</v>
      </c>
      <c r="H3175" s="774">
        <f>BR!H1164/1000</f>
        <v>7263.1921604923846</v>
      </c>
      <c r="I3175" s="774">
        <f>BR!I1164/1000</f>
        <v>6992.7562391032334</v>
      </c>
      <c r="J3175" s="774">
        <f>BR!J1164/1000</f>
        <v>8921.0220049970849</v>
      </c>
      <c r="K3175" s="1760">
        <f t="shared" ref="K3175:R3175" si="1059">C3175/C9*100000</f>
        <v>418.49677385740131</v>
      </c>
      <c r="L3175" s="774">
        <f t="shared" si="1059"/>
        <v>538.40950899448376</v>
      </c>
      <c r="M3175" s="774">
        <f t="shared" si="1059"/>
        <v>346.05671920226882</v>
      </c>
      <c r="N3175" s="774">
        <f t="shared" si="1059"/>
        <v>399.0376637603631</v>
      </c>
      <c r="O3175" s="774">
        <f t="shared" si="1059"/>
        <v>368.23620997535465</v>
      </c>
      <c r="P3175" s="774">
        <f t="shared" si="1059"/>
        <v>396.20015721994366</v>
      </c>
      <c r="Q3175" s="774">
        <f t="shared" si="1059"/>
        <v>486.62457272789737</v>
      </c>
      <c r="R3175" s="775">
        <f t="shared" si="1059"/>
        <v>573.57938976537173</v>
      </c>
    </row>
    <row r="3176" spans="2:18" s="57" customFormat="1" ht="12.5">
      <c r="B3176" s="1753"/>
      <c r="C3176" s="1700"/>
      <c r="D3176" s="679"/>
      <c r="E3176" s="679"/>
      <c r="F3176" s="679"/>
      <c r="G3176" s="679"/>
      <c r="H3176" s="679"/>
      <c r="I3176" s="679"/>
      <c r="J3176" s="679"/>
      <c r="K3176" s="1700"/>
      <c r="L3176" s="679"/>
      <c r="M3176" s="679"/>
      <c r="N3176" s="679"/>
      <c r="O3176" s="679"/>
      <c r="P3176" s="679"/>
      <c r="Q3176" s="679"/>
      <c r="R3176" s="680"/>
    </row>
    <row r="3177" spans="2:18" s="57" customFormat="1" ht="13">
      <c r="B3177" s="1755" t="s">
        <v>1042</v>
      </c>
      <c r="C3177" s="1700"/>
      <c r="D3177" s="679"/>
      <c r="E3177" s="679"/>
      <c r="F3177" s="679"/>
      <c r="G3177" s="679"/>
      <c r="H3177" s="753"/>
      <c r="I3177" s="753"/>
      <c r="J3177" s="753"/>
      <c r="K3177" s="1700"/>
      <c r="L3177" s="679"/>
      <c r="M3177" s="679"/>
      <c r="N3177" s="679"/>
      <c r="O3177" s="679"/>
      <c r="P3177" s="753"/>
      <c r="Q3177" s="753"/>
      <c r="R3177" s="778"/>
    </row>
    <row r="3178" spans="2:18" s="57" customFormat="1" ht="12.5">
      <c r="B3178" s="1756" t="s">
        <v>1359</v>
      </c>
      <c r="C3178" s="1760">
        <f>CL!C623/1000</f>
        <v>413425.96253200003</v>
      </c>
      <c r="D3178" s="774">
        <f>CL!D623/1000</f>
        <v>391193.12581100001</v>
      </c>
      <c r="E3178" s="774">
        <f>CL!E623/1000</f>
        <v>407504.66093999997</v>
      </c>
      <c r="F3178" s="774">
        <f>CL!F623/1000</f>
        <v>461293.40600000002</v>
      </c>
      <c r="G3178" s="774">
        <f>CL!G623/1000</f>
        <v>479175.9</v>
      </c>
      <c r="H3178" s="774">
        <f>CL!H623/1000</f>
        <v>550781.424</v>
      </c>
      <c r="I3178" s="774">
        <f>CL!I623/1000</f>
        <v>572172.72600000002</v>
      </c>
      <c r="J3178" s="774">
        <f>CL!J623/1000</f>
        <v>504336.91600000003</v>
      </c>
      <c r="K3178" s="1760">
        <f t="shared" ref="K3178:R3178" si="1060">C3178/C10*100000</f>
        <v>168982.22340299713</v>
      </c>
      <c r="L3178" s="774">
        <f t="shared" si="1060"/>
        <v>173425.72157967693</v>
      </c>
      <c r="M3178" s="774">
        <f t="shared" si="1060"/>
        <v>160391.63328654168</v>
      </c>
      <c r="N3178" s="774">
        <f t="shared" si="1060"/>
        <v>157878.86392245354</v>
      </c>
      <c r="O3178" s="774">
        <f t="shared" si="1060"/>
        <v>174290.23736828554</v>
      </c>
      <c r="P3178" s="774">
        <f t="shared" si="1060"/>
        <v>206672.74900226187</v>
      </c>
      <c r="Q3178" s="774">
        <f t="shared" si="1060"/>
        <v>285355.23153287114</v>
      </c>
      <c r="R3178" s="775">
        <f t="shared" si="1060"/>
        <v>157190.52431498328</v>
      </c>
    </row>
    <row r="3179" spans="2:18" s="57" customFormat="1" ht="12.5">
      <c r="B3179" s="1757" t="s">
        <v>1353</v>
      </c>
      <c r="C3179" s="1760">
        <f>CL!C666/1000</f>
        <v>0</v>
      </c>
      <c r="D3179" s="774">
        <f>CL!D666/1000</f>
        <v>0</v>
      </c>
      <c r="E3179" s="774">
        <f>CL!E666/1000</f>
        <v>323782.45380000002</v>
      </c>
      <c r="F3179" s="774">
        <f>CL!F666/1000</f>
        <v>315347.00672</v>
      </c>
      <c r="G3179" s="774">
        <f>CL!G666/1000</f>
        <v>329074.58811000001</v>
      </c>
      <c r="H3179" s="774">
        <f>CL!H666/1000</f>
        <v>335524.283</v>
      </c>
      <c r="I3179" s="774">
        <f>CL!I666/1000</f>
        <v>274680.88799999998</v>
      </c>
      <c r="J3179" s="774">
        <f>CL!J666/1000</f>
        <v>285186.60375000001</v>
      </c>
      <c r="K3179" s="1760">
        <f t="shared" ref="K3179:R3179" si="1061">C3179/C10*100000</f>
        <v>0</v>
      </c>
      <c r="L3179" s="774">
        <f t="shared" si="1061"/>
        <v>0</v>
      </c>
      <c r="M3179" s="774">
        <f t="shared" si="1061"/>
        <v>127439.02480701335</v>
      </c>
      <c r="N3179" s="774">
        <f t="shared" si="1061"/>
        <v>107928.33046111203</v>
      </c>
      <c r="O3179" s="774">
        <f t="shared" si="1061"/>
        <v>119694.01648447406</v>
      </c>
      <c r="P3179" s="774">
        <f t="shared" si="1061"/>
        <v>125900.62573465238</v>
      </c>
      <c r="Q3179" s="774">
        <f t="shared" si="1061"/>
        <v>136989.45236493961</v>
      </c>
      <c r="R3179" s="775">
        <f t="shared" si="1061"/>
        <v>88886.278891930007</v>
      </c>
    </row>
    <row r="3180" spans="2:18" s="57" customFormat="1" ht="12.5">
      <c r="B3180" s="1757"/>
      <c r="C3180" s="1700"/>
      <c r="D3180" s="679"/>
      <c r="E3180" s="679"/>
      <c r="F3180" s="679"/>
      <c r="G3180" s="679"/>
      <c r="H3180" s="753"/>
      <c r="I3180" s="753"/>
      <c r="J3180" s="753"/>
      <c r="K3180" s="1700"/>
      <c r="L3180" s="679"/>
      <c r="M3180" s="679"/>
      <c r="N3180" s="679"/>
      <c r="O3180" s="679"/>
      <c r="P3180" s="679"/>
      <c r="Q3180" s="679"/>
      <c r="R3180" s="680"/>
    </row>
    <row r="3181" spans="2:18" s="57" customFormat="1" ht="13">
      <c r="B3181" s="1755" t="s">
        <v>1043</v>
      </c>
      <c r="C3181" s="1700"/>
      <c r="D3181" s="679"/>
      <c r="E3181" s="679"/>
      <c r="F3181" s="679"/>
      <c r="G3181" s="679"/>
      <c r="H3181" s="753"/>
      <c r="I3181" s="753"/>
      <c r="J3181" s="753"/>
      <c r="K3181" s="1700"/>
      <c r="L3181" s="679"/>
      <c r="M3181" s="679"/>
      <c r="N3181" s="679"/>
      <c r="O3181" s="679"/>
      <c r="P3181" s="753"/>
      <c r="Q3181" s="753"/>
      <c r="R3181" s="778"/>
    </row>
    <row r="3182" spans="2:18" s="57" customFormat="1" ht="12.5">
      <c r="B3182" s="1753" t="s">
        <v>620</v>
      </c>
      <c r="C3182" s="1760">
        <f>CO!C813/1000</f>
        <v>348.04771321738656</v>
      </c>
      <c r="D3182" s="774">
        <f>CO!D813/1000</f>
        <v>617.50900153960845</v>
      </c>
      <c r="E3182" s="774">
        <f>CO!E813/1000</f>
        <v>1400.5706844316278</v>
      </c>
      <c r="F3182" s="774">
        <f>CO!F813/1000</f>
        <v>2760.4323093363873</v>
      </c>
      <c r="G3182" s="774">
        <f>CO!G813/1000</f>
        <v>3072.2950627591476</v>
      </c>
      <c r="H3182" s="774">
        <f>CO!H813/1000</f>
        <v>2580.6470765851</v>
      </c>
      <c r="I3182" s="774">
        <f>CO!I813/1000</f>
        <v>2677.9898902740979</v>
      </c>
      <c r="J3182" s="774">
        <f>CO!J813/1000</f>
        <v>2347.4967464539691</v>
      </c>
      <c r="K3182" s="1760">
        <f t="shared" ref="K3182:R3182" si="1062">C3182/C11*100000</f>
        <v>109.14758913833998</v>
      </c>
      <c r="L3182" s="774">
        <f t="shared" si="1062"/>
        <v>241.68577233015304</v>
      </c>
      <c r="M3182" s="774">
        <f t="shared" si="1062"/>
        <v>486.5471216673692</v>
      </c>
      <c r="N3182" s="774">
        <f t="shared" si="1062"/>
        <v>894.88207787749752</v>
      </c>
      <c r="O3182" s="774">
        <f t="shared" si="1062"/>
        <v>1012.6662900549379</v>
      </c>
      <c r="P3182" s="774">
        <f t="shared" si="1062"/>
        <v>796.54389459056597</v>
      </c>
      <c r="Q3182" s="774">
        <f t="shared" si="1062"/>
        <v>916.5416060394532</v>
      </c>
      <c r="R3182" s="775">
        <f t="shared" si="1062"/>
        <v>793.88071013893841</v>
      </c>
    </row>
    <row r="3183" spans="2:18" s="57" customFormat="1" ht="12.5">
      <c r="B3183" s="1753" t="s">
        <v>622</v>
      </c>
      <c r="C3183" s="1760">
        <f>CO!C858/1000</f>
        <v>279.47877897537404</v>
      </c>
      <c r="D3183" s="774">
        <f>CO!D858/1000</f>
        <v>272.46205912679551</v>
      </c>
      <c r="E3183" s="774">
        <f>CO!E858/1000</f>
        <v>312.69814175580166</v>
      </c>
      <c r="F3183" s="774">
        <f>CO!F858/1000</f>
        <v>271.24253596055775</v>
      </c>
      <c r="G3183" s="774">
        <f>CO!G858/1000</f>
        <v>348.90180052235308</v>
      </c>
      <c r="H3183" s="774">
        <f>CO!H858/1000</f>
        <v>359.74491193916629</v>
      </c>
      <c r="I3183" s="774">
        <f>CO!I858/1000</f>
        <v>353.59235632876914</v>
      </c>
      <c r="J3183" s="774">
        <f>CO!J858/1000</f>
        <v>0</v>
      </c>
      <c r="K3183" s="1760">
        <f t="shared" ref="K3183:R3183" si="1063">C3183/C11*100000</f>
        <v>87.644405585955781</v>
      </c>
      <c r="L3183" s="774">
        <f t="shared" si="1063"/>
        <v>106.63845065665754</v>
      </c>
      <c r="M3183" s="774">
        <f t="shared" si="1063"/>
        <v>108.62884859235928</v>
      </c>
      <c r="N3183" s="774">
        <f t="shared" si="1063"/>
        <v>87.931909566548455</v>
      </c>
      <c r="O3183" s="774">
        <f t="shared" si="1063"/>
        <v>115.00233041130852</v>
      </c>
      <c r="P3183" s="774">
        <f t="shared" si="1063"/>
        <v>111.03905521027346</v>
      </c>
      <c r="Q3183" s="774">
        <f t="shared" si="1063"/>
        <v>121.01692666198758</v>
      </c>
      <c r="R3183" s="775">
        <f t="shared" si="1063"/>
        <v>0</v>
      </c>
    </row>
    <row r="3184" spans="2:18" s="57" customFormat="1" ht="12.5">
      <c r="B3184" s="1753"/>
      <c r="C3184" s="1700"/>
      <c r="D3184" s="679"/>
      <c r="E3184" s="679"/>
      <c r="F3184" s="679"/>
      <c r="G3184" s="679"/>
      <c r="H3184" s="753"/>
      <c r="I3184" s="753"/>
      <c r="J3184" s="753"/>
      <c r="K3184" s="1700"/>
      <c r="L3184" s="679"/>
      <c r="M3184" s="679"/>
      <c r="N3184" s="679"/>
      <c r="O3184" s="679"/>
      <c r="P3184" s="679"/>
      <c r="Q3184" s="679"/>
      <c r="R3184" s="680"/>
    </row>
    <row r="3185" spans="2:18" s="57" customFormat="1" ht="13">
      <c r="B3185" s="1755" t="s">
        <v>1044</v>
      </c>
      <c r="C3185" s="1700"/>
      <c r="D3185" s="679"/>
      <c r="E3185" s="679"/>
      <c r="F3185" s="679"/>
      <c r="G3185" s="679"/>
      <c r="H3185" s="753"/>
      <c r="I3185" s="753"/>
      <c r="J3185" s="753"/>
      <c r="K3185" s="1760"/>
      <c r="L3185" s="679"/>
      <c r="M3185" s="679"/>
      <c r="N3185" s="679"/>
      <c r="O3185" s="679"/>
      <c r="P3185" s="753"/>
      <c r="Q3185" s="753"/>
      <c r="R3185" s="778"/>
    </row>
    <row r="3186" spans="2:18" s="57" customFormat="1" ht="12.5">
      <c r="B3186" s="1753" t="s">
        <v>1317</v>
      </c>
      <c r="C3186" s="1760">
        <f>CR!C689/1000</f>
        <v>50.71816977223402</v>
      </c>
      <c r="D3186" s="774">
        <f>CR!D689/1000</f>
        <v>55.301625621084817</v>
      </c>
      <c r="E3186" s="774">
        <f>CR!E689/1000</f>
        <v>51.204958908730966</v>
      </c>
      <c r="F3186" s="774">
        <f>CR!F689/1000</f>
        <v>48.391678315603833</v>
      </c>
      <c r="G3186" s="774">
        <f>CR!G689/1000</f>
        <v>59.711035085129964</v>
      </c>
      <c r="H3186" s="774">
        <f>CR!H689/1000</f>
        <v>54.973930889958119</v>
      </c>
      <c r="I3186" s="774">
        <f>CR!I689/1000</f>
        <v>35.775539066194263</v>
      </c>
      <c r="J3186" s="774">
        <f>CR!J689/1000</f>
        <v>34.43635038404566</v>
      </c>
      <c r="K3186" s="1760">
        <f t="shared" ref="K3186:R3186" si="1064">C3186/C12*100000</f>
        <v>97.504397224687409</v>
      </c>
      <c r="L3186" s="774">
        <f t="shared" si="1064"/>
        <v>97.979839788405627</v>
      </c>
      <c r="M3186" s="774">
        <f t="shared" si="1064"/>
        <v>87.013815310862185</v>
      </c>
      <c r="N3186" s="774">
        <f t="shared" si="1064"/>
        <v>79.965177282463515</v>
      </c>
      <c r="O3186" s="774">
        <f t="shared" si="1064"/>
        <v>95.659848254025121</v>
      </c>
      <c r="P3186" s="774">
        <f t="shared" si="1064"/>
        <v>85.339830539774837</v>
      </c>
      <c r="Q3186" s="774">
        <f t="shared" si="1064"/>
        <v>57.336627734095899</v>
      </c>
      <c r="R3186" s="775">
        <f t="shared" si="1064"/>
        <v>53.293621722305403</v>
      </c>
    </row>
    <row r="3187" spans="2:18" s="57" customFormat="1" ht="12.5">
      <c r="B3187" s="1753" t="s">
        <v>1354</v>
      </c>
      <c r="C3187" s="1760">
        <f>CR!C732/1000</f>
        <v>0</v>
      </c>
      <c r="D3187" s="774">
        <f>CR!D732/1000</f>
        <v>0</v>
      </c>
      <c r="E3187" s="774">
        <f>CR!E732/1000</f>
        <v>6.4000000000000001E-2</v>
      </c>
      <c r="F3187" s="774">
        <f>CR!F732/1000</f>
        <v>0.40320677677025724</v>
      </c>
      <c r="G3187" s="774">
        <f>CR!G732/1000</f>
        <v>0.20970028553110057</v>
      </c>
      <c r="H3187" s="774">
        <f>CR!H732/1000</f>
        <v>1.4035826355540788</v>
      </c>
      <c r="I3187" s="774">
        <f>CR!I732/1000</f>
        <v>2.7899755788729794</v>
      </c>
      <c r="J3187" s="774">
        <f>CR!J732/1000</f>
        <v>3.7409974971333542</v>
      </c>
      <c r="K3187" s="1760">
        <f t="shared" ref="K3187:R3187" si="1065">C3187/C12*100000</f>
        <v>0</v>
      </c>
      <c r="L3187" s="774">
        <f t="shared" si="1065"/>
        <v>0</v>
      </c>
      <c r="M3187" s="774">
        <f t="shared" si="1065"/>
        <v>0.10875673564783642</v>
      </c>
      <c r="N3187" s="774">
        <f t="shared" si="1065"/>
        <v>0.66628194161076981</v>
      </c>
      <c r="O3187" s="774">
        <f t="shared" si="1065"/>
        <v>0.33594958560224997</v>
      </c>
      <c r="P3187" s="774">
        <f t="shared" si="1065"/>
        <v>2.1788782851734489</v>
      </c>
      <c r="Q3187" s="774">
        <f t="shared" si="1065"/>
        <v>4.4714292314946196</v>
      </c>
      <c r="R3187" s="775">
        <f t="shared" si="1065"/>
        <v>5.7895596732191699</v>
      </c>
    </row>
    <row r="3188" spans="2:18" s="57" customFormat="1" ht="12.5">
      <c r="B3188" s="1753"/>
      <c r="C3188" s="1700"/>
      <c r="D3188" s="679"/>
      <c r="E3188" s="679"/>
      <c r="F3188" s="679"/>
      <c r="G3188" s="679"/>
      <c r="H3188" s="679"/>
      <c r="I3188" s="679"/>
      <c r="J3188" s="679"/>
      <c r="K3188" s="1700"/>
      <c r="L3188" s="679"/>
      <c r="M3188" s="679"/>
      <c r="N3188" s="679"/>
      <c r="O3188" s="679"/>
      <c r="P3188" s="679"/>
      <c r="Q3188" s="679"/>
      <c r="R3188" s="680"/>
    </row>
    <row r="3189" spans="2:18" s="57" customFormat="1" ht="13">
      <c r="B3189" s="1754" t="s">
        <v>1061</v>
      </c>
      <c r="C3189" s="1700"/>
      <c r="D3189" s="679"/>
      <c r="E3189" s="679"/>
      <c r="F3189" s="679"/>
      <c r="G3189" s="679"/>
      <c r="H3189" s="679"/>
      <c r="I3189" s="679"/>
      <c r="J3189" s="679"/>
      <c r="K3189" s="1700"/>
      <c r="L3189" s="679"/>
      <c r="M3189" s="679"/>
      <c r="N3189" s="679"/>
      <c r="O3189" s="679"/>
      <c r="P3189" s="679"/>
      <c r="Q3189" s="679"/>
      <c r="R3189" s="680"/>
    </row>
    <row r="3190" spans="2:18" s="57" customFormat="1" ht="12.5">
      <c r="B3190" s="1759" t="s">
        <v>1294</v>
      </c>
      <c r="C3190" s="1760">
        <f>IFERROR(CW!C567/1000,0)</f>
        <v>0</v>
      </c>
      <c r="D3190" s="774">
        <f>IFERROR(CW!D567/1000,0)</f>
        <v>0</v>
      </c>
      <c r="E3190" s="774">
        <f>IFERROR(CW!E567/1000,0)</f>
        <v>0</v>
      </c>
      <c r="F3190" s="774">
        <f>IFERROR(CW!F567/1000,0)</f>
        <v>0</v>
      </c>
      <c r="G3190" s="774">
        <f>IFERROR(CW!G567/1000,0)</f>
        <v>0</v>
      </c>
      <c r="H3190" s="774">
        <f>IFERROR(CW!H567/1000,0)</f>
        <v>0</v>
      </c>
      <c r="I3190" s="774">
        <f>IFERROR(CW!I567/1000,0)</f>
        <v>0</v>
      </c>
      <c r="J3190" s="774">
        <f>IFERROR(CW!J567/1000,0)</f>
        <v>0</v>
      </c>
      <c r="K3190" s="1760">
        <f>C3190/K15*100000</f>
        <v>0</v>
      </c>
      <c r="L3190" s="774">
        <f t="shared" ref="L3190:R3190" si="1066">D3190/L15*100000</f>
        <v>0</v>
      </c>
      <c r="M3190" s="774">
        <f t="shared" si="1066"/>
        <v>0</v>
      </c>
      <c r="N3190" s="774">
        <f t="shared" si="1066"/>
        <v>0</v>
      </c>
      <c r="O3190" s="774">
        <f t="shared" si="1066"/>
        <v>0</v>
      </c>
      <c r="P3190" s="774">
        <f t="shared" si="1066"/>
        <v>0</v>
      </c>
      <c r="Q3190" s="774">
        <f t="shared" si="1066"/>
        <v>0</v>
      </c>
      <c r="R3190" s="775">
        <f t="shared" si="1066"/>
        <v>0</v>
      </c>
    </row>
    <row r="3191" spans="2:18" s="57" customFormat="1" ht="12.5">
      <c r="B3191" s="1759"/>
      <c r="C3191" s="1760"/>
      <c r="D3191" s="774"/>
      <c r="E3191" s="774"/>
      <c r="F3191" s="774"/>
      <c r="G3191" s="774"/>
      <c r="H3191" s="774"/>
      <c r="I3191" s="774"/>
      <c r="J3191" s="774"/>
      <c r="K3191" s="1760"/>
      <c r="L3191" s="774"/>
      <c r="M3191" s="774"/>
      <c r="N3191" s="774"/>
      <c r="O3191" s="774"/>
      <c r="P3191" s="774"/>
      <c r="Q3191" s="774"/>
      <c r="R3191" s="775"/>
    </row>
    <row r="3192" spans="2:18" s="57" customFormat="1" ht="13">
      <c r="B3192" s="1754" t="s">
        <v>1047</v>
      </c>
      <c r="C3192" s="1760"/>
      <c r="D3192" s="774"/>
      <c r="E3192" s="774"/>
      <c r="F3192" s="774"/>
      <c r="G3192" s="774"/>
      <c r="H3192" s="774"/>
      <c r="I3192" s="774"/>
      <c r="J3192" s="774"/>
      <c r="K3192" s="1760"/>
      <c r="L3192" s="774"/>
      <c r="M3192" s="774"/>
      <c r="N3192" s="774"/>
      <c r="O3192" s="774"/>
      <c r="P3192" s="774"/>
      <c r="Q3192" s="774"/>
      <c r="R3192" s="775"/>
    </row>
    <row r="3193" spans="2:18" s="57" customFormat="1" ht="12.5">
      <c r="B3193" s="1968" t="s">
        <v>503</v>
      </c>
      <c r="C3193" s="1760">
        <f>IFERROR(EC!C604/1000,0)</f>
        <v>4.38626</v>
      </c>
      <c r="D3193" s="774">
        <f>IFERROR(EC!D604/1000,0)</f>
        <v>3.2660800000000001</v>
      </c>
      <c r="E3193" s="774">
        <f>IFERROR(EC!E604/1000,0)</f>
        <v>6.6917299999999997</v>
      </c>
      <c r="F3193" s="774">
        <f>IFERROR(EC!F604/1000,0)</f>
        <v>4.9184200000000002</v>
      </c>
      <c r="G3193" s="774">
        <f>IFERROR(EC!G604/1000,0)</f>
        <v>5.2449599999999998</v>
      </c>
      <c r="H3193" s="774">
        <f>IFERROR(EC!H604/1000,0)</f>
        <v>9.3084699999999998</v>
      </c>
      <c r="I3193" s="774">
        <f>IFERROR(EC!I604/1000,0)</f>
        <v>9.8449100000000005</v>
      </c>
      <c r="J3193" s="774">
        <f>IFERROR(EC!J604/1000,0)</f>
        <v>13.448188</v>
      </c>
      <c r="K3193" s="1760"/>
      <c r="L3193" s="774"/>
      <c r="M3193" s="774"/>
      <c r="N3193" s="774"/>
      <c r="O3193" s="774"/>
      <c r="P3193" s="774"/>
      <c r="Q3193" s="774"/>
      <c r="R3193" s="775"/>
    </row>
    <row r="3194" spans="2:18" s="57" customFormat="1" ht="12.5">
      <c r="B3194" s="1753"/>
      <c r="C3194" s="1700"/>
      <c r="D3194" s="679"/>
      <c r="E3194" s="679"/>
      <c r="F3194" s="679"/>
      <c r="G3194" s="679"/>
      <c r="H3194" s="679"/>
      <c r="I3194" s="679"/>
      <c r="J3194" s="679"/>
      <c r="K3194" s="1700"/>
      <c r="L3194" s="679"/>
      <c r="M3194" s="679"/>
      <c r="N3194" s="679"/>
      <c r="O3194" s="679"/>
      <c r="P3194" s="679"/>
      <c r="Q3194" s="679"/>
      <c r="R3194" s="680"/>
    </row>
    <row r="3195" spans="2:18" s="57" customFormat="1" ht="13">
      <c r="B3195" s="1754" t="s">
        <v>1048</v>
      </c>
      <c r="C3195" s="1763"/>
      <c r="D3195" s="816"/>
      <c r="E3195" s="816"/>
      <c r="F3195" s="816"/>
      <c r="G3195" s="816"/>
      <c r="H3195" s="816"/>
      <c r="I3195" s="816"/>
      <c r="J3195" s="816"/>
      <c r="K3195" s="1700"/>
      <c r="L3195" s="679"/>
      <c r="M3195" s="679"/>
      <c r="N3195" s="679"/>
      <c r="O3195" s="679"/>
      <c r="P3195" s="679"/>
      <c r="Q3195" s="679"/>
      <c r="R3195" s="680"/>
    </row>
    <row r="3196" spans="2:18" s="57" customFormat="1" ht="12.5">
      <c r="B3196" s="1759" t="s">
        <v>503</v>
      </c>
      <c r="C3196" s="1760">
        <f>IFERROR(SV!C569/1000,0)</f>
        <v>0</v>
      </c>
      <c r="D3196" s="774">
        <f>IFERROR(SV!D569/1000,0)</f>
        <v>0</v>
      </c>
      <c r="E3196" s="774">
        <f>IFERROR(SV!E569/1000,0)</f>
        <v>0</v>
      </c>
      <c r="F3196" s="774">
        <f>IFERROR(SV!F569/1000,0)</f>
        <v>0</v>
      </c>
      <c r="G3196" s="774">
        <f>IFERROR(SV!G569/1000,0)</f>
        <v>0</v>
      </c>
      <c r="H3196" s="774">
        <f>IFERROR(SV!H569/1000,0)</f>
        <v>0</v>
      </c>
      <c r="I3196" s="774">
        <f>IFERROR(SV!I569/1000,0)</f>
        <v>0</v>
      </c>
      <c r="J3196" s="774">
        <f>IFERROR(SV!J569/1000,0)</f>
        <v>0</v>
      </c>
      <c r="K3196" s="1760">
        <f t="shared" ref="K3196:R3196" si="1067">C3196/C17*100000</f>
        <v>0</v>
      </c>
      <c r="L3196" s="774">
        <f t="shared" si="1067"/>
        <v>0</v>
      </c>
      <c r="M3196" s="774">
        <f t="shared" si="1067"/>
        <v>0</v>
      </c>
      <c r="N3196" s="774">
        <f t="shared" si="1067"/>
        <v>0</v>
      </c>
      <c r="O3196" s="774">
        <f t="shared" si="1067"/>
        <v>0</v>
      </c>
      <c r="P3196" s="774">
        <f t="shared" si="1067"/>
        <v>0</v>
      </c>
      <c r="Q3196" s="774">
        <f t="shared" si="1067"/>
        <v>0</v>
      </c>
      <c r="R3196" s="775">
        <f t="shared" si="1067"/>
        <v>0</v>
      </c>
    </row>
    <row r="3197" spans="2:18" s="57" customFormat="1" ht="12.5">
      <c r="B3197" s="1753"/>
      <c r="C3197" s="1763"/>
      <c r="D3197" s="816"/>
      <c r="E3197" s="816"/>
      <c r="F3197" s="816"/>
      <c r="G3197" s="816"/>
      <c r="H3197" s="816"/>
      <c r="I3197" s="816"/>
      <c r="J3197" s="816"/>
      <c r="K3197" s="1700"/>
      <c r="L3197" s="679"/>
      <c r="M3197" s="679"/>
      <c r="N3197" s="679"/>
      <c r="O3197" s="679"/>
      <c r="P3197" s="679"/>
      <c r="Q3197" s="679"/>
      <c r="R3197" s="680"/>
    </row>
    <row r="3198" spans="2:18" s="57" customFormat="1" ht="13">
      <c r="B3198" s="1755" t="s">
        <v>1049</v>
      </c>
      <c r="C3198" s="1763"/>
      <c r="D3198" s="816"/>
      <c r="E3198" s="816"/>
      <c r="F3198" s="816"/>
      <c r="G3198" s="816"/>
      <c r="H3198" s="816"/>
      <c r="I3198" s="816"/>
      <c r="J3198" s="816"/>
      <c r="K3198" s="1763"/>
      <c r="L3198" s="816"/>
      <c r="M3198" s="816"/>
      <c r="N3198" s="816"/>
      <c r="O3198" s="816"/>
      <c r="P3198" s="816"/>
      <c r="Q3198" s="816"/>
      <c r="R3198" s="817"/>
    </row>
    <row r="3199" spans="2:18" s="57" customFormat="1" ht="12.5">
      <c r="B3199" s="1759" t="s">
        <v>1294</v>
      </c>
      <c r="C3199" s="1760">
        <f>IFERROR(GT!C827/1000,0)</f>
        <v>0</v>
      </c>
      <c r="D3199" s="774">
        <f>IFERROR(GT!D827/1000,0)</f>
        <v>0</v>
      </c>
      <c r="E3199" s="774">
        <f>IFERROR(GT!E827/1000,0)</f>
        <v>0</v>
      </c>
      <c r="F3199" s="774">
        <f>IFERROR(GT!F827/1000,0)</f>
        <v>0</v>
      </c>
      <c r="G3199" s="774">
        <f>IFERROR(GT!G827/1000,0)</f>
        <v>0</v>
      </c>
      <c r="H3199" s="774">
        <f>IFERROR(GT!H827/1000,0)</f>
        <v>0</v>
      </c>
      <c r="I3199" s="774">
        <f>IFERROR(GT!I827/1000,0)</f>
        <v>0</v>
      </c>
      <c r="J3199" s="774">
        <f>IFERROR(GT!J827/1000,0)</f>
        <v>0</v>
      </c>
      <c r="K3199" s="1760">
        <f t="shared" ref="K3199:R3199" si="1068">C3199/C18*100000</f>
        <v>0</v>
      </c>
      <c r="L3199" s="774">
        <f t="shared" si="1068"/>
        <v>0</v>
      </c>
      <c r="M3199" s="774">
        <f t="shared" si="1068"/>
        <v>0</v>
      </c>
      <c r="N3199" s="774">
        <f t="shared" si="1068"/>
        <v>0</v>
      </c>
      <c r="O3199" s="774">
        <f t="shared" si="1068"/>
        <v>0</v>
      </c>
      <c r="P3199" s="774">
        <f t="shared" si="1068"/>
        <v>0</v>
      </c>
      <c r="Q3199" s="774">
        <f t="shared" si="1068"/>
        <v>0</v>
      </c>
      <c r="R3199" s="775">
        <f t="shared" si="1068"/>
        <v>0</v>
      </c>
    </row>
    <row r="3200" spans="2:18" s="57" customFormat="1" ht="12.5">
      <c r="B3200" s="1890"/>
      <c r="C3200" s="1763"/>
      <c r="D3200" s="816"/>
      <c r="E3200" s="816"/>
      <c r="F3200" s="816"/>
      <c r="G3200" s="816"/>
      <c r="H3200" s="816"/>
      <c r="I3200" s="816"/>
      <c r="J3200" s="816"/>
      <c r="K3200" s="1763"/>
      <c r="L3200" s="816"/>
      <c r="M3200" s="816"/>
      <c r="N3200" s="816"/>
      <c r="O3200" s="816"/>
      <c r="P3200" s="816"/>
      <c r="Q3200" s="816"/>
      <c r="R3200" s="817"/>
    </row>
    <row r="3201" spans="2:18" s="57" customFormat="1" ht="13">
      <c r="B3201" s="1754" t="s">
        <v>1050</v>
      </c>
      <c r="C3201" s="1763"/>
      <c r="D3201" s="816"/>
      <c r="E3201" s="816"/>
      <c r="F3201" s="816"/>
      <c r="G3201" s="816"/>
      <c r="H3201" s="816"/>
      <c r="I3201" s="816"/>
      <c r="J3201" s="816"/>
      <c r="K3201" s="1763"/>
      <c r="L3201" s="816"/>
      <c r="M3201" s="816"/>
      <c r="N3201" s="816"/>
      <c r="O3201" s="816"/>
      <c r="P3201" s="816"/>
      <c r="Q3201" s="816"/>
      <c r="R3201" s="817"/>
    </row>
    <row r="3202" spans="2:18" s="57" customFormat="1" ht="12.5">
      <c r="B3202" s="1753" t="s">
        <v>486</v>
      </c>
      <c r="C3202" s="1760">
        <f>IFERROR(HN!C685/1000,0)</f>
        <v>0</v>
      </c>
      <c r="D3202" s="774">
        <f>IFERROR(HN!D685/1000,0)</f>
        <v>0</v>
      </c>
      <c r="E3202" s="774">
        <f>IFERROR(HN!E685/1000,0)</f>
        <v>0</v>
      </c>
      <c r="F3202" s="774">
        <f>IFERROR(HN!F685/1000,0)</f>
        <v>0</v>
      </c>
      <c r="G3202" s="774">
        <f>IFERROR(HN!G685/1000,0)</f>
        <v>0</v>
      </c>
      <c r="H3202" s="774">
        <f>IFERROR(HN!H685/1000,0)</f>
        <v>0</v>
      </c>
      <c r="I3202" s="774">
        <f>IFERROR(HN!I685/1000,0)</f>
        <v>0</v>
      </c>
      <c r="J3202" s="774">
        <f>IFERROR(HN!J685/1000,0)</f>
        <v>0</v>
      </c>
      <c r="K3202" s="1760">
        <f t="shared" ref="K3202:R3202" si="1069">C3202/C19*100000</f>
        <v>0</v>
      </c>
      <c r="L3202" s="774">
        <f t="shared" si="1069"/>
        <v>0</v>
      </c>
      <c r="M3202" s="774">
        <f t="shared" si="1069"/>
        <v>0</v>
      </c>
      <c r="N3202" s="774">
        <f t="shared" si="1069"/>
        <v>0</v>
      </c>
      <c r="O3202" s="774">
        <f t="shared" si="1069"/>
        <v>0</v>
      </c>
      <c r="P3202" s="774">
        <f t="shared" si="1069"/>
        <v>0</v>
      </c>
      <c r="Q3202" s="774">
        <f t="shared" si="1069"/>
        <v>0</v>
      </c>
      <c r="R3202" s="775">
        <f t="shared" si="1069"/>
        <v>0</v>
      </c>
    </row>
    <row r="3203" spans="2:18" s="57" customFormat="1" ht="12.5">
      <c r="B3203" s="1890"/>
      <c r="C3203" s="1763"/>
      <c r="D3203" s="816"/>
      <c r="E3203" s="816"/>
      <c r="F3203" s="816"/>
      <c r="G3203" s="816"/>
      <c r="H3203" s="816"/>
      <c r="I3203" s="816"/>
      <c r="J3203" s="816"/>
      <c r="K3203" s="1763"/>
      <c r="L3203" s="816"/>
      <c r="M3203" s="816"/>
      <c r="N3203" s="816"/>
      <c r="O3203" s="816"/>
      <c r="P3203" s="816"/>
      <c r="Q3203" s="816"/>
      <c r="R3203" s="817"/>
    </row>
    <row r="3204" spans="2:18" s="57" customFormat="1" ht="13">
      <c r="B3204" s="1755" t="s">
        <v>1051</v>
      </c>
      <c r="C3204" s="1700"/>
      <c r="D3204" s="679"/>
      <c r="E3204" s="679"/>
      <c r="F3204" s="679"/>
      <c r="G3204" s="679"/>
      <c r="H3204" s="679"/>
      <c r="I3204" s="679"/>
      <c r="J3204" s="679"/>
      <c r="K3204" s="1700"/>
      <c r="L3204" s="679"/>
      <c r="M3204" s="679"/>
      <c r="N3204" s="679"/>
      <c r="O3204" s="679"/>
      <c r="P3204" s="679"/>
      <c r="Q3204" s="679"/>
      <c r="R3204" s="680"/>
    </row>
    <row r="3205" spans="2:18" s="57" customFormat="1" ht="12.5">
      <c r="B3205" s="1753" t="s">
        <v>1355</v>
      </c>
      <c r="C3205" s="1760">
        <f>IFERROR(JM!C719/1000,0)</f>
        <v>31.714297311851499</v>
      </c>
      <c r="D3205" s="774">
        <f>IFERROR(JM!D719/1000,0)</f>
        <v>30.670435208106543</v>
      </c>
      <c r="E3205" s="774">
        <f>IFERROR(JM!E719/1000,0)</f>
        <v>42.437464067423633</v>
      </c>
      <c r="F3205" s="774">
        <f>IFERROR(JM!F719/1000,0)</f>
        <v>33.078560388606753</v>
      </c>
      <c r="G3205" s="774">
        <f>IFERROR(JM!G719/1000,0)</f>
        <v>25.240611974048711</v>
      </c>
      <c r="H3205" s="774">
        <f>IFERROR(JM!H719/1000,0)</f>
        <v>44.935425055425327</v>
      </c>
      <c r="I3205" s="774">
        <f>IFERROR(JM!I719/1000,0)</f>
        <v>26.486912659227912</v>
      </c>
      <c r="J3205" s="774">
        <f>IFERROR(JM!J719/1000,0)</f>
        <v>42.911768817405367</v>
      </c>
      <c r="K3205" s="1760">
        <f t="shared" ref="K3205:R3205" si="1070">C3205/C20*100000</f>
        <v>235.8372598562872</v>
      </c>
      <c r="L3205" s="774">
        <f t="shared" si="1070"/>
        <v>222.52401123307098</v>
      </c>
      <c r="M3205" s="774">
        <f t="shared" si="1070"/>
        <v>309.52642128353648</v>
      </c>
      <c r="N3205" s="774">
        <f t="shared" si="1070"/>
        <v>218.19412260681136</v>
      </c>
      <c r="O3205" s="774">
        <f t="shared" si="1070"/>
        <v>159.01509285591334</v>
      </c>
      <c r="P3205" s="774">
        <f t="shared" si="1070"/>
        <v>282.26651361587165</v>
      </c>
      <c r="Q3205" s="774">
        <f t="shared" si="1070"/>
        <v>192.09339138287436</v>
      </c>
      <c r="R3205" s="775">
        <f t="shared" si="1070"/>
        <v>301.10559410046159</v>
      </c>
    </row>
    <row r="3206" spans="2:18" s="57" customFormat="1" ht="12.5">
      <c r="B3206" s="1753" t="s">
        <v>1318</v>
      </c>
      <c r="C3206" s="1760">
        <f>IFERROR(JM!C762/1000,0)</f>
        <v>0.13349661825717093</v>
      </c>
      <c r="D3206" s="774">
        <f>IFERROR(JM!D762/1000,0)</f>
        <v>0.59913781505626373</v>
      </c>
      <c r="E3206" s="774">
        <f>IFERROR(JM!E762/1000,0)</f>
        <v>0.42882862401549671</v>
      </c>
      <c r="F3206" s="774">
        <f>IFERROR(JM!F762/1000,0)</f>
        <v>0.46650586718122505</v>
      </c>
      <c r="G3206" s="774">
        <f>IFERROR(JM!G762/1000,0)</f>
        <v>0.63509562608345682</v>
      </c>
      <c r="H3206" s="774">
        <f>IFERROR(JM!H762/1000,0)</f>
        <v>0.87573474945122931</v>
      </c>
      <c r="I3206" s="774">
        <f>IFERROR(JM!I762/1000,0)</f>
        <v>0.4438297278710796</v>
      </c>
      <c r="J3206" s="774">
        <f>IFERROR(JM!J762/1000,0)</f>
        <v>0.73914589026345079</v>
      </c>
      <c r="K3206" s="1760">
        <f t="shared" ref="K3206:R3206" si="1071">C3206/C20*100000</f>
        <v>0.99272187367956444</v>
      </c>
      <c r="L3206" s="774">
        <f t="shared" si="1071"/>
        <v>4.3469402694520278</v>
      </c>
      <c r="M3206" s="774">
        <f t="shared" si="1071"/>
        <v>3.127750261527777</v>
      </c>
      <c r="N3206" s="774">
        <f t="shared" si="1071"/>
        <v>3.077184653283648</v>
      </c>
      <c r="O3206" s="774">
        <f t="shared" si="1071"/>
        <v>4.0010832565342938</v>
      </c>
      <c r="P3206" s="774">
        <f t="shared" si="1071"/>
        <v>5.5010182784511699</v>
      </c>
      <c r="Q3206" s="774">
        <f t="shared" si="1071"/>
        <v>3.218825792200847</v>
      </c>
      <c r="R3206" s="775">
        <f t="shared" si="1071"/>
        <v>5.1864784078632153</v>
      </c>
    </row>
    <row r="3207" spans="2:18" s="57" customFormat="1" ht="12.5">
      <c r="B3207" s="1753"/>
      <c r="C3207" s="1760"/>
      <c r="D3207" s="774"/>
      <c r="E3207" s="774"/>
      <c r="F3207" s="774"/>
      <c r="G3207" s="774"/>
      <c r="H3207" s="774"/>
      <c r="I3207" s="774"/>
      <c r="J3207" s="774"/>
      <c r="K3207" s="1760"/>
      <c r="L3207" s="774"/>
      <c r="M3207" s="774"/>
      <c r="N3207" s="774"/>
      <c r="O3207" s="774"/>
      <c r="P3207" s="774"/>
      <c r="Q3207" s="774"/>
      <c r="R3207" s="775"/>
    </row>
    <row r="3208" spans="2:18" s="57" customFormat="1" ht="13">
      <c r="B3208" s="1755" t="s">
        <v>1052</v>
      </c>
      <c r="C3208" s="1700"/>
      <c r="D3208" s="679"/>
      <c r="E3208" s="679"/>
      <c r="F3208" s="679"/>
      <c r="G3208" s="679"/>
      <c r="H3208" s="679"/>
      <c r="I3208" s="679"/>
      <c r="J3208" s="679"/>
      <c r="K3208" s="1700"/>
      <c r="L3208" s="679"/>
      <c r="M3208" s="679"/>
      <c r="N3208" s="679"/>
      <c r="O3208" s="679"/>
      <c r="P3208" s="679"/>
      <c r="Q3208" s="679"/>
      <c r="R3208" s="680"/>
    </row>
    <row r="3209" spans="2:18" s="57" customFormat="1" ht="12.5">
      <c r="B3209" s="1759" t="s">
        <v>1294</v>
      </c>
      <c r="C3209" s="1760">
        <f>IFERROR(RD!C682/1000,0)</f>
        <v>0</v>
      </c>
      <c r="D3209" s="774">
        <f>IFERROR(RD!D682/1000,0)</f>
        <v>0</v>
      </c>
      <c r="E3209" s="774">
        <f>IFERROR(RD!E682/1000,0)</f>
        <v>0</v>
      </c>
      <c r="F3209" s="774">
        <f>IFERROR(RD!F682/1000,0)</f>
        <v>0</v>
      </c>
      <c r="G3209" s="774">
        <f>IFERROR(RD!G682/1000,0)</f>
        <v>0</v>
      </c>
      <c r="H3209" s="774">
        <f>IFERROR(RD!H682/1000,0)</f>
        <v>0</v>
      </c>
      <c r="I3209" s="774">
        <f>IFERROR(RD!I682/1000,0)</f>
        <v>0</v>
      </c>
      <c r="J3209" s="774">
        <f>IFERROR(RD!J682/1000,0)</f>
        <v>0</v>
      </c>
      <c r="K3209" s="1760">
        <f t="shared" ref="K3209:R3209" si="1072">C3209/C21*100000</f>
        <v>0</v>
      </c>
      <c r="L3209" s="774">
        <f t="shared" si="1072"/>
        <v>0</v>
      </c>
      <c r="M3209" s="774">
        <f t="shared" si="1072"/>
        <v>0</v>
      </c>
      <c r="N3209" s="774">
        <f t="shared" si="1072"/>
        <v>0</v>
      </c>
      <c r="O3209" s="774">
        <f t="shared" si="1072"/>
        <v>0</v>
      </c>
      <c r="P3209" s="774">
        <f t="shared" si="1072"/>
        <v>0</v>
      </c>
      <c r="Q3209" s="774">
        <f t="shared" si="1072"/>
        <v>0</v>
      </c>
      <c r="R3209" s="775">
        <f t="shared" si="1072"/>
        <v>0</v>
      </c>
    </row>
    <row r="3210" spans="2:18" s="57" customFormat="1" ht="12.5">
      <c r="B3210" s="1753"/>
      <c r="C3210" s="1700"/>
      <c r="D3210" s="679"/>
      <c r="E3210" s="679"/>
      <c r="F3210" s="679"/>
      <c r="G3210" s="679"/>
      <c r="H3210" s="753"/>
      <c r="I3210" s="753"/>
      <c r="J3210" s="753"/>
      <c r="K3210" s="1700"/>
      <c r="L3210" s="679"/>
      <c r="M3210" s="679"/>
      <c r="N3210" s="679"/>
      <c r="O3210" s="679"/>
      <c r="P3210" s="679"/>
      <c r="Q3210" s="679"/>
      <c r="R3210" s="680"/>
    </row>
    <row r="3211" spans="2:18" s="57" customFormat="1" ht="13">
      <c r="B3211" s="1755" t="s">
        <v>1053</v>
      </c>
      <c r="C3211" s="1763"/>
      <c r="D3211" s="816"/>
      <c r="E3211" s="816"/>
      <c r="F3211" s="816"/>
      <c r="G3211" s="816"/>
      <c r="H3211" s="753"/>
      <c r="I3211" s="753"/>
      <c r="J3211" s="753"/>
      <c r="K3211" s="1700"/>
      <c r="L3211" s="679"/>
      <c r="M3211" s="679"/>
      <c r="N3211" s="679"/>
      <c r="O3211" s="679"/>
      <c r="P3211" s="753"/>
      <c r="Q3211" s="753"/>
      <c r="R3211" s="778"/>
    </row>
    <row r="3212" spans="2:18" s="57" customFormat="1" ht="12.5">
      <c r="B3212" s="1758" t="s">
        <v>1356</v>
      </c>
      <c r="C3212" s="1760">
        <f>IFERROR(PY!C1046/1000,0)</f>
        <v>0</v>
      </c>
      <c r="D3212" s="774">
        <f>IFERROR(PY!D1046/1000,0)</f>
        <v>0.42004965804006622</v>
      </c>
      <c r="E3212" s="774">
        <f>IFERROR(PY!E1046/1000,0)</f>
        <v>0.56254530859541985</v>
      </c>
      <c r="F3212" s="774">
        <f>IFERROR(PY!F1046/1000,0)</f>
        <v>0.48048119161626318</v>
      </c>
      <c r="G3212" s="774">
        <f>IFERROR(PY!G1046/1000,0)</f>
        <v>0.60506972957430516</v>
      </c>
      <c r="H3212" s="774">
        <f>IFERROR(PY!H1046/1000,0)</f>
        <v>0.83626485753260082</v>
      </c>
      <c r="I3212" s="774">
        <f>IFERROR(PY!I1046/1000,0)</f>
        <v>1.9529631628738413</v>
      </c>
      <c r="J3212" s="774">
        <f>IFERROR(PY!J1046/1000,0)</f>
        <v>5.8843107238935399</v>
      </c>
      <c r="K3212" s="1760">
        <f t="shared" ref="K3212:R3212" si="1073">C3212/C22*100000</f>
        <v>0</v>
      </c>
      <c r="L3212" s="774">
        <f t="shared" si="1073"/>
        <v>1.292591448658305</v>
      </c>
      <c r="M3212" s="774">
        <f t="shared" si="1073"/>
        <v>1.5831277734318447</v>
      </c>
      <c r="N3212" s="774">
        <f t="shared" si="1073"/>
        <v>1.2235500055073185</v>
      </c>
      <c r="O3212" s="774">
        <f t="shared" si="1073"/>
        <v>1.5640365129993701</v>
      </c>
      <c r="P3212" s="774">
        <f t="shared" si="1073"/>
        <v>2.2773679038355032</v>
      </c>
      <c r="Q3212" s="774">
        <f t="shared" si="1073"/>
        <v>5.5727679402977692</v>
      </c>
      <c r="R3212" s="775">
        <f t="shared" si="1073"/>
        <v>15.921959372271019</v>
      </c>
    </row>
    <row r="3213" spans="2:18" s="57" customFormat="1" ht="12.5">
      <c r="B3213" s="1758"/>
      <c r="C3213" s="1763"/>
      <c r="D3213" s="816"/>
      <c r="E3213" s="816"/>
      <c r="F3213" s="816"/>
      <c r="G3213" s="816"/>
      <c r="H3213" s="753"/>
      <c r="I3213" s="753"/>
      <c r="J3213" s="753"/>
      <c r="K3213" s="1700"/>
      <c r="L3213" s="679"/>
      <c r="M3213" s="679"/>
      <c r="N3213" s="679"/>
      <c r="O3213" s="679"/>
      <c r="P3213" s="679"/>
      <c r="Q3213" s="679"/>
      <c r="R3213" s="680"/>
    </row>
    <row r="3214" spans="2:18" s="57" customFormat="1" ht="13">
      <c r="B3214" s="1755" t="s">
        <v>1054</v>
      </c>
      <c r="C3214" s="1763"/>
      <c r="D3214" s="816"/>
      <c r="E3214" s="816"/>
      <c r="F3214" s="816"/>
      <c r="G3214" s="816"/>
      <c r="H3214" s="753"/>
      <c r="I3214" s="753"/>
      <c r="J3214" s="753"/>
      <c r="K3214" s="1700"/>
      <c r="L3214" s="679"/>
      <c r="M3214" s="679"/>
      <c r="N3214" s="679"/>
      <c r="O3214" s="679"/>
      <c r="P3214" s="679"/>
      <c r="Q3214" s="679"/>
      <c r="R3214" s="680"/>
    </row>
    <row r="3215" spans="2:18" s="57" customFormat="1" ht="12.5">
      <c r="B3215" s="1759" t="s">
        <v>1294</v>
      </c>
      <c r="C3215" s="1760">
        <f>IFERROR(PE!C624/1000,0)</f>
        <v>0</v>
      </c>
      <c r="D3215" s="774">
        <f>IFERROR(PE!D624/1000,0)</f>
        <v>0</v>
      </c>
      <c r="E3215" s="774">
        <f>IFERROR(PE!E624/1000,0)</f>
        <v>0</v>
      </c>
      <c r="F3215" s="774">
        <f>IFERROR(PE!F624/1000,0)</f>
        <v>0</v>
      </c>
      <c r="G3215" s="774">
        <f>IFERROR(PE!G624/1000,0)</f>
        <v>0</v>
      </c>
      <c r="H3215" s="774">
        <f>IFERROR(PE!H624/1000,0)</f>
        <v>0</v>
      </c>
      <c r="I3215" s="774">
        <f>IFERROR(PE!I624/1000,0)</f>
        <v>0</v>
      </c>
      <c r="J3215" s="774">
        <f>IFERROR(PE!J624/1000,0)</f>
        <v>0</v>
      </c>
      <c r="K3215" s="1760">
        <f t="shared" ref="K3215:R3215" si="1074">C3215/C23*100000</f>
        <v>0</v>
      </c>
      <c r="L3215" s="774">
        <f t="shared" si="1074"/>
        <v>0</v>
      </c>
      <c r="M3215" s="774">
        <f t="shared" si="1074"/>
        <v>0</v>
      </c>
      <c r="N3215" s="774">
        <f t="shared" si="1074"/>
        <v>0</v>
      </c>
      <c r="O3215" s="774">
        <f t="shared" si="1074"/>
        <v>0</v>
      </c>
      <c r="P3215" s="774">
        <f t="shared" si="1074"/>
        <v>0</v>
      </c>
      <c r="Q3215" s="774">
        <f t="shared" si="1074"/>
        <v>0</v>
      </c>
      <c r="R3215" s="775">
        <f t="shared" si="1074"/>
        <v>0</v>
      </c>
    </row>
    <row r="3216" spans="2:18" s="57" customFormat="1" ht="12.5">
      <c r="B3216" s="1758"/>
      <c r="C3216" s="1763"/>
      <c r="D3216" s="816"/>
      <c r="E3216" s="816"/>
      <c r="F3216" s="816"/>
      <c r="G3216" s="816"/>
      <c r="H3216" s="753"/>
      <c r="I3216" s="753"/>
      <c r="J3216" s="753"/>
      <c r="K3216" s="1700"/>
      <c r="L3216" s="679"/>
      <c r="M3216" s="679"/>
      <c r="N3216" s="679"/>
      <c r="O3216" s="679"/>
      <c r="P3216" s="679"/>
      <c r="Q3216" s="679"/>
      <c r="R3216" s="680"/>
    </row>
    <row r="3217" spans="2:18" s="57" customFormat="1" ht="13">
      <c r="B3217" s="1755" t="s">
        <v>1055</v>
      </c>
      <c r="C3217" s="1764"/>
      <c r="D3217" s="753"/>
      <c r="E3217" s="753"/>
      <c r="F3217" s="753"/>
      <c r="G3217" s="753"/>
      <c r="H3217" s="753"/>
      <c r="I3217" s="753"/>
      <c r="J3217" s="753"/>
      <c r="K3217" s="1764"/>
      <c r="L3217" s="753"/>
      <c r="M3217" s="753"/>
      <c r="N3217" s="753"/>
      <c r="O3217" s="753"/>
      <c r="P3217" s="753"/>
      <c r="Q3217" s="753"/>
      <c r="R3217" s="778"/>
    </row>
    <row r="3218" spans="2:18" s="57" customFormat="1" ht="25">
      <c r="B3218" s="1775" t="s">
        <v>1852</v>
      </c>
      <c r="C3218" s="820">
        <f>IFERROR(TT!C731/1000,0)</f>
        <v>0.43479399999999996</v>
      </c>
      <c r="D3218" s="821">
        <f>IFERROR(TT!D731/1000,0)</f>
        <v>0.40579199999999999</v>
      </c>
      <c r="E3218" s="821">
        <f>IFERROR(TT!E731/1000,0)</f>
        <v>0.62080499999999994</v>
      </c>
      <c r="F3218" s="821">
        <f>IFERROR(TT!F731/1000,0)</f>
        <v>1.000121</v>
      </c>
      <c r="G3218" s="821">
        <f>IFERROR(TT!G731/1000,0)</f>
        <v>0.602298</v>
      </c>
      <c r="H3218" s="821">
        <f>IFERROR(TT!H731/1000,0)</f>
        <v>0.62578200000000006</v>
      </c>
      <c r="I3218" s="821">
        <f>IFERROR(TT!I731/1000,0)</f>
        <v>0.43767700000000004</v>
      </c>
      <c r="J3218" s="821">
        <f>IFERROR(TT!J731/1000,0)</f>
        <v>0.54795088642396617</v>
      </c>
      <c r="K3218" s="820">
        <f t="shared" ref="K3218:R3218" si="1075">C3218/C24*100000</f>
        <v>1.4688670747313566</v>
      </c>
      <c r="L3218" s="821">
        <f t="shared" si="1075"/>
        <v>1.5055847586048725</v>
      </c>
      <c r="M3218" s="821">
        <f t="shared" si="1075"/>
        <v>2.6320109969411494</v>
      </c>
      <c r="N3218" s="821">
        <f t="shared" si="1075"/>
        <v>4.1867263243155994</v>
      </c>
      <c r="O3218" s="821">
        <f t="shared" si="1075"/>
        <v>2.4711729467095753</v>
      </c>
      <c r="P3218" s="821">
        <f t="shared" si="1075"/>
        <v>2.6242405539448836</v>
      </c>
      <c r="Q3218" s="821">
        <f t="shared" si="1075"/>
        <v>2.0780716369381378</v>
      </c>
      <c r="R3218" s="822">
        <f t="shared" si="1075"/>
        <v>2.2397285452611175</v>
      </c>
    </row>
    <row r="3219" spans="2:18" s="57" customFormat="1" ht="12.5">
      <c r="B3219" s="619"/>
      <c r="C3219" s="622"/>
      <c r="D3219" s="622"/>
      <c r="E3219" s="644"/>
      <c r="F3219" s="644"/>
      <c r="G3219" s="644"/>
      <c r="H3219" s="644"/>
      <c r="I3219" s="644"/>
      <c r="J3219" s="644"/>
      <c r="K3219" s="644"/>
      <c r="L3219" s="644"/>
      <c r="M3219" s="644"/>
      <c r="N3219" s="644"/>
      <c r="O3219" s="644"/>
      <c r="P3219" s="644"/>
      <c r="Q3219" s="644"/>
    </row>
    <row r="3220" spans="2:18" s="57" customFormat="1" ht="13">
      <c r="B3220" s="2158" t="s">
        <v>760</v>
      </c>
      <c r="C3220" s="2158"/>
      <c r="D3220" s="2158"/>
      <c r="E3220" s="2158"/>
      <c r="F3220" s="2158"/>
      <c r="G3220" s="2158"/>
      <c r="H3220" s="2158"/>
      <c r="I3220" s="2158"/>
      <c r="J3220" s="2158"/>
      <c r="K3220" s="2158"/>
      <c r="L3220" s="2158"/>
      <c r="M3220" s="2158"/>
      <c r="N3220" s="2158"/>
      <c r="O3220" s="2158"/>
      <c r="P3220" s="2158"/>
      <c r="Q3220" s="2158"/>
      <c r="R3220" s="2158"/>
    </row>
    <row r="3221" spans="2:18" s="57" customFormat="1" ht="13">
      <c r="B3221" s="2159" t="s">
        <v>1360</v>
      </c>
      <c r="C3221" s="2159"/>
      <c r="D3221" s="2159"/>
      <c r="E3221" s="2159"/>
      <c r="F3221" s="2159"/>
      <c r="G3221" s="2159"/>
      <c r="H3221" s="2159"/>
      <c r="I3221" s="2159"/>
      <c r="J3221" s="2159"/>
      <c r="K3221" s="2159"/>
      <c r="L3221" s="2159"/>
      <c r="M3221" s="2159"/>
      <c r="N3221" s="2159"/>
      <c r="O3221" s="2159"/>
      <c r="P3221" s="2159"/>
      <c r="Q3221" s="2159"/>
      <c r="R3221" s="2159"/>
    </row>
    <row r="3222" spans="2:18" s="57" customFormat="1" ht="13">
      <c r="B3222" s="581" t="s">
        <v>1035</v>
      </c>
      <c r="C3222" s="611"/>
      <c r="D3222" s="611"/>
      <c r="E3222" s="644"/>
      <c r="F3222" s="644"/>
      <c r="G3222" s="644"/>
      <c r="H3222" s="644"/>
      <c r="I3222" s="644"/>
      <c r="J3222" s="644"/>
      <c r="K3222" s="644"/>
      <c r="L3222" s="644"/>
      <c r="M3222" s="644"/>
      <c r="N3222" s="644"/>
      <c r="O3222" s="644"/>
      <c r="P3222" s="644"/>
      <c r="Q3222" s="644"/>
    </row>
    <row r="3223" spans="2:18" s="57" customFormat="1" ht="13">
      <c r="B3223" s="612" t="s">
        <v>2158</v>
      </c>
      <c r="C3223" s="613"/>
      <c r="D3223" s="613"/>
      <c r="E3223" s="644"/>
      <c r="F3223" s="644"/>
      <c r="G3223" s="644"/>
      <c r="H3223" s="644"/>
      <c r="I3223" s="644"/>
      <c r="J3223" s="644"/>
      <c r="K3223" s="644"/>
      <c r="L3223" s="644"/>
      <c r="M3223" s="644"/>
      <c r="N3223" s="644"/>
      <c r="O3223" s="644"/>
      <c r="P3223" s="644"/>
      <c r="Q3223" s="644"/>
    </row>
    <row r="3224" spans="2:18" s="57" customFormat="1" ht="12.5">
      <c r="B3224" s="2233" t="s">
        <v>11</v>
      </c>
      <c r="C3224" s="2230" t="s">
        <v>265</v>
      </c>
      <c r="D3224" s="2231"/>
      <c r="E3224" s="2231"/>
      <c r="F3224" s="2231"/>
      <c r="G3224" s="2231"/>
      <c r="H3224" s="2231"/>
      <c r="I3224" s="2231"/>
      <c r="J3224" s="2232"/>
      <c r="K3224" s="644"/>
      <c r="L3224" s="644"/>
      <c r="M3224" s="644"/>
      <c r="N3224" s="644"/>
      <c r="O3224" s="644"/>
      <c r="P3224" s="644"/>
      <c r="Q3224" s="644"/>
    </row>
    <row r="3225" spans="2:18" s="57" customFormat="1" ht="12.5">
      <c r="B3225" s="2251"/>
      <c r="C3225" s="1765">
        <v>2014</v>
      </c>
      <c r="D3225" s="586">
        <v>2015</v>
      </c>
      <c r="E3225" s="586">
        <v>2016</v>
      </c>
      <c r="F3225" s="586">
        <v>2017</v>
      </c>
      <c r="G3225" s="586">
        <v>2018</v>
      </c>
      <c r="H3225" s="586">
        <v>2019</v>
      </c>
      <c r="I3225" s="586">
        <v>2020</v>
      </c>
      <c r="J3225" s="1651">
        <v>2021</v>
      </c>
      <c r="K3225" s="644"/>
      <c r="L3225" s="644"/>
      <c r="M3225" s="644"/>
      <c r="N3225" s="644"/>
      <c r="O3225" s="644"/>
      <c r="P3225" s="644"/>
      <c r="Q3225" s="644"/>
    </row>
    <row r="3226" spans="2:18" s="57" customFormat="1" ht="13">
      <c r="B3226" s="696" t="s">
        <v>1038</v>
      </c>
      <c r="C3226" s="697"/>
      <c r="D3226" s="698"/>
      <c r="E3226" s="698"/>
      <c r="F3226" s="698"/>
      <c r="G3226" s="698"/>
      <c r="H3226" s="698"/>
      <c r="I3226" s="698"/>
      <c r="J3226" s="699"/>
      <c r="K3226" s="768"/>
      <c r="L3226" s="768"/>
      <c r="M3226" s="768"/>
      <c r="N3226" s="768"/>
      <c r="O3226" s="768"/>
      <c r="P3226" s="768"/>
      <c r="Q3226" s="768"/>
    </row>
    <row r="3227" spans="2:18" s="57" customFormat="1" ht="25">
      <c r="B3227" s="1752" t="s">
        <v>1338</v>
      </c>
      <c r="C3227" s="1767">
        <f>IFERROR(ARG!C1127,0)</f>
        <v>0</v>
      </c>
      <c r="D3227" s="721">
        <f>IFERROR(ARG!D1127,0)</f>
        <v>66</v>
      </c>
      <c r="E3227" s="721">
        <f>IFERROR(ARG!E1127,0)</f>
        <v>85</v>
      </c>
      <c r="F3227" s="721">
        <f>IFERROR(ARG!F1127,0)</f>
        <v>123</v>
      </c>
      <c r="G3227" s="721">
        <f>IFERROR(ARG!G1127,0)</f>
        <v>128</v>
      </c>
      <c r="H3227" s="721">
        <f>IFERROR(ARG!H1127,0)</f>
        <v>108</v>
      </c>
      <c r="I3227" s="721">
        <f>IFERROR(ARG!I1127,0)</f>
        <v>119</v>
      </c>
      <c r="J3227" s="1639">
        <f>IFERROR(ARG!J1127,0)</f>
        <v>129</v>
      </c>
      <c r="K3227" s="768"/>
      <c r="L3227" s="768"/>
      <c r="M3227" s="768"/>
      <c r="N3227" s="768"/>
      <c r="O3227" s="768"/>
      <c r="P3227" s="768"/>
      <c r="Q3227" s="768"/>
    </row>
    <row r="3228" spans="2:18" s="57" customFormat="1" ht="25">
      <c r="B3228" s="1752" t="s">
        <v>1335</v>
      </c>
      <c r="C3228" s="1767">
        <f>IFERROR(ARG!C1108,0)</f>
        <v>70</v>
      </c>
      <c r="D3228" s="721">
        <f>IFERROR(ARG!D1108,0)</f>
        <v>92</v>
      </c>
      <c r="E3228" s="721">
        <f>IFERROR(ARG!E1108,0)</f>
        <v>115</v>
      </c>
      <c r="F3228" s="721">
        <f>IFERROR(ARG!F1108,0)</f>
        <v>151</v>
      </c>
      <c r="G3228" s="721">
        <f>IFERROR(ARG!G1108,0)</f>
        <v>162</v>
      </c>
      <c r="H3228" s="721">
        <f>IFERROR(ARG!H1108,0)</f>
        <v>180</v>
      </c>
      <c r="I3228" s="721">
        <f>IFERROR(ARG!I1108,0)</f>
        <v>194</v>
      </c>
      <c r="J3228" s="1639">
        <f>IFERROR(ARG!J1108,0)</f>
        <v>211</v>
      </c>
      <c r="K3228" s="768"/>
      <c r="L3228" s="768"/>
      <c r="M3228" s="768"/>
      <c r="N3228" s="768"/>
      <c r="O3228" s="768"/>
      <c r="P3228" s="768"/>
      <c r="Q3228" s="768"/>
    </row>
    <row r="3229" spans="2:18" s="57" customFormat="1" ht="25">
      <c r="B3229" s="1752" t="s">
        <v>1337</v>
      </c>
      <c r="C3229" s="1767">
        <f>IFERROR(ARG!C1089,0)</f>
        <v>200</v>
      </c>
      <c r="D3229" s="721">
        <f>IFERROR(ARG!D1089,0)</f>
        <v>205</v>
      </c>
      <c r="E3229" s="721">
        <f>IFERROR(ARG!E1089,0)</f>
        <v>229</v>
      </c>
      <c r="F3229" s="721">
        <f>IFERROR(ARG!F1089,0)</f>
        <v>249</v>
      </c>
      <c r="G3229" s="721">
        <f>IFERROR(ARG!G1089,0)</f>
        <v>240</v>
      </c>
      <c r="H3229" s="721">
        <f>IFERROR(ARG!H1089,0)</f>
        <v>247</v>
      </c>
      <c r="I3229" s="721">
        <f>IFERROR(ARG!I1089,0)</f>
        <v>248</v>
      </c>
      <c r="J3229" s="1639">
        <f>IFERROR(ARG!J1089,0)</f>
        <v>255</v>
      </c>
      <c r="K3229" s="768"/>
      <c r="L3229" s="768"/>
      <c r="M3229" s="768"/>
      <c r="N3229" s="768"/>
      <c r="O3229" s="768"/>
      <c r="P3229" s="768"/>
      <c r="Q3229" s="768"/>
    </row>
    <row r="3230" spans="2:18" s="57" customFormat="1" ht="25">
      <c r="B3230" s="1752" t="s">
        <v>1341</v>
      </c>
      <c r="C3230" s="1767">
        <f>IFERROR(ARG!C1070,0)</f>
        <v>85</v>
      </c>
      <c r="D3230" s="721">
        <f>IFERROR(ARG!D1070,0)</f>
        <v>72</v>
      </c>
      <c r="E3230" s="721">
        <f>IFERROR(ARG!E1070,0)</f>
        <v>77</v>
      </c>
      <c r="F3230" s="721">
        <f>IFERROR(ARG!F1070,0)</f>
        <v>73</v>
      </c>
      <c r="G3230" s="721">
        <f>IFERROR(ARG!G1070,0)</f>
        <v>127</v>
      </c>
      <c r="H3230" s="721">
        <f>IFERROR(ARG!H1070,0)</f>
        <v>188</v>
      </c>
      <c r="I3230" s="721">
        <f>IFERROR(ARG!I1070,0)</f>
        <v>189</v>
      </c>
      <c r="J3230" s="1639">
        <f>IFERROR(ARG!J1070,0)</f>
        <v>190</v>
      </c>
      <c r="K3230" s="768"/>
      <c r="L3230" s="768"/>
      <c r="M3230" s="768"/>
      <c r="N3230" s="768"/>
      <c r="O3230" s="768"/>
      <c r="P3230" s="768"/>
      <c r="Q3230" s="768"/>
    </row>
    <row r="3231" spans="2:18" s="57" customFormat="1" ht="12.5">
      <c r="B3231" s="1752"/>
      <c r="C3231" s="1767"/>
      <c r="D3231" s="721"/>
      <c r="E3231" s="721"/>
      <c r="F3231" s="721"/>
      <c r="G3231" s="721"/>
      <c r="H3231" s="721"/>
      <c r="I3231" s="721"/>
      <c r="J3231" s="1639"/>
      <c r="K3231" s="768"/>
      <c r="L3231" s="768"/>
      <c r="M3231" s="768"/>
      <c r="N3231" s="768"/>
      <c r="O3231" s="768"/>
      <c r="P3231" s="768"/>
      <c r="Q3231" s="768"/>
    </row>
    <row r="3232" spans="2:18" s="57" customFormat="1" ht="13">
      <c r="B3232" s="1754" t="s">
        <v>1039</v>
      </c>
      <c r="C3232" s="1767"/>
      <c r="D3232" s="721"/>
      <c r="E3232" s="721"/>
      <c r="F3232" s="721"/>
      <c r="G3232" s="721"/>
      <c r="H3232" s="721"/>
      <c r="I3232" s="721"/>
      <c r="J3232" s="1639"/>
      <c r="K3232" s="768"/>
      <c r="L3232" s="768"/>
      <c r="M3232" s="768"/>
      <c r="N3232" s="768"/>
      <c r="O3232" s="768"/>
      <c r="P3232" s="768"/>
      <c r="Q3232" s="768"/>
    </row>
    <row r="3233" spans="2:17" s="57" customFormat="1" ht="25">
      <c r="B3233" s="1908" t="s">
        <v>1888</v>
      </c>
      <c r="C3233" s="1767">
        <f>IFERROR(BA!C474,0)</f>
        <v>8</v>
      </c>
      <c r="D3233" s="721">
        <f>IFERROR(BA!D474,0)</f>
        <v>8</v>
      </c>
      <c r="E3233" s="721">
        <f>IFERROR(BA!E474,0)</f>
        <v>8</v>
      </c>
      <c r="F3233" s="721">
        <f>IFERROR(BA!F474,0)</f>
        <v>8</v>
      </c>
      <c r="G3233" s="721">
        <f>IFERROR(BA!G474,0)</f>
        <v>8</v>
      </c>
      <c r="H3233" s="721">
        <f>IFERROR(BA!H474,0)</f>
        <v>8</v>
      </c>
      <c r="I3233" s="721">
        <f>IFERROR(BA!I474,0)</f>
        <v>8</v>
      </c>
      <c r="J3233" s="1639">
        <f>IFERROR(BA!J474,0)</f>
        <v>8</v>
      </c>
      <c r="K3233" s="768"/>
      <c r="L3233" s="768"/>
      <c r="M3233" s="768"/>
      <c r="N3233" s="768"/>
      <c r="O3233" s="768"/>
      <c r="P3233" s="768"/>
      <c r="Q3233" s="768"/>
    </row>
    <row r="3234" spans="2:17" s="57" customFormat="1" ht="12.5">
      <c r="B3234" s="1752"/>
      <c r="C3234" s="1767"/>
      <c r="D3234" s="721"/>
      <c r="E3234" s="721"/>
      <c r="F3234" s="721"/>
      <c r="G3234" s="721"/>
      <c r="H3234" s="721"/>
      <c r="I3234" s="721"/>
      <c r="J3234" s="1639"/>
      <c r="K3234" s="768"/>
      <c r="L3234" s="768"/>
      <c r="M3234" s="768"/>
      <c r="N3234" s="768"/>
      <c r="O3234" s="768"/>
      <c r="P3234" s="768"/>
      <c r="Q3234" s="768"/>
    </row>
    <row r="3235" spans="2:17" s="57" customFormat="1" ht="13">
      <c r="B3235" s="1754" t="s">
        <v>1040</v>
      </c>
      <c r="C3235" s="1766"/>
      <c r="D3235" s="701"/>
      <c r="E3235" s="701"/>
      <c r="F3235" s="701"/>
      <c r="G3235" s="701"/>
      <c r="H3235" s="701"/>
      <c r="I3235" s="701"/>
      <c r="J3235" s="707"/>
      <c r="K3235" s="768"/>
      <c r="L3235" s="768"/>
      <c r="M3235" s="768"/>
      <c r="N3235" s="768"/>
      <c r="O3235" s="768"/>
      <c r="P3235" s="768"/>
      <c r="Q3235" s="768"/>
    </row>
    <row r="3236" spans="2:17" s="57" customFormat="1" ht="12.5">
      <c r="B3236" s="1752" t="s">
        <v>1361</v>
      </c>
      <c r="C3236" s="1767">
        <f>IFERROR(BO!C722,0)</f>
        <v>0</v>
      </c>
      <c r="D3236" s="721">
        <f>IFERROR(BO!D722,0)</f>
        <v>16</v>
      </c>
      <c r="E3236" s="721">
        <f>IFERROR(BO!E722,0)</f>
        <v>17</v>
      </c>
      <c r="F3236" s="721">
        <f>IFERROR(BO!F722,0)</f>
        <v>20</v>
      </c>
      <c r="G3236" s="721">
        <f>IFERROR(BO!G722,0)</f>
        <v>21</v>
      </c>
      <c r="H3236" s="721">
        <f>IFERROR(BO!H722,0)</f>
        <v>21</v>
      </c>
      <c r="I3236" s="721">
        <f>IFERROR(BO!I722,0)</f>
        <v>25</v>
      </c>
      <c r="J3236" s="1639">
        <f>IFERROR(BO!J722,0)</f>
        <v>29</v>
      </c>
      <c r="K3236" s="768"/>
      <c r="L3236" s="768"/>
      <c r="M3236" s="768"/>
      <c r="N3236" s="768"/>
      <c r="O3236" s="768"/>
      <c r="P3236" s="768"/>
      <c r="Q3236" s="768"/>
    </row>
    <row r="3237" spans="2:17" s="57" customFormat="1" ht="12.5">
      <c r="B3237" s="1752" t="s">
        <v>1263</v>
      </c>
      <c r="C3237" s="1767">
        <f>IFERROR(BO!C760,0)</f>
        <v>0</v>
      </c>
      <c r="D3237" s="721">
        <f>IFERROR(BO!D760,0)</f>
        <v>18</v>
      </c>
      <c r="E3237" s="721">
        <f>IFERROR(BO!E760,0)</f>
        <v>16</v>
      </c>
      <c r="F3237" s="721">
        <f>IFERROR(BO!F760,0)</f>
        <v>16</v>
      </c>
      <c r="G3237" s="721">
        <f>IFERROR(BO!G760,0)</f>
        <v>16</v>
      </c>
      <c r="H3237" s="721">
        <f>IFERROR(BO!H760,0)</f>
        <v>16</v>
      </c>
      <c r="I3237" s="721">
        <f>IFERROR(BO!I760,0)</f>
        <v>16</v>
      </c>
      <c r="J3237" s="1639">
        <f>IFERROR(BO!J760,0)</f>
        <v>16</v>
      </c>
      <c r="K3237" s="768"/>
      <c r="L3237" s="768"/>
      <c r="M3237" s="768"/>
      <c r="N3237" s="768"/>
      <c r="O3237" s="768"/>
      <c r="P3237" s="768"/>
      <c r="Q3237" s="768"/>
    </row>
    <row r="3238" spans="2:17" s="57" customFormat="1" ht="25">
      <c r="B3238" s="1752" t="s">
        <v>2159</v>
      </c>
      <c r="C3238" s="1767">
        <f>IFERROR(BO!C741,0)</f>
        <v>0</v>
      </c>
      <c r="D3238" s="721">
        <f>IFERROR(BO!D741,0)</f>
        <v>0</v>
      </c>
      <c r="E3238" s="721">
        <f>IFERROR(BO!E741,0)</f>
        <v>0</v>
      </c>
      <c r="F3238" s="721">
        <f>IFERROR(BO!F741,0)</f>
        <v>0</v>
      </c>
      <c r="G3238" s="721">
        <f>IFERROR(BO!G741,0)</f>
        <v>0</v>
      </c>
      <c r="H3238" s="721">
        <f>IFERROR(BO!H741,0)</f>
        <v>0</v>
      </c>
      <c r="I3238" s="721">
        <f>IFERROR(BO!I741,0)</f>
        <v>1</v>
      </c>
      <c r="J3238" s="1639">
        <f>IFERROR(BO!J741,0)</f>
        <v>1</v>
      </c>
      <c r="K3238" s="768"/>
      <c r="L3238" s="768"/>
      <c r="M3238" s="768"/>
      <c r="N3238" s="768"/>
      <c r="O3238" s="768"/>
      <c r="P3238" s="768"/>
      <c r="Q3238" s="768"/>
    </row>
    <row r="3239" spans="2:17" s="57" customFormat="1" ht="12.5">
      <c r="B3239" s="1752"/>
      <c r="C3239" s="1766"/>
      <c r="D3239" s="701"/>
      <c r="E3239" s="701"/>
      <c r="F3239" s="701"/>
      <c r="G3239" s="701"/>
      <c r="H3239" s="701"/>
      <c r="I3239" s="701"/>
      <c r="J3239" s="707"/>
      <c r="K3239" s="768"/>
      <c r="L3239" s="768"/>
      <c r="M3239" s="768"/>
      <c r="N3239" s="768"/>
      <c r="O3239" s="768"/>
      <c r="P3239" s="768"/>
      <c r="Q3239" s="768"/>
    </row>
    <row r="3240" spans="2:17" s="57" customFormat="1" ht="13">
      <c r="B3240" s="1754" t="s">
        <v>1041</v>
      </c>
      <c r="C3240" s="1766"/>
      <c r="D3240" s="701"/>
      <c r="E3240" s="701"/>
      <c r="F3240" s="701"/>
      <c r="G3240" s="701"/>
      <c r="H3240" s="701"/>
      <c r="I3240" s="701"/>
      <c r="J3240" s="707"/>
      <c r="K3240" s="768"/>
      <c r="L3240" s="768"/>
      <c r="M3240" s="768"/>
      <c r="N3240" s="768"/>
      <c r="O3240" s="768"/>
      <c r="P3240" s="768"/>
      <c r="Q3240" s="768"/>
    </row>
    <row r="3241" spans="2:17" s="57" customFormat="1" ht="12.5">
      <c r="B3241" s="1752" t="s">
        <v>1313</v>
      </c>
      <c r="C3241" s="1767">
        <f>IFERROR(BR!C773,0)</f>
        <v>79</v>
      </c>
      <c r="D3241" s="721">
        <f>IFERROR(BR!D773,0)</f>
        <v>70</v>
      </c>
      <c r="E3241" s="721">
        <f>IFERROR(BR!E773,0)</f>
        <v>68</v>
      </c>
      <c r="F3241" s="721">
        <f>IFERROR(BR!F773,0)</f>
        <v>62</v>
      </c>
      <c r="G3241" s="721">
        <f>IFERROR(BR!G773,0)</f>
        <v>0</v>
      </c>
      <c r="H3241" s="721">
        <f>IFERROR(BR!H773,0)</f>
        <v>0</v>
      </c>
      <c r="I3241" s="721">
        <f>IFERROR(BR!I773,0)</f>
        <v>0</v>
      </c>
      <c r="J3241" s="1639">
        <f>IFERROR(BR!J773,0)</f>
        <v>0</v>
      </c>
      <c r="K3241" s="768"/>
      <c r="L3241" s="768"/>
      <c r="M3241" s="768"/>
      <c r="N3241" s="768"/>
      <c r="O3241" s="768"/>
      <c r="P3241" s="768"/>
      <c r="Q3241" s="768"/>
    </row>
    <row r="3242" spans="2:17" s="57" customFormat="1" ht="12.5">
      <c r="B3242" s="1752" t="s">
        <v>1350</v>
      </c>
      <c r="C3242" s="1767">
        <f>IFERROR(BR!C792,0)</f>
        <v>69</v>
      </c>
      <c r="D3242" s="721">
        <f>IFERROR(BR!D792,0)</f>
        <v>58</v>
      </c>
      <c r="E3242" s="721">
        <f>IFERROR(BR!E792,0)</f>
        <v>57</v>
      </c>
      <c r="F3242" s="721">
        <f>IFERROR(BR!F792,0)</f>
        <v>56</v>
      </c>
      <c r="G3242" s="721">
        <f>IFERROR(BR!G792,0)</f>
        <v>62</v>
      </c>
      <c r="H3242" s="721">
        <f>IFERROR(BR!H792,0)</f>
        <v>67</v>
      </c>
      <c r="I3242" s="721">
        <f>IFERROR(BR!I792,0)</f>
        <v>69</v>
      </c>
      <c r="J3242" s="1639">
        <f>IFERROR(BR!J792,0)</f>
        <v>70</v>
      </c>
      <c r="K3242" s="768"/>
      <c r="L3242" s="768"/>
      <c r="M3242" s="768"/>
      <c r="N3242" s="768"/>
      <c r="O3242" s="768"/>
      <c r="P3242" s="768"/>
      <c r="Q3242" s="768"/>
    </row>
    <row r="3243" spans="2:17" s="57" customFormat="1" ht="12.5">
      <c r="B3243" s="1752" t="s">
        <v>965</v>
      </c>
      <c r="C3243" s="1767">
        <f>IFERROR(BR!C811,0)</f>
        <v>54</v>
      </c>
      <c r="D3243" s="721">
        <f>IFERROR(BR!D811,0)</f>
        <v>43</v>
      </c>
      <c r="E3243" s="721">
        <f>IFERROR(BR!E811,0)</f>
        <v>40</v>
      </c>
      <c r="F3243" s="721">
        <f>IFERROR(BR!F811,0)</f>
        <v>38</v>
      </c>
      <c r="G3243" s="721">
        <f>IFERROR(BR!G811,0)</f>
        <v>0</v>
      </c>
      <c r="H3243" s="721">
        <f>IFERROR(BR!H811,0)</f>
        <v>0</v>
      </c>
      <c r="I3243" s="721">
        <f>IFERROR(BR!I811,0)</f>
        <v>0</v>
      </c>
      <c r="J3243" s="1639">
        <f>IFERROR(BR!J811,0)</f>
        <v>0</v>
      </c>
      <c r="K3243" s="768"/>
      <c r="L3243" s="768"/>
      <c r="M3243" s="768"/>
      <c r="N3243" s="768"/>
      <c r="O3243" s="768"/>
      <c r="P3243" s="768"/>
      <c r="Q3243" s="768"/>
    </row>
    <row r="3244" spans="2:17" s="57" customFormat="1" ht="12.5">
      <c r="B3244" s="1752" t="s">
        <v>1351</v>
      </c>
      <c r="C3244" s="1767">
        <f>IFERROR(BR!C830,0)</f>
        <v>699</v>
      </c>
      <c r="D3244" s="721">
        <f>IFERROR(BR!D830,0)</f>
        <v>700</v>
      </c>
      <c r="E3244" s="721">
        <f>IFERROR(BR!E830,0)</f>
        <v>698</v>
      </c>
      <c r="F3244" s="721">
        <f>IFERROR(BR!F830,0)</f>
        <v>749</v>
      </c>
      <c r="G3244" s="721">
        <f>IFERROR(BR!G830,0)</f>
        <v>969</v>
      </c>
      <c r="H3244" s="721">
        <f>IFERROR(BR!H830,0)</f>
        <v>936</v>
      </c>
      <c r="I3244" s="721">
        <f>IFERROR(BR!I830,0)</f>
        <v>930</v>
      </c>
      <c r="J3244" s="1639">
        <f>IFERROR(BR!J830,0)</f>
        <v>933</v>
      </c>
      <c r="K3244" s="768"/>
      <c r="L3244" s="768"/>
      <c r="M3244" s="768"/>
      <c r="N3244" s="768"/>
      <c r="O3244" s="768"/>
      <c r="P3244" s="768"/>
      <c r="Q3244" s="768"/>
    </row>
    <row r="3245" spans="2:17" s="57" customFormat="1" ht="12.5">
      <c r="B3245" s="1752"/>
      <c r="C3245" s="1766"/>
      <c r="D3245" s="701"/>
      <c r="E3245" s="701"/>
      <c r="F3245" s="701"/>
      <c r="G3245" s="701"/>
      <c r="H3245" s="701"/>
      <c r="I3245" s="701"/>
      <c r="J3245" s="707"/>
      <c r="K3245" s="768"/>
      <c r="L3245" s="768"/>
      <c r="M3245" s="768"/>
      <c r="N3245" s="768"/>
      <c r="O3245" s="768"/>
      <c r="P3245" s="768"/>
      <c r="Q3245" s="768"/>
    </row>
    <row r="3246" spans="2:17" s="57" customFormat="1" ht="13">
      <c r="B3246" s="1755" t="s">
        <v>1042</v>
      </c>
      <c r="C3246" s="1766"/>
      <c r="D3246" s="701"/>
      <c r="E3246" s="701"/>
      <c r="F3246" s="701"/>
      <c r="G3246" s="701"/>
      <c r="H3246" s="702"/>
      <c r="I3246" s="702"/>
      <c r="J3246" s="703"/>
      <c r="K3246" s="768"/>
      <c r="L3246" s="768"/>
      <c r="M3246" s="768"/>
      <c r="N3246" s="768"/>
      <c r="O3246" s="768"/>
      <c r="P3246" s="768"/>
      <c r="Q3246" s="768"/>
    </row>
    <row r="3247" spans="2:17" s="57" customFormat="1" ht="12.5">
      <c r="B3247" s="1757" t="s">
        <v>1362</v>
      </c>
      <c r="C3247" s="1767">
        <f>IFERROR(CL!C508,0)</f>
        <v>31</v>
      </c>
      <c r="D3247" s="721">
        <f>IFERROR(CL!D508,0)</f>
        <v>34</v>
      </c>
      <c r="E3247" s="721">
        <f>IFERROR(CL!E508,0)</f>
        <v>33</v>
      </c>
      <c r="F3247" s="721">
        <f>IFERROR(CL!F508,0)</f>
        <v>32</v>
      </c>
      <c r="G3247" s="721">
        <f>IFERROR(CL!G508,0)</f>
        <v>32</v>
      </c>
      <c r="H3247" s="721">
        <f>IFERROR(CL!H508,0)</f>
        <v>29</v>
      </c>
      <c r="I3247" s="721">
        <f>IFERROR(CL!I508,0)</f>
        <v>30</v>
      </c>
      <c r="J3247" s="1639">
        <f>IFERROR(CL!J508,0)</f>
        <v>30</v>
      </c>
      <c r="K3247" s="768"/>
      <c r="L3247" s="768"/>
      <c r="M3247" s="768"/>
      <c r="N3247" s="768"/>
      <c r="O3247" s="768"/>
      <c r="P3247" s="768"/>
      <c r="Q3247" s="768"/>
    </row>
    <row r="3248" spans="2:17" s="57" customFormat="1" ht="12.5">
      <c r="B3248" s="1757" t="s">
        <v>1353</v>
      </c>
      <c r="C3248" s="1767">
        <f>IFERROR(CL!C514,0)</f>
        <v>0</v>
      </c>
      <c r="D3248" s="721">
        <f>IFERROR(CL!D514,0)</f>
        <v>13</v>
      </c>
      <c r="E3248" s="721">
        <f>IFERROR(CL!E514,0)</f>
        <v>12</v>
      </c>
      <c r="F3248" s="721">
        <f>IFERROR(CL!F514,0)</f>
        <v>12</v>
      </c>
      <c r="G3248" s="721">
        <f>IFERROR(CL!G514,0)</f>
        <v>11</v>
      </c>
      <c r="H3248" s="721">
        <f>IFERROR(CL!H514,0)</f>
        <v>11</v>
      </c>
      <c r="I3248" s="721">
        <f>IFERROR(CL!I514,0)</f>
        <v>11</v>
      </c>
      <c r="J3248" s="1639">
        <f>IFERROR(CL!J514,0)</f>
        <v>11</v>
      </c>
      <c r="K3248" s="768"/>
      <c r="L3248" s="768"/>
      <c r="M3248" s="768"/>
      <c r="N3248" s="768"/>
      <c r="O3248" s="768"/>
      <c r="P3248" s="768"/>
      <c r="Q3248" s="768"/>
    </row>
    <row r="3249" spans="2:17" s="57" customFormat="1" ht="12.5">
      <c r="B3249" s="1757"/>
      <c r="C3249" s="1766"/>
      <c r="D3249" s="701"/>
      <c r="E3249" s="701"/>
      <c r="F3249" s="701"/>
      <c r="G3249" s="701"/>
      <c r="H3249" s="702"/>
      <c r="I3249" s="702"/>
      <c r="J3249" s="703"/>
      <c r="K3249" s="768"/>
      <c r="L3249" s="768"/>
      <c r="M3249" s="768"/>
      <c r="N3249" s="768"/>
      <c r="O3249" s="768"/>
      <c r="P3249" s="768"/>
      <c r="Q3249" s="768"/>
    </row>
    <row r="3250" spans="2:17" s="57" customFormat="1" ht="13">
      <c r="B3250" s="1755" t="s">
        <v>1043</v>
      </c>
      <c r="C3250" s="1766"/>
      <c r="D3250" s="701"/>
      <c r="E3250" s="701"/>
      <c r="F3250" s="701"/>
      <c r="G3250" s="701"/>
      <c r="H3250" s="702"/>
      <c r="I3250" s="702"/>
      <c r="J3250" s="703"/>
      <c r="K3250" s="768"/>
      <c r="L3250" s="768"/>
      <c r="M3250" s="768"/>
      <c r="N3250" s="768"/>
      <c r="O3250" s="768"/>
      <c r="P3250" s="768"/>
      <c r="Q3250" s="768"/>
    </row>
    <row r="3251" spans="2:17" s="57" customFormat="1" ht="12.5">
      <c r="B3251" s="1753" t="s">
        <v>620</v>
      </c>
      <c r="C3251" s="1767">
        <f>IFERROR(CO!C711,0)</f>
        <v>31</v>
      </c>
      <c r="D3251" s="721">
        <f>IFERROR(CO!D711,0)</f>
        <v>32</v>
      </c>
      <c r="E3251" s="721">
        <f>IFERROR(CO!E711,0)</f>
        <v>36</v>
      </c>
      <c r="F3251" s="721">
        <f>IFERROR(CO!F711,0)</f>
        <v>37</v>
      </c>
      <c r="G3251" s="721">
        <f>IFERROR(CO!G711,0)</f>
        <v>36</v>
      </c>
      <c r="H3251" s="721">
        <f>IFERROR(CO!H711,0)</f>
        <v>37</v>
      </c>
      <c r="I3251" s="721">
        <f>IFERROR(CO!I711,0)</f>
        <v>52</v>
      </c>
      <c r="J3251" s="1639">
        <f>IFERROR(CO!J711,0)</f>
        <v>52</v>
      </c>
      <c r="K3251" s="768"/>
      <c r="L3251" s="768"/>
      <c r="M3251" s="768"/>
      <c r="N3251" s="768"/>
      <c r="O3251" s="768"/>
      <c r="P3251" s="768"/>
      <c r="Q3251" s="768"/>
    </row>
    <row r="3252" spans="2:17" s="57" customFormat="1" ht="12.5">
      <c r="B3252" s="1753" t="s">
        <v>622</v>
      </c>
      <c r="C3252" s="1767">
        <f>IFERROR(CO!C730,0)</f>
        <v>36</v>
      </c>
      <c r="D3252" s="721">
        <f>IFERROR(CO!D730,0)</f>
        <v>35</v>
      </c>
      <c r="E3252" s="721">
        <f>IFERROR(CO!E730,0)</f>
        <v>35</v>
      </c>
      <c r="F3252" s="721">
        <f>IFERROR(CO!F730,0)</f>
        <v>36</v>
      </c>
      <c r="G3252" s="721">
        <f>IFERROR(CO!G730,0)</f>
        <v>36</v>
      </c>
      <c r="H3252" s="721">
        <f>IFERROR(CO!H730,0)</f>
        <v>38</v>
      </c>
      <c r="I3252" s="721">
        <f>IFERROR(CO!I730,0)</f>
        <v>33</v>
      </c>
      <c r="J3252" s="1639">
        <f>IFERROR(CO!J730,0)</f>
        <v>0</v>
      </c>
      <c r="K3252" s="768"/>
      <c r="L3252" s="768"/>
      <c r="M3252" s="768"/>
      <c r="N3252" s="768"/>
      <c r="O3252" s="768"/>
      <c r="P3252" s="768"/>
      <c r="Q3252" s="768"/>
    </row>
    <row r="3253" spans="2:17" s="57" customFormat="1" ht="12.5">
      <c r="B3253" s="1753"/>
      <c r="C3253" s="1766"/>
      <c r="D3253" s="701"/>
      <c r="E3253" s="701"/>
      <c r="F3253" s="701"/>
      <c r="G3253" s="701"/>
      <c r="H3253" s="702"/>
      <c r="I3253" s="702"/>
      <c r="J3253" s="703"/>
      <c r="K3253" s="768"/>
      <c r="L3253" s="768"/>
      <c r="M3253" s="768"/>
      <c r="N3253" s="768"/>
      <c r="O3253" s="768"/>
      <c r="P3253" s="768"/>
      <c r="Q3253" s="768"/>
    </row>
    <row r="3254" spans="2:17" s="57" customFormat="1" ht="13">
      <c r="B3254" s="1755" t="s">
        <v>1044</v>
      </c>
      <c r="C3254" s="1766"/>
      <c r="D3254" s="701"/>
      <c r="E3254" s="701"/>
      <c r="F3254" s="701"/>
      <c r="G3254" s="701"/>
      <c r="H3254" s="702"/>
      <c r="I3254" s="702"/>
      <c r="J3254" s="703"/>
      <c r="K3254" s="768"/>
      <c r="L3254" s="768"/>
      <c r="M3254" s="768"/>
      <c r="N3254" s="768"/>
      <c r="O3254" s="768"/>
      <c r="P3254" s="768"/>
      <c r="Q3254" s="768"/>
    </row>
    <row r="3255" spans="2:17" s="57" customFormat="1" ht="12.5">
      <c r="B3255" s="1753" t="s">
        <v>1317</v>
      </c>
      <c r="C3255" s="1767">
        <f>IFERROR(CR!C569,0)</f>
        <v>28</v>
      </c>
      <c r="D3255" s="721">
        <f>IFERROR(CR!D569,0)</f>
        <v>28</v>
      </c>
      <c r="E3255" s="721">
        <f>IFERROR(CR!E569,0)</f>
        <v>28</v>
      </c>
      <c r="F3255" s="721">
        <f>IFERROR(CR!F569,0)</f>
        <v>28</v>
      </c>
      <c r="G3255" s="721">
        <f>IFERROR(CR!G569,0)</f>
        <v>23</v>
      </c>
      <c r="H3255" s="721">
        <f>IFERROR(CR!H569,0)</f>
        <v>23</v>
      </c>
      <c r="I3255" s="721">
        <f>IFERROR(CR!I569,0)</f>
        <v>23</v>
      </c>
      <c r="J3255" s="1639">
        <f>IFERROR(CR!J569,0)</f>
        <v>23</v>
      </c>
      <c r="K3255" s="768"/>
    </row>
    <row r="3256" spans="2:17" s="57" customFormat="1" ht="12.5">
      <c r="B3256" s="1753" t="s">
        <v>1675</v>
      </c>
      <c r="C3256" s="1767">
        <f>IFERROR(CR!C588,0)</f>
        <v>28</v>
      </c>
      <c r="D3256" s="721">
        <f>IFERROR(CR!D588,0)</f>
        <v>29</v>
      </c>
      <c r="E3256" s="721">
        <f>IFERROR(CR!E588,0)</f>
        <v>30</v>
      </c>
      <c r="F3256" s="721">
        <f>IFERROR(CR!F588,0)</f>
        <v>31</v>
      </c>
      <c r="G3256" s="721">
        <f>IFERROR(CR!G588,0)</f>
        <v>31</v>
      </c>
      <c r="H3256" s="721">
        <f>IFERROR(CR!H588,0)</f>
        <v>30</v>
      </c>
      <c r="I3256" s="721">
        <f>IFERROR(CR!I588,0)</f>
        <v>31</v>
      </c>
      <c r="J3256" s="1639">
        <f>IFERROR(CR!J588,0)</f>
        <v>29</v>
      </c>
      <c r="K3256" s="768"/>
    </row>
    <row r="3257" spans="2:17" s="57" customFormat="1" ht="12.5">
      <c r="B3257" s="1753"/>
      <c r="C3257" s="1766"/>
      <c r="D3257" s="701"/>
      <c r="E3257" s="701"/>
      <c r="F3257" s="701"/>
      <c r="G3257" s="701"/>
      <c r="H3257" s="701"/>
      <c r="I3257" s="701"/>
      <c r="J3257" s="707"/>
      <c r="K3257" s="768"/>
      <c r="L3257" s="768"/>
      <c r="M3257" s="768"/>
      <c r="N3257" s="768"/>
      <c r="O3257" s="768"/>
      <c r="P3257" s="768"/>
      <c r="Q3257" s="768"/>
    </row>
    <row r="3258" spans="2:17" s="57" customFormat="1" ht="13">
      <c r="B3258" s="1754" t="s">
        <v>1061</v>
      </c>
      <c r="C3258" s="1766"/>
      <c r="D3258" s="701"/>
      <c r="E3258" s="701"/>
      <c r="F3258" s="701"/>
      <c r="G3258" s="701"/>
      <c r="H3258" s="701"/>
      <c r="I3258" s="701"/>
      <c r="J3258" s="707"/>
      <c r="K3258" s="768"/>
      <c r="L3258" s="768"/>
      <c r="M3258" s="768"/>
      <c r="N3258" s="768"/>
      <c r="O3258" s="768"/>
      <c r="P3258" s="768"/>
      <c r="Q3258" s="768"/>
    </row>
    <row r="3259" spans="2:17" s="57" customFormat="1" ht="12.5">
      <c r="B3259" s="1759" t="s">
        <v>1294</v>
      </c>
      <c r="C3259" s="1767">
        <f>IFERROR(CW!C505,0)</f>
        <v>0</v>
      </c>
      <c r="D3259" s="721">
        <f>IFERROR(CW!D505,0)</f>
        <v>0</v>
      </c>
      <c r="E3259" s="721">
        <f>IFERROR(CW!E505,0)</f>
        <v>0</v>
      </c>
      <c r="F3259" s="721">
        <f>IFERROR(CW!F505,0)</f>
        <v>0</v>
      </c>
      <c r="G3259" s="721">
        <f>IFERROR(CW!G505,0)</f>
        <v>0</v>
      </c>
      <c r="H3259" s="721">
        <f>IFERROR(CW!H505,0)</f>
        <v>0</v>
      </c>
      <c r="I3259" s="721">
        <f>IFERROR(CW!I505,0)</f>
        <v>0</v>
      </c>
      <c r="J3259" s="1639">
        <f>IFERROR(CW!J505,0)</f>
        <v>0</v>
      </c>
      <c r="K3259" s="768"/>
      <c r="L3259" s="768"/>
      <c r="M3259" s="768"/>
      <c r="N3259" s="768"/>
      <c r="O3259" s="768"/>
      <c r="P3259" s="768"/>
      <c r="Q3259" s="768"/>
    </row>
    <row r="3260" spans="2:17" s="57" customFormat="1" ht="12.5">
      <c r="B3260" s="1759"/>
      <c r="C3260" s="1767"/>
      <c r="D3260" s="721"/>
      <c r="E3260" s="721"/>
      <c r="F3260" s="721"/>
      <c r="G3260" s="721"/>
      <c r="H3260" s="721"/>
      <c r="I3260" s="721"/>
      <c r="J3260" s="1639"/>
      <c r="K3260" s="768"/>
      <c r="L3260" s="768"/>
      <c r="M3260" s="768"/>
      <c r="N3260" s="768"/>
      <c r="O3260" s="768"/>
      <c r="P3260" s="768"/>
      <c r="Q3260" s="768"/>
    </row>
    <row r="3261" spans="2:17" s="57" customFormat="1" ht="13">
      <c r="B3261" s="1754" t="s">
        <v>1047</v>
      </c>
      <c r="C3261" s="1767"/>
      <c r="D3261" s="721"/>
      <c r="E3261" s="721"/>
      <c r="F3261" s="721"/>
      <c r="G3261" s="721"/>
      <c r="H3261" s="721"/>
      <c r="I3261" s="721"/>
      <c r="J3261" s="1639"/>
      <c r="K3261" s="768"/>
      <c r="L3261" s="768"/>
      <c r="M3261" s="768"/>
      <c r="N3261" s="768"/>
      <c r="O3261" s="768"/>
      <c r="P3261" s="768"/>
      <c r="Q3261" s="768"/>
    </row>
    <row r="3262" spans="2:17" s="57" customFormat="1" ht="12.5">
      <c r="B3262" s="1968" t="s">
        <v>697</v>
      </c>
      <c r="C3262" s="1767">
        <f>IFERROR(EC!C530,0)</f>
        <v>1</v>
      </c>
      <c r="D3262" s="721">
        <f>IFERROR(EC!D530,0)</f>
        <v>1</v>
      </c>
      <c r="E3262" s="721">
        <f>IFERROR(EC!E530,0)</f>
        <v>1</v>
      </c>
      <c r="F3262" s="721">
        <f>IFERROR(EC!F530,0)</f>
        <v>1</v>
      </c>
      <c r="G3262" s="721">
        <f>IFERROR(EC!G530,0)</f>
        <v>1</v>
      </c>
      <c r="H3262" s="721">
        <f>IFERROR(EC!H530,0)</f>
        <v>1</v>
      </c>
      <c r="I3262" s="721">
        <f>IFERROR(EC!I530,0)</f>
        <v>1</v>
      </c>
      <c r="J3262" s="1639">
        <f>IFERROR(EC!J530,0)</f>
        <v>1</v>
      </c>
      <c r="K3262" s="768"/>
      <c r="L3262" s="768"/>
      <c r="M3262" s="768"/>
      <c r="N3262" s="768"/>
      <c r="O3262" s="768"/>
      <c r="P3262" s="768"/>
      <c r="Q3262" s="768"/>
    </row>
    <row r="3263" spans="2:17" s="57" customFormat="1" ht="12.5">
      <c r="B3263" s="1753"/>
      <c r="C3263" s="1766"/>
      <c r="D3263" s="701"/>
      <c r="E3263" s="701"/>
      <c r="F3263" s="701"/>
      <c r="G3263" s="701"/>
      <c r="H3263" s="701"/>
      <c r="I3263" s="701"/>
      <c r="J3263" s="707"/>
      <c r="K3263" s="768"/>
      <c r="L3263" s="768"/>
      <c r="M3263" s="768"/>
      <c r="N3263" s="768"/>
      <c r="O3263" s="768"/>
      <c r="P3263" s="768"/>
      <c r="Q3263" s="768"/>
    </row>
    <row r="3264" spans="2:17" s="57" customFormat="1" ht="13">
      <c r="B3264" s="1754" t="s">
        <v>1048</v>
      </c>
      <c r="C3264" s="1769"/>
      <c r="D3264" s="722"/>
      <c r="E3264" s="722"/>
      <c r="F3264" s="722"/>
      <c r="G3264" s="722"/>
      <c r="H3264" s="722"/>
      <c r="I3264" s="722"/>
      <c r="J3264" s="723"/>
      <c r="K3264" s="768"/>
      <c r="L3264" s="768"/>
      <c r="M3264" s="768"/>
      <c r="N3264" s="768"/>
      <c r="O3264" s="768"/>
      <c r="P3264" s="768"/>
      <c r="Q3264" s="768"/>
    </row>
    <row r="3265" spans="2:17" s="57" customFormat="1" ht="12.5">
      <c r="B3265" s="1759" t="s">
        <v>697</v>
      </c>
      <c r="C3265" s="1767">
        <f>IFERROR(SV!C494,0)</f>
        <v>0</v>
      </c>
      <c r="D3265" s="721">
        <f>IFERROR(SV!D494,0)</f>
        <v>0</v>
      </c>
      <c r="E3265" s="721">
        <f>IFERROR(SV!E494,0)</f>
        <v>0</v>
      </c>
      <c r="F3265" s="721">
        <f>IFERROR(SV!F494,0)</f>
        <v>0</v>
      </c>
      <c r="G3265" s="721">
        <f>IFERROR(SV!G494,0)</f>
        <v>0</v>
      </c>
      <c r="H3265" s="721">
        <f>IFERROR(SV!H494,0)</f>
        <v>0</v>
      </c>
      <c r="I3265" s="721">
        <f>IFERROR(SV!I494,0)</f>
        <v>0</v>
      </c>
      <c r="J3265" s="1639">
        <f>IFERROR(SV!J494,0)</f>
        <v>0</v>
      </c>
      <c r="K3265" s="768"/>
      <c r="L3265" s="768"/>
      <c r="M3265" s="768"/>
      <c r="N3265" s="768"/>
      <c r="O3265" s="768"/>
      <c r="P3265" s="768"/>
      <c r="Q3265" s="768"/>
    </row>
    <row r="3266" spans="2:17" s="57" customFormat="1" ht="12.5">
      <c r="B3266" s="1753"/>
      <c r="C3266" s="1769"/>
      <c r="D3266" s="722"/>
      <c r="E3266" s="722"/>
      <c r="F3266" s="722"/>
      <c r="G3266" s="722"/>
      <c r="H3266" s="722"/>
      <c r="I3266" s="722"/>
      <c r="J3266" s="723"/>
      <c r="K3266" s="768"/>
      <c r="L3266" s="768"/>
      <c r="M3266" s="768"/>
      <c r="N3266" s="768"/>
      <c r="O3266" s="768"/>
      <c r="P3266" s="768"/>
      <c r="Q3266" s="768"/>
    </row>
    <row r="3267" spans="2:17" s="57" customFormat="1" ht="13">
      <c r="B3267" s="1755" t="s">
        <v>1049</v>
      </c>
      <c r="C3267" s="1770"/>
      <c r="D3267" s="823"/>
      <c r="E3267" s="823"/>
      <c r="F3267" s="823"/>
      <c r="G3267" s="823"/>
      <c r="H3267" s="823"/>
      <c r="I3267" s="823"/>
      <c r="J3267" s="824"/>
      <c r="K3267" s="768"/>
      <c r="L3267" s="768"/>
      <c r="M3267" s="768"/>
      <c r="N3267" s="768"/>
      <c r="O3267" s="768"/>
      <c r="P3267" s="768"/>
      <c r="Q3267" s="768"/>
    </row>
    <row r="3268" spans="2:17" s="57" customFormat="1" ht="12.5">
      <c r="B3268" s="1759" t="s">
        <v>697</v>
      </c>
      <c r="C3268" s="1767">
        <f>IFERROR(GT!C751,0)</f>
        <v>0</v>
      </c>
      <c r="D3268" s="721">
        <f>IFERROR(GT!D751,0)</f>
        <v>0</v>
      </c>
      <c r="E3268" s="721">
        <f>IFERROR(GT!E751,0)</f>
        <v>0</v>
      </c>
      <c r="F3268" s="721">
        <f>IFERROR(GT!F751,0)</f>
        <v>0</v>
      </c>
      <c r="G3268" s="721">
        <f>IFERROR(GT!G751,0)</f>
        <v>0</v>
      </c>
      <c r="H3268" s="721">
        <f>IFERROR(GT!H751,0)</f>
        <v>0</v>
      </c>
      <c r="I3268" s="721">
        <f>IFERROR(GT!I751,0)</f>
        <v>0</v>
      </c>
      <c r="J3268" s="1639">
        <f>IFERROR(GT!J751,0)</f>
        <v>0</v>
      </c>
      <c r="K3268" s="768"/>
      <c r="L3268" s="768"/>
      <c r="M3268" s="768"/>
      <c r="N3268" s="768"/>
      <c r="O3268" s="768"/>
      <c r="P3268" s="768"/>
      <c r="Q3268" s="768"/>
    </row>
    <row r="3269" spans="2:17" s="57" customFormat="1" ht="12.5">
      <c r="B3269" s="1890"/>
      <c r="C3269" s="1770"/>
      <c r="D3269" s="823"/>
      <c r="E3269" s="823"/>
      <c r="F3269" s="823"/>
      <c r="G3269" s="823"/>
      <c r="H3269" s="823"/>
      <c r="I3269" s="823"/>
      <c r="J3269" s="824"/>
      <c r="K3269" s="768"/>
      <c r="L3269" s="768"/>
      <c r="M3269" s="768"/>
      <c r="N3269" s="768"/>
      <c r="O3269" s="768"/>
      <c r="P3269" s="768"/>
      <c r="Q3269" s="768"/>
    </row>
    <row r="3270" spans="2:17" s="57" customFormat="1" ht="13">
      <c r="B3270" s="1754" t="s">
        <v>1050</v>
      </c>
      <c r="C3270" s="1770"/>
      <c r="D3270" s="823"/>
      <c r="E3270" s="823"/>
      <c r="F3270" s="823"/>
      <c r="G3270" s="823"/>
      <c r="H3270" s="823"/>
      <c r="I3270" s="823"/>
      <c r="J3270" s="824"/>
      <c r="K3270" s="768"/>
      <c r="L3270" s="768"/>
      <c r="M3270" s="768"/>
      <c r="N3270" s="768"/>
      <c r="O3270" s="768"/>
      <c r="P3270" s="768"/>
      <c r="Q3270" s="768"/>
    </row>
    <row r="3271" spans="2:17" s="57" customFormat="1" ht="12.5">
      <c r="B3271" s="1759" t="s">
        <v>1270</v>
      </c>
      <c r="C3271" s="1763">
        <v>0</v>
      </c>
      <c r="D3271" s="816">
        <v>0</v>
      </c>
      <c r="E3271" s="816">
        <v>0</v>
      </c>
      <c r="F3271" s="816">
        <v>0</v>
      </c>
      <c r="G3271" s="816">
        <v>0</v>
      </c>
      <c r="H3271" s="816">
        <v>0</v>
      </c>
      <c r="I3271" s="816">
        <v>0</v>
      </c>
      <c r="J3271" s="1639">
        <f>IFERROR(HN!J609,0)</f>
        <v>0</v>
      </c>
      <c r="K3271" s="768"/>
      <c r="L3271" s="768"/>
      <c r="M3271" s="768"/>
      <c r="N3271" s="768"/>
      <c r="O3271" s="768"/>
      <c r="P3271" s="768"/>
      <c r="Q3271" s="768"/>
    </row>
    <row r="3272" spans="2:17" s="57" customFormat="1" ht="12.5">
      <c r="B3272" s="1890"/>
      <c r="C3272" s="1770"/>
      <c r="D3272" s="823"/>
      <c r="E3272" s="823"/>
      <c r="F3272" s="823"/>
      <c r="G3272" s="823"/>
      <c r="H3272" s="823"/>
      <c r="I3272" s="823"/>
      <c r="J3272" s="824"/>
      <c r="K3272" s="768"/>
      <c r="L3272" s="768"/>
      <c r="M3272" s="768"/>
      <c r="N3272" s="768"/>
      <c r="O3272" s="768"/>
      <c r="P3272" s="768"/>
      <c r="Q3272" s="768"/>
    </row>
    <row r="3273" spans="2:17" s="57" customFormat="1" ht="13">
      <c r="B3273" s="1755" t="s">
        <v>1051</v>
      </c>
      <c r="C3273" s="1768"/>
      <c r="D3273" s="724"/>
      <c r="E3273" s="724"/>
      <c r="F3273" s="724"/>
      <c r="G3273" s="724"/>
      <c r="H3273" s="724"/>
      <c r="I3273" s="724"/>
      <c r="J3273" s="725"/>
      <c r="K3273" s="768"/>
      <c r="L3273" s="768"/>
      <c r="M3273" s="768"/>
      <c r="N3273" s="768"/>
      <c r="O3273" s="768"/>
      <c r="P3273" s="768"/>
      <c r="Q3273" s="768"/>
    </row>
    <row r="3274" spans="2:17" s="57" customFormat="1" ht="12.5">
      <c r="B3274" s="1753" t="s">
        <v>1318</v>
      </c>
      <c r="C3274" s="1767">
        <f>IFERROR(JM!C605,0)</f>
        <v>12</v>
      </c>
      <c r="D3274" s="721">
        <f>IFERROR(JM!D605,0)</f>
        <v>12</v>
      </c>
      <c r="E3274" s="721">
        <f>IFERROR(JM!E605,0)</f>
        <v>13</v>
      </c>
      <c r="F3274" s="721">
        <f>IFERROR(JM!F605,0)</f>
        <v>13</v>
      </c>
      <c r="G3274" s="721">
        <f>IFERROR(JM!G605,0)</f>
        <v>13</v>
      </c>
      <c r="H3274" s="721">
        <f>IFERROR(JM!H605,0)</f>
        <v>13</v>
      </c>
      <c r="I3274" s="721">
        <f>IFERROR(JM!I605,0)</f>
        <v>13</v>
      </c>
      <c r="J3274" s="1639">
        <f>IFERROR(JM!J605,0)</f>
        <v>14</v>
      </c>
      <c r="K3274" s="768"/>
      <c r="L3274" s="768"/>
      <c r="M3274" s="768"/>
      <c r="N3274" s="768"/>
      <c r="O3274" s="768"/>
      <c r="P3274" s="768"/>
      <c r="Q3274" s="768"/>
    </row>
    <row r="3275" spans="2:17" s="57" customFormat="1" ht="12.5">
      <c r="B3275" s="1753"/>
      <c r="C3275" s="1767"/>
      <c r="D3275" s="721"/>
      <c r="E3275" s="721"/>
      <c r="F3275" s="721"/>
      <c r="G3275" s="721"/>
      <c r="H3275" s="721"/>
      <c r="I3275" s="721"/>
      <c r="J3275" s="1639"/>
      <c r="K3275" s="768"/>
      <c r="L3275" s="768"/>
      <c r="M3275" s="768"/>
      <c r="N3275" s="768"/>
      <c r="O3275" s="768"/>
      <c r="P3275" s="768"/>
      <c r="Q3275" s="768"/>
    </row>
    <row r="3276" spans="2:17" s="57" customFormat="1" ht="13">
      <c r="B3276" s="1755" t="s">
        <v>1052</v>
      </c>
      <c r="C3276" s="1766"/>
      <c r="D3276" s="701"/>
      <c r="E3276" s="701"/>
      <c r="F3276" s="701"/>
      <c r="G3276" s="701"/>
      <c r="H3276" s="701"/>
      <c r="I3276" s="701"/>
      <c r="J3276" s="707"/>
      <c r="K3276" s="768"/>
      <c r="L3276" s="768"/>
      <c r="M3276" s="768"/>
      <c r="N3276" s="768"/>
      <c r="O3276" s="768"/>
      <c r="P3276" s="768"/>
      <c r="Q3276" s="768"/>
    </row>
    <row r="3277" spans="2:17" s="57" customFormat="1" ht="12.5">
      <c r="B3277" s="1759" t="s">
        <v>1294</v>
      </c>
      <c r="C3277" s="1767" t="str">
        <f>IFERROR(RD!C607,0)</f>
        <v>0</v>
      </c>
      <c r="D3277" s="721" t="str">
        <f>IFERROR(RD!D607,0)</f>
        <v>0</v>
      </c>
      <c r="E3277" s="721" t="str">
        <f>IFERROR(RD!E607,0)</f>
        <v>0</v>
      </c>
      <c r="F3277" s="721" t="str">
        <f>IFERROR(RD!F607,0)</f>
        <v>0</v>
      </c>
      <c r="G3277" s="721" t="str">
        <f>IFERROR(RD!G607,0)</f>
        <v>0</v>
      </c>
      <c r="H3277" s="721" t="str">
        <f>IFERROR(RD!H607,0)</f>
        <v>0</v>
      </c>
      <c r="I3277" s="721" t="str">
        <f>IFERROR(RD!I607,0)</f>
        <v>0</v>
      </c>
      <c r="J3277" s="1639" t="str">
        <f>IFERROR(RD!J607,0)</f>
        <v>0</v>
      </c>
      <c r="K3277" s="768"/>
      <c r="L3277" s="768"/>
      <c r="M3277" s="768"/>
      <c r="N3277" s="768"/>
      <c r="O3277" s="768"/>
      <c r="P3277" s="768"/>
      <c r="Q3277" s="768"/>
    </row>
    <row r="3278" spans="2:17" s="57" customFormat="1" ht="12.5">
      <c r="B3278" s="1753"/>
      <c r="C3278" s="1768"/>
      <c r="D3278" s="724"/>
      <c r="E3278" s="724"/>
      <c r="F3278" s="724"/>
      <c r="G3278" s="724"/>
      <c r="H3278" s="702"/>
      <c r="I3278" s="702"/>
      <c r="J3278" s="703"/>
      <c r="K3278" s="768"/>
      <c r="L3278" s="768"/>
      <c r="M3278" s="768"/>
      <c r="N3278" s="768"/>
      <c r="O3278" s="768"/>
      <c r="P3278" s="768"/>
      <c r="Q3278" s="768"/>
    </row>
    <row r="3279" spans="2:17" s="57" customFormat="1" ht="13">
      <c r="B3279" s="1755" t="s">
        <v>1053</v>
      </c>
      <c r="C3279" s="1769"/>
      <c r="D3279" s="722"/>
      <c r="E3279" s="722"/>
      <c r="F3279" s="722"/>
      <c r="G3279" s="722"/>
      <c r="H3279" s="702"/>
      <c r="I3279" s="702"/>
      <c r="J3279" s="703"/>
      <c r="K3279" s="768"/>
      <c r="L3279" s="768"/>
      <c r="M3279" s="768"/>
      <c r="N3279" s="768"/>
      <c r="O3279" s="768"/>
      <c r="P3279" s="768"/>
      <c r="Q3279" s="768"/>
    </row>
    <row r="3280" spans="2:17" s="57" customFormat="1" ht="12.5">
      <c r="B3280" s="1753" t="s">
        <v>1363</v>
      </c>
      <c r="C3280" s="1767">
        <f>IFERROR(PY!C928,0)</f>
        <v>17</v>
      </c>
      <c r="D3280" s="721">
        <f>IFERROR(PY!D928,0)</f>
        <v>17</v>
      </c>
      <c r="E3280" s="721">
        <f>IFERROR(PY!E928,0)</f>
        <v>17</v>
      </c>
      <c r="F3280" s="721">
        <f>IFERROR(PY!F928,0)</f>
        <v>18</v>
      </c>
      <c r="G3280" s="721">
        <f>IFERROR(PY!G928,0)</f>
        <v>18</v>
      </c>
      <c r="H3280" s="721">
        <f>IFERROR(PY!H928,0)</f>
        <v>18</v>
      </c>
      <c r="I3280" s="721">
        <f>IFERROR(PY!I928,0)</f>
        <v>18</v>
      </c>
      <c r="J3280" s="1639">
        <f>IFERROR(PY!J928,0)</f>
        <v>18</v>
      </c>
      <c r="K3280" s="768"/>
      <c r="L3280" s="768"/>
      <c r="M3280" s="768"/>
      <c r="N3280" s="768"/>
      <c r="O3280" s="768"/>
      <c r="P3280" s="768"/>
      <c r="Q3280" s="768"/>
    </row>
    <row r="3281" spans="2:18" s="57" customFormat="1" ht="12.5">
      <c r="B3281" s="1753" t="s">
        <v>1364</v>
      </c>
      <c r="C3281" s="1767">
        <f>IFERROR(PY!C947,0)</f>
        <v>33</v>
      </c>
      <c r="D3281" s="721">
        <f>IFERROR(PY!D947,0)</f>
        <v>33</v>
      </c>
      <c r="E3281" s="721">
        <f>IFERROR(PY!E947,0)</f>
        <v>25</v>
      </c>
      <c r="F3281" s="721">
        <f>IFERROR(PY!F947,0)</f>
        <v>26</v>
      </c>
      <c r="G3281" s="721">
        <f>IFERROR(PY!G947,0)</f>
        <v>26</v>
      </c>
      <c r="H3281" s="721">
        <f>IFERROR(PY!H947,0)</f>
        <v>26</v>
      </c>
      <c r="I3281" s="721">
        <f>IFERROR(PY!I947,0)</f>
        <v>26</v>
      </c>
      <c r="J3281" s="1639">
        <f>IFERROR(PY!J947,0)</f>
        <v>26</v>
      </c>
      <c r="K3281" s="768"/>
      <c r="L3281" s="768"/>
      <c r="M3281" s="768"/>
      <c r="N3281" s="768"/>
      <c r="O3281" s="768"/>
      <c r="P3281" s="768"/>
      <c r="Q3281" s="768"/>
    </row>
    <row r="3282" spans="2:18" s="57" customFormat="1" ht="12.5">
      <c r="B3282" s="1753" t="s">
        <v>1365</v>
      </c>
      <c r="C3282" s="1767">
        <f>IFERROR(PY!C960,0)</f>
        <v>12</v>
      </c>
      <c r="D3282" s="721">
        <f>IFERROR(PY!D960,0)</f>
        <v>12</v>
      </c>
      <c r="E3282" s="721">
        <f>IFERROR(PY!E960,0)</f>
        <v>12</v>
      </c>
      <c r="F3282" s="721">
        <f>IFERROR(PY!F960,0)</f>
        <v>12</v>
      </c>
      <c r="G3282" s="721">
        <f>IFERROR(PY!G960,0)</f>
        <v>12</v>
      </c>
      <c r="H3282" s="721">
        <f>IFERROR(PY!H960,0)</f>
        <v>12</v>
      </c>
      <c r="I3282" s="721">
        <f>IFERROR(PY!I960,0)</f>
        <v>17</v>
      </c>
      <c r="J3282" s="1639">
        <f>IFERROR(PY!J960,0)</f>
        <v>28</v>
      </c>
      <c r="K3282" s="768"/>
      <c r="L3282" s="768"/>
      <c r="M3282" s="768"/>
      <c r="N3282" s="768"/>
      <c r="O3282" s="768"/>
      <c r="P3282" s="768"/>
      <c r="Q3282" s="768"/>
    </row>
    <row r="3283" spans="2:18" s="57" customFormat="1" ht="12.5">
      <c r="B3283" s="1753" t="s">
        <v>1366</v>
      </c>
      <c r="C3283" s="1767">
        <f>IFERROR(PY!C973,0)</f>
        <v>48</v>
      </c>
      <c r="D3283" s="721">
        <f>IFERROR(PY!D973,0)</f>
        <v>53</v>
      </c>
      <c r="E3283" s="721">
        <f>IFERROR(PY!E973,0)</f>
        <v>50</v>
      </c>
      <c r="F3283" s="721">
        <f>IFERROR(PY!F973,0)</f>
        <v>51</v>
      </c>
      <c r="G3283" s="721">
        <f>IFERROR(PY!G973,0)</f>
        <v>51</v>
      </c>
      <c r="H3283" s="721">
        <f>IFERROR(PY!H973,0)</f>
        <v>50</v>
      </c>
      <c r="I3283" s="721">
        <f>IFERROR(PY!I973,0)</f>
        <v>55</v>
      </c>
      <c r="J3283" s="1639">
        <f>IFERROR(PY!J973,0)</f>
        <v>55</v>
      </c>
      <c r="K3283" s="768"/>
      <c r="L3283" s="768"/>
      <c r="M3283" s="768"/>
      <c r="N3283" s="768"/>
      <c r="O3283" s="768"/>
      <c r="P3283" s="768"/>
      <c r="Q3283" s="768"/>
    </row>
    <row r="3284" spans="2:18" s="57" customFormat="1" ht="12.5">
      <c r="B3284" s="1753"/>
      <c r="C3284" s="1766"/>
      <c r="D3284" s="701"/>
      <c r="E3284" s="701"/>
      <c r="F3284" s="701"/>
      <c r="G3284" s="701"/>
      <c r="H3284" s="702"/>
      <c r="I3284" s="702"/>
      <c r="J3284" s="703"/>
      <c r="K3284" s="768"/>
      <c r="L3284" s="768"/>
      <c r="M3284" s="768"/>
      <c r="N3284" s="768"/>
      <c r="O3284" s="768"/>
      <c r="P3284" s="768"/>
      <c r="Q3284" s="768"/>
    </row>
    <row r="3285" spans="2:18" s="57" customFormat="1" ht="13">
      <c r="B3285" s="1755" t="s">
        <v>1054</v>
      </c>
      <c r="C3285" s="1766"/>
      <c r="D3285" s="701"/>
      <c r="E3285" s="701"/>
      <c r="F3285" s="701"/>
      <c r="G3285" s="701"/>
      <c r="H3285" s="702"/>
      <c r="I3285" s="702"/>
      <c r="J3285" s="703"/>
      <c r="K3285" s="768"/>
      <c r="L3285" s="768"/>
      <c r="M3285" s="768"/>
      <c r="N3285" s="768"/>
      <c r="O3285" s="768"/>
      <c r="P3285" s="768"/>
      <c r="Q3285" s="768"/>
    </row>
    <row r="3286" spans="2:18" s="57" customFormat="1" ht="12.5">
      <c r="B3286" s="1753" t="s">
        <v>1257</v>
      </c>
      <c r="C3286" s="1767">
        <f>IFERROR(PE!C566,0)</f>
        <v>0</v>
      </c>
      <c r="D3286" s="721">
        <f>IFERROR(PE!D566,0)</f>
        <v>0</v>
      </c>
      <c r="E3286" s="721">
        <f>IFERROR(PE!E566,0)</f>
        <v>0</v>
      </c>
      <c r="F3286" s="721">
        <f>IFERROR(PE!F566,0)</f>
        <v>0</v>
      </c>
      <c r="G3286" s="721">
        <f>IFERROR(PE!G566,0)</f>
        <v>0</v>
      </c>
      <c r="H3286" s="721">
        <f>IFERROR(PE!H566,0)</f>
        <v>0</v>
      </c>
      <c r="I3286" s="721">
        <f>IFERROR(PE!I566,0)</f>
        <v>0</v>
      </c>
      <c r="J3286" s="1639">
        <f>IFERROR(PE!J566,0)</f>
        <v>0</v>
      </c>
      <c r="K3286" s="768"/>
      <c r="L3286" s="768"/>
      <c r="M3286" s="768"/>
      <c r="N3286" s="768"/>
      <c r="O3286" s="768"/>
      <c r="P3286" s="768"/>
      <c r="Q3286" s="768"/>
    </row>
    <row r="3287" spans="2:18" s="57" customFormat="1" ht="12.5">
      <c r="B3287" s="1753"/>
      <c r="C3287" s="1766"/>
      <c r="D3287" s="701"/>
      <c r="E3287" s="701"/>
      <c r="F3287" s="701"/>
      <c r="G3287" s="701"/>
      <c r="H3287" s="702"/>
      <c r="I3287" s="702"/>
      <c r="J3287" s="703"/>
      <c r="K3287" s="768"/>
      <c r="L3287" s="768"/>
      <c r="M3287" s="768"/>
      <c r="N3287" s="768"/>
      <c r="O3287" s="768"/>
      <c r="P3287" s="768"/>
      <c r="Q3287" s="768"/>
    </row>
    <row r="3288" spans="2:18" s="57" customFormat="1" ht="13">
      <c r="B3288" s="1755" t="s">
        <v>1055</v>
      </c>
      <c r="C3288" s="1771"/>
      <c r="D3288" s="825"/>
      <c r="E3288" s="825"/>
      <c r="F3288" s="825"/>
      <c r="G3288" s="825"/>
      <c r="H3288" s="702"/>
      <c r="I3288" s="702"/>
      <c r="J3288" s="703"/>
      <c r="K3288" s="768"/>
      <c r="L3288" s="768"/>
      <c r="M3288" s="768"/>
      <c r="N3288" s="768"/>
      <c r="O3288" s="768"/>
      <c r="P3288" s="768"/>
      <c r="Q3288" s="768"/>
    </row>
    <row r="3289" spans="2:18" s="57" customFormat="1" ht="25">
      <c r="B3289" s="1775" t="s">
        <v>1852</v>
      </c>
      <c r="C3289" s="1642">
        <f>IFERROR(TT!C655,0)</f>
        <v>5</v>
      </c>
      <c r="D3289" s="1637">
        <f>IFERROR(TT!D655,0)</f>
        <v>5</v>
      </c>
      <c r="E3289" s="1637">
        <f>IFERROR(TT!E655,0)</f>
        <v>5</v>
      </c>
      <c r="F3289" s="1637">
        <f>IFERROR(TT!F655,0)</f>
        <v>5</v>
      </c>
      <c r="G3289" s="1637">
        <f>IFERROR(TT!G655,0)</f>
        <v>5</v>
      </c>
      <c r="H3289" s="1637">
        <f>IFERROR(TT!H655,0)</f>
        <v>5</v>
      </c>
      <c r="I3289" s="1637">
        <f>IFERROR(TT!I655,0)</f>
        <v>5</v>
      </c>
      <c r="J3289" s="1640">
        <f>IFERROR(TT!J655,0)</f>
        <v>5</v>
      </c>
      <c r="K3289" s="768"/>
      <c r="L3289" s="768"/>
      <c r="M3289" s="768"/>
      <c r="N3289" s="768"/>
      <c r="O3289" s="768"/>
      <c r="P3289" s="768"/>
      <c r="Q3289" s="768"/>
    </row>
    <row r="3290" spans="2:18" s="57" customFormat="1" ht="12.5">
      <c r="B3290" s="751"/>
      <c r="C3290" s="622"/>
      <c r="D3290" s="622"/>
      <c r="E3290" s="622"/>
      <c r="F3290" s="622"/>
      <c r="G3290" s="622"/>
      <c r="H3290" s="622"/>
      <c r="I3290" s="622"/>
      <c r="J3290" s="622"/>
      <c r="K3290" s="622"/>
      <c r="L3290" s="622"/>
      <c r="M3290" s="622"/>
      <c r="N3290" s="622"/>
      <c r="O3290" s="622"/>
      <c r="P3290" s="622"/>
      <c r="Q3290" s="622"/>
    </row>
    <row r="3291" spans="2:18" s="57" customFormat="1" ht="13">
      <c r="B3291" s="2158" t="s">
        <v>26</v>
      </c>
      <c r="C3291" s="2158"/>
      <c r="D3291" s="2158"/>
      <c r="E3291" s="2158"/>
      <c r="F3291" s="2158"/>
      <c r="G3291" s="2158"/>
      <c r="H3291" s="2158"/>
      <c r="I3291" s="2158"/>
      <c r="J3291" s="2158"/>
      <c r="K3291" s="2158"/>
      <c r="L3291" s="2158"/>
      <c r="M3291" s="2158"/>
      <c r="N3291" s="2158"/>
      <c r="O3291" s="2158"/>
      <c r="P3291" s="2158"/>
      <c r="Q3291" s="2158"/>
      <c r="R3291" s="2158"/>
    </row>
    <row r="3292" spans="2:18" s="57" customFormat="1" ht="13">
      <c r="B3292" s="2159" t="s">
        <v>25</v>
      </c>
      <c r="C3292" s="2159"/>
      <c r="D3292" s="2159"/>
      <c r="E3292" s="2159"/>
      <c r="F3292" s="2159"/>
      <c r="G3292" s="2159"/>
      <c r="H3292" s="2159"/>
      <c r="I3292" s="2159"/>
      <c r="J3292" s="2159"/>
      <c r="K3292" s="2159"/>
      <c r="L3292" s="2159"/>
      <c r="M3292" s="2159"/>
      <c r="N3292" s="2159"/>
      <c r="O3292" s="2159"/>
      <c r="P3292" s="2159"/>
      <c r="Q3292" s="2159"/>
      <c r="R3292" s="2159"/>
    </row>
    <row r="3293" spans="2:18" s="57" customFormat="1" ht="13">
      <c r="B3293" s="581" t="s">
        <v>1219</v>
      </c>
      <c r="C3293" s="613"/>
      <c r="D3293" s="613"/>
      <c r="E3293" s="644"/>
      <c r="F3293" s="644"/>
      <c r="G3293" s="644"/>
      <c r="H3293" s="644"/>
      <c r="I3293" s="644"/>
      <c r="J3293" s="644"/>
      <c r="K3293" s="644"/>
      <c r="L3293" s="644"/>
      <c r="M3293" s="644"/>
      <c r="N3293" s="644"/>
      <c r="O3293" s="644"/>
      <c r="P3293" s="644"/>
      <c r="Q3293" s="644"/>
    </row>
    <row r="3294" spans="2:18" s="57" customFormat="1" ht="9" customHeight="1">
      <c r="B3294" s="581"/>
      <c r="C3294" s="613"/>
      <c r="D3294" s="613"/>
      <c r="E3294" s="644"/>
      <c r="F3294" s="644"/>
      <c r="G3294" s="644"/>
      <c r="H3294" s="644"/>
      <c r="I3294" s="644"/>
      <c r="J3294" s="644"/>
      <c r="K3294" s="644"/>
      <c r="L3294" s="644"/>
      <c r="M3294" s="644"/>
      <c r="N3294" s="644"/>
      <c r="O3294" s="644"/>
      <c r="P3294" s="644"/>
      <c r="Q3294" s="644"/>
    </row>
    <row r="3295" spans="2:18" s="57" customFormat="1" ht="13.15" customHeight="1">
      <c r="B3295" s="2236" t="s">
        <v>11</v>
      </c>
      <c r="C3295" s="2257" t="s">
        <v>541</v>
      </c>
      <c r="D3295" s="2259" t="s">
        <v>1220</v>
      </c>
      <c r="E3295" s="2259" t="s">
        <v>23</v>
      </c>
      <c r="F3295" s="2259" t="s">
        <v>22</v>
      </c>
      <c r="G3295" s="2259" t="s">
        <v>21</v>
      </c>
      <c r="H3295" s="2259" t="s">
        <v>20</v>
      </c>
      <c r="I3295" s="2259" t="s">
        <v>546</v>
      </c>
      <c r="J3295" s="2259" t="s">
        <v>10</v>
      </c>
      <c r="K3295" s="2259" t="s">
        <v>9</v>
      </c>
      <c r="L3295" s="2261" t="s">
        <v>8</v>
      </c>
      <c r="M3295"/>
      <c r="N3295"/>
      <c r="O3295" s="644"/>
      <c r="P3295" s="644"/>
      <c r="Q3295" s="644"/>
    </row>
    <row r="3296" spans="2:18" s="57" customFormat="1" ht="25.15" customHeight="1">
      <c r="B3296" s="2237"/>
      <c r="C3296" s="2258"/>
      <c r="D3296" s="2260"/>
      <c r="E3296" s="2260"/>
      <c r="F3296" s="2260"/>
      <c r="G3296" s="2260"/>
      <c r="H3296" s="2260"/>
      <c r="I3296" s="2260"/>
      <c r="J3296" s="2260"/>
      <c r="K3296" s="2260"/>
      <c r="L3296" s="2262"/>
      <c r="M3296"/>
      <c r="N3296"/>
      <c r="O3296" s="644"/>
      <c r="P3296" s="644"/>
      <c r="Q3296" s="644"/>
    </row>
    <row r="3297" spans="2:17" s="57" customFormat="1">
      <c r="B3297" s="1824" t="s">
        <v>1038</v>
      </c>
      <c r="C3297" s="1827"/>
      <c r="D3297" s="1828"/>
      <c r="E3297" s="1828"/>
      <c r="F3297" s="1828"/>
      <c r="G3297" s="1828"/>
      <c r="H3297" s="1828"/>
      <c r="I3297" s="1828"/>
      <c r="J3297" s="1828"/>
      <c r="K3297" s="1828"/>
      <c r="L3297" s="1829"/>
      <c r="M3297"/>
      <c r="N3297"/>
      <c r="O3297" s="644"/>
      <c r="P3297" s="644"/>
      <c r="Q3297" s="644"/>
    </row>
    <row r="3298" spans="2:17" s="57" customFormat="1" ht="80.5">
      <c r="B3298" s="1819" t="s">
        <v>7</v>
      </c>
      <c r="C3298" s="1981" t="s">
        <v>1367</v>
      </c>
      <c r="D3298" s="1808" t="str">
        <f>ARG!C1748</f>
        <v>SE</v>
      </c>
      <c r="E3298" s="1808" t="str">
        <f>ARG!D1748</f>
        <v>FoP</v>
      </c>
      <c r="F3298" s="1832" t="str">
        <f>ARG!E1748</f>
        <v>8:00:00 p.m.</v>
      </c>
      <c r="G3298" s="1808" t="str">
        <f>ARG!F1748</f>
        <v>Euroclear, Clearstream, Iberclear, B3 (ex BM&amp;F Bovespa), DTC (directa - FoP), CRyL</v>
      </c>
      <c r="H3298" s="1808" t="str">
        <f>ARG!G1748</f>
        <v>T+2</v>
      </c>
      <c r="I3298" s="1830">
        <v>0</v>
      </c>
      <c r="J3298" s="1808">
        <f>ARG!C1753</f>
        <v>0</v>
      </c>
      <c r="K3298" s="1808" t="str">
        <f>ARG!D1753</f>
        <v>ARS; USD</v>
      </c>
      <c r="L3298" s="1831" t="str">
        <f>ARG!E1753</f>
        <v>B</v>
      </c>
      <c r="M3298"/>
      <c r="N3298"/>
      <c r="O3298" s="644"/>
      <c r="P3298" s="644"/>
      <c r="Q3298" s="644"/>
    </row>
    <row r="3299" spans="2:17" s="57" customFormat="1" ht="23">
      <c r="B3299" s="1819" t="s">
        <v>4</v>
      </c>
      <c r="C3299" s="1981" t="s">
        <v>1369</v>
      </c>
      <c r="D3299" s="1808" t="str">
        <f>ARG!C1749</f>
        <v>CB</v>
      </c>
      <c r="E3299" s="1808" t="str">
        <f>ARG!D1749</f>
        <v>FT</v>
      </c>
      <c r="F3299" s="1832" t="str">
        <f>ARG!E1749</f>
        <v>7:00:00 p.m.</v>
      </c>
      <c r="G3299" s="1808" t="str">
        <f>ARG!F1749</f>
        <v>Caja de Valores S.A.</v>
      </c>
      <c r="H3299" s="1808" t="str">
        <f>ARG!G1749</f>
        <v>T+0</v>
      </c>
      <c r="I3299" s="1830" t="s">
        <v>1370</v>
      </c>
      <c r="J3299" s="1808" t="str">
        <f>ARG!C1754</f>
        <v>DVP 1</v>
      </c>
      <c r="K3299" s="1808" t="str">
        <f>ARG!D1754</f>
        <v>ARS; USD</v>
      </c>
      <c r="L3299" s="1831" t="str">
        <f>ARG!E1754</f>
        <v>CB</v>
      </c>
      <c r="M3299"/>
      <c r="N3299"/>
      <c r="O3299" s="644"/>
      <c r="P3299" s="644"/>
      <c r="Q3299" s="644"/>
    </row>
    <row r="3300" spans="2:17" s="57" customFormat="1">
      <c r="B3300" s="1980"/>
      <c r="C3300" s="1981"/>
      <c r="D3300" s="1808"/>
      <c r="E3300" s="1808"/>
      <c r="F3300" s="1832"/>
      <c r="G3300" s="1808"/>
      <c r="H3300" s="1808"/>
      <c r="I3300" s="1830"/>
      <c r="J3300" s="1808"/>
      <c r="K3300" s="1808"/>
      <c r="L3300" s="1831"/>
      <c r="M3300"/>
      <c r="N3300"/>
      <c r="O3300" s="644"/>
      <c r="P3300" s="644"/>
      <c r="Q3300" s="644"/>
    </row>
    <row r="3301" spans="2:17" s="57" customFormat="1">
      <c r="B3301" s="1825" t="s">
        <v>1039</v>
      </c>
      <c r="C3301" s="1981"/>
      <c r="D3301" s="1808"/>
      <c r="E3301" s="1808"/>
      <c r="F3301" s="1832"/>
      <c r="G3301" s="1808"/>
      <c r="H3301" s="1808"/>
      <c r="I3301" s="1830"/>
      <c r="J3301" s="1808"/>
      <c r="K3301" s="1808"/>
      <c r="L3301" s="1831"/>
      <c r="M3301"/>
      <c r="N3301"/>
      <c r="O3301" s="644"/>
      <c r="P3301" s="644"/>
      <c r="Q3301" s="644"/>
    </row>
    <row r="3302" spans="2:17" s="57" customFormat="1" ht="46">
      <c r="B3302" s="1816" t="str">
        <f>BA!B727</f>
        <v xml:space="preserve">Bahamas Government Securities Depository </v>
      </c>
      <c r="C3302" s="1983" t="str">
        <f>BA!C727</f>
        <v>Government Bonds</v>
      </c>
      <c r="D3302" s="1986" t="str">
        <f>BA!D727</f>
        <v>Ministry of Finance/Central Bank of the Bahamas</v>
      </c>
      <c r="E3302" s="1986" t="str">
        <f>BA!E727</f>
        <v>ACH/RTGS</v>
      </c>
      <c r="F3302" s="1986" t="str">
        <f>BA!F727</f>
        <v>4:00 p.m EST</v>
      </c>
      <c r="G3302" s="1986" t="str">
        <f>BA!G727</f>
        <v>Yes, BISX</v>
      </c>
      <c r="H3302" s="1986" t="str">
        <f>BA!H727</f>
        <v>T+2</v>
      </c>
      <c r="I3302" s="1986" t="str">
        <f>BA!C731</f>
        <v>3:00 p.m. EST</v>
      </c>
      <c r="J3302" s="1986">
        <f>BA!D731</f>
        <v>0</v>
      </c>
      <c r="K3302" s="1986" t="str">
        <f>BA!E731</f>
        <v>BSD</v>
      </c>
      <c r="L3302" s="1987" t="str">
        <f>BA!F731</f>
        <v>Bahamas Automated Clearing House (BACH)</v>
      </c>
      <c r="M3302"/>
      <c r="N3302"/>
      <c r="O3302" s="644"/>
      <c r="P3302" s="644"/>
      <c r="Q3302" s="644"/>
    </row>
    <row r="3303" spans="2:17" s="57" customFormat="1">
      <c r="B3303" s="1822"/>
      <c r="C3303" s="1985"/>
      <c r="D3303" s="657"/>
      <c r="E3303" s="657"/>
      <c r="F3303" s="1780"/>
      <c r="G3303" s="657"/>
      <c r="H3303" s="826"/>
      <c r="I3303" s="1830"/>
      <c r="J3303" s="666"/>
      <c r="K3303" s="657"/>
      <c r="L3303" s="828"/>
      <c r="M3303"/>
      <c r="N3303"/>
      <c r="O3303" s="644"/>
      <c r="P3303" s="644"/>
      <c r="Q3303" s="644"/>
    </row>
    <row r="3304" spans="2:17" s="57" customFormat="1">
      <c r="B3304" s="1825" t="s">
        <v>1040</v>
      </c>
      <c r="C3304" s="1985"/>
      <c r="D3304" s="657"/>
      <c r="E3304" s="657"/>
      <c r="F3304" s="1780"/>
      <c r="G3304" s="657"/>
      <c r="H3304" s="826"/>
      <c r="I3304" s="1830"/>
      <c r="J3304" s="666"/>
      <c r="K3304" s="657"/>
      <c r="L3304" s="828"/>
      <c r="M3304"/>
      <c r="N3304"/>
      <c r="O3304" s="644"/>
      <c r="P3304" s="644"/>
      <c r="Q3304" s="644"/>
    </row>
    <row r="3305" spans="2:17" s="57" customFormat="1" ht="23">
      <c r="B3305" s="1816" t="str">
        <f>BO!B1036</f>
        <v>Entidad de Depósito de Valores (EDV)</v>
      </c>
      <c r="C3305" s="1962" t="str">
        <f>BO!C1036</f>
        <v>DOM (B, C, G, O)</v>
      </c>
      <c r="D3305" s="1808" t="str">
        <f>BO!D1036</f>
        <v>O</v>
      </c>
      <c r="E3305" s="1808" t="str">
        <f>BO!E1036</f>
        <v>EDV</v>
      </c>
      <c r="F3305" s="1832">
        <f>BO!F1036</f>
        <v>0.60416666666666663</v>
      </c>
      <c r="G3305" s="1808" t="str">
        <f>BO!G1036</f>
        <v>NO</v>
      </c>
      <c r="H3305" s="1808">
        <f>BO!H1036</f>
        <v>0</v>
      </c>
      <c r="I3305" s="1808" t="str">
        <f>BO!I1036</f>
        <v>YES</v>
      </c>
      <c r="J3305" s="1808" t="str">
        <f>BO!J1036</f>
        <v>YES</v>
      </c>
      <c r="K3305" s="1808" t="str">
        <f>BO!K1036</f>
        <v>BOB, USD</v>
      </c>
      <c r="L3305" s="1831" t="str">
        <f>BO!L1036</f>
        <v>CB</v>
      </c>
      <c r="M3305"/>
      <c r="N3305"/>
      <c r="O3305" s="644"/>
      <c r="P3305" s="644"/>
      <c r="Q3305" s="644"/>
    </row>
    <row r="3306" spans="2:17" s="57" customFormat="1">
      <c r="B3306" s="1822"/>
      <c r="C3306" s="1985"/>
      <c r="D3306" s="657"/>
      <c r="E3306" s="657"/>
      <c r="F3306" s="1780"/>
      <c r="G3306" s="657"/>
      <c r="H3306" s="826"/>
      <c r="I3306" s="1830"/>
      <c r="J3306" s="666"/>
      <c r="K3306" s="657"/>
      <c r="L3306" s="828"/>
      <c r="M3306"/>
      <c r="N3306"/>
      <c r="O3306" s="644"/>
      <c r="P3306" s="644"/>
      <c r="Q3306" s="644"/>
    </row>
    <row r="3307" spans="2:17" s="57" customFormat="1">
      <c r="B3307" s="1825" t="s">
        <v>1041</v>
      </c>
      <c r="C3307" s="1985"/>
      <c r="D3307" s="657"/>
      <c r="E3307" s="657"/>
      <c r="F3307" s="1780"/>
      <c r="G3307" s="657"/>
      <c r="H3307" s="826"/>
      <c r="I3307" s="1830"/>
      <c r="J3307" s="666"/>
      <c r="K3307" s="657"/>
      <c r="L3307" s="828"/>
      <c r="M3307"/>
      <c r="N3307"/>
      <c r="O3307" s="644"/>
      <c r="P3307" s="644"/>
      <c r="Q3307" s="644"/>
    </row>
    <row r="3308" spans="2:17" s="57" customFormat="1" ht="23">
      <c r="B3308" s="1816" t="str">
        <f>BR!B1580</f>
        <v>SELIC</v>
      </c>
      <c r="C3308" s="1962" t="str">
        <f>BR!C1580</f>
        <v>DOM; 
G</v>
      </c>
      <c r="D3308" s="1808" t="str">
        <f>BR!D1580</f>
        <v>CB</v>
      </c>
      <c r="E3308" s="1808" t="str">
        <f>BR!E1580</f>
        <v>SELIC</v>
      </c>
      <c r="F3308" s="1832">
        <f>BR!F1580</f>
        <v>0.77083333333333337</v>
      </c>
      <c r="G3308" s="1808" t="str">
        <f>BR!G1580</f>
        <v>no link</v>
      </c>
      <c r="H3308" s="1808" t="str">
        <f>BR!H1580</f>
        <v>T, T+n2</v>
      </c>
      <c r="I3308" s="1808" t="str">
        <f>BR!C1586</f>
        <v>yes</v>
      </c>
      <c r="J3308" s="1808" t="str">
        <f>BR!D1586</f>
        <v>DVP1</v>
      </c>
      <c r="K3308" s="1808" t="str">
        <f>BR!E1586</f>
        <v>BRL</v>
      </c>
      <c r="L3308" s="1831" t="str">
        <f>BR!F1586</f>
        <v>CB</v>
      </c>
      <c r="M3308"/>
      <c r="N3308"/>
      <c r="O3308" s="644"/>
      <c r="P3308" s="644"/>
      <c r="Q3308" s="644"/>
    </row>
    <row r="3309" spans="2:17" s="57" customFormat="1" ht="46">
      <c r="B3309" s="1816" t="str">
        <f>BR!B1581</f>
        <v>BMFBovespa Central Securities Depository</v>
      </c>
      <c r="C3309" s="1962" t="str">
        <f>BR!C1581</f>
        <v>DOM; 
E, B, O</v>
      </c>
      <c r="D3309" s="1808" t="str">
        <f>BR!D1581</f>
        <v>SE</v>
      </c>
      <c r="E3309" s="1808" t="str">
        <f>BR!E1581</f>
        <v>BMFBovespa Central Securities Depository</v>
      </c>
      <c r="F3309" s="1832">
        <f>BR!F1581</f>
        <v>0.75</v>
      </c>
      <c r="G3309" s="1808" t="str">
        <f>BR!G1581</f>
        <v>no link</v>
      </c>
      <c r="H3309" s="1808" t="str">
        <f>BR!H1581</f>
        <v>T, T+1, T+3, T+n2</v>
      </c>
      <c r="I3309" s="1808" t="str">
        <f>BR!C1587</f>
        <v>yes</v>
      </c>
      <c r="J3309" s="1808" t="str">
        <f>BR!D1587</f>
        <v>DVP3</v>
      </c>
      <c r="K3309" s="1808" t="str">
        <f>BR!E1587</f>
        <v>BRL</v>
      </c>
      <c r="L3309" s="1831" t="str">
        <f>BR!F1587</f>
        <v>CB</v>
      </c>
      <c r="M3309"/>
      <c r="N3309"/>
      <c r="O3309" s="644"/>
      <c r="P3309" s="644"/>
      <c r="Q3309" s="644"/>
    </row>
    <row r="3310" spans="2:17" s="57" customFormat="1" ht="23">
      <c r="B3310" s="1816" t="str">
        <f>BR!B1582</f>
        <v>CETIP</v>
      </c>
      <c r="C3310" s="1962" t="str">
        <f>BR!C1582</f>
        <v>DOM; 
B,C,G</v>
      </c>
      <c r="D3310" s="1808" t="str">
        <f>BR!D1582</f>
        <v>SE</v>
      </c>
      <c r="E3310" s="1808" t="str">
        <f>BR!E1582</f>
        <v>CETIP</v>
      </c>
      <c r="F3310" s="1832">
        <f>BR!F1582</f>
        <v>0.80555555555555547</v>
      </c>
      <c r="G3310" s="1808" t="str">
        <f>BR!G1582</f>
        <v>no link</v>
      </c>
      <c r="H3310" s="1808" t="str">
        <f>BR!H1582</f>
        <v>T, T+n2</v>
      </c>
      <c r="I3310" s="1808" t="str">
        <f>BR!C1588</f>
        <v>yes</v>
      </c>
      <c r="J3310" s="1808" t="str">
        <f>BR!D1588</f>
        <v>DVP2</v>
      </c>
      <c r="K3310" s="1808" t="str">
        <f>BR!E1588</f>
        <v>BRL</v>
      </c>
      <c r="L3310" s="1831" t="str">
        <f>BR!F1588</f>
        <v>CB</v>
      </c>
      <c r="M3310"/>
      <c r="N3310"/>
      <c r="O3310" s="644"/>
      <c r="P3310" s="644"/>
      <c r="Q3310" s="644"/>
    </row>
    <row r="3311" spans="2:17" s="57" customFormat="1">
      <c r="B3311" s="1822"/>
      <c r="C3311" s="1985"/>
      <c r="D3311" s="657"/>
      <c r="E3311" s="657"/>
      <c r="F3311" s="1780"/>
      <c r="G3311" s="657"/>
      <c r="H3311" s="826"/>
      <c r="I3311" s="1830"/>
      <c r="J3311" s="666"/>
      <c r="K3311" s="657"/>
      <c r="L3311" s="828"/>
      <c r="M3311"/>
      <c r="N3311"/>
      <c r="O3311" s="644"/>
      <c r="P3311" s="644"/>
      <c r="Q3311" s="644"/>
    </row>
    <row r="3312" spans="2:17" s="57" customFormat="1">
      <c r="B3312" s="1825" t="s">
        <v>1042</v>
      </c>
      <c r="C3312" s="1985"/>
      <c r="D3312" s="657"/>
      <c r="E3312" s="657"/>
      <c r="F3312" s="1780"/>
      <c r="G3312" s="657"/>
      <c r="H3312" s="826"/>
      <c r="I3312" s="1830"/>
      <c r="J3312" s="827"/>
      <c r="K3312" s="657"/>
      <c r="L3312" s="828"/>
      <c r="M3312"/>
      <c r="N3312"/>
      <c r="O3312" s="644"/>
      <c r="P3312" s="644"/>
      <c r="Q3312" s="644"/>
    </row>
    <row r="3313" spans="1:17" s="57" customFormat="1" ht="23">
      <c r="B3313" s="1816" t="str">
        <f>CL!B843</f>
        <v>DCV</v>
      </c>
      <c r="C3313" s="1962" t="str">
        <f>CL!C843</f>
        <v>DOM, INT; 
B, G, E, O</v>
      </c>
      <c r="D3313" s="1808" t="str">
        <f>CL!D843</f>
        <v>B, SE, O</v>
      </c>
      <c r="E3313" s="1808">
        <f>CL!E843</f>
        <v>0</v>
      </c>
      <c r="F3313" s="1832" t="str">
        <f>CL!F843</f>
        <v>17:00</v>
      </c>
      <c r="G3313" s="1808">
        <f>CL!G843</f>
        <v>0</v>
      </c>
      <c r="H3313" s="1808" t="str">
        <f>CL!H843</f>
        <v>(T+1), (T+2), (T+3), (T+5)</v>
      </c>
      <c r="I3313" s="1808" t="str">
        <f>CL!C847</f>
        <v>YES</v>
      </c>
      <c r="J3313" s="1808" t="str">
        <f>CL!D847</f>
        <v>DVP 1, DVP 3</v>
      </c>
      <c r="K3313" s="1808">
        <f>CL!E847</f>
        <v>0</v>
      </c>
      <c r="L3313" s="1831">
        <f>CL!F847</f>
        <v>0</v>
      </c>
      <c r="M3313"/>
      <c r="N3313"/>
      <c r="O3313" s="644"/>
      <c r="P3313" s="644"/>
      <c r="Q3313" s="644"/>
    </row>
    <row r="3314" spans="1:17" s="57" customFormat="1">
      <c r="B3314" s="1822"/>
      <c r="C3314" s="1985"/>
      <c r="D3314" s="657"/>
      <c r="E3314" s="657"/>
      <c r="F3314" s="1780"/>
      <c r="G3314" s="657"/>
      <c r="H3314" s="826"/>
      <c r="I3314" s="1830"/>
      <c r="J3314" s="827"/>
      <c r="K3314" s="657"/>
      <c r="L3314" s="828"/>
      <c r="M3314"/>
      <c r="N3314"/>
      <c r="O3314" s="644"/>
      <c r="P3314" s="644"/>
      <c r="Q3314" s="644"/>
    </row>
    <row r="3315" spans="1:17" s="57" customFormat="1">
      <c r="B3315" s="1825" t="s">
        <v>1043</v>
      </c>
      <c r="C3315" s="1982"/>
      <c r="D3315" s="794"/>
      <c r="E3315" s="794"/>
      <c r="F3315" s="1836"/>
      <c r="G3315" s="794"/>
      <c r="H3315" s="794"/>
      <c r="I3315" s="1830"/>
      <c r="J3315" s="794"/>
      <c r="K3315" s="794"/>
      <c r="L3315" s="796"/>
      <c r="M3315"/>
      <c r="N3315"/>
      <c r="O3315" s="644"/>
      <c r="P3315" s="644"/>
      <c r="Q3315" s="644"/>
    </row>
    <row r="3316" spans="1:17" s="57" customFormat="1" ht="23">
      <c r="B3316" s="1816" t="str">
        <f>CO!B1087</f>
        <v>DCV</v>
      </c>
      <c r="C3316" s="1962" t="str">
        <f>CO!C1087</f>
        <v>G</v>
      </c>
      <c r="D3316" s="1808" t="str">
        <f>CO!D1087</f>
        <v>CB</v>
      </c>
      <c r="E3316" s="1808" t="str">
        <f>CO!E1087</f>
        <v>DCV</v>
      </c>
      <c r="F3316" s="1832">
        <f>CO!F1087</f>
        <v>0.83333333333333337</v>
      </c>
      <c r="G3316" s="1808" t="str">
        <f>CO!G1087</f>
        <v>Direct/
DECEVAL</v>
      </c>
      <c r="H3316" s="1808" t="str">
        <f>CO!H1087</f>
        <v xml:space="preserve">T+0 </v>
      </c>
      <c r="I3316" s="1808" t="str">
        <f>CO!C1092</f>
        <v>YES</v>
      </c>
      <c r="J3316" s="1808" t="str">
        <f>CO!D1092</f>
        <v>DVP 1</v>
      </c>
      <c r="K3316" s="1808" t="str">
        <f>CO!E1092</f>
        <v>COP</v>
      </c>
      <c r="L3316" s="1831" t="str">
        <f>CO!F1092</f>
        <v>CB</v>
      </c>
      <c r="M3316"/>
      <c r="N3316"/>
      <c r="O3316" s="644"/>
      <c r="P3316" s="644"/>
      <c r="Q3316" s="644"/>
    </row>
    <row r="3317" spans="1:17" s="57" customFormat="1" ht="23">
      <c r="B3317" s="1816" t="str">
        <f>CO!B1088</f>
        <v>DECEVAL</v>
      </c>
      <c r="C3317" s="1962" t="str">
        <f>CO!C1088</f>
        <v>DOM;
B, E</v>
      </c>
      <c r="D3317" s="1808" t="str">
        <f>CO!D1088</f>
        <v>O</v>
      </c>
      <c r="E3317" s="1808" t="str">
        <f>CO!E1088</f>
        <v xml:space="preserve">DECEVAL </v>
      </c>
      <c r="F3317" s="1832">
        <f>CO!F1088</f>
        <v>0.83333333333333337</v>
      </c>
      <c r="G3317" s="1808" t="str">
        <f>CO!G1088</f>
        <v xml:space="preserve">Direct/
DCV </v>
      </c>
      <c r="H3317" s="1808" t="str">
        <f>CO!H1088</f>
        <v xml:space="preserve">T+0 </v>
      </c>
      <c r="I3317" s="1808" t="str">
        <f>CO!C1093</f>
        <v>YES</v>
      </c>
      <c r="J3317" s="1808" t="str">
        <f>CO!D1093</f>
        <v>DVP 1</v>
      </c>
      <c r="K3317" s="1808" t="str">
        <f>CO!E1093</f>
        <v>COP</v>
      </c>
      <c r="L3317" s="1831" t="str">
        <f>CO!F1093</f>
        <v>CB</v>
      </c>
      <c r="M3317"/>
      <c r="N3317"/>
      <c r="O3317" s="644"/>
      <c r="P3317" s="644"/>
      <c r="Q3317" s="644"/>
    </row>
    <row r="3318" spans="1:17" s="57" customFormat="1">
      <c r="B3318" s="1819"/>
      <c r="C3318" s="1982"/>
      <c r="D3318" s="794"/>
      <c r="E3318" s="794"/>
      <c r="F3318" s="1836"/>
      <c r="G3318" s="794"/>
      <c r="H3318" s="794"/>
      <c r="I3318" s="1830"/>
      <c r="J3318" s="794"/>
      <c r="K3318" s="794"/>
      <c r="L3318" s="796"/>
      <c r="M3318"/>
      <c r="N3318"/>
      <c r="O3318" s="644"/>
      <c r="P3318" s="644"/>
      <c r="Q3318" s="644"/>
    </row>
    <row r="3319" spans="1:17" s="57" customFormat="1">
      <c r="B3319" s="1825" t="s">
        <v>1044</v>
      </c>
      <c r="C3319" s="1985"/>
      <c r="D3319" s="657"/>
      <c r="E3319" s="657"/>
      <c r="F3319" s="1837"/>
      <c r="G3319" s="657"/>
      <c r="H3319" s="657"/>
      <c r="I3319" s="1830"/>
      <c r="J3319" s="666"/>
      <c r="K3319" s="657"/>
      <c r="L3319" s="828"/>
      <c r="M3319"/>
      <c r="N3319"/>
      <c r="O3319" s="644"/>
      <c r="P3319" s="644"/>
      <c r="Q3319" s="644"/>
    </row>
    <row r="3320" spans="1:17" s="57" customFormat="1">
      <c r="B3320" s="1816" t="str">
        <f>CR!B994</f>
        <v>INTERCLEAR (1)</v>
      </c>
      <c r="C3320" s="1962" t="str">
        <f>CR!C994</f>
        <v>DOM, INT</v>
      </c>
      <c r="D3320" s="1808" t="str">
        <f>CR!D994</f>
        <v>SE, O</v>
      </c>
      <c r="E3320" s="1808" t="str">
        <f>CR!E994</f>
        <v>Patrón Clear</v>
      </c>
      <c r="F3320" s="1832" t="str">
        <f>CR!F994</f>
        <v>12:00</v>
      </c>
      <c r="G3320" s="1808">
        <f>CR!G994</f>
        <v>4</v>
      </c>
      <c r="H3320" s="1808" t="str">
        <f>CR!H994</f>
        <v>*</v>
      </c>
      <c r="I3320" s="1808" t="str">
        <f>CR!C999</f>
        <v>NO</v>
      </c>
      <c r="J3320" s="1808" t="str">
        <f>CR!D999</f>
        <v>-</v>
      </c>
      <c r="K3320" s="1808" t="str">
        <f>CR!E999</f>
        <v>CRC, USD</v>
      </c>
      <c r="L3320" s="1831" t="str">
        <f>CR!F999</f>
        <v>CB</v>
      </c>
      <c r="M3320"/>
      <c r="N3320"/>
      <c r="O3320" s="644"/>
      <c r="P3320" s="644"/>
      <c r="Q3320" s="644"/>
    </row>
    <row r="3321" spans="1:17" s="57" customFormat="1">
      <c r="B3321" s="1816" t="str">
        <f>CR!B995</f>
        <v>BCCR - Book Entry System</v>
      </c>
      <c r="C3321" s="1962" t="str">
        <f>CR!C995</f>
        <v>DOM</v>
      </c>
      <c r="D3321" s="1808" t="str">
        <f>CR!D995</f>
        <v>BC</v>
      </c>
      <c r="E3321" s="1808" t="str">
        <f>CR!E995</f>
        <v>SINPE</v>
      </c>
      <c r="F3321" s="1832" t="str">
        <f>CR!F995</f>
        <v>12:00</v>
      </c>
      <c r="G3321" s="1808">
        <f>CR!G995</f>
        <v>1</v>
      </c>
      <c r="H3321" s="1808" t="str">
        <f>CR!H995</f>
        <v>*</v>
      </c>
      <c r="I3321" s="1808" t="str">
        <f>CR!C1000</f>
        <v>NO</v>
      </c>
      <c r="J3321" s="1808" t="str">
        <f>CR!D1000</f>
        <v>DVP3</v>
      </c>
      <c r="K3321" s="1808" t="str">
        <f>CR!E1000</f>
        <v>CRC, USD</v>
      </c>
      <c r="L3321" s="1831" t="str">
        <f>CR!F1000</f>
        <v>CB</v>
      </c>
      <c r="M3321"/>
      <c r="N3321"/>
      <c r="O3321" s="644"/>
      <c r="P3321" s="644"/>
      <c r="Q3321" s="644"/>
    </row>
    <row r="3322" spans="1:17" s="57" customFormat="1">
      <c r="B3322" s="1819"/>
      <c r="C3322" s="1982"/>
      <c r="D3322" s="794"/>
      <c r="E3322" s="794"/>
      <c r="F3322" s="1836"/>
      <c r="G3322" s="794"/>
      <c r="H3322" s="794"/>
      <c r="I3322" s="1830"/>
      <c r="J3322" s="794"/>
      <c r="K3322" s="794"/>
      <c r="L3322" s="796"/>
      <c r="M3322"/>
    </row>
    <row r="3323" spans="1:17" s="57" customFormat="1">
      <c r="B3323" s="1825" t="s">
        <v>1061</v>
      </c>
      <c r="C3323" s="1982"/>
      <c r="D3323" s="794"/>
      <c r="E3323" s="794"/>
      <c r="F3323" s="1836"/>
      <c r="G3323" s="794"/>
      <c r="H3323" s="794"/>
      <c r="I3323" s="1830"/>
      <c r="J3323" s="794"/>
      <c r="K3323" s="794"/>
      <c r="L3323" s="796"/>
      <c r="M3323"/>
    </row>
    <row r="3324" spans="1:17" s="57" customFormat="1">
      <c r="B3324" s="1816" t="str">
        <f>CW!B755</f>
        <v>System A</v>
      </c>
      <c r="C3324" s="1962">
        <f>CW!C755</f>
        <v>0</v>
      </c>
      <c r="D3324" s="1808">
        <f>CW!D755</f>
        <v>0</v>
      </c>
      <c r="E3324" s="1808">
        <f>CW!E755</f>
        <v>0</v>
      </c>
      <c r="F3324" s="1832">
        <f>CW!F755</f>
        <v>0</v>
      </c>
      <c r="G3324" s="1808">
        <f>CW!G755</f>
        <v>0</v>
      </c>
      <c r="H3324" s="1808">
        <f>CW!H755</f>
        <v>0</v>
      </c>
      <c r="I3324" s="1808">
        <f>CW!C759</f>
        <v>0</v>
      </c>
      <c r="J3324" s="1808">
        <f>CW!D759</f>
        <v>0</v>
      </c>
      <c r="K3324" s="1808">
        <f>CW!E759</f>
        <v>0</v>
      </c>
      <c r="L3324" s="1831">
        <f>CW!F759</f>
        <v>0</v>
      </c>
      <c r="M3324"/>
      <c r="N3324"/>
      <c r="O3324" s="644"/>
      <c r="P3324" s="644"/>
      <c r="Q3324" s="644"/>
    </row>
    <row r="3325" spans="1:17" s="57" customFormat="1">
      <c r="B3325" s="1983"/>
      <c r="C3325" s="1962"/>
      <c r="D3325" s="1808"/>
      <c r="E3325" s="1808"/>
      <c r="F3325" s="1832"/>
      <c r="G3325" s="1808"/>
      <c r="H3325" s="1808"/>
      <c r="I3325" s="1808"/>
      <c r="J3325" s="1808"/>
      <c r="K3325" s="1808"/>
      <c r="L3325" s="1831"/>
      <c r="M3325"/>
      <c r="N3325"/>
      <c r="O3325" s="644"/>
      <c r="P3325" s="644"/>
      <c r="Q3325" s="644"/>
    </row>
    <row r="3326" spans="1:17" s="57" customFormat="1">
      <c r="B3326" s="1825" t="s">
        <v>1047</v>
      </c>
      <c r="C3326" s="1985"/>
      <c r="D3326" s="657"/>
      <c r="E3326" s="657"/>
      <c r="F3326" s="1838"/>
      <c r="G3326" s="657"/>
      <c r="H3326" s="657"/>
      <c r="I3326" s="1830"/>
      <c r="J3326" s="657"/>
      <c r="K3326" s="657"/>
      <c r="L3326" s="828"/>
      <c r="M3326"/>
      <c r="N3326"/>
      <c r="O3326" s="644"/>
      <c r="P3326" s="644"/>
      <c r="Q3326" s="644"/>
    </row>
    <row r="3327" spans="1:17" s="57" customFormat="1" ht="23">
      <c r="A3327" s="1637">
        <f>EC!A802</f>
        <v>0</v>
      </c>
      <c r="B3327" s="1816" t="str">
        <f>EC!B802</f>
        <v>DCV-BCE (PUBLICO)</v>
      </c>
      <c r="C3327" s="1962" t="str">
        <f>EC!C802</f>
        <v>B, C, VG,AC,O</v>
      </c>
      <c r="D3327" s="1808" t="str">
        <f>EC!D802</f>
        <v>BC</v>
      </c>
      <c r="E3327" s="1808" t="str">
        <f>EC!E802</f>
        <v>DCV-BCE</v>
      </c>
      <c r="F3327" s="1832" t="str">
        <f>EC!F802</f>
        <v>16:30</v>
      </c>
      <c r="G3327" s="1808">
        <f>EC!G802</f>
        <v>0</v>
      </c>
      <c r="H3327" s="1808" t="str">
        <f>EC!H802</f>
        <v>T</v>
      </c>
      <c r="I3327" s="1808" t="str">
        <f>EC!C806</f>
        <v>si</v>
      </c>
      <c r="J3327" s="1808" t="str">
        <f>EC!D806</f>
        <v>DVP1 - DVP3</v>
      </c>
      <c r="K3327" s="1808" t="str">
        <f>EC!E806</f>
        <v>USD</v>
      </c>
      <c r="L3327" s="1831" t="str">
        <f>EC!F806</f>
        <v>BC</v>
      </c>
      <c r="M3327"/>
      <c r="N3327"/>
      <c r="O3327" s="644"/>
      <c r="P3327" s="644"/>
      <c r="Q3327" s="644"/>
    </row>
    <row r="3328" spans="1:17" s="57" customFormat="1">
      <c r="B3328" s="1816" t="str">
        <f>EC!B803</f>
        <v>DECEVALE (PRIVADO)</v>
      </c>
      <c r="C3328" s="1962">
        <f>EC!C803</f>
        <v>0</v>
      </c>
      <c r="D3328" s="1808">
        <f>EC!D803</f>
        <v>0</v>
      </c>
      <c r="E3328" s="1808">
        <f>EC!E803</f>
        <v>0</v>
      </c>
      <c r="F3328" s="1832">
        <f>EC!F803</f>
        <v>0</v>
      </c>
      <c r="G3328" s="1808">
        <f>EC!G803</f>
        <v>0</v>
      </c>
      <c r="H3328" s="1808">
        <f>EC!H803</f>
        <v>0</v>
      </c>
      <c r="I3328" s="1808">
        <f>EC!C807</f>
        <v>0</v>
      </c>
      <c r="J3328" s="1808">
        <f>EC!D807</f>
        <v>0</v>
      </c>
      <c r="K3328" s="1808">
        <f>EC!E807</f>
        <v>0</v>
      </c>
      <c r="L3328" s="1831">
        <f>EC!F807</f>
        <v>0</v>
      </c>
      <c r="M3328"/>
      <c r="N3328"/>
      <c r="O3328" s="644"/>
      <c r="P3328" s="644"/>
      <c r="Q3328" s="644"/>
    </row>
    <row r="3329" spans="2:17" s="57" customFormat="1">
      <c r="B3329" s="1819"/>
      <c r="C3329" s="1985"/>
      <c r="D3329" s="657"/>
      <c r="E3329" s="657"/>
      <c r="F3329" s="1838"/>
      <c r="G3329" s="657"/>
      <c r="H3329" s="657"/>
      <c r="I3329" s="1830"/>
      <c r="J3329" s="657"/>
      <c r="K3329" s="657"/>
      <c r="L3329" s="828"/>
      <c r="M3329"/>
      <c r="N3329"/>
      <c r="O3329" s="644"/>
      <c r="P3329" s="644"/>
      <c r="Q3329" s="644"/>
    </row>
    <row r="3330" spans="2:17" s="57" customFormat="1">
      <c r="B3330" s="1825" t="s">
        <v>1048</v>
      </c>
      <c r="C3330" s="1985"/>
      <c r="D3330" s="657"/>
      <c r="E3330" s="657"/>
      <c r="F3330" s="1780"/>
      <c r="G3330" s="657"/>
      <c r="H3330" s="657"/>
      <c r="I3330" s="1830"/>
      <c r="J3330" s="657"/>
      <c r="K3330" s="657"/>
      <c r="L3330" s="828"/>
      <c r="M3330"/>
      <c r="N3330"/>
      <c r="O3330" s="644"/>
      <c r="P3330" s="644"/>
      <c r="Q3330" s="644"/>
    </row>
    <row r="3331" spans="2:17" s="57" customFormat="1">
      <c r="B3331" s="1816" t="str">
        <f>SV!B755</f>
        <v>DCV</v>
      </c>
      <c r="C3331" s="1962">
        <f>SV!C755</f>
        <v>0</v>
      </c>
      <c r="D3331" s="1808">
        <f>SV!D755</f>
        <v>0</v>
      </c>
      <c r="E3331" s="1808">
        <f>SV!E755</f>
        <v>0</v>
      </c>
      <c r="F3331" s="1832">
        <f>SV!F755</f>
        <v>0</v>
      </c>
      <c r="G3331" s="1808">
        <f>SV!G755</f>
        <v>0</v>
      </c>
      <c r="H3331" s="1808">
        <f>SV!H755</f>
        <v>0</v>
      </c>
      <c r="I3331" s="1808">
        <f>SV!C759</f>
        <v>0</v>
      </c>
      <c r="J3331" s="1808">
        <f>SV!D759</f>
        <v>0</v>
      </c>
      <c r="K3331" s="1808">
        <f>SV!E759</f>
        <v>0</v>
      </c>
      <c r="L3331" s="1831">
        <f>SV!F759</f>
        <v>0</v>
      </c>
      <c r="M3331"/>
      <c r="N3331"/>
      <c r="O3331" s="644"/>
      <c r="P3331" s="644"/>
      <c r="Q3331" s="644"/>
    </row>
    <row r="3332" spans="2:17" s="57" customFormat="1">
      <c r="B3332" s="1819"/>
      <c r="C3332" s="1985"/>
      <c r="D3332" s="657"/>
      <c r="E3332" s="657"/>
      <c r="F3332" s="1780"/>
      <c r="G3332" s="657"/>
      <c r="H3332" s="657"/>
      <c r="I3332" s="1830"/>
      <c r="J3332" s="657"/>
      <c r="K3332" s="657"/>
      <c r="L3332" s="828"/>
      <c r="M3332"/>
      <c r="N3332"/>
      <c r="O3332" s="644"/>
      <c r="P3332" s="644"/>
      <c r="Q3332" s="644"/>
    </row>
    <row r="3333" spans="2:17" s="57" customFormat="1">
      <c r="B3333" s="1825" t="s">
        <v>1049</v>
      </c>
      <c r="C3333" s="1981"/>
      <c r="D3333" s="795"/>
      <c r="E3333" s="795"/>
      <c r="F3333" s="1839"/>
      <c r="G3333" s="795"/>
      <c r="H3333" s="795"/>
      <c r="I3333" s="1830"/>
      <c r="J3333" s="795"/>
      <c r="K3333" s="795"/>
      <c r="L3333" s="748"/>
      <c r="M3333"/>
      <c r="N3333"/>
      <c r="O3333" s="644"/>
      <c r="P3333" s="644"/>
      <c r="Q3333" s="644"/>
    </row>
    <row r="3334" spans="2:17" s="57" customFormat="1" ht="23">
      <c r="B3334" s="1816" t="str">
        <f>GT!B1020</f>
        <v>SEL</v>
      </c>
      <c r="C3334" s="1962" t="str">
        <f>GT!C1020</f>
        <v>B</v>
      </c>
      <c r="D3334" s="1808" t="str">
        <f>GT!D1020</f>
        <v xml:space="preserve">O </v>
      </c>
      <c r="E3334" s="1808" t="str">
        <f>GT!E1020</f>
        <v>SEL</v>
      </c>
      <c r="F3334" s="1832">
        <f>GT!F1020</f>
        <v>0.75</v>
      </c>
      <c r="G3334" s="1808">
        <f>GT!G1020</f>
        <v>0</v>
      </c>
      <c r="H3334" s="1808" t="str">
        <f>GT!H1020</f>
        <v>T + 0</v>
      </c>
      <c r="I3334" s="1808">
        <f>GT!C1025</f>
        <v>0</v>
      </c>
      <c r="J3334" s="1808" t="str">
        <f>GT!D1025</f>
        <v>DVP1, DVP2, DVP3</v>
      </c>
      <c r="K3334" s="1808" t="str">
        <f>GT!E1025</f>
        <v>GTQ, USD</v>
      </c>
      <c r="L3334" s="1831" t="str">
        <f>GT!F1025</f>
        <v>CB</v>
      </c>
      <c r="M3334"/>
      <c r="N3334"/>
      <c r="O3334" s="644"/>
      <c r="P3334" s="644"/>
      <c r="Q3334" s="644"/>
    </row>
    <row r="3335" spans="2:17" s="57" customFormat="1">
      <c r="B3335" s="1816" t="str">
        <f>GT!B1021</f>
        <v>SEL</v>
      </c>
      <c r="C3335" s="1962" t="str">
        <f>GT!C1021</f>
        <v>C, E</v>
      </c>
      <c r="D3335" s="1808" t="str">
        <f>GT!D1021</f>
        <v xml:space="preserve">O </v>
      </c>
      <c r="E3335" s="1808" t="str">
        <f>GT!E1021</f>
        <v>SEL</v>
      </c>
      <c r="F3335" s="1832">
        <f>GT!F1021</f>
        <v>0.75</v>
      </c>
      <c r="G3335" s="1808">
        <f>GT!G1021</f>
        <v>0</v>
      </c>
      <c r="H3335" s="1808" t="str">
        <f>GT!H1021</f>
        <v>T+n(1)</v>
      </c>
      <c r="I3335" s="1808">
        <f>GT!C1026</f>
        <v>0</v>
      </c>
      <c r="J3335" s="1808">
        <f>GT!D1026</f>
        <v>0</v>
      </c>
      <c r="K3335" s="1808">
        <f>GT!E1026</f>
        <v>0</v>
      </c>
      <c r="L3335" s="1831">
        <f>GT!F1026</f>
        <v>0</v>
      </c>
      <c r="M3335"/>
      <c r="N3335"/>
      <c r="O3335" s="644"/>
      <c r="P3335" s="644"/>
      <c r="Q3335" s="644"/>
    </row>
    <row r="3336" spans="2:17" s="57" customFormat="1">
      <c r="B3336" s="1816"/>
      <c r="C3336" s="1962"/>
      <c r="D3336" s="795"/>
      <c r="E3336" s="795"/>
      <c r="F3336" s="1839"/>
      <c r="G3336" s="795"/>
      <c r="H3336" s="795"/>
      <c r="I3336" s="1830"/>
      <c r="J3336" s="795"/>
      <c r="K3336" s="795"/>
      <c r="L3336" s="748"/>
      <c r="M3336"/>
      <c r="N3336"/>
      <c r="O3336" s="644"/>
      <c r="P3336" s="644"/>
      <c r="Q3336" s="644"/>
    </row>
    <row r="3337" spans="2:17" s="57" customFormat="1">
      <c r="B3337" s="1825" t="s">
        <v>1050</v>
      </c>
      <c r="C3337" s="1981"/>
      <c r="D3337" s="795"/>
      <c r="E3337" s="795"/>
      <c r="F3337" s="1839"/>
      <c r="G3337" s="795"/>
      <c r="H3337" s="795"/>
      <c r="I3337" s="1830"/>
      <c r="J3337" s="795"/>
      <c r="K3337" s="795"/>
      <c r="L3337" s="748"/>
      <c r="M3337"/>
      <c r="N3337"/>
      <c r="O3337" s="644"/>
      <c r="P3337" s="644"/>
      <c r="Q3337" s="644"/>
    </row>
    <row r="3338" spans="2:17" s="57" customFormat="1" ht="23">
      <c r="B3338" s="1816" t="str">
        <f>HN!B888</f>
        <v>System A: Depositaria de Valores del Banco Central de Honduras (DV-BCH)</v>
      </c>
      <c r="C3338" s="1962" t="str">
        <f>HN!C888</f>
        <v>DOM</v>
      </c>
      <c r="D3338" s="1808" t="str">
        <f>HN!D888</f>
        <v>CB</v>
      </c>
      <c r="E3338" s="1808" t="str">
        <f>HN!E888</f>
        <v>DV-BCH and BCH-TR</v>
      </c>
      <c r="F3338" s="1832" t="str">
        <f>HN!F888</f>
        <v>18:00 Hours</v>
      </c>
      <c r="G3338" s="1808">
        <f>HN!G888</f>
        <v>0</v>
      </c>
      <c r="H3338" s="1808" t="str">
        <f>HN!H888</f>
        <v>T+n</v>
      </c>
      <c r="I3338" s="1808" t="str">
        <f>HN!C892</f>
        <v>Yes</v>
      </c>
      <c r="J3338" s="1808" t="str">
        <f>HN!D892</f>
        <v>Yes</v>
      </c>
      <c r="K3338" s="1808" t="str">
        <f>HN!E892</f>
        <v>HNL, USD</v>
      </c>
      <c r="L3338" s="1831" t="str">
        <f>HN!F892</f>
        <v>CB</v>
      </c>
      <c r="M3338"/>
      <c r="N3338"/>
      <c r="O3338" s="644"/>
      <c r="P3338" s="644"/>
      <c r="Q3338" s="644"/>
    </row>
    <row r="3339" spans="2:17" s="57" customFormat="1">
      <c r="B3339" s="1819"/>
      <c r="C3339" s="1981"/>
      <c r="D3339" s="795"/>
      <c r="E3339" s="795"/>
      <c r="F3339" s="1839"/>
      <c r="G3339" s="795"/>
      <c r="H3339" s="795"/>
      <c r="I3339" s="1830"/>
      <c r="J3339" s="795"/>
      <c r="K3339" s="795"/>
      <c r="L3339" s="748"/>
      <c r="M3339"/>
      <c r="N3339"/>
      <c r="O3339" s="644"/>
      <c r="P3339" s="644"/>
      <c r="Q3339" s="644"/>
    </row>
    <row r="3340" spans="2:17" s="57" customFormat="1">
      <c r="B3340" s="1825" t="s">
        <v>1051</v>
      </c>
      <c r="C3340" s="1985"/>
      <c r="D3340" s="657"/>
      <c r="E3340" s="657"/>
      <c r="F3340" s="1780"/>
      <c r="G3340" s="657"/>
      <c r="H3340" s="657"/>
      <c r="I3340" s="1830"/>
      <c r="J3340" s="657"/>
      <c r="K3340" s="657"/>
      <c r="L3340" s="828"/>
      <c r="M3340"/>
      <c r="N3340"/>
      <c r="O3340" s="644"/>
      <c r="P3340" s="644"/>
      <c r="Q3340" s="644"/>
    </row>
    <row r="3341" spans="2:17" s="57" customFormat="1" ht="23">
      <c r="B3341" s="1816" t="str">
        <f>JM!B1025</f>
        <v>JamClear-CSD</v>
      </c>
      <c r="C3341" s="1962" t="str">
        <f>JM!C1025</f>
        <v>DOM;
B, C, G</v>
      </c>
      <c r="D3341" s="1808" t="str">
        <f>JM!D1025</f>
        <v>CB</v>
      </c>
      <c r="E3341" s="1808" t="str">
        <f>JM!E1025</f>
        <v>JamClear-CSD</v>
      </c>
      <c r="F3341" s="1832" t="str">
        <f>JM!F1025</f>
        <v>REALTIME</v>
      </c>
      <c r="G3341" s="1808">
        <f>JM!G1025</f>
        <v>0</v>
      </c>
      <c r="H3341" s="1808" t="str">
        <f>JM!H1025</f>
        <v>T+0</v>
      </c>
      <c r="I3341" s="1808" t="str">
        <f>JM!C1030</f>
        <v>YES</v>
      </c>
      <c r="J3341" s="1808" t="str">
        <f>JM!D1030</f>
        <v>DVP Model 1</v>
      </c>
      <c r="K3341" s="1808" t="str">
        <f>JM!E1030</f>
        <v>JMD, USD</v>
      </c>
      <c r="L3341" s="1831" t="str">
        <f>JM!F1030</f>
        <v>CB</v>
      </c>
      <c r="M3341"/>
      <c r="N3341"/>
      <c r="O3341" s="644"/>
      <c r="P3341" s="644"/>
      <c r="Q3341" s="644"/>
    </row>
    <row r="3342" spans="2:17" s="57" customFormat="1" ht="23">
      <c r="B3342" s="1816" t="str">
        <f>JM!B1026</f>
        <v>Jamaica Central Securities Depository</v>
      </c>
      <c r="C3342" s="1962" t="str">
        <f>JM!C1026</f>
        <v>DOM</v>
      </c>
      <c r="D3342" s="1808" t="str">
        <f>JM!D1026</f>
        <v>O</v>
      </c>
      <c r="E3342" s="1808" t="str">
        <f>JM!E1026</f>
        <v>DEPEND</v>
      </c>
      <c r="F3342" s="1832" t="str">
        <f>JM!F1026</f>
        <v>N/A</v>
      </c>
      <c r="G3342" s="1808">
        <f>JM!G1026</f>
        <v>0</v>
      </c>
      <c r="H3342" s="1808" t="str">
        <f>JM!H1026</f>
        <v>TRADE DATE+2</v>
      </c>
      <c r="I3342" s="1808" t="str">
        <f>JM!C1031</f>
        <v>NO</v>
      </c>
      <c r="J3342" s="1808">
        <f>JM!D1031</f>
        <v>0</v>
      </c>
      <c r="K3342" s="1808" t="str">
        <f>JM!E1031</f>
        <v>JMD, USD</v>
      </c>
      <c r="L3342" s="1831" t="str">
        <f>JM!F1031</f>
        <v>CB</v>
      </c>
      <c r="M3342"/>
      <c r="N3342"/>
      <c r="O3342" s="644"/>
      <c r="P3342" s="644"/>
      <c r="Q3342" s="644"/>
    </row>
    <row r="3343" spans="2:17" s="57" customFormat="1">
      <c r="B3343" s="1983"/>
      <c r="C3343" s="1962"/>
      <c r="D3343" s="1808"/>
      <c r="E3343" s="1808"/>
      <c r="F3343" s="1832"/>
      <c r="G3343" s="1808"/>
      <c r="H3343" s="1808"/>
      <c r="I3343" s="1808"/>
      <c r="J3343" s="1808"/>
      <c r="K3343" s="1808"/>
      <c r="L3343" s="1831"/>
      <c r="M3343"/>
      <c r="N3343"/>
      <c r="O3343" s="644"/>
      <c r="P3343" s="644"/>
      <c r="Q3343" s="644"/>
    </row>
    <row r="3344" spans="2:17" s="57" customFormat="1">
      <c r="B3344" s="1825" t="s">
        <v>1052</v>
      </c>
      <c r="C3344" s="1982"/>
      <c r="D3344" s="794"/>
      <c r="E3344" s="794"/>
      <c r="F3344" s="1836"/>
      <c r="G3344" s="794"/>
      <c r="H3344" s="794"/>
      <c r="I3344" s="1830"/>
      <c r="J3344" s="794"/>
      <c r="K3344" s="794"/>
      <c r="L3344" s="796"/>
      <c r="M3344"/>
      <c r="N3344"/>
      <c r="O3344" s="644"/>
      <c r="P3344" s="644"/>
      <c r="Q3344" s="644"/>
    </row>
    <row r="3345" spans="1:18" s="57" customFormat="1" ht="23">
      <c r="B3345" s="1816" t="str">
        <f>RD!B889</f>
        <v xml:space="preserve">CEVALDOM  </v>
      </c>
      <c r="C3345" s="1962" t="str">
        <f>RD!C889</f>
        <v>DOM, INT; 
B,G,O</v>
      </c>
      <c r="D3345" s="1808" t="str">
        <f>RD!D889</f>
        <v>B,SE,O</v>
      </c>
      <c r="E3345" s="1808" t="str">
        <f>RD!E889</f>
        <v>CEVALDOM</v>
      </c>
      <c r="F3345" s="1832" t="str">
        <f>RD!F889</f>
        <v>16:30</v>
      </c>
      <c r="G3345" s="1808" t="str">
        <f>RD!G889</f>
        <v>YES (FOP,DVP)*</v>
      </c>
      <c r="H3345" s="1808" t="str">
        <f>RD!H889</f>
        <v>T+3</v>
      </c>
      <c r="I3345" s="1808" t="str">
        <f>RD!C893</f>
        <v>YES</v>
      </c>
      <c r="J3345" s="1808" t="str">
        <f>RD!D893</f>
        <v>DVP 1</v>
      </c>
      <c r="K3345" s="1808" t="str">
        <f>RD!E893</f>
        <v>DOP, USD</v>
      </c>
      <c r="L3345" s="1831" t="str">
        <f>RD!F893</f>
        <v>CB</v>
      </c>
      <c r="M3345"/>
      <c r="N3345"/>
      <c r="O3345" s="644"/>
      <c r="P3345" s="644"/>
      <c r="Q3345" s="644"/>
    </row>
    <row r="3346" spans="1:18" s="57" customFormat="1">
      <c r="B3346" s="1984"/>
      <c r="C3346" s="1985"/>
      <c r="D3346" s="657"/>
      <c r="E3346" s="657"/>
      <c r="F3346" s="1780"/>
      <c r="G3346" s="657"/>
      <c r="H3346" s="657"/>
      <c r="I3346" s="1830"/>
      <c r="J3346" s="657"/>
      <c r="K3346" s="657"/>
      <c r="L3346" s="828"/>
      <c r="M3346"/>
      <c r="N3346"/>
      <c r="O3346" s="644"/>
      <c r="P3346" s="644"/>
      <c r="Q3346" s="644"/>
    </row>
    <row r="3347" spans="1:18" s="57" customFormat="1">
      <c r="B3347" s="1825" t="s">
        <v>1053</v>
      </c>
      <c r="C3347" s="1988"/>
      <c r="D3347" s="621"/>
      <c r="E3347" s="621"/>
      <c r="F3347" s="1840"/>
      <c r="G3347" s="621"/>
      <c r="H3347" s="621"/>
      <c r="I3347" s="1830"/>
      <c r="J3347" s="621"/>
      <c r="K3347" s="621"/>
      <c r="L3347" s="1833"/>
      <c r="M3347"/>
      <c r="N3347"/>
      <c r="O3347" s="644"/>
      <c r="P3347" s="644"/>
      <c r="Q3347" s="644"/>
    </row>
    <row r="3348" spans="1:18" s="57" customFormat="1">
      <c r="B3348" s="1816" t="str">
        <f>PY!B1312</f>
        <v xml:space="preserve">BCP </v>
      </c>
      <c r="C3348" s="1962" t="str">
        <f>PY!C1312</f>
        <v>VG</v>
      </c>
      <c r="D3348" s="1808" t="str">
        <f>PY!D1312</f>
        <v>BC</v>
      </c>
      <c r="E3348" s="1808" t="str">
        <f>PY!E1312</f>
        <v>DEPOX</v>
      </c>
      <c r="F3348" s="1832">
        <f>PY!F1312</f>
        <v>0.84027777777777779</v>
      </c>
      <c r="G3348" s="1808" t="str">
        <f>PY!G1312</f>
        <v>N/A</v>
      </c>
      <c r="H3348" s="1808" t="str">
        <f>PY!H1312</f>
        <v>T+n</v>
      </c>
      <c r="I3348" s="1808" t="str">
        <f>PY!C1317</f>
        <v>Si</v>
      </c>
      <c r="J3348" s="1808" t="str">
        <f>PY!D1317</f>
        <v>Si</v>
      </c>
      <c r="K3348" s="1808" t="str">
        <f>PY!E1317</f>
        <v>PYG</v>
      </c>
      <c r="L3348" s="1831" t="str">
        <f>PY!F1317</f>
        <v>BC</v>
      </c>
      <c r="M3348"/>
      <c r="N3348"/>
      <c r="O3348" s="644"/>
      <c r="P3348" s="644"/>
      <c r="Q3348" s="644"/>
    </row>
    <row r="3349" spans="1:18" s="57" customFormat="1" ht="46">
      <c r="B3349" s="1816" t="str">
        <f>PY!B1313</f>
        <v>BVPASA</v>
      </c>
      <c r="C3349" s="1962" t="str">
        <f>PY!C1313</f>
        <v>B ; VG</v>
      </c>
      <c r="D3349" s="1808" t="str">
        <f>PY!D1313</f>
        <v>BV</v>
      </c>
      <c r="E3349" s="1808" t="str">
        <f>PY!E1313</f>
        <v>CUENTA CLEARING CONTINENTAL</v>
      </c>
      <c r="F3349" s="1832">
        <f>PY!F1313</f>
        <v>0.72916666666666663</v>
      </c>
      <c r="G3349" s="1808">
        <f>PY!G1313</f>
        <v>2</v>
      </c>
      <c r="H3349" s="1808" t="str">
        <f>PY!H1313</f>
        <v>T+1</v>
      </c>
      <c r="I3349" s="1808" t="str">
        <f>PY!C1318</f>
        <v>NO</v>
      </c>
      <c r="J3349" s="1808" t="str">
        <f>PY!D1318</f>
        <v>DVF</v>
      </c>
      <c r="K3349" s="1808" t="str">
        <f>PY!E1318</f>
        <v>PYG ; USD</v>
      </c>
      <c r="L3349" s="1831" t="str">
        <f>PY!F1318</f>
        <v>B</v>
      </c>
      <c r="M3349"/>
      <c r="N3349"/>
      <c r="O3349" s="644"/>
      <c r="P3349" s="644"/>
      <c r="Q3349" s="644"/>
    </row>
    <row r="3350" spans="1:18" s="57" customFormat="1">
      <c r="B3350" s="1823"/>
      <c r="C3350" s="1985"/>
      <c r="D3350" s="657"/>
      <c r="E3350" s="657"/>
      <c r="F3350" s="1780"/>
      <c r="G3350" s="657"/>
      <c r="H3350" s="657"/>
      <c r="I3350" s="1830"/>
      <c r="J3350" s="666"/>
      <c r="K3350" s="657"/>
      <c r="L3350" s="828"/>
      <c r="M3350"/>
      <c r="N3350"/>
      <c r="O3350" s="644"/>
      <c r="P3350" s="644"/>
      <c r="Q3350" s="644"/>
    </row>
    <row r="3351" spans="1:18" s="812" customFormat="1">
      <c r="A3351" s="668"/>
      <c r="B3351" s="1825" t="s">
        <v>1054</v>
      </c>
      <c r="C3351" s="1985"/>
      <c r="D3351" s="657"/>
      <c r="E3351" s="657"/>
      <c r="F3351" s="1780"/>
      <c r="G3351" s="657"/>
      <c r="H3351" s="657"/>
      <c r="I3351" s="1834"/>
      <c r="J3351" s="666"/>
      <c r="K3351" s="657"/>
      <c r="L3351" s="828"/>
      <c r="M3351"/>
      <c r="N3351"/>
      <c r="O3351"/>
      <c r="P3351"/>
      <c r="Q3351"/>
      <c r="R3351"/>
    </row>
    <row r="3352" spans="1:18" s="812" customFormat="1" ht="34.5">
      <c r="A3352" s="668"/>
      <c r="B3352" s="1816" t="str">
        <f>PE!B791</f>
        <v>PERÚ</v>
      </c>
      <c r="C3352" s="1962" t="str">
        <f>PE!C791</f>
        <v>DOM e INT,B,C,G,E,O</v>
      </c>
      <c r="D3352" s="1808" t="str">
        <f>PE!D791</f>
        <v>DCV</v>
      </c>
      <c r="E3352" s="1808" t="str">
        <f>PE!E791</f>
        <v>WARI(Core Bussines System)</v>
      </c>
      <c r="F3352" s="1832" t="str">
        <f>PE!F791</f>
        <v>16:00</v>
      </c>
      <c r="G3352" s="1808">
        <f>PE!G791</f>
        <v>6</v>
      </c>
      <c r="H3352" s="1808" t="str">
        <f>PE!H791</f>
        <v>T+2</v>
      </c>
      <c r="I3352" s="1808" t="str">
        <f>PE!C795</f>
        <v>Sí</v>
      </c>
      <c r="J3352" s="1808" t="str">
        <f>PE!D795</f>
        <v>Sí</v>
      </c>
      <c r="K3352" s="1808" t="str">
        <f>PE!E795</f>
        <v>PEN, US$</v>
      </c>
      <c r="L3352" s="1831" t="str">
        <f>PE!F795</f>
        <v>CB</v>
      </c>
      <c r="M3352"/>
      <c r="N3352"/>
      <c r="O3352"/>
      <c r="P3352"/>
      <c r="Q3352"/>
      <c r="R3352"/>
    </row>
    <row r="3353" spans="1:18" s="57" customFormat="1">
      <c r="B3353" s="1823"/>
      <c r="C3353" s="1985"/>
      <c r="D3353" s="657"/>
      <c r="E3353" s="657"/>
      <c r="F3353" s="1780"/>
      <c r="G3353" s="657"/>
      <c r="H3353" s="657"/>
      <c r="I3353" s="1830"/>
      <c r="J3353" s="666"/>
      <c r="K3353" s="657"/>
      <c r="L3353" s="828"/>
      <c r="M3353"/>
      <c r="N3353"/>
      <c r="O3353"/>
      <c r="P3353"/>
      <c r="Q3353"/>
      <c r="R3353"/>
    </row>
    <row r="3354" spans="1:18" s="57" customFormat="1">
      <c r="B3354" s="1825" t="s">
        <v>1055</v>
      </c>
      <c r="C3354" s="1982"/>
      <c r="D3354" s="794"/>
      <c r="E3354" s="794"/>
      <c r="F3354" s="1836"/>
      <c r="G3354" s="794"/>
      <c r="H3354" s="794"/>
      <c r="I3354" s="1830"/>
      <c r="J3354" s="794"/>
      <c r="K3354" s="794"/>
      <c r="L3354" s="796"/>
      <c r="M3354"/>
      <c r="N3354"/>
      <c r="O3354"/>
      <c r="P3354"/>
      <c r="Q3354"/>
      <c r="R3354"/>
    </row>
    <row r="3355" spans="1:18" s="57" customFormat="1">
      <c r="B3355" s="1816" t="str">
        <f>TT!B993</f>
        <v>TTSE</v>
      </c>
      <c r="C3355" s="1962" t="str">
        <f>TT!C993</f>
        <v>E, B, O</v>
      </c>
      <c r="D3355" s="1808" t="str">
        <f>TT!D993</f>
        <v>SE</v>
      </c>
      <c r="E3355" s="1808" t="str">
        <f>TT!E993</f>
        <v>DEPEND</v>
      </c>
      <c r="F3355" s="1832">
        <f>TT!F993</f>
        <v>0.58333333333333337</v>
      </c>
      <c r="G3355" s="1808" t="str">
        <f>TT!G993</f>
        <v>NO</v>
      </c>
      <c r="H3355" s="1808" t="str">
        <f>TT!H993</f>
        <v>T+3</v>
      </c>
      <c r="I3355" s="1808">
        <f>TT!C998</f>
        <v>0</v>
      </c>
      <c r="J3355" s="1808">
        <f>TT!D998</f>
        <v>0</v>
      </c>
      <c r="K3355" s="1808" t="str">
        <f>TT!E998</f>
        <v>TTD, USD</v>
      </c>
      <c r="L3355" s="1831" t="str">
        <f>TT!F998</f>
        <v>CB</v>
      </c>
      <c r="M3355"/>
      <c r="N3355"/>
      <c r="O3355"/>
      <c r="P3355"/>
      <c r="Q3355"/>
      <c r="R3355"/>
    </row>
    <row r="3356" spans="1:18" s="57" customFormat="1" ht="23">
      <c r="B3356" s="1826" t="str">
        <f>TT!B994</f>
        <v>GSS</v>
      </c>
      <c r="C3356" s="1835" t="str">
        <f>TT!C994</f>
        <v>G</v>
      </c>
      <c r="D3356" s="1821" t="str">
        <f>TT!D994</f>
        <v>CB</v>
      </c>
      <c r="E3356" s="1821" t="str">
        <f>TT!E994</f>
        <v>GSS</v>
      </c>
      <c r="F3356" s="1841">
        <f>TT!F994</f>
        <v>0.63541666666666663</v>
      </c>
      <c r="G3356" s="1821" t="str">
        <f>TT!G994</f>
        <v>1 - indirect - DVP</v>
      </c>
      <c r="H3356" s="1821" t="str">
        <f>TT!H994</f>
        <v>T+2</v>
      </c>
      <c r="I3356" s="1821" t="str">
        <f>TT!C999</f>
        <v>YES</v>
      </c>
      <c r="J3356" s="1821" t="str">
        <f>TT!D999</f>
        <v>DVP Model 1</v>
      </c>
      <c r="K3356" s="1821" t="str">
        <f>TT!E999</f>
        <v>TTD</v>
      </c>
      <c r="L3356" s="1807" t="str">
        <f>TT!F999</f>
        <v>CB</v>
      </c>
      <c r="O3356" s="644"/>
      <c r="P3356" s="644"/>
      <c r="Q3356" s="644"/>
    </row>
    <row r="3357" spans="1:18" s="57" customFormat="1" ht="12.5">
      <c r="B3357" s="751"/>
      <c r="C3357" s="622"/>
      <c r="D3357" s="622"/>
      <c r="E3357" s="644"/>
      <c r="F3357" s="644"/>
      <c r="G3357" s="644"/>
      <c r="H3357" s="644"/>
      <c r="I3357" s="644"/>
      <c r="J3357" s="644"/>
      <c r="K3357" s="644"/>
      <c r="L3357" s="644"/>
      <c r="M3357" s="644"/>
      <c r="N3357" s="644"/>
      <c r="O3357" s="644"/>
      <c r="P3357" s="644"/>
      <c r="Q3357" s="644"/>
    </row>
    <row r="3358" spans="1:18" s="57" customFormat="1" ht="13">
      <c r="B3358" s="2158" t="s">
        <v>1391</v>
      </c>
      <c r="C3358" s="2158"/>
      <c r="D3358" s="2158"/>
      <c r="E3358" s="2158"/>
      <c r="F3358" s="2158"/>
      <c r="G3358" s="2158"/>
      <c r="H3358" s="2158"/>
      <c r="I3358" s="2158"/>
      <c r="J3358" s="2158"/>
      <c r="K3358" s="2158"/>
      <c r="L3358" s="2158"/>
      <c r="M3358" s="2158"/>
      <c r="N3358" s="2158"/>
      <c r="O3358" s="2158"/>
      <c r="P3358" s="2158"/>
      <c r="Q3358" s="2158"/>
      <c r="R3358" s="2158"/>
    </row>
    <row r="3359" spans="1:18" s="57" customFormat="1" ht="13">
      <c r="B3359" s="2159" t="s">
        <v>1392</v>
      </c>
      <c r="C3359" s="2159"/>
      <c r="D3359" s="2159"/>
      <c r="E3359" s="2159"/>
      <c r="F3359" s="2159"/>
      <c r="G3359" s="2159"/>
      <c r="H3359" s="2159"/>
      <c r="I3359" s="2159"/>
      <c r="J3359" s="2159"/>
      <c r="K3359" s="2159"/>
      <c r="L3359" s="2159"/>
      <c r="M3359" s="2159"/>
      <c r="N3359" s="2159"/>
      <c r="O3359" s="2159"/>
      <c r="P3359" s="2159"/>
      <c r="Q3359" s="2159"/>
      <c r="R3359" s="2159"/>
    </row>
    <row r="3360" spans="1:18" s="57" customFormat="1" ht="13">
      <c r="B3360" s="581" t="s">
        <v>1098</v>
      </c>
      <c r="C3360" s="611"/>
      <c r="D3360" s="611"/>
      <c r="E3360" s="644"/>
      <c r="F3360" s="644"/>
      <c r="G3360" s="644"/>
      <c r="H3360" s="644"/>
      <c r="I3360" s="644"/>
      <c r="J3360" s="644"/>
      <c r="K3360" s="644"/>
      <c r="L3360" s="644"/>
      <c r="M3360" s="644"/>
      <c r="N3360" s="644"/>
      <c r="O3360" s="644"/>
      <c r="P3360" s="644"/>
      <c r="Q3360" s="644"/>
    </row>
    <row r="3361" spans="2:18" s="57" customFormat="1" ht="13">
      <c r="B3361" s="612" t="s">
        <v>2160</v>
      </c>
      <c r="C3361" s="613"/>
      <c r="D3361" s="613"/>
      <c r="E3361" s="644"/>
      <c r="F3361" s="644"/>
      <c r="G3361" s="644"/>
      <c r="H3361" s="644"/>
      <c r="I3361" s="644"/>
      <c r="J3361" s="644"/>
      <c r="K3361" s="644"/>
      <c r="L3361" s="644"/>
      <c r="M3361" s="644"/>
      <c r="N3361" s="644"/>
      <c r="O3361" s="644"/>
      <c r="P3361" s="644"/>
      <c r="Q3361" s="644"/>
    </row>
    <row r="3362" spans="2:18" s="57" customFormat="1" ht="13.9" customHeight="1">
      <c r="B3362" s="2233" t="s">
        <v>11</v>
      </c>
      <c r="C3362" s="2230" t="s">
        <v>1260</v>
      </c>
      <c r="D3362" s="2231"/>
      <c r="E3362" s="2231"/>
      <c r="F3362" s="2231"/>
      <c r="G3362" s="2231"/>
      <c r="H3362" s="2231"/>
      <c r="I3362" s="2231"/>
      <c r="J3362" s="2232"/>
      <c r="K3362" s="2230" t="s">
        <v>1311</v>
      </c>
      <c r="L3362" s="2231"/>
      <c r="M3362" s="2231"/>
      <c r="N3362" s="2231"/>
      <c r="O3362" s="2231"/>
      <c r="P3362" s="2231"/>
      <c r="Q3362" s="2231"/>
      <c r="R3362" s="2232"/>
    </row>
    <row r="3363" spans="2:18" s="57" customFormat="1" ht="12.5">
      <c r="B3363" s="2251"/>
      <c r="C3363" s="587">
        <v>2014</v>
      </c>
      <c r="D3363" s="588">
        <v>2015</v>
      </c>
      <c r="E3363" s="588">
        <v>2016</v>
      </c>
      <c r="F3363" s="588">
        <v>2017</v>
      </c>
      <c r="G3363" s="588">
        <v>2018</v>
      </c>
      <c r="H3363" s="588">
        <v>2019</v>
      </c>
      <c r="I3363" s="588">
        <v>2020</v>
      </c>
      <c r="J3363" s="588">
        <v>2021</v>
      </c>
      <c r="K3363" s="1765">
        <v>2014</v>
      </c>
      <c r="L3363" s="586">
        <v>2015</v>
      </c>
      <c r="M3363" s="586">
        <v>2016</v>
      </c>
      <c r="N3363" s="586">
        <v>2017</v>
      </c>
      <c r="O3363" s="586">
        <v>2018</v>
      </c>
      <c r="P3363" s="586">
        <v>2019</v>
      </c>
      <c r="Q3363" s="586">
        <v>2020</v>
      </c>
      <c r="R3363" s="1651">
        <v>2021</v>
      </c>
    </row>
    <row r="3364" spans="2:18" s="57" customFormat="1" ht="13">
      <c r="B3364" s="752" t="s">
        <v>1038</v>
      </c>
      <c r="C3364" s="675"/>
      <c r="D3364" s="676"/>
      <c r="E3364" s="676"/>
      <c r="F3364" s="676"/>
      <c r="G3364" s="676"/>
      <c r="H3364" s="676"/>
      <c r="I3364" s="676"/>
      <c r="J3364" s="677"/>
      <c r="K3364" s="830"/>
      <c r="L3364" s="830"/>
      <c r="M3364" s="830"/>
      <c r="N3364" s="830"/>
      <c r="O3364" s="830"/>
      <c r="P3364" s="830"/>
      <c r="Q3364" s="830"/>
      <c r="R3364" s="793"/>
    </row>
    <row r="3365" spans="2:18" s="57" customFormat="1" ht="12.5">
      <c r="B3365" s="1753" t="s">
        <v>7</v>
      </c>
      <c r="C3365" s="1967">
        <f>IFERROR(ARG!C1616/1000,0)</f>
        <v>0</v>
      </c>
      <c r="D3365" s="1978">
        <f>IFERROR(ARG!D1616/1000,0)</f>
        <v>0</v>
      </c>
      <c r="E3365" s="1978">
        <f>IFERROR(ARG!E1616/1000,0)</f>
        <v>0</v>
      </c>
      <c r="F3365" s="1978">
        <f>IFERROR(ARG!F1616/1000,0)</f>
        <v>0</v>
      </c>
      <c r="G3365" s="1978">
        <f>IFERROR(ARG!G1616/1000,0)</f>
        <v>8.4309999999999992</v>
      </c>
      <c r="H3365" s="1978">
        <f>IFERROR(ARG!H1616/1000,0)</f>
        <v>5.3999999999999999E-2</v>
      </c>
      <c r="I3365" s="1978">
        <f>IFERROR(ARG!I1616/1000,0)</f>
        <v>4.2520000000000002E-2</v>
      </c>
      <c r="J3365" s="1979">
        <f>IFERROR(ARG!J1616/1000,0)</f>
        <v>9.612699999999999E-2</v>
      </c>
      <c r="K3365" s="829">
        <v>0</v>
      </c>
      <c r="L3365" s="831">
        <f>IFERROR((D3365/C3365-1)*100,0)</f>
        <v>0</v>
      </c>
      <c r="M3365" s="831">
        <f t="shared" ref="M3365:R3365" si="1076">IFERROR((E3365/D3365-1)*100,0)</f>
        <v>0</v>
      </c>
      <c r="N3365" s="831">
        <f t="shared" si="1076"/>
        <v>0</v>
      </c>
      <c r="O3365" s="831">
        <f t="shared" si="1076"/>
        <v>0</v>
      </c>
      <c r="P3365" s="831">
        <f t="shared" si="1076"/>
        <v>-99.359506582849008</v>
      </c>
      <c r="Q3365" s="831">
        <f t="shared" si="1076"/>
        <v>-21.259259259259256</v>
      </c>
      <c r="R3365" s="832">
        <f t="shared" si="1076"/>
        <v>126.0747883349012</v>
      </c>
    </row>
    <row r="3366" spans="2:18" s="57" customFormat="1" ht="13.5" customHeight="1">
      <c r="B3366" s="1752" t="s">
        <v>4</v>
      </c>
      <c r="C3366" s="1967">
        <f>IFERROR(ARG!C1632/1000,0)</f>
        <v>0</v>
      </c>
      <c r="D3366" s="1978">
        <f>IFERROR(ARG!D1632/1000,0)</f>
        <v>0</v>
      </c>
      <c r="E3366" s="1978">
        <f>IFERROR(ARG!E1632/1000,0)</f>
        <v>0</v>
      </c>
      <c r="F3366" s="1978">
        <f>IFERROR(ARG!F1632/1000,0)</f>
        <v>0</v>
      </c>
      <c r="G3366" s="1978">
        <f>IFERROR(ARG!G1632/1000,0)</f>
        <v>0</v>
      </c>
      <c r="H3366" s="1978">
        <f>IFERROR(ARG!H1632/1000,0)</f>
        <v>261.73399999999998</v>
      </c>
      <c r="I3366" s="1978">
        <f>IFERROR(ARG!I1632/1000,0)</f>
        <v>147.55000000000001</v>
      </c>
      <c r="J3366" s="1979">
        <f>IFERROR(ARG!J1632/1000,0)</f>
        <v>141.577</v>
      </c>
      <c r="K3366" s="829">
        <v>0</v>
      </c>
      <c r="L3366" s="831">
        <f>IFERROR((D3366/C3366-1)*100,0)</f>
        <v>0</v>
      </c>
      <c r="M3366" s="831">
        <f t="shared" ref="M3366" si="1077">IFERROR((E3366/D3366-1)*100,0)</f>
        <v>0</v>
      </c>
      <c r="N3366" s="831">
        <f t="shared" ref="N3366" si="1078">IFERROR((F3366/E3366-1)*100,0)</f>
        <v>0</v>
      </c>
      <c r="O3366" s="831">
        <f t="shared" ref="O3366" si="1079">IFERROR((G3366/F3366-1)*100,0)</f>
        <v>0</v>
      </c>
      <c r="P3366" s="831">
        <f t="shared" ref="P3366" si="1080">IFERROR((H3366/G3366-1)*100,0)</f>
        <v>0</v>
      </c>
      <c r="Q3366" s="831">
        <f t="shared" ref="Q3366" si="1081">IFERROR((I3366/H3366-1)*100,0)</f>
        <v>-43.625971406084027</v>
      </c>
      <c r="R3366" s="832">
        <f t="shared" ref="R3366" si="1082">IFERROR((J3366/I3366-1)*100,0)</f>
        <v>-4.0481192815994715</v>
      </c>
    </row>
    <row r="3367" spans="2:18" s="57" customFormat="1" ht="12" customHeight="1">
      <c r="B3367" s="1752"/>
      <c r="C3367" s="1967"/>
      <c r="D3367" s="1978"/>
      <c r="E3367" s="1978"/>
      <c r="F3367" s="1978"/>
      <c r="G3367" s="1978"/>
      <c r="H3367" s="1978"/>
      <c r="I3367" s="1978"/>
      <c r="J3367" s="1979"/>
      <c r="K3367" s="829"/>
      <c r="L3367" s="831"/>
      <c r="M3367" s="831"/>
      <c r="N3367" s="831"/>
      <c r="O3367" s="831"/>
      <c r="P3367" s="831"/>
      <c r="Q3367" s="831"/>
      <c r="R3367" s="832"/>
    </row>
    <row r="3368" spans="2:18" s="57" customFormat="1" ht="14.25" customHeight="1">
      <c r="B3368" s="1825" t="s">
        <v>1039</v>
      </c>
      <c r="C3368" s="1967"/>
      <c r="D3368" s="1978"/>
      <c r="E3368" s="1978"/>
      <c r="F3368" s="1978"/>
      <c r="G3368" s="1978"/>
      <c r="H3368" s="1978"/>
      <c r="I3368" s="1978"/>
      <c r="J3368" s="1979"/>
      <c r="K3368" s="829"/>
      <c r="L3368" s="831"/>
      <c r="M3368" s="831"/>
      <c r="N3368" s="831"/>
      <c r="O3368" s="831"/>
      <c r="P3368" s="831"/>
      <c r="Q3368" s="831"/>
      <c r="R3368" s="832"/>
    </row>
    <row r="3369" spans="2:18" s="57" customFormat="1" ht="23.25" customHeight="1">
      <c r="B3369" s="1816" t="s">
        <v>1892</v>
      </c>
      <c r="C3369" s="1991">
        <f>BA!C650/1000</f>
        <v>0</v>
      </c>
      <c r="D3369" s="1990">
        <f>BA!D650/1000</f>
        <v>0</v>
      </c>
      <c r="E3369" s="1990">
        <f>BA!E650/1000</f>
        <v>0</v>
      </c>
      <c r="F3369" s="1990">
        <f>BA!F650/1000</f>
        <v>0</v>
      </c>
      <c r="G3369" s="1990">
        <f>BA!G650/1000</f>
        <v>0</v>
      </c>
      <c r="H3369" s="1990">
        <f>BA!H650/1000</f>
        <v>0</v>
      </c>
      <c r="I3369" s="1990">
        <f>BA!I650/1000</f>
        <v>1.387E-3</v>
      </c>
      <c r="J3369" s="1992">
        <f>BA!J650/1000</f>
        <v>0</v>
      </c>
      <c r="K3369" s="831">
        <f>IFERROR((C3369/B3369-1)*100,0)</f>
        <v>0</v>
      </c>
      <c r="L3369" s="831">
        <f t="shared" ref="L3369:R3369" si="1083">IFERROR((D3369/C3369-1)*100,0)</f>
        <v>0</v>
      </c>
      <c r="M3369" s="831">
        <f t="shared" si="1083"/>
        <v>0</v>
      </c>
      <c r="N3369" s="831">
        <f t="shared" si="1083"/>
        <v>0</v>
      </c>
      <c r="O3369" s="831">
        <f t="shared" si="1083"/>
        <v>0</v>
      </c>
      <c r="P3369" s="831">
        <f t="shared" si="1083"/>
        <v>0</v>
      </c>
      <c r="Q3369" s="831">
        <f t="shared" si="1083"/>
        <v>0</v>
      </c>
      <c r="R3369" s="832">
        <f t="shared" si="1083"/>
        <v>-100</v>
      </c>
    </row>
    <row r="3370" spans="2:18" s="57" customFormat="1" ht="12.5">
      <c r="B3370" s="1822"/>
      <c r="C3370" s="1886"/>
      <c r="D3370" s="1884"/>
      <c r="E3370" s="1884"/>
      <c r="F3370" s="1884"/>
      <c r="G3370" s="1884"/>
      <c r="H3370" s="1884"/>
      <c r="I3370" s="1884"/>
      <c r="J3370" s="1887"/>
      <c r="K3370" s="829"/>
      <c r="L3370" s="829"/>
      <c r="M3370" s="829"/>
      <c r="N3370" s="829"/>
      <c r="O3370" s="829"/>
      <c r="P3370" s="829"/>
      <c r="Q3370" s="831"/>
      <c r="R3370" s="656"/>
    </row>
    <row r="3371" spans="2:18" s="57" customFormat="1" ht="13">
      <c r="B3371" s="1825" t="s">
        <v>1040</v>
      </c>
      <c r="C3371" s="1886"/>
      <c r="D3371" s="1884"/>
      <c r="E3371" s="1884"/>
      <c r="F3371" s="1884"/>
      <c r="G3371" s="1884"/>
      <c r="H3371" s="1884"/>
      <c r="I3371" s="1884"/>
      <c r="J3371" s="1887"/>
      <c r="K3371" s="829"/>
      <c r="L3371" s="829"/>
      <c r="M3371" s="829"/>
      <c r="N3371" s="829"/>
      <c r="O3371" s="829"/>
      <c r="P3371" s="829"/>
      <c r="Q3371" s="831"/>
      <c r="R3371" s="656"/>
    </row>
    <row r="3372" spans="2:18" s="57" customFormat="1" ht="12.5">
      <c r="B3372" s="1816" t="s">
        <v>503</v>
      </c>
      <c r="C3372" s="1991">
        <f>BO!C948/1000</f>
        <v>0</v>
      </c>
      <c r="D3372" s="1990">
        <f>BO!D948/1000</f>
        <v>0</v>
      </c>
      <c r="E3372" s="1990">
        <f>BO!E948/1000</f>
        <v>0</v>
      </c>
      <c r="F3372" s="1990">
        <f>BO!F948/1000</f>
        <v>0</v>
      </c>
      <c r="G3372" s="1990">
        <f>BO!G948/1000</f>
        <v>0</v>
      </c>
      <c r="H3372" s="1990">
        <f>BO!H948/1000</f>
        <v>0</v>
      </c>
      <c r="I3372" s="1990">
        <f>BO!I948/1000</f>
        <v>0</v>
      </c>
      <c r="J3372" s="1992">
        <f>BO!J948/1000</f>
        <v>0</v>
      </c>
      <c r="K3372" s="831">
        <f>IFERROR((C3372/B3372-1)*100,0)</f>
        <v>0</v>
      </c>
      <c r="L3372" s="831">
        <f t="shared" ref="L3372:R3372" si="1084">IFERROR((D3372/C3372-1)*100,0)</f>
        <v>0</v>
      </c>
      <c r="M3372" s="831">
        <f t="shared" si="1084"/>
        <v>0</v>
      </c>
      <c r="N3372" s="831">
        <f t="shared" si="1084"/>
        <v>0</v>
      </c>
      <c r="O3372" s="831">
        <f t="shared" si="1084"/>
        <v>0</v>
      </c>
      <c r="P3372" s="831">
        <f t="shared" si="1084"/>
        <v>0</v>
      </c>
      <c r="Q3372" s="831">
        <f t="shared" si="1084"/>
        <v>0</v>
      </c>
      <c r="R3372" s="832">
        <f t="shared" si="1084"/>
        <v>0</v>
      </c>
    </row>
    <row r="3373" spans="2:18" s="57" customFormat="1" ht="12.5">
      <c r="B3373" s="1983"/>
      <c r="C3373" s="1886"/>
      <c r="D3373" s="1884"/>
      <c r="E3373" s="1884"/>
      <c r="F3373" s="1884"/>
      <c r="G3373" s="1884"/>
      <c r="H3373" s="1884"/>
      <c r="I3373" s="1884"/>
      <c r="J3373" s="1887"/>
      <c r="K3373" s="829"/>
      <c r="L3373" s="829"/>
      <c r="M3373" s="829"/>
      <c r="N3373" s="829"/>
      <c r="O3373" s="829"/>
      <c r="P3373" s="829"/>
      <c r="Q3373" s="831"/>
      <c r="R3373" s="656"/>
    </row>
    <row r="3374" spans="2:18" s="57" customFormat="1" ht="13">
      <c r="B3374" s="1754" t="s">
        <v>1041</v>
      </c>
      <c r="C3374" s="1886"/>
      <c r="D3374" s="1884"/>
      <c r="E3374" s="1884"/>
      <c r="F3374" s="1884"/>
      <c r="G3374" s="1884"/>
      <c r="H3374" s="1884"/>
      <c r="I3374" s="1884"/>
      <c r="J3374" s="1887"/>
      <c r="K3374" s="829"/>
      <c r="L3374" s="829"/>
      <c r="M3374" s="829"/>
      <c r="N3374" s="829"/>
      <c r="O3374" s="829"/>
      <c r="P3374" s="829"/>
      <c r="Q3374" s="831"/>
      <c r="R3374" s="656"/>
    </row>
    <row r="3375" spans="2:18" s="57" customFormat="1" ht="12.5">
      <c r="B3375" s="1753" t="s">
        <v>972</v>
      </c>
      <c r="C3375" s="1967">
        <f>IFERROR(BR!C1437/1000,0)</f>
        <v>3.9497100000000001</v>
      </c>
      <c r="D3375" s="1978">
        <f>IFERROR(BR!D1437/1000,0)</f>
        <v>4.1398479999999998</v>
      </c>
      <c r="E3375" s="1978">
        <f>IFERROR(BR!E1437/1000,0)</f>
        <v>4.2177470000000001</v>
      </c>
      <c r="F3375" s="1978">
        <f>IFERROR(BR!F1437/1000,0)</f>
        <v>4.4033249999999997</v>
      </c>
      <c r="G3375" s="1978">
        <f>IFERROR(BR!G1437/1000,0)</f>
        <v>4.5630100000000002</v>
      </c>
      <c r="H3375" s="1978">
        <f>IFERROR(BR!H1437/1000,0)</f>
        <v>4.9227349999999994</v>
      </c>
      <c r="I3375" s="1978">
        <f>IFERROR(BR!I1437/1000,0)</f>
        <v>5.8644939999999997</v>
      </c>
      <c r="J3375" s="1979">
        <f>IFERROR(BR!J1437/1000,0)</f>
        <v>6.5063239999999993</v>
      </c>
      <c r="K3375" s="829">
        <v>-0.41234836351606424</v>
      </c>
      <c r="L3375" s="831">
        <f>IFERROR((D3375/C3375-1)*100,0)</f>
        <v>4.8139736841438907</v>
      </c>
      <c r="M3375" s="831">
        <f t="shared" ref="M3375:R3375" si="1085">IFERROR((E3375/D3375-1)*100,0)</f>
        <v>1.8816874435969799</v>
      </c>
      <c r="N3375" s="831">
        <f t="shared" si="1085"/>
        <v>4.3999320016112842</v>
      </c>
      <c r="O3375" s="831">
        <f t="shared" si="1085"/>
        <v>3.6264640924755787</v>
      </c>
      <c r="P3375" s="831">
        <f t="shared" si="1085"/>
        <v>7.883502337272974</v>
      </c>
      <c r="Q3375" s="831">
        <f t="shared" si="1085"/>
        <v>19.130808381925913</v>
      </c>
      <c r="R3375" s="832">
        <f t="shared" si="1085"/>
        <v>10.944337226707024</v>
      </c>
    </row>
    <row r="3376" spans="2:18" s="57" customFormat="1" ht="12.5">
      <c r="B3376" s="1753" t="s">
        <v>1289</v>
      </c>
      <c r="C3376" s="1967">
        <f>IFERROR(BR!C1389/1000,0)</f>
        <v>19.160366999999997</v>
      </c>
      <c r="D3376" s="1978">
        <f>IFERROR(BR!D1389/1000,0)</f>
        <v>18.000965000000001</v>
      </c>
      <c r="E3376" s="1978">
        <f>IFERROR(BR!E1389/1000,0)</f>
        <v>17.798741499999998</v>
      </c>
      <c r="F3376" s="1978">
        <f>IFERROR(BR!F1389/1000,0)</f>
        <v>17.469390999999998</v>
      </c>
      <c r="G3376" s="1978">
        <f>IFERROR(BR!G1389/1000,0)</f>
        <v>0</v>
      </c>
      <c r="H3376" s="1978">
        <f>IFERROR(BR!H1389/1000,0)</f>
        <v>0</v>
      </c>
      <c r="I3376" s="1978">
        <f>IFERROR(BR!I1389/1000,0)</f>
        <v>0</v>
      </c>
      <c r="J3376" s="1979">
        <f>IFERROR(BR!J1389/1000,0)</f>
        <v>0</v>
      </c>
      <c r="K3376" s="829">
        <v>-8.4640951557700248</v>
      </c>
      <c r="L3376" s="831">
        <f t="shared" ref="L3376:L3377" si="1086">IFERROR((D3376/C3376-1)*100,0)</f>
        <v>-6.0510427592540221</v>
      </c>
      <c r="M3376" s="831">
        <f t="shared" ref="M3376:M3377" si="1087">IFERROR((E3376/D3376-1)*100,0)</f>
        <v>-1.1234036619703569</v>
      </c>
      <c r="N3376" s="831">
        <f t="shared" ref="N3376:N3377" si="1088">IFERROR((F3376/E3376-1)*100,0)</f>
        <v>-1.8504145363311242</v>
      </c>
      <c r="O3376" s="831">
        <f t="shared" ref="O3376:O3377" si="1089">IFERROR((G3376/F3376-1)*100,0)</f>
        <v>-100</v>
      </c>
      <c r="P3376" s="831">
        <f t="shared" ref="P3376:P3377" si="1090">IFERROR((H3376/G3376-1)*100,0)</f>
        <v>0</v>
      </c>
      <c r="Q3376" s="831">
        <f t="shared" ref="Q3376:Q3377" si="1091">IFERROR((I3376/H3376-1)*100,0)</f>
        <v>0</v>
      </c>
      <c r="R3376" s="832">
        <f t="shared" ref="R3376:R3377" si="1092">IFERROR((J3376/I3376-1)*100,0)</f>
        <v>0</v>
      </c>
    </row>
    <row r="3377" spans="2:18" s="57" customFormat="1" ht="12.5">
      <c r="B3377" s="1753" t="s">
        <v>960</v>
      </c>
      <c r="C3377" s="1967">
        <f>IFERROR(BR!C1421/1000,0)</f>
        <v>116.942351</v>
      </c>
      <c r="D3377" s="1978">
        <f>IFERROR(BR!D1421/1000,0)</f>
        <v>309.81767099999996</v>
      </c>
      <c r="E3377" s="1978">
        <f>IFERROR(BR!E1421/1000,0)</f>
        <v>405.35254500000002</v>
      </c>
      <c r="F3377" s="1978">
        <f>IFERROR(BR!F1421/1000,0)</f>
        <v>413.074749</v>
      </c>
      <c r="G3377" s="1978">
        <f>IFERROR(BR!G1421/1000,0)</f>
        <v>478.26846</v>
      </c>
      <c r="H3377" s="1978">
        <f>IFERROR(BR!H1421/1000,0)</f>
        <v>582.90540800000008</v>
      </c>
      <c r="I3377" s="1978">
        <f>IFERROR(BR!I1421/1000,0)</f>
        <v>674.74135000000001</v>
      </c>
      <c r="J3377" s="1979">
        <f>IFERROR(BR!J1421/1000,0)</f>
        <v>864.34849100000008</v>
      </c>
      <c r="K3377" s="829">
        <v>35.962544246378805</v>
      </c>
      <c r="L3377" s="831">
        <f t="shared" si="1086"/>
        <v>164.93196720493498</v>
      </c>
      <c r="M3377" s="831">
        <f t="shared" si="1087"/>
        <v>30.835837636904849</v>
      </c>
      <c r="N3377" s="831">
        <f t="shared" si="1088"/>
        <v>1.905058718701258</v>
      </c>
      <c r="O3377" s="831">
        <f t="shared" si="1089"/>
        <v>15.782545691264227</v>
      </c>
      <c r="P3377" s="831">
        <f t="shared" si="1090"/>
        <v>21.87828735350854</v>
      </c>
      <c r="Q3377" s="831">
        <f t="shared" si="1091"/>
        <v>15.754861893475503</v>
      </c>
      <c r="R3377" s="832">
        <f t="shared" si="1092"/>
        <v>28.100714592339738</v>
      </c>
    </row>
    <row r="3378" spans="2:18" s="57" customFormat="1" ht="12.5">
      <c r="B3378" s="1753"/>
      <c r="C3378" s="1967"/>
      <c r="D3378" s="1978"/>
      <c r="E3378" s="1978"/>
      <c r="F3378" s="1978"/>
      <c r="G3378" s="1978"/>
      <c r="H3378" s="1978"/>
      <c r="I3378" s="1978"/>
      <c r="J3378" s="1979"/>
      <c r="K3378" s="829"/>
      <c r="L3378" s="831"/>
      <c r="M3378" s="831"/>
      <c r="N3378" s="831"/>
      <c r="O3378" s="831"/>
      <c r="P3378" s="831"/>
      <c r="Q3378" s="831"/>
      <c r="R3378" s="832"/>
    </row>
    <row r="3379" spans="2:18" s="57" customFormat="1" ht="13">
      <c r="B3379" s="1754" t="s">
        <v>1042</v>
      </c>
      <c r="C3379" s="1967"/>
      <c r="D3379" s="1978"/>
      <c r="E3379" s="1978"/>
      <c r="F3379" s="1978"/>
      <c r="G3379" s="1978"/>
      <c r="H3379" s="1978"/>
      <c r="I3379" s="1978"/>
      <c r="J3379" s="1979"/>
      <c r="K3379" s="829"/>
      <c r="L3379" s="831"/>
      <c r="M3379" s="831"/>
      <c r="N3379" s="831"/>
      <c r="O3379" s="831"/>
      <c r="P3379" s="831"/>
      <c r="Q3379" s="831"/>
      <c r="R3379" s="832"/>
    </row>
    <row r="3380" spans="2:18" s="57" customFormat="1" ht="12.5">
      <c r="B3380" s="1753" t="s">
        <v>503</v>
      </c>
      <c r="C3380" s="1967">
        <f>IFERROR(CL!C776/1000,0)</f>
        <v>0</v>
      </c>
      <c r="D3380" s="1978">
        <f>IFERROR(CL!D776/1000,0)</f>
        <v>0</v>
      </c>
      <c r="E3380" s="1978">
        <f>IFERROR(CL!E776/1000,0)</f>
        <v>0</v>
      </c>
      <c r="F3380" s="1978">
        <f>IFERROR(CL!F776/1000,0)</f>
        <v>0</v>
      </c>
      <c r="G3380" s="1978">
        <f>IFERROR(CL!G776/1000,0)</f>
        <v>0</v>
      </c>
      <c r="H3380" s="1978">
        <f>IFERROR(CL!H776/1000,0)</f>
        <v>0</v>
      </c>
      <c r="I3380" s="1978">
        <f>IFERROR(CL!I776/1000,0)</f>
        <v>0</v>
      </c>
      <c r="J3380" s="1979">
        <f>IFERROR(CL!J776/1000,0)</f>
        <v>0</v>
      </c>
      <c r="K3380" s="831">
        <f>IFERROR((C3380/B3380-1)*100,0)</f>
        <v>0</v>
      </c>
      <c r="L3380" s="831">
        <f t="shared" ref="L3380:R3380" si="1093">IFERROR((D3380/C3380-1)*100,0)</f>
        <v>0</v>
      </c>
      <c r="M3380" s="831">
        <f t="shared" si="1093"/>
        <v>0</v>
      </c>
      <c r="N3380" s="831">
        <f t="shared" si="1093"/>
        <v>0</v>
      </c>
      <c r="O3380" s="831">
        <f t="shared" si="1093"/>
        <v>0</v>
      </c>
      <c r="P3380" s="831">
        <f t="shared" si="1093"/>
        <v>0</v>
      </c>
      <c r="Q3380" s="831">
        <f t="shared" si="1093"/>
        <v>0</v>
      </c>
      <c r="R3380" s="832">
        <f t="shared" si="1093"/>
        <v>0</v>
      </c>
    </row>
    <row r="3381" spans="2:18" s="57" customFormat="1" ht="12.5">
      <c r="B3381" s="1753"/>
      <c r="C3381" s="1886"/>
      <c r="D3381" s="1884"/>
      <c r="E3381" s="1884"/>
      <c r="F3381" s="1884"/>
      <c r="G3381" s="1884"/>
      <c r="H3381" s="1884"/>
      <c r="I3381" s="1884"/>
      <c r="J3381" s="1887"/>
      <c r="K3381" s="829"/>
      <c r="L3381" s="829"/>
      <c r="M3381" s="829"/>
      <c r="N3381" s="829"/>
      <c r="O3381" s="829"/>
      <c r="P3381" s="829"/>
      <c r="Q3381" s="831"/>
      <c r="R3381" s="656"/>
    </row>
    <row r="3382" spans="2:18" s="57" customFormat="1" ht="13">
      <c r="B3382" s="1755" t="s">
        <v>1043</v>
      </c>
      <c r="C3382" s="1886"/>
      <c r="D3382" s="1884"/>
      <c r="E3382" s="1884"/>
      <c r="F3382" s="1884"/>
      <c r="G3382" s="1884"/>
      <c r="H3382" s="1884"/>
      <c r="I3382" s="1884"/>
      <c r="J3382" s="1887"/>
      <c r="K3382" s="829"/>
      <c r="L3382" s="831"/>
      <c r="M3382" s="831"/>
      <c r="N3382" s="831"/>
      <c r="O3382" s="831"/>
      <c r="P3382" s="829"/>
      <c r="Q3382" s="831"/>
      <c r="R3382" s="656"/>
    </row>
    <row r="3383" spans="2:18" s="57" customFormat="1" ht="12.5">
      <c r="B3383" s="1753" t="s">
        <v>503</v>
      </c>
      <c r="C3383" s="1967">
        <f>IFERROR(CO!C969/1000,0)</f>
        <v>0.85219300000000009</v>
      </c>
      <c r="D3383" s="1978">
        <f>IFERROR(CO!D969/1000,0)</f>
        <v>0.68300000000000005</v>
      </c>
      <c r="E3383" s="1978">
        <f>IFERROR(CO!E969/1000,0)</f>
        <v>0.61626000000000003</v>
      </c>
      <c r="F3383" s="1978">
        <f>IFERROR(CO!F969/1000,0)</f>
        <v>0.72327200000000003</v>
      </c>
      <c r="G3383" s="1978">
        <f>IFERROR(CO!G969/1000,0)</f>
        <v>0.88045499999999999</v>
      </c>
      <c r="H3383" s="1978">
        <f>IFERROR(CO!H969/1000,0)</f>
        <v>0.60870599999999997</v>
      </c>
      <c r="I3383" s="1978">
        <f>IFERROR(CO!I969/1000,0)</f>
        <v>0.56241399999999997</v>
      </c>
      <c r="J3383" s="1979">
        <f>IFERROR(CO!J969/1000,0)</f>
        <v>0.61129100000000003</v>
      </c>
      <c r="K3383" s="829">
        <v>2.5465987990806642</v>
      </c>
      <c r="L3383" s="831">
        <f>IFERROR((D3383/C3383-1)*100,0)</f>
        <v>-19.853835926838169</v>
      </c>
      <c r="M3383" s="831">
        <f t="shared" ref="M3383:R3384" si="1094">IFERROR((E3383/D3383-1)*100,0)</f>
        <v>-9.7715959004392445</v>
      </c>
      <c r="N3383" s="831">
        <f t="shared" si="1094"/>
        <v>17.364748645052419</v>
      </c>
      <c r="O3383" s="831">
        <f t="shared" si="1094"/>
        <v>21.732211394883237</v>
      </c>
      <c r="P3383" s="831">
        <f t="shared" si="1094"/>
        <v>-30.864609775627372</v>
      </c>
      <c r="Q3383" s="831">
        <f t="shared" si="1094"/>
        <v>-7.6049850009692666</v>
      </c>
      <c r="R3383" s="832">
        <f t="shared" si="1094"/>
        <v>8.6905731365151127</v>
      </c>
    </row>
    <row r="3384" spans="2:18" s="57" customFormat="1" ht="12.5">
      <c r="B3384" s="1753" t="s">
        <v>603</v>
      </c>
      <c r="C3384" s="1967">
        <f>IFERROR(CO!C984/1000,0)</f>
        <v>0.169076</v>
      </c>
      <c r="D3384" s="1978">
        <f>IFERROR(CO!D984/1000,0)</f>
        <v>0.162663</v>
      </c>
      <c r="E3384" s="1978">
        <f>IFERROR(CO!E984/1000,0)</f>
        <v>0.15828000000000003</v>
      </c>
      <c r="F3384" s="1978">
        <f>IFERROR(CO!F984/1000,0)</f>
        <v>0.14216899999999999</v>
      </c>
      <c r="G3384" s="1978">
        <f>IFERROR(CO!G984/1000,0)</f>
        <v>0.15634600000000001</v>
      </c>
      <c r="H3384" s="1978">
        <f>IFERROR(CO!H984/1000,0)</f>
        <v>0.14701900000000001</v>
      </c>
      <c r="I3384" s="1978">
        <f>IFERROR(CO!I984/1000,0)</f>
        <v>0.48319999999999996</v>
      </c>
      <c r="J3384" s="1979">
        <f>IFERROR(CO!J984/1000,0)</f>
        <v>0.18340800000000002</v>
      </c>
      <c r="K3384" s="829">
        <v>-12.263445097315483</v>
      </c>
      <c r="L3384" s="831">
        <f>IFERROR((D3384/C3384-1)*100,0)</f>
        <v>-3.7929688424140684</v>
      </c>
      <c r="M3384" s="831">
        <f t="shared" si="1094"/>
        <v>-2.6945279504250963</v>
      </c>
      <c r="N3384" s="831">
        <f t="shared" si="1094"/>
        <v>-10.178797068486256</v>
      </c>
      <c r="O3384" s="831">
        <f t="shared" si="1094"/>
        <v>9.9719348099796878</v>
      </c>
      <c r="P3384" s="831">
        <f t="shared" si="1094"/>
        <v>-5.9656147263121522</v>
      </c>
      <c r="Q3384" s="831">
        <f t="shared" si="1094"/>
        <v>228.66500248267226</v>
      </c>
      <c r="R3384" s="832">
        <f t="shared" si="1094"/>
        <v>-62.043046357615886</v>
      </c>
    </row>
    <row r="3385" spans="2:18" s="57" customFormat="1" ht="12.5">
      <c r="B3385" s="1753"/>
      <c r="C3385" s="1886"/>
      <c r="D3385" s="1884"/>
      <c r="E3385" s="1884"/>
      <c r="F3385" s="1884"/>
      <c r="G3385" s="1884"/>
      <c r="H3385" s="1884"/>
      <c r="I3385" s="1884"/>
      <c r="J3385" s="1887"/>
      <c r="K3385" s="829"/>
      <c r="L3385" s="829"/>
      <c r="M3385" s="829"/>
      <c r="N3385" s="829"/>
      <c r="O3385" s="829"/>
      <c r="P3385" s="829"/>
      <c r="Q3385" s="831"/>
      <c r="R3385" s="656"/>
    </row>
    <row r="3386" spans="2:18" s="57" customFormat="1" ht="13">
      <c r="B3386" s="1755" t="s">
        <v>1044</v>
      </c>
      <c r="C3386" s="1886"/>
      <c r="D3386" s="1884"/>
      <c r="E3386" s="1884"/>
      <c r="F3386" s="1884"/>
      <c r="G3386" s="1884"/>
      <c r="H3386" s="1884"/>
      <c r="I3386" s="1884"/>
      <c r="J3386" s="1887"/>
      <c r="K3386" s="829"/>
      <c r="L3386" s="831"/>
      <c r="M3386" s="831"/>
      <c r="N3386" s="831"/>
      <c r="O3386" s="831"/>
      <c r="P3386" s="829"/>
      <c r="Q3386" s="831"/>
      <c r="R3386" s="656"/>
    </row>
    <row r="3387" spans="2:18" s="57" customFormat="1" ht="12.5">
      <c r="B3387" s="1758" t="s">
        <v>1373</v>
      </c>
      <c r="C3387" s="1967">
        <f>IFERROR(CR!C864/1000,0)</f>
        <v>1.2269E-2</v>
      </c>
      <c r="D3387" s="1978">
        <f>IFERROR(CR!D864/1000,0)</f>
        <v>2.9912999999999999E-2</v>
      </c>
      <c r="E3387" s="1978">
        <f>IFERROR(CR!E864/1000,0)</f>
        <v>1.6632000000000001E-2</v>
      </c>
      <c r="F3387" s="1978">
        <f>IFERROR(CR!F864/1000,0)</f>
        <v>1.9887000000000002E-2</v>
      </c>
      <c r="G3387" s="1978">
        <f>IFERROR(CR!G864/1000,0)</f>
        <v>1.6071000000000002E-2</v>
      </c>
      <c r="H3387" s="1978">
        <f>IFERROR(CR!H864/1000,0)</f>
        <v>1.9241000000000001E-2</v>
      </c>
      <c r="I3387" s="1978">
        <f>IFERROR(CR!I864/1000,0)</f>
        <v>1.1682E-2</v>
      </c>
      <c r="J3387" s="1979">
        <f>IFERROR(CR!J864/1000,0)</f>
        <v>6.8049999999999994E-3</v>
      </c>
      <c r="K3387" s="829">
        <v>-50.223141837065889</v>
      </c>
      <c r="L3387" s="831">
        <f>IFERROR((D3387/C3387-1)*100,0)</f>
        <v>143.80960143450974</v>
      </c>
      <c r="M3387" s="831">
        <f t="shared" ref="M3387:R3388" si="1095">IFERROR((E3387/D3387-1)*100,0)</f>
        <v>-44.398756393541262</v>
      </c>
      <c r="N3387" s="831">
        <f t="shared" si="1095"/>
        <v>19.570707070707073</v>
      </c>
      <c r="O3387" s="831">
        <f t="shared" si="1095"/>
        <v>-19.188414542163223</v>
      </c>
      <c r="P3387" s="831">
        <f t="shared" si="1095"/>
        <v>19.724970443656265</v>
      </c>
      <c r="Q3387" s="831">
        <f t="shared" si="1095"/>
        <v>-39.285899901252542</v>
      </c>
      <c r="R3387" s="832">
        <f t="shared" si="1095"/>
        <v>-41.747988358157848</v>
      </c>
    </row>
    <row r="3388" spans="2:18" s="57" customFormat="1" ht="25">
      <c r="B3388" s="1772" t="s">
        <v>1697</v>
      </c>
      <c r="C3388" s="1967">
        <f>IFERROR(CR!C879/1000,0)</f>
        <v>7.8130000000000005E-3</v>
      </c>
      <c r="D3388" s="1978">
        <f>IFERROR(CR!D879/1000,0)</f>
        <v>7.7210000000000004E-3</v>
      </c>
      <c r="E3388" s="1978">
        <f>IFERROR(CR!E879/1000,0)</f>
        <v>6.8499999999999993E-3</v>
      </c>
      <c r="F3388" s="1978">
        <f>IFERROR(CR!F879/1000,0)</f>
        <v>6.9939999999999993E-3</v>
      </c>
      <c r="G3388" s="1978">
        <f>IFERROR(CR!G879/1000,0)</f>
        <v>7.5660000000000007E-3</v>
      </c>
      <c r="H3388" s="1978">
        <f>IFERROR(CR!H879/1000,0)</f>
        <v>7.3810000000000004E-3</v>
      </c>
      <c r="I3388" s="1978">
        <f>IFERROR(CR!I879/1000,0)</f>
        <v>6.9050000000000005E-3</v>
      </c>
      <c r="J3388" s="1979">
        <f>IFERROR(CR!J879/1000,0)</f>
        <v>7.2529999999999999E-3</v>
      </c>
      <c r="K3388" s="829">
        <v>-28.467432950191569</v>
      </c>
      <c r="L3388" s="831">
        <f>IFERROR((D3388/C3388-1)*100,0)</f>
        <v>-1.1775246384231441</v>
      </c>
      <c r="M3388" s="831">
        <f t="shared" si="1095"/>
        <v>-11.280922160341934</v>
      </c>
      <c r="N3388" s="831">
        <f t="shared" si="1095"/>
        <v>2.1021897810219015</v>
      </c>
      <c r="O3388" s="831">
        <f t="shared" si="1095"/>
        <v>8.1784386617100644</v>
      </c>
      <c r="P3388" s="831">
        <f t="shared" si="1095"/>
        <v>-2.4451493523658496</v>
      </c>
      <c r="Q3388" s="831">
        <f t="shared" si="1095"/>
        <v>-6.4489906516732143</v>
      </c>
      <c r="R3388" s="832">
        <f t="shared" si="1095"/>
        <v>5.0398262128892091</v>
      </c>
    </row>
    <row r="3389" spans="2:18" s="57" customFormat="1" ht="12.5">
      <c r="B3389" s="1772"/>
      <c r="C3389" s="1967"/>
      <c r="D3389" s="1978"/>
      <c r="E3389" s="1978"/>
      <c r="F3389" s="1978"/>
      <c r="G3389" s="1978"/>
      <c r="H3389" s="1978"/>
      <c r="I3389" s="1978"/>
      <c r="J3389" s="1979"/>
      <c r="K3389" s="829"/>
      <c r="L3389" s="831"/>
      <c r="M3389" s="831"/>
      <c r="N3389" s="831"/>
      <c r="O3389" s="831"/>
      <c r="P3389" s="831"/>
      <c r="Q3389" s="831"/>
      <c r="R3389" s="832"/>
    </row>
    <row r="3390" spans="2:18" s="57" customFormat="1" ht="13">
      <c r="B3390" s="1755" t="s">
        <v>1061</v>
      </c>
      <c r="C3390" s="1967"/>
      <c r="D3390" s="1978"/>
      <c r="E3390" s="1978"/>
      <c r="F3390" s="1978"/>
      <c r="G3390" s="1978"/>
      <c r="H3390" s="1978"/>
      <c r="I3390" s="1978"/>
      <c r="J3390" s="1979"/>
      <c r="K3390" s="829"/>
      <c r="L3390" s="831"/>
      <c r="M3390" s="831"/>
      <c r="N3390" s="831"/>
      <c r="O3390" s="831"/>
      <c r="P3390" s="831"/>
      <c r="Q3390" s="831"/>
      <c r="R3390" s="832"/>
    </row>
    <row r="3391" spans="2:18" s="57" customFormat="1" ht="12.5">
      <c r="B3391" s="1758" t="s">
        <v>486</v>
      </c>
      <c r="C3391" s="1967">
        <f>IFERROR(CW!C676/1000,0)</f>
        <v>0</v>
      </c>
      <c r="D3391" s="1978">
        <f>IFERROR(CW!D676/1000,0)</f>
        <v>0</v>
      </c>
      <c r="E3391" s="1978">
        <f>IFERROR(CW!E676/1000,0)</f>
        <v>0</v>
      </c>
      <c r="F3391" s="1978">
        <f>IFERROR(CW!F676/1000,0)</f>
        <v>0</v>
      </c>
      <c r="G3391" s="1978">
        <f>IFERROR(CW!G676/1000,0)</f>
        <v>0</v>
      </c>
      <c r="H3391" s="1978">
        <f>IFERROR(CW!H676/1000,0)</f>
        <v>0</v>
      </c>
      <c r="I3391" s="1978">
        <f>IFERROR(CW!I676/1000,0)</f>
        <v>0</v>
      </c>
      <c r="J3391" s="1979">
        <f>IFERROR(CW!J676/1000,0)</f>
        <v>0</v>
      </c>
      <c r="K3391" s="831">
        <f>IFERROR((C3391/B3391-1)*100,0)</f>
        <v>0</v>
      </c>
      <c r="L3391" s="831">
        <f t="shared" ref="L3391:R3391" si="1096">IFERROR((D3391/C3391-1)*100,0)</f>
        <v>0</v>
      </c>
      <c r="M3391" s="831">
        <f t="shared" si="1096"/>
        <v>0</v>
      </c>
      <c r="N3391" s="831">
        <f t="shared" si="1096"/>
        <v>0</v>
      </c>
      <c r="O3391" s="831">
        <f t="shared" si="1096"/>
        <v>0</v>
      </c>
      <c r="P3391" s="831">
        <f t="shared" si="1096"/>
        <v>0</v>
      </c>
      <c r="Q3391" s="831">
        <f t="shared" si="1096"/>
        <v>0</v>
      </c>
      <c r="R3391" s="832">
        <f t="shared" si="1096"/>
        <v>0</v>
      </c>
    </row>
    <row r="3392" spans="2:18" s="57" customFormat="1" ht="12.5">
      <c r="B3392" s="1758"/>
      <c r="C3392" s="1886"/>
      <c r="D3392" s="1884"/>
      <c r="E3392" s="1884"/>
      <c r="F3392" s="1884"/>
      <c r="G3392" s="1884"/>
      <c r="H3392" s="1884"/>
      <c r="I3392" s="1884"/>
      <c r="J3392" s="1887"/>
      <c r="K3392" s="829"/>
      <c r="L3392" s="831"/>
      <c r="M3392" s="831"/>
      <c r="N3392" s="831"/>
      <c r="O3392" s="831"/>
      <c r="P3392" s="831"/>
      <c r="Q3392" s="831"/>
      <c r="R3392" s="656"/>
    </row>
    <row r="3393" spans="2:18" s="57" customFormat="1" ht="13">
      <c r="B3393" s="1754" t="s">
        <v>1047</v>
      </c>
      <c r="C3393" s="1886"/>
      <c r="D3393" s="1884"/>
      <c r="E3393" s="1884"/>
      <c r="F3393" s="1884"/>
      <c r="G3393" s="1884"/>
      <c r="H3393" s="1884"/>
      <c r="I3393" s="1884"/>
      <c r="J3393" s="1887"/>
      <c r="K3393" s="829"/>
      <c r="L3393" s="831"/>
      <c r="M3393" s="831"/>
      <c r="N3393" s="831"/>
      <c r="O3393" s="831"/>
      <c r="P3393" s="831"/>
      <c r="Q3393" s="831"/>
      <c r="R3393" s="656"/>
    </row>
    <row r="3394" spans="2:18" s="57" customFormat="1" ht="12.5">
      <c r="B3394" s="1753" t="s">
        <v>503</v>
      </c>
      <c r="C3394" s="1967">
        <f>IFERROR(EC!C714/1000,0)</f>
        <v>3.8839999999999999E-3</v>
      </c>
      <c r="D3394" s="1978">
        <f>IFERROR(EC!D714/1000,0)</f>
        <v>3.9039999999999999E-3</v>
      </c>
      <c r="E3394" s="1978">
        <f>IFERROR(EC!E714/1000,0)</f>
        <v>5.4050000000000001E-3</v>
      </c>
      <c r="F3394" s="1978">
        <f>IFERROR(EC!F714/1000,0)</f>
        <v>6.084E-3</v>
      </c>
      <c r="G3394" s="1978">
        <f>IFERROR(EC!G714/1000,0)</f>
        <v>4.0759999999999998E-3</v>
      </c>
      <c r="H3394" s="1978">
        <f>IFERROR(EC!H714/1000,0)</f>
        <v>8.4930000000000005E-3</v>
      </c>
      <c r="I3394" s="1978">
        <f>IFERROR(EC!I714/1000,0)</f>
        <v>7.8589999999999997E-3</v>
      </c>
      <c r="J3394" s="1979">
        <f>IFERROR(EC!J714/1000,0)</f>
        <v>9.7590000000000003E-3</v>
      </c>
      <c r="K3394" s="829"/>
      <c r="L3394" s="831"/>
      <c r="M3394" s="831"/>
      <c r="N3394" s="831"/>
      <c r="O3394" s="831"/>
      <c r="P3394" s="831"/>
      <c r="Q3394" s="831"/>
      <c r="R3394" s="656"/>
    </row>
    <row r="3395" spans="2:18" s="57" customFormat="1" ht="12.5">
      <c r="B3395" s="1753"/>
      <c r="C3395" s="1886"/>
      <c r="D3395" s="1884"/>
      <c r="E3395" s="1884"/>
      <c r="F3395" s="1884"/>
      <c r="G3395" s="1884"/>
      <c r="H3395" s="1884"/>
      <c r="I3395" s="1884"/>
      <c r="J3395" s="1887"/>
      <c r="K3395" s="829"/>
      <c r="L3395" s="831"/>
      <c r="M3395" s="831"/>
      <c r="N3395" s="831"/>
      <c r="O3395" s="831"/>
      <c r="P3395" s="831"/>
      <c r="Q3395" s="831"/>
      <c r="R3395" s="656"/>
    </row>
    <row r="3396" spans="2:18" s="57" customFormat="1" ht="13">
      <c r="B3396" s="1754" t="s">
        <v>1048</v>
      </c>
      <c r="C3396" s="1886"/>
      <c r="D3396" s="1884"/>
      <c r="E3396" s="1884"/>
      <c r="F3396" s="1884"/>
      <c r="G3396" s="1884"/>
      <c r="H3396" s="1884"/>
      <c r="I3396" s="1884"/>
      <c r="J3396" s="1887"/>
      <c r="K3396" s="829"/>
      <c r="L3396" s="831"/>
      <c r="M3396" s="831"/>
      <c r="N3396" s="831"/>
      <c r="O3396" s="831"/>
      <c r="P3396" s="831"/>
      <c r="Q3396" s="831"/>
      <c r="R3396" s="656"/>
    </row>
    <row r="3397" spans="2:18" s="57" customFormat="1" ht="12.5">
      <c r="B3397" s="1753" t="s">
        <v>503</v>
      </c>
      <c r="C3397" s="1967">
        <f>IFERROR(SV!C679/1000,0)</f>
        <v>1.7E-5</v>
      </c>
      <c r="D3397" s="1978">
        <f>IFERROR(SV!D679/1000,0)</f>
        <v>1.9000000000000001E-5</v>
      </c>
      <c r="E3397" s="1978">
        <f>IFERROR(SV!E679/1000,0)</f>
        <v>2.1999999999999999E-5</v>
      </c>
      <c r="F3397" s="1978">
        <f>IFERROR(SV!F679/1000,0)</f>
        <v>1.4999999999999999E-5</v>
      </c>
      <c r="G3397" s="1978">
        <f>IFERROR(SV!G679/1000,0)</f>
        <v>1.7999999999999997E-5</v>
      </c>
      <c r="H3397" s="1978">
        <f>IFERROR(SV!H679/1000,0)</f>
        <v>1.7E-5</v>
      </c>
      <c r="I3397" s="1978">
        <f>IFERROR(SV!I679/1000,0)</f>
        <v>1.2E-5</v>
      </c>
      <c r="J3397" s="1979">
        <f>IFERROR(SV!J679/1000,0)</f>
        <v>6.4849999999999994E-3</v>
      </c>
      <c r="K3397" s="829">
        <v>30.769230769230777</v>
      </c>
      <c r="L3397" s="831">
        <f>IFERROR((D3397/C3397-1)*100,0)</f>
        <v>11.764705882352944</v>
      </c>
      <c r="M3397" s="831">
        <f t="shared" ref="M3397:R3397" si="1097">IFERROR((E3397/D3397-1)*100,0)</f>
        <v>15.78947368421051</v>
      </c>
      <c r="N3397" s="831">
        <f t="shared" si="1097"/>
        <v>-31.818181818181824</v>
      </c>
      <c r="O3397" s="831">
        <f t="shared" si="1097"/>
        <v>19.999999999999996</v>
      </c>
      <c r="P3397" s="831">
        <f t="shared" si="1097"/>
        <v>-5.5555555555555358</v>
      </c>
      <c r="Q3397" s="831">
        <f t="shared" si="1097"/>
        <v>-29.411764705882348</v>
      </c>
      <c r="R3397" s="832">
        <f t="shared" si="1097"/>
        <v>53941.666666666664</v>
      </c>
    </row>
    <row r="3398" spans="2:18" s="57" customFormat="1" ht="12.5">
      <c r="B3398" s="1753"/>
      <c r="C3398" s="1886"/>
      <c r="D3398" s="1884"/>
      <c r="E3398" s="1884"/>
      <c r="F3398" s="1884"/>
      <c r="G3398" s="1884"/>
      <c r="H3398" s="1884"/>
      <c r="I3398" s="1884"/>
      <c r="J3398" s="1887"/>
      <c r="K3398" s="829"/>
      <c r="L3398" s="831"/>
      <c r="M3398" s="831"/>
      <c r="N3398" s="831"/>
      <c r="O3398" s="831"/>
      <c r="P3398" s="831"/>
      <c r="Q3398" s="831"/>
      <c r="R3398" s="656"/>
    </row>
    <row r="3399" spans="2:18" s="57" customFormat="1" ht="13">
      <c r="B3399" s="1754" t="s">
        <v>1049</v>
      </c>
      <c r="C3399" s="1886"/>
      <c r="D3399" s="1884"/>
      <c r="E3399" s="1884"/>
      <c r="F3399" s="1884"/>
      <c r="G3399" s="1884"/>
      <c r="H3399" s="1884"/>
      <c r="I3399" s="1884"/>
      <c r="J3399" s="1887"/>
      <c r="K3399" s="829"/>
      <c r="L3399" s="831"/>
      <c r="M3399" s="831"/>
      <c r="N3399" s="831"/>
      <c r="O3399" s="831"/>
      <c r="P3399" s="831"/>
      <c r="Q3399" s="831"/>
      <c r="R3399" s="656"/>
    </row>
    <row r="3400" spans="2:18" s="57" customFormat="1" ht="12.5">
      <c r="B3400" s="1757" t="s">
        <v>1301</v>
      </c>
      <c r="C3400" s="1967">
        <f>IFERROR(GT!C937/1000,0)</f>
        <v>2.5021999999999999E-2</v>
      </c>
      <c r="D3400" s="1978">
        <f>IFERROR(GT!D937/1000,0)</f>
        <v>1.856E-2</v>
      </c>
      <c r="E3400" s="1978">
        <f>IFERROR(GT!E937/1000,0)</f>
        <v>2.1196E-2</v>
      </c>
      <c r="F3400" s="1978">
        <f>IFERROR(GT!F937/1000,0)</f>
        <v>2.5381999999999998E-2</v>
      </c>
      <c r="G3400" s="1978">
        <f>IFERROR(GT!G937/1000,0)</f>
        <v>2.3515999999999999E-2</v>
      </c>
      <c r="H3400" s="1978">
        <f>IFERROR(GT!H937/1000,0)</f>
        <v>2.0417999999999999E-2</v>
      </c>
      <c r="I3400" s="1978">
        <f>IFERROR(GT!I937/1000,0)</f>
        <v>1.3311999999999999E-2</v>
      </c>
      <c r="J3400" s="1979">
        <f>IFERROR(GT!J937/1000,0)</f>
        <v>1.5488E-2</v>
      </c>
      <c r="K3400" s="829">
        <v>1.3036437246963537</v>
      </c>
      <c r="L3400" s="831">
        <f>IFERROR((D3400/C3400-1)*100,0)</f>
        <v>-25.825273759091992</v>
      </c>
      <c r="M3400" s="831">
        <f t="shared" ref="M3400:R3400" si="1098">IFERROR((E3400/D3400-1)*100,0)</f>
        <v>14.202586206896539</v>
      </c>
      <c r="N3400" s="831">
        <f t="shared" si="1098"/>
        <v>19.749009247027736</v>
      </c>
      <c r="O3400" s="831">
        <f t="shared" si="1098"/>
        <v>-7.3516665353400068</v>
      </c>
      <c r="P3400" s="831">
        <f t="shared" si="1098"/>
        <v>-13.17400918523558</v>
      </c>
      <c r="Q3400" s="831">
        <f t="shared" si="1098"/>
        <v>-34.802625134685087</v>
      </c>
      <c r="R3400" s="832">
        <f t="shared" si="1098"/>
        <v>16.346153846153854</v>
      </c>
    </row>
    <row r="3401" spans="2:18" s="57" customFormat="1" ht="12.5">
      <c r="B3401" s="1757"/>
      <c r="C3401" s="1886"/>
      <c r="D3401" s="1884"/>
      <c r="E3401" s="1884"/>
      <c r="F3401" s="1884"/>
      <c r="G3401" s="1884"/>
      <c r="H3401" s="1884"/>
      <c r="I3401" s="1884"/>
      <c r="J3401" s="1887"/>
      <c r="K3401" s="829"/>
      <c r="L3401" s="831"/>
      <c r="M3401" s="831"/>
      <c r="N3401" s="831"/>
      <c r="O3401" s="831"/>
      <c r="P3401" s="831"/>
      <c r="Q3401" s="831"/>
      <c r="R3401" s="656"/>
    </row>
    <row r="3402" spans="2:18" s="57" customFormat="1" ht="13">
      <c r="B3402" s="1754" t="s">
        <v>1050</v>
      </c>
      <c r="C3402" s="1886"/>
      <c r="D3402" s="1884"/>
      <c r="E3402" s="1884"/>
      <c r="F3402" s="1884"/>
      <c r="G3402" s="1884"/>
      <c r="H3402" s="1884"/>
      <c r="I3402" s="1884"/>
      <c r="J3402" s="1887"/>
      <c r="K3402" s="829"/>
      <c r="L3402" s="831"/>
      <c r="M3402" s="831"/>
      <c r="N3402" s="831"/>
      <c r="O3402" s="831"/>
      <c r="P3402" s="831"/>
      <c r="Q3402" s="831"/>
      <c r="R3402" s="656"/>
    </row>
    <row r="3403" spans="2:18" s="57" customFormat="1" ht="12.5">
      <c r="B3403" s="1757" t="s">
        <v>1355</v>
      </c>
      <c r="C3403" s="1967">
        <f>IFERROR(HN!C806/1000,0)</f>
        <v>1.2160000000000001E-3</v>
      </c>
      <c r="D3403" s="1978">
        <f>IFERROR(HN!D806/1000,0)</f>
        <v>3.7800000000000003E-4</v>
      </c>
      <c r="E3403" s="1978">
        <f>IFERROR(HN!E806/1000,0)</f>
        <v>4.75E-4</v>
      </c>
      <c r="F3403" s="1978">
        <f>IFERROR(HN!F806/1000,0)</f>
        <v>4.6399999999999995E-4</v>
      </c>
      <c r="G3403" s="1978">
        <f>IFERROR(HN!G806/1000,0)</f>
        <v>3.9499999999999995E-4</v>
      </c>
      <c r="H3403" s="1978">
        <f>IFERROR(HN!H806/1000,0)</f>
        <v>5.0500000000000002E-4</v>
      </c>
      <c r="I3403" s="1978">
        <f>IFERROR(HN!I806/1000,0)</f>
        <v>7.45E-4</v>
      </c>
      <c r="J3403" s="1979">
        <f>IFERROR(HN!J806/1000,0)</f>
        <v>4.2499999999999998E-4</v>
      </c>
      <c r="K3403" s="829">
        <v>0</v>
      </c>
      <c r="L3403" s="831">
        <f>IFERROR((D3403/C3403-1)*100,0)</f>
        <v>-68.914473684210535</v>
      </c>
      <c r="M3403" s="831">
        <f>IFERROR((E3403/D3403-1)*100,0)</f>
        <v>25.661375661375651</v>
      </c>
      <c r="N3403" s="831">
        <f t="shared" ref="N3403:R3403" si="1099">IFERROR((F3403/E3403-1)*100,0)</f>
        <v>-2.3157894736842266</v>
      </c>
      <c r="O3403" s="831">
        <f t="shared" si="1099"/>
        <v>-14.87068965517242</v>
      </c>
      <c r="P3403" s="831">
        <f t="shared" si="1099"/>
        <v>27.848101265822798</v>
      </c>
      <c r="Q3403" s="831">
        <f t="shared" si="1099"/>
        <v>47.524752475247524</v>
      </c>
      <c r="R3403" s="832">
        <f t="shared" si="1099"/>
        <v>-42.95302013422819</v>
      </c>
    </row>
    <row r="3404" spans="2:18" s="57" customFormat="1" ht="12.5">
      <c r="B3404" s="1757"/>
      <c r="C3404" s="1886"/>
      <c r="D3404" s="1884"/>
      <c r="E3404" s="1884"/>
      <c r="F3404" s="1884"/>
      <c r="G3404" s="1884"/>
      <c r="H3404" s="1884"/>
      <c r="I3404" s="1884"/>
      <c r="J3404" s="1887"/>
      <c r="K3404" s="829"/>
      <c r="L3404" s="831"/>
      <c r="M3404" s="831"/>
      <c r="N3404" s="831"/>
      <c r="O3404" s="831"/>
      <c r="P3404" s="831"/>
      <c r="Q3404" s="831"/>
      <c r="R3404" s="656"/>
    </row>
    <row r="3405" spans="2:18" s="57" customFormat="1" ht="13">
      <c r="B3405" s="1754" t="s">
        <v>1051</v>
      </c>
      <c r="C3405" s="1995"/>
      <c r="D3405" s="1996"/>
      <c r="E3405" s="1996"/>
      <c r="F3405" s="1996"/>
      <c r="G3405" s="1996"/>
      <c r="H3405" s="1996"/>
      <c r="I3405" s="1996"/>
      <c r="J3405" s="2004"/>
      <c r="K3405" s="829"/>
      <c r="L3405" s="831"/>
      <c r="M3405" s="831"/>
      <c r="N3405" s="831"/>
      <c r="O3405" s="831"/>
      <c r="P3405" s="831"/>
      <c r="Q3405" s="831"/>
      <c r="R3405" s="656"/>
    </row>
    <row r="3406" spans="2:18" s="57" customFormat="1" ht="12.5">
      <c r="B3406" s="1753" t="s">
        <v>1355</v>
      </c>
      <c r="C3406" s="1967">
        <f>IFERROR(JM!C910/1000,0)</f>
        <v>1.5525000000000001E-2</v>
      </c>
      <c r="D3406" s="1978">
        <f>IFERROR(JM!D910/1000,0)</f>
        <v>1.2576E-2</v>
      </c>
      <c r="E3406" s="1978">
        <f>IFERROR(JM!E910/1000,0)</f>
        <v>7.3419999999999996E-3</v>
      </c>
      <c r="F3406" s="1978">
        <f>IFERROR(JM!F910/1000,0)</f>
        <v>5.2530000000000007E-3</v>
      </c>
      <c r="G3406" s="1978">
        <f>IFERROR(JM!G910/1000,0)</f>
        <v>4.4320000000000002E-3</v>
      </c>
      <c r="H3406" s="1978">
        <f>IFERROR(JM!H910/1000,0)</f>
        <v>3.4919999999999994E-3</v>
      </c>
      <c r="I3406" s="1978">
        <f>IFERROR(JM!I910/1000,0)</f>
        <v>4.0980000000000001E-3</v>
      </c>
      <c r="J3406" s="1979">
        <f>IFERROR(JM!J910/1000,0)</f>
        <v>3.0139999999999998E-3</v>
      </c>
      <c r="K3406" s="829">
        <v>29.677581022385574</v>
      </c>
      <c r="L3406" s="831">
        <f>IFERROR((D3406/C3406-1)*100,0)</f>
        <v>-18.995169082125607</v>
      </c>
      <c r="M3406" s="831">
        <f t="shared" ref="M3406:R3406" si="1100">IFERROR((E3406/D3406-1)*100,0)</f>
        <v>-41.618956743002542</v>
      </c>
      <c r="N3406" s="831">
        <f t="shared" si="1100"/>
        <v>-28.45273767365839</v>
      </c>
      <c r="O3406" s="831">
        <f t="shared" si="1100"/>
        <v>-15.62916428707406</v>
      </c>
      <c r="P3406" s="831">
        <f t="shared" si="1100"/>
        <v>-21.209386281588461</v>
      </c>
      <c r="Q3406" s="831">
        <f t="shared" si="1100"/>
        <v>17.353951890034391</v>
      </c>
      <c r="R3406" s="832">
        <f t="shared" si="1100"/>
        <v>-26.451927769643735</v>
      </c>
    </row>
    <row r="3407" spans="2:18" s="57" customFormat="1" ht="12.5">
      <c r="B3407" s="1753" t="s">
        <v>1318</v>
      </c>
      <c r="C3407" s="1967">
        <f>IFERROR(JM!C926/1000,0)</f>
        <v>20.716000000000001</v>
      </c>
      <c r="D3407" s="1978">
        <f>IFERROR(JM!D926/1000,0)</f>
        <v>30.181000000000001</v>
      </c>
      <c r="E3407" s="1978">
        <f>IFERROR(JM!E926/1000,0)</f>
        <v>46.332000000000001</v>
      </c>
      <c r="F3407" s="1978">
        <f>IFERROR(JM!F926/1000,0)</f>
        <v>67.073999999999998</v>
      </c>
      <c r="G3407" s="1978">
        <f>IFERROR(JM!G926/1000,0)</f>
        <v>60.811999999999998</v>
      </c>
      <c r="H3407" s="1978">
        <f>IFERROR(JM!H926/1000,0)</f>
        <v>347.17</v>
      </c>
      <c r="I3407" s="1978">
        <f>IFERROR(JM!I926/1000,0)</f>
        <v>489.27800000000002</v>
      </c>
      <c r="J3407" s="1979">
        <f>IFERROR(JM!J926/1000,0)</f>
        <v>285.63400000000001</v>
      </c>
      <c r="K3407" s="829">
        <v>-18.572383161039259</v>
      </c>
      <c r="L3407" s="831">
        <f>IFERROR((D3407/C3407-1)*100,0)</f>
        <v>45.689322262985122</v>
      </c>
      <c r="M3407" s="831">
        <f t="shared" ref="M3407" si="1101">IFERROR((E3407/D3407-1)*100,0)</f>
        <v>53.513800072893545</v>
      </c>
      <c r="N3407" s="831">
        <f t="shared" ref="N3407" si="1102">IFERROR((F3407/E3407-1)*100,0)</f>
        <v>44.768194768194761</v>
      </c>
      <c r="O3407" s="831">
        <f t="shared" ref="O3407" si="1103">IFERROR((G3407/F3407-1)*100,0)</f>
        <v>-9.3359573008915504</v>
      </c>
      <c r="P3407" s="831">
        <f t="shared" ref="P3407" si="1104">IFERROR((H3407/G3407-1)*100,0)</f>
        <v>470.89061369466555</v>
      </c>
      <c r="Q3407" s="831">
        <f t="shared" ref="Q3407" si="1105">IFERROR((I3407/H3407-1)*100,0)</f>
        <v>40.933260362358496</v>
      </c>
      <c r="R3407" s="832">
        <f t="shared" ref="R3407" si="1106">IFERROR((J3407/I3407-1)*100,0)</f>
        <v>-41.621327752320767</v>
      </c>
    </row>
    <row r="3408" spans="2:18" s="57" customFormat="1" ht="12.5">
      <c r="B3408" s="1753"/>
      <c r="C3408" s="1995"/>
      <c r="D3408" s="1996"/>
      <c r="E3408" s="1996"/>
      <c r="F3408" s="1996"/>
      <c r="G3408" s="1996"/>
      <c r="H3408" s="1996"/>
      <c r="I3408" s="1996"/>
      <c r="J3408" s="2004"/>
      <c r="K3408" s="829"/>
      <c r="L3408" s="829"/>
      <c r="M3408" s="829"/>
      <c r="N3408" s="829"/>
      <c r="O3408" s="829"/>
      <c r="P3408" s="829"/>
      <c r="Q3408" s="831"/>
      <c r="R3408" s="656"/>
    </row>
    <row r="3409" spans="2:18" s="57" customFormat="1" ht="13">
      <c r="B3409" s="1754" t="s">
        <v>1052</v>
      </c>
      <c r="C3409" s="1886"/>
      <c r="D3409" s="1884"/>
      <c r="E3409" s="1884"/>
      <c r="F3409" s="1884"/>
      <c r="G3409" s="1884"/>
      <c r="H3409" s="1884"/>
      <c r="I3409" s="1884"/>
      <c r="J3409" s="1887"/>
      <c r="K3409" s="829"/>
      <c r="L3409" s="831"/>
      <c r="M3409" s="831"/>
      <c r="N3409" s="831"/>
      <c r="O3409" s="831"/>
      <c r="P3409" s="831"/>
      <c r="Q3409" s="831"/>
      <c r="R3409" s="656"/>
    </row>
    <row r="3410" spans="2:18" s="57" customFormat="1" ht="12.5">
      <c r="B3410" s="1752" t="s">
        <v>700</v>
      </c>
      <c r="C3410" s="1967">
        <f>IFERROR(RD!C793/1000,0)</f>
        <v>0</v>
      </c>
      <c r="D3410" s="1978">
        <f>IFERROR(RD!D793/1000,0)</f>
        <v>0</v>
      </c>
      <c r="E3410" s="1978">
        <f>IFERROR(RD!E793/1000,0)</f>
        <v>0</v>
      </c>
      <c r="F3410" s="1978">
        <f>IFERROR(RD!F793/1000,0)</f>
        <v>0</v>
      </c>
      <c r="G3410" s="1978">
        <f>IFERROR(RD!G793/1000,0)</f>
        <v>0</v>
      </c>
      <c r="H3410" s="1978">
        <f>IFERROR(RD!H793/1000,0)</f>
        <v>0</v>
      </c>
      <c r="I3410" s="1978">
        <f>IFERROR(RD!I793/1000,0)</f>
        <v>0</v>
      </c>
      <c r="J3410" s="1979">
        <f>IFERROR(RD!J793/1000,0)</f>
        <v>0</v>
      </c>
      <c r="K3410" s="829">
        <v>0</v>
      </c>
      <c r="L3410" s="831">
        <f>IFERROR((D3410/C3410-1)*100,0)</f>
        <v>0</v>
      </c>
      <c r="M3410" s="831">
        <f t="shared" ref="M3410:R3410" si="1107">IFERROR((E3410/D3410-1)*100,0)</f>
        <v>0</v>
      </c>
      <c r="N3410" s="831">
        <f t="shared" si="1107"/>
        <v>0</v>
      </c>
      <c r="O3410" s="831">
        <f t="shared" si="1107"/>
        <v>0</v>
      </c>
      <c r="P3410" s="831">
        <f t="shared" si="1107"/>
        <v>0</v>
      </c>
      <c r="Q3410" s="831">
        <f t="shared" si="1107"/>
        <v>0</v>
      </c>
      <c r="R3410" s="832">
        <f t="shared" si="1107"/>
        <v>0</v>
      </c>
    </row>
    <row r="3411" spans="2:18" s="57" customFormat="1" ht="12.5">
      <c r="B3411" s="1753"/>
      <c r="C3411" s="1995"/>
      <c r="D3411" s="1996"/>
      <c r="E3411" s="1996"/>
      <c r="F3411" s="1996"/>
      <c r="G3411" s="1996"/>
      <c r="H3411" s="1996"/>
      <c r="I3411" s="1996"/>
      <c r="J3411" s="2004"/>
      <c r="K3411" s="829"/>
      <c r="L3411" s="829"/>
      <c r="M3411" s="829"/>
      <c r="N3411" s="829"/>
      <c r="O3411" s="829"/>
      <c r="P3411" s="829"/>
      <c r="Q3411" s="831"/>
      <c r="R3411" s="656"/>
    </row>
    <row r="3412" spans="2:18" s="57" customFormat="1" ht="13.5" customHeight="1">
      <c r="B3412" s="1754" t="s">
        <v>1053</v>
      </c>
      <c r="C3412" s="1886"/>
      <c r="D3412" s="1884"/>
      <c r="E3412" s="1884"/>
      <c r="F3412" s="1884"/>
      <c r="G3412" s="1884"/>
      <c r="H3412" s="1884"/>
      <c r="I3412" s="1884"/>
      <c r="J3412" s="1887"/>
      <c r="K3412" s="829"/>
      <c r="L3412" s="831"/>
      <c r="M3412" s="831"/>
      <c r="N3412" s="831"/>
      <c r="O3412" s="831"/>
      <c r="P3412" s="829"/>
      <c r="Q3412" s="831"/>
      <c r="R3412" s="656"/>
    </row>
    <row r="3413" spans="2:18" s="57" customFormat="1" ht="12.5">
      <c r="B3413" s="1757" t="s">
        <v>1306</v>
      </c>
      <c r="C3413" s="1967">
        <f>IFERROR(PY!C1202/1000,0)</f>
        <v>2.8E-5</v>
      </c>
      <c r="D3413" s="1978">
        <f>IFERROR(PY!D1202/1000,0)</f>
        <v>3.8999999999999999E-5</v>
      </c>
      <c r="E3413" s="1978">
        <f>IFERROR(PY!E1202/1000,0)</f>
        <v>5.1E-5</v>
      </c>
      <c r="F3413" s="1978">
        <f>IFERROR(PY!F1202/1000,0)</f>
        <v>2.5000000000000001E-5</v>
      </c>
      <c r="G3413" s="1978">
        <f>IFERROR(PY!G1202/1000,0)</f>
        <v>6.8999999999999997E-5</v>
      </c>
      <c r="H3413" s="1978">
        <f>IFERROR(PY!H1202/1000,0)</f>
        <v>3.3000000000000003E-5</v>
      </c>
      <c r="I3413" s="1978">
        <f>IFERROR(PY!I1202/1000,0)</f>
        <v>2.8E-5</v>
      </c>
      <c r="J3413" s="1979">
        <f>IFERROR(PY!J1202/1000,0)</f>
        <v>5.5000000000000002E-5</v>
      </c>
      <c r="K3413" s="829">
        <v>0</v>
      </c>
      <c r="L3413" s="831">
        <f>IFERROR((D3413/C3413-1)*100,0)</f>
        <v>39.285714285714278</v>
      </c>
      <c r="M3413" s="831">
        <f t="shared" ref="M3413:R3413" si="1108">IFERROR((E3413/D3413-1)*100,0)</f>
        <v>30.76923076923077</v>
      </c>
      <c r="N3413" s="831">
        <f t="shared" si="1108"/>
        <v>-50.980392156862742</v>
      </c>
      <c r="O3413" s="831">
        <f t="shared" si="1108"/>
        <v>175.99999999999997</v>
      </c>
      <c r="P3413" s="831">
        <f t="shared" si="1108"/>
        <v>-52.173913043478251</v>
      </c>
      <c r="Q3413" s="831">
        <f t="shared" si="1108"/>
        <v>-15.151515151515159</v>
      </c>
      <c r="R3413" s="832">
        <f t="shared" si="1108"/>
        <v>96.428571428571445</v>
      </c>
    </row>
    <row r="3414" spans="2:18" s="57" customFormat="1" ht="12.5">
      <c r="B3414" s="1757" t="s">
        <v>1319</v>
      </c>
      <c r="C3414" s="1967">
        <f>IFERROR(PY!C1217/1000,0)</f>
        <v>0</v>
      </c>
      <c r="D3414" s="1978">
        <f>IFERROR(PY!D1217/1000,0)</f>
        <v>0</v>
      </c>
      <c r="E3414" s="1978">
        <f>IFERROR(PY!E1217/1000,0)</f>
        <v>0</v>
      </c>
      <c r="F3414" s="1978">
        <f>IFERROR(PY!F1217/1000,0)</f>
        <v>0</v>
      </c>
      <c r="G3414" s="1978">
        <f>IFERROR(PY!G1217/1000,0)</f>
        <v>0</v>
      </c>
      <c r="H3414" s="1978">
        <f>IFERROR(PY!H1217/1000,0)</f>
        <v>0</v>
      </c>
      <c r="I3414" s="1978">
        <f>IFERROR(PY!I1217/1000,0)</f>
        <v>0</v>
      </c>
      <c r="J3414" s="1979">
        <f>IFERROR(PY!J1217/1000,0)</f>
        <v>0</v>
      </c>
      <c r="K3414" s="829">
        <v>23.392925066565258</v>
      </c>
      <c r="L3414" s="831">
        <f>IFERROR((D3414/C3414-1)*100,0)</f>
        <v>0</v>
      </c>
      <c r="M3414" s="831">
        <f t="shared" ref="M3414" si="1109">IFERROR((E3414/D3414-1)*100,0)</f>
        <v>0</v>
      </c>
      <c r="N3414" s="831">
        <f t="shared" ref="N3414" si="1110">IFERROR((F3414/E3414-1)*100,0)</f>
        <v>0</v>
      </c>
      <c r="O3414" s="831">
        <f t="shared" ref="O3414" si="1111">IFERROR((G3414/F3414-1)*100,0)</f>
        <v>0</v>
      </c>
      <c r="P3414" s="831">
        <f t="shared" ref="P3414" si="1112">IFERROR((H3414/G3414-1)*100,0)</f>
        <v>0</v>
      </c>
      <c r="Q3414" s="831">
        <f t="shared" ref="Q3414" si="1113">IFERROR((I3414/H3414-1)*100,0)</f>
        <v>0</v>
      </c>
      <c r="R3414" s="832">
        <f t="shared" ref="R3414" si="1114">IFERROR((J3414/I3414-1)*100,0)</f>
        <v>0</v>
      </c>
    </row>
    <row r="3415" spans="2:18" s="57" customFormat="1" ht="12.5">
      <c r="B3415" s="1757"/>
      <c r="C3415" s="1997"/>
      <c r="D3415" s="2000"/>
      <c r="E3415" s="2000"/>
      <c r="F3415" s="2000"/>
      <c r="G3415" s="2000"/>
      <c r="H3415" s="2000"/>
      <c r="I3415" s="2000"/>
      <c r="J3415" s="2003"/>
      <c r="K3415" s="829"/>
      <c r="L3415" s="829"/>
      <c r="M3415" s="829"/>
      <c r="N3415" s="829"/>
      <c r="O3415" s="829"/>
      <c r="P3415" s="829"/>
      <c r="Q3415" s="831"/>
      <c r="R3415" s="656"/>
    </row>
    <row r="3416" spans="2:18" s="57" customFormat="1" ht="13">
      <c r="B3416" s="1754" t="s">
        <v>1054</v>
      </c>
      <c r="C3416" s="1997"/>
      <c r="D3416" s="2000"/>
      <c r="E3416" s="2000"/>
      <c r="F3416" s="2000"/>
      <c r="G3416" s="2000"/>
      <c r="H3416" s="2000"/>
      <c r="I3416" s="2000"/>
      <c r="J3416" s="2003"/>
      <c r="K3416" s="829"/>
      <c r="L3416" s="829"/>
      <c r="M3416" s="829"/>
      <c r="N3416" s="829"/>
      <c r="O3416" s="829"/>
      <c r="P3416" s="829"/>
      <c r="Q3416" s="831"/>
      <c r="R3416" s="656"/>
    </row>
    <row r="3417" spans="2:18" s="57" customFormat="1" ht="12.5">
      <c r="B3417" s="1757" t="s">
        <v>1388</v>
      </c>
      <c r="C3417" s="1967">
        <f>IFERROR(PE!C715/1000,0)</f>
        <v>6.9080000000000001E-3</v>
      </c>
      <c r="D3417" s="1978">
        <f>IFERROR(PE!D715/1000,0)</f>
        <v>6.8719999999999996E-3</v>
      </c>
      <c r="E3417" s="1978">
        <f>IFERROR(PE!E715/1000,0)</f>
        <v>6.6649999999999999E-3</v>
      </c>
      <c r="F3417" s="1978">
        <f>IFERROR(PE!F715/1000,0)</f>
        <v>6.8920000000000006E-3</v>
      </c>
      <c r="G3417" s="1978">
        <f>IFERROR(PE!G715/1000,0)</f>
        <v>8.7260000000000011E-3</v>
      </c>
      <c r="H3417" s="1978">
        <f>IFERROR(PE!H715/1000,0)</f>
        <v>1.0966E-2</v>
      </c>
      <c r="I3417" s="1978">
        <f>IFERROR(PE!I715/1000,0)</f>
        <v>1.9283999999999999E-2</v>
      </c>
      <c r="J3417" s="1979">
        <f>IFERROR(PE!J715/1000,0)</f>
        <v>2.1281999999999999E-2</v>
      </c>
      <c r="K3417" s="829">
        <v>-3.9089125271093539</v>
      </c>
      <c r="L3417" s="831">
        <f>IFERROR((D3417/C3417-1)*100,0)</f>
        <v>-0.52113491603937856</v>
      </c>
      <c r="M3417" s="831">
        <f t="shared" ref="M3417:R3417" si="1115">IFERROR((E3417/D3417-1)*100,0)</f>
        <v>-3.0122235157159394</v>
      </c>
      <c r="N3417" s="831">
        <f t="shared" si="1115"/>
        <v>3.4058514628657166</v>
      </c>
      <c r="O3417" s="831">
        <f t="shared" si="1115"/>
        <v>26.610562971561237</v>
      </c>
      <c r="P3417" s="831">
        <f t="shared" si="1115"/>
        <v>25.670410268164101</v>
      </c>
      <c r="Q3417" s="831">
        <f t="shared" si="1115"/>
        <v>75.852635418566464</v>
      </c>
      <c r="R3417" s="832">
        <f t="shared" si="1115"/>
        <v>10.360920970752963</v>
      </c>
    </row>
    <row r="3418" spans="2:18" s="57" customFormat="1" ht="12.5">
      <c r="B3418" s="1757"/>
      <c r="C3418" s="1997"/>
      <c r="D3418" s="2000"/>
      <c r="E3418" s="2000"/>
      <c r="F3418" s="2000"/>
      <c r="G3418" s="2000"/>
      <c r="H3418" s="2000"/>
      <c r="I3418" s="2000"/>
      <c r="J3418" s="2003"/>
      <c r="K3418" s="829"/>
      <c r="L3418" s="829"/>
      <c r="M3418" s="829"/>
      <c r="N3418" s="829"/>
      <c r="O3418" s="829"/>
      <c r="P3418" s="829"/>
      <c r="Q3418" s="831"/>
      <c r="R3418" s="656"/>
    </row>
    <row r="3419" spans="2:18" s="57" customFormat="1" ht="13">
      <c r="B3419" s="1754" t="s">
        <v>1055</v>
      </c>
      <c r="C3419" s="1886"/>
      <c r="D3419" s="1884"/>
      <c r="E3419" s="1884"/>
      <c r="F3419" s="1884"/>
      <c r="G3419" s="1884"/>
      <c r="H3419" s="1884"/>
      <c r="I3419" s="1884"/>
      <c r="J3419" s="1887"/>
      <c r="K3419" s="829"/>
      <c r="L3419" s="831"/>
      <c r="M3419" s="831"/>
      <c r="N3419" s="831"/>
      <c r="O3419" s="831"/>
      <c r="P3419" s="829"/>
      <c r="Q3419" s="831"/>
      <c r="R3419" s="656"/>
    </row>
    <row r="3420" spans="2:18" s="57" customFormat="1" ht="12.5">
      <c r="B3420" s="1758" t="s">
        <v>1309</v>
      </c>
      <c r="C3420" s="1967">
        <f>IFERROR(TT!C887/1000,0)</f>
        <v>0</v>
      </c>
      <c r="D3420" s="1978">
        <f>IFERROR(TT!D887/1000,0)</f>
        <v>0</v>
      </c>
      <c r="E3420" s="1978">
        <f>IFERROR(TT!E887/1000,0)</f>
        <v>0</v>
      </c>
      <c r="F3420" s="1978">
        <f>IFERROR(TT!F887/1000,0)</f>
        <v>0</v>
      </c>
      <c r="G3420" s="1978">
        <f>IFERROR(TT!G887/1000,0)</f>
        <v>0</v>
      </c>
      <c r="H3420" s="1978">
        <f>IFERROR(TT!H887/1000,0)</f>
        <v>0</v>
      </c>
      <c r="I3420" s="1978">
        <f>IFERROR(TT!I887/1000,0)</f>
        <v>0</v>
      </c>
      <c r="J3420" s="1979">
        <f>IFERROR(TT!J887/1000,0)</f>
        <v>0</v>
      </c>
      <c r="K3420" s="829">
        <v>0</v>
      </c>
      <c r="L3420" s="831">
        <f>IFERROR((D3420/C3420-1)*100,0)</f>
        <v>0</v>
      </c>
      <c r="M3420" s="831">
        <f t="shared" ref="M3420:R3420" si="1116">IFERROR((E3420/D3420-1)*100,0)</f>
        <v>0</v>
      </c>
      <c r="N3420" s="831">
        <f t="shared" si="1116"/>
        <v>0</v>
      </c>
      <c r="O3420" s="831">
        <f t="shared" si="1116"/>
        <v>0</v>
      </c>
      <c r="P3420" s="831">
        <f t="shared" si="1116"/>
        <v>0</v>
      </c>
      <c r="Q3420" s="831">
        <f t="shared" si="1116"/>
        <v>0</v>
      </c>
      <c r="R3420" s="832">
        <f t="shared" si="1116"/>
        <v>0</v>
      </c>
    </row>
    <row r="3421" spans="2:18" s="57" customFormat="1" ht="25">
      <c r="B3421" s="1774" t="s">
        <v>1852</v>
      </c>
      <c r="C3421" s="1989">
        <f>IFERROR(TT!C872/1000,0)</f>
        <v>2.72E-4</v>
      </c>
      <c r="D3421" s="1993">
        <f>IFERROR(TT!D872/1000,0)</f>
        <v>7.0999999999999991E-4</v>
      </c>
      <c r="E3421" s="1993">
        <f>IFERROR(TT!E872/1000,0)</f>
        <v>1.611E-3</v>
      </c>
      <c r="F3421" s="1993">
        <f>IFERROR(TT!F872/1000,0)</f>
        <v>5.0299999999999997E-4</v>
      </c>
      <c r="G3421" s="1993">
        <f>IFERROR(TT!G872/1000,0)</f>
        <v>1.2899999999999999E-4</v>
      </c>
      <c r="H3421" s="1993">
        <f>IFERROR(TT!H872/1000,0)</f>
        <v>1.2937000000000002E-4</v>
      </c>
      <c r="I3421" s="1993">
        <f>IFERROR(TT!I872/1000,0)</f>
        <v>1.4012000000000001E-4</v>
      </c>
      <c r="J3421" s="1994">
        <f>IFERROR(TT!J872/1000,0)</f>
        <v>1.4999999999999999E-4</v>
      </c>
      <c r="K3421" s="1773">
        <v>-22.063037249283663</v>
      </c>
      <c r="L3421" s="833">
        <f>IFERROR((D3421/C3421-1)*100,0)</f>
        <v>161.02941176470586</v>
      </c>
      <c r="M3421" s="833">
        <f t="shared" ref="M3421" si="1117">IFERROR((E3421/D3421-1)*100,0)</f>
        <v>126.90140845070425</v>
      </c>
      <c r="N3421" s="833">
        <f t="shared" ref="N3421" si="1118">IFERROR((F3421/E3421-1)*100,0)</f>
        <v>-68.777157045313459</v>
      </c>
      <c r="O3421" s="833">
        <f t="shared" ref="O3421" si="1119">IFERROR((G3421/F3421-1)*100,0)</f>
        <v>-74.353876739562622</v>
      </c>
      <c r="P3421" s="833">
        <f t="shared" ref="P3421" si="1120">IFERROR((H3421/G3421-1)*100,0)</f>
        <v>0.28682170542637664</v>
      </c>
      <c r="Q3421" s="833">
        <f t="shared" ref="Q3421" si="1121">IFERROR((I3421/H3421-1)*100,0)</f>
        <v>8.3094998840534728</v>
      </c>
      <c r="R3421" s="834">
        <f t="shared" ref="R3421" si="1122">IFERROR((J3421/I3421-1)*100,0)</f>
        <v>7.0510990579503163</v>
      </c>
    </row>
    <row r="3422" spans="2:18" s="57" customFormat="1" ht="12.5">
      <c r="B3422" s="619"/>
      <c r="C3422" s="622"/>
      <c r="D3422" s="622"/>
      <c r="E3422" s="644"/>
      <c r="F3422" s="644"/>
      <c r="G3422" s="644"/>
      <c r="H3422" s="644"/>
      <c r="I3422" s="644"/>
      <c r="J3422" s="644"/>
      <c r="K3422" s="644"/>
      <c r="L3422" s="644"/>
      <c r="M3422" s="644"/>
      <c r="N3422" s="644"/>
      <c r="O3422" s="644"/>
      <c r="P3422" s="644"/>
      <c r="Q3422" s="644"/>
    </row>
    <row r="3423" spans="2:18" s="57" customFormat="1" ht="13">
      <c r="B3423" s="2158" t="s">
        <v>1393</v>
      </c>
      <c r="C3423" s="2158"/>
      <c r="D3423" s="2158"/>
      <c r="E3423" s="2158"/>
      <c r="F3423" s="2158"/>
      <c r="G3423" s="2158"/>
      <c r="H3423" s="2158"/>
      <c r="I3423" s="2158"/>
      <c r="J3423" s="2158"/>
      <c r="K3423" s="2158"/>
      <c r="L3423" s="2158"/>
      <c r="M3423" s="2158"/>
      <c r="N3423" s="2158"/>
      <c r="O3423" s="2158"/>
      <c r="P3423" s="2158"/>
      <c r="Q3423" s="2158"/>
      <c r="R3423" s="2158"/>
    </row>
    <row r="3424" spans="2:18" s="57" customFormat="1" ht="13">
      <c r="B3424" s="2159" t="s">
        <v>1394</v>
      </c>
      <c r="C3424" s="2159"/>
      <c r="D3424" s="2159"/>
      <c r="E3424" s="2159"/>
      <c r="F3424" s="2159"/>
      <c r="G3424" s="2159"/>
      <c r="H3424" s="2159"/>
      <c r="I3424" s="2159"/>
      <c r="J3424" s="2159"/>
      <c r="K3424" s="2159"/>
      <c r="L3424" s="2159"/>
      <c r="M3424" s="2159"/>
      <c r="N3424" s="2159"/>
      <c r="O3424" s="2159"/>
      <c r="P3424" s="2159"/>
      <c r="Q3424" s="2159"/>
      <c r="R3424" s="2159"/>
    </row>
    <row r="3425" spans="2:18" s="57" customFormat="1" ht="13">
      <c r="B3425" s="581" t="s">
        <v>1273</v>
      </c>
      <c r="C3425" s="611"/>
      <c r="D3425" s="611"/>
      <c r="E3425" s="644"/>
      <c r="F3425" s="644"/>
      <c r="G3425" s="644"/>
      <c r="H3425" s="644"/>
      <c r="I3425" s="644"/>
      <c r="J3425" s="644"/>
      <c r="K3425" s="644"/>
      <c r="L3425" s="644"/>
      <c r="M3425" s="644"/>
      <c r="N3425" s="644"/>
      <c r="O3425" s="644"/>
      <c r="P3425" s="644"/>
      <c r="Q3425" s="644"/>
    </row>
    <row r="3426" spans="2:18" s="57" customFormat="1" ht="13">
      <c r="B3426" s="612" t="s">
        <v>2161</v>
      </c>
      <c r="C3426" s="613"/>
      <c r="D3426" s="613"/>
      <c r="E3426" s="644"/>
      <c r="F3426" s="644"/>
      <c r="G3426" s="644"/>
      <c r="H3426" s="644"/>
      <c r="I3426" s="644"/>
      <c r="J3426" s="644"/>
      <c r="K3426" s="644"/>
      <c r="L3426" s="644"/>
      <c r="M3426" s="644"/>
      <c r="N3426" s="644"/>
      <c r="O3426" s="644"/>
      <c r="P3426" s="644"/>
      <c r="Q3426" s="644"/>
    </row>
    <row r="3427" spans="2:18" s="57" customFormat="1" ht="13.9" customHeight="1">
      <c r="B3427" s="2236" t="s">
        <v>11</v>
      </c>
      <c r="C3427" s="2230" t="s">
        <v>1395</v>
      </c>
      <c r="D3427" s="2231"/>
      <c r="E3427" s="2231"/>
      <c r="F3427" s="2231"/>
      <c r="G3427" s="2231"/>
      <c r="H3427" s="2231"/>
      <c r="I3427" s="2231"/>
      <c r="J3427" s="2232"/>
      <c r="K3427" s="2230" t="s">
        <v>1321</v>
      </c>
      <c r="L3427" s="2231"/>
      <c r="M3427" s="2231"/>
      <c r="N3427" s="2231"/>
      <c r="O3427" s="2231"/>
      <c r="P3427" s="2231"/>
      <c r="Q3427" s="2231"/>
      <c r="R3427" s="2232"/>
    </row>
    <row r="3428" spans="2:18" s="57" customFormat="1" ht="12.5">
      <c r="B3428" s="2263"/>
      <c r="C3428" s="587">
        <v>2014</v>
      </c>
      <c r="D3428" s="588">
        <v>2015</v>
      </c>
      <c r="E3428" s="588">
        <v>2016</v>
      </c>
      <c r="F3428" s="588">
        <v>2017</v>
      </c>
      <c r="G3428" s="588">
        <v>2018</v>
      </c>
      <c r="H3428" s="588">
        <v>2019</v>
      </c>
      <c r="I3428" s="588">
        <v>2020</v>
      </c>
      <c r="J3428" s="588">
        <v>2021</v>
      </c>
      <c r="K3428" s="587">
        <v>2014</v>
      </c>
      <c r="L3428" s="588">
        <v>2015</v>
      </c>
      <c r="M3428" s="588">
        <v>2016</v>
      </c>
      <c r="N3428" s="588">
        <v>2017</v>
      </c>
      <c r="O3428" s="588">
        <v>2018</v>
      </c>
      <c r="P3428" s="588">
        <v>2019</v>
      </c>
      <c r="Q3428" s="588">
        <v>2020</v>
      </c>
      <c r="R3428" s="848">
        <v>2021</v>
      </c>
    </row>
    <row r="3429" spans="2:18" s="57" customFormat="1" ht="13">
      <c r="B3429" s="752" t="s">
        <v>1038</v>
      </c>
      <c r="C3429" s="761"/>
      <c r="D3429" s="755"/>
      <c r="E3429" s="755"/>
      <c r="F3429" s="755"/>
      <c r="G3429" s="755"/>
      <c r="H3429" s="755"/>
      <c r="I3429" s="755"/>
      <c r="J3429" s="755"/>
      <c r="K3429" s="761"/>
      <c r="L3429" s="755"/>
      <c r="M3429" s="755"/>
      <c r="N3429" s="755"/>
      <c r="O3429" s="755"/>
      <c r="P3429" s="755"/>
      <c r="Q3429" s="755"/>
      <c r="R3429" s="756"/>
    </row>
    <row r="3430" spans="2:18" s="57" customFormat="1" ht="12.5">
      <c r="B3430" s="700" t="s">
        <v>126</v>
      </c>
      <c r="C3430" s="1760">
        <f>IFERROR(ARG!C1654/1000,0)</f>
        <v>0</v>
      </c>
      <c r="D3430" s="774">
        <f>IFERROR(ARG!D1654/1000,0)</f>
        <v>0</v>
      </c>
      <c r="E3430" s="774">
        <f>IFERROR(ARG!E1654/1000,0)</f>
        <v>0</v>
      </c>
      <c r="F3430" s="774">
        <f>IFERROR(ARG!F1654/1000,0)</f>
        <v>0</v>
      </c>
      <c r="G3430" s="774">
        <f>IFERROR(ARG!G1654/1000,0)</f>
        <v>0</v>
      </c>
      <c r="H3430" s="774">
        <f>IFERROR(ARG!H1654/1000,0)</f>
        <v>0</v>
      </c>
      <c r="I3430" s="774">
        <f>IFERROR(ARG!I1654/1000,0)</f>
        <v>0</v>
      </c>
      <c r="J3430" s="774">
        <f>IFERROR(ARG!J1654/1000,0)</f>
        <v>0</v>
      </c>
      <c r="K3430" s="1700">
        <f t="shared" ref="K3430:R3430" si="1123">C3430/C6*100000</f>
        <v>0</v>
      </c>
      <c r="L3430" s="679">
        <f t="shared" si="1123"/>
        <v>0</v>
      </c>
      <c r="M3430" s="679">
        <f t="shared" si="1123"/>
        <v>0</v>
      </c>
      <c r="N3430" s="679">
        <f t="shared" si="1123"/>
        <v>0</v>
      </c>
      <c r="O3430" s="679">
        <f t="shared" si="1123"/>
        <v>0</v>
      </c>
      <c r="P3430" s="679">
        <f t="shared" si="1123"/>
        <v>0</v>
      </c>
      <c r="Q3430" s="679">
        <f t="shared" si="1123"/>
        <v>0</v>
      </c>
      <c r="R3430" s="680">
        <f t="shared" si="1123"/>
        <v>0</v>
      </c>
    </row>
    <row r="3431" spans="2:18" s="57" customFormat="1" ht="12.5">
      <c r="B3431" s="700" t="s">
        <v>125</v>
      </c>
      <c r="C3431" s="1760">
        <f>IFERROR(ARG!C1670/1000,0)</f>
        <v>0</v>
      </c>
      <c r="D3431" s="774">
        <f>IFERROR(ARG!D1670/1000,0)</f>
        <v>0</v>
      </c>
      <c r="E3431" s="774">
        <f>IFERROR(ARG!E1670/1000,0)</f>
        <v>0</v>
      </c>
      <c r="F3431" s="774">
        <f>IFERROR(ARG!F1670/1000,0)</f>
        <v>0</v>
      </c>
      <c r="G3431" s="774">
        <f>IFERROR(ARG!G1670/1000,0)</f>
        <v>0</v>
      </c>
      <c r="H3431" s="774">
        <f>IFERROR(ARG!H1670/1000,0)</f>
        <v>3109.2348777026459</v>
      </c>
      <c r="I3431" s="774">
        <f>IFERROR(ARG!I1670/1000,0)</f>
        <v>4428.6657119087231</v>
      </c>
      <c r="J3431" s="774">
        <f>IFERROR(ARG!J1670/1000,0)</f>
        <v>4483.788464773922</v>
      </c>
      <c r="K3431" s="1700">
        <f t="shared" ref="K3431:R3431" si="1124">C3431/C6*100000</f>
        <v>0</v>
      </c>
      <c r="L3431" s="679">
        <f t="shared" si="1124"/>
        <v>0</v>
      </c>
      <c r="M3431" s="679">
        <f t="shared" si="1124"/>
        <v>0</v>
      </c>
      <c r="N3431" s="679">
        <f t="shared" si="1124"/>
        <v>0</v>
      </c>
      <c r="O3431" s="679">
        <f t="shared" si="1124"/>
        <v>0</v>
      </c>
      <c r="P3431" s="679">
        <f t="shared" si="1124"/>
        <v>739.58706265692535</v>
      </c>
      <c r="Q3431" s="679">
        <f t="shared" si="1124"/>
        <v>1142.4310746102801</v>
      </c>
      <c r="R3431" s="680">
        <f t="shared" si="1124"/>
        <v>839.10867417883401</v>
      </c>
    </row>
    <row r="3432" spans="2:18" s="57" customFormat="1" ht="12.5">
      <c r="B3432" s="700"/>
      <c r="C3432" s="1700"/>
      <c r="D3432" s="679"/>
      <c r="E3432" s="679"/>
      <c r="F3432" s="679"/>
      <c r="G3432" s="679"/>
      <c r="H3432" s="679"/>
      <c r="I3432" s="679"/>
      <c r="J3432" s="679"/>
      <c r="K3432" s="1700"/>
      <c r="L3432" s="679"/>
      <c r="M3432" s="679"/>
      <c r="N3432" s="679"/>
      <c r="O3432" s="679"/>
      <c r="P3432" s="679"/>
      <c r="Q3432" s="679"/>
      <c r="R3432" s="680"/>
    </row>
    <row r="3433" spans="2:18" s="57" customFormat="1" ht="13">
      <c r="B3433" s="708" t="s">
        <v>1039</v>
      </c>
      <c r="C3433" s="1700"/>
      <c r="D3433" s="679"/>
      <c r="E3433" s="679"/>
      <c r="F3433" s="679"/>
      <c r="G3433" s="679"/>
      <c r="H3433" s="679"/>
      <c r="I3433" s="679"/>
      <c r="J3433" s="679"/>
      <c r="K3433" s="1700"/>
      <c r="L3433" s="679"/>
      <c r="M3433" s="679"/>
      <c r="N3433" s="679"/>
      <c r="O3433" s="679"/>
      <c r="P3433" s="679"/>
      <c r="Q3433" s="679"/>
      <c r="R3433" s="680"/>
    </row>
    <row r="3434" spans="2:18" s="57" customFormat="1" ht="25">
      <c r="B3434" s="706" t="s">
        <v>1892</v>
      </c>
      <c r="C3434" s="1760">
        <f>IFERROR(BA!C673/1000,0)</f>
        <v>0</v>
      </c>
      <c r="D3434" s="774">
        <f>IFERROR(BA!D673/1000,0)</f>
        <v>0</v>
      </c>
      <c r="E3434" s="774">
        <f>IFERROR(BA!E673/1000,0)</f>
        <v>0</v>
      </c>
      <c r="F3434" s="774">
        <f>IFERROR(BA!F673/1000,0)</f>
        <v>0</v>
      </c>
      <c r="G3434" s="774">
        <f>IFERROR(BA!G673/1000,0)</f>
        <v>0</v>
      </c>
      <c r="H3434" s="774">
        <f>IFERROR(BA!H673/1000,0)</f>
        <v>0</v>
      </c>
      <c r="I3434" s="774">
        <f>IFERROR(BA!I673/1000,0)</f>
        <v>0</v>
      </c>
      <c r="J3434" s="774">
        <f>IFERROR(BA!J673/1000,0)</f>
        <v>0</v>
      </c>
      <c r="K3434" s="1700">
        <f>C3434/C7*100000</f>
        <v>0</v>
      </c>
      <c r="L3434" s="679">
        <f t="shared" ref="L3434:R3434" si="1125">D3434/D7*100000</f>
        <v>0</v>
      </c>
      <c r="M3434" s="679">
        <f t="shared" si="1125"/>
        <v>0</v>
      </c>
      <c r="N3434" s="679">
        <f t="shared" si="1125"/>
        <v>0</v>
      </c>
      <c r="O3434" s="679">
        <f t="shared" si="1125"/>
        <v>0</v>
      </c>
      <c r="P3434" s="679">
        <f t="shared" si="1125"/>
        <v>0</v>
      </c>
      <c r="Q3434" s="679">
        <f t="shared" si="1125"/>
        <v>0</v>
      </c>
      <c r="R3434" s="680">
        <f t="shared" si="1125"/>
        <v>0</v>
      </c>
    </row>
    <row r="3435" spans="2:18" s="57" customFormat="1" ht="12.5">
      <c r="B3435" s="1753"/>
      <c r="C3435" s="1700"/>
      <c r="D3435" s="679"/>
      <c r="E3435" s="679"/>
      <c r="F3435" s="679"/>
      <c r="G3435" s="679"/>
      <c r="H3435" s="679"/>
      <c r="I3435" s="679"/>
      <c r="J3435" s="679"/>
      <c r="K3435" s="1700"/>
      <c r="L3435" s="679"/>
      <c r="M3435" s="679"/>
      <c r="N3435" s="679"/>
      <c r="O3435" s="679"/>
      <c r="P3435" s="679"/>
      <c r="Q3435" s="679"/>
      <c r="R3435" s="680"/>
    </row>
    <row r="3436" spans="2:18" s="57" customFormat="1" ht="13">
      <c r="B3436" s="708" t="s">
        <v>1040</v>
      </c>
      <c r="C3436" s="1700"/>
      <c r="D3436" s="679"/>
      <c r="E3436" s="679"/>
      <c r="F3436" s="679"/>
      <c r="G3436" s="679"/>
      <c r="H3436" s="679"/>
      <c r="I3436" s="679"/>
      <c r="J3436" s="679"/>
      <c r="K3436" s="1700"/>
      <c r="L3436" s="679"/>
      <c r="M3436" s="679"/>
      <c r="N3436" s="679"/>
      <c r="O3436" s="679"/>
      <c r="P3436" s="679"/>
      <c r="Q3436" s="679"/>
      <c r="R3436" s="680"/>
    </row>
    <row r="3437" spans="2:18" s="57" customFormat="1" ht="12.5">
      <c r="B3437" s="700" t="s">
        <v>503</v>
      </c>
      <c r="C3437" s="1760">
        <f>IFERROR(BO!C1971/1000,0)</f>
        <v>0</v>
      </c>
      <c r="D3437" s="774">
        <f>IFERROR(BO!D1971/1000,0)</f>
        <v>0</v>
      </c>
      <c r="E3437" s="774">
        <f>IFERROR(BO!E1971/1000,0)</f>
        <v>0</v>
      </c>
      <c r="F3437" s="774">
        <f>IFERROR(BO!F1971/1000,0)</f>
        <v>0</v>
      </c>
      <c r="G3437" s="774">
        <f>IFERROR(BO!G1971/1000,0)</f>
        <v>0</v>
      </c>
      <c r="H3437" s="774">
        <f>IFERROR(BO!H1971/1000,0)</f>
        <v>0</v>
      </c>
      <c r="I3437" s="774">
        <f>IFERROR(BO!I1971/1000,0)</f>
        <v>0</v>
      </c>
      <c r="J3437" s="774">
        <f>IFERROR(BO!J1971/1000,0)</f>
        <v>0</v>
      </c>
      <c r="K3437" s="1700">
        <f t="shared" ref="K3437:R3437" si="1126">C3437/C8*100000</f>
        <v>0</v>
      </c>
      <c r="L3437" s="679">
        <f t="shared" si="1126"/>
        <v>0</v>
      </c>
      <c r="M3437" s="679">
        <f t="shared" si="1126"/>
        <v>0</v>
      </c>
      <c r="N3437" s="679">
        <f t="shared" si="1126"/>
        <v>0</v>
      </c>
      <c r="O3437" s="679">
        <f t="shared" si="1126"/>
        <v>0</v>
      </c>
      <c r="P3437" s="679">
        <f t="shared" si="1126"/>
        <v>0</v>
      </c>
      <c r="Q3437" s="679">
        <f t="shared" si="1126"/>
        <v>0</v>
      </c>
      <c r="R3437" s="680">
        <f t="shared" si="1126"/>
        <v>0</v>
      </c>
    </row>
    <row r="3438" spans="2:18" s="57" customFormat="1" ht="12.5">
      <c r="B3438" s="700"/>
      <c r="C3438" s="1700"/>
      <c r="D3438" s="679"/>
      <c r="E3438" s="679"/>
      <c r="F3438" s="679"/>
      <c r="G3438" s="679"/>
      <c r="H3438" s="679"/>
      <c r="I3438" s="679"/>
      <c r="J3438" s="679"/>
      <c r="K3438" s="1700"/>
      <c r="L3438" s="679"/>
      <c r="M3438" s="679"/>
      <c r="N3438" s="679"/>
      <c r="O3438" s="679"/>
      <c r="P3438" s="679"/>
      <c r="Q3438" s="679"/>
      <c r="R3438" s="680"/>
    </row>
    <row r="3439" spans="2:18" s="57" customFormat="1" ht="13">
      <c r="B3439" s="708" t="s">
        <v>1041</v>
      </c>
      <c r="C3439" s="1700"/>
      <c r="D3439" s="679"/>
      <c r="E3439" s="679"/>
      <c r="F3439" s="679"/>
      <c r="G3439" s="679"/>
      <c r="H3439" s="679"/>
      <c r="I3439" s="679"/>
      <c r="J3439" s="679"/>
      <c r="K3439" s="1700"/>
      <c r="L3439" s="679"/>
      <c r="M3439" s="679"/>
      <c r="N3439" s="679"/>
      <c r="O3439" s="679"/>
      <c r="P3439" s="679"/>
      <c r="Q3439" s="679"/>
      <c r="R3439" s="680"/>
    </row>
    <row r="3440" spans="2:18" s="57" customFormat="1" ht="12.5">
      <c r="B3440" s="700" t="s">
        <v>972</v>
      </c>
      <c r="C3440" s="1760">
        <f>IFERROR(BR!C1510/1000,0)</f>
        <v>265075.92865800316</v>
      </c>
      <c r="D3440" s="774">
        <f>IFERROR(BR!D1510/1000,0)</f>
        <v>209130.88834366671</v>
      </c>
      <c r="E3440" s="774">
        <f>IFERROR(BR!E1510/1000,0)</f>
        <v>209574.32328678772</v>
      </c>
      <c r="F3440" s="774">
        <f>IFERROR(BR!F1510/1000,0)</f>
        <v>219363.89831582585</v>
      </c>
      <c r="G3440" s="774">
        <f>IFERROR(BR!G1510/1000,0)</f>
        <v>208386.17413644074</v>
      </c>
      <c r="H3440" s="774">
        <f>IFERROR(BR!H1510/1000,0)</f>
        <v>194467.73396518081</v>
      </c>
      <c r="I3440" s="774">
        <f>IFERROR(BR!I1510/1000,0)</f>
        <v>187152.62748236462</v>
      </c>
      <c r="J3440" s="774">
        <f>IFERROR(BR!J1510/1000,0)</f>
        <v>267773.26481540519</v>
      </c>
      <c r="K3440" s="1700">
        <f t="shared" ref="K3440:R3440" si="1127">C3440/C9*100000</f>
        <v>12183.775879495612</v>
      </c>
      <c r="L3440" s="679">
        <f t="shared" si="1127"/>
        <v>13619.801584084787</v>
      </c>
      <c r="M3440" s="679">
        <f t="shared" si="1127"/>
        <v>10894.687230018431</v>
      </c>
      <c r="N3440" s="679">
        <f t="shared" si="1127"/>
        <v>11019.028010396098</v>
      </c>
      <c r="O3440" s="679">
        <f t="shared" si="1127"/>
        <v>11528.248039893551</v>
      </c>
      <c r="P3440" s="679">
        <f t="shared" si="1127"/>
        <v>10608.028132631367</v>
      </c>
      <c r="Q3440" s="679">
        <f t="shared" si="1127"/>
        <v>13023.915644911491</v>
      </c>
      <c r="R3440" s="680">
        <f t="shared" si="1127"/>
        <v>17216.550496374613</v>
      </c>
    </row>
    <row r="3441" spans="2:18" s="57" customFormat="1" ht="12.5">
      <c r="B3441" s="700" t="s">
        <v>1289</v>
      </c>
      <c r="C3441" s="1760">
        <f>IFERROR(BR!C1462/1000,0)</f>
        <v>2378.7759795303009</v>
      </c>
      <c r="D3441" s="774">
        <f>IFERROR(BR!D1462/1000,0)</f>
        <v>1496.412759457274</v>
      </c>
      <c r="E3441" s="774">
        <f>IFERROR(BR!E1462/1000,0)</f>
        <v>1312.7401225026599</v>
      </c>
      <c r="F3441" s="774">
        <f>IFERROR(BR!F1462/1000,0)</f>
        <v>1605.5084424583588</v>
      </c>
      <c r="G3441" s="774">
        <f>IFERROR(BR!G1462/1000,0)</f>
        <v>0</v>
      </c>
      <c r="H3441" s="774">
        <f>IFERROR(BR!H1462/1000,0)</f>
        <v>0</v>
      </c>
      <c r="I3441" s="774">
        <f>IFERROR(BR!I1462/1000,0)</f>
        <v>0</v>
      </c>
      <c r="J3441" s="774">
        <f>IFERROR(BR!J1462/1000,0)</f>
        <v>0</v>
      </c>
      <c r="K3441" s="1700">
        <f t="shared" ref="K3441:R3441" si="1128">C3441/C9*100000</f>
        <v>109.33649671191971</v>
      </c>
      <c r="L3441" s="679">
        <f t="shared" si="1128"/>
        <v>97.454972018331603</v>
      </c>
      <c r="M3441" s="679">
        <f t="shared" si="1128"/>
        <v>68.242582510412902</v>
      </c>
      <c r="N3441" s="679">
        <f t="shared" si="1128"/>
        <v>80.64746585103768</v>
      </c>
      <c r="O3441" s="679">
        <f t="shared" si="1128"/>
        <v>0</v>
      </c>
      <c r="P3441" s="679">
        <f t="shared" si="1128"/>
        <v>0</v>
      </c>
      <c r="Q3441" s="679">
        <f t="shared" si="1128"/>
        <v>0</v>
      </c>
      <c r="R3441" s="680">
        <f t="shared" si="1128"/>
        <v>0</v>
      </c>
    </row>
    <row r="3442" spans="2:18" s="57" customFormat="1" ht="25">
      <c r="B3442" s="1752" t="s">
        <v>971</v>
      </c>
      <c r="C3442" s="1760">
        <f>IFERROR(BR!C1478/1000,0)</f>
        <v>0</v>
      </c>
      <c r="D3442" s="774">
        <f>IFERROR(BR!D1478/1000,0)</f>
        <v>0</v>
      </c>
      <c r="E3442" s="774">
        <f>IFERROR(BR!E1478/1000,0)</f>
        <v>0</v>
      </c>
      <c r="F3442" s="774">
        <f>IFERROR(BR!F1478/1000,0)</f>
        <v>0</v>
      </c>
      <c r="G3442" s="774">
        <f>IFERROR(BR!G1478/1000,0)</f>
        <v>1234.7789623401663</v>
      </c>
      <c r="H3442" s="774">
        <f>IFERROR(BR!H1478/1000,0)</f>
        <v>1604.470593750792</v>
      </c>
      <c r="I3442" s="774">
        <f>IFERROR(BR!I1478/1000,0)</f>
        <v>1668.8731663444087</v>
      </c>
      <c r="J3442" s="774">
        <f>IFERROR(BR!J1478/1000,0)</f>
        <v>1459.376337625155</v>
      </c>
      <c r="K3442" s="1700">
        <f t="shared" ref="K3442:R3442" si="1129">C3442/C9*100000</f>
        <v>0</v>
      </c>
      <c r="L3442" s="679">
        <f t="shared" si="1129"/>
        <v>0</v>
      </c>
      <c r="M3442" s="679">
        <f t="shared" si="1129"/>
        <v>0</v>
      </c>
      <c r="N3442" s="679">
        <f t="shared" si="1129"/>
        <v>0</v>
      </c>
      <c r="O3442" s="679">
        <f t="shared" si="1129"/>
        <v>68.309897291840315</v>
      </c>
      <c r="P3442" s="679">
        <f t="shared" si="1129"/>
        <v>87.522330051604413</v>
      </c>
      <c r="Q3442" s="679">
        <f t="shared" si="1129"/>
        <v>116.13656528853184</v>
      </c>
      <c r="R3442" s="680">
        <f t="shared" si="1129"/>
        <v>93.830974601808862</v>
      </c>
    </row>
    <row r="3443" spans="2:18" s="57" customFormat="1" ht="12.5">
      <c r="B3443" s="700" t="s">
        <v>960</v>
      </c>
      <c r="C3443" s="1760">
        <f>IFERROR(BR!C1494/1000,0)</f>
        <v>9105.0116210132928</v>
      </c>
      <c r="D3443" s="774">
        <f>IFERROR(BR!D1494/1000,0)</f>
        <v>7752.7192215532996</v>
      </c>
      <c r="E3443" s="774">
        <f>IFERROR(BR!E1494/1000,0)</f>
        <v>6178.6340366893464</v>
      </c>
      <c r="F3443" s="774">
        <f>IFERROR(BR!F1494/1000,0)</f>
        <v>7943.9363813242608</v>
      </c>
      <c r="G3443" s="774">
        <f>IFERROR(BR!G1494/1000,0)</f>
        <v>6656.2876431634941</v>
      </c>
      <c r="H3443" s="774">
        <f>IFERROR(BR!H1494/1000,0)</f>
        <v>7263.1921604931458</v>
      </c>
      <c r="I3443" s="774">
        <f>IFERROR(BR!I1494/1000,0)</f>
        <v>6993.0043480526283</v>
      </c>
      <c r="J3443" s="774">
        <f>IFERROR(BR!J1494/1000,0)</f>
        <v>8921.0933704448817</v>
      </c>
      <c r="K3443" s="1700">
        <f t="shared" ref="K3443:R3443" si="1130">C3443/C9*100000</f>
        <v>418.49677385740131</v>
      </c>
      <c r="L3443" s="679">
        <f t="shared" si="1130"/>
        <v>504.90149193627667</v>
      </c>
      <c r="M3443" s="679">
        <f t="shared" si="1130"/>
        <v>321.19528901621112</v>
      </c>
      <c r="N3443" s="679">
        <f t="shared" si="1130"/>
        <v>399.03766376630597</v>
      </c>
      <c r="O3443" s="679">
        <f t="shared" si="1130"/>
        <v>368.23620997535465</v>
      </c>
      <c r="P3443" s="679">
        <f t="shared" si="1130"/>
        <v>396.20015721998516</v>
      </c>
      <c r="Q3443" s="679">
        <f t="shared" si="1130"/>
        <v>486.64183858235606</v>
      </c>
      <c r="R3443" s="680">
        <f t="shared" si="1130"/>
        <v>573.58397822507675</v>
      </c>
    </row>
    <row r="3444" spans="2:18" s="57" customFormat="1" ht="12.5">
      <c r="B3444" s="700"/>
      <c r="C3444" s="1700"/>
      <c r="D3444" s="679"/>
      <c r="E3444" s="679"/>
      <c r="F3444" s="679"/>
      <c r="G3444" s="679"/>
      <c r="H3444" s="679"/>
      <c r="I3444" s="679"/>
      <c r="J3444" s="679"/>
      <c r="K3444" s="1700"/>
      <c r="L3444" s="679"/>
      <c r="M3444" s="679"/>
      <c r="N3444" s="679"/>
      <c r="O3444" s="679"/>
      <c r="P3444" s="679"/>
      <c r="Q3444" s="679"/>
      <c r="R3444" s="680"/>
    </row>
    <row r="3445" spans="2:18" s="57" customFormat="1" ht="13">
      <c r="B3445" s="708" t="s">
        <v>1042</v>
      </c>
      <c r="C3445" s="1700"/>
      <c r="D3445" s="679"/>
      <c r="E3445" s="679"/>
      <c r="F3445" s="679"/>
      <c r="G3445" s="679"/>
      <c r="H3445" s="835"/>
      <c r="I3445" s="835"/>
      <c r="J3445" s="835"/>
      <c r="K3445" s="1700"/>
      <c r="L3445" s="679"/>
      <c r="M3445" s="679"/>
      <c r="N3445" s="679"/>
      <c r="O3445" s="679"/>
      <c r="P3445" s="835"/>
      <c r="Q3445" s="835"/>
      <c r="R3445" s="836"/>
    </row>
    <row r="3446" spans="2:18" s="57" customFormat="1" ht="12.5">
      <c r="B3446" s="710" t="s">
        <v>503</v>
      </c>
      <c r="C3446" s="1760">
        <f>IFERROR(CL!C799/1000,0)</f>
        <v>0</v>
      </c>
      <c r="D3446" s="774">
        <f>IFERROR(CL!D799/1000,0)</f>
        <v>0</v>
      </c>
      <c r="E3446" s="774">
        <f>IFERROR(CL!E799/1000,0)</f>
        <v>0</v>
      </c>
      <c r="F3446" s="774">
        <f>IFERROR(CL!F799/1000,0)</f>
        <v>0</v>
      </c>
      <c r="G3446" s="774">
        <f>IFERROR(CL!G799/1000,0)</f>
        <v>0</v>
      </c>
      <c r="H3446" s="774">
        <f>IFERROR(CL!H799/1000,0)</f>
        <v>0</v>
      </c>
      <c r="I3446" s="774">
        <f>IFERROR(CL!I799/1000,0)</f>
        <v>0</v>
      </c>
      <c r="J3446" s="774">
        <f>IFERROR(CL!J799/1000,0)</f>
        <v>0</v>
      </c>
      <c r="K3446" s="1700">
        <f t="shared" ref="K3446:R3446" si="1131">C3446/C10*100000</f>
        <v>0</v>
      </c>
      <c r="L3446" s="679">
        <f t="shared" si="1131"/>
        <v>0</v>
      </c>
      <c r="M3446" s="679">
        <f t="shared" si="1131"/>
        <v>0</v>
      </c>
      <c r="N3446" s="679">
        <f t="shared" si="1131"/>
        <v>0</v>
      </c>
      <c r="O3446" s="679">
        <f t="shared" si="1131"/>
        <v>0</v>
      </c>
      <c r="P3446" s="679">
        <f t="shared" si="1131"/>
        <v>0</v>
      </c>
      <c r="Q3446" s="679">
        <f t="shared" si="1131"/>
        <v>0</v>
      </c>
      <c r="R3446" s="680">
        <f t="shared" si="1131"/>
        <v>0</v>
      </c>
    </row>
    <row r="3447" spans="2:18" s="57" customFormat="1" ht="12.5">
      <c r="B3447" s="710"/>
      <c r="C3447" s="1700"/>
      <c r="D3447" s="679"/>
      <c r="E3447" s="679"/>
      <c r="F3447" s="679"/>
      <c r="G3447" s="679"/>
      <c r="H3447" s="835"/>
      <c r="I3447" s="835"/>
      <c r="J3447" s="835"/>
      <c r="K3447" s="1760"/>
      <c r="L3447" s="774"/>
      <c r="M3447" s="774"/>
      <c r="N3447" s="774"/>
      <c r="O3447" s="774"/>
      <c r="P3447" s="774"/>
      <c r="Q3447" s="774"/>
      <c r="R3447" s="775"/>
    </row>
    <row r="3448" spans="2:18" s="57" customFormat="1" ht="13">
      <c r="B3448" s="709" t="s">
        <v>1043</v>
      </c>
      <c r="C3448" s="1700"/>
      <c r="D3448" s="679"/>
      <c r="E3448" s="679"/>
      <c r="F3448" s="679"/>
      <c r="G3448" s="679"/>
      <c r="H3448" s="835"/>
      <c r="I3448" s="835"/>
      <c r="J3448" s="835"/>
      <c r="K3448" s="1700"/>
      <c r="L3448" s="679"/>
      <c r="M3448" s="679"/>
      <c r="N3448" s="679"/>
      <c r="O3448" s="679"/>
      <c r="P3448" s="835"/>
      <c r="Q3448" s="835"/>
      <c r="R3448" s="836"/>
    </row>
    <row r="3449" spans="2:18" s="57" customFormat="1" ht="12.5">
      <c r="B3449" s="700" t="s">
        <v>503</v>
      </c>
      <c r="C3449" s="1760">
        <f>IFERROR(CO!C1007/1000,0)</f>
        <v>2539.4786214579931</v>
      </c>
      <c r="D3449" s="774">
        <f>IFERROR(CO!D1007/1000,0)</f>
        <v>2499.7793026711702</v>
      </c>
      <c r="E3449" s="774">
        <f>IFERROR(CO!E1007/1000,0)</f>
        <v>2354.0222715675554</v>
      </c>
      <c r="F3449" s="774">
        <f>IFERROR(CO!F1007/1000,0)</f>
        <v>2758.113966056947</v>
      </c>
      <c r="G3449" s="774">
        <f>IFERROR(CO!G1007/1000,0)</f>
        <v>2889.8440251285328</v>
      </c>
      <c r="H3449" s="774">
        <f>IFERROR(CO!H1007/1000,0)</f>
        <v>2965.272687970154</v>
      </c>
      <c r="I3449" s="774">
        <f>IFERROR(CO!I1007/1000,0)</f>
        <v>2043.3447602882213</v>
      </c>
      <c r="J3449" s="774">
        <f>IFERROR(CO!J1007/1000,0)</f>
        <v>2382.1656641663239</v>
      </c>
      <c r="K3449" s="1700">
        <f t="shared" ref="K3449:R3449" si="1132">C3449/C11*100000</f>
        <v>796.37922811856799</v>
      </c>
      <c r="L3449" s="679">
        <f t="shared" si="1132"/>
        <v>978.38426632597168</v>
      </c>
      <c r="M3449" s="679">
        <f t="shared" si="1132"/>
        <v>817.76862339288016</v>
      </c>
      <c r="N3449" s="679">
        <f t="shared" si="1132"/>
        <v>894.13051304320607</v>
      </c>
      <c r="O3449" s="679">
        <f t="shared" si="1132"/>
        <v>952.52818104527194</v>
      </c>
      <c r="P3449" s="679">
        <f t="shared" si="1132"/>
        <v>915.26263968039882</v>
      </c>
      <c r="Q3449" s="679">
        <f t="shared" si="1132"/>
        <v>699.33441313147819</v>
      </c>
      <c r="R3449" s="680">
        <f t="shared" si="1132"/>
        <v>805.60510765080187</v>
      </c>
    </row>
    <row r="3450" spans="2:18" s="57" customFormat="1" ht="12.5">
      <c r="B3450" s="700" t="s">
        <v>603</v>
      </c>
      <c r="C3450" s="1760">
        <f>IFERROR(CO!C1022/1000,0)</f>
        <v>85.020330952656195</v>
      </c>
      <c r="D3450" s="774">
        <f>IFERROR(CO!D1022/1000,0)</f>
        <v>59.966868650609086</v>
      </c>
      <c r="E3450" s="774">
        <f>IFERROR(CO!E1022/1000,0)</f>
        <v>69.376550128235323</v>
      </c>
      <c r="F3450" s="774">
        <f>IFERROR(CO!F1022/1000,0)</f>
        <v>69.558435354167855</v>
      </c>
      <c r="G3450" s="774">
        <f>IFERROR(CO!G1022/1000,0)</f>
        <v>82.312539701371549</v>
      </c>
      <c r="H3450" s="774">
        <f>IFERROR(CO!H1022/1000,0)</f>
        <v>77.338485544079802</v>
      </c>
      <c r="I3450" s="774">
        <f>IFERROR(CO!I1022/1000,0)</f>
        <v>162.61575401982827</v>
      </c>
      <c r="J3450" s="774">
        <f>IFERROR(CO!J1022/1000,0)</f>
        <v>95.720691870127808</v>
      </c>
      <c r="K3450" s="1700">
        <f t="shared" ref="K3450:R3450" si="1133">C3450/C11*100000</f>
        <v>26.662333349192771</v>
      </c>
      <c r="L3450" s="679">
        <f t="shared" si="1133"/>
        <v>23.470328250937531</v>
      </c>
      <c r="M3450" s="679">
        <f t="shared" si="1133"/>
        <v>24.100861992412121</v>
      </c>
      <c r="N3450" s="679">
        <f t="shared" si="1133"/>
        <v>22.549582887112887</v>
      </c>
      <c r="O3450" s="679">
        <f t="shared" si="1133"/>
        <v>27.13122681957789</v>
      </c>
      <c r="P3450" s="679">
        <f t="shared" si="1133"/>
        <v>23.87133794309284</v>
      </c>
      <c r="Q3450" s="679">
        <f t="shared" si="1133"/>
        <v>55.655215465131981</v>
      </c>
      <c r="R3450" s="680">
        <f t="shared" si="1133"/>
        <v>32.370997298137311</v>
      </c>
    </row>
    <row r="3451" spans="2:18" s="57" customFormat="1" ht="12.5">
      <c r="B3451" s="700"/>
      <c r="C3451" s="1700"/>
      <c r="D3451" s="679"/>
      <c r="E3451" s="679"/>
      <c r="F3451" s="679"/>
      <c r="G3451" s="679"/>
      <c r="H3451" s="835"/>
      <c r="I3451" s="835"/>
      <c r="J3451" s="835"/>
      <c r="K3451" s="1760"/>
      <c r="L3451" s="774"/>
      <c r="M3451" s="774"/>
      <c r="N3451" s="774"/>
      <c r="O3451" s="774"/>
      <c r="P3451" s="774"/>
      <c r="Q3451" s="774"/>
      <c r="R3451" s="775"/>
    </row>
    <row r="3452" spans="2:18" s="57" customFormat="1" ht="13">
      <c r="B3452" s="709" t="s">
        <v>1044</v>
      </c>
      <c r="C3452" s="1700"/>
      <c r="D3452" s="679"/>
      <c r="E3452" s="679"/>
      <c r="F3452" s="679"/>
      <c r="G3452" s="679"/>
      <c r="H3452" s="835"/>
      <c r="I3452" s="835"/>
      <c r="J3452" s="835"/>
      <c r="K3452" s="1700"/>
      <c r="L3452" s="679"/>
      <c r="M3452" s="679"/>
      <c r="N3452" s="679"/>
      <c r="O3452" s="679"/>
      <c r="P3452" s="835"/>
      <c r="Q3452" s="835"/>
      <c r="R3452" s="836"/>
    </row>
    <row r="3453" spans="2:18" s="57" customFormat="1" ht="12.5">
      <c r="B3453" s="710" t="s">
        <v>1373</v>
      </c>
      <c r="C3453" s="1760">
        <f>IFERROR(CR!C903/1000,0)</f>
        <v>14.303985076641679</v>
      </c>
      <c r="D3453" s="774">
        <f>IFERROR(CR!D903/1000,0)</f>
        <v>10.990724587801562</v>
      </c>
      <c r="E3453" s="774">
        <f>IFERROR(CR!E903/1000,0)</f>
        <v>8.0398433323552698</v>
      </c>
      <c r="F3453" s="774">
        <f>IFERROR(CR!F903/1000,0)</f>
        <v>19.751685389906655</v>
      </c>
      <c r="G3453" s="774">
        <f>IFERROR(CR!G903/1000,0)</f>
        <v>25.692428251315185</v>
      </c>
      <c r="H3453" s="774">
        <f>IFERROR(CR!H903/1000,0)</f>
        <v>16.63289598383254</v>
      </c>
      <c r="I3453" s="774">
        <f>IFERROR(CR!I903/1000,0)</f>
        <v>12.081362534568898</v>
      </c>
      <c r="J3453" s="774">
        <f>IFERROR(CR!J903/1000,0)</f>
        <v>5.0534203491185581</v>
      </c>
      <c r="K3453" s="1700">
        <f t="shared" ref="K3453:R3453" si="1134">C3453/C12*100000</f>
        <v>27.499049139040679</v>
      </c>
      <c r="L3453" s="679">
        <f t="shared" si="1134"/>
        <v>19.472654233526004</v>
      </c>
      <c r="M3453" s="679">
        <f t="shared" si="1134"/>
        <v>13.662298686671598</v>
      </c>
      <c r="N3453" s="679">
        <f t="shared" si="1134"/>
        <v>32.63881474683302</v>
      </c>
      <c r="O3453" s="679">
        <f t="shared" si="1134"/>
        <v>41.160461953041846</v>
      </c>
      <c r="P3453" s="679">
        <f t="shared" si="1134"/>
        <v>25.820393442253476</v>
      </c>
      <c r="Q3453" s="679">
        <f t="shared" si="1134"/>
        <v>19.362519873803787</v>
      </c>
      <c r="R3453" s="680">
        <f t="shared" si="1134"/>
        <v>7.820662453664033</v>
      </c>
    </row>
    <row r="3454" spans="2:18" s="57" customFormat="1" ht="25">
      <c r="B3454" s="766" t="s">
        <v>1697</v>
      </c>
      <c r="C3454" s="1760">
        <f>IFERROR(CR!C918/1000,0)</f>
        <v>24.219814334415386</v>
      </c>
      <c r="D3454" s="774">
        <f>IFERROR(CR!D918/1000,0)</f>
        <v>23.054503483119369</v>
      </c>
      <c r="E3454" s="774">
        <f>IFERROR(CR!E918/1000,0)</f>
        <v>20.167591690914481</v>
      </c>
      <c r="F3454" s="774">
        <f>IFERROR(CR!F918/1000,0)</f>
        <v>32.324017618770149</v>
      </c>
      <c r="G3454" s="774">
        <f>IFERROR(CR!G918/1000,0)</f>
        <v>39.151317649837644</v>
      </c>
      <c r="H3454" s="774">
        <f>IFERROR(CR!H918/1000,0)</f>
        <v>30.147321494384755</v>
      </c>
      <c r="I3454" s="774">
        <f>IFERROR(CR!I918/1000,0)</f>
        <v>22.575533557062204</v>
      </c>
      <c r="J3454" s="774">
        <f>IFERROR(CR!J918/1000,0)</f>
        <v>32.141779665523572</v>
      </c>
      <c r="K3454" s="1700">
        <f t="shared" ref="K3454:R3454" si="1135">C3454/C12*100000</f>
        <v>46.561979822541907</v>
      </c>
      <c r="L3454" s="679">
        <f t="shared" si="1135"/>
        <v>40.846476614532548</v>
      </c>
      <c r="M3454" s="679">
        <f t="shared" si="1135"/>
        <v>34.271272471598252</v>
      </c>
      <c r="N3454" s="679">
        <f t="shared" si="1135"/>
        <v>53.414055666942332</v>
      </c>
      <c r="O3454" s="679">
        <f t="shared" si="1135"/>
        <v>62.722227139239237</v>
      </c>
      <c r="P3454" s="679">
        <f t="shared" si="1135"/>
        <v>46.799769743750751</v>
      </c>
      <c r="Q3454" s="679">
        <f t="shared" si="1135"/>
        <v>36.181284677915599</v>
      </c>
      <c r="R3454" s="680">
        <f t="shared" si="1135"/>
        <v>49.742549017903777</v>
      </c>
    </row>
    <row r="3455" spans="2:18" s="57" customFormat="1" ht="12.5">
      <c r="B3455" s="710"/>
      <c r="C3455" s="1700"/>
      <c r="D3455" s="679"/>
      <c r="E3455" s="679"/>
      <c r="F3455" s="679"/>
      <c r="G3455" s="679"/>
      <c r="H3455" s="679"/>
      <c r="I3455" s="679"/>
      <c r="J3455" s="679"/>
      <c r="K3455" s="1700"/>
      <c r="L3455" s="679"/>
      <c r="M3455" s="679"/>
      <c r="N3455" s="679"/>
      <c r="O3455" s="679"/>
      <c r="P3455" s="679"/>
      <c r="Q3455" s="679"/>
      <c r="R3455" s="680"/>
    </row>
    <row r="3456" spans="2:18" s="57" customFormat="1" ht="13">
      <c r="B3456" s="708" t="s">
        <v>1061</v>
      </c>
      <c r="C3456" s="1700"/>
      <c r="D3456" s="679"/>
      <c r="E3456" s="679"/>
      <c r="F3456" s="679"/>
      <c r="G3456" s="679"/>
      <c r="H3456" s="679"/>
      <c r="I3456" s="679"/>
      <c r="J3456" s="679"/>
      <c r="K3456" s="1700"/>
      <c r="L3456" s="679"/>
      <c r="M3456" s="679"/>
      <c r="N3456" s="679"/>
      <c r="O3456" s="679"/>
      <c r="P3456" s="679"/>
      <c r="Q3456" s="679"/>
      <c r="R3456" s="680"/>
    </row>
    <row r="3457" spans="2:18" s="57" customFormat="1" ht="12.5">
      <c r="B3457" s="700" t="s">
        <v>486</v>
      </c>
      <c r="C3457" s="1760">
        <f>IFERROR(CW!C700/1000,0)</f>
        <v>0</v>
      </c>
      <c r="D3457" s="774">
        <f>IFERROR(CW!D700/1000,0)</f>
        <v>0</v>
      </c>
      <c r="E3457" s="774">
        <f>IFERROR(CW!E700/1000,0)</f>
        <v>0</v>
      </c>
      <c r="F3457" s="774">
        <f>IFERROR(CW!F700/1000,0)</f>
        <v>0</v>
      </c>
      <c r="G3457" s="774">
        <f>IFERROR(CW!G700/1000,0)</f>
        <v>0</v>
      </c>
      <c r="H3457" s="774">
        <f>IFERROR(CW!H700/1000,0)</f>
        <v>0</v>
      </c>
      <c r="I3457" s="774">
        <f>IFERROR(CW!I700/1000,0)</f>
        <v>0</v>
      </c>
      <c r="J3457" s="774">
        <f>IFERROR(CW!J700/1000,0)</f>
        <v>0</v>
      </c>
      <c r="K3457" s="1700">
        <f>C3457/K15*100000</f>
        <v>0</v>
      </c>
      <c r="L3457" s="679">
        <f t="shared" ref="L3457:R3457" si="1136">D3457/L15*100000</f>
        <v>0</v>
      </c>
      <c r="M3457" s="679">
        <f t="shared" si="1136"/>
        <v>0</v>
      </c>
      <c r="N3457" s="679">
        <f t="shared" si="1136"/>
        <v>0</v>
      </c>
      <c r="O3457" s="679">
        <f t="shared" si="1136"/>
        <v>0</v>
      </c>
      <c r="P3457" s="679">
        <f t="shared" si="1136"/>
        <v>0</v>
      </c>
      <c r="Q3457" s="679">
        <f t="shared" si="1136"/>
        <v>0</v>
      </c>
      <c r="R3457" s="680">
        <f t="shared" si="1136"/>
        <v>0</v>
      </c>
    </row>
    <row r="3458" spans="2:18" s="57" customFormat="1" ht="12.5">
      <c r="B3458" s="710"/>
      <c r="C3458" s="1700"/>
      <c r="D3458" s="679"/>
      <c r="E3458" s="679"/>
      <c r="F3458" s="679"/>
      <c r="G3458" s="679"/>
      <c r="H3458" s="679"/>
      <c r="I3458" s="679"/>
      <c r="J3458" s="679"/>
      <c r="K3458" s="1700"/>
      <c r="L3458" s="679"/>
      <c r="M3458" s="679"/>
      <c r="N3458" s="679"/>
      <c r="O3458" s="679"/>
      <c r="P3458" s="679"/>
      <c r="Q3458" s="679"/>
      <c r="R3458" s="680"/>
    </row>
    <row r="3459" spans="2:18" s="57" customFormat="1" ht="13">
      <c r="B3459" s="708" t="s">
        <v>1047</v>
      </c>
      <c r="C3459" s="1700"/>
      <c r="D3459" s="679"/>
      <c r="E3459" s="679"/>
      <c r="F3459" s="679"/>
      <c r="G3459" s="679"/>
      <c r="H3459" s="679"/>
      <c r="I3459" s="679"/>
      <c r="J3459" s="679"/>
      <c r="K3459" s="1760"/>
      <c r="L3459" s="774"/>
      <c r="M3459" s="774"/>
      <c r="N3459" s="774"/>
      <c r="O3459" s="774"/>
      <c r="P3459" s="774"/>
      <c r="Q3459" s="774"/>
      <c r="R3459" s="775"/>
    </row>
    <row r="3460" spans="2:18" s="57" customFormat="1" ht="12.5">
      <c r="B3460" s="700" t="s">
        <v>503</v>
      </c>
      <c r="C3460" s="1760">
        <f>IFERROR(EC!C737/1000,0)</f>
        <v>4.38626</v>
      </c>
      <c r="D3460" s="774">
        <f>IFERROR(EC!D737/1000,0)</f>
        <v>3.2660800000000001</v>
      </c>
      <c r="E3460" s="774">
        <f>IFERROR(EC!E737/1000,0)</f>
        <v>6.6918109999999995</v>
      </c>
      <c r="F3460" s="774">
        <f>IFERROR(EC!F737/1000,0)</f>
        <v>4.9184180779999993</v>
      </c>
      <c r="G3460" s="774">
        <f>IFERROR(EC!G737/1000,0)</f>
        <v>5.244955</v>
      </c>
      <c r="H3460" s="774">
        <f>IFERROR(EC!H737/1000,0)</f>
        <v>9.3084150000000001</v>
      </c>
      <c r="I3460" s="774">
        <f>IFERROR(EC!I737/1000,0)</f>
        <v>9.8722900000000013</v>
      </c>
      <c r="J3460" s="774">
        <f>IFERROR(EC!J737/1000,0)</f>
        <v>23.749425000000002</v>
      </c>
      <c r="K3460" s="1700">
        <f>C3460/C15*100000</f>
        <v>99.606231265328347</v>
      </c>
      <c r="L3460" s="679">
        <f t="shared" ref="L3460:R3460" si="1137">D3460/D15*100000</f>
        <v>25.252675202573144</v>
      </c>
      <c r="M3460" s="679">
        <f t="shared" si="1137"/>
        <v>151.51142425277322</v>
      </c>
      <c r="N3460" s="679">
        <f t="shared" si="1137"/>
        <v>114.4085710523443</v>
      </c>
      <c r="O3460" s="679">
        <f t="shared" si="1137"/>
        <v>122.52379946253004</v>
      </c>
      <c r="P3460" s="679">
        <f t="shared" si="1137"/>
        <v>208.84042748880151</v>
      </c>
      <c r="Q3460" s="679">
        <f t="shared" si="1137"/>
        <v>263.11136854709605</v>
      </c>
      <c r="R3460" s="680">
        <f t="shared" si="1137"/>
        <v>579.61853789103623</v>
      </c>
    </row>
    <row r="3461" spans="2:18" s="57" customFormat="1" ht="12.5">
      <c r="B3461" s="1752"/>
      <c r="C3461" s="1700"/>
      <c r="D3461" s="679"/>
      <c r="E3461" s="679"/>
      <c r="F3461" s="679"/>
      <c r="G3461" s="679"/>
      <c r="H3461" s="679"/>
      <c r="I3461" s="679"/>
      <c r="J3461" s="679"/>
      <c r="K3461" s="1760"/>
      <c r="L3461" s="774"/>
      <c r="M3461" s="774"/>
      <c r="N3461" s="774"/>
      <c r="O3461" s="774"/>
      <c r="P3461" s="774"/>
      <c r="Q3461" s="774"/>
      <c r="R3461" s="775"/>
    </row>
    <row r="3462" spans="2:18" s="57" customFormat="1" ht="13">
      <c r="B3462" s="708" t="s">
        <v>1048</v>
      </c>
      <c r="C3462" s="1700"/>
      <c r="D3462" s="679"/>
      <c r="E3462" s="679"/>
      <c r="F3462" s="679"/>
      <c r="G3462" s="679"/>
      <c r="H3462" s="679"/>
      <c r="I3462" s="679"/>
      <c r="J3462" s="679"/>
      <c r="K3462" s="1700"/>
      <c r="L3462" s="679"/>
      <c r="M3462" s="679"/>
      <c r="N3462" s="679"/>
      <c r="O3462" s="679"/>
      <c r="P3462" s="679"/>
      <c r="Q3462" s="679"/>
      <c r="R3462" s="680"/>
    </row>
    <row r="3463" spans="2:18" s="57" customFormat="1" ht="12.5">
      <c r="B3463" s="700" t="s">
        <v>503</v>
      </c>
      <c r="C3463" s="1760">
        <f>IFERROR(SV!C702/1000,0)</f>
        <v>5.5449999999999999</v>
      </c>
      <c r="D3463" s="774">
        <f>IFERROR(SV!D702/1000,0)</f>
        <v>7.1580000000000004</v>
      </c>
      <c r="E3463" s="774">
        <f>IFERROR(SV!E702/1000,0)</f>
        <v>8.4079999999999995</v>
      </c>
      <c r="F3463" s="774">
        <f>IFERROR(SV!F702/1000,0)</f>
        <v>4.6920000000000002</v>
      </c>
      <c r="G3463" s="774">
        <f>IFERROR(SV!G702/1000,0)</f>
        <v>6.415</v>
      </c>
      <c r="H3463" s="774">
        <f>IFERROR(SV!H702/1000,0)</f>
        <v>6.8280000000000003</v>
      </c>
      <c r="I3463" s="774">
        <f>IFERROR(SV!I702/1000,0)</f>
        <v>3.528</v>
      </c>
      <c r="J3463" s="774">
        <f>IFERROR(SV!J702/1000,0)</f>
        <v>2.8645969999999998</v>
      </c>
      <c r="K3463" s="1700">
        <f t="shared" ref="K3463:R3463" si="1138">C3463/C17*100000</f>
        <v>24.542489489219669</v>
      </c>
      <c r="L3463" s="679">
        <f t="shared" si="1138"/>
        <v>30.539835755585745</v>
      </c>
      <c r="M3463" s="679">
        <f t="shared" si="1138"/>
        <v>34.756109911650526</v>
      </c>
      <c r="N3463" s="679">
        <f t="shared" si="1138"/>
        <v>18.783635498188694</v>
      </c>
      <c r="O3463" s="679">
        <f t="shared" si="1138"/>
        <v>24.653306867377506</v>
      </c>
      <c r="P3463" s="679">
        <f t="shared" si="1138"/>
        <v>25.386051651022843</v>
      </c>
      <c r="Q3463" s="679">
        <f t="shared" si="1138"/>
        <v>14.318925658475765</v>
      </c>
      <c r="R3463" s="680">
        <f t="shared" si="1138"/>
        <v>9.9683438807333005</v>
      </c>
    </row>
    <row r="3464" spans="2:18" s="57" customFormat="1" ht="12.5">
      <c r="B3464" s="700"/>
      <c r="C3464" s="1700"/>
      <c r="D3464" s="679"/>
      <c r="E3464" s="679"/>
      <c r="F3464" s="679"/>
      <c r="G3464" s="679"/>
      <c r="H3464" s="679"/>
      <c r="I3464" s="679"/>
      <c r="J3464" s="679"/>
      <c r="K3464" s="1700"/>
      <c r="L3464" s="679"/>
      <c r="M3464" s="679"/>
      <c r="N3464" s="679"/>
      <c r="O3464" s="679"/>
      <c r="P3464" s="679"/>
      <c r="Q3464" s="679"/>
      <c r="R3464" s="680"/>
    </row>
    <row r="3465" spans="2:18" s="57" customFormat="1" ht="13">
      <c r="B3465" s="708" t="s">
        <v>1049</v>
      </c>
      <c r="C3465" s="1700"/>
      <c r="D3465" s="679"/>
      <c r="E3465" s="679"/>
      <c r="F3465" s="679"/>
      <c r="G3465" s="679"/>
      <c r="H3465" s="679"/>
      <c r="I3465" s="679"/>
      <c r="J3465" s="679"/>
      <c r="K3465" s="1700"/>
      <c r="L3465" s="679"/>
      <c r="M3465" s="679"/>
      <c r="N3465" s="679"/>
      <c r="O3465" s="679"/>
      <c r="P3465" s="679"/>
      <c r="Q3465" s="679"/>
      <c r="R3465" s="680"/>
    </row>
    <row r="3466" spans="2:18" s="57" customFormat="1" ht="12.5">
      <c r="B3466" s="704" t="s">
        <v>1301</v>
      </c>
      <c r="C3466" s="1760">
        <f>IFERROR(GT!C963/1000,0)</f>
        <v>75.107672000000008</v>
      </c>
      <c r="D3466" s="774">
        <f>IFERROR(GT!D963/1000,0)</f>
        <v>128.08449000000002</v>
      </c>
      <c r="E3466" s="774">
        <f>IFERROR(GT!E963/1000,0)</f>
        <v>70.592403000000004</v>
      </c>
      <c r="F3466" s="774">
        <f>IFERROR(GT!F963/1000,0)</f>
        <v>80.791663999999997</v>
      </c>
      <c r="G3466" s="774">
        <f>IFERROR(GT!G963/1000,0)</f>
        <v>74.637376999999987</v>
      </c>
      <c r="H3466" s="774">
        <f>IFERROR(GT!H963/1000,0)</f>
        <v>73.331357999999994</v>
      </c>
      <c r="I3466" s="774">
        <f>IFERROR(GT!I963/1000,0)</f>
        <v>46.337790999999996</v>
      </c>
      <c r="J3466" s="774">
        <f>IFERROR(GT!J963/1000,0)</f>
        <v>82.025626000000003</v>
      </c>
      <c r="K3466" s="1700">
        <f t="shared" ref="K3466:R3466" si="1139">C3466/C18*100000</f>
        <v>129.8725457250539</v>
      </c>
      <c r="L3466" s="679">
        <f t="shared" si="1139"/>
        <v>205.99196231714376</v>
      </c>
      <c r="M3466" s="679">
        <f t="shared" si="1139"/>
        <v>106.90156578734504</v>
      </c>
      <c r="N3466" s="679">
        <f t="shared" si="1139"/>
        <v>112.79769220032796</v>
      </c>
      <c r="O3466" s="679">
        <f t="shared" si="1139"/>
        <v>101.78398521898404</v>
      </c>
      <c r="P3466" s="679">
        <f t="shared" si="1139"/>
        <v>95.04558558758697</v>
      </c>
      <c r="Q3466" s="679">
        <f t="shared" si="1139"/>
        <v>59.698062078122383</v>
      </c>
      <c r="R3466" s="680">
        <f t="shared" si="1139"/>
        <v>95.411336564611375</v>
      </c>
    </row>
    <row r="3467" spans="2:18" s="57" customFormat="1" ht="12.5">
      <c r="B3467" s="704"/>
      <c r="C3467" s="1700"/>
      <c r="D3467" s="679"/>
      <c r="E3467" s="679"/>
      <c r="F3467" s="679"/>
      <c r="G3467" s="679"/>
      <c r="H3467" s="679"/>
      <c r="I3467" s="679"/>
      <c r="J3467" s="679"/>
      <c r="K3467" s="1700"/>
      <c r="L3467" s="679"/>
      <c r="M3467" s="679"/>
      <c r="N3467" s="679"/>
      <c r="O3467" s="679"/>
      <c r="P3467" s="679"/>
      <c r="Q3467" s="679"/>
      <c r="R3467" s="680"/>
    </row>
    <row r="3468" spans="2:18" s="57" customFormat="1" ht="13">
      <c r="B3468" s="708" t="s">
        <v>1050</v>
      </c>
      <c r="C3468" s="1700"/>
      <c r="D3468" s="679"/>
      <c r="E3468" s="679"/>
      <c r="F3468" s="679"/>
      <c r="G3468" s="679"/>
      <c r="H3468" s="679"/>
      <c r="I3468" s="679"/>
      <c r="J3468" s="679"/>
      <c r="K3468" s="1700"/>
      <c r="L3468" s="679"/>
      <c r="M3468" s="679"/>
      <c r="N3468" s="679"/>
      <c r="O3468" s="679"/>
      <c r="P3468" s="679"/>
      <c r="Q3468" s="679"/>
      <c r="R3468" s="680"/>
    </row>
    <row r="3469" spans="2:18" s="57" customFormat="1" ht="12.5">
      <c r="B3469" s="700" t="s">
        <v>1355</v>
      </c>
      <c r="C3469" s="1760">
        <f>IFERROR(HN!C830/1000,0)</f>
        <v>11.45709480371713</v>
      </c>
      <c r="D3469" s="774">
        <f>IFERROR(HN!D830/1000,0)</f>
        <v>16.568285809447389</v>
      </c>
      <c r="E3469" s="774">
        <f>IFERROR(HN!E830/1000,0)</f>
        <v>72.727050280238132</v>
      </c>
      <c r="F3469" s="774">
        <f>IFERROR(HN!F830/1000,0)</f>
        <v>71.023239361300739</v>
      </c>
      <c r="G3469" s="774">
        <f>IFERROR(HN!G830/1000,0)</f>
        <v>66.074308311397459</v>
      </c>
      <c r="H3469" s="774">
        <f>IFERROR(HN!H830/1000,0)</f>
        <v>54.523598458427756</v>
      </c>
      <c r="I3469" s="774">
        <f>IFERROR(HN!I830/1000,0)</f>
        <v>38.822675250846871</v>
      </c>
      <c r="J3469" s="774">
        <f>IFERROR(HN!J830/1000,0)</f>
        <v>110.24102857847036</v>
      </c>
      <c r="K3469" s="1700">
        <f t="shared" ref="K3469:R3469" si="1140">C3469/C19*100000</f>
        <v>58.094028293902937</v>
      </c>
      <c r="L3469" s="679">
        <f t="shared" si="1140"/>
        <v>80.492746318111827</v>
      </c>
      <c r="M3469" s="679">
        <f t="shared" si="1140"/>
        <v>337.22039276749018</v>
      </c>
      <c r="N3469" s="679">
        <f t="shared" si="1140"/>
        <v>309.12711155440803</v>
      </c>
      <c r="O3469" s="679">
        <f t="shared" si="1140"/>
        <v>276.45646809085378</v>
      </c>
      <c r="P3469" s="679">
        <f t="shared" si="1140"/>
        <v>218.83385744141046</v>
      </c>
      <c r="Q3469" s="679">
        <f t="shared" si="1140"/>
        <v>164.07021895277992</v>
      </c>
      <c r="R3469" s="680">
        <f t="shared" si="1140"/>
        <v>389.6723094281823</v>
      </c>
    </row>
    <row r="3470" spans="2:18" s="57" customFormat="1" ht="12.5">
      <c r="B3470" s="704"/>
      <c r="C3470" s="1700"/>
      <c r="D3470" s="679"/>
      <c r="E3470" s="679"/>
      <c r="F3470" s="679"/>
      <c r="G3470" s="679"/>
      <c r="H3470" s="679"/>
      <c r="I3470" s="679"/>
      <c r="J3470" s="679"/>
      <c r="K3470" s="1700"/>
      <c r="L3470" s="679"/>
      <c r="M3470" s="679"/>
      <c r="N3470" s="679"/>
      <c r="O3470" s="679"/>
      <c r="P3470" s="679"/>
      <c r="Q3470" s="679"/>
      <c r="R3470" s="680"/>
    </row>
    <row r="3471" spans="2:18" s="57" customFormat="1" ht="13">
      <c r="B3471" s="708" t="s">
        <v>1051</v>
      </c>
      <c r="C3471" s="1761"/>
      <c r="D3471" s="777"/>
      <c r="E3471" s="777"/>
      <c r="F3471" s="777"/>
      <c r="G3471" s="777"/>
      <c r="H3471" s="777"/>
      <c r="I3471" s="777"/>
      <c r="J3471" s="777"/>
      <c r="K3471" s="1700"/>
      <c r="L3471" s="679"/>
      <c r="M3471" s="679"/>
      <c r="N3471" s="679"/>
      <c r="O3471" s="679"/>
      <c r="P3471" s="679"/>
      <c r="Q3471" s="679"/>
      <c r="R3471" s="680"/>
    </row>
    <row r="3472" spans="2:18" s="57" customFormat="1" ht="12.5">
      <c r="B3472" s="700" t="s">
        <v>1355</v>
      </c>
      <c r="C3472" s="1760">
        <f>IFERROR(JM!C949/1000,0)</f>
        <v>29.554275537628406</v>
      </c>
      <c r="D3472" s="774">
        <f>IFERROR(JM!D949/1000,0)</f>
        <v>15.937897627702592</v>
      </c>
      <c r="E3472" s="774">
        <f>IFERROR(JM!E949/1000,0)</f>
        <v>4.6297575113306815</v>
      </c>
      <c r="F3472" s="774">
        <f>IFERROR(JM!F949/1000,0)</f>
        <v>6.6205374378261901</v>
      </c>
      <c r="G3472" s="774">
        <f>IFERROR(JM!G949/1000,0)</f>
        <v>7.7847118048584276</v>
      </c>
      <c r="H3472" s="774">
        <f>IFERROR(JM!H949/1000,0)</f>
        <v>5.685827688168728</v>
      </c>
      <c r="I3472" s="774">
        <f>IFERROR(JM!I949/1000,0)</f>
        <v>5.0919435774732857</v>
      </c>
      <c r="J3472" s="774">
        <f>IFERROR(JM!J949/1000,0)</f>
        <v>6.0609752894479776</v>
      </c>
      <c r="K3472" s="1700">
        <f t="shared" ref="K3472:R3472" si="1141">C3472/C20*100000</f>
        <v>219.77467422011344</v>
      </c>
      <c r="L3472" s="679">
        <f t="shared" si="1141"/>
        <v>115.63464576469489</v>
      </c>
      <c r="M3472" s="679">
        <f t="shared" si="1141"/>
        <v>33.768093956226757</v>
      </c>
      <c r="N3472" s="679">
        <f t="shared" si="1141"/>
        <v>43.670653754616936</v>
      </c>
      <c r="O3472" s="679">
        <f t="shared" si="1141"/>
        <v>49.04344917543316</v>
      </c>
      <c r="P3472" s="679">
        <f t="shared" si="1141"/>
        <v>35.716113880761142</v>
      </c>
      <c r="Q3472" s="679">
        <f t="shared" si="1141"/>
        <v>36.928755084119402</v>
      </c>
      <c r="R3472" s="680">
        <f t="shared" si="1141"/>
        <v>42.528975515388638</v>
      </c>
    </row>
    <row r="3473" spans="2:18" s="57" customFormat="1" ht="12.5">
      <c r="B3473" s="700" t="s">
        <v>1318</v>
      </c>
      <c r="C3473" s="1760">
        <f>IFERROR(JM!C966/1000,0)</f>
        <v>0.13349822563441527</v>
      </c>
      <c r="D3473" s="774">
        <f>IFERROR(JM!D966/1000,0)</f>
        <v>0.59913715068720674</v>
      </c>
      <c r="E3473" s="774">
        <f>IFERROR(JM!E966/1000,0)</f>
        <v>0.43350300995636881</v>
      </c>
      <c r="F3473" s="774">
        <f>IFERROR(JM!F966/1000,0)</f>
        <v>0.46651050716637704</v>
      </c>
      <c r="G3473" s="774">
        <f>IFERROR(JM!G966/1000,0)</f>
        <v>0.63509562608345682</v>
      </c>
      <c r="H3473" s="774">
        <f>IFERROR(JM!H966/1000,0)</f>
        <v>0.87573474945122931</v>
      </c>
      <c r="I3473" s="774">
        <f>IFERROR(JM!I966/1000,0)</f>
        <v>0.4438297278710796</v>
      </c>
      <c r="J3473" s="774">
        <f>IFERROR(JM!J966/1000,0)</f>
        <v>0.73918457802612458</v>
      </c>
      <c r="K3473" s="1700">
        <f t="shared" ref="K3473:R3473" si="1142">C3473/C20*100000</f>
        <v>0.9927338266306619</v>
      </c>
      <c r="L3473" s="679">
        <f t="shared" si="1142"/>
        <v>4.3469354492378223</v>
      </c>
      <c r="M3473" s="679">
        <f t="shared" si="1142"/>
        <v>3.1618438621651173</v>
      </c>
      <c r="N3473" s="679">
        <f t="shared" si="1142"/>
        <v>3.0772152597392264</v>
      </c>
      <c r="O3473" s="679">
        <f t="shared" si="1142"/>
        <v>4.0010832565342938</v>
      </c>
      <c r="P3473" s="679">
        <f t="shared" si="1142"/>
        <v>5.5010182784511699</v>
      </c>
      <c r="Q3473" s="679">
        <f t="shared" si="1142"/>
        <v>3.218825792200847</v>
      </c>
      <c r="R3473" s="680">
        <f t="shared" si="1142"/>
        <v>5.1867498742251321</v>
      </c>
    </row>
    <row r="3474" spans="2:18" s="57" customFormat="1" ht="12.5">
      <c r="B3474" s="700"/>
      <c r="C3474" s="1761"/>
      <c r="D3474" s="777"/>
      <c r="E3474" s="777"/>
      <c r="F3474" s="777"/>
      <c r="G3474" s="777"/>
      <c r="H3474" s="835"/>
      <c r="I3474" s="835"/>
      <c r="J3474" s="835"/>
      <c r="K3474" s="1760"/>
      <c r="L3474" s="774"/>
      <c r="M3474" s="774"/>
      <c r="N3474" s="774"/>
      <c r="O3474" s="774"/>
      <c r="P3474" s="774"/>
      <c r="Q3474" s="774"/>
      <c r="R3474" s="775"/>
    </row>
    <row r="3475" spans="2:18" s="57" customFormat="1" ht="13">
      <c r="B3475" s="708" t="s">
        <v>1052</v>
      </c>
      <c r="C3475" s="1700"/>
      <c r="D3475" s="679"/>
      <c r="E3475" s="679"/>
      <c r="F3475" s="679"/>
      <c r="G3475" s="679"/>
      <c r="H3475" s="679"/>
      <c r="I3475" s="679"/>
      <c r="J3475" s="679"/>
      <c r="K3475" s="1700"/>
      <c r="L3475" s="679"/>
      <c r="M3475" s="679"/>
      <c r="N3475" s="679"/>
      <c r="O3475" s="679"/>
      <c r="P3475" s="679"/>
      <c r="Q3475" s="679"/>
      <c r="R3475" s="680"/>
    </row>
    <row r="3476" spans="2:18" s="57" customFormat="1" ht="12.5">
      <c r="B3476" s="706" t="s">
        <v>700</v>
      </c>
      <c r="C3476" s="1760">
        <f>IFERROR(RD!C817/1000,0)</f>
        <v>0</v>
      </c>
      <c r="D3476" s="774">
        <f>IFERROR(RD!D817/1000,0)</f>
        <v>0</v>
      </c>
      <c r="E3476" s="774">
        <f>IFERROR(RD!E817/1000,0)</f>
        <v>0</v>
      </c>
      <c r="F3476" s="774">
        <f>IFERROR(RD!F817/1000,0)</f>
        <v>0</v>
      </c>
      <c r="G3476" s="774">
        <f>IFERROR(RD!G817/1000,0)</f>
        <v>0</v>
      </c>
      <c r="H3476" s="774">
        <f>IFERROR(RD!H817/1000,0)</f>
        <v>0</v>
      </c>
      <c r="I3476" s="774">
        <f>IFERROR(RD!I817/1000,0)</f>
        <v>0</v>
      </c>
      <c r="J3476" s="774">
        <f>IFERROR(RD!J817/1000,0)</f>
        <v>0</v>
      </c>
      <c r="K3476" s="1700">
        <f t="shared" ref="K3476:R3476" si="1143">C3476/C21*100000</f>
        <v>0</v>
      </c>
      <c r="L3476" s="679">
        <f t="shared" si="1143"/>
        <v>0</v>
      </c>
      <c r="M3476" s="679">
        <f t="shared" si="1143"/>
        <v>0</v>
      </c>
      <c r="N3476" s="679">
        <f t="shared" si="1143"/>
        <v>0</v>
      </c>
      <c r="O3476" s="679">
        <f t="shared" si="1143"/>
        <v>0</v>
      </c>
      <c r="P3476" s="679">
        <f t="shared" si="1143"/>
        <v>0</v>
      </c>
      <c r="Q3476" s="679">
        <f t="shared" si="1143"/>
        <v>0</v>
      </c>
      <c r="R3476" s="680">
        <f t="shared" si="1143"/>
        <v>0</v>
      </c>
    </row>
    <row r="3477" spans="2:18" s="57" customFormat="1" ht="12.5">
      <c r="B3477" s="1753"/>
      <c r="C3477" s="1761"/>
      <c r="D3477" s="777"/>
      <c r="E3477" s="777"/>
      <c r="F3477" s="777"/>
      <c r="G3477" s="777"/>
      <c r="H3477" s="835"/>
      <c r="I3477" s="835"/>
      <c r="J3477" s="835"/>
      <c r="K3477" s="1760"/>
      <c r="L3477" s="774"/>
      <c r="M3477" s="774"/>
      <c r="N3477" s="774"/>
      <c r="O3477" s="774"/>
      <c r="P3477" s="774"/>
      <c r="Q3477" s="774"/>
      <c r="R3477" s="775"/>
    </row>
    <row r="3478" spans="2:18" s="57" customFormat="1" ht="13">
      <c r="B3478" s="708" t="s">
        <v>1053</v>
      </c>
      <c r="C3478" s="1700"/>
      <c r="D3478" s="679"/>
      <c r="E3478" s="679"/>
      <c r="F3478" s="679"/>
      <c r="G3478" s="679"/>
      <c r="H3478" s="835"/>
      <c r="I3478" s="835"/>
      <c r="J3478" s="835"/>
      <c r="K3478" s="1700"/>
      <c r="L3478" s="679"/>
      <c r="M3478" s="679"/>
      <c r="N3478" s="679"/>
      <c r="O3478" s="679"/>
      <c r="P3478" s="835"/>
      <c r="Q3478" s="835"/>
      <c r="R3478" s="836"/>
    </row>
    <row r="3479" spans="2:18" s="57" customFormat="1" ht="12.5">
      <c r="B3479" s="704" t="s">
        <v>1396</v>
      </c>
      <c r="C3479" s="1760">
        <f>IFERROR(PY!C1240/1000,0)</f>
        <v>0.12546966533977913</v>
      </c>
      <c r="D3479" s="774">
        <f>IFERROR(PY!D1240/1000,0)</f>
        <v>0.15294772831898534</v>
      </c>
      <c r="E3479" s="774">
        <f>IFERROR(PY!E1240/1000,0)</f>
        <v>0.14665033346471665</v>
      </c>
      <c r="F3479" s="774">
        <f>IFERROR(PY!F1240/1000,0)</f>
        <v>0.14801334057351562</v>
      </c>
      <c r="G3479" s="774">
        <f>IFERROR(PY!G1240/1000,0)</f>
        <v>0.34840792330381498</v>
      </c>
      <c r="H3479" s="774">
        <f>IFERROR(PY!H1240/1000,0)</f>
        <v>0.21724593431258565</v>
      </c>
      <c r="I3479" s="774">
        <f>IFERROR(PY!I1240/1000,0)</f>
        <v>0.25501221713416794</v>
      </c>
      <c r="J3479" s="774">
        <f>IFERROR(PY!J1240/1000,0)</f>
        <v>0.43179341517704739</v>
      </c>
      <c r="K3479" s="1700">
        <f t="shared" ref="K3479:R3479" si="1144">C3479/C22*100000</f>
        <v>0.3231659695320942</v>
      </c>
      <c r="L3479" s="679">
        <f t="shared" si="1144"/>
        <v>0.47065608061506076</v>
      </c>
      <c r="M3479" s="679">
        <f t="shared" si="1144"/>
        <v>0.41270669640942181</v>
      </c>
      <c r="N3479" s="679">
        <f t="shared" si="1144"/>
        <v>0.37691740453915362</v>
      </c>
      <c r="O3479" s="679">
        <f t="shared" si="1144"/>
        <v>0.90059490143198762</v>
      </c>
      <c r="P3479" s="679">
        <f t="shared" si="1144"/>
        <v>0.59161749245567385</v>
      </c>
      <c r="Q3479" s="679">
        <f t="shared" si="1144"/>
        <v>0.72767573656551721</v>
      </c>
      <c r="R3479" s="680">
        <f t="shared" si="1144"/>
        <v>1.1683606689474826</v>
      </c>
    </row>
    <row r="3480" spans="2:18" s="57" customFormat="1" ht="12.5">
      <c r="B3480" s="704" t="s">
        <v>1319</v>
      </c>
      <c r="C3480" s="1760">
        <f>IFERROR(PY!C1257/1000,0)</f>
        <v>0</v>
      </c>
      <c r="D3480" s="774">
        <f>IFERROR(PY!D1257/1000,0)</f>
        <v>0</v>
      </c>
      <c r="E3480" s="774">
        <f>IFERROR(PY!E1257/1000,0)</f>
        <v>0</v>
      </c>
      <c r="F3480" s="774">
        <f>IFERROR(PY!F1257/1000,0)</f>
        <v>0</v>
      </c>
      <c r="G3480" s="774">
        <f>IFERROR(PY!G1257/1000,0)</f>
        <v>0</v>
      </c>
      <c r="H3480" s="774">
        <f>IFERROR(PY!H1257/1000,0)</f>
        <v>0</v>
      </c>
      <c r="I3480" s="774">
        <f>IFERROR(PY!I1257/1000,0)</f>
        <v>0</v>
      </c>
      <c r="J3480" s="774">
        <f>IFERROR(PY!J1257/1000,0)</f>
        <v>0</v>
      </c>
      <c r="K3480" s="1700">
        <f t="shared" ref="K3480:R3480" si="1145">C3480/C22*100000</f>
        <v>0</v>
      </c>
      <c r="L3480" s="679">
        <f t="shared" si="1145"/>
        <v>0</v>
      </c>
      <c r="M3480" s="679">
        <f t="shared" si="1145"/>
        <v>0</v>
      </c>
      <c r="N3480" s="679">
        <f t="shared" si="1145"/>
        <v>0</v>
      </c>
      <c r="O3480" s="679">
        <f t="shared" si="1145"/>
        <v>0</v>
      </c>
      <c r="P3480" s="679">
        <f t="shared" si="1145"/>
        <v>0</v>
      </c>
      <c r="Q3480" s="679">
        <f t="shared" si="1145"/>
        <v>0</v>
      </c>
      <c r="R3480" s="680">
        <f t="shared" si="1145"/>
        <v>0</v>
      </c>
    </row>
    <row r="3481" spans="2:18" s="57" customFormat="1" ht="12.5">
      <c r="B3481" s="704"/>
      <c r="C3481" s="1761"/>
      <c r="D3481" s="777"/>
      <c r="E3481" s="777"/>
      <c r="F3481" s="777"/>
      <c r="G3481" s="777"/>
      <c r="H3481" s="835"/>
      <c r="I3481" s="835"/>
      <c r="J3481" s="835"/>
      <c r="K3481" s="1760"/>
      <c r="L3481" s="774"/>
      <c r="M3481" s="774"/>
      <c r="N3481" s="774"/>
      <c r="O3481" s="774"/>
      <c r="P3481" s="774"/>
      <c r="Q3481" s="774"/>
      <c r="R3481" s="775"/>
    </row>
    <row r="3482" spans="2:18" s="57" customFormat="1" ht="13">
      <c r="B3482" s="708" t="s">
        <v>1054</v>
      </c>
      <c r="C3482" s="1761"/>
      <c r="D3482" s="777"/>
      <c r="E3482" s="777"/>
      <c r="F3482" s="777"/>
      <c r="G3482" s="777"/>
      <c r="H3482" s="835"/>
      <c r="I3482" s="835"/>
      <c r="J3482" s="835"/>
      <c r="K3482" s="1760"/>
      <c r="L3482" s="774"/>
      <c r="M3482" s="774"/>
      <c r="N3482" s="774"/>
      <c r="O3482" s="774"/>
      <c r="P3482" s="774"/>
      <c r="Q3482" s="774"/>
      <c r="R3482" s="775"/>
    </row>
    <row r="3483" spans="2:18" s="57" customFormat="1" ht="12.5">
      <c r="B3483" s="704" t="s">
        <v>1388</v>
      </c>
      <c r="C3483" s="1760">
        <f>IFERROR(PE!C738/1000,0)</f>
        <v>0.2235031825795645</v>
      </c>
      <c r="D3483" s="774">
        <f>IFERROR(PE!D738/1000,0)</f>
        <v>0.19592405805600349</v>
      </c>
      <c r="E3483" s="774">
        <f>IFERROR(PE!E738/1000,0)</f>
        <v>0.22054707985697261</v>
      </c>
      <c r="F3483" s="774">
        <f>IFERROR(PE!F738/1000,0)</f>
        <v>1.3186965910843746</v>
      </c>
      <c r="G3483" s="774">
        <f>IFERROR(PE!G738/1000,0)</f>
        <v>0.53747184350918775</v>
      </c>
      <c r="H3483" s="774">
        <f>IFERROR(PE!H738/1000,0)</f>
        <v>1.1950120700060349</v>
      </c>
      <c r="I3483" s="774">
        <f>IFERROR(PE!I738/1000,0)</f>
        <v>1.4105468102734051</v>
      </c>
      <c r="J3483" s="774">
        <f>IFERROR(PE!J738/1000,0)</f>
        <v>1.3242230026338893</v>
      </c>
      <c r="K3483" s="1700">
        <f t="shared" ref="K3483:R3483" si="1146">C3483/C23*100000</f>
        <v>0.11014517781774595</v>
      </c>
      <c r="L3483" s="679">
        <f t="shared" si="1146"/>
        <v>0.102024654816778</v>
      </c>
      <c r="M3483" s="679">
        <f t="shared" si="1146"/>
        <v>0.11267328059571667</v>
      </c>
      <c r="N3483" s="679">
        <f t="shared" si="1146"/>
        <v>0.61083245155454946</v>
      </c>
      <c r="O3483" s="679">
        <f t="shared" si="1146"/>
        <v>0.23692152616640472</v>
      </c>
      <c r="P3483" s="679">
        <f t="shared" si="1146"/>
        <v>0.51410148810787459</v>
      </c>
      <c r="Q3483" s="679">
        <f t="shared" si="1146"/>
        <v>0.68622183339202258</v>
      </c>
      <c r="R3483" s="680">
        <f t="shared" si="1146"/>
        <v>0.58630070060959116</v>
      </c>
    </row>
    <row r="3484" spans="2:18" s="57" customFormat="1" ht="12.5">
      <c r="B3484" s="704"/>
      <c r="C3484" s="1761"/>
      <c r="D3484" s="777"/>
      <c r="E3484" s="777"/>
      <c r="F3484" s="777"/>
      <c r="G3484" s="777"/>
      <c r="H3484" s="835"/>
      <c r="I3484" s="835"/>
      <c r="J3484" s="835"/>
      <c r="K3484" s="1760"/>
      <c r="L3484" s="774"/>
      <c r="M3484" s="774"/>
      <c r="N3484" s="774"/>
      <c r="O3484" s="774"/>
      <c r="P3484" s="774"/>
      <c r="Q3484" s="774"/>
      <c r="R3484" s="775"/>
    </row>
    <row r="3485" spans="2:18" s="57" customFormat="1" ht="13">
      <c r="B3485" s="708" t="s">
        <v>1055</v>
      </c>
      <c r="C3485" s="1700"/>
      <c r="D3485" s="679"/>
      <c r="E3485" s="679"/>
      <c r="F3485" s="679"/>
      <c r="G3485" s="679"/>
      <c r="H3485" s="835"/>
      <c r="I3485" s="835"/>
      <c r="J3485" s="835"/>
      <c r="K3485" s="1700"/>
      <c r="L3485" s="679"/>
      <c r="M3485" s="679"/>
      <c r="N3485" s="679"/>
      <c r="O3485" s="679"/>
      <c r="P3485" s="835"/>
      <c r="Q3485" s="835"/>
      <c r="R3485" s="836"/>
    </row>
    <row r="3486" spans="2:18" s="57" customFormat="1" ht="25">
      <c r="B3486" s="716" t="s">
        <v>1852</v>
      </c>
      <c r="C3486" s="1760">
        <f>IFERROR(TT!C908/1000,0)</f>
        <v>0.10822365051685799</v>
      </c>
      <c r="D3486" s="774">
        <f>IFERROR(TT!D908/1000,0)</f>
        <v>0.21456938633056666</v>
      </c>
      <c r="E3486" s="774">
        <f>IFERROR(TT!E908/1000,0)</f>
        <v>0.1792118946752374</v>
      </c>
      <c r="F3486" s="774">
        <f>IFERROR(TT!F908/1000,0)</f>
        <v>0.10876434907852564</v>
      </c>
      <c r="G3486" s="774">
        <f>IFERROR(TT!G908/1000,0)</f>
        <v>0.93130980083617754</v>
      </c>
      <c r="H3486" s="774">
        <f>IFERROR(TT!H908/1000,0)</f>
        <v>0.29093598437842561</v>
      </c>
      <c r="I3486" s="774">
        <f>IFERROR(TT!I908/1000,0)</f>
        <v>0.22911572780653272</v>
      </c>
      <c r="J3486" s="774">
        <f>IFERROR(TT!J908/1000,0)</f>
        <v>0.14371251893826245</v>
      </c>
      <c r="K3486" s="1700">
        <f t="shared" ref="K3486:R3486" si="1147">C3486/C24*100000</f>
        <v>0.36561258193867874</v>
      </c>
      <c r="L3486" s="679">
        <f t="shared" si="1147"/>
        <v>0.79610341683054842</v>
      </c>
      <c r="M3486" s="679">
        <f t="shared" si="1147"/>
        <v>0.75980006212560114</v>
      </c>
      <c r="N3486" s="679">
        <f t="shared" si="1147"/>
        <v>0.45531147074615419</v>
      </c>
      <c r="O3486" s="679">
        <f t="shared" si="1147"/>
        <v>3.8210779129796957</v>
      </c>
      <c r="P3486" s="679">
        <f t="shared" si="1147"/>
        <v>1.2200510861733631</v>
      </c>
      <c r="Q3486" s="679">
        <f t="shared" si="1147"/>
        <v>1.0878316556072041</v>
      </c>
      <c r="R3486" s="680">
        <f t="shared" si="1147"/>
        <v>0.58741949133076021</v>
      </c>
    </row>
    <row r="3487" spans="2:18" s="57" customFormat="1" ht="12.5">
      <c r="B3487" s="726" t="s">
        <v>1309</v>
      </c>
      <c r="C3487" s="820">
        <f>IFERROR(TT!C927/1000,0)</f>
        <v>0</v>
      </c>
      <c r="D3487" s="821">
        <f>IFERROR(TT!D927/1000,0)</f>
        <v>0</v>
      </c>
      <c r="E3487" s="821">
        <f>IFERROR(TT!E927/1000,0)</f>
        <v>0</v>
      </c>
      <c r="F3487" s="821">
        <f>IFERROR(TT!F927/1000,0)</f>
        <v>0</v>
      </c>
      <c r="G3487" s="821">
        <f>IFERROR(TT!G927/1000,0)</f>
        <v>0</v>
      </c>
      <c r="H3487" s="821">
        <f>IFERROR(TT!H927/1000,0)</f>
        <v>0</v>
      </c>
      <c r="I3487" s="821">
        <f>IFERROR(TT!I927/1000,0)</f>
        <v>0</v>
      </c>
      <c r="J3487" s="821">
        <f>IFERROR(TT!J927/1000,0)</f>
        <v>0</v>
      </c>
      <c r="K3487" s="691">
        <f t="shared" ref="K3487:R3487" si="1148">C3487/C24*100000</f>
        <v>0</v>
      </c>
      <c r="L3487" s="692">
        <f t="shared" si="1148"/>
        <v>0</v>
      </c>
      <c r="M3487" s="692">
        <f t="shared" si="1148"/>
        <v>0</v>
      </c>
      <c r="N3487" s="692">
        <f t="shared" si="1148"/>
        <v>0</v>
      </c>
      <c r="O3487" s="692">
        <f t="shared" si="1148"/>
        <v>0</v>
      </c>
      <c r="P3487" s="692">
        <f t="shared" si="1148"/>
        <v>0</v>
      </c>
      <c r="Q3487" s="692">
        <f t="shared" si="1148"/>
        <v>0</v>
      </c>
      <c r="R3487" s="693">
        <f t="shared" si="1148"/>
        <v>0</v>
      </c>
    </row>
    <row r="3488" spans="2:18" s="57" customFormat="1" ht="12.5">
      <c r="B3488" s="619"/>
      <c r="C3488" s="622"/>
      <c r="D3488" s="622"/>
      <c r="E3488" s="644"/>
      <c r="F3488" s="644"/>
      <c r="G3488" s="644"/>
      <c r="H3488" s="644"/>
      <c r="I3488" s="644"/>
      <c r="J3488" s="644"/>
      <c r="K3488" s="644"/>
      <c r="L3488" s="644"/>
      <c r="M3488" s="644"/>
      <c r="N3488" s="644"/>
      <c r="O3488" s="644"/>
      <c r="P3488" s="644"/>
      <c r="Q3488" s="644"/>
    </row>
    <row r="3489" spans="2:18" s="57" customFormat="1" ht="13">
      <c r="B3489" s="2158" t="s">
        <v>1397</v>
      </c>
      <c r="C3489" s="2158"/>
      <c r="D3489" s="2158"/>
      <c r="E3489" s="2158"/>
      <c r="F3489" s="2158"/>
      <c r="G3489" s="2158"/>
      <c r="H3489" s="2158"/>
      <c r="I3489" s="2158"/>
      <c r="J3489" s="2158"/>
      <c r="K3489" s="2158"/>
      <c r="L3489" s="2158"/>
      <c r="M3489" s="2158"/>
      <c r="N3489" s="2158"/>
      <c r="O3489" s="2158"/>
      <c r="P3489" s="2158"/>
      <c r="Q3489" s="2158"/>
      <c r="R3489" s="2158"/>
    </row>
    <row r="3490" spans="2:18" s="57" customFormat="1" ht="13">
      <c r="B3490" s="2253" t="s">
        <v>1398</v>
      </c>
      <c r="C3490" s="2253"/>
      <c r="D3490" s="2253"/>
      <c r="E3490" s="2253"/>
      <c r="F3490" s="2253"/>
      <c r="G3490" s="2253"/>
      <c r="H3490" s="2253"/>
      <c r="I3490" s="2253"/>
      <c r="J3490" s="2253"/>
      <c r="K3490" s="2253"/>
      <c r="L3490" s="2253"/>
      <c r="M3490" s="2253"/>
      <c r="N3490" s="2253"/>
      <c r="O3490" s="2253"/>
      <c r="P3490" s="2253"/>
      <c r="Q3490" s="2253"/>
      <c r="R3490" s="2253"/>
    </row>
    <row r="3491" spans="2:18" s="57" customFormat="1" ht="13">
      <c r="B3491" s="581" t="s">
        <v>1035</v>
      </c>
      <c r="C3491" s="611"/>
      <c r="D3491" s="611"/>
      <c r="E3491" s="644"/>
      <c r="F3491" s="644"/>
      <c r="G3491" s="644"/>
      <c r="H3491" s="644"/>
      <c r="I3491" s="644"/>
      <c r="J3491" s="644"/>
      <c r="K3491" s="644"/>
      <c r="L3491" s="644"/>
      <c r="M3491" s="644"/>
      <c r="N3491" s="644"/>
      <c r="O3491" s="644"/>
      <c r="P3491" s="644"/>
      <c r="Q3491" s="644"/>
    </row>
    <row r="3492" spans="2:18" s="57" customFormat="1" ht="13">
      <c r="B3492" s="612" t="s">
        <v>2162</v>
      </c>
      <c r="C3492" s="613"/>
      <c r="D3492" s="613"/>
      <c r="E3492" s="644"/>
      <c r="F3492" s="644"/>
      <c r="G3492" s="644"/>
      <c r="H3492" s="644"/>
      <c r="I3492" s="644"/>
      <c r="J3492" s="644"/>
      <c r="K3492" s="644"/>
      <c r="L3492" s="644"/>
      <c r="M3492" s="644"/>
      <c r="N3492" s="644"/>
      <c r="O3492" s="644"/>
      <c r="P3492" s="644"/>
      <c r="Q3492" s="644"/>
    </row>
    <row r="3493" spans="2:18" s="57" customFormat="1" ht="12.5">
      <c r="B3493" s="2233" t="s">
        <v>11</v>
      </c>
      <c r="C3493" s="2230" t="s">
        <v>265</v>
      </c>
      <c r="D3493" s="2231"/>
      <c r="E3493" s="2231"/>
      <c r="F3493" s="2231"/>
      <c r="G3493" s="2231"/>
      <c r="H3493" s="2231"/>
      <c r="I3493" s="2231"/>
      <c r="J3493" s="2232"/>
      <c r="K3493" s="644"/>
      <c r="L3493" s="644"/>
      <c r="M3493" s="644"/>
      <c r="N3493" s="644"/>
      <c r="O3493" s="644"/>
      <c r="P3493" s="644"/>
      <c r="Q3493" s="644"/>
    </row>
    <row r="3494" spans="2:18" s="57" customFormat="1" ht="12.5">
      <c r="B3494" s="2251"/>
      <c r="C3494" s="585">
        <v>2014</v>
      </c>
      <c r="D3494" s="586">
        <v>2015</v>
      </c>
      <c r="E3494" s="586">
        <v>2016</v>
      </c>
      <c r="F3494" s="586">
        <v>2017</v>
      </c>
      <c r="G3494" s="586">
        <v>2018</v>
      </c>
      <c r="H3494" s="586">
        <v>2019</v>
      </c>
      <c r="I3494" s="586">
        <v>2020</v>
      </c>
      <c r="J3494" s="1651">
        <v>2021</v>
      </c>
      <c r="K3494" s="644"/>
      <c r="L3494" s="644"/>
      <c r="M3494" s="644"/>
      <c r="N3494" s="644"/>
      <c r="O3494" s="644"/>
      <c r="P3494" s="644"/>
      <c r="Q3494" s="644"/>
    </row>
    <row r="3495" spans="2:18" s="57" customFormat="1" ht="13">
      <c r="B3495" s="752" t="s">
        <v>1038</v>
      </c>
      <c r="C3495" s="762"/>
      <c r="D3495" s="763"/>
      <c r="E3495" s="763"/>
      <c r="F3495" s="763"/>
      <c r="G3495" s="763"/>
      <c r="H3495" s="763"/>
      <c r="I3495" s="763"/>
      <c r="J3495" s="764"/>
      <c r="K3495" s="644"/>
      <c r="L3495" s="644"/>
      <c r="M3495" s="644"/>
      <c r="N3495" s="644"/>
      <c r="O3495" s="644"/>
      <c r="P3495" s="644"/>
      <c r="Q3495" s="644"/>
    </row>
    <row r="3496" spans="2:18" s="57" customFormat="1" ht="12.5">
      <c r="B3496" s="700" t="s">
        <v>126</v>
      </c>
      <c r="C3496" s="1767">
        <f>IFERROR(ARG!C1520,0)</f>
        <v>619</v>
      </c>
      <c r="D3496" s="721">
        <f>IFERROR(ARG!D1520,0)</f>
        <v>615</v>
      </c>
      <c r="E3496" s="721">
        <f>IFERROR(ARG!E1520,0)</f>
        <v>625</v>
      </c>
      <c r="F3496" s="721">
        <f>IFERROR(ARG!F1520,0)</f>
        <v>709</v>
      </c>
      <c r="G3496" s="721">
        <f>IFERROR(ARG!G1520,0)</f>
        <v>719</v>
      </c>
      <c r="H3496" s="721">
        <f>IFERROR(ARG!H1520,0)</f>
        <v>379</v>
      </c>
      <c r="I3496" s="721">
        <f>IFERROR(ARG!I1520,0)</f>
        <v>665</v>
      </c>
      <c r="J3496" s="1639">
        <f>IFERROR(ARG!J1520,0)</f>
        <v>666</v>
      </c>
      <c r="K3496" s="644"/>
      <c r="L3496" s="644"/>
      <c r="M3496" s="644"/>
      <c r="N3496" s="644"/>
      <c r="O3496" s="644"/>
      <c r="P3496" s="644"/>
      <c r="Q3496" s="644"/>
    </row>
    <row r="3497" spans="2:18" s="57" customFormat="1" ht="12.5">
      <c r="B3497" s="700" t="s">
        <v>4</v>
      </c>
      <c r="C3497" s="1767">
        <f>IFERROR(ARG!C1542,0)</f>
        <v>0</v>
      </c>
      <c r="D3497" s="721">
        <f>IFERROR(ARG!D1542,0)</f>
        <v>162</v>
      </c>
      <c r="E3497" s="721">
        <f>IFERROR(ARG!E1542,0)</f>
        <v>337</v>
      </c>
      <c r="F3497" s="721">
        <f>IFERROR(ARG!F1542,0)</f>
        <v>327</v>
      </c>
      <c r="G3497" s="721">
        <f>IFERROR(ARG!G1542,0)</f>
        <v>332</v>
      </c>
      <c r="H3497" s="721">
        <f>IFERROR(ARG!H1542,0)</f>
        <v>340</v>
      </c>
      <c r="I3497" s="721">
        <f>IFERROR(ARG!I1542,0)</f>
        <v>281</v>
      </c>
      <c r="J3497" s="1639">
        <f>IFERROR(ARG!J1542,0)</f>
        <v>325</v>
      </c>
      <c r="K3497" s="644"/>
      <c r="L3497" s="644"/>
      <c r="M3497" s="644"/>
      <c r="N3497" s="644"/>
      <c r="O3497" s="644"/>
      <c r="P3497" s="644"/>
      <c r="Q3497" s="644"/>
    </row>
    <row r="3498" spans="2:18" s="57" customFormat="1" ht="12.5">
      <c r="B3498" s="1753"/>
      <c r="C3498" s="1767"/>
      <c r="D3498" s="721"/>
      <c r="E3498" s="721"/>
      <c r="F3498" s="721"/>
      <c r="G3498" s="721"/>
      <c r="H3498" s="721"/>
      <c r="I3498" s="721"/>
      <c r="J3498" s="1639"/>
      <c r="K3498" s="644"/>
      <c r="L3498" s="644"/>
      <c r="M3498" s="644"/>
      <c r="N3498" s="644"/>
      <c r="O3498" s="644"/>
      <c r="P3498" s="644"/>
      <c r="Q3498" s="644"/>
    </row>
    <row r="3499" spans="2:18" s="57" customFormat="1" ht="13">
      <c r="B3499" s="708" t="s">
        <v>1039</v>
      </c>
      <c r="C3499" s="1767"/>
      <c r="D3499" s="721"/>
      <c r="E3499" s="721"/>
      <c r="F3499" s="721"/>
      <c r="G3499" s="721"/>
      <c r="H3499" s="721"/>
      <c r="I3499" s="721"/>
      <c r="J3499" s="1639"/>
      <c r="K3499" s="644"/>
      <c r="L3499" s="644"/>
      <c r="M3499" s="644"/>
      <c r="N3499" s="644"/>
      <c r="O3499" s="644"/>
      <c r="P3499" s="644"/>
      <c r="Q3499" s="644"/>
    </row>
    <row r="3500" spans="2:18" s="57" customFormat="1" ht="25">
      <c r="B3500" s="706" t="s">
        <v>1892</v>
      </c>
      <c r="C3500" s="1767">
        <f>IFERROR(BA!C590,0)</f>
        <v>0</v>
      </c>
      <c r="D3500" s="721">
        <f>IFERROR(BA!D590,0)</f>
        <v>0</v>
      </c>
      <c r="E3500" s="721">
        <f>IFERROR(BA!E590,0)</f>
        <v>0</v>
      </c>
      <c r="F3500" s="721">
        <f>IFERROR(BA!F590,0)</f>
        <v>0</v>
      </c>
      <c r="G3500" s="721">
        <f>IFERROR(BA!G590,0)</f>
        <v>0</v>
      </c>
      <c r="H3500" s="721">
        <f>IFERROR(BA!H590,0)</f>
        <v>0</v>
      </c>
      <c r="I3500" s="721">
        <f>IFERROR(BA!I590,0)</f>
        <v>27</v>
      </c>
      <c r="J3500" s="1639">
        <f>IFERROR(BA!J590,0)</f>
        <v>0</v>
      </c>
      <c r="K3500" s="644"/>
      <c r="L3500" s="644"/>
      <c r="M3500" s="644"/>
      <c r="N3500" s="644"/>
      <c r="O3500" s="644"/>
      <c r="P3500" s="644"/>
      <c r="Q3500" s="644"/>
    </row>
    <row r="3501" spans="2:18" s="57" customFormat="1" ht="12.5">
      <c r="B3501" s="1753"/>
      <c r="C3501" s="1776"/>
      <c r="D3501" s="632"/>
      <c r="E3501" s="632"/>
      <c r="F3501" s="632"/>
      <c r="G3501" s="632"/>
      <c r="H3501" s="702"/>
      <c r="I3501" s="702"/>
      <c r="J3501" s="703"/>
      <c r="K3501" s="644"/>
      <c r="L3501" s="644"/>
      <c r="M3501" s="644"/>
      <c r="N3501" s="644"/>
      <c r="O3501" s="644"/>
      <c r="P3501" s="644"/>
      <c r="Q3501" s="644"/>
    </row>
    <row r="3502" spans="2:18" s="57" customFormat="1" ht="13">
      <c r="B3502" s="708" t="s">
        <v>1040</v>
      </c>
      <c r="C3502" s="1776"/>
      <c r="D3502" s="632"/>
      <c r="E3502" s="632"/>
      <c r="F3502" s="632"/>
      <c r="G3502" s="632"/>
      <c r="H3502" s="702"/>
      <c r="I3502" s="702"/>
      <c r="J3502" s="703"/>
      <c r="K3502" s="644"/>
      <c r="L3502" s="644"/>
      <c r="M3502" s="644"/>
      <c r="N3502" s="644"/>
      <c r="O3502" s="644"/>
      <c r="P3502" s="644"/>
      <c r="Q3502" s="644"/>
    </row>
    <row r="3503" spans="2:18" s="57" customFormat="1" ht="12.5">
      <c r="B3503" s="700" t="s">
        <v>1312</v>
      </c>
      <c r="C3503" s="1767">
        <f>IFERROR(BO!C888,0)</f>
        <v>9</v>
      </c>
      <c r="D3503" s="721">
        <f>IFERROR(BO!D888,0)</f>
        <v>10</v>
      </c>
      <c r="E3503" s="721">
        <f>IFERROR(BO!E888,0)</f>
        <v>11</v>
      </c>
      <c r="F3503" s="721">
        <f>IFERROR(BO!F888,0)</f>
        <v>12</v>
      </c>
      <c r="G3503" s="721">
        <f>IFERROR(BO!G888,0)</f>
        <v>12</v>
      </c>
      <c r="H3503" s="721">
        <f>IFERROR(BO!H888,0)</f>
        <v>12</v>
      </c>
      <c r="I3503" s="721">
        <f>IFERROR(BO!I888,0)</f>
        <v>12</v>
      </c>
      <c r="J3503" s="1639">
        <f>IFERROR(BO!J888,0)</f>
        <v>12</v>
      </c>
      <c r="K3503" s="644"/>
      <c r="L3503" s="644"/>
      <c r="M3503" s="644"/>
      <c r="N3503" s="644"/>
      <c r="O3503" s="644"/>
      <c r="P3503" s="644"/>
      <c r="Q3503" s="644"/>
    </row>
    <row r="3504" spans="2:18" s="57" customFormat="1" ht="12.5">
      <c r="B3504" s="700"/>
      <c r="C3504" s="1776"/>
      <c r="D3504" s="632"/>
      <c r="E3504" s="632"/>
      <c r="F3504" s="632"/>
      <c r="G3504" s="632"/>
      <c r="H3504" s="702"/>
      <c r="I3504" s="702"/>
      <c r="J3504" s="703"/>
      <c r="K3504" s="644"/>
      <c r="L3504" s="644"/>
      <c r="M3504" s="644"/>
      <c r="N3504" s="644"/>
      <c r="O3504" s="644"/>
      <c r="P3504" s="644"/>
      <c r="Q3504" s="644"/>
    </row>
    <row r="3505" spans="2:17" s="57" customFormat="1" ht="13">
      <c r="B3505" s="708" t="s">
        <v>1041</v>
      </c>
      <c r="C3505" s="1776"/>
      <c r="D3505" s="632"/>
      <c r="E3505" s="632"/>
      <c r="F3505" s="632"/>
      <c r="G3505" s="632"/>
      <c r="H3505" s="702"/>
      <c r="I3505" s="702"/>
      <c r="J3505" s="703"/>
      <c r="K3505" s="644"/>
      <c r="L3505" s="644"/>
      <c r="M3505" s="644"/>
      <c r="N3505" s="644"/>
      <c r="O3505" s="644"/>
      <c r="P3505" s="644"/>
      <c r="Q3505" s="644"/>
    </row>
    <row r="3506" spans="2:17" s="57" customFormat="1" ht="12.5">
      <c r="B3506" s="700" t="s">
        <v>972</v>
      </c>
      <c r="C3506" s="1767">
        <f>IFERROR(BR!C1280,0)</f>
        <v>486</v>
      </c>
      <c r="D3506" s="721">
        <f>IFERROR(BR!D1280,0)</f>
        <v>484</v>
      </c>
      <c r="E3506" s="721">
        <f>IFERROR(BR!E1280,0)</f>
        <v>471</v>
      </c>
      <c r="F3506" s="721">
        <f>IFERROR(BR!F1280,0)</f>
        <v>466</v>
      </c>
      <c r="G3506" s="721">
        <f>IFERROR(BR!G1280,0)</f>
        <v>462</v>
      </c>
      <c r="H3506" s="721">
        <f>IFERROR(BR!H1280,0)</f>
        <v>467</v>
      </c>
      <c r="I3506" s="721">
        <f>IFERROR(BR!I1280,0)</f>
        <v>476</v>
      </c>
      <c r="J3506" s="1639">
        <f>IFERROR(BR!J1280,0)</f>
        <v>494</v>
      </c>
      <c r="K3506" s="644"/>
      <c r="L3506" s="644"/>
      <c r="M3506" s="644"/>
      <c r="N3506" s="644"/>
      <c r="O3506" s="644"/>
      <c r="P3506" s="644"/>
      <c r="Q3506" s="644"/>
    </row>
    <row r="3507" spans="2:17" s="57" customFormat="1" ht="12.5">
      <c r="B3507" s="700" t="s">
        <v>1289</v>
      </c>
      <c r="C3507" s="1767">
        <f>IFERROR(BR!C1214,0)</f>
        <v>193</v>
      </c>
      <c r="D3507" s="721">
        <f>IFERROR(BR!D1214,0)</f>
        <v>193</v>
      </c>
      <c r="E3507" s="721">
        <f>IFERROR(BR!E1214,0)</f>
        <v>186</v>
      </c>
      <c r="F3507" s="721">
        <f>IFERROR(BR!F1214,0)</f>
        <v>192</v>
      </c>
      <c r="G3507" s="721">
        <f>IFERROR(BR!G1214,0)</f>
        <v>0</v>
      </c>
      <c r="H3507" s="721">
        <f>IFERROR(BR!H1214,0)</f>
        <v>0</v>
      </c>
      <c r="I3507" s="721">
        <f>IFERROR(BR!I1214,0)</f>
        <v>0</v>
      </c>
      <c r="J3507" s="1639">
        <f>IFERROR(BR!J1214,0)</f>
        <v>0</v>
      </c>
      <c r="K3507" s="644"/>
      <c r="L3507" s="644"/>
      <c r="M3507" s="644"/>
      <c r="N3507" s="644"/>
      <c r="O3507" s="644"/>
      <c r="P3507" s="644"/>
      <c r="Q3507" s="644"/>
    </row>
    <row r="3508" spans="2:17" s="57" customFormat="1" ht="25">
      <c r="B3508" s="706" t="s">
        <v>971</v>
      </c>
      <c r="C3508" s="1767">
        <f>IFERROR(BR!C1236,0)</f>
        <v>0</v>
      </c>
      <c r="D3508" s="721">
        <f>IFERROR(BR!D1236,0)</f>
        <v>0</v>
      </c>
      <c r="E3508" s="721">
        <f>IFERROR(BR!E1236,0)</f>
        <v>0</v>
      </c>
      <c r="F3508" s="721">
        <f>IFERROR(BR!F1236,0)</f>
        <v>0</v>
      </c>
      <c r="G3508" s="721">
        <f>IFERROR(BR!G1236,0)</f>
        <v>177</v>
      </c>
      <c r="H3508" s="721">
        <f>IFERROR(BR!H1236,0)</f>
        <v>180</v>
      </c>
      <c r="I3508" s="721">
        <f>IFERROR(BR!I1236,0)</f>
        <v>183</v>
      </c>
      <c r="J3508" s="1639">
        <f>IFERROR(BR!J1236,0)</f>
        <v>187</v>
      </c>
      <c r="K3508" s="644"/>
      <c r="L3508" s="644"/>
      <c r="M3508" s="644"/>
      <c r="N3508" s="644"/>
      <c r="O3508" s="644"/>
      <c r="P3508" s="644"/>
      <c r="Q3508" s="644"/>
    </row>
    <row r="3509" spans="2:17" s="57" customFormat="1" ht="12.5">
      <c r="B3509" s="700" t="s">
        <v>960</v>
      </c>
      <c r="C3509" s="1767">
        <f>IFERROR(BR!C1258,0)</f>
        <v>699</v>
      </c>
      <c r="D3509" s="721">
        <f>IFERROR(BR!D1258,0)</f>
        <v>700</v>
      </c>
      <c r="E3509" s="721">
        <f>IFERROR(BR!E1258,0)</f>
        <v>698</v>
      </c>
      <c r="F3509" s="721">
        <f>IFERROR(BR!F1258,0)</f>
        <v>749</v>
      </c>
      <c r="G3509" s="721">
        <f>IFERROR(BR!G1258,0)</f>
        <v>949</v>
      </c>
      <c r="H3509" s="721">
        <f>IFERROR(BR!H1258,0)</f>
        <v>936</v>
      </c>
      <c r="I3509" s="721">
        <f>IFERROR(BR!I1258,0)</f>
        <v>930</v>
      </c>
      <c r="J3509" s="1639">
        <f>IFERROR(BR!J1258,0)</f>
        <v>933</v>
      </c>
      <c r="K3509" s="644"/>
      <c r="L3509" s="644"/>
      <c r="M3509" s="644"/>
      <c r="N3509" s="644"/>
      <c r="O3509" s="644"/>
      <c r="P3509" s="644"/>
      <c r="Q3509" s="644"/>
    </row>
    <row r="3510" spans="2:17" s="57" customFormat="1" ht="12.5">
      <c r="B3510" s="700"/>
      <c r="C3510" s="1776"/>
      <c r="D3510" s="632"/>
      <c r="E3510" s="632"/>
      <c r="F3510" s="632"/>
      <c r="G3510" s="632"/>
      <c r="H3510" s="702"/>
      <c r="I3510" s="702"/>
      <c r="J3510" s="703"/>
      <c r="K3510" s="644"/>
      <c r="L3510" s="644"/>
      <c r="M3510" s="644"/>
      <c r="N3510" s="644"/>
      <c r="O3510" s="644"/>
      <c r="P3510" s="644"/>
      <c r="Q3510" s="644"/>
    </row>
    <row r="3511" spans="2:17" s="57" customFormat="1" ht="13">
      <c r="B3511" s="708" t="s">
        <v>1042</v>
      </c>
      <c r="C3511" s="1776"/>
      <c r="D3511" s="632"/>
      <c r="E3511" s="632"/>
      <c r="F3511" s="632"/>
      <c r="G3511" s="632"/>
      <c r="H3511" s="702"/>
      <c r="I3511" s="702"/>
      <c r="J3511" s="703"/>
      <c r="K3511" s="644"/>
      <c r="L3511" s="644"/>
      <c r="M3511" s="644"/>
      <c r="N3511" s="644"/>
      <c r="O3511" s="644"/>
      <c r="P3511" s="644"/>
      <c r="Q3511" s="644"/>
    </row>
    <row r="3512" spans="2:17" s="57" customFormat="1" ht="12.5">
      <c r="B3512" s="710" t="s">
        <v>503</v>
      </c>
      <c r="C3512" s="1767">
        <f>IFERROR(CL!C716,0)</f>
        <v>187</v>
      </c>
      <c r="D3512" s="721">
        <f>IFERROR(CL!D716,0)</f>
        <v>189</v>
      </c>
      <c r="E3512" s="721">
        <f>IFERROR(CL!E716,0)</f>
        <v>189</v>
      </c>
      <c r="F3512" s="721">
        <f>IFERROR(CL!F716,0)</f>
        <v>185</v>
      </c>
      <c r="G3512" s="721">
        <f>IFERROR(CL!G716,0)</f>
        <v>180</v>
      </c>
      <c r="H3512" s="721" t="str">
        <f>IFERROR(CL!H716,0)</f>
        <v xml:space="preserve">185
</v>
      </c>
      <c r="I3512" s="721" t="str">
        <f>IFERROR(CL!I716,0)</f>
        <v xml:space="preserve">187
</v>
      </c>
      <c r="J3512" s="1639">
        <f>IFERROR(CL!J716,0)</f>
        <v>186</v>
      </c>
      <c r="K3512" s="644"/>
      <c r="L3512" s="644"/>
      <c r="M3512" s="644"/>
      <c r="N3512" s="644"/>
      <c r="O3512" s="644"/>
      <c r="P3512" s="644"/>
      <c r="Q3512" s="644"/>
    </row>
    <row r="3513" spans="2:17" s="57" customFormat="1" ht="12.5">
      <c r="B3513" s="710"/>
      <c r="C3513" s="1776"/>
      <c r="D3513" s="632"/>
      <c r="E3513" s="632"/>
      <c r="F3513" s="632"/>
      <c r="G3513" s="632"/>
      <c r="H3513" s="702"/>
      <c r="I3513" s="702"/>
      <c r="J3513" s="703"/>
      <c r="K3513" s="644"/>
      <c r="L3513" s="644"/>
      <c r="M3513" s="644"/>
      <c r="N3513" s="644"/>
      <c r="O3513" s="644"/>
      <c r="P3513" s="644"/>
      <c r="Q3513" s="644"/>
    </row>
    <row r="3514" spans="2:17" s="57" customFormat="1" ht="13">
      <c r="B3514" s="709" t="s">
        <v>1043</v>
      </c>
      <c r="C3514" s="1776"/>
      <c r="D3514" s="632"/>
      <c r="E3514" s="632"/>
      <c r="F3514" s="632"/>
      <c r="G3514" s="632"/>
      <c r="H3514" s="702"/>
      <c r="I3514" s="702"/>
      <c r="J3514" s="703"/>
      <c r="K3514" s="644"/>
      <c r="L3514" s="644"/>
      <c r="M3514" s="644"/>
      <c r="N3514" s="644"/>
      <c r="O3514" s="644"/>
      <c r="P3514" s="644"/>
      <c r="Q3514" s="644"/>
    </row>
    <row r="3515" spans="2:17" s="57" customFormat="1" ht="12.5">
      <c r="B3515" s="700" t="s">
        <v>503</v>
      </c>
      <c r="C3515" s="1767">
        <f>IFERROR(CO!C873,0)</f>
        <v>132</v>
      </c>
      <c r="D3515" s="721">
        <f>IFERROR(CO!D873,0)</f>
        <v>130</v>
      </c>
      <c r="E3515" s="721">
        <f>IFERROR(CO!E873,0)</f>
        <v>125</v>
      </c>
      <c r="F3515" s="721">
        <f>IFERROR(CO!F873,0)</f>
        <v>133</v>
      </c>
      <c r="G3515" s="721">
        <f>IFERROR(CO!G873,0)</f>
        <v>130</v>
      </c>
      <c r="H3515" s="721">
        <f>IFERROR(CO!H873,0)</f>
        <v>126</v>
      </c>
      <c r="I3515" s="721">
        <f>IFERROR(CO!I873,0)</f>
        <v>120</v>
      </c>
      <c r="J3515" s="1639">
        <f>IFERROR(CO!J873,0)</f>
        <v>121</v>
      </c>
      <c r="K3515" s="644"/>
      <c r="L3515" s="644"/>
      <c r="M3515" s="644"/>
      <c r="N3515" s="644"/>
      <c r="O3515" s="644"/>
      <c r="P3515" s="644"/>
      <c r="Q3515" s="644"/>
    </row>
    <row r="3516" spans="2:17" s="57" customFormat="1" ht="12.5">
      <c r="B3516" s="700" t="s">
        <v>603</v>
      </c>
      <c r="C3516" s="1767">
        <f>IFERROR(CO!C895,0)</f>
        <v>109</v>
      </c>
      <c r="D3516" s="721">
        <f>IFERROR(CO!D895,0)</f>
        <v>391</v>
      </c>
      <c r="E3516" s="721">
        <f>IFERROR(CO!E895,0)</f>
        <v>411</v>
      </c>
      <c r="F3516" s="721">
        <f>IFERROR(CO!F895,0)</f>
        <v>233</v>
      </c>
      <c r="G3516" s="721">
        <f>IFERROR(CO!G895,0)</f>
        <v>251</v>
      </c>
      <c r="H3516" s="721">
        <f>IFERROR(CO!H895,0)</f>
        <v>251</v>
      </c>
      <c r="I3516" s="721">
        <f>IFERROR(CO!I895,0)</f>
        <v>314</v>
      </c>
      <c r="J3516" s="1639">
        <f>IFERROR(CO!J895,0)</f>
        <v>381</v>
      </c>
      <c r="K3516" s="644"/>
      <c r="L3516" s="644"/>
      <c r="M3516" s="644"/>
      <c r="N3516" s="644"/>
      <c r="O3516" s="644"/>
      <c r="P3516" s="644"/>
      <c r="Q3516" s="644"/>
    </row>
    <row r="3517" spans="2:17" s="57" customFormat="1" ht="12.5">
      <c r="B3517" s="700"/>
      <c r="C3517" s="1776"/>
      <c r="D3517" s="632"/>
      <c r="E3517" s="632"/>
      <c r="F3517" s="632"/>
      <c r="G3517" s="632"/>
      <c r="H3517" s="702"/>
      <c r="I3517" s="702"/>
      <c r="J3517" s="703"/>
      <c r="K3517" s="644"/>
      <c r="L3517" s="644"/>
      <c r="M3517" s="644"/>
      <c r="N3517" s="644"/>
      <c r="O3517" s="644"/>
      <c r="P3517" s="644"/>
      <c r="Q3517" s="644"/>
    </row>
    <row r="3518" spans="2:17" s="57" customFormat="1" ht="13">
      <c r="B3518" s="709" t="s">
        <v>1044</v>
      </c>
      <c r="C3518" s="1776"/>
      <c r="D3518" s="632"/>
      <c r="E3518" s="632"/>
      <c r="F3518" s="632"/>
      <c r="G3518" s="632"/>
      <c r="H3518" s="702"/>
      <c r="I3518" s="702"/>
      <c r="J3518" s="703"/>
      <c r="K3518" s="644"/>
      <c r="L3518" s="644"/>
      <c r="M3518" s="644"/>
      <c r="N3518" s="644"/>
      <c r="O3518" s="644"/>
      <c r="P3518" s="644"/>
      <c r="Q3518" s="644"/>
    </row>
    <row r="3519" spans="2:17" s="57" customFormat="1" ht="12.5">
      <c r="B3519" s="710" t="s">
        <v>1373</v>
      </c>
      <c r="C3519" s="1767">
        <f>IFERROR(CR!C767,0)</f>
        <v>28</v>
      </c>
      <c r="D3519" s="721">
        <f>IFERROR(CR!D767,0)</f>
        <v>28</v>
      </c>
      <c r="E3519" s="721">
        <f>IFERROR(CR!E767,0)</f>
        <v>28</v>
      </c>
      <c r="F3519" s="721">
        <f>IFERROR(CR!F767,0)</f>
        <v>28</v>
      </c>
      <c r="G3519" s="721">
        <f>IFERROR(CR!G767,0)</f>
        <v>28</v>
      </c>
      <c r="H3519" s="721">
        <f>IFERROR(CR!H767,0)</f>
        <v>27</v>
      </c>
      <c r="I3519" s="721">
        <f>IFERROR(CR!I767,0)</f>
        <v>25</v>
      </c>
      <c r="J3519" s="1639">
        <f>IFERROR(CR!J767,0)</f>
        <v>27</v>
      </c>
      <c r="K3519" s="644"/>
    </row>
    <row r="3520" spans="2:17" s="57" customFormat="1" ht="25">
      <c r="B3520" s="766" t="s">
        <v>1697</v>
      </c>
      <c r="C3520" s="1767">
        <f>IFERROR(CR!C789,0)</f>
        <v>29</v>
      </c>
      <c r="D3520" s="721">
        <f>IFERROR(CR!D789,0)</f>
        <v>30</v>
      </c>
      <c r="E3520" s="721">
        <f>IFERROR(CR!E789,0)</f>
        <v>31</v>
      </c>
      <c r="F3520" s="721">
        <f>IFERROR(CR!F789,0)</f>
        <v>32</v>
      </c>
      <c r="G3520" s="721">
        <f>IFERROR(CR!G789,0)</f>
        <v>32</v>
      </c>
      <c r="H3520" s="721">
        <f>IFERROR(CR!H789,0)</f>
        <v>31</v>
      </c>
      <c r="I3520" s="721">
        <f>IFERROR(CR!I789,0)</f>
        <v>32</v>
      </c>
      <c r="J3520" s="1639">
        <f>IFERROR(CR!J789,0)</f>
        <v>30</v>
      </c>
      <c r="K3520" s="644"/>
    </row>
    <row r="3521" spans="2:17" s="57" customFormat="1" ht="12.5">
      <c r="B3521" s="710"/>
      <c r="C3521" s="1776"/>
      <c r="D3521" s="632"/>
      <c r="E3521" s="632"/>
      <c r="F3521" s="632"/>
      <c r="G3521" s="632"/>
      <c r="H3521" s="702"/>
      <c r="I3521" s="702"/>
      <c r="J3521" s="703"/>
      <c r="K3521" s="644"/>
      <c r="L3521" s="644"/>
      <c r="M3521" s="644"/>
      <c r="N3521" s="644"/>
      <c r="O3521" s="644"/>
      <c r="P3521" s="644"/>
      <c r="Q3521" s="644"/>
    </row>
    <row r="3522" spans="2:17" s="57" customFormat="1" ht="13">
      <c r="B3522" s="708" t="s">
        <v>1061</v>
      </c>
      <c r="C3522" s="1776"/>
      <c r="D3522" s="632"/>
      <c r="E3522" s="632"/>
      <c r="F3522" s="632"/>
      <c r="G3522" s="632"/>
      <c r="H3522" s="702"/>
      <c r="I3522" s="702"/>
      <c r="J3522" s="703"/>
      <c r="K3522" s="644"/>
      <c r="L3522" s="644"/>
      <c r="M3522" s="644"/>
      <c r="N3522" s="644"/>
      <c r="O3522" s="644"/>
      <c r="P3522" s="644"/>
      <c r="Q3522" s="644"/>
    </row>
    <row r="3523" spans="2:17" s="57" customFormat="1" ht="12.5">
      <c r="B3523" s="710" t="s">
        <v>1355</v>
      </c>
      <c r="C3523" s="1767">
        <f>IFERROR(CW!C616,0)</f>
        <v>0</v>
      </c>
      <c r="D3523" s="721">
        <f>IFERROR(CW!D616,0)</f>
        <v>0</v>
      </c>
      <c r="E3523" s="721">
        <f>IFERROR(CW!E616,0)</f>
        <v>0</v>
      </c>
      <c r="F3523" s="721">
        <f>IFERROR(CW!F616,0)</f>
        <v>0</v>
      </c>
      <c r="G3523" s="721">
        <f>IFERROR(CW!G616,0)</f>
        <v>0</v>
      </c>
      <c r="H3523" s="721">
        <f>IFERROR(CW!H616,0)</f>
        <v>0</v>
      </c>
      <c r="I3523" s="721">
        <f>IFERROR(CW!I616,0)</f>
        <v>0</v>
      </c>
      <c r="J3523" s="1639">
        <f>IFERROR(CW!J616,0)</f>
        <v>0</v>
      </c>
      <c r="K3523" s="644"/>
      <c r="L3523" s="644"/>
      <c r="M3523" s="644"/>
      <c r="N3523" s="644"/>
      <c r="O3523" s="644"/>
      <c r="P3523" s="644"/>
      <c r="Q3523" s="644"/>
    </row>
    <row r="3524" spans="2:17" s="57" customFormat="1" ht="12.5">
      <c r="B3524" s="1758"/>
      <c r="C3524" s="1767"/>
      <c r="D3524" s="721"/>
      <c r="E3524" s="721"/>
      <c r="F3524" s="721"/>
      <c r="G3524" s="721"/>
      <c r="H3524" s="721"/>
      <c r="I3524" s="721"/>
      <c r="J3524" s="1639"/>
      <c r="K3524" s="644"/>
      <c r="L3524" s="644"/>
      <c r="M3524" s="644"/>
      <c r="N3524" s="644"/>
      <c r="O3524" s="644"/>
      <c r="P3524" s="644"/>
      <c r="Q3524" s="644"/>
    </row>
    <row r="3525" spans="2:17" s="57" customFormat="1" ht="13">
      <c r="B3525" s="708" t="s">
        <v>1047</v>
      </c>
      <c r="C3525" s="1767"/>
      <c r="D3525" s="721"/>
      <c r="E3525" s="721"/>
      <c r="F3525" s="721"/>
      <c r="G3525" s="721"/>
      <c r="H3525" s="721"/>
      <c r="I3525" s="721"/>
      <c r="J3525" s="1639"/>
      <c r="K3525" s="644"/>
      <c r="L3525" s="644"/>
      <c r="M3525" s="644"/>
      <c r="N3525" s="644"/>
      <c r="O3525" s="644"/>
      <c r="P3525" s="644"/>
      <c r="Q3525" s="644"/>
    </row>
    <row r="3526" spans="2:17" s="57" customFormat="1" ht="12.5">
      <c r="B3526" s="710" t="s">
        <v>1355</v>
      </c>
      <c r="C3526" s="1767">
        <f>IFERROR(EC!C654,0)</f>
        <v>35</v>
      </c>
      <c r="D3526" s="721">
        <f>IFERROR(EC!D654,0)</f>
        <v>39</v>
      </c>
      <c r="E3526" s="721">
        <f>IFERROR(EC!E654,0)</f>
        <v>39</v>
      </c>
      <c r="F3526" s="721">
        <f>IFERROR(EC!F654,0)</f>
        <v>39</v>
      </c>
      <c r="G3526" s="721">
        <f>IFERROR(EC!G654,0)</f>
        <v>35</v>
      </c>
      <c r="H3526" s="721">
        <f>IFERROR(EC!H654,0)</f>
        <v>34</v>
      </c>
      <c r="I3526" s="721">
        <f>IFERROR(EC!I654,0)</f>
        <v>32</v>
      </c>
      <c r="J3526" s="1639">
        <f>IFERROR(EC!J654,0)</f>
        <v>43</v>
      </c>
      <c r="K3526" s="644"/>
      <c r="L3526" s="644"/>
      <c r="M3526" s="644"/>
      <c r="N3526" s="644"/>
      <c r="O3526" s="644"/>
      <c r="P3526" s="644"/>
      <c r="Q3526" s="644"/>
    </row>
    <row r="3527" spans="2:17" s="57" customFormat="1" ht="12.5">
      <c r="B3527" s="1758"/>
      <c r="C3527" s="1776"/>
      <c r="D3527" s="632"/>
      <c r="E3527" s="632"/>
      <c r="F3527" s="632"/>
      <c r="G3527" s="632"/>
      <c r="H3527" s="702"/>
      <c r="I3527" s="702"/>
      <c r="J3527" s="703"/>
      <c r="K3527" s="644"/>
      <c r="L3527" s="644"/>
      <c r="M3527" s="644"/>
      <c r="N3527" s="644"/>
      <c r="O3527" s="644"/>
      <c r="P3527" s="644"/>
      <c r="Q3527" s="644"/>
    </row>
    <row r="3528" spans="2:17" s="57" customFormat="1" ht="13">
      <c r="B3528" s="708" t="s">
        <v>1048</v>
      </c>
      <c r="C3528" s="1777"/>
      <c r="D3528" s="717"/>
      <c r="E3528" s="717"/>
      <c r="F3528" s="717"/>
      <c r="G3528" s="717"/>
      <c r="H3528" s="702"/>
      <c r="I3528" s="702"/>
      <c r="J3528" s="703"/>
      <c r="K3528" s="644"/>
      <c r="L3528" s="644"/>
      <c r="M3528" s="644"/>
      <c r="N3528" s="644"/>
      <c r="O3528" s="644"/>
      <c r="P3528" s="644"/>
      <c r="Q3528" s="644"/>
    </row>
    <row r="3529" spans="2:17" s="57" customFormat="1" ht="12.5">
      <c r="B3529" s="710" t="s">
        <v>503</v>
      </c>
      <c r="C3529" s="1767">
        <f>IFERROR(SV!C619,0)</f>
        <v>35</v>
      </c>
      <c r="D3529" s="721">
        <f>IFERROR(SV!D619,0)</f>
        <v>33</v>
      </c>
      <c r="E3529" s="721">
        <f>IFERROR(SV!E619,0)</f>
        <v>38</v>
      </c>
      <c r="F3529" s="721">
        <f>IFERROR(SV!F619,0)</f>
        <v>35</v>
      </c>
      <c r="G3529" s="721">
        <f>IFERROR(SV!G619,0)</f>
        <v>35</v>
      </c>
      <c r="H3529" s="721">
        <f>IFERROR(SV!H619,0)</f>
        <v>27</v>
      </c>
      <c r="I3529" s="721">
        <f>IFERROR(SV!I619,0)</f>
        <v>27</v>
      </c>
      <c r="J3529" s="1639">
        <f>IFERROR(SV!J619,0)</f>
        <v>7</v>
      </c>
      <c r="K3529" s="644"/>
      <c r="L3529" s="644"/>
      <c r="M3529" s="644"/>
      <c r="N3529" s="644"/>
      <c r="O3529" s="644"/>
      <c r="P3529" s="644"/>
      <c r="Q3529" s="644"/>
    </row>
    <row r="3530" spans="2:17" s="57" customFormat="1" ht="12.5">
      <c r="B3530" s="700"/>
      <c r="C3530" s="1777"/>
      <c r="D3530" s="717"/>
      <c r="E3530" s="717"/>
      <c r="F3530" s="717"/>
      <c r="G3530" s="717"/>
      <c r="H3530" s="702"/>
      <c r="I3530" s="702"/>
      <c r="J3530" s="703"/>
      <c r="K3530" s="644"/>
      <c r="L3530" s="644"/>
      <c r="M3530" s="644"/>
      <c r="N3530" s="644"/>
      <c r="O3530" s="644"/>
      <c r="P3530" s="644"/>
      <c r="Q3530" s="644"/>
    </row>
    <row r="3531" spans="2:17" s="57" customFormat="1" ht="13">
      <c r="B3531" s="708" t="s">
        <v>1049</v>
      </c>
      <c r="C3531" s="1776"/>
      <c r="D3531" s="632"/>
      <c r="E3531" s="632"/>
      <c r="F3531" s="632"/>
      <c r="G3531" s="632"/>
      <c r="H3531" s="702"/>
      <c r="I3531" s="702"/>
      <c r="J3531" s="703"/>
      <c r="K3531" s="644"/>
      <c r="L3531" s="644"/>
      <c r="M3531" s="644"/>
      <c r="N3531" s="644"/>
      <c r="O3531" s="644"/>
      <c r="P3531" s="644"/>
      <c r="Q3531" s="644"/>
    </row>
    <row r="3532" spans="2:17" s="57" customFormat="1" ht="12.5">
      <c r="B3532" s="704" t="s">
        <v>1332</v>
      </c>
      <c r="C3532" s="1767">
        <f>IFERROR(GT!C876,0)</f>
        <v>36</v>
      </c>
      <c r="D3532" s="721">
        <f>IFERROR(GT!D876,0)</f>
        <v>37</v>
      </c>
      <c r="E3532" s="721">
        <f>IFERROR(GT!E876,0)</f>
        <v>39</v>
      </c>
      <c r="F3532" s="721">
        <f>IFERROR(GT!F876,0)</f>
        <v>39</v>
      </c>
      <c r="G3532" s="721">
        <f>IFERROR(GT!G876,0)</f>
        <v>43</v>
      </c>
      <c r="H3532" s="721">
        <f>IFERROR(GT!H876,0)</f>
        <v>40</v>
      </c>
      <c r="I3532" s="721">
        <f>IFERROR(GT!I876,0)</f>
        <v>39</v>
      </c>
      <c r="J3532" s="1639">
        <f>IFERROR(GT!J876,0)</f>
        <v>40</v>
      </c>
      <c r="K3532" s="644"/>
      <c r="L3532" s="644"/>
      <c r="M3532" s="644"/>
      <c r="N3532" s="644"/>
      <c r="O3532" s="644"/>
      <c r="P3532" s="644"/>
      <c r="Q3532" s="644"/>
    </row>
    <row r="3533" spans="2:17" s="57" customFormat="1" ht="12.5">
      <c r="B3533" s="704"/>
      <c r="C3533" s="1776"/>
      <c r="D3533" s="632"/>
      <c r="E3533" s="632"/>
      <c r="F3533" s="632"/>
      <c r="G3533" s="632"/>
      <c r="H3533" s="702"/>
      <c r="I3533" s="702"/>
      <c r="J3533" s="703"/>
      <c r="K3533" s="644"/>
      <c r="L3533" s="644"/>
      <c r="M3533" s="644"/>
      <c r="N3533" s="644"/>
      <c r="O3533" s="644"/>
      <c r="P3533" s="644"/>
      <c r="Q3533" s="644"/>
    </row>
    <row r="3534" spans="2:17" s="57" customFormat="1" ht="13">
      <c r="B3534" s="708" t="s">
        <v>1050</v>
      </c>
      <c r="C3534" s="1776"/>
      <c r="D3534" s="632"/>
      <c r="E3534" s="632"/>
      <c r="F3534" s="632"/>
      <c r="G3534" s="632"/>
      <c r="H3534" s="702"/>
      <c r="I3534" s="702"/>
      <c r="J3534" s="703"/>
      <c r="K3534" s="644"/>
      <c r="L3534" s="644"/>
      <c r="M3534" s="644"/>
      <c r="N3534" s="644"/>
      <c r="O3534" s="644"/>
      <c r="P3534" s="644"/>
      <c r="Q3534" s="644"/>
    </row>
    <row r="3535" spans="2:17" s="57" customFormat="1" ht="12.5">
      <c r="B3535" s="704" t="s">
        <v>1303</v>
      </c>
      <c r="C3535" s="1767">
        <f>IFERROR(HN!C736,0)</f>
        <v>18</v>
      </c>
      <c r="D3535" s="721">
        <f>IFERROR(HN!D736,0)</f>
        <v>18</v>
      </c>
      <c r="E3535" s="721">
        <f>IFERROR(HN!E736,0)</f>
        <v>16</v>
      </c>
      <c r="F3535" s="721">
        <f>IFERROR(HN!F736,0)</f>
        <v>16</v>
      </c>
      <c r="G3535" s="721">
        <f>IFERROR(HN!G736,0)</f>
        <v>16</v>
      </c>
      <c r="H3535" s="721">
        <f>IFERROR(HN!H736,0)</f>
        <v>16</v>
      </c>
      <c r="I3535" s="721">
        <f>IFERROR(HN!I736,0)</f>
        <v>16</v>
      </c>
      <c r="J3535" s="1639">
        <f>IFERROR(HN!J736,0)</f>
        <v>16</v>
      </c>
      <c r="K3535" s="644"/>
      <c r="L3535" s="644"/>
      <c r="M3535" s="644"/>
      <c r="N3535" s="644"/>
      <c r="O3535" s="644"/>
      <c r="P3535" s="644"/>
      <c r="Q3535" s="644"/>
    </row>
    <row r="3536" spans="2:17" s="57" customFormat="1" ht="12.5">
      <c r="B3536" s="704"/>
      <c r="C3536" s="1776"/>
      <c r="D3536" s="632"/>
      <c r="E3536" s="632"/>
      <c r="F3536" s="632"/>
      <c r="G3536" s="632"/>
      <c r="H3536" s="702"/>
      <c r="I3536" s="702"/>
      <c r="J3536" s="703"/>
      <c r="K3536" s="644"/>
      <c r="L3536" s="644"/>
      <c r="M3536" s="644"/>
      <c r="N3536" s="644"/>
      <c r="O3536" s="644"/>
      <c r="P3536" s="644"/>
      <c r="Q3536" s="644"/>
    </row>
    <row r="3537" spans="2:17" s="57" customFormat="1" ht="13">
      <c r="B3537" s="708" t="s">
        <v>1051</v>
      </c>
      <c r="C3537" s="1777"/>
      <c r="D3537" s="717"/>
      <c r="E3537" s="717"/>
      <c r="F3537" s="717"/>
      <c r="G3537" s="717"/>
      <c r="H3537" s="702"/>
      <c r="I3537" s="702"/>
      <c r="J3537" s="703"/>
      <c r="K3537" s="644"/>
      <c r="L3537" s="644"/>
      <c r="M3537" s="644"/>
      <c r="N3537" s="644"/>
      <c r="O3537" s="644"/>
      <c r="P3537" s="644"/>
      <c r="Q3537" s="644"/>
    </row>
    <row r="3538" spans="2:17" s="57" customFormat="1" ht="12.5">
      <c r="B3538" s="700" t="s">
        <v>1355</v>
      </c>
      <c r="C3538" s="1767">
        <f>IFERROR(JM!C812,0)</f>
        <v>43</v>
      </c>
      <c r="D3538" s="721">
        <f>IFERROR(JM!D812,0)</f>
        <v>41</v>
      </c>
      <c r="E3538" s="721">
        <f>IFERROR(JM!E812,0)</f>
        <v>40</v>
      </c>
      <c r="F3538" s="721">
        <f>IFERROR(JM!F812,0)</f>
        <v>41</v>
      </c>
      <c r="G3538" s="721">
        <f>IFERROR(JM!G812,0)</f>
        <v>40</v>
      </c>
      <c r="H3538" s="721">
        <f>IFERROR(JM!H812,0)</f>
        <v>40</v>
      </c>
      <c r="I3538" s="721">
        <f>IFERROR(JM!I812,0)</f>
        <v>39</v>
      </c>
      <c r="J3538" s="1639">
        <f>IFERROR(JM!J812,0)</f>
        <v>39</v>
      </c>
      <c r="K3538" s="644"/>
      <c r="L3538" s="644"/>
      <c r="M3538" s="644"/>
      <c r="N3538" s="644"/>
      <c r="O3538" s="644"/>
      <c r="P3538" s="644"/>
      <c r="Q3538" s="644"/>
    </row>
    <row r="3539" spans="2:17" s="57" customFormat="1" ht="12.5">
      <c r="B3539" s="700" t="s">
        <v>1318</v>
      </c>
      <c r="C3539" s="1767">
        <f>IFERROR(JM!C834,0)</f>
        <v>17</v>
      </c>
      <c r="D3539" s="721">
        <f>IFERROR(JM!D834,0)</f>
        <v>22</v>
      </c>
      <c r="E3539" s="721">
        <f>IFERROR(JM!E834,0)</f>
        <v>21</v>
      </c>
      <c r="F3539" s="721">
        <f>IFERROR(JM!F834,0)</f>
        <v>19</v>
      </c>
      <c r="G3539" s="721">
        <f>IFERROR(JM!G834,0)</f>
        <v>20</v>
      </c>
      <c r="H3539" s="721">
        <f>IFERROR(JM!H834,0)</f>
        <v>19</v>
      </c>
      <c r="I3539" s="721">
        <f>IFERROR(JM!I834,0)</f>
        <v>19</v>
      </c>
      <c r="J3539" s="1639">
        <f>IFERROR(JM!J834,0)</f>
        <v>21</v>
      </c>
      <c r="K3539" s="644"/>
      <c r="L3539" s="644"/>
      <c r="M3539" s="644"/>
      <c r="N3539" s="644"/>
      <c r="O3539" s="644"/>
      <c r="P3539" s="644"/>
      <c r="Q3539" s="644"/>
    </row>
    <row r="3540" spans="2:17" s="57" customFormat="1" ht="12.5">
      <c r="B3540" s="1753"/>
      <c r="C3540" s="1767"/>
      <c r="D3540" s="721"/>
      <c r="E3540" s="721"/>
      <c r="F3540" s="721"/>
      <c r="G3540" s="721"/>
      <c r="H3540" s="721"/>
      <c r="I3540" s="721"/>
      <c r="J3540" s="1639"/>
      <c r="K3540" s="644"/>
      <c r="L3540" s="644"/>
      <c r="M3540" s="644"/>
      <c r="N3540" s="644"/>
      <c r="O3540" s="644"/>
      <c r="P3540" s="644"/>
      <c r="Q3540" s="644"/>
    </row>
    <row r="3541" spans="2:17" s="57" customFormat="1" ht="13">
      <c r="B3541" s="708" t="s">
        <v>1052</v>
      </c>
      <c r="C3541" s="1776"/>
      <c r="D3541" s="632"/>
      <c r="E3541" s="632"/>
      <c r="F3541" s="632"/>
      <c r="G3541" s="632"/>
      <c r="H3541" s="702"/>
      <c r="I3541" s="702"/>
      <c r="J3541" s="703"/>
      <c r="K3541" s="644"/>
      <c r="L3541" s="644"/>
      <c r="M3541" s="644"/>
      <c r="N3541" s="644"/>
      <c r="O3541" s="644"/>
      <c r="P3541" s="644"/>
      <c r="Q3541" s="644"/>
    </row>
    <row r="3542" spans="2:17" s="57" customFormat="1" ht="12.5">
      <c r="B3542" s="706" t="s">
        <v>699</v>
      </c>
      <c r="C3542" s="1767" t="str">
        <f>IFERROR(RD!C732,0)</f>
        <v>0</v>
      </c>
      <c r="D3542" s="721" t="str">
        <f>IFERROR(RD!D732,0)</f>
        <v>0</v>
      </c>
      <c r="E3542" s="721" t="str">
        <f>IFERROR(RD!E732,0)</f>
        <v>0</v>
      </c>
      <c r="F3542" s="721" t="str">
        <f>IFERROR(RD!F732,0)</f>
        <v>0</v>
      </c>
      <c r="G3542" s="721" t="str">
        <f>IFERROR(RD!G732,0)</f>
        <v>0</v>
      </c>
      <c r="H3542" s="721" t="str">
        <f>IFERROR(RD!H732,0)</f>
        <v>0</v>
      </c>
      <c r="I3542" s="721" t="str">
        <f>IFERROR(RD!I732,0)</f>
        <v>0</v>
      </c>
      <c r="J3542" s="1639" t="str">
        <f>IFERROR(RD!J732,0)</f>
        <v>0</v>
      </c>
      <c r="K3542" s="644"/>
      <c r="L3542" s="644"/>
      <c r="M3542" s="644"/>
      <c r="N3542" s="644"/>
      <c r="O3542" s="644"/>
      <c r="P3542" s="644"/>
      <c r="Q3542" s="644"/>
    </row>
    <row r="3543" spans="2:17" s="57" customFormat="1" ht="12.5">
      <c r="B3543" s="1753"/>
      <c r="C3543" s="1777"/>
      <c r="D3543" s="717"/>
      <c r="E3543" s="717"/>
      <c r="F3543" s="717"/>
      <c r="G3543" s="717"/>
      <c r="H3543" s="702"/>
      <c r="I3543" s="702"/>
      <c r="J3543" s="703"/>
      <c r="K3543" s="644"/>
      <c r="L3543" s="644"/>
      <c r="M3543" s="644"/>
      <c r="N3543" s="644"/>
      <c r="O3543" s="644"/>
      <c r="P3543" s="644"/>
      <c r="Q3543" s="644"/>
    </row>
    <row r="3544" spans="2:17" s="57" customFormat="1" ht="13">
      <c r="B3544" s="708" t="s">
        <v>1053</v>
      </c>
      <c r="C3544" s="1776"/>
      <c r="D3544" s="632"/>
      <c r="E3544" s="632"/>
      <c r="F3544" s="632"/>
      <c r="G3544" s="632"/>
      <c r="H3544" s="702"/>
      <c r="I3544" s="702"/>
      <c r="J3544" s="703"/>
      <c r="K3544" s="644"/>
      <c r="L3544" s="644"/>
      <c r="M3544" s="644"/>
      <c r="N3544" s="644"/>
      <c r="O3544" s="644"/>
      <c r="P3544" s="644"/>
      <c r="Q3544" s="644"/>
    </row>
    <row r="3545" spans="2:17" s="57" customFormat="1" ht="12.5">
      <c r="B3545" s="663" t="s">
        <v>1399</v>
      </c>
      <c r="C3545" s="1767">
        <f>IFERROR(PY!C1094,0)</f>
        <v>32</v>
      </c>
      <c r="D3545" s="721">
        <f>IFERROR(PY!D1094,0)</f>
        <v>29</v>
      </c>
      <c r="E3545" s="721">
        <f>IFERROR(PY!E1094,0)</f>
        <v>29</v>
      </c>
      <c r="F3545" s="721">
        <f>IFERROR(PY!F1094,0)</f>
        <v>32</v>
      </c>
      <c r="G3545" s="721">
        <f>IFERROR(PY!G1094,0)</f>
        <v>32</v>
      </c>
      <c r="H3545" s="721">
        <f>IFERROR(PY!H1094,0)</f>
        <v>31</v>
      </c>
      <c r="I3545" s="721">
        <f>IFERROR(PY!I1094,0)</f>
        <v>31</v>
      </c>
      <c r="J3545" s="1639">
        <f>IFERROR(PY!J1094,0)</f>
        <v>31</v>
      </c>
      <c r="K3545" s="644"/>
      <c r="L3545" s="644"/>
      <c r="M3545" s="644"/>
      <c r="N3545" s="644"/>
      <c r="O3545" s="644"/>
      <c r="P3545" s="644"/>
      <c r="Q3545" s="644"/>
    </row>
    <row r="3546" spans="2:17" s="57" customFormat="1" ht="12.5">
      <c r="B3546" s="663" t="s">
        <v>1319</v>
      </c>
      <c r="C3546" s="1767">
        <f>IFERROR(PY!C1116,0)</f>
        <v>9</v>
      </c>
      <c r="D3546" s="721">
        <f>IFERROR(PY!D1116,0)</f>
        <v>9</v>
      </c>
      <c r="E3546" s="721">
        <f>IFERROR(PY!E1116,0)</f>
        <v>9</v>
      </c>
      <c r="F3546" s="721">
        <f>IFERROR(PY!F1116,0)</f>
        <v>9</v>
      </c>
      <c r="G3546" s="721">
        <f>IFERROR(PY!G1116,0)</f>
        <v>12</v>
      </c>
      <c r="H3546" s="721">
        <f>IFERROR(PY!H1116,0)</f>
        <v>14</v>
      </c>
      <c r="I3546" s="721">
        <f>IFERROR(PY!I1116,0)</f>
        <v>14</v>
      </c>
      <c r="J3546" s="1639">
        <f>IFERROR(PY!J1116,0)</f>
        <v>16</v>
      </c>
      <c r="K3546" s="644"/>
      <c r="L3546" s="644"/>
      <c r="M3546" s="644"/>
      <c r="N3546" s="644"/>
      <c r="O3546" s="644"/>
      <c r="P3546" s="644"/>
      <c r="Q3546" s="644"/>
    </row>
    <row r="3547" spans="2:17" s="57" customFormat="1" ht="12.5">
      <c r="B3547" s="663"/>
      <c r="C3547" s="1778"/>
      <c r="D3547" s="837"/>
      <c r="E3547" s="837"/>
      <c r="F3547" s="837"/>
      <c r="G3547" s="837"/>
      <c r="H3547" s="702"/>
      <c r="I3547" s="702"/>
      <c r="J3547" s="703"/>
      <c r="K3547" s="644"/>
      <c r="L3547" s="644"/>
      <c r="M3547" s="644"/>
      <c r="N3547" s="644"/>
      <c r="O3547" s="644"/>
      <c r="P3547" s="644"/>
      <c r="Q3547" s="644"/>
    </row>
    <row r="3548" spans="2:17" s="57" customFormat="1" ht="13">
      <c r="B3548" s="708" t="s">
        <v>1054</v>
      </c>
      <c r="C3548" s="1778"/>
      <c r="D3548" s="837"/>
      <c r="E3548" s="837"/>
      <c r="F3548" s="837"/>
      <c r="G3548" s="837"/>
      <c r="H3548" s="702"/>
      <c r="I3548" s="702"/>
      <c r="J3548" s="703"/>
      <c r="K3548" s="644"/>
      <c r="L3548" s="644"/>
      <c r="M3548" s="644"/>
      <c r="N3548" s="644"/>
      <c r="O3548" s="644"/>
      <c r="P3548" s="644"/>
      <c r="Q3548" s="644"/>
    </row>
    <row r="3549" spans="2:17" s="57" customFormat="1" ht="12.5">
      <c r="B3549" s="663" t="s">
        <v>1388</v>
      </c>
      <c r="C3549" s="1767">
        <f>IFERROR(PE!C657,0)</f>
        <v>39</v>
      </c>
      <c r="D3549" s="721">
        <f>IFERROR(PE!D657,0)</f>
        <v>36</v>
      </c>
      <c r="E3549" s="721">
        <f>IFERROR(PE!E657,0)</f>
        <v>36</v>
      </c>
      <c r="F3549" s="721">
        <f>IFERROR(PE!F657,0)</f>
        <v>36</v>
      </c>
      <c r="G3549" s="721">
        <f>IFERROR(PE!G657,0)</f>
        <v>38</v>
      </c>
      <c r="H3549" s="721">
        <f>IFERROR(PE!H657,0)</f>
        <v>38</v>
      </c>
      <c r="I3549" s="721">
        <f>IFERROR(PE!I657,0)</f>
        <v>38</v>
      </c>
      <c r="J3549" s="1639">
        <f>IFERROR(PE!J657,0)</f>
        <v>37</v>
      </c>
      <c r="K3549" s="644"/>
      <c r="L3549" s="644"/>
      <c r="M3549" s="644"/>
      <c r="N3549" s="644"/>
      <c r="O3549" s="644"/>
      <c r="P3549" s="644"/>
      <c r="Q3549" s="644"/>
    </row>
    <row r="3550" spans="2:17" s="57" customFormat="1" ht="12.5">
      <c r="B3550" s="663"/>
      <c r="C3550" s="1778"/>
      <c r="D3550" s="837"/>
      <c r="E3550" s="837"/>
      <c r="F3550" s="837"/>
      <c r="G3550" s="837"/>
      <c r="H3550" s="702"/>
      <c r="I3550" s="702"/>
      <c r="J3550" s="703"/>
      <c r="K3550" s="644"/>
      <c r="L3550" s="644"/>
      <c r="M3550" s="644"/>
      <c r="N3550" s="644"/>
      <c r="O3550" s="644"/>
      <c r="P3550" s="644"/>
      <c r="Q3550" s="644"/>
    </row>
    <row r="3551" spans="2:17" s="57" customFormat="1" ht="13">
      <c r="B3551" s="708" t="s">
        <v>1055</v>
      </c>
      <c r="C3551" s="1776"/>
      <c r="D3551" s="632"/>
      <c r="E3551" s="632"/>
      <c r="F3551" s="632"/>
      <c r="G3551" s="632"/>
      <c r="H3551" s="702"/>
      <c r="I3551" s="702"/>
      <c r="J3551" s="703"/>
      <c r="K3551" s="644"/>
      <c r="L3551" s="644"/>
      <c r="M3551" s="644"/>
      <c r="N3551" s="644"/>
      <c r="O3551" s="644"/>
      <c r="P3551" s="644"/>
      <c r="Q3551" s="644"/>
    </row>
    <row r="3552" spans="2:17" s="57" customFormat="1" ht="12.5">
      <c r="B3552" s="704" t="s">
        <v>1308</v>
      </c>
      <c r="C3552" s="1767">
        <f>IFERROR(TT!C781,0)</f>
        <v>13</v>
      </c>
      <c r="D3552" s="721">
        <f>IFERROR(TT!D781,0)</f>
        <v>13</v>
      </c>
      <c r="E3552" s="721">
        <f>IFERROR(TT!E781,0)</f>
        <v>13</v>
      </c>
      <c r="F3552" s="721">
        <f>IFERROR(TT!F781,0)</f>
        <v>12</v>
      </c>
      <c r="G3552" s="721">
        <f>IFERROR(TT!G781,0)</f>
        <v>12</v>
      </c>
      <c r="H3552" s="721">
        <f>IFERROR(TT!H781,0)</f>
        <v>12</v>
      </c>
      <c r="I3552" s="721">
        <f>IFERROR(TT!I781,0)</f>
        <v>12</v>
      </c>
      <c r="J3552" s="1639">
        <f>IFERROR(TT!J781,0)</f>
        <v>13</v>
      </c>
      <c r="K3552" s="644"/>
      <c r="L3552" s="644"/>
      <c r="M3552" s="644"/>
      <c r="N3552" s="644"/>
      <c r="O3552" s="644"/>
      <c r="P3552" s="644"/>
      <c r="Q3552" s="644"/>
    </row>
    <row r="3553" spans="2:18" s="57" customFormat="1" ht="12.5">
      <c r="B3553" s="726" t="s">
        <v>1309</v>
      </c>
      <c r="C3553" s="1642">
        <f>IFERROR(TT!C803,0)</f>
        <v>22</v>
      </c>
      <c r="D3553" s="1637">
        <f>IFERROR(TT!D803,0)</f>
        <v>22</v>
      </c>
      <c r="E3553" s="1637">
        <f>IFERROR(TT!E803,0)</f>
        <v>22</v>
      </c>
      <c r="F3553" s="1637">
        <f>IFERROR(TT!F803,0)</f>
        <v>22</v>
      </c>
      <c r="G3553" s="1637">
        <f>IFERROR(TT!G803,0)</f>
        <v>20</v>
      </c>
      <c r="H3553" s="1637">
        <f>IFERROR(TT!H803,0)</f>
        <v>22</v>
      </c>
      <c r="I3553" s="1637">
        <f>IFERROR(TT!I803,0)</f>
        <v>22</v>
      </c>
      <c r="J3553" s="1640">
        <f>IFERROR(TT!J803,0)</f>
        <v>20</v>
      </c>
      <c r="K3553" s="644"/>
      <c r="L3553" s="644"/>
      <c r="M3553" s="644"/>
      <c r="N3553" s="644"/>
      <c r="O3553" s="644"/>
      <c r="P3553" s="644"/>
      <c r="Q3553" s="644"/>
    </row>
    <row r="3554" spans="2:18" s="57" customFormat="1" ht="12.5">
      <c r="B3554" s="619"/>
      <c r="C3554" s="622"/>
      <c r="D3554" s="622"/>
      <c r="E3554" s="644"/>
      <c r="F3554" s="644"/>
      <c r="G3554" s="644"/>
      <c r="H3554" s="644"/>
      <c r="I3554" s="644"/>
      <c r="J3554" s="644"/>
      <c r="K3554" s="644"/>
      <c r="L3554" s="644"/>
      <c r="M3554" s="644"/>
      <c r="N3554" s="644"/>
      <c r="O3554" s="644"/>
      <c r="P3554" s="644"/>
      <c r="Q3554" s="644"/>
    </row>
    <row r="3555" spans="2:18" s="57" customFormat="1" ht="13">
      <c r="B3555" s="2158" t="s">
        <v>1400</v>
      </c>
      <c r="C3555" s="2158"/>
      <c r="D3555" s="2158"/>
      <c r="E3555" s="2158"/>
      <c r="F3555" s="2158"/>
      <c r="G3555" s="2158"/>
      <c r="H3555" s="2158"/>
      <c r="I3555" s="2158"/>
      <c r="J3555" s="2158"/>
      <c r="K3555" s="2158"/>
      <c r="L3555" s="2158"/>
      <c r="M3555" s="2158"/>
      <c r="N3555" s="2158"/>
      <c r="O3555" s="2158"/>
      <c r="P3555" s="2158"/>
      <c r="Q3555" s="2158"/>
      <c r="R3555" s="2158"/>
    </row>
    <row r="3556" spans="2:18" s="57" customFormat="1" ht="13">
      <c r="B3556" s="2253" t="s">
        <v>1401</v>
      </c>
      <c r="C3556" s="2253"/>
      <c r="D3556" s="2253"/>
      <c r="E3556" s="2253"/>
      <c r="F3556" s="2253"/>
      <c r="G3556" s="2253"/>
      <c r="H3556" s="2253"/>
      <c r="I3556" s="2253"/>
      <c r="J3556" s="2253"/>
      <c r="K3556" s="2253"/>
      <c r="L3556" s="2253"/>
      <c r="M3556" s="2253"/>
      <c r="N3556" s="2253"/>
      <c r="O3556" s="2253"/>
      <c r="P3556" s="2253"/>
      <c r="Q3556" s="2253"/>
      <c r="R3556" s="2253"/>
    </row>
    <row r="3557" spans="2:18" s="57" customFormat="1" ht="13">
      <c r="B3557" s="581" t="s">
        <v>1035</v>
      </c>
      <c r="C3557" s="611"/>
      <c r="D3557" s="611"/>
      <c r="E3557" s="644"/>
      <c r="F3557" s="644"/>
      <c r="G3557" s="644"/>
      <c r="H3557" s="644"/>
      <c r="I3557" s="644"/>
      <c r="J3557" s="644"/>
      <c r="K3557" s="644"/>
      <c r="L3557" s="644"/>
      <c r="M3557" s="644"/>
      <c r="N3557" s="644"/>
      <c r="O3557" s="644"/>
      <c r="P3557" s="644"/>
      <c r="Q3557" s="644"/>
    </row>
    <row r="3558" spans="2:18" s="57" customFormat="1" ht="13">
      <c r="B3558" s="612" t="s">
        <v>2163</v>
      </c>
      <c r="C3558" s="613"/>
      <c r="D3558" s="613"/>
      <c r="E3558" s="644"/>
      <c r="F3558" s="644"/>
      <c r="G3558" s="644"/>
      <c r="H3558" s="644"/>
      <c r="I3558" s="644"/>
      <c r="J3558" s="644"/>
      <c r="K3558" s="644"/>
      <c r="L3558" s="644"/>
      <c r="M3558" s="644"/>
      <c r="N3558" s="644"/>
      <c r="O3558" s="644"/>
      <c r="P3558" s="644"/>
      <c r="Q3558" s="644"/>
    </row>
    <row r="3559" spans="2:18" s="57" customFormat="1" ht="13.9" customHeight="1">
      <c r="B3559" s="2233" t="s">
        <v>11</v>
      </c>
      <c r="C3559" s="2230" t="s">
        <v>1402</v>
      </c>
      <c r="D3559" s="2231"/>
      <c r="E3559" s="2231"/>
      <c r="F3559" s="2231"/>
      <c r="G3559" s="2231"/>
      <c r="H3559" s="2231"/>
      <c r="I3559" s="2231"/>
      <c r="J3559" s="2232"/>
      <c r="K3559" s="644"/>
      <c r="L3559" s="644"/>
      <c r="M3559" s="644"/>
      <c r="N3559" s="644"/>
      <c r="O3559" s="644"/>
      <c r="P3559" s="644"/>
      <c r="Q3559" s="644"/>
    </row>
    <row r="3560" spans="2:18" s="57" customFormat="1" ht="12.5">
      <c r="B3560" s="2234"/>
      <c r="C3560" s="587">
        <v>2014</v>
      </c>
      <c r="D3560" s="588">
        <v>2015</v>
      </c>
      <c r="E3560" s="588">
        <v>2016</v>
      </c>
      <c r="F3560" s="588">
        <v>2017</v>
      </c>
      <c r="G3560" s="588">
        <v>2018</v>
      </c>
      <c r="H3560" s="588">
        <v>2019</v>
      </c>
      <c r="I3560" s="588">
        <v>2020</v>
      </c>
      <c r="J3560" s="848">
        <v>2021</v>
      </c>
      <c r="K3560" s="644"/>
      <c r="L3560" s="644"/>
      <c r="M3560" s="644"/>
      <c r="N3560" s="644"/>
      <c r="O3560" s="644"/>
      <c r="P3560" s="644"/>
      <c r="Q3560" s="644"/>
    </row>
    <row r="3561" spans="2:18" s="57" customFormat="1" ht="13">
      <c r="B3561" s="741" t="s">
        <v>1038</v>
      </c>
      <c r="C3561" s="761"/>
      <c r="D3561" s="755"/>
      <c r="E3561" s="755"/>
      <c r="F3561" s="755"/>
      <c r="G3561" s="755"/>
      <c r="H3561" s="755"/>
      <c r="I3561" s="755"/>
      <c r="J3561" s="756"/>
      <c r="K3561" s="644"/>
      <c r="L3561" s="644"/>
      <c r="M3561" s="644"/>
      <c r="N3561" s="644"/>
      <c r="O3561" s="644"/>
      <c r="P3561" s="644"/>
      <c r="Q3561" s="644"/>
    </row>
    <row r="3562" spans="2:18" s="57" customFormat="1" ht="12.5">
      <c r="B3562" s="651" t="s">
        <v>126</v>
      </c>
      <c r="C3562" s="1760">
        <f>IFERROR(ARG!C1571,0)</f>
        <v>4428</v>
      </c>
      <c r="D3562" s="774">
        <f>IFERROR(ARG!D1571,0)</f>
        <v>4380</v>
      </c>
      <c r="E3562" s="774">
        <f>IFERROR(ARG!E1571,0)</f>
        <v>4620</v>
      </c>
      <c r="F3562" s="774">
        <f>IFERROR(ARG!F1571,0)</f>
        <v>9922</v>
      </c>
      <c r="G3562" s="774">
        <f>IFERROR(ARG!G1571,0)</f>
        <v>5070</v>
      </c>
      <c r="H3562" s="774">
        <f>IFERROR(ARG!H1571,0)</f>
        <v>5484</v>
      </c>
      <c r="I3562" s="774">
        <f>IFERROR(ARG!I1571,0)</f>
        <v>4665</v>
      </c>
      <c r="J3562" s="775">
        <f>IFERROR(ARG!J1571,0)</f>
        <v>5965</v>
      </c>
      <c r="K3562" s="644"/>
      <c r="L3562" s="644"/>
      <c r="M3562" s="644"/>
      <c r="N3562" s="644"/>
      <c r="O3562" s="644"/>
      <c r="P3562" s="644"/>
      <c r="Q3562" s="644"/>
    </row>
    <row r="3563" spans="2:18" s="57" customFormat="1" ht="12.5">
      <c r="B3563" s="651" t="s">
        <v>4</v>
      </c>
      <c r="C3563" s="1760">
        <f>IFERROR(ARG!C1579,0)</f>
        <v>0</v>
      </c>
      <c r="D3563" s="774">
        <f>IFERROR(ARG!D1579,0)</f>
        <v>192</v>
      </c>
      <c r="E3563" s="774">
        <f>IFERROR(ARG!E1579,0)</f>
        <v>155</v>
      </c>
      <c r="F3563" s="774">
        <f>IFERROR(ARG!F1579,0)</f>
        <v>1538</v>
      </c>
      <c r="G3563" s="774">
        <f>IFERROR(ARG!G1579,0)</f>
        <v>3266</v>
      </c>
      <c r="H3563" s="774">
        <f>IFERROR(ARG!H1579,0)</f>
        <v>3653</v>
      </c>
      <c r="I3563" s="774">
        <f>IFERROR(ARG!I1579,0)</f>
        <v>3294</v>
      </c>
      <c r="J3563" s="775">
        <f>IFERROR(ARG!J1579,0)</f>
        <v>3041</v>
      </c>
      <c r="K3563" s="644"/>
      <c r="L3563" s="644"/>
      <c r="M3563" s="644"/>
      <c r="N3563" s="644"/>
      <c r="O3563" s="644"/>
      <c r="P3563" s="644"/>
      <c r="Q3563" s="644"/>
    </row>
    <row r="3564" spans="2:18" s="57" customFormat="1" ht="12.5">
      <c r="B3564" s="651"/>
      <c r="C3564" s="1700"/>
      <c r="D3564" s="679"/>
      <c r="E3564" s="679"/>
      <c r="F3564" s="679"/>
      <c r="G3564" s="679"/>
      <c r="H3564" s="753"/>
      <c r="I3564" s="753"/>
      <c r="J3564" s="778"/>
      <c r="K3564" s="644"/>
      <c r="L3564" s="644"/>
      <c r="M3564" s="644"/>
      <c r="N3564" s="644"/>
      <c r="O3564" s="644"/>
      <c r="P3564" s="644"/>
      <c r="Q3564" s="644"/>
    </row>
    <row r="3565" spans="2:18" s="57" customFormat="1" ht="13">
      <c r="B3565" s="746" t="s">
        <v>1039</v>
      </c>
      <c r="C3565" s="1700"/>
      <c r="D3565" s="679"/>
      <c r="E3565" s="679"/>
      <c r="F3565" s="679"/>
      <c r="G3565" s="679"/>
      <c r="H3565" s="753"/>
      <c r="I3565" s="753"/>
      <c r="J3565" s="778"/>
      <c r="K3565" s="644"/>
      <c r="L3565" s="644"/>
      <c r="M3565" s="644"/>
      <c r="N3565" s="644"/>
      <c r="O3565" s="644"/>
      <c r="P3565" s="644"/>
      <c r="Q3565" s="644"/>
    </row>
    <row r="3566" spans="2:18" s="57" customFormat="1" ht="25">
      <c r="B3566" s="747" t="s">
        <v>1892</v>
      </c>
      <c r="C3566" s="1760">
        <f>IFERROR(BA!C618,0)</f>
        <v>0</v>
      </c>
      <c r="D3566" s="774">
        <f>IFERROR(BA!D618,0)</f>
        <v>0</v>
      </c>
      <c r="E3566" s="774">
        <f>IFERROR(BA!E618,0)</f>
        <v>0</v>
      </c>
      <c r="F3566" s="774">
        <f>IFERROR(BA!F618,0)</f>
        <v>0</v>
      </c>
      <c r="G3566" s="774">
        <f>IFERROR(BA!G618,0)</f>
        <v>0</v>
      </c>
      <c r="H3566" s="774">
        <f>IFERROR(BA!H618,0)</f>
        <v>0</v>
      </c>
      <c r="I3566" s="774">
        <f>IFERROR(BA!I618,0)</f>
        <v>0.22700000000000001</v>
      </c>
      <c r="J3566" s="775">
        <f>IFERROR(BA!J618,0)</f>
        <v>0</v>
      </c>
      <c r="K3566" s="644"/>
      <c r="L3566" s="644"/>
      <c r="M3566" s="644"/>
      <c r="N3566" s="644"/>
      <c r="O3566" s="644"/>
      <c r="P3566" s="644"/>
      <c r="Q3566" s="644"/>
    </row>
    <row r="3567" spans="2:18" s="57" customFormat="1" ht="12.5">
      <c r="B3567" s="651"/>
      <c r="C3567" s="1700"/>
      <c r="D3567" s="679"/>
      <c r="E3567" s="679"/>
      <c r="F3567" s="679"/>
      <c r="G3567" s="679"/>
      <c r="H3567" s="753"/>
      <c r="I3567" s="753"/>
      <c r="J3567" s="778"/>
      <c r="K3567" s="644"/>
      <c r="L3567" s="644"/>
      <c r="M3567" s="644"/>
      <c r="N3567" s="644"/>
      <c r="O3567" s="644"/>
      <c r="P3567" s="644"/>
      <c r="Q3567" s="644"/>
    </row>
    <row r="3568" spans="2:18" s="57" customFormat="1" ht="13">
      <c r="B3568" s="746" t="s">
        <v>1040</v>
      </c>
      <c r="C3568" s="1700"/>
      <c r="D3568" s="679"/>
      <c r="E3568" s="679"/>
      <c r="F3568" s="679"/>
      <c r="G3568" s="679"/>
      <c r="H3568" s="753"/>
      <c r="I3568" s="753"/>
      <c r="J3568" s="778"/>
      <c r="K3568" s="644"/>
      <c r="L3568" s="644"/>
      <c r="M3568" s="644"/>
      <c r="N3568" s="644"/>
      <c r="O3568" s="644"/>
      <c r="P3568" s="644"/>
      <c r="Q3568" s="644"/>
    </row>
    <row r="3569" spans="2:17" s="57" customFormat="1" ht="12.5">
      <c r="B3569" s="659" t="s">
        <v>1312</v>
      </c>
      <c r="C3569" s="1760">
        <f>IFERROR(BO!C916,0)</f>
        <v>50.662999999999997</v>
      </c>
      <c r="D3569" s="774">
        <f>IFERROR(BO!D916,0)</f>
        <v>46.230999999999995</v>
      </c>
      <c r="E3569" s="774">
        <f>IFERROR(BO!E916,0)</f>
        <v>42.033000000000001</v>
      </c>
      <c r="F3569" s="774">
        <f>IFERROR(BO!F916,0)</f>
        <v>48.522000000000006</v>
      </c>
      <c r="G3569" s="774">
        <f>IFERROR(BO!G916,0)</f>
        <v>61.204999999999998</v>
      </c>
      <c r="H3569" s="774">
        <f>IFERROR(BO!H916,0)</f>
        <v>48.278999999999996</v>
      </c>
      <c r="I3569" s="774">
        <f>IFERROR(BO!I916,0)</f>
        <v>48.136000000000003</v>
      </c>
      <c r="J3569" s="775">
        <f>IFERROR(BO!J916,0)</f>
        <v>51.195999999999998</v>
      </c>
      <c r="K3569" s="644"/>
      <c r="L3569" s="644"/>
      <c r="M3569" s="644"/>
      <c r="N3569" s="644"/>
      <c r="O3569" s="644"/>
      <c r="P3569" s="644"/>
      <c r="Q3569" s="644"/>
    </row>
    <row r="3570" spans="2:17" s="57" customFormat="1" ht="13">
      <c r="B3570" s="746"/>
      <c r="C3570" s="1700"/>
      <c r="D3570" s="679"/>
      <c r="E3570" s="679"/>
      <c r="F3570" s="679"/>
      <c r="G3570" s="679"/>
      <c r="H3570" s="753"/>
      <c r="I3570" s="753"/>
      <c r="J3570" s="778"/>
      <c r="K3570" s="644"/>
      <c r="L3570" s="644"/>
      <c r="M3570" s="644"/>
      <c r="N3570" s="644"/>
      <c r="O3570" s="644"/>
      <c r="P3570" s="644"/>
      <c r="Q3570" s="644"/>
    </row>
    <row r="3571" spans="2:17" s="57" customFormat="1" ht="13">
      <c r="B3571" s="746" t="s">
        <v>1041</v>
      </c>
      <c r="C3571" s="1700"/>
      <c r="D3571" s="679"/>
      <c r="E3571" s="679"/>
      <c r="F3571" s="679"/>
      <c r="G3571" s="679"/>
      <c r="H3571" s="753"/>
      <c r="I3571" s="753"/>
      <c r="J3571" s="778"/>
      <c r="K3571" s="644"/>
      <c r="L3571" s="644"/>
      <c r="M3571" s="644"/>
      <c r="N3571" s="644"/>
      <c r="O3571" s="644"/>
      <c r="P3571" s="644"/>
      <c r="Q3571" s="644"/>
    </row>
    <row r="3572" spans="2:17" s="57" customFormat="1" ht="12.5">
      <c r="B3572" s="659" t="s">
        <v>972</v>
      </c>
      <c r="C3572" s="1760">
        <f>IFERROR(BR!C1333,0)</f>
        <v>0.38800000000000001</v>
      </c>
      <c r="D3572" s="774">
        <f>IFERROR(BR!D1333,0)</f>
        <v>0.35900000000000021</v>
      </c>
      <c r="E3572" s="774">
        <f>IFERROR(BR!E1333,0)</f>
        <v>0.34700000000000036</v>
      </c>
      <c r="F3572" s="774">
        <f>IFERROR(BR!F1333,0)</f>
        <v>0.32599999999999951</v>
      </c>
      <c r="G3572" s="774">
        <f>IFERROR(BR!G1333,0)</f>
        <v>0.378</v>
      </c>
      <c r="H3572" s="774">
        <f>IFERROR(BR!H1333,0)</f>
        <v>0.39</v>
      </c>
      <c r="I3572" s="774">
        <f>IFERROR(BR!I1333,0)</f>
        <v>0.377</v>
      </c>
      <c r="J3572" s="775">
        <f>IFERROR(BR!J1333,0)</f>
        <v>0.36099999999999999</v>
      </c>
      <c r="K3572" s="644"/>
      <c r="L3572" s="644"/>
      <c r="M3572" s="644"/>
      <c r="N3572" s="644"/>
      <c r="O3572" s="644"/>
      <c r="P3572" s="644"/>
      <c r="Q3572" s="644"/>
    </row>
    <row r="3573" spans="2:17" s="57" customFormat="1" ht="12.5">
      <c r="B3573" s="651" t="s">
        <v>1289</v>
      </c>
      <c r="C3573" s="1760">
        <f>IFERROR(BR!C1309,0)</f>
        <v>1.3220000000000001</v>
      </c>
      <c r="D3573" s="774">
        <f>IFERROR(BR!D1309,0)</f>
        <v>1.337</v>
      </c>
      <c r="E3573" s="774">
        <f>IFERROR(BR!E1309,0)</f>
        <v>1.387</v>
      </c>
      <c r="F3573" s="774">
        <f>IFERROR(BR!F1309,0)</f>
        <v>1.423</v>
      </c>
      <c r="G3573" s="774">
        <f>IFERROR(BR!G1309,0)</f>
        <v>0</v>
      </c>
      <c r="H3573" s="774">
        <f>IFERROR(BR!H1309,0)</f>
        <v>0</v>
      </c>
      <c r="I3573" s="774">
        <f>IFERROR(BR!I1309,0)</f>
        <v>0</v>
      </c>
      <c r="J3573" s="775">
        <f>IFERROR(BR!J1309,0)</f>
        <v>0</v>
      </c>
      <c r="K3573" s="644"/>
      <c r="L3573" s="644"/>
      <c r="M3573" s="644"/>
      <c r="N3573" s="644"/>
      <c r="O3573" s="644"/>
      <c r="P3573" s="644"/>
      <c r="Q3573" s="644"/>
    </row>
    <row r="3574" spans="2:17" s="57" customFormat="1" ht="25">
      <c r="B3574" s="653" t="s">
        <v>971</v>
      </c>
      <c r="C3574" s="1760">
        <f>IFERROR(BR!C1317,0)</f>
        <v>0</v>
      </c>
      <c r="D3574" s="774">
        <f>IFERROR(BR!D1317,0)</f>
        <v>0</v>
      </c>
      <c r="E3574" s="774">
        <f>IFERROR(BR!E1317,0)</f>
        <v>0</v>
      </c>
      <c r="F3574" s="774">
        <f>IFERROR(BR!F1317,0)</f>
        <v>0</v>
      </c>
      <c r="G3574" s="774">
        <f>IFERROR(BR!G1317,0)</f>
        <v>1.403</v>
      </c>
      <c r="H3574" s="774">
        <f>IFERROR(BR!H1317,0)</f>
        <v>1.58</v>
      </c>
      <c r="I3574" s="774">
        <f>IFERROR(BR!I1317,0)</f>
        <v>2.1310000000000002</v>
      </c>
      <c r="J3574" s="775">
        <f>IFERROR(BR!J1317,0)</f>
        <v>2.3940000000000001</v>
      </c>
      <c r="K3574" s="644"/>
      <c r="L3574" s="644"/>
      <c r="M3574" s="644"/>
      <c r="N3574" s="644"/>
      <c r="O3574" s="644"/>
      <c r="P3574" s="644"/>
      <c r="Q3574" s="644"/>
    </row>
    <row r="3575" spans="2:17" s="57" customFormat="1" ht="12.5">
      <c r="B3575" s="651" t="s">
        <v>960</v>
      </c>
      <c r="C3575" s="1760">
        <f>IFERROR(BR!C1325/1000,0)</f>
        <v>3.2720410000000002</v>
      </c>
      <c r="D3575" s="774">
        <f>IFERROR(BR!D1325/1000,0)</f>
        <v>7.4301170000000001</v>
      </c>
      <c r="E3575" s="774">
        <f>IFERROR(BR!E1325/1000,0)</f>
        <v>9.1748500000000011</v>
      </c>
      <c r="F3575" s="774">
        <f>IFERROR(BR!F1325/1000,0)</f>
        <v>10.234174999999999</v>
      </c>
      <c r="G3575" s="774">
        <f>IFERROR(BR!G1325/1000,0)</f>
        <v>16.715026000000002</v>
      </c>
      <c r="H3575" s="774">
        <f>IFERROR(BR!H1325/1000,0)</f>
        <v>24.492146000000002</v>
      </c>
      <c r="I3575" s="774">
        <f>IFERROR(BR!I1325/1000,0)</f>
        <v>37.115842000000001</v>
      </c>
      <c r="J3575" s="775">
        <f>IFERROR(BR!J1325/1000,0)</f>
        <v>44.344681999999999</v>
      </c>
      <c r="K3575" s="644"/>
      <c r="L3575" s="644"/>
      <c r="M3575" s="644"/>
      <c r="N3575" s="644"/>
      <c r="O3575" s="644"/>
      <c r="P3575" s="644"/>
      <c r="Q3575" s="644"/>
    </row>
    <row r="3576" spans="2:17" s="57" customFormat="1" ht="13">
      <c r="B3576" s="746"/>
      <c r="C3576" s="1700"/>
      <c r="D3576" s="679"/>
      <c r="E3576" s="679"/>
      <c r="F3576" s="679"/>
      <c r="G3576" s="679"/>
      <c r="H3576" s="753"/>
      <c r="I3576" s="753"/>
      <c r="J3576" s="778"/>
      <c r="K3576" s="644"/>
    </row>
    <row r="3577" spans="2:17" s="57" customFormat="1" ht="13">
      <c r="B3577" s="746" t="s">
        <v>1042</v>
      </c>
      <c r="C3577" s="1700"/>
      <c r="D3577" s="679"/>
      <c r="E3577" s="679"/>
      <c r="F3577" s="679"/>
      <c r="G3577" s="679"/>
      <c r="H3577" s="753"/>
      <c r="I3577" s="753"/>
      <c r="J3577" s="778"/>
      <c r="K3577" s="644"/>
    </row>
    <row r="3578" spans="2:17" s="57" customFormat="1" ht="12.5">
      <c r="B3578" s="659" t="s">
        <v>503</v>
      </c>
      <c r="C3578" s="1760" t="str">
        <f>IFERROR(CL!C744,0)</f>
        <v>0</v>
      </c>
      <c r="D3578" s="774" t="str">
        <f>IFERROR(CL!D744,0)</f>
        <v>0</v>
      </c>
      <c r="E3578" s="774" t="str">
        <f>IFERROR(CL!E744,0)</f>
        <v>0</v>
      </c>
      <c r="F3578" s="774" t="str">
        <f>IFERROR(CL!F744,0)</f>
        <v>0</v>
      </c>
      <c r="G3578" s="774" t="str">
        <f>IFERROR(CL!G744,0)</f>
        <v>0</v>
      </c>
      <c r="H3578" s="774" t="str">
        <f>IFERROR(CL!H744,0)</f>
        <v>0</v>
      </c>
      <c r="I3578" s="774" t="str">
        <f>IFERROR(CL!I744,0)</f>
        <v>0</v>
      </c>
      <c r="J3578" s="775" t="str">
        <f>IFERROR(CL!J744,0)</f>
        <v>0</v>
      </c>
      <c r="K3578" s="644"/>
    </row>
    <row r="3579" spans="2:17" s="57" customFormat="1" ht="12.5">
      <c r="B3579" s="659"/>
      <c r="C3579" s="1700"/>
      <c r="D3579" s="679"/>
      <c r="E3579" s="679"/>
      <c r="F3579" s="679"/>
      <c r="G3579" s="679"/>
      <c r="H3579" s="753"/>
      <c r="I3579" s="753"/>
      <c r="J3579" s="778"/>
      <c r="K3579" s="644"/>
      <c r="L3579" s="644"/>
      <c r="M3579" s="644"/>
      <c r="N3579" s="644"/>
      <c r="O3579" s="644"/>
      <c r="P3579" s="644"/>
      <c r="Q3579" s="644"/>
    </row>
    <row r="3580" spans="2:17" s="57" customFormat="1" ht="13">
      <c r="B3580" s="649" t="s">
        <v>1043</v>
      </c>
      <c r="C3580" s="1700"/>
      <c r="D3580" s="679"/>
      <c r="E3580" s="679"/>
      <c r="F3580" s="679"/>
      <c r="G3580" s="679"/>
      <c r="H3580" s="753"/>
      <c r="I3580" s="753"/>
      <c r="J3580" s="778"/>
      <c r="K3580" s="644"/>
      <c r="L3580" s="644"/>
      <c r="M3580" s="644"/>
      <c r="N3580" s="644"/>
      <c r="O3580" s="644"/>
      <c r="P3580" s="644"/>
      <c r="Q3580" s="644"/>
    </row>
    <row r="3581" spans="2:17" s="57" customFormat="1" ht="12.5">
      <c r="B3581" s="651" t="s">
        <v>503</v>
      </c>
      <c r="C3581" s="1760">
        <f>IFERROR(CO!C923,0)</f>
        <v>1.573</v>
      </c>
      <c r="D3581" s="774">
        <f>IFERROR(CO!D923,0)</f>
        <v>1.228</v>
      </c>
      <c r="E3581" s="774">
        <f>IFERROR(CO!E923,0)</f>
        <v>0.94599999999999995</v>
      </c>
      <c r="F3581" s="774">
        <f>IFERROR(CO!F923,0)</f>
        <v>0.54400000000000004</v>
      </c>
      <c r="G3581" s="774">
        <f>IFERROR(CO!G923,0)</f>
        <v>0.46800000000000003</v>
      </c>
      <c r="H3581" s="774">
        <f>IFERROR(CO!H923,0)</f>
        <v>0.38700000000000001</v>
      </c>
      <c r="I3581" s="774">
        <f>IFERROR(CO!I923,0)</f>
        <v>0.53200000000000003</v>
      </c>
      <c r="J3581" s="775">
        <f>IFERROR(CO!J923,0)</f>
        <v>0.96799999999999997</v>
      </c>
      <c r="K3581" s="644"/>
      <c r="L3581" s="644"/>
      <c r="M3581" s="644"/>
      <c r="N3581" s="644"/>
      <c r="O3581" s="644"/>
      <c r="P3581" s="644"/>
      <c r="Q3581" s="644"/>
    </row>
    <row r="3582" spans="2:17" s="57" customFormat="1" ht="12.5">
      <c r="B3582" s="651" t="s">
        <v>603</v>
      </c>
      <c r="C3582" s="1760">
        <f>IFERROR(CO!C931,0)</f>
        <v>12.231999999999999</v>
      </c>
      <c r="D3582" s="774">
        <f>IFERROR(CO!D931,0)</f>
        <v>75.838999999999999</v>
      </c>
      <c r="E3582" s="774">
        <f>IFERROR(CO!E931,0)</f>
        <v>88.429000000000002</v>
      </c>
      <c r="F3582" s="774">
        <f>IFERROR(CO!F931,0)</f>
        <v>128.15700000000001</v>
      </c>
      <c r="G3582" s="774">
        <f>IFERROR(CO!G931,0)</f>
        <v>94.207000000000008</v>
      </c>
      <c r="H3582" s="774">
        <f>IFERROR(CO!H931,0)</f>
        <v>105.696</v>
      </c>
      <c r="I3582" s="774">
        <f>IFERROR(CO!I931,0)</f>
        <v>112.56599999999999</v>
      </c>
      <c r="J3582" s="775">
        <f>IFERROR(CO!J931,0)</f>
        <v>114.62199999999999</v>
      </c>
      <c r="K3582" s="644"/>
      <c r="L3582" s="644"/>
      <c r="M3582" s="644"/>
      <c r="N3582" s="644"/>
      <c r="O3582" s="644"/>
      <c r="P3582" s="644"/>
      <c r="Q3582" s="644"/>
    </row>
    <row r="3583" spans="2:17" s="57" customFormat="1" ht="12.5">
      <c r="B3583" s="651"/>
      <c r="C3583" s="1700"/>
      <c r="D3583" s="679"/>
      <c r="E3583" s="679"/>
      <c r="F3583" s="679"/>
      <c r="G3583" s="679"/>
      <c r="H3583" s="753"/>
      <c r="I3583" s="753"/>
      <c r="J3583" s="778"/>
      <c r="K3583" s="644"/>
      <c r="L3583" s="644"/>
      <c r="M3583" s="644"/>
      <c r="N3583" s="644"/>
      <c r="O3583" s="644"/>
      <c r="P3583" s="644"/>
      <c r="Q3583" s="644"/>
    </row>
    <row r="3584" spans="2:17" s="57" customFormat="1" ht="13">
      <c r="B3584" s="649" t="s">
        <v>1044</v>
      </c>
      <c r="C3584" s="1700"/>
      <c r="D3584" s="679"/>
      <c r="E3584" s="679"/>
      <c r="F3584" s="679"/>
      <c r="G3584" s="679"/>
      <c r="H3584" s="753"/>
      <c r="I3584" s="753"/>
      <c r="J3584" s="778"/>
      <c r="K3584" s="644"/>
    </row>
    <row r="3585" spans="2:17" s="57" customFormat="1" ht="12.5">
      <c r="B3585" s="659" t="s">
        <v>1373</v>
      </c>
      <c r="C3585" s="1760">
        <f>IFERROR(CR!C818,0)</f>
        <v>3.6829999999999998</v>
      </c>
      <c r="D3585" s="774">
        <f>IFERROR(CR!D818,0)</f>
        <v>3.0379999999999998</v>
      </c>
      <c r="E3585" s="774">
        <f>IFERROR(CR!E818,0)</f>
        <v>2.988</v>
      </c>
      <c r="F3585" s="774">
        <f>IFERROR(CR!F818,0)</f>
        <v>3.0150000000000001</v>
      </c>
      <c r="G3585" s="774">
        <f>IFERROR(CR!G818,0)</f>
        <v>4.6969999999999992</v>
      </c>
      <c r="H3585" s="774">
        <f>IFERROR(CR!H818,0)</f>
        <v>3.7619999999999996</v>
      </c>
      <c r="I3585" s="774">
        <f>IFERROR(CR!I818,0)</f>
        <v>2.2120000000000002</v>
      </c>
      <c r="J3585" s="775">
        <f>IFERROR(CR!J818,0)</f>
        <v>2.008</v>
      </c>
      <c r="K3585" s="644"/>
    </row>
    <row r="3586" spans="2:17" s="57" customFormat="1" ht="25">
      <c r="B3586" s="747" t="s">
        <v>1697</v>
      </c>
      <c r="C3586" s="1760">
        <f>IFERROR(CR!C826,0)</f>
        <v>0</v>
      </c>
      <c r="D3586" s="774">
        <f>IFERROR(CR!D826,0)</f>
        <v>0</v>
      </c>
      <c r="E3586" s="774">
        <f>IFERROR(CR!E826,0)</f>
        <v>0</v>
      </c>
      <c r="F3586" s="774">
        <f>IFERROR(CR!F826,0)</f>
        <v>0</v>
      </c>
      <c r="G3586" s="774">
        <f>IFERROR(CR!G826,0)</f>
        <v>0</v>
      </c>
      <c r="H3586" s="774">
        <f>IFERROR(CR!H826,0)</f>
        <v>0</v>
      </c>
      <c r="I3586" s="774">
        <f>IFERROR(CR!I826,0)</f>
        <v>0</v>
      </c>
      <c r="J3586" s="775">
        <f>IFERROR(CR!J826,0)</f>
        <v>0</v>
      </c>
      <c r="K3586" s="644"/>
      <c r="L3586" s="644"/>
      <c r="M3586" s="644"/>
      <c r="N3586" s="644"/>
      <c r="O3586" s="644"/>
      <c r="P3586" s="644"/>
      <c r="Q3586" s="644"/>
    </row>
    <row r="3587" spans="2:17" s="57" customFormat="1" ht="12.5">
      <c r="B3587" s="1882"/>
      <c r="C3587" s="1703"/>
      <c r="J3587" s="656"/>
      <c r="K3587" s="644"/>
      <c r="L3587" s="644"/>
      <c r="M3587" s="644"/>
      <c r="N3587" s="644"/>
      <c r="O3587" s="644"/>
      <c r="P3587" s="644"/>
      <c r="Q3587" s="644"/>
    </row>
    <row r="3588" spans="2:17" s="57" customFormat="1" ht="13">
      <c r="B3588" s="649" t="s">
        <v>1061</v>
      </c>
      <c r="C3588" s="1700"/>
      <c r="D3588" s="679"/>
      <c r="E3588" s="679"/>
      <c r="F3588" s="679"/>
      <c r="G3588" s="679"/>
      <c r="H3588" s="753"/>
      <c r="I3588" s="753"/>
      <c r="J3588" s="778"/>
      <c r="K3588" s="644"/>
      <c r="L3588" s="644"/>
      <c r="M3588" s="644"/>
      <c r="N3588" s="644"/>
      <c r="O3588" s="644"/>
      <c r="P3588" s="644"/>
      <c r="Q3588" s="644"/>
    </row>
    <row r="3589" spans="2:17" s="57" customFormat="1" ht="12.5">
      <c r="B3589" s="659" t="s">
        <v>1355</v>
      </c>
      <c r="C3589" s="1700">
        <v>0.03</v>
      </c>
      <c r="D3589" s="679">
        <v>2.8000000000000001E-2</v>
      </c>
      <c r="E3589" s="774">
        <f>IFERROR(CW!E645,0)</f>
        <v>0</v>
      </c>
      <c r="F3589" s="774">
        <f>IFERROR(CW!F645,0)</f>
        <v>0</v>
      </c>
      <c r="G3589" s="774">
        <f>IFERROR(CW!G645,0)</f>
        <v>0</v>
      </c>
      <c r="H3589" s="774">
        <f>IFERROR(CW!H645,0)</f>
        <v>0</v>
      </c>
      <c r="I3589" s="774">
        <f>IFERROR(CW!I645,0)</f>
        <v>0</v>
      </c>
      <c r="J3589" s="775">
        <f>IFERROR(CW!J645,0)</f>
        <v>0</v>
      </c>
      <c r="K3589" s="644"/>
      <c r="L3589" s="644"/>
      <c r="M3589" s="644"/>
      <c r="N3589" s="644"/>
      <c r="O3589" s="644"/>
      <c r="P3589" s="644"/>
      <c r="Q3589" s="644"/>
    </row>
    <row r="3590" spans="2:17" s="57" customFormat="1" ht="12.5">
      <c r="B3590" s="659"/>
      <c r="C3590" s="1700"/>
      <c r="D3590" s="679"/>
      <c r="E3590" s="679"/>
      <c r="F3590" s="679"/>
      <c r="G3590" s="679"/>
      <c r="H3590" s="753"/>
      <c r="I3590" s="753"/>
      <c r="J3590" s="778"/>
      <c r="K3590" s="644"/>
      <c r="L3590" s="644"/>
      <c r="M3590" s="644"/>
      <c r="N3590" s="644"/>
      <c r="O3590" s="644"/>
      <c r="P3590" s="644"/>
      <c r="Q3590" s="644"/>
    </row>
    <row r="3591" spans="2:17" s="57" customFormat="1" ht="13">
      <c r="B3591" s="746" t="s">
        <v>1047</v>
      </c>
      <c r="C3591" s="1700"/>
      <c r="D3591" s="679"/>
      <c r="E3591" s="679"/>
      <c r="F3591" s="679"/>
      <c r="G3591" s="679"/>
      <c r="H3591" s="753"/>
      <c r="I3591" s="753"/>
      <c r="J3591" s="778"/>
      <c r="K3591" s="644"/>
      <c r="L3591" s="644"/>
      <c r="M3591" s="644"/>
      <c r="N3591" s="644"/>
      <c r="O3591" s="644"/>
      <c r="P3591" s="644"/>
      <c r="Q3591" s="644"/>
    </row>
    <row r="3592" spans="2:17" s="57" customFormat="1" ht="12.5">
      <c r="B3592" s="659" t="s">
        <v>503</v>
      </c>
      <c r="C3592" s="1760">
        <f>IFERROR(EC!C682,0)</f>
        <v>2.073</v>
      </c>
      <c r="D3592" s="774">
        <f>IFERROR(EC!D682,0)</f>
        <v>2.133</v>
      </c>
      <c r="E3592" s="774">
        <f>IFERROR(EC!E682,0)</f>
        <v>2.3330000000000002</v>
      </c>
      <c r="F3592" s="774">
        <f>IFERROR(EC!F682,0)</f>
        <v>9.0019999999999989</v>
      </c>
      <c r="G3592" s="774">
        <f>IFERROR(EC!G682,0)</f>
        <v>6.9620000000000006</v>
      </c>
      <c r="H3592" s="774">
        <f>IFERROR(EC!H682,0)</f>
        <v>6.5710000000000006</v>
      </c>
      <c r="I3592" s="774">
        <f>IFERROR(EC!I682,0)</f>
        <v>7.2349999999999994</v>
      </c>
      <c r="J3592" s="775">
        <f>IFERROR(EC!J682,0)</f>
        <v>9.7590000000000003</v>
      </c>
      <c r="K3592" s="644"/>
      <c r="L3592" s="644"/>
      <c r="M3592" s="644"/>
      <c r="N3592" s="644"/>
      <c r="O3592" s="644"/>
      <c r="P3592" s="644"/>
      <c r="Q3592" s="644"/>
    </row>
    <row r="3593" spans="2:17" s="57" customFormat="1" ht="12.5">
      <c r="B3593" s="651"/>
      <c r="C3593" s="1700"/>
      <c r="D3593" s="679"/>
      <c r="E3593" s="679"/>
      <c r="F3593" s="679"/>
      <c r="G3593" s="679"/>
      <c r="H3593" s="753"/>
      <c r="I3593" s="753"/>
      <c r="J3593" s="778"/>
      <c r="K3593" s="644"/>
      <c r="L3593" s="644"/>
      <c r="M3593" s="644"/>
      <c r="N3593" s="644"/>
      <c r="O3593" s="644"/>
      <c r="P3593" s="644"/>
      <c r="Q3593" s="644"/>
    </row>
    <row r="3594" spans="2:17" s="57" customFormat="1" ht="13">
      <c r="B3594" s="746" t="s">
        <v>1048</v>
      </c>
      <c r="C3594" s="1700"/>
      <c r="D3594" s="679"/>
      <c r="E3594" s="679"/>
      <c r="F3594" s="679"/>
      <c r="G3594" s="679"/>
      <c r="H3594" s="753"/>
      <c r="I3594" s="753"/>
      <c r="J3594" s="778"/>
      <c r="K3594" s="644"/>
      <c r="L3594" s="644"/>
      <c r="M3594" s="644"/>
      <c r="N3594" s="644"/>
      <c r="O3594" s="644"/>
      <c r="P3594" s="644"/>
      <c r="Q3594" s="644"/>
    </row>
    <row r="3595" spans="2:17" s="57" customFormat="1" ht="12.5">
      <c r="B3595" s="659" t="s">
        <v>503</v>
      </c>
      <c r="C3595" s="1760">
        <f>IFERROR(SV!C647,0)</f>
        <v>0.247</v>
      </c>
      <c r="D3595" s="774">
        <f>IFERROR(SV!D647,0)</f>
        <v>0.22800000000000001</v>
      </c>
      <c r="E3595" s="774">
        <f>IFERROR(SV!E647,0)</f>
        <v>0.216</v>
      </c>
      <c r="F3595" s="774">
        <f>IFERROR(SV!F647,0)</f>
        <v>0.23100000000000001</v>
      </c>
      <c r="G3595" s="774">
        <f>IFERROR(SV!G647,0)</f>
        <v>0.247</v>
      </c>
      <c r="H3595" s="774">
        <f>IFERROR(SV!H647,0)</f>
        <v>0.28700000000000003</v>
      </c>
      <c r="I3595" s="774">
        <f>IFERROR(SV!I647,0)</f>
        <v>0.28699999999999998</v>
      </c>
      <c r="J3595" s="775">
        <f>IFERROR(SV!J647,0)</f>
        <v>0.29399999999999998</v>
      </c>
      <c r="K3595" s="644"/>
      <c r="L3595" s="644"/>
      <c r="M3595" s="644"/>
      <c r="N3595" s="644"/>
      <c r="O3595" s="644"/>
      <c r="P3595" s="644"/>
      <c r="Q3595" s="644"/>
    </row>
    <row r="3596" spans="2:17" s="57" customFormat="1" ht="12.5">
      <c r="B3596" s="651"/>
      <c r="C3596" s="1700"/>
      <c r="D3596" s="679"/>
      <c r="E3596" s="679"/>
      <c r="F3596" s="679"/>
      <c r="G3596" s="679"/>
      <c r="H3596" s="753"/>
      <c r="I3596" s="753"/>
      <c r="J3596" s="778"/>
      <c r="K3596" s="644"/>
      <c r="L3596" s="644"/>
      <c r="M3596" s="644"/>
      <c r="N3596" s="644"/>
      <c r="O3596" s="644"/>
      <c r="P3596" s="644"/>
      <c r="Q3596" s="644"/>
    </row>
    <row r="3597" spans="2:17" s="57" customFormat="1" ht="13">
      <c r="B3597" s="746" t="s">
        <v>1049</v>
      </c>
      <c r="C3597" s="1700"/>
      <c r="D3597" s="679"/>
      <c r="E3597" s="679"/>
      <c r="F3597" s="679"/>
      <c r="G3597" s="679"/>
      <c r="H3597" s="753"/>
      <c r="I3597" s="753"/>
      <c r="J3597" s="778"/>
      <c r="K3597" s="644"/>
      <c r="L3597" s="644"/>
      <c r="M3597" s="644"/>
      <c r="N3597" s="644"/>
      <c r="O3597" s="644"/>
      <c r="P3597" s="644"/>
      <c r="Q3597" s="644"/>
    </row>
    <row r="3598" spans="2:17" s="57" customFormat="1" ht="12.5">
      <c r="B3598" s="652" t="s">
        <v>1332</v>
      </c>
      <c r="C3598" s="1760">
        <f>IFERROR(GT!C905,0)</f>
        <v>0.1</v>
      </c>
      <c r="D3598" s="774">
        <f>IFERROR(GT!D905,0)</f>
        <v>9.2999999999999999E-2</v>
      </c>
      <c r="E3598" s="774">
        <f>IFERROR(GT!E905,0)</f>
        <v>7.5999999999999998E-2</v>
      </c>
      <c r="F3598" s="774">
        <f>IFERROR(GT!F905,0)</f>
        <v>0.10100000000000001</v>
      </c>
      <c r="G3598" s="774">
        <f>IFERROR(GT!G905,0)</f>
        <v>0.11000000000000001</v>
      </c>
      <c r="H3598" s="774">
        <f>IFERROR(GT!H905,0)</f>
        <v>9.6000000000000002E-2</v>
      </c>
      <c r="I3598" s="774">
        <f>IFERROR(GT!I905,0)</f>
        <v>0.13800000000000001</v>
      </c>
      <c r="J3598" s="775">
        <f>IFERROR(GT!J905,0)</f>
        <v>0.15800000000000003</v>
      </c>
      <c r="K3598" s="644"/>
      <c r="L3598" s="644"/>
      <c r="M3598" s="644"/>
      <c r="N3598" s="644"/>
      <c r="O3598" s="644"/>
      <c r="P3598" s="644"/>
      <c r="Q3598" s="644"/>
    </row>
    <row r="3599" spans="2:17" s="57" customFormat="1" ht="12.5">
      <c r="B3599" s="652"/>
      <c r="C3599" s="1700"/>
      <c r="D3599" s="679"/>
      <c r="E3599" s="679"/>
      <c r="F3599" s="679"/>
      <c r="G3599" s="679"/>
      <c r="H3599" s="753"/>
      <c r="I3599" s="753"/>
      <c r="J3599" s="778"/>
      <c r="K3599" s="644"/>
      <c r="L3599" s="644"/>
      <c r="M3599" s="644"/>
      <c r="N3599" s="644"/>
      <c r="O3599" s="644"/>
      <c r="P3599" s="644"/>
      <c r="Q3599" s="644"/>
    </row>
    <row r="3600" spans="2:17" s="57" customFormat="1" ht="13">
      <c r="B3600" s="746" t="s">
        <v>1050</v>
      </c>
      <c r="C3600" s="1700"/>
      <c r="D3600" s="679"/>
      <c r="E3600" s="679"/>
      <c r="F3600" s="679"/>
      <c r="G3600" s="679"/>
      <c r="H3600" s="753"/>
      <c r="I3600" s="753"/>
      <c r="J3600" s="778"/>
      <c r="K3600" s="644"/>
      <c r="L3600" s="644"/>
      <c r="M3600" s="644"/>
      <c r="N3600" s="644"/>
      <c r="O3600" s="644"/>
      <c r="P3600" s="644"/>
      <c r="Q3600" s="644"/>
    </row>
    <row r="3601" spans="2:17" s="57" customFormat="1" ht="12.5">
      <c r="B3601" s="652" t="s">
        <v>1355</v>
      </c>
      <c r="C3601" s="1760">
        <f>IFERROR(HN!C766,0)</f>
        <v>8.2000000000000003E-2</v>
      </c>
      <c r="D3601" s="774">
        <f>IFERROR(HN!D766,0)</f>
        <v>7.6000000000000012E-2</v>
      </c>
      <c r="E3601" s="774">
        <f>IFERROR(HN!E766,0)</f>
        <v>7.8E-2</v>
      </c>
      <c r="F3601" s="774">
        <f>IFERROR(HN!F766,0)</f>
        <v>8.7999999999999995E-2</v>
      </c>
      <c r="G3601" s="774">
        <f>IFERROR(HN!G766,0)</f>
        <v>8.5999999999999993E-2</v>
      </c>
      <c r="H3601" s="774">
        <f>IFERROR(HN!H766,0)</f>
        <v>8.7000000000000008E-2</v>
      </c>
      <c r="I3601" s="774">
        <f>IFERROR(HN!I766,0)</f>
        <v>9.0999999999999998E-2</v>
      </c>
      <c r="J3601" s="775">
        <f>IFERROR(HN!J766,0)</f>
        <v>9.8000000000000004E-2</v>
      </c>
      <c r="K3601" s="644"/>
      <c r="L3601" s="644"/>
      <c r="M3601" s="644"/>
      <c r="N3601" s="644"/>
      <c r="O3601" s="644"/>
      <c r="P3601" s="644"/>
      <c r="Q3601" s="644"/>
    </row>
    <row r="3602" spans="2:17" s="57" customFormat="1" ht="12.5">
      <c r="B3602" s="652"/>
      <c r="C3602" s="1700"/>
      <c r="D3602" s="679"/>
      <c r="E3602" s="679"/>
      <c r="F3602" s="679"/>
      <c r="G3602" s="679"/>
      <c r="H3602" s="753"/>
      <c r="I3602" s="753"/>
      <c r="J3602" s="778"/>
      <c r="K3602" s="644"/>
      <c r="L3602" s="644"/>
      <c r="M3602" s="644"/>
      <c r="N3602" s="644"/>
      <c r="O3602" s="644"/>
      <c r="P3602" s="644"/>
      <c r="Q3602" s="644"/>
    </row>
    <row r="3603" spans="2:17" s="57" customFormat="1" ht="13">
      <c r="B3603" s="746" t="s">
        <v>1051</v>
      </c>
      <c r="C3603" s="1761"/>
      <c r="D3603" s="777"/>
      <c r="E3603" s="777"/>
      <c r="F3603" s="777"/>
      <c r="G3603" s="777"/>
      <c r="H3603" s="753"/>
      <c r="I3603" s="753"/>
      <c r="J3603" s="778"/>
      <c r="K3603" s="644"/>
      <c r="L3603" s="644"/>
      <c r="M3603" s="644"/>
      <c r="N3603" s="644"/>
      <c r="O3603" s="644"/>
      <c r="P3603" s="644"/>
      <c r="Q3603" s="644"/>
    </row>
    <row r="3604" spans="2:17" s="57" customFormat="1" ht="12.5">
      <c r="B3604" s="651" t="s">
        <v>1355</v>
      </c>
      <c r="C3604" s="1760">
        <f>IFERROR(JM!C863,0)</f>
        <v>0.871</v>
      </c>
      <c r="D3604" s="774">
        <f>IFERROR(JM!D863,0)</f>
        <v>0.74099999999999999</v>
      </c>
      <c r="E3604" s="774">
        <f>IFERROR(JM!E863,0)</f>
        <v>0.72399999999999998</v>
      </c>
      <c r="F3604" s="774">
        <f>IFERROR(JM!F863,0)</f>
        <v>0.45199999999999996</v>
      </c>
      <c r="G3604" s="774">
        <f>IFERROR(JM!G863,0)</f>
        <v>0.13800000000000001</v>
      </c>
      <c r="H3604" s="774">
        <f>IFERROR(JM!H863,0)</f>
        <v>0.11799999999999999</v>
      </c>
      <c r="I3604" s="774">
        <f>IFERROR(JM!I863,0)</f>
        <v>0.10100000000000001</v>
      </c>
      <c r="J3604" s="775">
        <f>IFERROR(JM!J863,0)</f>
        <v>8.8000000000000009E-2</v>
      </c>
      <c r="K3604" s="644"/>
      <c r="L3604" s="644"/>
      <c r="M3604" s="644"/>
      <c r="N3604" s="644"/>
      <c r="O3604" s="644"/>
      <c r="P3604" s="644"/>
      <c r="Q3604" s="644"/>
    </row>
    <row r="3605" spans="2:17" s="57" customFormat="1" ht="12.5">
      <c r="B3605" s="651" t="s">
        <v>1318</v>
      </c>
      <c r="C3605" s="1760">
        <f>IFERROR(JM!C871,0)</f>
        <v>66</v>
      </c>
      <c r="D3605" s="774">
        <f>IFERROR(JM!D871,0)</f>
        <v>71</v>
      </c>
      <c r="E3605" s="774">
        <f>IFERROR(JM!E871,0)</f>
        <v>105</v>
      </c>
      <c r="F3605" s="774">
        <f>IFERROR(JM!F871,0)</f>
        <v>145</v>
      </c>
      <c r="G3605" s="774">
        <f>IFERROR(JM!G871,0)</f>
        <v>218</v>
      </c>
      <c r="H3605" s="774">
        <f>IFERROR(JM!H871,0)</f>
        <v>320</v>
      </c>
      <c r="I3605" s="774">
        <f>IFERROR(JM!I871,0)</f>
        <v>341</v>
      </c>
      <c r="J3605" s="775">
        <f>IFERROR(JM!J871,0)</f>
        <v>407</v>
      </c>
      <c r="K3605" s="644"/>
      <c r="L3605" s="644"/>
      <c r="M3605" s="644"/>
      <c r="N3605" s="644"/>
      <c r="O3605" s="644"/>
      <c r="P3605" s="644"/>
      <c r="Q3605" s="644"/>
    </row>
    <row r="3606" spans="2:17" s="57" customFormat="1" ht="12.5">
      <c r="B3606" s="651"/>
      <c r="C3606" s="1761"/>
      <c r="D3606" s="777"/>
      <c r="E3606" s="777"/>
      <c r="F3606" s="777"/>
      <c r="G3606" s="777"/>
      <c r="H3606" s="753"/>
      <c r="I3606" s="753"/>
      <c r="J3606" s="778"/>
      <c r="K3606" s="644"/>
      <c r="L3606" s="644"/>
      <c r="M3606" s="644"/>
      <c r="N3606" s="644"/>
      <c r="O3606" s="644"/>
      <c r="P3606" s="644"/>
      <c r="Q3606" s="644"/>
    </row>
    <row r="3607" spans="2:17" s="57" customFormat="1" ht="13">
      <c r="B3607" s="746" t="s">
        <v>1052</v>
      </c>
      <c r="C3607" s="1700"/>
      <c r="D3607" s="679"/>
      <c r="E3607" s="679"/>
      <c r="F3607" s="679"/>
      <c r="G3607" s="679"/>
      <c r="H3607" s="753"/>
      <c r="I3607" s="753"/>
      <c r="J3607" s="778"/>
      <c r="K3607" s="644"/>
      <c r="L3607" s="644"/>
      <c r="M3607" s="644"/>
      <c r="N3607" s="644"/>
      <c r="O3607" s="644"/>
      <c r="P3607" s="644"/>
      <c r="Q3607" s="644"/>
    </row>
    <row r="3608" spans="2:17" s="57" customFormat="1" ht="12.5">
      <c r="B3608" s="653" t="s">
        <v>700</v>
      </c>
      <c r="C3608" s="1760">
        <f>IFERROR(RD!C761,0)</f>
        <v>249</v>
      </c>
      <c r="D3608" s="774">
        <f>IFERROR(RD!D761,0)</f>
        <v>286</v>
      </c>
      <c r="E3608" s="774">
        <f>IFERROR(RD!E761,0)</f>
        <v>299</v>
      </c>
      <c r="F3608" s="774">
        <f>IFERROR(RD!F761,0)</f>
        <v>360</v>
      </c>
      <c r="G3608" s="774">
        <f>IFERROR(RD!G761,0)</f>
        <v>361</v>
      </c>
      <c r="H3608" s="774">
        <f>IFERROR(RD!H761,0)</f>
        <v>377</v>
      </c>
      <c r="I3608" s="774">
        <f>IFERROR(RD!I761,0)</f>
        <v>350</v>
      </c>
      <c r="J3608" s="775">
        <f>IFERROR(RD!J761,0)</f>
        <v>300</v>
      </c>
      <c r="K3608" s="644"/>
      <c r="L3608" s="644"/>
      <c r="M3608" s="644"/>
      <c r="N3608" s="644"/>
      <c r="O3608" s="644"/>
      <c r="P3608" s="644"/>
      <c r="Q3608" s="644"/>
    </row>
    <row r="3609" spans="2:17" s="57" customFormat="1" ht="12.5">
      <c r="B3609" s="651"/>
      <c r="C3609" s="1761"/>
      <c r="D3609" s="777"/>
      <c r="E3609" s="777"/>
      <c r="F3609" s="777"/>
      <c r="G3609" s="777"/>
      <c r="H3609" s="753"/>
      <c r="I3609" s="753"/>
      <c r="J3609" s="778"/>
      <c r="K3609" s="644"/>
      <c r="L3609" s="644"/>
      <c r="M3609" s="644"/>
      <c r="N3609" s="644"/>
      <c r="O3609" s="644"/>
      <c r="P3609" s="644"/>
      <c r="Q3609" s="644"/>
    </row>
    <row r="3610" spans="2:17" s="57" customFormat="1" ht="13">
      <c r="B3610" s="746" t="s">
        <v>1053</v>
      </c>
      <c r="C3610" s="1700"/>
      <c r="D3610" s="679"/>
      <c r="E3610" s="679"/>
      <c r="F3610" s="679"/>
      <c r="G3610" s="679"/>
      <c r="H3610" s="753"/>
      <c r="I3610" s="753"/>
      <c r="J3610" s="778"/>
      <c r="K3610" s="622"/>
      <c r="L3610" s="622"/>
      <c r="M3610" s="622"/>
      <c r="N3610" s="622"/>
      <c r="O3610" s="622"/>
      <c r="P3610" s="622"/>
      <c r="Q3610" s="622"/>
    </row>
    <row r="3611" spans="2:17" s="57" customFormat="1" ht="12.5">
      <c r="B3611" s="662" t="s">
        <v>1386</v>
      </c>
      <c r="C3611" s="1760">
        <f>IFERROR(PY!C1145,0)</f>
        <v>0</v>
      </c>
      <c r="D3611" s="774">
        <f>IFERROR(PY!D1145,0)</f>
        <v>0</v>
      </c>
      <c r="E3611" s="774">
        <f>IFERROR(PY!E1145,0)</f>
        <v>0</v>
      </c>
      <c r="F3611" s="774">
        <f>IFERROR(PY!F1145,0)</f>
        <v>2E-3</v>
      </c>
      <c r="G3611" s="774">
        <f>IFERROR(PY!G1145,0)</f>
        <v>5.0000000000000001E-3</v>
      </c>
      <c r="H3611" s="774">
        <f>IFERROR(PY!H1145,0)</f>
        <v>6.0000000000000001E-3</v>
      </c>
      <c r="I3611" s="774">
        <f>IFERROR(PY!I1145,0)</f>
        <v>7.0000000000000001E-3</v>
      </c>
      <c r="J3611" s="775">
        <f>IFERROR(PY!J1145,0)</f>
        <v>8.9999999999999993E-3</v>
      </c>
      <c r="K3611" s="622"/>
      <c r="L3611" s="622"/>
      <c r="M3611" s="622"/>
      <c r="N3611" s="622"/>
      <c r="O3611" s="622"/>
      <c r="P3611" s="622"/>
      <c r="Q3611" s="622"/>
    </row>
    <row r="3612" spans="2:17" s="57" customFormat="1" ht="12.5">
      <c r="B3612" s="662" t="s">
        <v>1319</v>
      </c>
      <c r="C3612" s="1760">
        <f>IFERROR(PY!C1153,0)</f>
        <v>8.8999999999999996E-2</v>
      </c>
      <c r="D3612" s="774">
        <f>IFERROR(PY!D1153,0)</f>
        <v>0.17199999999999999</v>
      </c>
      <c r="E3612" s="774">
        <f>IFERROR(PY!E1153,0)</f>
        <v>0.128</v>
      </c>
      <c r="F3612" s="774">
        <f>IFERROR(PY!F1153,0)</f>
        <v>6.5000000000000002E-2</v>
      </c>
      <c r="G3612" s="774">
        <f>IFERROR(PY!G1153,0)</f>
        <v>8.7999999999999995E-2</v>
      </c>
      <c r="H3612" s="774">
        <f>IFERROR(PY!H1153,0)</f>
        <v>8.6999999999999994E-2</v>
      </c>
      <c r="I3612" s="774">
        <f>IFERROR(PY!I1153,0)</f>
        <v>0.65400000000000003</v>
      </c>
      <c r="J3612" s="775">
        <f>IFERROR(PY!J1153,0)</f>
        <v>4.4959999999999996</v>
      </c>
      <c r="K3612" s="622"/>
      <c r="L3612" s="622"/>
      <c r="M3612" s="622"/>
      <c r="N3612" s="622"/>
      <c r="O3612" s="622"/>
      <c r="P3612" s="622"/>
      <c r="Q3612" s="622"/>
    </row>
    <row r="3613" spans="2:17" s="57" customFormat="1" ht="12.5">
      <c r="B3613" s="662"/>
      <c r="C3613" s="1779"/>
      <c r="D3613" s="838"/>
      <c r="E3613" s="838"/>
      <c r="F3613" s="838"/>
      <c r="G3613" s="838"/>
      <c r="H3613" s="753"/>
      <c r="I3613" s="753"/>
      <c r="J3613" s="778"/>
      <c r="K3613" s="622"/>
      <c r="L3613" s="622"/>
      <c r="M3613" s="622"/>
      <c r="N3613" s="622"/>
      <c r="O3613" s="622"/>
      <c r="P3613" s="622"/>
      <c r="Q3613" s="622"/>
    </row>
    <row r="3614" spans="2:17" s="57" customFormat="1" ht="13">
      <c r="B3614" s="746" t="s">
        <v>1054</v>
      </c>
      <c r="C3614" s="1779"/>
      <c r="D3614" s="838"/>
      <c r="E3614" s="838"/>
      <c r="F3614" s="838"/>
      <c r="G3614" s="838"/>
      <c r="H3614" s="753"/>
      <c r="I3614" s="753"/>
      <c r="J3614" s="778"/>
      <c r="K3614" s="622"/>
      <c r="L3614" s="622"/>
      <c r="M3614" s="622"/>
      <c r="N3614" s="622"/>
      <c r="O3614" s="622"/>
      <c r="P3614" s="622"/>
      <c r="Q3614" s="622"/>
    </row>
    <row r="3615" spans="2:17" s="57" customFormat="1" ht="12.5">
      <c r="B3615" s="662" t="s">
        <v>1388</v>
      </c>
      <c r="C3615" s="1760">
        <f>IFERROR(PE!C685,0)</f>
        <v>1300</v>
      </c>
      <c r="D3615" s="774">
        <f>IFERROR(PE!D685,0)</f>
        <v>1528</v>
      </c>
      <c r="E3615" s="774">
        <f>IFERROR(PE!E685,0)</f>
        <v>1665</v>
      </c>
      <c r="F3615" s="774">
        <f>IFERROR(PE!F685,0)</f>
        <v>1749</v>
      </c>
      <c r="G3615" s="774">
        <f>IFERROR(PE!G685,0)</f>
        <v>2.0259999999999998</v>
      </c>
      <c r="H3615" s="774">
        <f>IFERROR(PE!H685,0)</f>
        <v>2.1019999999999999</v>
      </c>
      <c r="I3615" s="774">
        <f>IFERROR(PE!I685,0)</f>
        <v>2.2909999999999999</v>
      </c>
      <c r="J3615" s="775">
        <f>IFERROR(PE!J685,0)</f>
        <v>2.2679999999999998</v>
      </c>
      <c r="K3615" s="622"/>
      <c r="L3615" s="622"/>
      <c r="M3615" s="622"/>
      <c r="N3615" s="622"/>
      <c r="O3615" s="622"/>
      <c r="P3615" s="622"/>
      <c r="Q3615" s="622"/>
    </row>
    <row r="3616" spans="2:17" s="57" customFormat="1" ht="12.5">
      <c r="B3616" s="662"/>
      <c r="C3616" s="1779"/>
      <c r="D3616" s="838"/>
      <c r="E3616" s="838"/>
      <c r="F3616" s="838"/>
      <c r="G3616" s="838"/>
      <c r="H3616" s="753"/>
      <c r="I3616" s="753"/>
      <c r="J3616" s="778"/>
      <c r="K3616" s="622"/>
      <c r="L3616" s="622"/>
      <c r="M3616" s="622"/>
      <c r="N3616" s="622"/>
      <c r="O3616" s="622"/>
      <c r="P3616" s="622"/>
      <c r="Q3616" s="622"/>
    </row>
    <row r="3617" spans="2:18" s="57" customFormat="1" ht="13">
      <c r="B3617" s="746" t="s">
        <v>1055</v>
      </c>
      <c r="C3617" s="1700"/>
      <c r="D3617" s="679"/>
      <c r="E3617" s="679"/>
      <c r="F3617" s="679"/>
      <c r="G3617" s="679"/>
      <c r="H3617" s="753"/>
      <c r="I3617" s="753"/>
      <c r="J3617" s="778"/>
      <c r="K3617" s="622"/>
      <c r="L3617" s="622"/>
      <c r="M3617" s="622"/>
      <c r="N3617" s="622"/>
      <c r="O3617" s="622"/>
      <c r="P3617" s="622"/>
      <c r="Q3617" s="622"/>
    </row>
    <row r="3618" spans="2:18" s="57" customFormat="1" ht="12.5">
      <c r="B3618" s="652" t="s">
        <v>1308</v>
      </c>
      <c r="C3618" s="1760">
        <f>IFERROR(TT!C832,0)</f>
        <v>3.2000000000000001E-2</v>
      </c>
      <c r="D3618" s="774">
        <f>IFERROR(TT!D832,0)</f>
        <v>6.2E-2</v>
      </c>
      <c r="E3618" s="774">
        <f>IFERROR(TT!E832,0)</f>
        <v>0.12</v>
      </c>
      <c r="F3618" s="774">
        <f>IFERROR(TT!F832,0)</f>
        <v>0.13500000000000001</v>
      </c>
      <c r="G3618" s="774">
        <f>IFERROR(TT!G832,0)</f>
        <v>0.13400000000000001</v>
      </c>
      <c r="H3618" s="774">
        <f>IFERROR(TT!H832,0)</f>
        <v>0.122</v>
      </c>
      <c r="I3618" s="774">
        <f>IFERROR(TT!I832,0)</f>
        <v>0.14299999999999999</v>
      </c>
      <c r="J3618" s="775">
        <f>IFERROR(TT!J832,0)</f>
        <v>0.21</v>
      </c>
      <c r="K3618" s="622"/>
      <c r="L3618" s="622"/>
      <c r="M3618" s="622"/>
      <c r="N3618" s="622"/>
      <c r="O3618" s="622"/>
      <c r="P3618" s="622"/>
      <c r="Q3618" s="622"/>
    </row>
    <row r="3619" spans="2:18" s="57" customFormat="1" ht="12.5">
      <c r="B3619" s="671" t="s">
        <v>1309</v>
      </c>
      <c r="C3619" s="820">
        <f>IFERROR(TT!C840,0)</f>
        <v>0</v>
      </c>
      <c r="D3619" s="821">
        <f>IFERROR(TT!D840,0)</f>
        <v>0.23499999999999999</v>
      </c>
      <c r="E3619" s="821">
        <f>IFERROR(TT!E840,0)</f>
        <v>0.15</v>
      </c>
      <c r="F3619" s="821">
        <f>IFERROR(TT!F840,0)</f>
        <v>0.192</v>
      </c>
      <c r="G3619" s="821">
        <f>IFERROR(TT!G840,0)</f>
        <v>0.16700000000000001</v>
      </c>
      <c r="H3619" s="821">
        <f>IFERROR(TT!H840,0)</f>
        <v>0.129</v>
      </c>
      <c r="I3619" s="821">
        <f>IFERROR(TT!I840,0)</f>
        <v>8.7999999999999995E-2</v>
      </c>
      <c r="J3619" s="822">
        <f>IFERROR(TT!J840,0)</f>
        <v>0.108</v>
      </c>
      <c r="K3619" s="622"/>
      <c r="L3619" s="622"/>
      <c r="M3619" s="622"/>
      <c r="N3619" s="622"/>
      <c r="O3619" s="622"/>
      <c r="P3619" s="622"/>
      <c r="Q3619" s="622"/>
    </row>
    <row r="3620" spans="2:18" s="57" customFormat="1" ht="12.5">
      <c r="B3620" s="839"/>
      <c r="C3620" s="648"/>
      <c r="D3620" s="648"/>
      <c r="E3620" s="644"/>
      <c r="F3620" s="644"/>
      <c r="G3620" s="644"/>
      <c r="H3620" s="644"/>
      <c r="I3620" s="644"/>
      <c r="J3620" s="644"/>
      <c r="K3620" s="644"/>
      <c r="L3620" s="644"/>
      <c r="M3620" s="644"/>
      <c r="N3620" s="644"/>
      <c r="O3620" s="644"/>
      <c r="P3620" s="644"/>
      <c r="Q3620" s="644"/>
    </row>
    <row r="3621" spans="2:18" s="57" customFormat="1" ht="13">
      <c r="B3621" s="2158" t="s">
        <v>1403</v>
      </c>
      <c r="C3621" s="2158"/>
      <c r="D3621" s="2158"/>
      <c r="E3621" s="2158"/>
      <c r="F3621" s="2158"/>
      <c r="G3621" s="2158"/>
      <c r="H3621" s="2158"/>
      <c r="I3621" s="2158"/>
      <c r="J3621" s="2158"/>
      <c r="K3621" s="2158"/>
      <c r="L3621" s="2158"/>
      <c r="M3621" s="2158"/>
      <c r="N3621" s="2158"/>
      <c r="O3621" s="2158"/>
      <c r="P3621" s="2158"/>
      <c r="Q3621" s="2158"/>
      <c r="R3621" s="2158"/>
    </row>
    <row r="3622" spans="2:18" s="57" customFormat="1" ht="13">
      <c r="B3622" s="612" t="s">
        <v>2164</v>
      </c>
      <c r="C3622" s="790"/>
      <c r="D3622" s="790"/>
      <c r="E3622" s="790"/>
      <c r="F3622" s="790"/>
      <c r="G3622" s="790"/>
      <c r="H3622" s="790"/>
      <c r="I3622" s="790"/>
      <c r="J3622" s="790"/>
      <c r="K3622" s="622"/>
      <c r="L3622" s="622"/>
      <c r="M3622" s="622"/>
      <c r="N3622" s="622"/>
      <c r="O3622" s="622"/>
      <c r="P3622" s="622"/>
      <c r="Q3622" s="622"/>
    </row>
    <row r="3623" spans="2:18" s="57" customFormat="1" ht="12.5">
      <c r="B3623" s="2233" t="s">
        <v>11</v>
      </c>
      <c r="C3623" s="2230" t="s">
        <v>1404</v>
      </c>
      <c r="D3623" s="2231"/>
      <c r="E3623" s="2231"/>
      <c r="F3623" s="2231"/>
      <c r="G3623" s="2231"/>
      <c r="H3623" s="2231"/>
      <c r="I3623" s="2231"/>
      <c r="J3623" s="2232"/>
      <c r="K3623" s="622"/>
      <c r="L3623" s="622"/>
      <c r="M3623" s="622"/>
      <c r="N3623" s="622"/>
      <c r="O3623" s="622"/>
      <c r="P3623" s="622"/>
      <c r="Q3623" s="622"/>
    </row>
    <row r="3624" spans="2:18" s="57" customFormat="1" ht="12.5">
      <c r="B3624" s="2234"/>
      <c r="C3624" s="585">
        <v>2014</v>
      </c>
      <c r="D3624" s="586">
        <v>2015</v>
      </c>
      <c r="E3624" s="586">
        <v>2016</v>
      </c>
      <c r="F3624" s="586">
        <v>2017</v>
      </c>
      <c r="G3624" s="586">
        <v>2018</v>
      </c>
      <c r="H3624" s="586">
        <v>2019</v>
      </c>
      <c r="I3624" s="586">
        <v>2020</v>
      </c>
      <c r="J3624" s="1651">
        <v>2021</v>
      </c>
      <c r="K3624" s="622"/>
      <c r="L3624" s="622"/>
      <c r="M3624" s="622"/>
      <c r="N3624" s="622"/>
      <c r="O3624" s="622"/>
      <c r="P3624" s="622"/>
      <c r="Q3624" s="622"/>
    </row>
    <row r="3625" spans="2:18" s="57" customFormat="1" ht="13">
      <c r="B3625" s="752" t="s">
        <v>1038</v>
      </c>
      <c r="C3625" s="675"/>
      <c r="D3625" s="676"/>
      <c r="E3625" s="676"/>
      <c r="F3625" s="676"/>
      <c r="G3625" s="676"/>
      <c r="H3625" s="676"/>
      <c r="I3625" s="676"/>
      <c r="J3625" s="677"/>
      <c r="K3625" s="622"/>
      <c r="L3625" s="622"/>
      <c r="M3625" s="622"/>
      <c r="N3625" s="622"/>
      <c r="O3625" s="622"/>
      <c r="P3625" s="622"/>
      <c r="Q3625" s="622"/>
    </row>
    <row r="3626" spans="2:18" s="57" customFormat="1" ht="12.5">
      <c r="B3626" s="1753" t="s">
        <v>126</v>
      </c>
      <c r="C3626" s="1967">
        <f>IFERROR(ARG!C1593/1000000,0)</f>
        <v>6.9577682522511813E-2</v>
      </c>
      <c r="D3626" s="1978">
        <f>IFERROR(ARG!D1593/1000000,0)</f>
        <v>5.8833373417681564E-2</v>
      </c>
      <c r="E3626" s="1978">
        <f>IFERROR(ARG!E1593/1000000,0)</f>
        <v>6.808609859812495E-2</v>
      </c>
      <c r="F3626" s="1978">
        <f>IFERROR(ARG!F1593/1000000,0)</f>
        <v>9.5211285167943235E-2</v>
      </c>
      <c r="G3626" s="1978">
        <f>IFERROR(ARG!G1593/1000000,0)</f>
        <v>3.6869523358627601E-2</v>
      </c>
      <c r="H3626" s="1978">
        <f>IFERROR(ARG!H1593/1000000,0)</f>
        <v>2.5423108861958425E-2</v>
      </c>
      <c r="I3626" s="1978">
        <f>IFERROR(ARG!I1593/1000000,0)</f>
        <v>2.1996657395424293E-2</v>
      </c>
      <c r="J3626" s="1979">
        <f>IFERROR(ARG!J1593/1000000,0)</f>
        <v>2.9672257045215564E-2</v>
      </c>
      <c r="K3626" s="622"/>
      <c r="L3626" s="622"/>
      <c r="M3626" s="622"/>
      <c r="N3626" s="622"/>
      <c r="O3626" s="622"/>
      <c r="P3626" s="622"/>
      <c r="Q3626" s="622"/>
    </row>
    <row r="3627" spans="2:18" s="57" customFormat="1" ht="12.5">
      <c r="B3627" s="1753" t="s">
        <v>125</v>
      </c>
      <c r="C3627" s="1967">
        <f>IFERROR(ARG!C1601/1000000,0)</f>
        <v>0</v>
      </c>
      <c r="D3627" s="1978">
        <f>IFERROR(ARG!D1601/1000000,0)</f>
        <v>0</v>
      </c>
      <c r="E3627" s="1978">
        <f>IFERROR(ARG!E1601/1000000,0)</f>
        <v>0</v>
      </c>
      <c r="F3627" s="1978">
        <f>IFERROR(ARG!F1601/1000000,0)</f>
        <v>0</v>
      </c>
      <c r="G3627" s="1978">
        <f>IFERROR(ARG!G1601/1000000,0)</f>
        <v>0</v>
      </c>
      <c r="H3627" s="1978">
        <f>IFERROR(ARG!H1601/1000000,0)</f>
        <v>0.1395179968688538</v>
      </c>
      <c r="I3627" s="1978">
        <f>IFERROR(ARG!I1601/1000000,0)</f>
        <v>9.4122753235131917E-2</v>
      </c>
      <c r="J3627" s="1979">
        <f>IFERROR(ARG!J1601/1000000,0)</f>
        <v>0.10472093532071503</v>
      </c>
      <c r="K3627" s="622"/>
      <c r="L3627" s="622"/>
      <c r="M3627" s="622"/>
      <c r="N3627" s="622"/>
      <c r="O3627" s="622"/>
      <c r="P3627" s="622"/>
      <c r="Q3627" s="622"/>
    </row>
    <row r="3628" spans="2:18" s="57" customFormat="1" ht="12.5">
      <c r="B3628" s="1753"/>
      <c r="C3628" s="1967"/>
      <c r="D3628" s="1978"/>
      <c r="E3628" s="1978"/>
      <c r="F3628" s="1978"/>
      <c r="G3628" s="1978"/>
      <c r="H3628" s="1978"/>
      <c r="I3628" s="1978"/>
      <c r="J3628" s="1979"/>
      <c r="K3628" s="622"/>
      <c r="L3628" s="622"/>
      <c r="M3628" s="622"/>
      <c r="N3628" s="622"/>
      <c r="O3628" s="622"/>
      <c r="P3628" s="622"/>
      <c r="Q3628" s="622"/>
    </row>
    <row r="3629" spans="2:18" s="57" customFormat="1" ht="13">
      <c r="B3629" s="1754" t="s">
        <v>1039</v>
      </c>
      <c r="C3629" s="1967"/>
      <c r="D3629" s="1978"/>
      <c r="E3629" s="1978"/>
      <c r="F3629" s="1978"/>
      <c r="G3629" s="1978"/>
      <c r="H3629" s="1978"/>
      <c r="I3629" s="1978"/>
      <c r="J3629" s="1979"/>
      <c r="K3629" s="622"/>
      <c r="L3629" s="622"/>
      <c r="M3629" s="622"/>
      <c r="N3629" s="622"/>
      <c r="O3629" s="622"/>
      <c r="P3629" s="622"/>
      <c r="Q3629" s="622"/>
    </row>
    <row r="3630" spans="2:18" s="57" customFormat="1" ht="25">
      <c r="B3630" s="1752" t="s">
        <v>1892</v>
      </c>
      <c r="C3630" s="1967">
        <f>IFERROR(BA!C633,0)</f>
        <v>0</v>
      </c>
      <c r="D3630" s="1978">
        <f>IFERROR(BA!D633,0)</f>
        <v>0</v>
      </c>
      <c r="E3630" s="1978">
        <f>IFERROR(BA!E633,0)</f>
        <v>0</v>
      </c>
      <c r="F3630" s="1978">
        <f>IFERROR(BA!F633,0)</f>
        <v>0</v>
      </c>
      <c r="G3630" s="1978">
        <f>IFERROR(BA!G633,0)</f>
        <v>0</v>
      </c>
      <c r="H3630" s="1978">
        <f>IFERROR(BA!H633,0)</f>
        <v>0</v>
      </c>
      <c r="I3630" s="1978">
        <f>IFERROR(BA!I633,0)</f>
        <v>1681.316</v>
      </c>
      <c r="J3630" s="1979">
        <f>IFERROR(BA!J633,0)</f>
        <v>0</v>
      </c>
      <c r="K3630" s="622"/>
      <c r="L3630" s="622"/>
      <c r="M3630" s="622"/>
      <c r="N3630" s="622"/>
      <c r="O3630" s="622"/>
      <c r="P3630" s="622"/>
      <c r="Q3630" s="622"/>
    </row>
    <row r="3631" spans="2:18" s="57" customFormat="1" ht="12.5">
      <c r="B3631" s="1753"/>
      <c r="C3631" s="1886"/>
      <c r="D3631" s="1884"/>
      <c r="E3631" s="1884"/>
      <c r="F3631" s="1884"/>
      <c r="G3631" s="1884"/>
      <c r="H3631" s="1884"/>
      <c r="I3631" s="1884"/>
      <c r="J3631" s="1887"/>
      <c r="K3631" s="622"/>
      <c r="L3631" s="622"/>
      <c r="M3631" s="622"/>
      <c r="N3631" s="622"/>
      <c r="O3631" s="622"/>
      <c r="P3631" s="622"/>
      <c r="Q3631" s="622"/>
    </row>
    <row r="3632" spans="2:18" s="57" customFormat="1" ht="13">
      <c r="B3632" s="1754" t="s">
        <v>1040</v>
      </c>
      <c r="C3632" s="1886"/>
      <c r="D3632" s="1884"/>
      <c r="E3632" s="1884"/>
      <c r="F3632" s="1884"/>
      <c r="G3632" s="1884"/>
      <c r="H3632" s="1884"/>
      <c r="I3632" s="1884"/>
      <c r="J3632" s="1887"/>
      <c r="K3632" s="622"/>
      <c r="L3632" s="622"/>
      <c r="M3632" s="622"/>
      <c r="N3632" s="622"/>
      <c r="O3632" s="622"/>
      <c r="P3632" s="622"/>
      <c r="Q3632" s="622"/>
    </row>
    <row r="3633" spans="2:17" s="57" customFormat="1" ht="12.5">
      <c r="B3633" s="1753" t="s">
        <v>1312</v>
      </c>
      <c r="C3633" s="1967">
        <f>IFERROR(BO!C931/1000000,0)</f>
        <v>1.4245420546608453E-2</v>
      </c>
      <c r="D3633" s="1978">
        <f>IFERROR(BO!D931/1000000,0)</f>
        <v>1.6315841040715935E-2</v>
      </c>
      <c r="E3633" s="1978">
        <f>IFERROR(BO!E931/1000000,0)</f>
        <v>1.7731302078348842E-2</v>
      </c>
      <c r="F3633" s="1978">
        <f>IFERROR(BO!F931/1000000,0)</f>
        <v>1.9432457422646533E-2</v>
      </c>
      <c r="G3633" s="1978">
        <f>IFERROR(BO!G931/1000000,0)</f>
        <v>2.6151129010328501E-2</v>
      </c>
      <c r="H3633" s="1978">
        <f>IFERROR(BO!H931/1000000,0)</f>
        <v>1.8341553184939574E-2</v>
      </c>
      <c r="I3633" s="1978">
        <f>IFERROR(BO!I931/1000000,0)</f>
        <v>2.034753779869157E-2</v>
      </c>
      <c r="J3633" s="1979">
        <f>IFERROR(BO!J931/1000000,0)</f>
        <v>1.8150220576427959E-2</v>
      </c>
      <c r="K3633" s="622"/>
      <c r="L3633" s="622"/>
      <c r="M3633" s="622"/>
      <c r="N3633" s="622"/>
      <c r="O3633" s="622"/>
      <c r="P3633" s="622"/>
      <c r="Q3633" s="622"/>
    </row>
    <row r="3634" spans="2:17" s="57" customFormat="1" ht="12.5">
      <c r="B3634" s="1753"/>
      <c r="C3634" s="1886"/>
      <c r="D3634" s="1884"/>
      <c r="E3634" s="1884"/>
      <c r="F3634" s="1884"/>
      <c r="G3634" s="1884"/>
      <c r="H3634" s="1884"/>
      <c r="I3634" s="1884"/>
      <c r="J3634" s="1887"/>
      <c r="K3634" s="622"/>
      <c r="L3634" s="622"/>
      <c r="M3634" s="622"/>
      <c r="N3634" s="622"/>
      <c r="O3634" s="622"/>
      <c r="P3634" s="622"/>
      <c r="Q3634" s="622"/>
    </row>
    <row r="3635" spans="2:17" s="57" customFormat="1" ht="13">
      <c r="B3635" s="1754" t="s">
        <v>1041</v>
      </c>
      <c r="C3635" s="1886"/>
      <c r="D3635" s="1884"/>
      <c r="E3635" s="1884"/>
      <c r="F3635" s="1884"/>
      <c r="G3635" s="1884"/>
      <c r="H3635" s="1884"/>
      <c r="I3635" s="1884"/>
      <c r="J3635" s="1887"/>
      <c r="K3635" s="622"/>
      <c r="L3635" s="622"/>
      <c r="M3635" s="622"/>
      <c r="N3635" s="622"/>
      <c r="O3635" s="622"/>
      <c r="P3635" s="622"/>
      <c r="Q3635" s="622"/>
    </row>
    <row r="3636" spans="2:17" s="57" customFormat="1" ht="12.5">
      <c r="B3636" s="1753" t="s">
        <v>972</v>
      </c>
      <c r="C3636" s="1967">
        <f>IFERROR(BR!C1372/1000000,0)</f>
        <v>1.4631541661358138</v>
      </c>
      <c r="D3636" s="1978">
        <f>IFERROR(BR!D1372/1000000,0)</f>
        <v>1.2533124479911977</v>
      </c>
      <c r="E3636" s="1978">
        <f>IFERROR(BR!E1372/1000000,0)</f>
        <v>1.3887058395106613</v>
      </c>
      <c r="F3636" s="1978">
        <f>IFERROR(BR!F1372/1000000,0)</f>
        <v>1.6866729749584335</v>
      </c>
      <c r="G3636" s="1978">
        <f>IFERROR(BR!G1372/1000000,0)</f>
        <v>1.5817502117183651</v>
      </c>
      <c r="H3636" s="1978">
        <f>IFERROR(BR!H1372/1000000,0)</f>
        <v>1.5726965865031297</v>
      </c>
      <c r="I3636" s="1978">
        <f>IFERROR(BR!I1372/1000000,0)</f>
        <v>1.3262917861194459</v>
      </c>
      <c r="J3636" s="1979">
        <f>IFERROR(BR!J1372/1000000,0)</f>
        <v>1.4150155439617467</v>
      </c>
      <c r="K3636" s="622"/>
      <c r="L3636" s="622"/>
      <c r="M3636" s="622"/>
      <c r="N3636" s="622"/>
      <c r="O3636" s="622"/>
      <c r="P3636" s="622"/>
      <c r="Q3636" s="622"/>
    </row>
    <row r="3637" spans="2:17" s="57" customFormat="1" ht="12.5">
      <c r="B3637" s="1753" t="s">
        <v>1289</v>
      </c>
      <c r="C3637" s="1967">
        <f>IFERROR(BR!C1348/1000000,0)</f>
        <v>0.47133724550898204</v>
      </c>
      <c r="D3637" s="1978">
        <f>IFERROR(BR!D1348/1000000,0)</f>
        <v>0.28343901095677987</v>
      </c>
      <c r="E3637" s="1978">
        <f>IFERROR(BR!E1348/1000000,0)</f>
        <v>0.3685906372301711</v>
      </c>
      <c r="F3637" s="1978">
        <f>IFERROR(BR!F1348/1000000,0)</f>
        <v>0.51649372435395458</v>
      </c>
      <c r="G3637" s="1978">
        <f>IFERROR(BR!G1348/1000000,0)</f>
        <v>0</v>
      </c>
      <c r="H3637" s="1978">
        <f>IFERROR(BR!H1348/1000000,0)</f>
        <v>0</v>
      </c>
      <c r="I3637" s="1978">
        <f>IFERROR(BR!I1348/1000000,0)</f>
        <v>0</v>
      </c>
      <c r="J3637" s="1979">
        <f>IFERROR(BR!J1348/1000000,0)</f>
        <v>0</v>
      </c>
      <c r="K3637" s="622"/>
      <c r="L3637" s="622"/>
      <c r="M3637" s="622"/>
      <c r="N3637" s="622"/>
      <c r="O3637" s="622"/>
      <c r="P3637" s="622"/>
      <c r="Q3637" s="622"/>
    </row>
    <row r="3638" spans="2:17" s="57" customFormat="1" ht="25">
      <c r="B3638" s="1752" t="s">
        <v>971</v>
      </c>
      <c r="C3638" s="1967">
        <f>IFERROR(BR!C1356/1000000,0)</f>
        <v>0</v>
      </c>
      <c r="D3638" s="1978">
        <f>IFERROR(BR!D1356/1000000,0)</f>
        <v>0</v>
      </c>
      <c r="E3638" s="1978">
        <f>IFERROR(BR!E1356/1000000,0)</f>
        <v>0</v>
      </c>
      <c r="F3638" s="1978">
        <f>IFERROR(BR!F1356/1000000,0)</f>
        <v>0</v>
      </c>
      <c r="G3638" s="1978">
        <f>IFERROR(BR!G1356/1000000,0)</f>
        <v>0.51097982075792703</v>
      </c>
      <c r="H3638" s="1978">
        <f>IFERROR(BR!H1356/1000000,0)</f>
        <v>0.6537941473579445</v>
      </c>
      <c r="I3638" s="1978">
        <f>IFERROR(BR!I1356/1000000,0)</f>
        <v>0.61271178465064491</v>
      </c>
      <c r="J3638" s="1979">
        <f>IFERROR(BR!J1356/1000000,0)</f>
        <v>0.53939475199087883</v>
      </c>
      <c r="K3638" s="622"/>
      <c r="L3638" s="622"/>
      <c r="M3638" s="622"/>
      <c r="N3638" s="622"/>
      <c r="O3638" s="622"/>
      <c r="P3638" s="622"/>
      <c r="Q3638" s="622"/>
    </row>
    <row r="3639" spans="2:17" s="57" customFormat="1" ht="12.5">
      <c r="B3639" s="1753" t="s">
        <v>960</v>
      </c>
      <c r="C3639" s="1967">
        <f>IFERROR(BR!C1364/1000000,0)</f>
        <v>1.7577532891663483</v>
      </c>
      <c r="D3639" s="1978">
        <f>IFERROR(BR!D1364/1000000,0)</f>
        <v>1.3307093646300117</v>
      </c>
      <c r="E3639" s="1978">
        <f>IFERROR(BR!E1364/1000000,0)</f>
        <v>1.4313798458358455</v>
      </c>
      <c r="F3639" s="1978">
        <f>IFERROR(BR!F1364/1000000,0)</f>
        <v>1.3780531669679359</v>
      </c>
      <c r="G3639" s="1978">
        <f>IFERROR(BR!G1364/1000000,0)</f>
        <v>1.2592214199654896</v>
      </c>
      <c r="H3639" s="1978">
        <f>IFERROR(BR!H1364/1000000,0)</f>
        <v>1.2118328395251008</v>
      </c>
      <c r="I3639" s="1978">
        <f>IFERROR(BR!I1364/1000000,0)</f>
        <v>1.4678707593778355</v>
      </c>
      <c r="J3639" s="1979">
        <f>IFERROR(BR!J1364/1000000,0)</f>
        <v>1.1455576772066127</v>
      </c>
      <c r="K3639" s="622"/>
      <c r="L3639" s="622"/>
      <c r="M3639" s="622"/>
      <c r="N3639" s="622"/>
      <c r="O3639" s="622"/>
      <c r="P3639" s="622"/>
      <c r="Q3639" s="622"/>
    </row>
    <row r="3640" spans="2:17" s="57" customFormat="1" ht="12.5">
      <c r="B3640" s="1753"/>
      <c r="C3640" s="1886"/>
      <c r="D3640" s="1884"/>
      <c r="E3640" s="1884"/>
      <c r="F3640" s="1884"/>
      <c r="G3640" s="1884"/>
      <c r="H3640" s="1884"/>
      <c r="I3640" s="1884"/>
      <c r="J3640" s="1887"/>
      <c r="K3640" s="622"/>
      <c r="L3640" s="622"/>
      <c r="M3640" s="622"/>
      <c r="N3640" s="622"/>
      <c r="O3640" s="622"/>
      <c r="P3640" s="622"/>
      <c r="Q3640" s="622"/>
    </row>
    <row r="3641" spans="2:17" s="57" customFormat="1" ht="13">
      <c r="B3641" s="1754" t="s">
        <v>1042</v>
      </c>
      <c r="C3641" s="1886"/>
      <c r="D3641" s="1884"/>
      <c r="E3641" s="1884"/>
      <c r="F3641" s="1884"/>
      <c r="G3641" s="1884"/>
      <c r="H3641" s="1884"/>
      <c r="I3641" s="1884"/>
      <c r="J3641" s="1887"/>
      <c r="K3641" s="622"/>
      <c r="L3641" s="622"/>
      <c r="M3641" s="622"/>
      <c r="N3641" s="622"/>
      <c r="O3641" s="622"/>
      <c r="P3641" s="622"/>
      <c r="Q3641" s="622"/>
    </row>
    <row r="3642" spans="2:17" s="57" customFormat="1" ht="12.5">
      <c r="B3642" s="1758" t="s">
        <v>503</v>
      </c>
      <c r="C3642" s="1967">
        <f>IFERROR(CL!C759/1000000,0)</f>
        <v>163.59782530000001</v>
      </c>
      <c r="D3642" s="1978">
        <f>IFERROR(CL!D759/1000000,0)</f>
        <v>174.91853925000001</v>
      </c>
      <c r="E3642" s="1978">
        <f>IFERROR(CL!E759/1000000,0)</f>
        <v>204.88189247999998</v>
      </c>
      <c r="F3642" s="1978">
        <f>IFERROR(CL!F759/1000000,0)</f>
        <v>241.96040606</v>
      </c>
      <c r="G3642" s="1978">
        <f>IFERROR(CL!G759/1000000,0)</f>
        <v>250.10441267000002</v>
      </c>
      <c r="H3642" s="1978">
        <f>IFERROR(CL!H759/1000000,0)</f>
        <v>258.72454166</v>
      </c>
      <c r="I3642" s="1978">
        <f>IFERROR(CL!I759/1000000,0)</f>
        <v>254.56887981</v>
      </c>
      <c r="J3642" s="1979">
        <f>IFERROR(CL!J759/1000000,0)</f>
        <v>273.68805593999997</v>
      </c>
      <c r="K3642" s="622"/>
      <c r="L3642" s="622"/>
      <c r="M3642" s="622"/>
      <c r="N3642" s="622"/>
      <c r="O3642" s="622"/>
      <c r="P3642" s="622"/>
      <c r="Q3642" s="622"/>
    </row>
    <row r="3643" spans="2:17" s="57" customFormat="1" ht="12.5">
      <c r="B3643" s="1758"/>
      <c r="C3643" s="1886"/>
      <c r="D3643" s="1884"/>
      <c r="E3643" s="1884"/>
      <c r="F3643" s="1884"/>
      <c r="G3643" s="1884"/>
      <c r="H3643" s="1884"/>
      <c r="I3643" s="1884"/>
      <c r="J3643" s="1887"/>
      <c r="K3643" s="622"/>
      <c r="L3643" s="622"/>
      <c r="M3643" s="622"/>
      <c r="N3643" s="622"/>
      <c r="O3643" s="622"/>
      <c r="P3643" s="622"/>
      <c r="Q3643" s="622"/>
    </row>
    <row r="3644" spans="2:17" s="57" customFormat="1" ht="13">
      <c r="B3644" s="1755" t="s">
        <v>1043</v>
      </c>
      <c r="C3644" s="1886"/>
      <c r="D3644" s="1884"/>
      <c r="E3644" s="1884"/>
      <c r="F3644" s="1884"/>
      <c r="G3644" s="1884"/>
      <c r="H3644" s="1884"/>
      <c r="I3644" s="1884"/>
      <c r="J3644" s="1887"/>
      <c r="K3644" s="622"/>
      <c r="L3644" s="622"/>
      <c r="M3644" s="622"/>
      <c r="N3644" s="622"/>
      <c r="O3644" s="622"/>
      <c r="P3644" s="622"/>
      <c r="Q3644" s="622"/>
    </row>
    <row r="3645" spans="2:17" s="57" customFormat="1" ht="12.5">
      <c r="B3645" s="1753" t="s">
        <v>503</v>
      </c>
      <c r="C3645" s="1967">
        <f>IFERROR(CO!C945/1000000,0)</f>
        <v>8.4684383437967609E-2</v>
      </c>
      <c r="D3645" s="1978">
        <f>IFERROR(CO!D945/1000000,0)</f>
        <v>6.6024836559802139E-2</v>
      </c>
      <c r="E3645" s="1978">
        <f>IFERROR(CO!E945/1000000,0)</f>
        <v>7.9886921612863954E-2</v>
      </c>
      <c r="F3645" s="1978">
        <f>IFERROR(CO!F945/1000000,0)</f>
        <v>8.9034817547506709E-2</v>
      </c>
      <c r="G3645" s="1978">
        <f>IFERROR(CO!G945/1000000,0)</f>
        <v>9.3618022632094164E-2</v>
      </c>
      <c r="H3645" s="1978">
        <f>IFERROR(CO!H945/1000000,0)</f>
        <v>9.8695910259666064E-2</v>
      </c>
      <c r="I3645" s="1978">
        <f>IFERROR(CO!I945/1000000,0)</f>
        <v>0.10845605184953008</v>
      </c>
      <c r="J3645" s="1979">
        <f>IFERROR(CO!J945/1000000,0)</f>
        <v>0.10651047963448367</v>
      </c>
      <c r="K3645" s="622"/>
      <c r="L3645" s="622"/>
      <c r="M3645" s="622"/>
      <c r="N3645" s="622"/>
      <c r="O3645" s="622"/>
      <c r="P3645" s="622"/>
      <c r="Q3645" s="622"/>
    </row>
    <row r="3646" spans="2:17" s="57" customFormat="1" ht="12.5">
      <c r="B3646" s="1753" t="s">
        <v>603</v>
      </c>
      <c r="C3646" s="1967">
        <f>IFERROR(CO!C953/1000000,0)</f>
        <v>0.17626083612683177</v>
      </c>
      <c r="D3646" s="1978">
        <f>IFERROR(CO!D953/1000000,0)</f>
        <v>0.12107115793013577</v>
      </c>
      <c r="E3646" s="1978">
        <f>IFERROR(CO!E953/1000000,0)</f>
        <v>0.14672594974770259</v>
      </c>
      <c r="F3646" s="1978">
        <f>IFERROR(CO!F953/1000000,0)</f>
        <v>0.16305447404617043</v>
      </c>
      <c r="G3646" s="1978">
        <f>IFERROR(CO!G953/1000000,0)</f>
        <v>0.14478612150131989</v>
      </c>
      <c r="H3646" s="1978">
        <f>IFERROR(CO!H953/1000000,0)</f>
        <v>0.14822201578559768</v>
      </c>
      <c r="I3646" s="1978">
        <f>IFERROR(CO!I953/1000000,0)</f>
        <v>0.15768938940719004</v>
      </c>
      <c r="J3646" s="1979">
        <f>IFERROR(CO!J953/1000000,0)</f>
        <v>0.13362518358111253</v>
      </c>
      <c r="K3646" s="622"/>
      <c r="L3646" s="622"/>
      <c r="M3646" s="622"/>
      <c r="N3646" s="622"/>
      <c r="O3646" s="622"/>
      <c r="P3646" s="622"/>
      <c r="Q3646" s="622"/>
    </row>
    <row r="3647" spans="2:17" s="57" customFormat="1" ht="12.5">
      <c r="B3647" s="1753"/>
      <c r="C3647" s="1886"/>
      <c r="D3647" s="1884"/>
      <c r="E3647" s="1884"/>
      <c r="F3647" s="1884"/>
      <c r="G3647" s="1884"/>
      <c r="H3647" s="1884"/>
      <c r="I3647" s="1884"/>
      <c r="J3647" s="1887"/>
      <c r="K3647" s="622"/>
      <c r="L3647" s="622"/>
      <c r="M3647" s="622"/>
      <c r="N3647" s="622"/>
      <c r="O3647" s="622"/>
      <c r="P3647" s="622"/>
      <c r="Q3647" s="622"/>
    </row>
    <row r="3648" spans="2:17" s="57" customFormat="1" ht="13">
      <c r="B3648" s="1755" t="s">
        <v>1044</v>
      </c>
      <c r="C3648" s="1886"/>
      <c r="D3648" s="1884"/>
      <c r="E3648" s="1884"/>
      <c r="F3648" s="1884"/>
      <c r="G3648" s="1884"/>
      <c r="H3648" s="1884"/>
      <c r="I3648" s="1884"/>
      <c r="J3648" s="1887"/>
      <c r="K3648" s="622"/>
    </row>
    <row r="3649" spans="2:17" s="57" customFormat="1" ht="12.5">
      <c r="B3649" s="1758" t="s">
        <v>1373</v>
      </c>
      <c r="C3649" s="1967">
        <f>IFERROR(CR!C841/1000000,0)</f>
        <v>9.5470973274897376E-3</v>
      </c>
      <c r="D3649" s="1978">
        <f>IFERROR(CR!D841/1000000,0)</f>
        <v>1.0485552181173646E-2</v>
      </c>
      <c r="E3649" s="1978">
        <f>IFERROR(CR!E841/1000000,0)</f>
        <v>1.231247001451573E-2</v>
      </c>
      <c r="F3649" s="1978">
        <f>IFERROR(CR!F841/1000000,0)</f>
        <v>1.3403228892548781E-2</v>
      </c>
      <c r="G3649" s="1978">
        <f>IFERROR(CR!G841/1000000,0)</f>
        <v>1.9985965850608627E-2</v>
      </c>
      <c r="H3649" s="1978">
        <f>IFERROR(CR!H841/1000000,0)</f>
        <v>2.0253818839684846E-2</v>
      </c>
      <c r="I3649" s="1978">
        <f>IFERROR(CR!I841/1000000,0)</f>
        <v>1.1641606890821358E-2</v>
      </c>
      <c r="J3649" s="1979">
        <f>IFERROR(CR!J841/1000000,0)</f>
        <v>1.0853925467101041E-2</v>
      </c>
      <c r="K3649" s="622"/>
    </row>
    <row r="3650" spans="2:17" s="57" customFormat="1" ht="25">
      <c r="B3650" s="1772" t="s">
        <v>1697</v>
      </c>
      <c r="C3650" s="1967">
        <f>IFERROR(CR!C849/1000000,0)</f>
        <v>1.7904542172523404E-2</v>
      </c>
      <c r="D3650" s="1978">
        <f>IFERROR(CR!D849/1000000,0)</f>
        <v>2.150059769834568E-2</v>
      </c>
      <c r="E3650" s="1978">
        <f>IFERROR(CR!E849/1000000,0)</f>
        <v>2.3296840774019122E-2</v>
      </c>
      <c r="F3650" s="1978">
        <f>IFERROR(CR!F849/1000000,0)</f>
        <v>2.5788259020480563E-2</v>
      </c>
      <c r="G3650" s="1978">
        <f>IFERROR(CR!G849/1000000,0)</f>
        <v>2.748649106164695E-2</v>
      </c>
      <c r="H3650" s="1978">
        <f>IFERROR(CR!H849/1000000,0)</f>
        <v>3.3087243591436791E-2</v>
      </c>
      <c r="I3650" s="1978">
        <f>IFERROR(CR!I849/1000000,0)</f>
        <v>3.3412214415769907E-2</v>
      </c>
      <c r="J3650" s="1979">
        <f>IFERROR(CR!J849/1000000,0)</f>
        <v>3.4724161744180519E-2</v>
      </c>
      <c r="K3650" s="622"/>
      <c r="L3650" s="622"/>
      <c r="M3650" s="622"/>
      <c r="N3650" s="622"/>
      <c r="O3650" s="622"/>
      <c r="P3650" s="622"/>
      <c r="Q3650" s="622"/>
    </row>
    <row r="3651" spans="2:17" s="57" customFormat="1" ht="12.5">
      <c r="B3651" s="1758"/>
      <c r="C3651" s="1886"/>
      <c r="D3651" s="1884"/>
      <c r="E3651" s="1884"/>
      <c r="F3651" s="1884"/>
      <c r="G3651" s="1884"/>
      <c r="H3651" s="1884"/>
      <c r="I3651" s="1884"/>
      <c r="J3651" s="1887"/>
      <c r="K3651" s="622"/>
      <c r="L3651" s="622"/>
      <c r="M3651" s="622"/>
      <c r="N3651" s="622"/>
      <c r="O3651" s="622"/>
      <c r="P3651" s="622"/>
      <c r="Q3651" s="622"/>
    </row>
    <row r="3652" spans="2:17" s="57" customFormat="1" ht="13">
      <c r="B3652" s="1754" t="s">
        <v>1061</v>
      </c>
      <c r="C3652" s="1886"/>
      <c r="D3652" s="1884"/>
      <c r="E3652" s="1884"/>
      <c r="F3652" s="1884"/>
      <c r="G3652" s="1884"/>
      <c r="H3652" s="1884"/>
      <c r="I3652" s="1884"/>
      <c r="J3652" s="1887"/>
      <c r="K3652" s="622"/>
      <c r="L3652" s="622"/>
      <c r="M3652" s="622"/>
      <c r="N3652" s="622"/>
      <c r="O3652" s="622"/>
      <c r="P3652" s="622"/>
      <c r="Q3652" s="622"/>
    </row>
    <row r="3653" spans="2:17" s="57" customFormat="1" ht="12.5">
      <c r="B3653" s="1753" t="s">
        <v>1355</v>
      </c>
      <c r="C3653" s="1967">
        <f>IFERROR(CW!C660,0)</f>
        <v>0</v>
      </c>
      <c r="D3653" s="1978">
        <f>IFERROR(CW!D660,0)</f>
        <v>0</v>
      </c>
      <c r="E3653" s="1978">
        <f>IFERROR(CW!E660,0)</f>
        <v>0</v>
      </c>
      <c r="F3653" s="1978">
        <f>IFERROR(CW!F660,0)</f>
        <v>0</v>
      </c>
      <c r="G3653" s="1978">
        <f>IFERROR(CW!G660,0)</f>
        <v>0</v>
      </c>
      <c r="H3653" s="1978">
        <f>IFERROR(CW!H660,0)</f>
        <v>0</v>
      </c>
      <c r="I3653" s="1978">
        <f>IFERROR(CW!I660,0)</f>
        <v>0</v>
      </c>
      <c r="J3653" s="1979">
        <f>IFERROR(CW!J660,0)</f>
        <v>0</v>
      </c>
      <c r="K3653" s="622"/>
      <c r="L3653" s="622"/>
      <c r="M3653" s="622"/>
      <c r="N3653" s="622"/>
      <c r="O3653" s="622"/>
      <c r="P3653" s="622"/>
      <c r="Q3653" s="622"/>
    </row>
    <row r="3654" spans="2:17" s="57" customFormat="1" ht="12.5">
      <c r="B3654" s="1758"/>
      <c r="C3654" s="1886"/>
      <c r="D3654" s="1884"/>
      <c r="E3654" s="1884"/>
      <c r="F3654" s="1884"/>
      <c r="G3654" s="1884"/>
      <c r="H3654" s="1884"/>
      <c r="I3654" s="1884"/>
      <c r="J3654" s="1887"/>
      <c r="K3654" s="622"/>
      <c r="L3654" s="622"/>
      <c r="M3654" s="622"/>
      <c r="N3654" s="622"/>
      <c r="O3654" s="622"/>
      <c r="P3654" s="622"/>
      <c r="Q3654" s="622"/>
    </row>
    <row r="3655" spans="2:17" s="57" customFormat="1" ht="13">
      <c r="B3655" s="1754" t="s">
        <v>1047</v>
      </c>
      <c r="C3655" s="2001"/>
      <c r="D3655" s="1999"/>
      <c r="E3655" s="1999"/>
      <c r="F3655" s="1999"/>
      <c r="G3655" s="1999"/>
      <c r="H3655" s="1999"/>
      <c r="I3655" s="1999"/>
      <c r="J3655" s="2002"/>
      <c r="K3655" s="622"/>
      <c r="L3655" s="622"/>
      <c r="M3655" s="622"/>
      <c r="N3655" s="622"/>
      <c r="O3655" s="622"/>
      <c r="P3655" s="622"/>
      <c r="Q3655" s="622"/>
    </row>
    <row r="3656" spans="2:17" s="57" customFormat="1" ht="12.5">
      <c r="B3656" s="1753" t="s">
        <v>503</v>
      </c>
      <c r="C3656" s="1967">
        <f>IFERROR(EC!C697/1000000,0)</f>
        <v>1.3175404E-2</v>
      </c>
      <c r="D3656" s="1978">
        <f>IFERROR(EC!D697/1000000,0)</f>
        <v>1.7679400000000001E-2</v>
      </c>
      <c r="E3656" s="1978">
        <f>IFERROR(EC!E697/1000000,0)</f>
        <v>3.6203647999999998E-2</v>
      </c>
      <c r="F3656" s="1978">
        <f>IFERROR(EC!F697/1000000,0)</f>
        <v>2.0764018091519999E-2</v>
      </c>
      <c r="G3656" s="1978">
        <f>IFERROR(EC!G697/1000000,0)</f>
        <v>1.9739124695830002E-2</v>
      </c>
      <c r="H3656" s="1978">
        <f>IFERROR(EC!H697/1000000,0)</f>
        <v>2.0866763771710015E-2</v>
      </c>
      <c r="I3656" s="1978">
        <f>IFERROR(EC!I697/1000000,0)</f>
        <v>2.2525505588360032E-2</v>
      </c>
      <c r="J3656" s="1979">
        <f>IFERROR(EC!J697/1000000,0)</f>
        <v>2.3749425000000005E-2</v>
      </c>
      <c r="K3656" s="622"/>
      <c r="L3656" s="622"/>
      <c r="M3656" s="622"/>
      <c r="N3656" s="622"/>
      <c r="O3656" s="622"/>
      <c r="P3656" s="622"/>
      <c r="Q3656" s="622"/>
    </row>
    <row r="3657" spans="2:17" s="57" customFormat="1" ht="12.5">
      <c r="B3657" s="1752"/>
      <c r="C3657" s="1886"/>
      <c r="D3657" s="1884"/>
      <c r="E3657" s="1884"/>
      <c r="F3657" s="1884"/>
      <c r="G3657" s="1884"/>
      <c r="H3657" s="1884"/>
      <c r="I3657" s="1884"/>
      <c r="J3657" s="1887"/>
      <c r="K3657" s="622"/>
      <c r="L3657" s="622"/>
      <c r="M3657" s="622"/>
      <c r="N3657" s="622"/>
      <c r="O3657" s="622"/>
      <c r="P3657" s="622"/>
      <c r="Q3657" s="622"/>
    </row>
    <row r="3658" spans="2:17" s="57" customFormat="1" ht="13">
      <c r="B3658" s="1754" t="s">
        <v>1048</v>
      </c>
      <c r="C3658" s="1886"/>
      <c r="D3658" s="1884"/>
      <c r="E3658" s="1884"/>
      <c r="F3658" s="1884"/>
      <c r="G3658" s="1884"/>
      <c r="H3658" s="1884"/>
      <c r="I3658" s="1884"/>
      <c r="J3658" s="1887"/>
      <c r="K3658" s="622"/>
      <c r="L3658" s="622"/>
      <c r="M3658" s="622"/>
      <c r="N3658" s="622"/>
      <c r="O3658" s="622"/>
      <c r="P3658" s="622"/>
      <c r="Q3658" s="622"/>
    </row>
    <row r="3659" spans="2:17" s="57" customFormat="1" ht="12.5">
      <c r="B3659" s="1753" t="s">
        <v>503</v>
      </c>
      <c r="C3659" s="1967">
        <f>IFERROR(SV!C662/1000000,0)</f>
        <v>5.7400000000000003E-3</v>
      </c>
      <c r="D3659" s="1978">
        <f>IFERROR(SV!D662/1000000,0)</f>
        <v>6.3439999999999998E-3</v>
      </c>
      <c r="E3659" s="1978">
        <f>IFERROR(SV!E662/1000000,0)</f>
        <v>6.1929999999999997E-3</v>
      </c>
      <c r="F3659" s="1978">
        <f>IFERROR(SV!F662/1000000,0)</f>
        <v>6.2459999999999998E-3</v>
      </c>
      <c r="G3659" s="1978">
        <f>IFERROR(SV!G662/1000000,0)</f>
        <v>6.5799999999999999E-3</v>
      </c>
      <c r="H3659" s="1978">
        <f>IFERROR(SV!H662/1000000,0)</f>
        <v>6.7609999999999996E-3</v>
      </c>
      <c r="I3659" s="1978">
        <f>IFERROR(SV!I662/1000000,0)</f>
        <v>7.9729999999999992E-3</v>
      </c>
      <c r="J3659" s="1979">
        <f>IFERROR(SV!J662/1000000,0)</f>
        <v>7.5760000000000003E-3</v>
      </c>
      <c r="K3659" s="622"/>
      <c r="L3659" s="622"/>
      <c r="M3659" s="622"/>
      <c r="N3659" s="622"/>
      <c r="O3659" s="622"/>
      <c r="P3659" s="622"/>
      <c r="Q3659" s="622"/>
    </row>
    <row r="3660" spans="2:17" s="57" customFormat="1" ht="12.5">
      <c r="B3660" s="1753"/>
      <c r="C3660" s="1886"/>
      <c r="D3660" s="1884"/>
      <c r="E3660" s="1884"/>
      <c r="F3660" s="1884"/>
      <c r="G3660" s="1884"/>
      <c r="H3660" s="1884"/>
      <c r="I3660" s="1884"/>
      <c r="J3660" s="1887"/>
      <c r="K3660" s="622"/>
      <c r="L3660" s="622"/>
      <c r="M3660" s="622"/>
      <c r="N3660" s="622"/>
      <c r="O3660" s="622"/>
      <c r="P3660" s="622"/>
      <c r="Q3660" s="622"/>
    </row>
    <row r="3661" spans="2:17" s="57" customFormat="1" ht="13">
      <c r="B3661" s="1754" t="s">
        <v>1049</v>
      </c>
      <c r="C3661" s="1886"/>
      <c r="D3661" s="1884"/>
      <c r="E3661" s="1884"/>
      <c r="F3661" s="1884"/>
      <c r="G3661" s="1884"/>
      <c r="H3661" s="1884"/>
      <c r="I3661" s="1884"/>
      <c r="J3661" s="1887"/>
      <c r="K3661" s="622"/>
      <c r="L3661" s="622"/>
      <c r="M3661" s="622"/>
      <c r="N3661" s="622"/>
      <c r="O3661" s="622"/>
      <c r="P3661" s="622"/>
      <c r="Q3661" s="622"/>
    </row>
    <row r="3662" spans="2:17" s="57" customFormat="1" ht="12.5">
      <c r="B3662" s="1757" t="s">
        <v>1332</v>
      </c>
      <c r="C3662" s="1967">
        <f>IFERROR(GT!C920/1000000,0)</f>
        <v>3.9907570000000002E-3</v>
      </c>
      <c r="D3662" s="1978">
        <f>IFERROR(GT!D920/1000000,0)</f>
        <v>4.5585320000000006E-3</v>
      </c>
      <c r="E3662" s="1978">
        <f>IFERROR(GT!E920/1000000,0)</f>
        <v>4.5589979999999999E-3</v>
      </c>
      <c r="F3662" s="1978">
        <f>IFERROR(GT!F920/1000000,0)</f>
        <v>5.2882670000000001E-3</v>
      </c>
      <c r="G3662" s="1978">
        <f>IFERROR(GT!G920/1000000,0)</f>
        <v>5.3371750000000004E-3</v>
      </c>
      <c r="H3662" s="1978">
        <f>IFERROR(GT!H920/1000000,0)</f>
        <v>6.1453389999999988E-3</v>
      </c>
      <c r="I3662" s="1978">
        <f>IFERROR(GT!I920/1000000,0)</f>
        <v>8.2635821581714761E-3</v>
      </c>
      <c r="J3662" s="1979">
        <f>IFERROR(GT!J920/1000000,0)</f>
        <v>9.2140075938293483E-3</v>
      </c>
      <c r="K3662" s="622"/>
      <c r="L3662" s="622"/>
      <c r="M3662" s="622"/>
      <c r="N3662" s="622"/>
      <c r="O3662" s="622"/>
      <c r="P3662" s="622"/>
      <c r="Q3662" s="622"/>
    </row>
    <row r="3663" spans="2:17" s="57" customFormat="1" ht="12.5">
      <c r="B3663" s="1757"/>
      <c r="C3663" s="1886"/>
      <c r="D3663" s="1884"/>
      <c r="E3663" s="1884"/>
      <c r="F3663" s="1884"/>
      <c r="G3663" s="1884"/>
      <c r="H3663" s="1884"/>
      <c r="I3663" s="1884"/>
      <c r="J3663" s="1887"/>
      <c r="K3663" s="622"/>
      <c r="L3663" s="622"/>
      <c r="M3663" s="622"/>
      <c r="N3663" s="622"/>
      <c r="O3663" s="622"/>
      <c r="P3663" s="622"/>
      <c r="Q3663" s="622"/>
    </row>
    <row r="3664" spans="2:17" s="57" customFormat="1" ht="13">
      <c r="B3664" s="1754" t="s">
        <v>1050</v>
      </c>
      <c r="C3664" s="1886"/>
      <c r="D3664" s="1884"/>
      <c r="E3664" s="1884"/>
      <c r="F3664" s="1884"/>
      <c r="G3664" s="1884"/>
      <c r="H3664" s="1884"/>
      <c r="I3664" s="1884"/>
      <c r="J3664" s="1887"/>
      <c r="K3664" s="622"/>
      <c r="L3664" s="622"/>
      <c r="M3664" s="622"/>
      <c r="N3664" s="622"/>
      <c r="O3664" s="622"/>
      <c r="P3664" s="622"/>
      <c r="Q3664" s="622"/>
    </row>
    <row r="3665" spans="2:17" s="57" customFormat="1" ht="12.5">
      <c r="B3665" s="1757" t="s">
        <v>1355</v>
      </c>
      <c r="C3665" s="1967">
        <f>IFERROR(HN!C782/1000000,0)</f>
        <v>4.3001686541163688E-3</v>
      </c>
      <c r="D3665" s="1978">
        <f>IFERROR(HN!D782/1000000,0)</f>
        <v>4.3471651244751768E-3</v>
      </c>
      <c r="E3665" s="1978">
        <f>IFERROR(HN!E782/1000000,0)</f>
        <v>4.6073291509663447E-3</v>
      </c>
      <c r="F3665" s="1978">
        <f>IFERROR(HN!F782/1000000,0)</f>
        <v>5.2656981567570892E-3</v>
      </c>
      <c r="G3665" s="1978">
        <f>IFERROR(HN!G782/1000000,0)</f>
        <v>5.7619692580201283E-3</v>
      </c>
      <c r="H3665" s="1978">
        <f>IFERROR(HN!H782/1000000,0)</f>
        <v>6.2459433769365951E-3</v>
      </c>
      <c r="I3665" s="1978">
        <f>IFERROR(HN!I782/1000000,0)</f>
        <v>6.8281754021988763E-3</v>
      </c>
      <c r="J3665" s="1979">
        <f>IFERROR(HN!J782/1000000,0)</f>
        <v>8.6202705136215474E-3</v>
      </c>
      <c r="K3665" s="622"/>
      <c r="L3665" s="622"/>
      <c r="M3665" s="622"/>
      <c r="N3665" s="622"/>
      <c r="O3665" s="622"/>
      <c r="P3665" s="622"/>
      <c r="Q3665" s="622"/>
    </row>
    <row r="3666" spans="2:17" s="57" customFormat="1" ht="12.5">
      <c r="B3666" s="1757"/>
      <c r="C3666" s="1886"/>
      <c r="D3666" s="1884"/>
      <c r="E3666" s="1884"/>
      <c r="F3666" s="1884"/>
      <c r="G3666" s="1884"/>
      <c r="H3666" s="1884"/>
      <c r="I3666" s="1884"/>
      <c r="J3666" s="1887"/>
      <c r="K3666" s="622"/>
      <c r="L3666" s="622"/>
      <c r="M3666" s="622"/>
      <c r="N3666" s="622"/>
      <c r="O3666" s="622"/>
      <c r="P3666" s="622"/>
      <c r="Q3666" s="622"/>
    </row>
    <row r="3667" spans="2:17" s="57" customFormat="1" ht="13">
      <c r="B3667" s="1754" t="s">
        <v>1051</v>
      </c>
      <c r="C3667" s="1770"/>
      <c r="D3667" s="823"/>
      <c r="E3667" s="823"/>
      <c r="F3667" s="823"/>
      <c r="G3667" s="823"/>
      <c r="H3667" s="823"/>
      <c r="I3667" s="823"/>
      <c r="J3667" s="824"/>
      <c r="K3667" s="622"/>
      <c r="L3667" s="622"/>
      <c r="M3667" s="622"/>
      <c r="N3667" s="622"/>
      <c r="O3667" s="622"/>
      <c r="P3667" s="622"/>
      <c r="Q3667" s="622"/>
    </row>
    <row r="3668" spans="2:17" s="57" customFormat="1" ht="12.5">
      <c r="B3668" s="1753" t="s">
        <v>1355</v>
      </c>
      <c r="C3668" s="1967">
        <f>IFERROR(JM!C886/1000000,0)</f>
        <v>9.0180892148835658E-3</v>
      </c>
      <c r="D3668" s="1978">
        <f>IFERROR(JM!D886/1000000,0)</f>
        <v>8.4127559777654928E-3</v>
      </c>
      <c r="E3668" s="1978">
        <f>IFERROR(JM!E886/1000000,0)</f>
        <v>7.9487811960818056E-3</v>
      </c>
      <c r="F3668" s="1978">
        <f>IFERROR(JM!F886/1000000,0)</f>
        <v>7.4279533486457652E-3</v>
      </c>
      <c r="G3668" s="1978">
        <f>IFERROR(JM!G886/1000000,0)</f>
        <v>6.9971846817935201E-3</v>
      </c>
      <c r="H3668" s="1978">
        <f>IFERROR(JM!H886/1000000,0)</f>
        <v>6.431137649450476E-3</v>
      </c>
      <c r="I3668" s="1978">
        <f>IFERROR(JM!I886/1000000,0)</f>
        <v>6.7459142261346531E-3</v>
      </c>
      <c r="J3668" s="1979">
        <f>IFERROR(JM!J886/1000000,0)</f>
        <v>6.434864960364388E-3</v>
      </c>
      <c r="K3668" s="622"/>
      <c r="L3668" s="622"/>
      <c r="M3668" s="622"/>
      <c r="N3668" s="622"/>
      <c r="O3668" s="622"/>
      <c r="P3668" s="622"/>
      <c r="Q3668" s="622"/>
    </row>
    <row r="3669" spans="2:17" s="57" customFormat="1" ht="12.5">
      <c r="B3669" s="1753" t="s">
        <v>1318</v>
      </c>
      <c r="C3669" s="1967">
        <f>IFERROR(JM!C894/1000000,0)</f>
        <v>4.8647880224000027E-4</v>
      </c>
      <c r="D3669" s="1978">
        <f>IFERROR(JM!D894/1000000,0)</f>
        <v>6.3779097288543781E-3</v>
      </c>
      <c r="E3669" s="1978">
        <f>IFERROR(JM!E894/1000000,0)</f>
        <v>8.0971407750209425E-3</v>
      </c>
      <c r="F3669" s="1978">
        <f>IFERROR(JM!F894/1000000,0)</f>
        <v>9.9999680001023987E-3</v>
      </c>
      <c r="G3669" s="1978">
        <f>IFERROR(JM!G894/1000000,0)</f>
        <v>2.5055552858603686E-2</v>
      </c>
      <c r="H3669" s="1978">
        <f>IFERROR(JM!H894/1000000,0)</f>
        <v>2.0644298440811955E-2</v>
      </c>
      <c r="I3669" s="1978">
        <f>IFERROR(JM!I894/1000000,0)</f>
        <v>3.9328009320760769E-2</v>
      </c>
      <c r="J3669" s="1979">
        <f>IFERROR(JM!J894/1000000,0)</f>
        <v>4.0274689562944346E-2</v>
      </c>
      <c r="K3669" s="622"/>
      <c r="L3669" s="622"/>
      <c r="M3669" s="622"/>
      <c r="N3669" s="622"/>
      <c r="O3669" s="622"/>
      <c r="P3669" s="622"/>
      <c r="Q3669" s="622"/>
    </row>
    <row r="3670" spans="2:17" s="57" customFormat="1" ht="12.5">
      <c r="B3670" s="1703"/>
      <c r="C3670" s="2001"/>
      <c r="D3670" s="1999"/>
      <c r="E3670" s="1999"/>
      <c r="F3670" s="1999"/>
      <c r="G3670" s="1999"/>
      <c r="H3670" s="1999"/>
      <c r="I3670" s="1999"/>
      <c r="J3670" s="2002"/>
      <c r="K3670" s="622"/>
      <c r="L3670" s="622"/>
      <c r="M3670" s="622"/>
      <c r="N3670" s="622"/>
      <c r="O3670" s="622"/>
      <c r="P3670" s="622"/>
      <c r="Q3670" s="622"/>
    </row>
    <row r="3671" spans="2:17" s="57" customFormat="1" ht="13">
      <c r="B3671" s="1754" t="s">
        <v>1052</v>
      </c>
      <c r="C3671" s="1886"/>
      <c r="D3671" s="1884"/>
      <c r="E3671" s="1884"/>
      <c r="F3671" s="1884"/>
      <c r="G3671" s="1884"/>
      <c r="H3671" s="1884"/>
      <c r="I3671" s="1884"/>
      <c r="J3671" s="1887"/>
      <c r="K3671" s="622"/>
      <c r="L3671" s="622"/>
      <c r="M3671" s="622"/>
      <c r="N3671" s="622"/>
      <c r="O3671" s="622"/>
      <c r="P3671" s="622"/>
      <c r="Q3671" s="622"/>
    </row>
    <row r="3672" spans="2:17" s="57" customFormat="1" ht="12.5">
      <c r="B3672" s="1752" t="s">
        <v>700</v>
      </c>
      <c r="C3672" s="1967">
        <f>IFERROR(RD!C776/1000000,0)</f>
        <v>1.1567074141329133E-2</v>
      </c>
      <c r="D3672" s="1978">
        <f>IFERROR(RD!D776/1000000,0)</f>
        <v>1.4002018304512696E-2</v>
      </c>
      <c r="E3672" s="1978">
        <f>IFERROR(RD!E776/1000000,0)</f>
        <v>1.6693407311103334E-2</v>
      </c>
      <c r="F3672" s="1978">
        <f>IFERROR(RD!F776/1000000,0)</f>
        <v>1.985429756518748E-2</v>
      </c>
      <c r="G3672" s="1978">
        <f>IFERROR(RD!G776/1000000,0)</f>
        <v>3.3170847033562864E-2</v>
      </c>
      <c r="H3672" s="1978">
        <f>IFERROR(RD!H776/1000000,0)</f>
        <v>3.4351366694216075E-2</v>
      </c>
      <c r="I3672" s="1978">
        <f>IFERROR(RD!I776/1000000,0)</f>
        <v>2.9199137118465404E-2</v>
      </c>
      <c r="J3672" s="1979">
        <f>IFERROR(RD!J776/1000000,0)</f>
        <v>3.2872159775486187E-2</v>
      </c>
      <c r="K3672" s="622"/>
      <c r="L3672" s="622"/>
      <c r="M3672" s="622"/>
      <c r="N3672" s="622"/>
      <c r="O3672" s="622"/>
      <c r="P3672" s="622"/>
      <c r="Q3672" s="622"/>
    </row>
    <row r="3673" spans="2:17" s="57" customFormat="1" ht="12.5">
      <c r="B3673" s="1753"/>
      <c r="C3673" s="1770"/>
      <c r="D3673" s="823"/>
      <c r="E3673" s="823"/>
      <c r="F3673" s="823"/>
      <c r="G3673" s="823"/>
      <c r="H3673" s="823"/>
      <c r="I3673" s="823"/>
      <c r="J3673" s="824"/>
      <c r="K3673" s="622"/>
      <c r="L3673" s="622"/>
      <c r="M3673" s="622"/>
      <c r="N3673" s="622"/>
      <c r="O3673" s="622"/>
      <c r="P3673" s="622"/>
      <c r="Q3673" s="622"/>
    </row>
    <row r="3674" spans="2:17" s="57" customFormat="1" ht="13">
      <c r="B3674" s="1754" t="s">
        <v>1053</v>
      </c>
      <c r="C3674" s="1886"/>
      <c r="D3674" s="1884"/>
      <c r="E3674" s="1884"/>
      <c r="F3674" s="1884"/>
      <c r="G3674" s="1884"/>
      <c r="H3674" s="1884"/>
      <c r="I3674" s="1884"/>
      <c r="J3674" s="1887"/>
      <c r="K3674" s="622"/>
      <c r="L3674" s="622"/>
      <c r="M3674" s="622"/>
      <c r="N3674" s="622"/>
      <c r="O3674" s="622"/>
      <c r="P3674" s="622"/>
      <c r="Q3674" s="622"/>
    </row>
    <row r="3675" spans="2:17" s="57" customFormat="1" ht="12.5">
      <c r="B3675" s="1890" t="s">
        <v>1386</v>
      </c>
      <c r="C3675" s="1967">
        <f>IFERROR(PY!C1168/1000000,0)</f>
        <v>0</v>
      </c>
      <c r="D3675" s="1978">
        <f>IFERROR(PY!D1168/1000000,0)</f>
        <v>1.2595673366219014E-3</v>
      </c>
      <c r="E3675" s="1978">
        <f>IFERROR(PY!E1168/1000000,0)</f>
        <v>1.6483474353342377E-3</v>
      </c>
      <c r="F3675" s="1978">
        <f>IFERROR(PY!F1168/1000000,0)</f>
        <v>2.3457943322275922E-3</v>
      </c>
      <c r="G3675" s="1978">
        <f>IFERROR(PY!G1168/1000000,0)</f>
        <v>2.0471024170573174E-3</v>
      </c>
      <c r="H3675" s="1978">
        <f>IFERROR(PY!H1168/1000000,0)</f>
        <v>2.0398694261237779E-3</v>
      </c>
      <c r="I3675" s="1978">
        <f>IFERROR(PY!I1168/1000000,0)</f>
        <v>2.3074244481976099E-3</v>
      </c>
      <c r="J3675" s="1979">
        <f>IFERROR(PY!J1168/1000000,0)</f>
        <v>1.8481679389312979E-3</v>
      </c>
      <c r="K3675" s="622"/>
      <c r="L3675" s="622"/>
      <c r="M3675" s="622"/>
      <c r="N3675" s="622"/>
      <c r="O3675" s="622"/>
      <c r="P3675" s="622"/>
      <c r="Q3675" s="622"/>
    </row>
    <row r="3676" spans="2:17" s="57" customFormat="1" ht="12.5">
      <c r="B3676" s="1890" t="s">
        <v>1319</v>
      </c>
      <c r="C3676" s="1967">
        <f>IFERROR(PY!C1176/1000000,0)</f>
        <v>2.9808438852704398E-4</v>
      </c>
      <c r="D3676" s="1978">
        <f>IFERROR(PY!D1176/1000000,0)</f>
        <v>3.6949821462131178E-4</v>
      </c>
      <c r="E3676" s="1978">
        <f>IFERROR(PY!E1176/1000000,0)</f>
        <v>5.5492383530437236E-4</v>
      </c>
      <c r="F3676" s="1978">
        <f>IFERROR(PY!F1176/1000000,0)</f>
        <v>6.6217614073193945E-4</v>
      </c>
      <c r="G3676" s="1978">
        <f>IFERROR(PY!G1176/1000000,0)</f>
        <v>7.3706590784780221E-4</v>
      </c>
      <c r="H3676" s="1978">
        <f>IFERROR(PY!H1176/1000000,0)</f>
        <v>8.1774334751557275E-4</v>
      </c>
      <c r="I3676" s="1978">
        <f>IFERROR(PY!I1176/1000000,0)</f>
        <v>1.4330135404152084E-3</v>
      </c>
      <c r="J3676" s="1979">
        <f>IFERROR(PY!J1176/1000000,0)</f>
        <v>2.048075079544989E-3</v>
      </c>
      <c r="K3676" s="622"/>
      <c r="L3676" s="622"/>
      <c r="M3676" s="622"/>
      <c r="N3676" s="622"/>
      <c r="O3676" s="622"/>
      <c r="P3676" s="622"/>
      <c r="Q3676" s="622"/>
    </row>
    <row r="3677" spans="2:17" s="57" customFormat="1" ht="12.5">
      <c r="B3677" s="1890" t="s">
        <v>2061</v>
      </c>
      <c r="C3677" s="1967">
        <f>IFERROR(PY!C1184/1000000,0)</f>
        <v>2.1821271087018088E-8</v>
      </c>
      <c r="D3677" s="1978">
        <f>IFERROR(PY!D1184/1000000,0)</f>
        <v>2.7602937297086664E-8</v>
      </c>
      <c r="E3677" s="1978">
        <f>IFERROR(PY!E1184/1000000,0)</f>
        <v>3.5321735718142877E-8</v>
      </c>
      <c r="F3677" s="1978">
        <f>IFERROR(PY!F1184/1000000,0)</f>
        <v>4.1750045251139337E-8</v>
      </c>
      <c r="G3677" s="1978">
        <f>IFERROR(PY!G1184/1000000,0)</f>
        <v>5.3193045800937563E-8</v>
      </c>
      <c r="H3677" s="1978">
        <f>IFERROR(PY!H1184/1000000,0)</f>
        <v>6.5732894775647945E-8</v>
      </c>
      <c r="I3677" s="1978">
        <f>IFERROR(PY!I1184/1000000,0)</f>
        <v>1.6528389601796877E-8</v>
      </c>
      <c r="J3677" s="1979">
        <f>IFERROR(PY!J1184/1000000,0)</f>
        <v>1.2454082399049558E-7</v>
      </c>
      <c r="K3677" s="622"/>
      <c r="L3677" s="622"/>
      <c r="M3677" s="622"/>
      <c r="N3677" s="622"/>
      <c r="O3677" s="622"/>
      <c r="P3677" s="622"/>
      <c r="Q3677" s="622"/>
    </row>
    <row r="3678" spans="2:17" s="57" customFormat="1" ht="12.5">
      <c r="B3678" s="1890"/>
      <c r="C3678" s="1997"/>
      <c r="D3678" s="2000"/>
      <c r="E3678" s="2000"/>
      <c r="F3678" s="2000"/>
      <c r="G3678" s="2000"/>
      <c r="H3678" s="2000"/>
      <c r="I3678" s="2000"/>
      <c r="J3678" s="2003"/>
      <c r="K3678" s="622"/>
      <c r="L3678" s="622"/>
      <c r="M3678" s="622"/>
      <c r="N3678" s="622"/>
      <c r="O3678" s="622"/>
      <c r="P3678" s="622"/>
      <c r="Q3678" s="622"/>
    </row>
    <row r="3679" spans="2:17" s="57" customFormat="1" ht="13">
      <c r="B3679" s="1754" t="s">
        <v>1054</v>
      </c>
      <c r="C3679" s="1997"/>
      <c r="D3679" s="2000"/>
      <c r="E3679" s="2000"/>
      <c r="F3679" s="2000"/>
      <c r="G3679" s="2000"/>
      <c r="H3679" s="2000"/>
      <c r="I3679" s="2000"/>
      <c r="J3679" s="2003"/>
      <c r="K3679" s="622"/>
      <c r="L3679" s="622"/>
      <c r="M3679" s="622"/>
      <c r="N3679" s="622"/>
      <c r="O3679" s="622"/>
      <c r="P3679" s="622"/>
      <c r="Q3679" s="622"/>
    </row>
    <row r="3680" spans="2:17" s="57" customFormat="1" ht="12.5">
      <c r="B3680" s="1890" t="s">
        <v>1388</v>
      </c>
      <c r="C3680" s="1967">
        <f>IFERROR(PE!C699/1000000,0)</f>
        <v>1.2912900249916249E-2</v>
      </c>
      <c r="D3680" s="1978">
        <f>IFERROR(PE!D699/1000000,0)</f>
        <v>2.0918336826560361E-2</v>
      </c>
      <c r="E3680" s="1978">
        <f>IFERROR(PE!E699/1000000,0)</f>
        <v>2.0740677943492755E-2</v>
      </c>
      <c r="F3680" s="1978">
        <f>IFERROR(PE!F699/1000000,0)</f>
        <v>1.8759074788386575E-2</v>
      </c>
      <c r="G3680" s="1978">
        <f>IFERROR(PE!G699/1000000,0)</f>
        <v>3.1601565797273259E-2</v>
      </c>
      <c r="H3680" s="1978">
        <f>IFERROR(PE!H699/1000000,0)</f>
        <v>3.4750495473747728E-2</v>
      </c>
      <c r="I3680" s="1978">
        <f>IFERROR(PE!I699/1000000,0)</f>
        <v>2.7955802777368817E-2</v>
      </c>
      <c r="J3680" s="1979">
        <f>IFERROR(PE!J699/1000000,0)</f>
        <v>2.5028441239182242E-2</v>
      </c>
      <c r="K3680" s="622"/>
      <c r="L3680" s="622"/>
      <c r="M3680" s="622"/>
      <c r="N3680" s="622"/>
      <c r="O3680" s="622"/>
      <c r="P3680" s="622"/>
      <c r="Q3680" s="622"/>
    </row>
    <row r="3681" spans="2:17" s="57" customFormat="1" ht="12.5">
      <c r="B3681" s="1890"/>
      <c r="C3681" s="1997"/>
      <c r="D3681" s="2000"/>
      <c r="E3681" s="2000"/>
      <c r="F3681" s="2000"/>
      <c r="G3681" s="2000"/>
      <c r="H3681" s="2000"/>
      <c r="I3681" s="2000"/>
      <c r="J3681" s="2003"/>
      <c r="K3681" s="622"/>
      <c r="L3681" s="622"/>
      <c r="M3681" s="622"/>
      <c r="N3681" s="622"/>
      <c r="O3681" s="622"/>
      <c r="P3681" s="622"/>
      <c r="Q3681" s="622"/>
    </row>
    <row r="3682" spans="2:17" s="57" customFormat="1" ht="13">
      <c r="B3682" s="1754" t="s">
        <v>1055</v>
      </c>
      <c r="C3682" s="1886"/>
      <c r="D3682" s="1884"/>
      <c r="E3682" s="1884"/>
      <c r="F3682" s="1884"/>
      <c r="G3682" s="1884"/>
      <c r="H3682" s="1884"/>
      <c r="I3682" s="1884"/>
      <c r="J3682" s="1887"/>
      <c r="K3682" s="622"/>
      <c r="L3682" s="622"/>
      <c r="M3682" s="622"/>
      <c r="N3682" s="622"/>
      <c r="O3682" s="622"/>
      <c r="P3682" s="622"/>
      <c r="Q3682" s="622"/>
    </row>
    <row r="3683" spans="2:17" s="57" customFormat="1" ht="25">
      <c r="B3683" s="1998" t="s">
        <v>1852</v>
      </c>
      <c r="C3683" s="1989">
        <f>IFERROR(TT!C855/1000000,0)</f>
        <v>0</v>
      </c>
      <c r="D3683" s="1993">
        <f>IFERROR(TT!D855/1000000,0)</f>
        <v>4.1215300000000001E-4</v>
      </c>
      <c r="E3683" s="1993">
        <f>IFERROR(TT!E855/1000000,0)</f>
        <v>1.0216918E-2</v>
      </c>
      <c r="F3683" s="1993">
        <f>IFERROR(TT!F855/1000000,0)</f>
        <v>9.6765409999999986E-3</v>
      </c>
      <c r="G3683" s="1993">
        <f>IFERROR(TT!G855/1000000,0)</f>
        <v>1.0413084999999999E-2</v>
      </c>
      <c r="H3683" s="1993">
        <f>IFERROR(TT!H855/1000000,0)</f>
        <v>1.2827125999999999E-2</v>
      </c>
      <c r="I3683" s="1993">
        <f>IFERROR(TT!I855/1000000,0)</f>
        <v>1.2349394E-2</v>
      </c>
      <c r="J3683" s="1994">
        <f>IFERROR(TT!J855/1000000,0)</f>
        <v>1.4898980049589056E-2</v>
      </c>
      <c r="K3683" s="622"/>
      <c r="L3683" s="622"/>
      <c r="M3683" s="622"/>
      <c r="N3683" s="622"/>
      <c r="O3683" s="622"/>
      <c r="P3683" s="622"/>
      <c r="Q3683" s="622"/>
    </row>
  </sheetData>
  <protectedRanges>
    <protectedRange sqref="P2106:P2118" name="Range1_17_1"/>
    <protectedRange sqref="Q2106:U2118" name="Range1_1_15_2"/>
    <protectedRange sqref="V2106:Z2118" name="Range1_1_15_3"/>
  </protectedRanges>
  <mergeCells count="463">
    <mergeCell ref="C1256:J1256"/>
    <mergeCell ref="B3358:R3358"/>
    <mergeCell ref="B3359:R3359"/>
    <mergeCell ref="B3559:B3560"/>
    <mergeCell ref="B3623:B3624"/>
    <mergeCell ref="B3427:B3428"/>
    <mergeCell ref="B3493:B3494"/>
    <mergeCell ref="C3427:J3427"/>
    <mergeCell ref="K3427:R3427"/>
    <mergeCell ref="B3489:R3489"/>
    <mergeCell ref="B3490:R3490"/>
    <mergeCell ref="C3493:J3493"/>
    <mergeCell ref="B3555:R3555"/>
    <mergeCell ref="B3556:R3556"/>
    <mergeCell ref="C3559:J3559"/>
    <mergeCell ref="C3623:J3623"/>
    <mergeCell ref="B3621:R3621"/>
    <mergeCell ref="B3423:R3423"/>
    <mergeCell ref="B3424:R3424"/>
    <mergeCell ref="B3362:B3363"/>
    <mergeCell ref="C3362:J3362"/>
    <mergeCell ref="K3362:R3362"/>
    <mergeCell ref="B3220:R3220"/>
    <mergeCell ref="B3221:R3221"/>
    <mergeCell ref="B3224:B3225"/>
    <mergeCell ref="B3295:B3296"/>
    <mergeCell ref="C3295:C3296"/>
    <mergeCell ref="D3295:D3296"/>
    <mergeCell ref="E3295:E3296"/>
    <mergeCell ref="F3295:F3296"/>
    <mergeCell ref="G3295:G3296"/>
    <mergeCell ref="C3224:J3224"/>
    <mergeCell ref="B3291:R3291"/>
    <mergeCell ref="B3292:R3292"/>
    <mergeCell ref="H3295:H3296"/>
    <mergeCell ref="I3295:I3296"/>
    <mergeCell ref="K3295:K3296"/>
    <mergeCell ref="L3295:L3296"/>
    <mergeCell ref="J3295:J3296"/>
    <mergeCell ref="B3157:B3158"/>
    <mergeCell ref="B3086:Q3086"/>
    <mergeCell ref="B3087:Q3087"/>
    <mergeCell ref="B3090:B3091"/>
    <mergeCell ref="C3090:J3090"/>
    <mergeCell ref="K3090:R3090"/>
    <mergeCell ref="B3153:R3153"/>
    <mergeCell ref="B3154:R3154"/>
    <mergeCell ref="C3157:J3157"/>
    <mergeCell ref="K3157:R3157"/>
    <mergeCell ref="G3021:G3022"/>
    <mergeCell ref="H3021:H3022"/>
    <mergeCell ref="I3021:I3022"/>
    <mergeCell ref="J3021:J3022"/>
    <mergeCell ref="K3021:K3022"/>
    <mergeCell ref="L3021:L3022"/>
    <mergeCell ref="B2955:Q2955"/>
    <mergeCell ref="B2957:B2958"/>
    <mergeCell ref="B3017:Q3017"/>
    <mergeCell ref="B3018:Q3018"/>
    <mergeCell ref="B3021:B3022"/>
    <mergeCell ref="C3021:C3022"/>
    <mergeCell ref="D3021:D3022"/>
    <mergeCell ref="E3021:E3022"/>
    <mergeCell ref="F3021:F3022"/>
    <mergeCell ref="C2957:J2957"/>
    <mergeCell ref="B2820:B2821"/>
    <mergeCell ref="B2888:Q2888"/>
    <mergeCell ref="B2889:Q2889"/>
    <mergeCell ref="B2892:B2893"/>
    <mergeCell ref="B2750:B2751"/>
    <mergeCell ref="C2750:J2750"/>
    <mergeCell ref="K2750:R2750"/>
    <mergeCell ref="C2820:J2820"/>
    <mergeCell ref="C2892:J2892"/>
    <mergeCell ref="B2816:R2816"/>
    <mergeCell ref="B2817:R2817"/>
    <mergeCell ref="B2746:R2746"/>
    <mergeCell ref="B2747:R2747"/>
    <mergeCell ref="B2679:Q2679"/>
    <mergeCell ref="B2681:B2682"/>
    <mergeCell ref="C2681:J2681"/>
    <mergeCell ref="B2677:R2677"/>
    <mergeCell ref="B2678:R2678"/>
    <mergeCell ref="K2681:R2681"/>
    <mergeCell ref="B2480:R2480"/>
    <mergeCell ref="B2481:R2481"/>
    <mergeCell ref="B2484:B2485"/>
    <mergeCell ref="C2484:J2484"/>
    <mergeCell ref="K2484:R2484"/>
    <mergeCell ref="B2606:R2606"/>
    <mergeCell ref="B2607:R2607"/>
    <mergeCell ref="B2368:B2369"/>
    <mergeCell ref="B2252:B2253"/>
    <mergeCell ref="B2248:R2248"/>
    <mergeCell ref="B2249:R2249"/>
    <mergeCell ref="C2252:J2252"/>
    <mergeCell ref="K2252:R2252"/>
    <mergeCell ref="C2368:J2368"/>
    <mergeCell ref="K2368:R2368"/>
    <mergeCell ref="B2364:R2364"/>
    <mergeCell ref="B2365:R2365"/>
    <mergeCell ref="L2028:L2029"/>
    <mergeCell ref="J2028:J2029"/>
    <mergeCell ref="M2028:N2028"/>
    <mergeCell ref="K2137:R2137"/>
    <mergeCell ref="C2137:J2137"/>
    <mergeCell ref="B2133:R2133"/>
    <mergeCell ref="B2134:R2134"/>
    <mergeCell ref="C2003:J2003"/>
    <mergeCell ref="C2004:R2004"/>
    <mergeCell ref="K2003:R2003"/>
    <mergeCell ref="B2137:B2138"/>
    <mergeCell ref="G2028:G2029"/>
    <mergeCell ref="H2028:H2029"/>
    <mergeCell ref="I2028:I2029"/>
    <mergeCell ref="K2028:K2029"/>
    <mergeCell ref="B2028:B2029"/>
    <mergeCell ref="C2028:C2029"/>
    <mergeCell ref="D2028:D2029"/>
    <mergeCell ref="E2028:E2029"/>
    <mergeCell ref="F2028:F2029"/>
    <mergeCell ref="C1933:J1933"/>
    <mergeCell ref="K1933:R1933"/>
    <mergeCell ref="C1955:J1955"/>
    <mergeCell ref="C1956:R1956"/>
    <mergeCell ref="K1955:R1955"/>
    <mergeCell ref="C1981:J1981"/>
    <mergeCell ref="K1981:R1981"/>
    <mergeCell ref="C1980:R1980"/>
    <mergeCell ref="B1882:R1882"/>
    <mergeCell ref="B1905:R1905"/>
    <mergeCell ref="B1928:R1928"/>
    <mergeCell ref="B1929:R1929"/>
    <mergeCell ref="K1885:Q1885"/>
    <mergeCell ref="C1885:J1885"/>
    <mergeCell ref="C1884:R1884"/>
    <mergeCell ref="C1907:J1907"/>
    <mergeCell ref="C1908:R1908"/>
    <mergeCell ref="K1907:R1907"/>
    <mergeCell ref="B1930:R1930"/>
    <mergeCell ref="B1953:R1953"/>
    <mergeCell ref="B1976:R1976"/>
    <mergeCell ref="B1977:R1977"/>
    <mergeCell ref="B1978:R1978"/>
    <mergeCell ref="B1785:R1785"/>
    <mergeCell ref="B1786:R1786"/>
    <mergeCell ref="B1809:R1809"/>
    <mergeCell ref="C1932:R1932"/>
    <mergeCell ref="C1811:J1811"/>
    <mergeCell ref="C1812:R1812"/>
    <mergeCell ref="K1811:R1811"/>
    <mergeCell ref="C1837:J1837"/>
    <mergeCell ref="K1837:R1837"/>
    <mergeCell ref="C1836:R1836"/>
    <mergeCell ref="C1859:J1859"/>
    <mergeCell ref="K1859:R1859"/>
    <mergeCell ref="C1860:R1860"/>
    <mergeCell ref="B1832:R1832"/>
    <mergeCell ref="B1833:R1833"/>
    <mergeCell ref="B1834:R1834"/>
    <mergeCell ref="B1857:R1857"/>
    <mergeCell ref="B1880:R1880"/>
    <mergeCell ref="B1881:R1881"/>
    <mergeCell ref="B1595:R1595"/>
    <mergeCell ref="C1740:R1740"/>
    <mergeCell ref="C1644:Q1644"/>
    <mergeCell ref="C1645:J1645"/>
    <mergeCell ref="K1645:R1645"/>
    <mergeCell ref="C1667:J1667"/>
    <mergeCell ref="C1668:R1668"/>
    <mergeCell ref="K1667:R1667"/>
    <mergeCell ref="B1689:R1689"/>
    <mergeCell ref="B1690:R1690"/>
    <mergeCell ref="B1713:R1713"/>
    <mergeCell ref="B1736:R1736"/>
    <mergeCell ref="B1737:R1737"/>
    <mergeCell ref="B1738:R1738"/>
    <mergeCell ref="C1692:Q1692"/>
    <mergeCell ref="C1693:J1693"/>
    <mergeCell ref="K1693:R1693"/>
    <mergeCell ref="C1715:J1715"/>
    <mergeCell ref="C1716:R1716"/>
    <mergeCell ref="K1715:R1715"/>
    <mergeCell ref="B1548:R1548"/>
    <mergeCell ref="B1549:R1549"/>
    <mergeCell ref="B1550:R1550"/>
    <mergeCell ref="C1552:J1552"/>
    <mergeCell ref="K1552:R1552"/>
    <mergeCell ref="B1572:R1572"/>
    <mergeCell ref="B1594:R1594"/>
    <mergeCell ref="C1574:I1574"/>
    <mergeCell ref="C1551:Q1551"/>
    <mergeCell ref="K1574:R1574"/>
    <mergeCell ref="C1505:Q1505"/>
    <mergeCell ref="K1482:Q1482"/>
    <mergeCell ref="C1460:J1460"/>
    <mergeCell ref="K1460:R1460"/>
    <mergeCell ref="C1482:J1482"/>
    <mergeCell ref="C1506:J1506"/>
    <mergeCell ref="K1506:R1506"/>
    <mergeCell ref="C1528:J1528"/>
    <mergeCell ref="K1528:R1528"/>
    <mergeCell ref="B1504:R1504"/>
    <mergeCell ref="B1526:R1526"/>
    <mergeCell ref="B1502:R1502"/>
    <mergeCell ref="B1503:R1503"/>
    <mergeCell ref="B1344:R1344"/>
    <mergeCell ref="B1366:R1366"/>
    <mergeCell ref="B1367:R1367"/>
    <mergeCell ref="K1346:Q1346"/>
    <mergeCell ref="B1323:Q1323"/>
    <mergeCell ref="C1302:J1302"/>
    <mergeCell ref="K1302:R1302"/>
    <mergeCell ref="C1324:J1324"/>
    <mergeCell ref="K1324:R1324"/>
    <mergeCell ref="C1346:J1346"/>
    <mergeCell ref="C1188:J1188"/>
    <mergeCell ref="K1188:R1188"/>
    <mergeCell ref="B1142:R1142"/>
    <mergeCell ref="B1164:R1164"/>
    <mergeCell ref="B1186:R1186"/>
    <mergeCell ref="B1208:R1208"/>
    <mergeCell ref="B1209:R1209"/>
    <mergeCell ref="B1210:R1210"/>
    <mergeCell ref="K1370:R1370"/>
    <mergeCell ref="C1370:J1370"/>
    <mergeCell ref="C1278:I1278"/>
    <mergeCell ref="C1212:I1212"/>
    <mergeCell ref="K1212:R1212"/>
    <mergeCell ref="C1234:J1234"/>
    <mergeCell ref="K1234:R1234"/>
    <mergeCell ref="K1256:R1256"/>
    <mergeCell ref="K1278:R1278"/>
    <mergeCell ref="B1232:R1232"/>
    <mergeCell ref="B1254:R1254"/>
    <mergeCell ref="B1276:R1276"/>
    <mergeCell ref="B1298:R1298"/>
    <mergeCell ref="B1299:R1299"/>
    <mergeCell ref="B1300:R1300"/>
    <mergeCell ref="B1322:R1322"/>
    <mergeCell ref="B1118:R1118"/>
    <mergeCell ref="B1119:R1119"/>
    <mergeCell ref="B1120:R1120"/>
    <mergeCell ref="C1122:J1122"/>
    <mergeCell ref="K1122:R1122"/>
    <mergeCell ref="C1144:I1144"/>
    <mergeCell ref="C1166:I1166"/>
    <mergeCell ref="K1144:R1144"/>
    <mergeCell ref="K1166:R1166"/>
    <mergeCell ref="B1052:R1052"/>
    <mergeCell ref="C1054:J1054"/>
    <mergeCell ref="K1054:R1054"/>
    <mergeCell ref="C1076:J1076"/>
    <mergeCell ref="K1076:R1076"/>
    <mergeCell ref="K1098:R1098"/>
    <mergeCell ref="B1074:R1074"/>
    <mergeCell ref="B1096:R1096"/>
    <mergeCell ref="C1098:J1098"/>
    <mergeCell ref="C1032:I1032"/>
    <mergeCell ref="C1008:I1008"/>
    <mergeCell ref="C986:J986"/>
    <mergeCell ref="K986:R986"/>
    <mergeCell ref="K1008:R1008"/>
    <mergeCell ref="K1032:R1032"/>
    <mergeCell ref="B984:R984"/>
    <mergeCell ref="B1006:R1006"/>
    <mergeCell ref="B1028:R1028"/>
    <mergeCell ref="B1029:R1029"/>
    <mergeCell ref="B1030:R1030"/>
    <mergeCell ref="B894:R894"/>
    <mergeCell ref="C896:I896"/>
    <mergeCell ref="K896:R896"/>
    <mergeCell ref="C918:J918"/>
    <mergeCell ref="K918:R918"/>
    <mergeCell ref="C942:J942"/>
    <mergeCell ref="K942:R942"/>
    <mergeCell ref="K964:R964"/>
    <mergeCell ref="B916:R916"/>
    <mergeCell ref="B938:R938"/>
    <mergeCell ref="B939:R939"/>
    <mergeCell ref="B940:R940"/>
    <mergeCell ref="B962:R962"/>
    <mergeCell ref="C964:J964"/>
    <mergeCell ref="C852:I852"/>
    <mergeCell ref="K828:R828"/>
    <mergeCell ref="K852:R852"/>
    <mergeCell ref="C874:J874"/>
    <mergeCell ref="K874:R874"/>
    <mergeCell ref="B826:R826"/>
    <mergeCell ref="C828:J828"/>
    <mergeCell ref="B848:R848"/>
    <mergeCell ref="B849:R849"/>
    <mergeCell ref="B850:R850"/>
    <mergeCell ref="B872:R872"/>
    <mergeCell ref="B736:R736"/>
    <mergeCell ref="C806:I806"/>
    <mergeCell ref="C738:J738"/>
    <mergeCell ref="K738:R738"/>
    <mergeCell ref="C762:J762"/>
    <mergeCell ref="K762:R762"/>
    <mergeCell ref="C784:J784"/>
    <mergeCell ref="K784:R784"/>
    <mergeCell ref="K806:R806"/>
    <mergeCell ref="B782:R782"/>
    <mergeCell ref="B758:R758"/>
    <mergeCell ref="B759:R759"/>
    <mergeCell ref="B760:R760"/>
    <mergeCell ref="B804:R804"/>
    <mergeCell ref="B668:R668"/>
    <mergeCell ref="C669:I669"/>
    <mergeCell ref="C670:J670"/>
    <mergeCell ref="K670:R670"/>
    <mergeCell ref="C694:J694"/>
    <mergeCell ref="K694:R694"/>
    <mergeCell ref="K716:R716"/>
    <mergeCell ref="C716:J716"/>
    <mergeCell ref="B690:R690"/>
    <mergeCell ref="B691:R691"/>
    <mergeCell ref="B692:R692"/>
    <mergeCell ref="B714:R714"/>
    <mergeCell ref="K604:Q604"/>
    <mergeCell ref="C604:J604"/>
    <mergeCell ref="C626:J626"/>
    <mergeCell ref="K626:R626"/>
    <mergeCell ref="C648:J648"/>
    <mergeCell ref="K648:R648"/>
    <mergeCell ref="B600:R600"/>
    <mergeCell ref="B601:R601"/>
    <mergeCell ref="B602:R602"/>
    <mergeCell ref="B624:R624"/>
    <mergeCell ref="B646:R646"/>
    <mergeCell ref="C580:I580"/>
    <mergeCell ref="C514:J514"/>
    <mergeCell ref="K514:R514"/>
    <mergeCell ref="C536:J536"/>
    <mergeCell ref="K536:R536"/>
    <mergeCell ref="C558:J558"/>
    <mergeCell ref="K558:R558"/>
    <mergeCell ref="K580:R580"/>
    <mergeCell ref="B511:R511"/>
    <mergeCell ref="B534:R534"/>
    <mergeCell ref="B578:R578"/>
    <mergeCell ref="B556:R556"/>
    <mergeCell ref="K400:R400"/>
    <mergeCell ref="C400:J400"/>
    <mergeCell ref="B421:R421"/>
    <mergeCell ref="B354:R354"/>
    <mergeCell ref="B376:R376"/>
    <mergeCell ref="B398:R398"/>
    <mergeCell ref="B420:R420"/>
    <mergeCell ref="C490:I490"/>
    <mergeCell ref="C424:J424"/>
    <mergeCell ref="K424:R424"/>
    <mergeCell ref="K446:R446"/>
    <mergeCell ref="C446:J446"/>
    <mergeCell ref="C468:J468"/>
    <mergeCell ref="K468:R468"/>
    <mergeCell ref="K490:R490"/>
    <mergeCell ref="B331:R331"/>
    <mergeCell ref="B285:R285"/>
    <mergeCell ref="B330:R330"/>
    <mergeCell ref="C334:J334"/>
    <mergeCell ref="K334:R334"/>
    <mergeCell ref="K356:R356"/>
    <mergeCell ref="C356:J356"/>
    <mergeCell ref="K378:R378"/>
    <mergeCell ref="C378:J378"/>
    <mergeCell ref="B1:R1"/>
    <mergeCell ref="B50:R50"/>
    <mergeCell ref="B72:R72"/>
    <mergeCell ref="C194:J194"/>
    <mergeCell ref="K194:R194"/>
    <mergeCell ref="C193:R193"/>
    <mergeCell ref="B167:Q167"/>
    <mergeCell ref="C123:J123"/>
    <mergeCell ref="K123:R123"/>
    <mergeCell ref="C146:J146"/>
    <mergeCell ref="K146:R146"/>
    <mergeCell ref="C145:R145"/>
    <mergeCell ref="K171:R171"/>
    <mergeCell ref="C170:R170"/>
    <mergeCell ref="C171:J171"/>
    <mergeCell ref="C28:I28"/>
    <mergeCell ref="C4:J4"/>
    <mergeCell ref="K4:R4"/>
    <mergeCell ref="C98:I98"/>
    <mergeCell ref="B119:Q119"/>
    <mergeCell ref="C52:I52"/>
    <mergeCell ref="B73:Q73"/>
    <mergeCell ref="C76:I76"/>
    <mergeCell ref="K76:R76"/>
    <mergeCell ref="K98:R98"/>
    <mergeCell ref="K28:R28"/>
    <mergeCell ref="K52:R52"/>
    <mergeCell ref="B444:R444"/>
    <mergeCell ref="B466:R466"/>
    <mergeCell ref="B488:R488"/>
    <mergeCell ref="B510:R510"/>
    <mergeCell ref="B422:R422"/>
    <mergeCell ref="B512:R512"/>
    <mergeCell ref="B96:R96"/>
    <mergeCell ref="B118:R118"/>
    <mergeCell ref="B143:R143"/>
    <mergeCell ref="B166:R166"/>
    <mergeCell ref="B191:R191"/>
    <mergeCell ref="B214:R214"/>
    <mergeCell ref="B239:R239"/>
    <mergeCell ref="B284:R284"/>
    <mergeCell ref="B308:R308"/>
    <mergeCell ref="C122:R122"/>
    <mergeCell ref="B215:Q215"/>
    <mergeCell ref="K219:R219"/>
    <mergeCell ref="C219:J219"/>
    <mergeCell ref="C218:R218"/>
    <mergeCell ref="C242:J242"/>
    <mergeCell ref="C241:R241"/>
    <mergeCell ref="K242:R242"/>
    <mergeCell ref="B1368:R1368"/>
    <mergeCell ref="B1412:R1412"/>
    <mergeCell ref="B1434:R1434"/>
    <mergeCell ref="B1435:R1435"/>
    <mergeCell ref="B1436:R1436"/>
    <mergeCell ref="B1458:R1458"/>
    <mergeCell ref="B1480:R1480"/>
    <mergeCell ref="B1459:Q1459"/>
    <mergeCell ref="B1390:Q1390"/>
    <mergeCell ref="B1391:Q1391"/>
    <mergeCell ref="K1414:Q1414"/>
    <mergeCell ref="C1392:J1392"/>
    <mergeCell ref="K1392:R1392"/>
    <mergeCell ref="C1414:J1414"/>
    <mergeCell ref="C1438:J1438"/>
    <mergeCell ref="K1438:R1438"/>
    <mergeCell ref="K264:Q264"/>
    <mergeCell ref="C264:J264"/>
    <mergeCell ref="C288:J288"/>
    <mergeCell ref="K288:R288"/>
    <mergeCell ref="C310:J310"/>
    <mergeCell ref="K310:R310"/>
    <mergeCell ref="B2001:R2001"/>
    <mergeCell ref="B2024:R2024"/>
    <mergeCell ref="B2025:R2025"/>
    <mergeCell ref="B1596:R1596"/>
    <mergeCell ref="B1618:R1618"/>
    <mergeCell ref="C1620:J1620"/>
    <mergeCell ref="K1620:R1620"/>
    <mergeCell ref="B1640:R1640"/>
    <mergeCell ref="B1641:R1641"/>
    <mergeCell ref="B1642:R1642"/>
    <mergeCell ref="B1665:R1665"/>
    <mergeCell ref="B1688:R1688"/>
    <mergeCell ref="C1598:J1598"/>
    <mergeCell ref="K1598:R1598"/>
    <mergeCell ref="C1741:J1741"/>
    <mergeCell ref="K1741:R1741"/>
    <mergeCell ref="C1763:J1763"/>
    <mergeCell ref="C1764:R1764"/>
    <mergeCell ref="K1763:R1763"/>
    <mergeCell ref="C1789:J1789"/>
    <mergeCell ref="K1789:R1789"/>
    <mergeCell ref="C1788:R1788"/>
    <mergeCell ref="B1761:R1761"/>
    <mergeCell ref="B1784:R1784"/>
  </mergeCells>
  <phoneticPr fontId="117" type="noConversion"/>
  <conditionalFormatting sqref="B2618:G2618">
    <cfRule type="expression" dxfId="17" priority="54" stopIfTrue="1">
      <formula>B2618&lt;&gt;#REF!</formula>
    </cfRule>
  </conditionalFormatting>
  <conditionalFormatting sqref="C6:J7 I2132:J2132 G2644 G2664">
    <cfRule type="expression" dxfId="16" priority="62" stopIfTrue="1">
      <formula>C6&lt;&gt;#REF!</formula>
    </cfRule>
  </conditionalFormatting>
  <conditionalFormatting sqref="C8:J10">
    <cfRule type="expression" dxfId="15" priority="50" stopIfTrue="1">
      <formula>C8&lt;&gt;#REF!</formula>
    </cfRule>
  </conditionalFormatting>
  <conditionalFormatting sqref="C13:J14">
    <cfRule type="expression" dxfId="14" priority="2" stopIfTrue="1">
      <formula>C13&lt;&gt;#REF!</formula>
    </cfRule>
  </conditionalFormatting>
  <conditionalFormatting sqref="C22:J24">
    <cfRule type="expression" dxfId="13" priority="39" stopIfTrue="1">
      <formula>C22&lt;&gt;#REF!</formula>
    </cfRule>
  </conditionalFormatting>
  <conditionalFormatting sqref="C11:R12">
    <cfRule type="expression" dxfId="12" priority="48" stopIfTrue="1">
      <formula>C11&lt;&gt;#REF!</formula>
    </cfRule>
  </conditionalFormatting>
  <conditionalFormatting sqref="C15:R21">
    <cfRule type="expression" dxfId="11" priority="5" stopIfTrue="1">
      <formula>C15&lt;&gt;#REF!</formula>
    </cfRule>
  </conditionalFormatting>
  <conditionalFormatting sqref="G2610:G2611">
    <cfRule type="expression" dxfId="10" priority="53" stopIfTrue="1">
      <formula>G2610&lt;&gt;#REF!</formula>
    </cfRule>
  </conditionalFormatting>
  <conditionalFormatting sqref="G2617:G2618 G2620:G2621 G2623:G2624 G2626:G2627 G2631 G2635:G2636">
    <cfRule type="expression" dxfId="9" priority="58" stopIfTrue="1">
      <formula>G2617&lt;&gt;#REF!</formula>
    </cfRule>
  </conditionalFormatting>
  <conditionalFormatting sqref="J2028:J2029">
    <cfRule type="expression" dxfId="8" priority="11" stopIfTrue="1">
      <formula>J2028&lt;&gt;#REF!</formula>
    </cfRule>
  </conditionalFormatting>
  <conditionalFormatting sqref="K6:K7">
    <cfRule type="expression" dxfId="7" priority="38" stopIfTrue="1">
      <formula>K6&lt;&gt;#REF!</formula>
    </cfRule>
  </conditionalFormatting>
  <conditionalFormatting sqref="K2030:N2030">
    <cfRule type="expression" dxfId="6" priority="56" stopIfTrue="1">
      <formula>K2030&lt;&gt;#REF!</formula>
    </cfRule>
  </conditionalFormatting>
  <conditionalFormatting sqref="K8:R15">
    <cfRule type="expression" dxfId="5" priority="3" stopIfTrue="1">
      <formula>K8&lt;&gt;#REF!</formula>
    </cfRule>
  </conditionalFormatting>
  <conditionalFormatting sqref="K16:R16 J2030 J2038:J2039 B2039 J2041:J2042 J2047:J2048 J2055:J2060 J2065:J2066 J2077:J2078 J2081:J2082 J2088:J2089 J2091:J2092 J2096:J2097 J2101:J2102 J2107 J2119:J2120 J2122:J2123 J2126:J2127">
    <cfRule type="expression" dxfId="4" priority="59" stopIfTrue="1">
      <formula>B16&lt;&gt;#REF!</formula>
    </cfRule>
  </conditionalFormatting>
  <conditionalFormatting sqref="K17:R24">
    <cfRule type="expression" dxfId="3" priority="26" stopIfTrue="1">
      <formula>K17&lt;&gt;#REF!</formula>
    </cfRule>
  </conditionalFormatting>
  <conditionalFormatting sqref="K32:R39">
    <cfRule type="expression" dxfId="2" priority="1" stopIfTrue="1">
      <formula>K32&lt;&gt;#REF!</formula>
    </cfRule>
  </conditionalFormatting>
  <conditionalFormatting sqref="K41:R48">
    <cfRule type="expression" dxfId="1" priority="12" stopIfTrue="1">
      <formula>K41&lt;&gt;#REF!</formula>
    </cfRule>
  </conditionalFormatting>
  <conditionalFormatting sqref="L6:R7">
    <cfRule type="expression" dxfId="0" priority="61" stopIfTrue="1">
      <formula>L6&lt;&gt;#REF!</formula>
    </cfRule>
  </conditionalFormatting>
  <pageMargins left="0.7" right="0.7" top="0.75" bottom="0.75" header="0.3" footer="0.3"/>
  <pageSetup paperSize="9" scale="10" orientation="portrait" r:id="rId1"/>
  <rowBreaks count="1" manualBreakCount="1">
    <brk id="1969" min="1" max="21" man="1"/>
  </rowBreaks>
  <ignoredErrors>
    <ignoredError sqref="J931 C499 C501 C927 C929 C931:I931 C934 J927 K1380 C39:J39" formula="1"/>
    <ignoredError xmlns:x16r3="http://schemas.microsoft.com/office/spreadsheetml/2018/08/main" sqref="F3308:F3310" x16r3:misleadingForma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869FA-AFB9-4D0F-9F4B-9DED70E72019}">
  <dimension ref="B1:J1756"/>
  <sheetViews>
    <sheetView view="pageBreakPreview" topLeftCell="A1607" zoomScaleSheetLayoutView="56" workbookViewId="0">
      <selection activeCell="A1571" sqref="A1571:XFD1571"/>
    </sheetView>
  </sheetViews>
  <sheetFormatPr baseColWidth="10" defaultColWidth="11.453125" defaultRowHeight="14.5"/>
  <cols>
    <col min="1" max="1" width="2.1796875" customWidth="1"/>
    <col min="2" max="2" width="37.81640625" customWidth="1"/>
    <col min="3" max="3" width="23.7265625" customWidth="1"/>
    <col min="4" max="4" width="21.81640625" customWidth="1"/>
    <col min="5" max="5" width="13.453125" customWidth="1"/>
    <col min="6" max="6" width="15.453125" customWidth="1"/>
    <col min="7" max="7" width="18.1796875" customWidth="1"/>
    <col min="8" max="8" width="13.453125" customWidth="1"/>
    <col min="9" max="10" width="13.81640625" customWidth="1"/>
  </cols>
  <sheetData>
    <row r="1" spans="2:10">
      <c r="B1" s="2024" t="s">
        <v>464</v>
      </c>
      <c r="C1" s="2024"/>
      <c r="D1" s="2024"/>
      <c r="E1" s="2024"/>
      <c r="F1" s="2024"/>
      <c r="G1" s="2024"/>
      <c r="H1" s="2024"/>
      <c r="I1" s="2024"/>
      <c r="J1" s="2024"/>
    </row>
    <row r="2" spans="2:10">
      <c r="B2" s="12" t="s">
        <v>463</v>
      </c>
      <c r="C2" s="1"/>
      <c r="D2" s="1"/>
      <c r="E2" s="1"/>
      <c r="F2" s="1"/>
      <c r="G2" s="1"/>
      <c r="H2" s="1"/>
      <c r="I2" s="1"/>
      <c r="J2" s="1"/>
    </row>
    <row r="3" spans="2:10">
      <c r="B3" s="12"/>
      <c r="C3" s="1"/>
      <c r="D3" s="1"/>
      <c r="E3" s="1"/>
      <c r="F3" s="1"/>
      <c r="G3" s="1"/>
      <c r="H3" s="1"/>
      <c r="I3" s="1"/>
      <c r="J3" s="1"/>
    </row>
    <row r="4" spans="2:10">
      <c r="B4" s="76"/>
      <c r="C4" s="1"/>
      <c r="D4" s="1"/>
      <c r="E4" s="1"/>
      <c r="F4" s="1"/>
      <c r="G4" s="1"/>
      <c r="H4" s="1"/>
      <c r="I4" s="1"/>
      <c r="J4" s="1"/>
    </row>
    <row r="5" spans="2:10">
      <c r="B5" s="61"/>
      <c r="C5" s="60">
        <v>2014</v>
      </c>
      <c r="D5" s="60">
        <v>2015</v>
      </c>
      <c r="E5" s="60">
        <v>2016</v>
      </c>
      <c r="F5" s="60">
        <v>2017</v>
      </c>
      <c r="G5" s="60">
        <v>2018</v>
      </c>
      <c r="H5" s="60">
        <v>2019</v>
      </c>
      <c r="I5" s="60">
        <v>2020</v>
      </c>
      <c r="J5" s="60">
        <v>2021</v>
      </c>
    </row>
    <row r="6" spans="2:10">
      <c r="B6" s="64" t="s">
        <v>462</v>
      </c>
      <c r="C6" s="200">
        <v>42.669499999999999</v>
      </c>
      <c r="D6" s="199">
        <v>43.131965999999998</v>
      </c>
      <c r="E6" s="199">
        <v>43.590367999999998</v>
      </c>
      <c r="F6" s="199">
        <v>44.044811000000003</v>
      </c>
      <c r="G6" s="199">
        <v>44.494501999999997</v>
      </c>
      <c r="H6" s="199">
        <v>44.938712000000002</v>
      </c>
      <c r="I6" s="199">
        <v>45.377000000000002</v>
      </c>
      <c r="J6" s="199">
        <v>45.81</v>
      </c>
    </row>
    <row r="7" spans="2:10">
      <c r="B7" s="64" t="s">
        <v>461</v>
      </c>
      <c r="C7" s="200">
        <v>585893.82600561273</v>
      </c>
      <c r="D7" s="199">
        <v>503816.99346405227</v>
      </c>
      <c r="E7" s="199">
        <v>565532.80084793887</v>
      </c>
      <c r="F7" s="199">
        <v>624548.90221687208</v>
      </c>
      <c r="G7" s="199">
        <v>443805.56650259334</v>
      </c>
      <c r="H7" s="200">
        <v>420401.46923783288</v>
      </c>
      <c r="I7" s="200">
        <v>387652.77051129611</v>
      </c>
      <c r="J7" s="200">
        <v>534351.3424124514</v>
      </c>
    </row>
    <row r="8" spans="2:10">
      <c r="B8" s="64" t="s">
        <v>460</v>
      </c>
      <c r="C8" s="200">
        <f t="shared" ref="C8:I8" si="0">C7/C6</f>
        <v>13730.974724466252</v>
      </c>
      <c r="D8" s="201">
        <f t="shared" si="0"/>
        <v>11680.826083004245</v>
      </c>
      <c r="E8" s="201">
        <f t="shared" si="0"/>
        <v>12973.801938261657</v>
      </c>
      <c r="F8" s="201">
        <f t="shared" si="0"/>
        <v>14179.852019727638</v>
      </c>
      <c r="G8" s="201">
        <f t="shared" si="0"/>
        <v>9974.3911394399547</v>
      </c>
      <c r="H8" s="201">
        <f t="shared" si="0"/>
        <v>9354.9959606726788</v>
      </c>
      <c r="I8" s="201">
        <f t="shared" si="0"/>
        <v>8542.9351986974925</v>
      </c>
      <c r="J8" s="201">
        <v>11664.513041092587</v>
      </c>
    </row>
    <row r="9" spans="2:10">
      <c r="B9" s="64" t="s">
        <v>459</v>
      </c>
      <c r="C9" s="1629">
        <v>38</v>
      </c>
      <c r="D9" s="1629">
        <v>26.900000000000002</v>
      </c>
      <c r="E9" s="1629">
        <v>41</v>
      </c>
      <c r="F9" s="1629">
        <v>26.1</v>
      </c>
      <c r="G9" s="1629">
        <v>45.5</v>
      </c>
      <c r="H9" s="1629">
        <v>50.6</v>
      </c>
      <c r="I9" s="1629">
        <v>30.5</v>
      </c>
      <c r="J9" s="1629">
        <v>49.2</v>
      </c>
    </row>
    <row r="10" spans="2:10">
      <c r="B10" s="64" t="s">
        <v>458</v>
      </c>
      <c r="C10" s="200"/>
      <c r="D10" s="199"/>
      <c r="E10" s="199"/>
      <c r="F10" s="199"/>
      <c r="G10" s="199"/>
      <c r="H10" s="199"/>
      <c r="I10" s="199"/>
      <c r="J10" s="199"/>
    </row>
    <row r="11" spans="2:10">
      <c r="B11" s="190" t="s">
        <v>457</v>
      </c>
      <c r="C11" s="200">
        <v>8.5519999999999996</v>
      </c>
      <c r="D11" s="199">
        <v>13.005000000000001</v>
      </c>
      <c r="E11" s="199">
        <v>15.850199999999999</v>
      </c>
      <c r="F11" s="199">
        <v>18.7742</v>
      </c>
      <c r="G11" s="199">
        <v>37.808300000000003</v>
      </c>
      <c r="H11" s="199">
        <v>59.895000000000003</v>
      </c>
      <c r="I11" s="199">
        <v>84.14</v>
      </c>
      <c r="J11">
        <v>102.8</v>
      </c>
    </row>
    <row r="12" spans="2:10" ht="15" thickBot="1">
      <c r="B12" s="196" t="s">
        <v>456</v>
      </c>
      <c r="C12" s="101">
        <v>8.1188161157024865</v>
      </c>
      <c r="D12" s="101">
        <v>9.2689340163934446</v>
      </c>
      <c r="E12" s="101">
        <v>14.779439271255063</v>
      </c>
      <c r="F12" s="101">
        <v>16.566548373983739</v>
      </c>
      <c r="G12" s="101">
        <v>28.09371859504132</v>
      </c>
      <c r="H12" s="101">
        <v>48.242306995884796</v>
      </c>
      <c r="I12" s="101">
        <v>70.63</v>
      </c>
      <c r="J12">
        <v>95.1</v>
      </c>
    </row>
    <row r="13" spans="2:10" ht="15" thickTop="1">
      <c r="B13" s="2025" t="s">
        <v>455</v>
      </c>
      <c r="C13" s="2025"/>
      <c r="D13" s="2025"/>
      <c r="E13" s="2025"/>
      <c r="F13" s="2025"/>
      <c r="G13" s="2025"/>
      <c r="H13" s="2025"/>
      <c r="I13" s="2025"/>
      <c r="J13" s="2025"/>
    </row>
    <row r="14" spans="2:10">
      <c r="B14" s="64"/>
      <c r="C14" s="1"/>
      <c r="D14" s="1"/>
      <c r="E14" s="1"/>
      <c r="F14" s="1"/>
      <c r="G14" s="1"/>
      <c r="H14" s="1"/>
      <c r="I14" s="1"/>
      <c r="J14" s="1"/>
    </row>
    <row r="15" spans="2:10">
      <c r="B15" s="2024" t="s">
        <v>454</v>
      </c>
      <c r="C15" s="2024"/>
      <c r="D15" s="2024"/>
      <c r="E15" s="2024"/>
      <c r="F15" s="2024"/>
      <c r="G15" s="2024"/>
      <c r="H15" s="2024"/>
      <c r="I15" s="2024"/>
      <c r="J15" s="2024"/>
    </row>
    <row r="16" spans="2:10">
      <c r="B16" s="12" t="s">
        <v>453</v>
      </c>
      <c r="C16" s="1"/>
      <c r="D16" s="1"/>
      <c r="E16" s="1"/>
      <c r="F16" s="1"/>
      <c r="G16" s="1"/>
      <c r="H16" s="1"/>
      <c r="I16" s="1"/>
      <c r="J16" s="1"/>
    </row>
    <row r="17" spans="2:10">
      <c r="B17" s="62" t="s">
        <v>242</v>
      </c>
      <c r="C17" s="1"/>
      <c r="D17" s="1"/>
      <c r="E17" s="1"/>
      <c r="F17" s="1"/>
      <c r="G17" s="1"/>
      <c r="H17" s="1"/>
      <c r="I17" s="1"/>
      <c r="J17" s="1"/>
    </row>
    <row r="18" spans="2:10">
      <c r="B18" s="64"/>
      <c r="C18" s="1"/>
      <c r="D18" s="1"/>
      <c r="E18" s="1"/>
      <c r="F18" s="1"/>
      <c r="G18" s="1"/>
      <c r="H18" s="1"/>
      <c r="I18" s="1"/>
      <c r="J18" s="1"/>
    </row>
    <row r="19" spans="2:10">
      <c r="B19" s="61"/>
      <c r="C19" s="60">
        <v>2014</v>
      </c>
      <c r="D19" s="60">
        <v>2015</v>
      </c>
      <c r="E19" s="60">
        <v>2016</v>
      </c>
      <c r="F19" s="60">
        <v>2017</v>
      </c>
      <c r="G19" s="60">
        <v>2018</v>
      </c>
      <c r="H19" s="60">
        <v>2019</v>
      </c>
      <c r="I19" s="60">
        <v>2020</v>
      </c>
      <c r="J19" s="60">
        <v>2021</v>
      </c>
    </row>
    <row r="20" spans="2:10">
      <c r="B20" s="188" t="s">
        <v>413</v>
      </c>
      <c r="C20" s="98">
        <v>36925.478718428443</v>
      </c>
      <c r="D20" s="98">
        <v>32721.316801230292</v>
      </c>
      <c r="E20" s="98">
        <v>33287.361862941791</v>
      </c>
      <c r="F20" s="98">
        <v>37394.128910952262</v>
      </c>
      <c r="G20" s="98">
        <v>19591.417149144498</v>
      </c>
      <c r="H20" s="98">
        <v>16864.680223724852</v>
      </c>
      <c r="I20" s="98">
        <v>19462.819075350606</v>
      </c>
      <c r="J20" s="98">
        <v>25399.063932702418</v>
      </c>
    </row>
    <row r="21" spans="2:10">
      <c r="B21" s="197" t="s">
        <v>452</v>
      </c>
      <c r="C21" s="98">
        <v>38012.538470533211</v>
      </c>
      <c r="D21" s="98">
        <v>29152.288043060358</v>
      </c>
      <c r="E21" s="98">
        <v>31942.581733984433</v>
      </c>
      <c r="F21" s="98">
        <v>28831.525124905456</v>
      </c>
      <c r="G21" s="98">
        <v>20472.598212561792</v>
      </c>
      <c r="H21" s="98">
        <v>15730.392570331413</v>
      </c>
      <c r="I21" s="98">
        <v>20899.100059424771</v>
      </c>
      <c r="J21" s="98">
        <v>31310.422292323874</v>
      </c>
    </row>
    <row r="22" spans="2:10">
      <c r="B22" s="194" t="s">
        <v>379</v>
      </c>
      <c r="C22" s="98"/>
      <c r="D22" s="98"/>
      <c r="E22" s="98"/>
      <c r="F22" s="98"/>
      <c r="G22" s="98"/>
      <c r="H22" s="98"/>
      <c r="I22" s="98"/>
      <c r="J22" s="98"/>
    </row>
    <row r="23" spans="2:10">
      <c r="B23" s="198" t="s">
        <v>451</v>
      </c>
      <c r="C23" s="98">
        <v>37047.585360149678</v>
      </c>
      <c r="D23" s="98">
        <v>28737.621914648211</v>
      </c>
      <c r="E23" s="98">
        <v>31236.392853087029</v>
      </c>
      <c r="F23" s="98">
        <v>27916.856910014809</v>
      </c>
      <c r="G23" s="98">
        <v>19961.053022748973</v>
      </c>
      <c r="H23" s="98">
        <v>15573.989965773435</v>
      </c>
      <c r="I23" s="98">
        <v>20509.042607558829</v>
      </c>
      <c r="J23" s="98">
        <v>30882.59116719243</v>
      </c>
    </row>
    <row r="24" spans="2:10">
      <c r="B24" s="198" t="s">
        <v>450</v>
      </c>
      <c r="C24" s="98">
        <v>964.95311038353611</v>
      </c>
      <c r="D24" s="98">
        <v>414.66612841214913</v>
      </c>
      <c r="E24" s="98">
        <v>706.18888089740199</v>
      </c>
      <c r="F24" s="98">
        <v>914.66821489064785</v>
      </c>
      <c r="G24" s="98">
        <v>511.54518981281882</v>
      </c>
      <c r="H24" s="98">
        <v>156.40260455797645</v>
      </c>
      <c r="I24" s="98">
        <v>390.05745186593771</v>
      </c>
      <c r="J24" s="98">
        <v>427.83112513144061</v>
      </c>
    </row>
    <row r="25" spans="2:10">
      <c r="B25" s="197" t="s">
        <v>449</v>
      </c>
      <c r="C25" s="98">
        <v>74938.017188961647</v>
      </c>
      <c r="D25" s="98">
        <v>61873.604844290647</v>
      </c>
      <c r="E25" s="98">
        <v>65229.943596926227</v>
      </c>
      <c r="F25" s="98">
        <v>66225.654035857719</v>
      </c>
      <c r="G25" s="98">
        <v>40064.01536170629</v>
      </c>
      <c r="H25" s="98">
        <v>32595.072794056265</v>
      </c>
      <c r="I25" s="98">
        <v>40361.919134775373</v>
      </c>
      <c r="J25" s="98">
        <v>56709.486225026289</v>
      </c>
    </row>
    <row r="26" spans="2:10">
      <c r="B26" s="197" t="s">
        <v>448</v>
      </c>
      <c r="C26" s="98"/>
      <c r="D26" s="98"/>
      <c r="E26" s="98"/>
      <c r="F26" s="98"/>
      <c r="G26" s="98"/>
      <c r="H26" s="98"/>
      <c r="I26" s="98"/>
      <c r="J26" s="98"/>
    </row>
    <row r="27" spans="2:10">
      <c r="B27" s="195" t="s">
        <v>447</v>
      </c>
      <c r="C27" s="102">
        <v>0</v>
      </c>
      <c r="D27" s="102">
        <v>0</v>
      </c>
      <c r="E27" s="102">
        <v>0</v>
      </c>
      <c r="F27" s="102">
        <v>0</v>
      </c>
      <c r="G27" s="102">
        <v>0</v>
      </c>
      <c r="H27" s="102">
        <v>0</v>
      </c>
      <c r="I27" s="102">
        <v>0</v>
      </c>
      <c r="J27" s="102">
        <v>0</v>
      </c>
    </row>
    <row r="28" spans="2:10">
      <c r="B28" s="195" t="s">
        <v>446</v>
      </c>
      <c r="C28" s="102">
        <v>0</v>
      </c>
      <c r="D28" s="102">
        <v>0</v>
      </c>
      <c r="E28" s="102">
        <v>0</v>
      </c>
      <c r="F28" s="102">
        <v>0</v>
      </c>
      <c r="G28" s="102">
        <v>0</v>
      </c>
      <c r="H28" s="102">
        <v>0</v>
      </c>
      <c r="I28" s="102">
        <v>0</v>
      </c>
      <c r="J28" s="102">
        <v>0</v>
      </c>
    </row>
    <row r="29" spans="2:10">
      <c r="B29" s="195" t="s">
        <v>445</v>
      </c>
      <c r="C29" s="102">
        <v>0</v>
      </c>
      <c r="D29" s="102">
        <v>0</v>
      </c>
      <c r="E29" s="102">
        <v>0</v>
      </c>
      <c r="F29" s="102">
        <v>0</v>
      </c>
      <c r="G29" s="102">
        <v>0</v>
      </c>
      <c r="H29" s="102">
        <v>0</v>
      </c>
      <c r="I29" s="102">
        <v>0</v>
      </c>
      <c r="J29" s="102">
        <v>0</v>
      </c>
    </row>
    <row r="30" spans="2:10">
      <c r="B30" s="195" t="s">
        <v>444</v>
      </c>
      <c r="C30" s="102">
        <v>0</v>
      </c>
      <c r="D30" s="102">
        <v>0</v>
      </c>
      <c r="E30" s="102">
        <v>0</v>
      </c>
      <c r="F30" s="102">
        <v>0</v>
      </c>
      <c r="G30" s="102">
        <v>0</v>
      </c>
      <c r="H30" s="102">
        <v>0</v>
      </c>
      <c r="I30" s="102">
        <v>0</v>
      </c>
      <c r="J30" s="102">
        <v>0</v>
      </c>
    </row>
    <row r="31" spans="2:10" ht="15" thickBot="1">
      <c r="B31" s="196" t="s">
        <v>443</v>
      </c>
      <c r="C31" s="102">
        <v>0</v>
      </c>
      <c r="D31" s="102">
        <v>0</v>
      </c>
      <c r="E31" s="102">
        <v>0</v>
      </c>
      <c r="F31" s="102">
        <v>0</v>
      </c>
      <c r="G31" s="102">
        <v>0</v>
      </c>
      <c r="H31" s="102">
        <v>0</v>
      </c>
      <c r="I31" s="102">
        <v>0</v>
      </c>
      <c r="J31" s="102">
        <v>0</v>
      </c>
    </row>
    <row r="32" spans="2:10" ht="15" thickTop="1">
      <c r="B32" s="2025" t="s">
        <v>412</v>
      </c>
      <c r="C32" s="2025"/>
      <c r="D32" s="2025"/>
      <c r="E32" s="2025"/>
      <c r="F32" s="2025"/>
      <c r="G32" s="2025"/>
      <c r="H32" s="2025"/>
      <c r="I32" s="2025"/>
      <c r="J32" s="2025"/>
    </row>
    <row r="33" spans="2:10">
      <c r="B33" s="64"/>
      <c r="C33" s="1"/>
      <c r="D33" s="1"/>
      <c r="E33" s="1"/>
      <c r="F33" s="1"/>
      <c r="G33" s="1"/>
      <c r="H33" s="1"/>
      <c r="I33" s="1"/>
      <c r="J33" s="1"/>
    </row>
    <row r="34" spans="2:10">
      <c r="B34" s="2024" t="s">
        <v>442</v>
      </c>
      <c r="C34" s="2024"/>
      <c r="D34" s="2024"/>
      <c r="E34" s="2024"/>
      <c r="F34" s="2024"/>
      <c r="G34" s="2024"/>
      <c r="H34" s="2024"/>
      <c r="I34" s="2024"/>
      <c r="J34" s="2024"/>
    </row>
    <row r="35" spans="2:10">
      <c r="B35" s="12" t="s">
        <v>441</v>
      </c>
      <c r="C35" s="1"/>
      <c r="D35" s="1"/>
      <c r="E35" s="1"/>
      <c r="F35" s="1"/>
      <c r="G35" s="1"/>
      <c r="H35" s="1"/>
      <c r="I35" s="1"/>
      <c r="J35" s="1"/>
    </row>
    <row r="36" spans="2:10">
      <c r="B36" s="77" t="s">
        <v>242</v>
      </c>
      <c r="C36" s="1"/>
      <c r="D36" s="1"/>
      <c r="E36" s="1"/>
      <c r="F36" s="1"/>
      <c r="G36" s="1"/>
      <c r="H36" s="1"/>
      <c r="I36" s="1"/>
      <c r="J36" s="1"/>
    </row>
    <row r="37" spans="2:10">
      <c r="B37" s="64"/>
      <c r="C37" s="1"/>
      <c r="D37" s="1"/>
      <c r="E37" s="1"/>
      <c r="F37" s="1"/>
      <c r="G37" s="1"/>
      <c r="H37" s="1"/>
      <c r="I37" s="1"/>
      <c r="J37" s="1"/>
    </row>
    <row r="38" spans="2:10">
      <c r="B38" s="61"/>
      <c r="C38" s="60">
        <v>2014</v>
      </c>
      <c r="D38" s="60">
        <v>2015</v>
      </c>
      <c r="E38" s="60">
        <v>2016</v>
      </c>
      <c r="F38" s="60">
        <v>2017</v>
      </c>
      <c r="G38" s="60">
        <v>2018</v>
      </c>
      <c r="H38" s="60">
        <v>2019</v>
      </c>
      <c r="I38" s="60">
        <v>2020</v>
      </c>
      <c r="J38" s="60">
        <v>2021</v>
      </c>
    </row>
    <row r="39" spans="2:10">
      <c r="B39" s="188" t="s">
        <v>440</v>
      </c>
      <c r="C39" s="55">
        <v>20212.114125350796</v>
      </c>
      <c r="D39" s="55">
        <v>34124.898109901347</v>
      </c>
      <c r="E39" s="55">
        <v>29868.960644029728</v>
      </c>
      <c r="F39" s="55">
        <v>24237.730502498107</v>
      </c>
      <c r="G39" s="55">
        <v>28683.304988587159</v>
      </c>
      <c r="H39" s="55">
        <v>26440.588757681271</v>
      </c>
      <c r="I39" s="55">
        <v>21079.43342776204</v>
      </c>
      <c r="J39" s="98">
        <v>23176.761303890642</v>
      </c>
    </row>
    <row r="40" spans="2:10">
      <c r="B40" s="194" t="s">
        <v>379</v>
      </c>
      <c r="C40" s="55"/>
      <c r="D40" s="55"/>
      <c r="E40" s="55"/>
      <c r="F40" s="55"/>
      <c r="G40" s="55"/>
      <c r="H40" s="55"/>
      <c r="I40" s="55"/>
      <c r="J40" s="55"/>
    </row>
    <row r="41" spans="2:10">
      <c r="B41" s="190" t="s">
        <v>352</v>
      </c>
      <c r="C41" s="55">
        <v>12138.914873713751</v>
      </c>
      <c r="D41" s="55">
        <v>11158.246828143021</v>
      </c>
      <c r="E41" s="55">
        <v>14324.677291138283</v>
      </c>
      <c r="F41" s="55">
        <v>11419.927347104003</v>
      </c>
      <c r="G41" s="55">
        <v>14532.285238955466</v>
      </c>
      <c r="H41" s="55">
        <v>15380.193158326625</v>
      </c>
      <c r="I41" s="55">
        <v>8108.1444759206806</v>
      </c>
      <c r="J41" s="98">
        <v>10122.355415352262</v>
      </c>
    </row>
    <row r="42" spans="2:10">
      <c r="B42" s="190" t="s">
        <v>351</v>
      </c>
      <c r="C42" s="55">
        <v>8073.1992516370447</v>
      </c>
      <c r="D42" s="55">
        <v>22966.651281758328</v>
      </c>
      <c r="E42" s="55">
        <v>15544.283352891447</v>
      </c>
      <c r="F42" s="55">
        <v>12817.803155394104</v>
      </c>
      <c r="G42" s="55">
        <v>14151.019749631694</v>
      </c>
      <c r="H42" s="55">
        <v>11060.395599354644</v>
      </c>
      <c r="I42" s="55">
        <v>12971.288951841361</v>
      </c>
      <c r="J42" s="98">
        <v>13054.405888538382</v>
      </c>
    </row>
    <row r="43" spans="2:10">
      <c r="B43" s="1"/>
      <c r="C43" s="89"/>
      <c r="D43" s="89"/>
      <c r="E43" s="89"/>
      <c r="F43" s="89"/>
      <c r="G43" s="89"/>
      <c r="H43" s="89"/>
      <c r="I43" s="55"/>
      <c r="J43" s="55"/>
    </row>
    <row r="44" spans="2:10">
      <c r="B44" s="195" t="s">
        <v>439</v>
      </c>
      <c r="C44" s="102">
        <v>20940.80156688494</v>
      </c>
      <c r="D44" s="102">
        <v>19549.78738946559</v>
      </c>
      <c r="E44" s="102">
        <v>29016.45942915279</v>
      </c>
      <c r="F44" s="102">
        <v>28938.496370968347</v>
      </c>
      <c r="G44" s="102">
        <v>37573.559243464311</v>
      </c>
      <c r="H44" s="102">
        <v>22006.762655247028</v>
      </c>
      <c r="I44" s="102">
        <v>19990.613053943085</v>
      </c>
      <c r="J44" s="102">
        <v>20319.274447949527</v>
      </c>
    </row>
    <row r="45" spans="2:10">
      <c r="B45" s="195" t="s">
        <v>438</v>
      </c>
      <c r="C45" s="102">
        <v>2165.1458138447151</v>
      </c>
      <c r="D45" s="102">
        <v>4313.0268358323719</v>
      </c>
      <c r="E45" s="102">
        <v>2098.5911191044893</v>
      </c>
      <c r="F45" s="102">
        <v>804.21097377909825</v>
      </c>
      <c r="G45" s="102">
        <v>452.27191825871967</v>
      </c>
      <c r="H45" s="102">
        <v>2193.5103561491524</v>
      </c>
      <c r="I45" s="55">
        <v>1800.4105904006797</v>
      </c>
      <c r="J45" s="98">
        <v>1242.9232386961094</v>
      </c>
    </row>
    <row r="46" spans="2:10">
      <c r="B46" s="150"/>
      <c r="C46" s="89"/>
      <c r="D46" s="89"/>
      <c r="E46" s="89"/>
      <c r="F46" s="89"/>
      <c r="G46" s="89"/>
      <c r="H46" s="89"/>
      <c r="I46" s="55"/>
      <c r="J46" s="55"/>
    </row>
    <row r="47" spans="2:10">
      <c r="B47" s="188" t="s">
        <v>437</v>
      </c>
      <c r="C47" s="55">
        <v>68.956618334892426</v>
      </c>
      <c r="D47" s="55">
        <v>38.346635909265665</v>
      </c>
      <c r="E47" s="55">
        <v>52.501671903193653</v>
      </c>
      <c r="F47" s="55">
        <v>47.834954352249369</v>
      </c>
      <c r="G47" s="55">
        <v>33.849154815212529</v>
      </c>
      <c r="H47" s="55">
        <v>33.888843668679847</v>
      </c>
      <c r="I47" s="55">
        <v>50.239546742209633</v>
      </c>
      <c r="J47" s="98">
        <v>57.253501577287068</v>
      </c>
    </row>
    <row r="48" spans="2:10">
      <c r="B48" s="194" t="s">
        <v>379</v>
      </c>
      <c r="C48" s="55"/>
      <c r="D48" s="55"/>
      <c r="E48" s="55"/>
      <c r="F48" s="55"/>
      <c r="G48" s="55"/>
      <c r="H48" s="55"/>
      <c r="I48" s="55"/>
      <c r="J48" s="55"/>
    </row>
    <row r="49" spans="2:10">
      <c r="B49" s="150" t="s">
        <v>352</v>
      </c>
      <c r="C49" s="55">
        <v>68.807530402245092</v>
      </c>
      <c r="D49" s="55">
        <v>37.97254901960784</v>
      </c>
      <c r="E49" s="55">
        <v>52.392840468889986</v>
      </c>
      <c r="F49" s="55">
        <v>43.079918185595126</v>
      </c>
      <c r="G49" s="55">
        <v>30.554560771047623</v>
      </c>
      <c r="H49" s="55">
        <v>25.475532181317302</v>
      </c>
      <c r="I49" s="55">
        <v>0</v>
      </c>
      <c r="J49" s="55">
        <v>0</v>
      </c>
    </row>
    <row r="50" spans="2:10">
      <c r="B50" s="150" t="s">
        <v>351</v>
      </c>
      <c r="C50" s="55">
        <v>0.14908793264733394</v>
      </c>
      <c r="D50" s="55">
        <v>0.37408688965782388</v>
      </c>
      <c r="E50" s="55">
        <v>0.10883143430366811</v>
      </c>
      <c r="F50" s="55">
        <v>4.7550361666542384</v>
      </c>
      <c r="G50" s="55">
        <v>3.2945940441649055</v>
      </c>
      <c r="H50" s="55">
        <v>1.8201686284330911</v>
      </c>
      <c r="I50" s="55">
        <v>0</v>
      </c>
      <c r="J50" s="55">
        <v>0</v>
      </c>
    </row>
    <row r="51" spans="2:10">
      <c r="B51" s="188"/>
      <c r="C51" s="55"/>
      <c r="D51" s="55"/>
      <c r="E51" s="55"/>
      <c r="F51" s="55"/>
      <c r="G51" s="55"/>
      <c r="H51" s="55"/>
      <c r="I51" s="55"/>
      <c r="J51" s="55"/>
    </row>
    <row r="52" spans="2:10" ht="15" thickBot="1">
      <c r="B52" s="193" t="s">
        <v>436</v>
      </c>
      <c r="C52" s="192">
        <v>485.58161833489248</v>
      </c>
      <c r="D52" s="192">
        <v>222.34732795078813</v>
      </c>
      <c r="E52" s="192">
        <v>89.724167518390942</v>
      </c>
      <c r="F52" s="192">
        <v>25.683970555336579</v>
      </c>
      <c r="G52" s="192">
        <v>0.95933961590444417</v>
      </c>
      <c r="H52" s="192">
        <v>4.6164120544285835E-2</v>
      </c>
      <c r="I52" s="55">
        <v>0</v>
      </c>
      <c r="J52" s="55">
        <v>0</v>
      </c>
    </row>
    <row r="53" spans="2:10" ht="15" thickTop="1">
      <c r="B53" s="181" t="s">
        <v>435</v>
      </c>
      <c r="C53" s="181"/>
      <c r="D53" s="181"/>
      <c r="E53" s="181"/>
      <c r="F53" s="181"/>
      <c r="G53" s="181"/>
      <c r="H53" s="181"/>
      <c r="I53" s="181"/>
      <c r="J53" s="181"/>
    </row>
    <row r="54" spans="2:10">
      <c r="B54" s="64"/>
      <c r="C54" s="1"/>
      <c r="D54" s="1"/>
      <c r="E54" s="1"/>
      <c r="F54" s="1"/>
      <c r="G54" s="1"/>
      <c r="H54" s="1"/>
      <c r="I54" s="1"/>
      <c r="J54" s="1"/>
    </row>
    <row r="55" spans="2:10">
      <c r="B55" s="2024" t="s">
        <v>434</v>
      </c>
      <c r="C55" s="2024"/>
      <c r="D55" s="2024"/>
      <c r="E55" s="2024"/>
      <c r="F55" s="2024"/>
      <c r="G55" s="2024"/>
      <c r="H55" s="2024"/>
      <c r="I55" s="2024"/>
      <c r="J55" s="2024"/>
    </row>
    <row r="56" spans="2:10">
      <c r="B56" s="12" t="s">
        <v>433</v>
      </c>
      <c r="C56" s="1"/>
      <c r="D56" s="1"/>
      <c r="E56" s="1"/>
      <c r="F56" s="1"/>
      <c r="G56" s="1"/>
      <c r="H56" s="1"/>
      <c r="I56" s="1"/>
      <c r="J56" s="1"/>
    </row>
    <row r="57" spans="2:10">
      <c r="B57" s="62" t="s">
        <v>242</v>
      </c>
      <c r="C57" s="1"/>
      <c r="D57" s="1"/>
      <c r="E57" s="1"/>
      <c r="F57" s="1"/>
      <c r="G57" s="1"/>
      <c r="H57" s="1"/>
      <c r="I57" s="1"/>
      <c r="J57" s="1"/>
    </row>
    <row r="58" spans="2:10">
      <c r="B58" s="64"/>
      <c r="C58" s="1"/>
      <c r="D58" s="1"/>
      <c r="E58" s="1"/>
      <c r="F58" s="1"/>
      <c r="G58" s="1"/>
      <c r="H58" s="1"/>
      <c r="I58" s="1"/>
      <c r="J58" s="1"/>
    </row>
    <row r="59" spans="2:10">
      <c r="B59" s="61"/>
      <c r="C59" s="60">
        <v>2014</v>
      </c>
      <c r="D59" s="60">
        <v>2015</v>
      </c>
      <c r="E59" s="60">
        <v>2016</v>
      </c>
      <c r="F59" s="60">
        <v>2017</v>
      </c>
      <c r="G59" s="60">
        <v>2018</v>
      </c>
      <c r="H59" s="60">
        <v>2019</v>
      </c>
      <c r="I59" s="60">
        <v>2020</v>
      </c>
      <c r="J59" s="60">
        <v>2021</v>
      </c>
    </row>
    <row r="60" spans="2:10">
      <c r="B60" s="64" t="s">
        <v>432</v>
      </c>
      <c r="C60" s="55">
        <v>41949.444170325063</v>
      </c>
      <c r="D60" s="55">
        <v>36814.780185531708</v>
      </c>
      <c r="E60" s="55">
        <v>37514.682135841183</v>
      </c>
      <c r="F60" s="55">
        <v>41902.071086917153</v>
      </c>
      <c r="G60" s="55">
        <v>22733.335087798179</v>
      </c>
      <c r="H60" s="55">
        <v>23907.130935889585</v>
      </c>
      <c r="I60" s="55">
        <v>26880.877478753544</v>
      </c>
      <c r="J60" s="55">
        <v>28301.161409043118</v>
      </c>
    </row>
    <row r="61" spans="2:10">
      <c r="B61" s="62"/>
      <c r="D61" s="191"/>
      <c r="E61" s="191"/>
      <c r="F61" s="191"/>
      <c r="G61" s="191"/>
      <c r="H61" s="191"/>
      <c r="I61" s="98"/>
      <c r="J61" s="98"/>
    </row>
    <row r="62" spans="2:10">
      <c r="B62" s="64" t="s">
        <v>431</v>
      </c>
      <c r="C62" s="89">
        <v>41589.289087231045</v>
      </c>
      <c r="D62" s="55">
        <v>36560.561750711255</v>
      </c>
      <c r="E62" s="55">
        <v>37291.794309977151</v>
      </c>
      <c r="F62" s="98">
        <v>41701.595807011749</v>
      </c>
      <c r="G62" s="98">
        <v>22619.080995442797</v>
      </c>
      <c r="H62" s="98">
        <v>23796.10494369446</v>
      </c>
      <c r="I62" s="55">
        <v>26782.577903682723</v>
      </c>
      <c r="J62" s="55">
        <v>28209.789695057836</v>
      </c>
    </row>
    <row r="63" spans="2:10">
      <c r="B63" s="190" t="s">
        <v>379</v>
      </c>
      <c r="C63" s="55"/>
      <c r="D63" s="55"/>
      <c r="E63" s="55"/>
      <c r="F63" s="55"/>
      <c r="G63" s="55"/>
      <c r="H63" s="55"/>
    </row>
    <row r="64" spans="2:10">
      <c r="B64" s="189" t="s">
        <v>430</v>
      </c>
      <c r="C64" s="55"/>
      <c r="D64" s="55">
        <v>0</v>
      </c>
      <c r="E64" s="55">
        <v>0</v>
      </c>
      <c r="F64" s="55">
        <v>1033.33297823609</v>
      </c>
      <c r="G64" s="55">
        <v>2885.6097735153389</v>
      </c>
      <c r="H64" s="55">
        <v>7729.7298413156195</v>
      </c>
      <c r="I64" s="55">
        <v>13118.980169971672</v>
      </c>
      <c r="J64" s="55">
        <v>17538.380651945321</v>
      </c>
    </row>
    <row r="65" spans="2:10">
      <c r="B65" s="189" t="s">
        <v>429</v>
      </c>
      <c r="C65" s="55"/>
      <c r="D65" s="55">
        <v>0</v>
      </c>
      <c r="E65" s="55">
        <v>8010.6962057261126</v>
      </c>
      <c r="F65" s="55">
        <v>12557.126269028773</v>
      </c>
      <c r="G65" s="55">
        <v>8357.9531478537774</v>
      </c>
      <c r="H65" s="55">
        <v>8888.463813237162</v>
      </c>
      <c r="I65" s="55">
        <v>7473.0878186968848</v>
      </c>
      <c r="J65" s="55">
        <v>6696.6351209253426</v>
      </c>
    </row>
    <row r="66" spans="2:10">
      <c r="B66" s="189" t="s">
        <v>428</v>
      </c>
      <c r="D66" s="55">
        <v>0</v>
      </c>
      <c r="E66" s="55">
        <v>244.03071254621392</v>
      </c>
      <c r="F66" s="55">
        <v>2355.3600153402008</v>
      </c>
      <c r="G66" s="55">
        <v>1752.525239167061</v>
      </c>
      <c r="H66" s="55">
        <v>1631.3481858716527</v>
      </c>
      <c r="I66" s="55">
        <v>1394.6175637393769</v>
      </c>
      <c r="J66" s="55">
        <v>1045.2155625657203</v>
      </c>
    </row>
    <row r="67" spans="2:10">
      <c r="B67" s="189" t="s">
        <v>427</v>
      </c>
      <c r="C67" s="55">
        <v>38696.567516370436</v>
      </c>
      <c r="D67" s="55">
        <v>34058.756216839669</v>
      </c>
      <c r="E67" s="55">
        <v>27117.481123266571</v>
      </c>
      <c r="F67" s="55">
        <v>24409.029412704673</v>
      </c>
      <c r="G67" s="55">
        <v>9077.3718998209388</v>
      </c>
      <c r="H67" s="55">
        <v>5145.4836109138541</v>
      </c>
      <c r="I67" s="55">
        <v>4514.7308781869688</v>
      </c>
      <c r="J67" s="55">
        <v>2698.1072555205051</v>
      </c>
    </row>
    <row r="68" spans="2:10">
      <c r="B68" s="189" t="s">
        <v>426</v>
      </c>
      <c r="C68" s="55">
        <v>1958.498497427503</v>
      </c>
      <c r="D68" s="55">
        <v>1788.4603998462132</v>
      </c>
      <c r="E68" s="55">
        <v>1307.6926032479089</v>
      </c>
      <c r="F68" s="55">
        <v>779.52722353016372</v>
      </c>
      <c r="G68" s="55">
        <v>275.99759841093089</v>
      </c>
      <c r="H68" s="55">
        <v>170.70079174908588</v>
      </c>
      <c r="I68" s="55">
        <v>116.00566572237962</v>
      </c>
      <c r="J68" s="55">
        <v>89.747634069400632</v>
      </c>
    </row>
    <row r="69" spans="2:10">
      <c r="B69" s="189" t="s">
        <v>425</v>
      </c>
      <c r="C69" s="55">
        <v>187.6565926099158</v>
      </c>
      <c r="D69" s="55">
        <v>152.17757631680121</v>
      </c>
      <c r="E69" s="55">
        <v>113.46778841907359</v>
      </c>
      <c r="F69" s="55">
        <v>98.859072557019743</v>
      </c>
      <c r="G69" s="55">
        <v>54.538289211628133</v>
      </c>
      <c r="H69" s="55">
        <v>70.062984348744422</v>
      </c>
      <c r="I69" s="55">
        <v>61.699716713881024</v>
      </c>
      <c r="J69" s="55">
        <v>66.72975814931651</v>
      </c>
    </row>
    <row r="70" spans="2:10">
      <c r="B70" s="189" t="s">
        <v>423</v>
      </c>
      <c r="C70" s="55">
        <v>428.19809471468699</v>
      </c>
      <c r="D70" s="55">
        <v>332.32048412149197</v>
      </c>
      <c r="E70" s="55">
        <v>296.37152628988935</v>
      </c>
      <c r="F70" s="55">
        <v>282.24904390067218</v>
      </c>
      <c r="G70" s="55">
        <v>144.941719146325</v>
      </c>
      <c r="H70" s="55">
        <v>112.68117837863156</v>
      </c>
      <c r="I70" s="55">
        <v>77.039660056657226</v>
      </c>
      <c r="J70" s="55">
        <v>56.708727655099899</v>
      </c>
    </row>
    <row r="71" spans="2:10">
      <c r="B71" s="189" t="s">
        <v>422</v>
      </c>
      <c r="C71" s="55">
        <v>209.48833255378855</v>
      </c>
      <c r="D71" s="55">
        <v>160.70993233371777</v>
      </c>
      <c r="E71" s="55">
        <v>148.1860821945464</v>
      </c>
      <c r="F71" s="55">
        <v>142.10991680071587</v>
      </c>
      <c r="G71" s="55">
        <v>70.143328316798161</v>
      </c>
      <c r="H71" s="55">
        <v>47.634537879708489</v>
      </c>
      <c r="I71" s="55">
        <v>26.416430594900852</v>
      </c>
      <c r="J71" s="55">
        <v>18.264984227129339</v>
      </c>
    </row>
    <row r="72" spans="2:10">
      <c r="B72" s="189" t="s">
        <v>421</v>
      </c>
      <c r="C72" s="55">
        <v>108.78650818521983</v>
      </c>
      <c r="D72" s="55">
        <v>68.07562645136484</v>
      </c>
      <c r="E72" s="55">
        <v>53.824104806248492</v>
      </c>
      <c r="F72" s="55">
        <v>43.964589702890137</v>
      </c>
      <c r="G72" s="55">
        <v>0</v>
      </c>
      <c r="H72" s="55">
        <v>0</v>
      </c>
      <c r="I72" s="55">
        <v>0</v>
      </c>
      <c r="J72" s="55">
        <v>0</v>
      </c>
    </row>
    <row r="73" spans="2:10">
      <c r="B73" s="189" t="s">
        <v>420</v>
      </c>
      <c r="C73" s="55">
        <v>9.3545369504209552E-2</v>
      </c>
      <c r="D73" s="55">
        <v>6.1514801999231067E-2</v>
      </c>
      <c r="E73" s="55">
        <v>4.4163480586995749E-2</v>
      </c>
      <c r="F73" s="55">
        <v>3.7285210554910457E-2</v>
      </c>
      <c r="G73" s="55">
        <v>0</v>
      </c>
      <c r="H73" s="55">
        <v>0</v>
      </c>
      <c r="I73" s="55">
        <v>0</v>
      </c>
      <c r="J73" s="55">
        <v>0</v>
      </c>
    </row>
    <row r="74" spans="2:10">
      <c r="B74" s="190"/>
      <c r="C74" s="55"/>
    </row>
    <row r="75" spans="2:10">
      <c r="B75" s="64" t="s">
        <v>424</v>
      </c>
      <c r="C75" s="55"/>
      <c r="D75" s="55">
        <v>254.21843482045367</v>
      </c>
      <c r="E75" s="55">
        <v>222.88782586402704</v>
      </c>
      <c r="F75" s="55">
        <v>200.47527990540212</v>
      </c>
      <c r="G75" s="55">
        <v>114.2540923553823</v>
      </c>
      <c r="H75" s="55">
        <v>111.02599219512645</v>
      </c>
      <c r="I75" s="55">
        <v>98.299575070821533</v>
      </c>
      <c r="J75" s="55">
        <v>91.37171398527866</v>
      </c>
    </row>
    <row r="76" spans="2:10">
      <c r="B76" s="190" t="s">
        <v>379</v>
      </c>
      <c r="C76" s="55"/>
      <c r="D76" s="55"/>
      <c r="E76" s="55"/>
      <c r="F76" s="55"/>
      <c r="G76" s="55"/>
      <c r="H76" s="55"/>
      <c r="I76" s="55"/>
      <c r="J76" s="55"/>
    </row>
    <row r="77" spans="2:10">
      <c r="B77" s="189" t="s">
        <v>423</v>
      </c>
      <c r="C77" s="55"/>
      <c r="D77" s="55">
        <v>0</v>
      </c>
      <c r="E77" s="55">
        <v>0</v>
      </c>
      <c r="F77" s="55">
        <v>0</v>
      </c>
      <c r="G77" s="55">
        <v>0</v>
      </c>
      <c r="H77" s="55">
        <v>6.5917245629883805</v>
      </c>
      <c r="I77" s="55">
        <v>11.869688385269123</v>
      </c>
      <c r="J77" s="55">
        <v>17.939011566771821</v>
      </c>
    </row>
    <row r="78" spans="2:10">
      <c r="B78" s="189" t="s">
        <v>422</v>
      </c>
      <c r="C78" s="55"/>
      <c r="D78" s="55">
        <v>0.38223952326028449</v>
      </c>
      <c r="E78" s="55">
        <v>0.31362538012138652</v>
      </c>
      <c r="F78" s="55">
        <v>0.26632293253507472</v>
      </c>
      <c r="G78" s="55">
        <v>2.6052480539987251</v>
      </c>
      <c r="H78" s="55">
        <v>9.773579029713904</v>
      </c>
      <c r="I78" s="55">
        <v>17.620396600566572</v>
      </c>
      <c r="J78" s="55">
        <v>21.072555205047319</v>
      </c>
    </row>
    <row r="79" spans="2:10">
      <c r="B79" s="189" t="s">
        <v>421</v>
      </c>
      <c r="C79" s="55"/>
      <c r="D79" s="55">
        <v>67.044202691272588</v>
      </c>
      <c r="E79" s="55">
        <v>65.093449167833853</v>
      </c>
      <c r="F79" s="55">
        <v>63.938809643020747</v>
      </c>
      <c r="G79" s="55">
        <v>39.568031358193835</v>
      </c>
      <c r="H79" s="55">
        <v>36.536395329318616</v>
      </c>
      <c r="I79" s="55">
        <v>27.912181303116149</v>
      </c>
      <c r="J79" s="55">
        <v>21.558359621451103</v>
      </c>
    </row>
    <row r="80" spans="2:10">
      <c r="B80" s="189" t="s">
        <v>420</v>
      </c>
      <c r="C80" s="55"/>
      <c r="D80" s="55">
        <v>112.59395486351406</v>
      </c>
      <c r="E80" s="55">
        <v>96.600886550327502</v>
      </c>
      <c r="F80" s="55">
        <v>84.87179214027762</v>
      </c>
      <c r="G80" s="55">
        <v>46.558559892933559</v>
      </c>
      <c r="H80" s="55">
        <v>38.122140389282798</v>
      </c>
      <c r="I80" s="55">
        <v>27.22946175637394</v>
      </c>
      <c r="J80" s="55">
        <v>20.655099894847531</v>
      </c>
    </row>
    <row r="81" spans="2:10">
      <c r="B81" s="189" t="s">
        <v>419</v>
      </c>
      <c r="C81" s="55"/>
      <c r="D81" s="55">
        <v>28.738831257208773</v>
      </c>
      <c r="E81" s="55">
        <v>23.580384411553165</v>
      </c>
      <c r="F81" s="55">
        <v>19.907639206996837</v>
      </c>
      <c r="G81" s="55">
        <v>9.8853955348428784</v>
      </c>
      <c r="H81" s="55">
        <v>7.7473492308707774</v>
      </c>
      <c r="I81" s="55">
        <v>5.2939093484419271</v>
      </c>
      <c r="J81" s="55">
        <v>3.9300736067297586</v>
      </c>
    </row>
    <row r="82" spans="2:10">
      <c r="B82" s="189" t="s">
        <v>418</v>
      </c>
      <c r="C82" s="55"/>
      <c r="D82" s="55">
        <v>19.390079373317946</v>
      </c>
      <c r="E82" s="55">
        <v>15.909735870840743</v>
      </c>
      <c r="F82" s="55">
        <v>13.431997102406495</v>
      </c>
      <c r="G82" s="55">
        <v>6.6698317565190708</v>
      </c>
      <c r="H82" s="55">
        <v>5.22725830714338</v>
      </c>
      <c r="I82" s="55">
        <v>3.5718838526912187</v>
      </c>
      <c r="J82" s="55">
        <v>2.6516824395373293</v>
      </c>
    </row>
    <row r="83" spans="2:10">
      <c r="B83" s="189" t="s">
        <v>417</v>
      </c>
      <c r="C83" s="55"/>
      <c r="D83" s="55">
        <v>20.864692728950413</v>
      </c>
      <c r="E83" s="55">
        <v>17.11965779611614</v>
      </c>
      <c r="F83" s="55">
        <v>14.452812902813436</v>
      </c>
      <c r="G83" s="55">
        <v>7.1767310352488742</v>
      </c>
      <c r="H83" s="55">
        <v>5.6245237198781979</v>
      </c>
      <c r="I83" s="55">
        <v>3.8433427762039658</v>
      </c>
      <c r="J83" s="55">
        <v>2.8532071503680334</v>
      </c>
    </row>
    <row r="84" spans="2:10">
      <c r="B84" s="189" t="s">
        <v>416</v>
      </c>
      <c r="C84" s="55"/>
      <c r="D84" s="55">
        <v>4.8922502814302193</v>
      </c>
      <c r="E84" s="55">
        <v>4.0141449319251494</v>
      </c>
      <c r="F84" s="55">
        <v>3.3889593165088256</v>
      </c>
      <c r="G84" s="55">
        <v>1.6828315475702424</v>
      </c>
      <c r="H84" s="55">
        <v>1.3188631299375337</v>
      </c>
      <c r="I84" s="55">
        <v>0.90120396600566577</v>
      </c>
      <c r="J84" s="55">
        <v>0.66903259726603581</v>
      </c>
    </row>
    <row r="85" spans="2:10">
      <c r="B85" s="189" t="s">
        <v>415</v>
      </c>
      <c r="C85" s="55"/>
      <c r="D85" s="55">
        <v>0.31239401460976546</v>
      </c>
      <c r="E85" s="55">
        <v>0.25633745946423392</v>
      </c>
      <c r="F85" s="55">
        <v>0.21641401497800175</v>
      </c>
      <c r="G85" s="55">
        <v>0.10746317607509463</v>
      </c>
      <c r="H85" s="55">
        <v>8.4220682073653422E-2</v>
      </c>
      <c r="I85" s="55">
        <v>5.7549575070821528E-2</v>
      </c>
      <c r="J85" s="55">
        <v>4.2723449001051524E-2</v>
      </c>
    </row>
    <row r="86" spans="2:10">
      <c r="B86" s="62"/>
      <c r="C86" s="55"/>
      <c r="D86" s="55"/>
      <c r="E86" s="55"/>
      <c r="F86" s="55"/>
      <c r="G86" s="55"/>
      <c r="H86" s="55"/>
      <c r="I86" s="55"/>
      <c r="J86" s="55"/>
    </row>
    <row r="87" spans="2:10">
      <c r="B87" s="188" t="s">
        <v>414</v>
      </c>
      <c r="C87" s="55">
        <v>4831.0751764344895</v>
      </c>
      <c r="D87" s="55">
        <v>4093.4942714340632</v>
      </c>
      <c r="E87" s="55">
        <v>4227.3393395666935</v>
      </c>
      <c r="F87" s="55">
        <v>4509.7801237868989</v>
      </c>
      <c r="G87" s="55">
        <v>3142.6365639290843</v>
      </c>
      <c r="H87" s="55">
        <v>2970.323538055995</v>
      </c>
      <c r="I87" s="55">
        <v>3685.888385269122</v>
      </c>
      <c r="J87" s="55">
        <v>2901.6750788643535</v>
      </c>
    </row>
    <row r="88" spans="2:10" ht="15" thickBot="1">
      <c r="B88" s="187" t="s">
        <v>413</v>
      </c>
      <c r="C88" s="101">
        <v>39539.640073642222</v>
      </c>
      <c r="D88" s="55">
        <v>32721.316801230292</v>
      </c>
      <c r="E88" s="55">
        <v>33287.361862941791</v>
      </c>
      <c r="F88" s="55">
        <v>37394.128910952262</v>
      </c>
      <c r="G88" s="55">
        <v>19591.417149144498</v>
      </c>
      <c r="H88" s="55">
        <v>20938.260064680679</v>
      </c>
      <c r="I88" s="55">
        <v>23195.495750708218</v>
      </c>
      <c r="J88" s="55">
        <v>25399.063932702418</v>
      </c>
    </row>
    <row r="89" spans="2:10" ht="15" thickTop="1">
      <c r="B89" s="2025" t="s">
        <v>412</v>
      </c>
      <c r="C89" s="2025"/>
      <c r="D89" s="2025"/>
      <c r="E89" s="2025"/>
      <c r="F89" s="2025"/>
      <c r="G89" s="2025"/>
      <c r="H89" s="2025"/>
      <c r="I89" s="2025"/>
      <c r="J89" s="2025"/>
    </row>
    <row r="90" spans="2:10">
      <c r="B90" s="64"/>
      <c r="C90" s="1"/>
      <c r="D90" s="1"/>
      <c r="E90" s="1"/>
      <c r="F90" s="1"/>
      <c r="G90" s="1"/>
      <c r="H90" s="1"/>
      <c r="I90" s="1"/>
      <c r="J90" s="1"/>
    </row>
    <row r="91" spans="2:10">
      <c r="B91" s="2024" t="s">
        <v>411</v>
      </c>
      <c r="C91" s="2024"/>
      <c r="D91" s="2024"/>
      <c r="E91" s="2024"/>
      <c r="F91" s="2024"/>
      <c r="G91" s="2024"/>
      <c r="H91" s="2024"/>
      <c r="I91" s="2024"/>
      <c r="J91" s="2024"/>
    </row>
    <row r="92" spans="2:10">
      <c r="B92" s="12" t="s">
        <v>410</v>
      </c>
      <c r="C92" s="1"/>
      <c r="D92" s="1"/>
      <c r="E92" s="1"/>
      <c r="F92" s="1"/>
      <c r="G92" s="1"/>
      <c r="H92" s="1"/>
      <c r="I92" s="1"/>
      <c r="J92" s="1"/>
    </row>
    <row r="93" spans="2:10">
      <c r="B93" s="62" t="s">
        <v>409</v>
      </c>
      <c r="C93" s="1"/>
      <c r="D93" s="1"/>
      <c r="E93" s="1"/>
      <c r="F93" s="1"/>
      <c r="G93" s="1"/>
      <c r="H93" s="1"/>
      <c r="I93" s="1"/>
      <c r="J93" s="1"/>
    </row>
    <row r="94" spans="2:10">
      <c r="B94" s="64"/>
      <c r="C94" s="1"/>
      <c r="D94" s="1"/>
      <c r="E94" s="1"/>
      <c r="F94" s="1"/>
      <c r="G94" s="1"/>
      <c r="H94" s="1"/>
      <c r="I94" s="1"/>
      <c r="J94" s="1"/>
    </row>
    <row r="95" spans="2:10">
      <c r="B95" s="61"/>
      <c r="C95" s="60">
        <v>2014</v>
      </c>
      <c r="D95" s="60">
        <v>2015</v>
      </c>
      <c r="E95" s="60">
        <v>2016</v>
      </c>
      <c r="F95" s="60">
        <v>2017</v>
      </c>
      <c r="G95" s="60">
        <v>2018</v>
      </c>
      <c r="H95" s="60">
        <v>2019</v>
      </c>
      <c r="I95" s="60">
        <v>2020</v>
      </c>
      <c r="J95" s="60">
        <v>2021</v>
      </c>
    </row>
    <row r="96" spans="2:10">
      <c r="B96" s="114" t="s">
        <v>262</v>
      </c>
      <c r="C96" s="75">
        <v>1</v>
      </c>
      <c r="D96" s="75">
        <v>1</v>
      </c>
      <c r="E96" s="75">
        <v>1</v>
      </c>
      <c r="F96" s="75">
        <v>1</v>
      </c>
      <c r="G96" s="75">
        <v>1</v>
      </c>
      <c r="H96" s="75">
        <v>1</v>
      </c>
      <c r="I96" s="75">
        <v>1</v>
      </c>
      <c r="J96" s="75">
        <v>1</v>
      </c>
    </row>
    <row r="97" spans="2:10">
      <c r="B97" s="186" t="s">
        <v>408</v>
      </c>
      <c r="C97" s="75">
        <v>1</v>
      </c>
      <c r="D97" s="75">
        <v>1</v>
      </c>
      <c r="E97" s="75">
        <v>1</v>
      </c>
      <c r="F97" s="75">
        <v>1</v>
      </c>
      <c r="G97" s="75">
        <v>1</v>
      </c>
      <c r="H97" s="75">
        <v>1</v>
      </c>
      <c r="I97" s="75">
        <v>1</v>
      </c>
      <c r="J97" s="75">
        <v>1</v>
      </c>
    </row>
    <row r="98" spans="2:10">
      <c r="B98" s="65" t="s">
        <v>407</v>
      </c>
      <c r="C98" s="75">
        <v>173</v>
      </c>
      <c r="D98" s="75">
        <v>167</v>
      </c>
      <c r="E98" s="75">
        <v>167</v>
      </c>
      <c r="F98" s="75">
        <v>168</v>
      </c>
      <c r="G98" s="75">
        <v>171</v>
      </c>
      <c r="H98" s="75">
        <v>173</v>
      </c>
      <c r="I98" s="75">
        <v>169</v>
      </c>
      <c r="J98" s="75">
        <v>174</v>
      </c>
    </row>
    <row r="99" spans="2:10">
      <c r="B99" s="65" t="s">
        <v>406</v>
      </c>
      <c r="C99" s="67">
        <v>138</v>
      </c>
      <c r="D99" s="67">
        <v>121</v>
      </c>
      <c r="E99" s="67">
        <v>117</v>
      </c>
      <c r="F99" s="67">
        <v>119</v>
      </c>
      <c r="G99" s="67">
        <v>127</v>
      </c>
      <c r="H99" s="67">
        <v>90</v>
      </c>
      <c r="I99" s="75">
        <v>91</v>
      </c>
      <c r="J99" s="75">
        <v>69</v>
      </c>
    </row>
    <row r="100" spans="2:10">
      <c r="B100" s="186" t="s">
        <v>401</v>
      </c>
      <c r="C100" s="75">
        <v>20.211880261927035</v>
      </c>
      <c r="D100" s="55">
        <v>21.885306497500959</v>
      </c>
      <c r="E100" s="55">
        <v>29.868937489747765</v>
      </c>
      <c r="F100" s="55">
        <v>24.23774493720105</v>
      </c>
      <c r="G100" s="55">
        <v>28.683440276341436</v>
      </c>
      <c r="H100" s="55">
        <v>26.440650943762051</v>
      </c>
      <c r="I100" s="55">
        <v>21.079107648725213</v>
      </c>
      <c r="J100" s="55">
        <v>23.177129337539434</v>
      </c>
    </row>
    <row r="101" spans="2:10">
      <c r="B101" s="186"/>
      <c r="C101" s="75"/>
      <c r="D101" s="75"/>
      <c r="E101" s="75"/>
      <c r="F101" s="75"/>
      <c r="G101" s="75"/>
      <c r="H101" s="75"/>
      <c r="I101" s="75"/>
      <c r="J101" s="75"/>
    </row>
    <row r="102" spans="2:10">
      <c r="B102" s="114" t="s">
        <v>260</v>
      </c>
      <c r="C102" s="67"/>
      <c r="D102" s="67"/>
      <c r="E102" s="67"/>
      <c r="F102" s="67"/>
      <c r="G102" s="67"/>
      <c r="H102" s="67"/>
      <c r="I102" s="67"/>
      <c r="J102" s="67"/>
    </row>
    <row r="103" spans="2:10">
      <c r="B103" s="186" t="s">
        <v>399</v>
      </c>
      <c r="C103" s="67">
        <v>65</v>
      </c>
      <c r="D103" s="67">
        <v>62</v>
      </c>
      <c r="E103" s="67">
        <v>63</v>
      </c>
      <c r="F103" s="67">
        <v>62</v>
      </c>
      <c r="G103" s="67">
        <v>63</v>
      </c>
      <c r="H103" s="67">
        <v>63</v>
      </c>
      <c r="I103" s="67">
        <v>64</v>
      </c>
      <c r="J103" s="67">
        <v>64</v>
      </c>
    </row>
    <row r="104" spans="2:10" ht="15.5">
      <c r="B104" s="186" t="s">
        <v>405</v>
      </c>
      <c r="C104" s="67">
        <v>4320</v>
      </c>
      <c r="D104" s="67">
        <v>4382</v>
      </c>
      <c r="E104" s="67">
        <v>4467</v>
      </c>
      <c r="F104" s="67">
        <v>5252</v>
      </c>
      <c r="G104" s="67">
        <v>5140</v>
      </c>
      <c r="H104" s="67">
        <v>5132</v>
      </c>
      <c r="I104" s="67">
        <v>10793</v>
      </c>
      <c r="J104" s="67">
        <v>5174</v>
      </c>
    </row>
    <row r="105" spans="2:10">
      <c r="B105" s="186" t="s">
        <v>402</v>
      </c>
      <c r="C105" s="67">
        <v>38457081</v>
      </c>
      <c r="D105" s="67">
        <v>58239801</v>
      </c>
      <c r="E105" s="67">
        <v>67302728</v>
      </c>
      <c r="F105" s="67">
        <v>76153691</v>
      </c>
      <c r="G105" s="67">
        <v>81938992</v>
      </c>
      <c r="H105" s="67">
        <v>84229514</v>
      </c>
      <c r="I105" s="67">
        <v>100388937</v>
      </c>
      <c r="J105" s="67">
        <v>107117947</v>
      </c>
    </row>
    <row r="106" spans="2:10">
      <c r="B106" s="186" t="s">
        <v>401</v>
      </c>
      <c r="C106" s="75">
        <v>44.371071094480826</v>
      </c>
      <c r="D106" s="55">
        <v>40.093933102652827</v>
      </c>
      <c r="E106" s="55">
        <v>50.538296046737585</v>
      </c>
      <c r="F106" s="55">
        <v>63.325233565211832</v>
      </c>
      <c r="G106" s="55">
        <v>47.38154849596517</v>
      </c>
      <c r="H106" s="55">
        <v>48.188553673403419</v>
      </c>
      <c r="I106" s="55">
        <v>53.022053824362608</v>
      </c>
      <c r="J106" s="55">
        <v>59.579726603575189</v>
      </c>
    </row>
    <row r="107" spans="2:10">
      <c r="B107" s="186"/>
      <c r="C107" s="75"/>
      <c r="D107" s="75"/>
      <c r="E107" s="75"/>
      <c r="F107" s="75"/>
      <c r="G107" s="75"/>
      <c r="H107" s="75"/>
      <c r="I107" s="75"/>
      <c r="J107" s="75"/>
    </row>
    <row r="108" spans="2:10" ht="26">
      <c r="B108" s="148" t="s">
        <v>404</v>
      </c>
      <c r="C108" s="75"/>
      <c r="D108" s="75"/>
      <c r="E108" s="75"/>
      <c r="F108" s="75"/>
      <c r="G108" s="75"/>
      <c r="H108" s="75"/>
      <c r="I108" s="75"/>
      <c r="J108" s="75"/>
    </row>
    <row r="109" spans="2:10">
      <c r="B109" s="186" t="s">
        <v>399</v>
      </c>
      <c r="C109" s="75">
        <v>16</v>
      </c>
      <c r="D109" s="75">
        <v>16</v>
      </c>
      <c r="E109" s="75">
        <v>15</v>
      </c>
      <c r="F109" s="75">
        <v>15</v>
      </c>
      <c r="G109" s="75">
        <v>15</v>
      </c>
      <c r="H109" s="75">
        <v>15</v>
      </c>
      <c r="I109" s="75">
        <v>15</v>
      </c>
      <c r="J109" s="75">
        <v>15</v>
      </c>
    </row>
    <row r="110" spans="2:10">
      <c r="B110" s="186" t="s">
        <v>403</v>
      </c>
      <c r="C110" s="75">
        <v>81</v>
      </c>
      <c r="D110" s="75">
        <v>80</v>
      </c>
      <c r="E110" s="75">
        <v>83</v>
      </c>
      <c r="F110" s="75">
        <v>137</v>
      </c>
      <c r="G110" s="75">
        <v>138</v>
      </c>
      <c r="H110" s="75">
        <v>122</v>
      </c>
      <c r="I110" s="75">
        <v>127</v>
      </c>
      <c r="J110" s="75">
        <v>128</v>
      </c>
    </row>
    <row r="111" spans="2:10">
      <c r="B111" s="186" t="s">
        <v>402</v>
      </c>
      <c r="C111" s="67">
        <v>163301</v>
      </c>
      <c r="D111" s="67">
        <v>222220</v>
      </c>
      <c r="E111" s="67">
        <v>280426</v>
      </c>
      <c r="F111" s="67">
        <v>353382</v>
      </c>
      <c r="G111" s="67">
        <v>557130</v>
      </c>
      <c r="H111" s="67">
        <v>593402</v>
      </c>
      <c r="I111" s="67">
        <v>1862471</v>
      </c>
      <c r="J111" s="67">
        <v>2210644</v>
      </c>
    </row>
    <row r="112" spans="2:10">
      <c r="B112" s="186" t="s">
        <v>401</v>
      </c>
      <c r="C112" s="75">
        <v>3.827174929840973E-5</v>
      </c>
      <c r="D112" s="79">
        <v>7.6893502499038823E-5</v>
      </c>
      <c r="E112" s="79">
        <v>6.3090686552851077E-5</v>
      </c>
      <c r="F112" s="79">
        <v>1.065291730140299E-4</v>
      </c>
      <c r="G112" s="79">
        <v>1.0579687528928833E-4</v>
      </c>
      <c r="H112" s="79">
        <v>0.14103803121563818</v>
      </c>
      <c r="I112" s="79">
        <v>0.16475920679886685</v>
      </c>
      <c r="J112" s="79">
        <v>0.20279705573080969</v>
      </c>
    </row>
    <row r="113" spans="2:10">
      <c r="B113" s="186"/>
      <c r="C113" s="75"/>
      <c r="D113" s="75"/>
      <c r="E113" s="75"/>
      <c r="F113" s="75"/>
      <c r="G113" s="75"/>
      <c r="H113" s="75"/>
      <c r="I113" s="75"/>
      <c r="J113" s="75"/>
    </row>
    <row r="114" spans="2:10">
      <c r="B114" s="114" t="s">
        <v>400</v>
      </c>
      <c r="C114" s="75"/>
      <c r="D114" s="75"/>
      <c r="E114" s="75"/>
      <c r="F114" s="75"/>
      <c r="G114" s="75"/>
      <c r="H114" s="75"/>
      <c r="I114" s="75"/>
      <c r="J114" s="75"/>
    </row>
    <row r="115" spans="2:10">
      <c r="B115" s="186" t="s">
        <v>399</v>
      </c>
      <c r="C115" s="184">
        <v>0</v>
      </c>
      <c r="D115" s="184">
        <v>0</v>
      </c>
      <c r="E115" s="184">
        <v>3</v>
      </c>
      <c r="F115" s="163">
        <v>3</v>
      </c>
      <c r="G115" s="163">
        <v>3</v>
      </c>
      <c r="H115" s="163">
        <v>3</v>
      </c>
      <c r="I115" s="163">
        <v>43</v>
      </c>
      <c r="J115" s="163">
        <v>88</v>
      </c>
    </row>
    <row r="116" spans="2:10">
      <c r="B116" s="186" t="s">
        <v>398</v>
      </c>
      <c r="C116" s="184">
        <v>2</v>
      </c>
      <c r="D116" s="184">
        <v>2</v>
      </c>
      <c r="E116" s="184">
        <v>2</v>
      </c>
      <c r="F116" s="163">
        <v>2</v>
      </c>
      <c r="G116" s="163">
        <v>2</v>
      </c>
      <c r="H116" s="163">
        <v>2</v>
      </c>
      <c r="I116" s="163">
        <v>2</v>
      </c>
      <c r="J116" s="163">
        <v>0</v>
      </c>
    </row>
    <row r="117" spans="2:10">
      <c r="B117" s="186" t="s">
        <v>397</v>
      </c>
      <c r="C117" s="184">
        <v>0</v>
      </c>
      <c r="D117" s="184">
        <v>0</v>
      </c>
      <c r="E117" s="184">
        <v>0</v>
      </c>
      <c r="F117" s="184">
        <v>0</v>
      </c>
      <c r="G117" s="184">
        <v>0</v>
      </c>
      <c r="H117" s="184">
        <v>0</v>
      </c>
      <c r="I117" s="184">
        <v>0</v>
      </c>
      <c r="J117" s="184">
        <v>0</v>
      </c>
    </row>
    <row r="118" spans="2:10" ht="28">
      <c r="B118" s="185" t="s">
        <v>396</v>
      </c>
      <c r="C118" s="184">
        <v>0</v>
      </c>
      <c r="D118" s="184">
        <v>0</v>
      </c>
      <c r="E118" s="184">
        <v>0</v>
      </c>
      <c r="F118" s="184">
        <v>0</v>
      </c>
      <c r="G118" s="184">
        <v>0</v>
      </c>
      <c r="H118" s="184">
        <v>0</v>
      </c>
      <c r="I118" s="184">
        <v>0</v>
      </c>
      <c r="J118" s="184">
        <v>0</v>
      </c>
    </row>
    <row r="119" spans="2:10" ht="15" thickBot="1">
      <c r="B119" s="183" t="s">
        <v>395</v>
      </c>
      <c r="C119" s="182">
        <v>0</v>
      </c>
      <c r="D119" s="182">
        <v>0</v>
      </c>
      <c r="E119" s="182">
        <v>0</v>
      </c>
      <c r="F119" s="182">
        <v>0</v>
      </c>
      <c r="G119" s="182">
        <v>0</v>
      </c>
      <c r="H119" s="182">
        <v>0</v>
      </c>
      <c r="I119" s="182">
        <v>0</v>
      </c>
      <c r="J119" s="182">
        <v>0</v>
      </c>
    </row>
    <row r="120" spans="2:10" ht="15" thickTop="1">
      <c r="B120" s="181" t="s">
        <v>394</v>
      </c>
      <c r="C120" s="69"/>
      <c r="D120" s="69"/>
      <c r="E120" s="69"/>
      <c r="F120" s="69"/>
      <c r="G120" s="69"/>
      <c r="H120" s="69"/>
      <c r="I120" s="69"/>
      <c r="J120" s="69"/>
    </row>
    <row r="121" spans="2:10">
      <c r="B121" s="64"/>
      <c r="C121" s="1"/>
      <c r="D121" s="1"/>
      <c r="E121" s="1"/>
      <c r="F121" s="1"/>
      <c r="G121" s="1"/>
      <c r="H121" s="1"/>
      <c r="I121" s="1"/>
      <c r="J121" s="1"/>
    </row>
    <row r="122" spans="2:10">
      <c r="B122" s="14" t="s">
        <v>393</v>
      </c>
      <c r="C122" s="14"/>
      <c r="D122" s="14"/>
      <c r="E122" s="14"/>
      <c r="F122" s="14"/>
      <c r="G122" s="14"/>
      <c r="H122" s="14"/>
      <c r="I122" s="14"/>
      <c r="J122" s="14"/>
    </row>
    <row r="123" spans="2:10">
      <c r="B123" s="12" t="s">
        <v>392</v>
      </c>
      <c r="C123" s="1"/>
      <c r="D123" s="1"/>
      <c r="E123" s="1"/>
      <c r="F123" s="1"/>
      <c r="G123" s="1"/>
      <c r="H123" s="1"/>
      <c r="I123" s="1"/>
      <c r="J123" s="1"/>
    </row>
    <row r="124" spans="2:10">
      <c r="B124" s="62" t="s">
        <v>269</v>
      </c>
      <c r="C124" s="1"/>
      <c r="D124" s="1"/>
      <c r="E124" s="1"/>
      <c r="F124" s="1"/>
      <c r="G124" s="1"/>
      <c r="H124" s="1"/>
      <c r="I124" s="1"/>
      <c r="J124" s="1"/>
    </row>
    <row r="125" spans="2:10">
      <c r="B125" s="1"/>
      <c r="C125" s="1"/>
      <c r="D125" s="1"/>
      <c r="E125" s="1"/>
      <c r="F125" s="1"/>
      <c r="G125" s="1"/>
      <c r="H125" s="1"/>
      <c r="I125" s="1"/>
      <c r="J125" s="1"/>
    </row>
    <row r="126" spans="2:10">
      <c r="B126" s="180"/>
      <c r="C126" s="60">
        <v>2014</v>
      </c>
      <c r="D126" s="60">
        <v>2015</v>
      </c>
      <c r="E126" s="60">
        <v>2016</v>
      </c>
      <c r="F126" s="60">
        <v>2017</v>
      </c>
      <c r="G126" s="60">
        <v>2018</v>
      </c>
      <c r="H126" s="60">
        <v>2019</v>
      </c>
      <c r="I126" s="60">
        <v>2020</v>
      </c>
      <c r="J126" s="60">
        <v>2021</v>
      </c>
    </row>
    <row r="127" spans="2:10">
      <c r="B127" s="179" t="s">
        <v>391</v>
      </c>
      <c r="C127" s="178"/>
      <c r="D127" s="178"/>
      <c r="E127" s="178"/>
      <c r="F127" s="178"/>
      <c r="G127" s="178"/>
      <c r="H127" s="177"/>
      <c r="I127" s="177"/>
      <c r="J127" s="177"/>
    </row>
    <row r="128" spans="2:10">
      <c r="B128" s="149" t="s">
        <v>390</v>
      </c>
      <c r="C128" s="164">
        <v>36325292</v>
      </c>
      <c r="D128" s="164">
        <v>37854927</v>
      </c>
      <c r="E128" s="164">
        <v>41100750</v>
      </c>
      <c r="F128" s="164">
        <v>45213411</v>
      </c>
      <c r="G128" s="164">
        <v>48075098</v>
      </c>
      <c r="H128" s="164">
        <v>48551233</v>
      </c>
      <c r="I128" s="164">
        <v>57125156</v>
      </c>
      <c r="J128" s="164">
        <v>60138023</v>
      </c>
    </row>
    <row r="129" spans="2:10">
      <c r="B129" s="149" t="s">
        <v>389</v>
      </c>
      <c r="C129" s="164">
        <v>36325292</v>
      </c>
      <c r="D129" s="164">
        <v>37854927</v>
      </c>
      <c r="E129" s="164">
        <v>41100750</v>
      </c>
      <c r="F129" s="164">
        <v>45213411</v>
      </c>
      <c r="G129" s="164">
        <v>48075098</v>
      </c>
      <c r="H129" s="164">
        <v>48551233</v>
      </c>
      <c r="I129" s="164">
        <v>57125156</v>
      </c>
      <c r="J129" s="164">
        <v>60138023</v>
      </c>
    </row>
    <row r="130" spans="2:10">
      <c r="B130" s="149" t="s">
        <v>388</v>
      </c>
      <c r="C130" s="164">
        <v>572408</v>
      </c>
      <c r="D130" s="164">
        <v>574670</v>
      </c>
      <c r="E130" s="164">
        <v>583839</v>
      </c>
      <c r="F130" s="164">
        <v>567829</v>
      </c>
      <c r="G130" s="164">
        <v>676260</v>
      </c>
      <c r="H130" s="164">
        <v>115976</v>
      </c>
      <c r="I130" s="164">
        <v>127459</v>
      </c>
      <c r="J130" s="164">
        <v>138393</v>
      </c>
    </row>
    <row r="131" spans="2:10">
      <c r="B131" s="149" t="s">
        <v>387</v>
      </c>
      <c r="C131" s="164">
        <v>50335400</v>
      </c>
      <c r="D131" s="164">
        <v>54926426</v>
      </c>
      <c r="E131" s="164">
        <v>58554780</v>
      </c>
      <c r="F131" s="164">
        <v>60876330</v>
      </c>
      <c r="G131" s="164">
        <v>62456144</v>
      </c>
      <c r="H131" s="164">
        <v>60571817</v>
      </c>
      <c r="I131" s="164">
        <v>61011546</v>
      </c>
      <c r="J131" s="164">
        <v>54472895</v>
      </c>
    </row>
    <row r="132" spans="2:10">
      <c r="B132" s="149" t="s">
        <v>386</v>
      </c>
      <c r="C132" s="170">
        <v>0</v>
      </c>
      <c r="D132" s="170">
        <v>0</v>
      </c>
      <c r="E132" s="170">
        <v>0</v>
      </c>
      <c r="F132" s="170">
        <v>3055926</v>
      </c>
      <c r="G132" s="170">
        <v>4448013</v>
      </c>
      <c r="H132" s="170">
        <v>7290110</v>
      </c>
      <c r="I132" s="170">
        <v>5081029</v>
      </c>
      <c r="J132" s="170">
        <v>15869157</v>
      </c>
    </row>
    <row r="133" spans="2:10" ht="26">
      <c r="B133" s="147" t="s">
        <v>385</v>
      </c>
      <c r="C133" s="164">
        <v>0</v>
      </c>
      <c r="D133" s="164">
        <v>0</v>
      </c>
      <c r="E133" s="164">
        <v>0</v>
      </c>
      <c r="F133" s="164">
        <v>0</v>
      </c>
      <c r="G133" s="163">
        <v>0</v>
      </c>
      <c r="H133" s="163">
        <v>0</v>
      </c>
      <c r="I133" s="163">
        <v>0</v>
      </c>
      <c r="J133" s="163">
        <v>0</v>
      </c>
    </row>
    <row r="134" spans="2:10">
      <c r="B134" s="54" t="s">
        <v>384</v>
      </c>
      <c r="C134" s="164">
        <v>87233100</v>
      </c>
      <c r="D134" s="164">
        <v>93356023</v>
      </c>
      <c r="E134" s="164">
        <v>100239369</v>
      </c>
      <c r="F134" s="164">
        <f>SUM(F129:F132)</f>
        <v>109713496</v>
      </c>
      <c r="G134" s="164">
        <f>SUM(G129:G132)</f>
        <v>115655515</v>
      </c>
      <c r="H134" s="164">
        <f>SUM(H129:H132)</f>
        <v>116529136</v>
      </c>
      <c r="I134" s="164">
        <f>SUM(I129:I132)</f>
        <v>123345190</v>
      </c>
      <c r="J134" s="164">
        <f>SUM(J129:J132)</f>
        <v>130618468</v>
      </c>
    </row>
    <row r="135" spans="2:10" ht="26">
      <c r="B135" s="147" t="s">
        <v>383</v>
      </c>
      <c r="C135" s="164">
        <v>0</v>
      </c>
      <c r="D135" s="164">
        <v>0</v>
      </c>
      <c r="E135" s="164">
        <v>0</v>
      </c>
      <c r="F135" s="164">
        <v>0</v>
      </c>
      <c r="G135" s="163">
        <v>0</v>
      </c>
      <c r="H135" s="163">
        <v>0</v>
      </c>
      <c r="I135" s="164">
        <v>0</v>
      </c>
      <c r="J135" s="163">
        <v>0</v>
      </c>
    </row>
    <row r="136" spans="2:10">
      <c r="B136" s="149" t="s">
        <v>382</v>
      </c>
      <c r="C136" s="164">
        <v>0</v>
      </c>
      <c r="D136" s="164">
        <v>0</v>
      </c>
      <c r="E136" s="164">
        <v>0</v>
      </c>
      <c r="F136" s="164">
        <v>0</v>
      </c>
      <c r="G136" s="164">
        <v>0</v>
      </c>
      <c r="H136" s="164">
        <v>0</v>
      </c>
      <c r="I136" s="164">
        <v>0</v>
      </c>
      <c r="J136" s="163">
        <v>0</v>
      </c>
    </row>
    <row r="137" spans="2:10">
      <c r="B137" s="171"/>
      <c r="C137" s="170"/>
      <c r="D137" s="170"/>
      <c r="E137" s="170"/>
      <c r="F137" s="170"/>
      <c r="G137" s="170"/>
      <c r="H137" s="176"/>
    </row>
    <row r="138" spans="2:10">
      <c r="B138" s="175" t="s">
        <v>381</v>
      </c>
      <c r="C138" s="174"/>
      <c r="D138" s="174"/>
      <c r="E138" s="174"/>
      <c r="F138" s="174"/>
      <c r="G138" s="174"/>
      <c r="H138" s="173"/>
      <c r="I138" s="173"/>
      <c r="J138" s="173"/>
    </row>
    <row r="139" spans="2:10">
      <c r="B139" s="149" t="s">
        <v>380</v>
      </c>
      <c r="C139" s="164">
        <v>13389</v>
      </c>
      <c r="D139" s="164">
        <v>13957</v>
      </c>
      <c r="E139" s="164">
        <v>14902</v>
      </c>
      <c r="F139" s="164">
        <v>15773</v>
      </c>
      <c r="G139" s="164">
        <v>16385</v>
      </c>
      <c r="H139" s="164">
        <v>16939</v>
      </c>
      <c r="I139" s="164">
        <v>16753</v>
      </c>
      <c r="J139" s="164">
        <v>17823</v>
      </c>
    </row>
    <row r="140" spans="2:10">
      <c r="B140" s="172" t="s">
        <v>379</v>
      </c>
      <c r="C140" s="170"/>
      <c r="D140" s="170"/>
      <c r="E140" s="170"/>
      <c r="F140" s="170"/>
      <c r="G140" s="170"/>
      <c r="H140" s="169"/>
      <c r="I140" s="169"/>
      <c r="J140" s="169"/>
    </row>
    <row r="141" spans="2:10">
      <c r="B141" s="168" t="s">
        <v>378</v>
      </c>
      <c r="C141" s="164">
        <v>13389</v>
      </c>
      <c r="D141" s="164">
        <v>13957</v>
      </c>
      <c r="E141" s="164">
        <v>14902</v>
      </c>
      <c r="F141" s="164">
        <v>15773</v>
      </c>
      <c r="G141" s="164">
        <v>16385</v>
      </c>
      <c r="H141" s="164">
        <v>16939</v>
      </c>
      <c r="I141" s="164">
        <v>16753</v>
      </c>
      <c r="J141" s="164">
        <v>17823</v>
      </c>
    </row>
    <row r="142" spans="2:10">
      <c r="B142" s="168" t="s">
        <v>377</v>
      </c>
      <c r="C142" s="164">
        <v>13389</v>
      </c>
      <c r="D142" s="164">
        <v>13957</v>
      </c>
      <c r="E142" s="164">
        <v>14902</v>
      </c>
      <c r="F142" s="164">
        <v>15773</v>
      </c>
      <c r="G142" s="164">
        <v>16385</v>
      </c>
      <c r="H142" s="164">
        <v>16939</v>
      </c>
      <c r="I142" s="164">
        <v>16753</v>
      </c>
      <c r="J142" s="164">
        <v>17823</v>
      </c>
    </row>
    <row r="143" spans="2:10">
      <c r="B143" s="149" t="s">
        <v>376</v>
      </c>
      <c r="C143" s="164">
        <v>2</v>
      </c>
      <c r="D143" s="164">
        <v>2</v>
      </c>
      <c r="E143" s="164">
        <v>2</v>
      </c>
      <c r="F143" s="164">
        <v>2</v>
      </c>
      <c r="G143" s="164">
        <v>2</v>
      </c>
      <c r="H143" s="164">
        <v>2</v>
      </c>
      <c r="I143" s="164">
        <v>2</v>
      </c>
      <c r="J143" s="164">
        <v>2</v>
      </c>
    </row>
    <row r="144" spans="2:10">
      <c r="B144" s="171"/>
      <c r="C144" s="170"/>
      <c r="D144" s="170"/>
      <c r="E144" s="170"/>
      <c r="F144" s="170"/>
      <c r="G144" s="170"/>
      <c r="H144" s="169"/>
      <c r="I144" s="169"/>
      <c r="J144" s="169"/>
    </row>
    <row r="145" spans="2:10">
      <c r="B145" s="149" t="s">
        <v>375</v>
      </c>
      <c r="C145" s="164">
        <v>421691</v>
      </c>
      <c r="D145" s="164">
        <v>433283</v>
      </c>
      <c r="E145" s="164">
        <v>487192</v>
      </c>
      <c r="F145" s="164">
        <v>619810</v>
      </c>
      <c r="G145" s="164">
        <v>803793</v>
      </c>
      <c r="H145" s="164">
        <v>524699</v>
      </c>
      <c r="I145" s="164">
        <v>866636</v>
      </c>
      <c r="J145" s="164">
        <v>500334</v>
      </c>
    </row>
    <row r="146" spans="2:10">
      <c r="B146" s="168" t="s">
        <v>374</v>
      </c>
      <c r="C146" s="167"/>
      <c r="D146" s="167"/>
      <c r="E146" s="167"/>
      <c r="F146" s="167"/>
      <c r="G146" s="167"/>
      <c r="H146" s="166"/>
      <c r="I146" s="166"/>
      <c r="J146" s="164"/>
    </row>
    <row r="147" spans="2:10">
      <c r="B147" s="165" t="s">
        <v>373</v>
      </c>
      <c r="C147" s="164">
        <v>0</v>
      </c>
      <c r="D147" s="164">
        <v>0</v>
      </c>
      <c r="E147" s="164">
        <v>0</v>
      </c>
      <c r="F147" s="164">
        <v>0</v>
      </c>
      <c r="G147" s="163">
        <v>0</v>
      </c>
      <c r="H147" s="163">
        <v>0</v>
      </c>
      <c r="I147" s="163">
        <v>0</v>
      </c>
      <c r="J147" s="163">
        <v>0</v>
      </c>
    </row>
    <row r="148" spans="2:10">
      <c r="B148" s="149" t="s">
        <v>372</v>
      </c>
      <c r="C148" s="164">
        <v>0</v>
      </c>
      <c r="D148" s="164">
        <v>0</v>
      </c>
      <c r="E148" s="164">
        <v>0</v>
      </c>
      <c r="F148" s="164">
        <v>0</v>
      </c>
      <c r="G148" s="163">
        <v>0</v>
      </c>
      <c r="H148" s="163">
        <v>0</v>
      </c>
      <c r="I148" s="163">
        <v>0</v>
      </c>
      <c r="J148" s="163">
        <v>0</v>
      </c>
    </row>
    <row r="149" spans="2:10">
      <c r="B149" s="149" t="s">
        <v>371</v>
      </c>
      <c r="C149" s="164">
        <v>3</v>
      </c>
      <c r="D149" s="164">
        <v>3</v>
      </c>
      <c r="E149" s="164">
        <v>3</v>
      </c>
      <c r="F149" s="164">
        <v>3</v>
      </c>
      <c r="G149" s="164">
        <v>3</v>
      </c>
      <c r="H149" s="164">
        <v>3</v>
      </c>
      <c r="I149" s="164">
        <v>3</v>
      </c>
      <c r="J149" s="164">
        <v>3</v>
      </c>
    </row>
    <row r="150" spans="2:10">
      <c r="B150" s="147" t="s">
        <v>370</v>
      </c>
      <c r="C150" s="164">
        <v>3</v>
      </c>
      <c r="D150" s="164">
        <v>3</v>
      </c>
      <c r="E150" s="163">
        <v>3</v>
      </c>
      <c r="F150" s="163">
        <v>3</v>
      </c>
      <c r="G150" s="163">
        <v>3</v>
      </c>
      <c r="H150" s="163">
        <v>3</v>
      </c>
      <c r="I150" s="163">
        <v>3</v>
      </c>
      <c r="J150" s="163">
        <v>3</v>
      </c>
    </row>
    <row r="151" spans="2:10" ht="15" thickBot="1">
      <c r="B151" s="162" t="s">
        <v>369</v>
      </c>
      <c r="C151" s="161">
        <v>0</v>
      </c>
      <c r="D151" s="161">
        <v>0</v>
      </c>
      <c r="E151" s="160">
        <v>0</v>
      </c>
      <c r="F151" s="160">
        <v>0</v>
      </c>
      <c r="G151" s="160">
        <v>0</v>
      </c>
      <c r="H151" s="160">
        <v>0</v>
      </c>
      <c r="I151" s="160">
        <v>0</v>
      </c>
      <c r="J151" s="160">
        <v>0</v>
      </c>
    </row>
    <row r="152" spans="2:10" ht="15" thickTop="1">
      <c r="B152" s="2026" t="s">
        <v>368</v>
      </c>
      <c r="C152" s="2026"/>
      <c r="D152" s="2026"/>
      <c r="E152" s="2026"/>
      <c r="F152" s="2026"/>
      <c r="G152" s="2026"/>
      <c r="H152" s="2026"/>
      <c r="I152" s="2026"/>
      <c r="J152" s="2026"/>
    </row>
    <row r="153" spans="2:10">
      <c r="B153" s="64"/>
      <c r="C153" s="1"/>
      <c r="D153" s="1"/>
      <c r="E153" s="1"/>
      <c r="F153" s="1"/>
      <c r="G153" s="1"/>
      <c r="H153" s="1"/>
      <c r="I153" s="1"/>
      <c r="J153" s="1"/>
    </row>
    <row r="154" spans="2:10">
      <c r="B154" s="14" t="s">
        <v>367</v>
      </c>
      <c r="C154" s="14"/>
      <c r="D154" s="14"/>
      <c r="E154" s="14"/>
      <c r="F154" s="14"/>
      <c r="G154" s="14"/>
      <c r="H154" s="14"/>
      <c r="I154" s="14"/>
      <c r="J154" s="14"/>
    </row>
    <row r="155" spans="2:10">
      <c r="B155" s="12" t="s">
        <v>366</v>
      </c>
      <c r="C155" s="1"/>
      <c r="D155" s="1"/>
      <c r="E155" s="1"/>
      <c r="F155" s="1"/>
      <c r="G155" s="1"/>
      <c r="H155" s="1"/>
      <c r="I155" s="1"/>
      <c r="J155" s="1"/>
    </row>
    <row r="156" spans="2:10">
      <c r="B156" s="62" t="s">
        <v>210</v>
      </c>
      <c r="C156" s="1"/>
      <c r="D156" s="1"/>
      <c r="E156" s="1"/>
      <c r="F156" s="1"/>
      <c r="G156" s="1"/>
      <c r="H156" s="1"/>
      <c r="I156" s="1"/>
      <c r="J156" s="1"/>
    </row>
    <row r="157" spans="2:10">
      <c r="B157" s="64"/>
      <c r="C157" s="1"/>
      <c r="D157" s="1"/>
      <c r="E157" s="1"/>
      <c r="F157" s="1"/>
      <c r="G157" s="1"/>
      <c r="H157" s="1"/>
      <c r="I157" s="1"/>
      <c r="J157" s="1"/>
    </row>
    <row r="158" spans="2:10">
      <c r="B158" s="61"/>
      <c r="C158" s="60">
        <v>2014</v>
      </c>
      <c r="D158" s="60">
        <v>2015</v>
      </c>
      <c r="E158" s="60">
        <v>2016</v>
      </c>
      <c r="F158" s="60">
        <v>2017</v>
      </c>
      <c r="G158" s="60">
        <v>2018</v>
      </c>
      <c r="H158" s="60">
        <v>2019</v>
      </c>
      <c r="I158" s="60">
        <v>2020</v>
      </c>
      <c r="J158" s="60">
        <v>2021</v>
      </c>
    </row>
    <row r="159" spans="2:10">
      <c r="B159" s="154" t="s">
        <v>362</v>
      </c>
      <c r="C159" s="1"/>
      <c r="D159" s="1"/>
      <c r="E159" s="1"/>
      <c r="F159" s="1"/>
      <c r="G159" s="1"/>
      <c r="H159" s="1"/>
      <c r="I159" s="1"/>
      <c r="J159" s="1"/>
    </row>
    <row r="160" spans="2:10">
      <c r="B160" s="54" t="s">
        <v>361</v>
      </c>
      <c r="C160" s="55">
        <v>122898.27899999999</v>
      </c>
      <c r="D160" s="67">
        <v>142622.856</v>
      </c>
      <c r="E160" s="67">
        <v>171285.93299999999</v>
      </c>
      <c r="F160" s="67">
        <v>211185.68599999999</v>
      </c>
      <c r="G160" s="67">
        <v>274339.18699999998</v>
      </c>
      <c r="H160" s="67">
        <v>374467</v>
      </c>
      <c r="I160" s="67">
        <v>955575.01</v>
      </c>
      <c r="J160" s="67">
        <v>1869174.3259999999</v>
      </c>
    </row>
    <row r="161" spans="2:10">
      <c r="B161" s="151" t="s">
        <v>360</v>
      </c>
      <c r="C161" s="55">
        <v>0</v>
      </c>
      <c r="D161" s="67">
        <v>0</v>
      </c>
      <c r="E161" s="67">
        <v>0</v>
      </c>
      <c r="F161" s="67">
        <v>0</v>
      </c>
      <c r="G161" s="67">
        <v>0</v>
      </c>
      <c r="H161" s="67">
        <v>0</v>
      </c>
      <c r="I161" s="67">
        <v>0</v>
      </c>
      <c r="J161" s="67">
        <v>0</v>
      </c>
    </row>
    <row r="162" spans="2:10">
      <c r="B162" s="151" t="s">
        <v>359</v>
      </c>
      <c r="C162" s="55">
        <v>122898.27899999999</v>
      </c>
      <c r="D162" s="67">
        <v>142622.856</v>
      </c>
      <c r="E162" s="67">
        <v>171285.93299999999</v>
      </c>
      <c r="F162" s="67">
        <v>211185.68599999999</v>
      </c>
      <c r="G162" s="67">
        <v>274339.18699999998</v>
      </c>
      <c r="H162" s="67">
        <v>374467</v>
      </c>
      <c r="I162" s="67">
        <v>955575.01</v>
      </c>
      <c r="J162" s="67">
        <v>1869174.3259999999</v>
      </c>
    </row>
    <row r="163" spans="2:10">
      <c r="B163" s="152" t="s">
        <v>358</v>
      </c>
      <c r="C163" s="55">
        <v>42767.790999999997</v>
      </c>
      <c r="D163" s="67">
        <v>46792.08</v>
      </c>
      <c r="E163" s="67">
        <v>52718.481</v>
      </c>
      <c r="F163" s="67">
        <v>64589.764999999999</v>
      </c>
      <c r="G163" s="67">
        <v>79888.755999999994</v>
      </c>
      <c r="H163" s="67">
        <v>93838.116999999998</v>
      </c>
      <c r="I163" s="67">
        <v>107514.099</v>
      </c>
      <c r="J163" s="67">
        <v>120505.493</v>
      </c>
    </row>
    <row r="164" spans="2:10" ht="25">
      <c r="B164" s="71" t="s">
        <v>357</v>
      </c>
      <c r="C164" s="55">
        <v>1127927.6839999999</v>
      </c>
      <c r="D164" s="67">
        <v>1269346.808</v>
      </c>
      <c r="E164" s="67">
        <v>1502885.149</v>
      </c>
      <c r="F164" s="67">
        <v>1622460.426</v>
      </c>
      <c r="G164" s="67">
        <v>1816183.6310000001</v>
      </c>
      <c r="H164" s="67">
        <v>2098279.4569999999</v>
      </c>
      <c r="I164" s="67">
        <v>2089810.5720000002</v>
      </c>
      <c r="J164" s="67">
        <v>2716746.125</v>
      </c>
    </row>
    <row r="165" spans="2:10">
      <c r="B165" s="151" t="s">
        <v>356</v>
      </c>
      <c r="C165" s="55">
        <v>515806.52500000002</v>
      </c>
      <c r="D165" s="67">
        <v>587263.89099999995</v>
      </c>
      <c r="E165" s="67">
        <v>682858.46600000001</v>
      </c>
      <c r="F165" s="67">
        <v>749422.68599999999</v>
      </c>
      <c r="G165" s="67">
        <v>866194.69299999997</v>
      </c>
      <c r="H165" s="67">
        <v>1054729.2960000001</v>
      </c>
      <c r="I165" s="67">
        <v>1230031.79</v>
      </c>
      <c r="J165" s="67">
        <v>1705149.334</v>
      </c>
    </row>
    <row r="166" spans="2:10" ht="26">
      <c r="B166" s="151" t="s">
        <v>355</v>
      </c>
      <c r="C166" s="55">
        <v>0</v>
      </c>
      <c r="D166" s="67">
        <v>0</v>
      </c>
      <c r="E166" s="67">
        <v>0</v>
      </c>
      <c r="F166" s="67">
        <v>0</v>
      </c>
      <c r="G166" s="67">
        <v>0</v>
      </c>
      <c r="H166" s="67">
        <v>0</v>
      </c>
      <c r="I166" s="67">
        <v>0</v>
      </c>
      <c r="J166" s="67">
        <v>0</v>
      </c>
    </row>
    <row r="167" spans="2:10">
      <c r="B167" s="151" t="s">
        <v>354</v>
      </c>
      <c r="C167" s="55">
        <v>612121.15899999999</v>
      </c>
      <c r="D167" s="67">
        <v>682082.91700000002</v>
      </c>
      <c r="E167" s="67">
        <v>802865.20299999998</v>
      </c>
      <c r="F167" s="67">
        <v>845835.61800000002</v>
      </c>
      <c r="G167" s="67">
        <v>911316.15300000005</v>
      </c>
      <c r="H167" s="67">
        <v>1039498.8130000001</v>
      </c>
      <c r="I167" s="67">
        <v>859778.78200000001</v>
      </c>
      <c r="J167" s="67">
        <v>1011596.791</v>
      </c>
    </row>
    <row r="168" spans="2:10">
      <c r="B168" s="71" t="s">
        <v>338</v>
      </c>
      <c r="C168" s="55">
        <v>0</v>
      </c>
      <c r="D168" s="67">
        <v>0</v>
      </c>
      <c r="E168" s="67">
        <v>1951.338</v>
      </c>
      <c r="F168" s="67">
        <v>20848.904999999999</v>
      </c>
      <c r="G168" s="67">
        <v>39016.71</v>
      </c>
      <c r="H168" s="67">
        <v>94566.485000000001</v>
      </c>
      <c r="I168" s="67">
        <v>270458.41499999998</v>
      </c>
      <c r="J168" s="159"/>
    </row>
    <row r="169" spans="2:10">
      <c r="B169" s="71" t="s">
        <v>353</v>
      </c>
      <c r="C169" s="55">
        <v>91361.764999999999</v>
      </c>
      <c r="D169" s="67">
        <v>89050.089000000007</v>
      </c>
      <c r="E169" s="67">
        <v>86306.274999999994</v>
      </c>
      <c r="F169" s="67">
        <v>85421.087</v>
      </c>
      <c r="G169" s="67">
        <v>83336.062000000005</v>
      </c>
      <c r="H169" s="67">
        <v>77487.157999999996</v>
      </c>
      <c r="I169" s="67">
        <v>56479.173999999999</v>
      </c>
      <c r="J169" s="67">
        <v>56867.995999999999</v>
      </c>
    </row>
    <row r="170" spans="2:10">
      <c r="B170" s="150" t="s">
        <v>352</v>
      </c>
      <c r="C170" s="55">
        <v>91361.764999999999</v>
      </c>
      <c r="D170" s="67">
        <v>89050.089000000007</v>
      </c>
      <c r="E170" s="67">
        <v>86306.274999999994</v>
      </c>
      <c r="F170" s="67">
        <v>85421.087</v>
      </c>
      <c r="G170" s="67">
        <v>83336.062000000005</v>
      </c>
      <c r="H170" s="67">
        <v>77487.157999999996</v>
      </c>
      <c r="I170" s="67">
        <v>56479.173999999999</v>
      </c>
      <c r="J170" s="67">
        <v>56867.995999999999</v>
      </c>
    </row>
    <row r="171" spans="2:10">
      <c r="B171" s="150" t="s">
        <v>351</v>
      </c>
      <c r="C171" s="55">
        <v>0</v>
      </c>
      <c r="D171" s="55">
        <v>0</v>
      </c>
      <c r="E171" s="55">
        <v>0</v>
      </c>
      <c r="F171" s="55">
        <v>0</v>
      </c>
      <c r="G171" s="55">
        <v>0</v>
      </c>
      <c r="H171" s="55">
        <v>0</v>
      </c>
      <c r="I171" s="55">
        <v>0</v>
      </c>
      <c r="J171" s="67">
        <v>0</v>
      </c>
    </row>
    <row r="172" spans="2:10">
      <c r="B172" s="54" t="s">
        <v>350</v>
      </c>
      <c r="C172" s="55">
        <v>0</v>
      </c>
      <c r="D172" s="55">
        <v>0</v>
      </c>
      <c r="E172" s="55">
        <v>0</v>
      </c>
      <c r="F172" s="67">
        <v>2.1779999999999999</v>
      </c>
      <c r="G172" s="67">
        <v>6.44</v>
      </c>
      <c r="H172" s="67">
        <v>390.92500000000001</v>
      </c>
      <c r="I172" s="67">
        <v>4349.0709999999999</v>
      </c>
      <c r="J172" s="158">
        <v>27065.75</v>
      </c>
    </row>
    <row r="173" spans="2:10">
      <c r="B173" s="157"/>
      <c r="C173" s="55"/>
      <c r="D173" s="55"/>
      <c r="E173" s="55"/>
      <c r="F173" s="55"/>
      <c r="G173" s="55"/>
      <c r="H173" s="55"/>
      <c r="I173" s="55"/>
      <c r="J173" s="55"/>
    </row>
    <row r="174" spans="2:10" ht="27.75" customHeight="1">
      <c r="B174" s="54" t="s">
        <v>365</v>
      </c>
      <c r="C174" s="55">
        <f>C160+C163+C164+C169</f>
        <v>1384955.5189999999</v>
      </c>
      <c r="D174" s="55">
        <f>D160+D163+D164+D169</f>
        <v>1547811.8329999999</v>
      </c>
      <c r="E174" s="55">
        <f>E160+E163+E164+E169+E168</f>
        <v>1815147.176</v>
      </c>
      <c r="F174" s="55">
        <f>F160+F163+F164+F169+F168+F172</f>
        <v>2004508.047</v>
      </c>
      <c r="G174" s="55">
        <f>G160+G163+G164+G169+G168+G172</f>
        <v>2292770.7859999998</v>
      </c>
      <c r="H174" s="55">
        <f>H160+H163+H164+H169+H168+H172</f>
        <v>2739029.1419999995</v>
      </c>
      <c r="I174" s="55">
        <f>I160+I163+I164+I169+I168+I172</f>
        <v>3484186.341</v>
      </c>
      <c r="J174" s="55">
        <f>J160+J163+J164+J169+J168+J172</f>
        <v>4790359.6900000004</v>
      </c>
    </row>
    <row r="175" spans="2:10">
      <c r="B175" s="147" t="s">
        <v>348</v>
      </c>
      <c r="C175" s="55">
        <v>0</v>
      </c>
      <c r="D175" s="55">
        <v>0</v>
      </c>
      <c r="E175" s="55">
        <v>0</v>
      </c>
      <c r="F175" s="55">
        <v>0</v>
      </c>
      <c r="G175" s="55">
        <v>0</v>
      </c>
      <c r="H175" s="55">
        <v>0</v>
      </c>
      <c r="I175" s="55">
        <v>0</v>
      </c>
      <c r="J175" s="55">
        <v>0</v>
      </c>
    </row>
    <row r="176" spans="2:10">
      <c r="B176" s="147"/>
      <c r="C176" s="55"/>
      <c r="D176" s="55"/>
      <c r="E176" s="55"/>
      <c r="F176" s="55"/>
      <c r="G176" s="55"/>
      <c r="H176" s="55"/>
      <c r="I176" s="55"/>
      <c r="J176" s="55"/>
    </row>
    <row r="177" spans="2:10">
      <c r="B177" s="54" t="s">
        <v>347</v>
      </c>
      <c r="C177" s="55">
        <v>0</v>
      </c>
      <c r="D177" s="55">
        <v>0</v>
      </c>
      <c r="E177" s="55">
        <v>0</v>
      </c>
      <c r="F177" s="55">
        <v>0</v>
      </c>
      <c r="G177" s="55">
        <v>0</v>
      </c>
      <c r="H177" s="55">
        <v>0</v>
      </c>
      <c r="I177" s="55">
        <v>0</v>
      </c>
      <c r="J177" s="55">
        <v>0</v>
      </c>
    </row>
    <row r="178" spans="2:10">
      <c r="B178" s="157"/>
      <c r="C178" s="55"/>
      <c r="D178" s="55"/>
      <c r="E178" s="55"/>
      <c r="F178" s="55"/>
      <c r="G178" s="55"/>
      <c r="H178" s="55"/>
      <c r="I178" s="55"/>
      <c r="J178" s="55"/>
    </row>
    <row r="179" spans="2:10">
      <c r="B179" s="114" t="s">
        <v>346</v>
      </c>
      <c r="C179" s="55"/>
      <c r="D179" s="55"/>
      <c r="E179" s="55"/>
      <c r="F179" s="55"/>
      <c r="G179" s="55"/>
      <c r="H179" s="55"/>
      <c r="I179" s="55"/>
      <c r="J179" s="55"/>
    </row>
    <row r="180" spans="2:10">
      <c r="B180" s="54" t="s">
        <v>342</v>
      </c>
      <c r="C180" s="55">
        <v>788582</v>
      </c>
      <c r="D180" s="67">
        <v>884608.37</v>
      </c>
      <c r="E180" s="67">
        <v>974494.83700000006</v>
      </c>
      <c r="F180" s="67">
        <v>1061536.3999999999</v>
      </c>
      <c r="G180" s="67">
        <v>1142581.1429999999</v>
      </c>
      <c r="H180" s="67">
        <v>1243519.8659999999</v>
      </c>
      <c r="I180" s="67">
        <v>1195396</v>
      </c>
      <c r="J180" s="67">
        <v>1238092.0919999999</v>
      </c>
    </row>
    <row r="181" spans="2:10">
      <c r="B181" s="147" t="s">
        <v>341</v>
      </c>
      <c r="C181" s="55">
        <v>769797</v>
      </c>
      <c r="D181" s="67">
        <v>863726.299</v>
      </c>
      <c r="E181" s="67">
        <v>952666.52800000005</v>
      </c>
      <c r="F181" s="67">
        <v>1040180.3149999999</v>
      </c>
      <c r="G181" s="67">
        <v>1117690.0290000001</v>
      </c>
      <c r="H181" s="67">
        <v>1211443.83</v>
      </c>
      <c r="I181" s="67">
        <v>1145563</v>
      </c>
      <c r="J181" s="67">
        <v>1187946.6259999999</v>
      </c>
    </row>
    <row r="182" spans="2:10">
      <c r="B182" s="147" t="s">
        <v>340</v>
      </c>
      <c r="C182" s="55">
        <v>18785</v>
      </c>
      <c r="D182" s="67">
        <v>20882.071</v>
      </c>
      <c r="E182" s="67">
        <v>21828.309000000001</v>
      </c>
      <c r="F182" s="67">
        <v>21356.084999999999</v>
      </c>
      <c r="G182" s="67">
        <v>24891.114000000001</v>
      </c>
      <c r="H182" s="67">
        <v>32076.036</v>
      </c>
      <c r="I182" s="67">
        <v>49833</v>
      </c>
      <c r="J182" s="67">
        <v>50145.466</v>
      </c>
    </row>
    <row r="183" spans="2:10">
      <c r="B183" s="54" t="s">
        <v>339</v>
      </c>
      <c r="C183" s="55">
        <v>961235.56700000004</v>
      </c>
      <c r="D183" s="67">
        <v>1082703.6399999999</v>
      </c>
      <c r="E183" s="67">
        <v>1250892.0360000001</v>
      </c>
      <c r="F183" s="67">
        <v>1374331.0279999999</v>
      </c>
      <c r="G183" s="67">
        <v>1731520.8230000001</v>
      </c>
      <c r="H183" s="67">
        <v>1774857.4879999999</v>
      </c>
      <c r="I183" s="67">
        <v>1786667</v>
      </c>
      <c r="J183" s="67">
        <v>2280728.0419999999</v>
      </c>
    </row>
    <row r="184" spans="2:10">
      <c r="B184" s="54" t="s">
        <v>338</v>
      </c>
      <c r="C184" s="66">
        <v>0</v>
      </c>
      <c r="D184" s="66">
        <v>0</v>
      </c>
      <c r="E184" s="66">
        <v>0</v>
      </c>
      <c r="F184" s="66">
        <v>0</v>
      </c>
      <c r="G184" s="66">
        <v>0</v>
      </c>
      <c r="H184" s="66">
        <v>0</v>
      </c>
      <c r="I184" s="66">
        <v>0</v>
      </c>
      <c r="J184" s="66">
        <v>0</v>
      </c>
    </row>
    <row r="185" spans="2:10" ht="26">
      <c r="B185" s="147" t="s">
        <v>337</v>
      </c>
      <c r="C185" s="66">
        <v>0</v>
      </c>
      <c r="D185" s="66">
        <v>0</v>
      </c>
      <c r="E185" s="66">
        <v>0</v>
      </c>
      <c r="F185" s="66">
        <v>0</v>
      </c>
      <c r="G185" s="66">
        <v>0</v>
      </c>
      <c r="H185" s="66">
        <v>0</v>
      </c>
      <c r="I185" s="66">
        <v>0</v>
      </c>
      <c r="J185" s="66">
        <v>0</v>
      </c>
    </row>
    <row r="186" spans="2:10">
      <c r="B186" s="147" t="s">
        <v>336</v>
      </c>
      <c r="C186" s="66">
        <v>0</v>
      </c>
      <c r="D186" s="66">
        <v>0</v>
      </c>
      <c r="E186" s="66">
        <v>0</v>
      </c>
      <c r="F186" s="66">
        <v>0</v>
      </c>
      <c r="G186" s="66">
        <v>0</v>
      </c>
      <c r="H186" s="66">
        <v>0</v>
      </c>
      <c r="I186" s="66">
        <v>0</v>
      </c>
      <c r="J186" s="66">
        <v>0</v>
      </c>
    </row>
    <row r="187" spans="2:10" ht="26">
      <c r="B187" s="147" t="s">
        <v>335</v>
      </c>
      <c r="C187" s="66">
        <v>0</v>
      </c>
      <c r="D187" s="66">
        <v>0</v>
      </c>
      <c r="E187" s="66">
        <v>0</v>
      </c>
      <c r="F187" s="66">
        <v>0</v>
      </c>
      <c r="G187" s="66">
        <v>0</v>
      </c>
      <c r="H187" s="66">
        <v>0</v>
      </c>
      <c r="I187" s="66">
        <v>0</v>
      </c>
      <c r="J187" s="66">
        <v>0</v>
      </c>
    </row>
    <row r="188" spans="2:10">
      <c r="B188" s="156"/>
      <c r="C188" s="66"/>
      <c r="D188" s="66"/>
      <c r="E188" s="66"/>
      <c r="F188" s="66"/>
      <c r="G188" s="66"/>
      <c r="H188" s="66"/>
      <c r="I188" s="66"/>
      <c r="J188" s="66"/>
    </row>
    <row r="189" spans="2:10" ht="26">
      <c r="B189" s="148" t="s">
        <v>345</v>
      </c>
      <c r="C189" s="66"/>
      <c r="D189" s="66"/>
      <c r="E189" s="66"/>
      <c r="F189" s="66"/>
      <c r="G189" s="66"/>
      <c r="H189" s="66"/>
      <c r="I189" s="66"/>
      <c r="J189" s="66"/>
    </row>
    <row r="190" spans="2:10">
      <c r="B190" s="54" t="s">
        <v>342</v>
      </c>
      <c r="C190" s="55">
        <v>785985</v>
      </c>
      <c r="D190" s="67">
        <v>882427.04500000004</v>
      </c>
      <c r="E190" s="67">
        <v>969693.07400000002</v>
      </c>
      <c r="F190" s="67">
        <v>1055611.8</v>
      </c>
      <c r="G190" s="67">
        <v>1137476.9979999999</v>
      </c>
      <c r="H190" s="67">
        <v>1239424.557</v>
      </c>
      <c r="I190" s="67">
        <v>1194011</v>
      </c>
      <c r="J190" s="67">
        <v>1236171.986</v>
      </c>
    </row>
    <row r="191" spans="2:10">
      <c r="B191" s="147" t="s">
        <v>341</v>
      </c>
      <c r="C191" s="55">
        <v>767200</v>
      </c>
      <c r="D191" s="67">
        <v>861544.97400000005</v>
      </c>
      <c r="E191" s="67">
        <v>947864.76500000001</v>
      </c>
      <c r="F191" s="67">
        <v>1034255.715</v>
      </c>
      <c r="G191" s="67">
        <v>1112585.8840000001</v>
      </c>
      <c r="H191" s="67">
        <v>1207348.5209999999</v>
      </c>
      <c r="I191" s="67">
        <v>1144178</v>
      </c>
      <c r="J191" s="67">
        <v>1186026.52</v>
      </c>
    </row>
    <row r="192" spans="2:10">
      <c r="B192" s="147" t="s">
        <v>340</v>
      </c>
      <c r="C192" s="55">
        <v>18785</v>
      </c>
      <c r="D192" s="67">
        <v>20882.071</v>
      </c>
      <c r="E192" s="67">
        <v>21828.309000000001</v>
      </c>
      <c r="F192" s="67">
        <v>21356.084999999999</v>
      </c>
      <c r="G192" s="67">
        <v>24891.114000000001</v>
      </c>
      <c r="H192" s="67">
        <v>32076.036</v>
      </c>
      <c r="I192" s="67">
        <v>49833</v>
      </c>
      <c r="J192" s="67">
        <v>50145.466</v>
      </c>
    </row>
    <row r="193" spans="2:10">
      <c r="B193" s="54" t="s">
        <v>339</v>
      </c>
      <c r="C193" s="55">
        <v>959287.56700000004</v>
      </c>
      <c r="D193" s="67">
        <v>1079288.6399999999</v>
      </c>
      <c r="E193" s="67">
        <v>1243198.0360000001</v>
      </c>
      <c r="F193" s="67">
        <v>1364553.0279999999</v>
      </c>
      <c r="G193" s="67">
        <v>1722938.3430000001</v>
      </c>
      <c r="H193" s="67">
        <v>1769016.2590000001</v>
      </c>
      <c r="I193" s="67">
        <v>1785183</v>
      </c>
      <c r="J193" s="67">
        <v>2279963.699</v>
      </c>
    </row>
    <row r="194" spans="2:10">
      <c r="B194" s="54" t="s">
        <v>338</v>
      </c>
      <c r="C194" s="66">
        <v>0</v>
      </c>
      <c r="D194" s="66">
        <v>0</v>
      </c>
      <c r="E194" s="66">
        <v>0</v>
      </c>
      <c r="F194" s="66">
        <v>0</v>
      </c>
      <c r="G194" s="66">
        <v>0</v>
      </c>
      <c r="H194" s="66">
        <v>0</v>
      </c>
      <c r="I194" s="66">
        <v>0</v>
      </c>
      <c r="J194" s="66">
        <v>0</v>
      </c>
    </row>
    <row r="195" spans="2:10" ht="26">
      <c r="B195" s="147" t="s">
        <v>337</v>
      </c>
      <c r="C195" s="66">
        <v>0</v>
      </c>
      <c r="D195" s="66">
        <v>0</v>
      </c>
      <c r="E195" s="66">
        <v>0</v>
      </c>
      <c r="F195" s="66">
        <v>0</v>
      </c>
      <c r="G195" s="66">
        <v>0</v>
      </c>
      <c r="H195" s="66">
        <v>0</v>
      </c>
      <c r="I195" s="66">
        <v>0</v>
      </c>
      <c r="J195" s="66">
        <v>0</v>
      </c>
    </row>
    <row r="196" spans="2:10">
      <c r="B196" s="147" t="s">
        <v>336</v>
      </c>
      <c r="C196" s="66">
        <v>0</v>
      </c>
      <c r="D196" s="66">
        <v>0</v>
      </c>
      <c r="E196" s="66">
        <v>0</v>
      </c>
      <c r="F196" s="66">
        <v>0</v>
      </c>
      <c r="G196" s="66">
        <v>0</v>
      </c>
      <c r="H196" s="66">
        <v>0</v>
      </c>
      <c r="I196" s="66">
        <v>0</v>
      </c>
      <c r="J196" s="66">
        <v>0</v>
      </c>
    </row>
    <row r="197" spans="2:10" ht="26">
      <c r="B197" s="147" t="s">
        <v>335</v>
      </c>
      <c r="C197" s="66">
        <v>0</v>
      </c>
      <c r="D197" s="66">
        <v>0</v>
      </c>
      <c r="E197" s="66">
        <v>0</v>
      </c>
      <c r="F197" s="66">
        <v>0</v>
      </c>
      <c r="G197" s="66">
        <v>0</v>
      </c>
      <c r="H197" s="66">
        <v>0</v>
      </c>
      <c r="I197" s="66">
        <v>0</v>
      </c>
      <c r="J197" s="66">
        <v>0</v>
      </c>
    </row>
    <row r="198" spans="2:10">
      <c r="B198" s="156"/>
      <c r="C198" s="66"/>
      <c r="D198" s="66"/>
      <c r="E198" s="66"/>
      <c r="F198" s="66"/>
      <c r="G198" s="66"/>
      <c r="H198" s="66"/>
      <c r="I198" s="66"/>
      <c r="J198" s="66"/>
    </row>
    <row r="199" spans="2:10" ht="39">
      <c r="B199" s="148" t="s">
        <v>344</v>
      </c>
      <c r="C199" s="66"/>
      <c r="D199" s="66"/>
      <c r="E199" s="66"/>
      <c r="F199" s="66"/>
      <c r="G199" s="66"/>
      <c r="H199" s="66"/>
      <c r="I199" s="66"/>
      <c r="J199" s="66"/>
    </row>
    <row r="200" spans="2:10">
      <c r="B200" s="54" t="s">
        <v>342</v>
      </c>
      <c r="C200" s="55">
        <v>2492</v>
      </c>
      <c r="D200" s="67">
        <v>2029.327</v>
      </c>
      <c r="E200" s="67">
        <v>3446.7640000000001</v>
      </c>
      <c r="F200" s="67">
        <v>3675.741</v>
      </c>
      <c r="G200" s="67">
        <v>3191.6619999999998</v>
      </c>
      <c r="H200" s="67">
        <v>3006.172</v>
      </c>
      <c r="I200" s="67">
        <v>1194</v>
      </c>
      <c r="J200" s="67">
        <v>1805.373</v>
      </c>
    </row>
    <row r="201" spans="2:10">
      <c r="B201" s="147" t="s">
        <v>341</v>
      </c>
      <c r="C201" s="55">
        <v>2492</v>
      </c>
      <c r="D201" s="67">
        <v>2029.327</v>
      </c>
      <c r="E201" s="67">
        <v>3446.7640000000001</v>
      </c>
      <c r="F201" s="67">
        <v>3675.741</v>
      </c>
      <c r="G201" s="67">
        <v>3191.6619999999998</v>
      </c>
      <c r="H201" s="67">
        <v>3006.172</v>
      </c>
      <c r="I201" s="67">
        <v>1194</v>
      </c>
      <c r="J201" s="67">
        <v>1805.373</v>
      </c>
    </row>
    <row r="202" spans="2:10">
      <c r="B202" s="147" t="s">
        <v>340</v>
      </c>
      <c r="C202" s="66">
        <v>0</v>
      </c>
      <c r="D202" s="67">
        <v>0</v>
      </c>
      <c r="E202" s="67">
        <v>0</v>
      </c>
      <c r="F202" s="67">
        <v>0</v>
      </c>
      <c r="G202" s="67">
        <v>0</v>
      </c>
      <c r="H202" s="67">
        <v>0</v>
      </c>
      <c r="I202" s="67">
        <v>0</v>
      </c>
      <c r="J202" s="67">
        <v>0</v>
      </c>
    </row>
    <row r="203" spans="2:10">
      <c r="B203" s="54" t="s">
        <v>339</v>
      </c>
      <c r="C203" s="66">
        <v>0</v>
      </c>
      <c r="D203" s="67">
        <v>0</v>
      </c>
      <c r="E203" s="67">
        <v>0</v>
      </c>
      <c r="F203" s="67">
        <v>0</v>
      </c>
      <c r="G203" s="67">
        <v>0</v>
      </c>
      <c r="H203" s="67">
        <v>0</v>
      </c>
      <c r="I203" s="67">
        <v>0</v>
      </c>
      <c r="J203" s="66">
        <v>0</v>
      </c>
    </row>
    <row r="204" spans="2:10">
      <c r="B204" s="54" t="s">
        <v>338</v>
      </c>
      <c r="C204" s="66">
        <v>0</v>
      </c>
      <c r="D204" s="67">
        <v>0</v>
      </c>
      <c r="E204" s="67">
        <v>0</v>
      </c>
      <c r="F204" s="67">
        <v>0</v>
      </c>
      <c r="G204" s="67">
        <v>0</v>
      </c>
      <c r="H204" s="67">
        <v>0</v>
      </c>
      <c r="I204" s="67">
        <v>0</v>
      </c>
      <c r="J204" s="66">
        <v>0</v>
      </c>
    </row>
    <row r="205" spans="2:10" ht="26">
      <c r="B205" s="147" t="s">
        <v>337</v>
      </c>
      <c r="C205" s="66">
        <v>0</v>
      </c>
      <c r="D205" s="67">
        <v>0</v>
      </c>
      <c r="E205" s="67">
        <v>0</v>
      </c>
      <c r="F205" s="67">
        <v>0</v>
      </c>
      <c r="G205" s="67">
        <v>0</v>
      </c>
      <c r="H205" s="67">
        <v>0</v>
      </c>
      <c r="I205" s="67">
        <v>0</v>
      </c>
      <c r="J205" s="66">
        <v>0</v>
      </c>
    </row>
    <row r="206" spans="2:10">
      <c r="B206" s="147" t="s">
        <v>336</v>
      </c>
      <c r="C206" s="66">
        <v>0</v>
      </c>
      <c r="D206" s="67">
        <v>0</v>
      </c>
      <c r="E206" s="67">
        <v>0</v>
      </c>
      <c r="F206" s="67">
        <v>0</v>
      </c>
      <c r="G206" s="67">
        <v>0</v>
      </c>
      <c r="H206" s="67">
        <v>0</v>
      </c>
      <c r="I206" s="67">
        <v>0</v>
      </c>
      <c r="J206" s="66">
        <v>0</v>
      </c>
    </row>
    <row r="207" spans="2:10" ht="26">
      <c r="B207" s="147" t="s">
        <v>335</v>
      </c>
      <c r="C207" s="66">
        <v>0</v>
      </c>
      <c r="D207" s="67">
        <v>0</v>
      </c>
      <c r="E207" s="67">
        <v>0</v>
      </c>
      <c r="F207" s="67">
        <v>0</v>
      </c>
      <c r="G207" s="67">
        <v>0</v>
      </c>
      <c r="H207" s="67">
        <v>0</v>
      </c>
      <c r="I207" s="67">
        <v>0</v>
      </c>
      <c r="J207" s="66">
        <v>0</v>
      </c>
    </row>
    <row r="208" spans="2:10">
      <c r="B208" s="156"/>
      <c r="C208" s="66"/>
      <c r="D208" s="66"/>
      <c r="E208" s="66"/>
      <c r="F208" s="66"/>
      <c r="G208" s="66"/>
      <c r="H208" s="66"/>
      <c r="I208" s="66"/>
      <c r="J208" s="66"/>
    </row>
    <row r="209" spans="2:10" ht="26">
      <c r="B209" s="148" t="s">
        <v>343</v>
      </c>
      <c r="C209" s="66"/>
      <c r="D209" s="66"/>
      <c r="E209" s="66"/>
      <c r="F209" s="66"/>
      <c r="G209" s="66"/>
      <c r="H209" s="66"/>
      <c r="I209" s="66"/>
      <c r="J209" s="66"/>
    </row>
    <row r="210" spans="2:10">
      <c r="B210" s="54" t="s">
        <v>342</v>
      </c>
      <c r="C210" s="55">
        <v>105</v>
      </c>
      <c r="D210" s="67">
        <v>151.99799999999999</v>
      </c>
      <c r="E210" s="67">
        <v>1354.999</v>
      </c>
      <c r="F210" s="67">
        <v>2248.8589999999999</v>
      </c>
      <c r="G210" s="67">
        <v>1912.4829999999999</v>
      </c>
      <c r="H210" s="67">
        <v>1089.1369999999999</v>
      </c>
      <c r="I210" s="67">
        <v>191</v>
      </c>
      <c r="J210" s="67">
        <v>114.733</v>
      </c>
    </row>
    <row r="211" spans="2:10">
      <c r="B211" s="147" t="s">
        <v>341</v>
      </c>
      <c r="C211" s="55">
        <v>105</v>
      </c>
      <c r="D211" s="67">
        <v>151.99799999999999</v>
      </c>
      <c r="E211" s="67">
        <v>1354.999</v>
      </c>
      <c r="F211" s="67">
        <v>2248.8589999999999</v>
      </c>
      <c r="G211" s="67">
        <v>1912.4829999999999</v>
      </c>
      <c r="H211" s="67">
        <v>1089.1369999999999</v>
      </c>
      <c r="I211" s="67">
        <v>191</v>
      </c>
      <c r="J211" s="67">
        <v>114.733</v>
      </c>
    </row>
    <row r="212" spans="2:10">
      <c r="B212" s="147" t="s">
        <v>340</v>
      </c>
      <c r="C212" s="66">
        <v>0</v>
      </c>
      <c r="D212" s="67">
        <v>0</v>
      </c>
      <c r="E212" s="67">
        <v>0</v>
      </c>
      <c r="F212" s="67">
        <v>0</v>
      </c>
      <c r="G212" s="67">
        <v>0</v>
      </c>
      <c r="H212" s="67">
        <v>0</v>
      </c>
      <c r="I212" s="67">
        <v>0</v>
      </c>
      <c r="J212" s="67">
        <v>0</v>
      </c>
    </row>
    <row r="213" spans="2:10">
      <c r="B213" s="54" t="s">
        <v>339</v>
      </c>
      <c r="C213" s="55">
        <v>1948</v>
      </c>
      <c r="D213" s="67">
        <v>3415</v>
      </c>
      <c r="E213" s="67">
        <v>7694</v>
      </c>
      <c r="F213" s="67">
        <v>9778</v>
      </c>
      <c r="G213" s="67">
        <v>8582.48</v>
      </c>
      <c r="H213" s="67">
        <v>5841.2290000000003</v>
      </c>
      <c r="I213" s="67">
        <v>1484</v>
      </c>
      <c r="J213" s="67">
        <v>764.28300000000002</v>
      </c>
    </row>
    <row r="214" spans="2:10">
      <c r="B214" s="54" t="s">
        <v>338</v>
      </c>
      <c r="C214" s="66">
        <v>0</v>
      </c>
      <c r="D214" s="66">
        <v>0</v>
      </c>
      <c r="E214" s="66">
        <v>0</v>
      </c>
      <c r="F214" s="66">
        <v>0</v>
      </c>
      <c r="G214" s="66">
        <v>0</v>
      </c>
      <c r="H214" s="66">
        <v>0</v>
      </c>
      <c r="I214" s="66">
        <v>0</v>
      </c>
      <c r="J214" s="66">
        <v>0</v>
      </c>
    </row>
    <row r="215" spans="2:10" ht="26">
      <c r="B215" s="147" t="s">
        <v>337</v>
      </c>
      <c r="C215" s="66">
        <v>0</v>
      </c>
      <c r="D215" s="66">
        <v>0</v>
      </c>
      <c r="E215" s="66">
        <v>0</v>
      </c>
      <c r="F215" s="66">
        <v>0</v>
      </c>
      <c r="G215" s="66">
        <v>0</v>
      </c>
      <c r="H215" s="66">
        <v>0</v>
      </c>
      <c r="I215" s="66">
        <v>0</v>
      </c>
      <c r="J215" s="66">
        <v>0</v>
      </c>
    </row>
    <row r="216" spans="2:10">
      <c r="B216" s="147" t="s">
        <v>336</v>
      </c>
      <c r="C216" s="66">
        <v>0</v>
      </c>
      <c r="D216" s="66">
        <v>0</v>
      </c>
      <c r="E216" s="66">
        <v>0</v>
      </c>
      <c r="F216" s="66">
        <v>0</v>
      </c>
      <c r="G216" s="66">
        <v>0</v>
      </c>
      <c r="H216" s="66">
        <v>0</v>
      </c>
      <c r="I216" s="66">
        <v>0</v>
      </c>
      <c r="J216" s="66">
        <v>0</v>
      </c>
    </row>
    <row r="217" spans="2:10" ht="26.5" thickBot="1">
      <c r="B217" s="155" t="s">
        <v>335</v>
      </c>
      <c r="C217" s="66">
        <v>0</v>
      </c>
      <c r="D217" s="66">
        <v>0</v>
      </c>
      <c r="E217" s="66">
        <v>0</v>
      </c>
      <c r="F217" s="66">
        <v>0</v>
      </c>
      <c r="G217" s="66">
        <v>0</v>
      </c>
      <c r="H217" s="66">
        <v>0</v>
      </c>
      <c r="I217" s="66">
        <v>0</v>
      </c>
      <c r="J217" s="66">
        <v>0</v>
      </c>
    </row>
    <row r="218" spans="2:10" ht="15" thickTop="1">
      <c r="B218" s="2026" t="s">
        <v>334</v>
      </c>
      <c r="C218" s="2026"/>
      <c r="D218" s="2026"/>
      <c r="E218" s="2026"/>
      <c r="F218" s="2026"/>
      <c r="G218" s="2026"/>
      <c r="H218" s="2026"/>
      <c r="I218" s="2026"/>
      <c r="J218" s="2026"/>
    </row>
    <row r="219" spans="2:10">
      <c r="B219" s="64"/>
      <c r="C219" s="1"/>
      <c r="D219" s="1"/>
      <c r="E219" s="1"/>
      <c r="F219" s="1"/>
      <c r="G219" s="1"/>
      <c r="H219" s="1"/>
      <c r="I219" s="1"/>
      <c r="J219" s="1"/>
    </row>
    <row r="220" spans="2:10">
      <c r="B220" s="14" t="s">
        <v>364</v>
      </c>
      <c r="C220" s="14"/>
      <c r="D220" s="14"/>
      <c r="E220" s="14"/>
      <c r="F220" s="14"/>
      <c r="G220" s="14"/>
      <c r="H220" s="14"/>
      <c r="I220" s="14"/>
      <c r="J220" s="14"/>
    </row>
    <row r="221" spans="2:10">
      <c r="B221" s="12" t="s">
        <v>363</v>
      </c>
      <c r="C221" s="1"/>
      <c r="D221" s="1"/>
      <c r="E221" s="1"/>
      <c r="F221" s="1"/>
      <c r="G221" s="1"/>
      <c r="H221" s="1"/>
      <c r="I221" s="1"/>
      <c r="J221" s="1"/>
    </row>
    <row r="222" spans="2:10">
      <c r="B222" s="62" t="s">
        <v>311</v>
      </c>
      <c r="C222" s="1"/>
      <c r="D222" s="1"/>
      <c r="E222" s="1"/>
      <c r="F222" s="1"/>
      <c r="G222" s="1"/>
      <c r="H222" s="1"/>
      <c r="I222" s="1"/>
      <c r="J222" s="1"/>
    </row>
    <row r="223" spans="2:10">
      <c r="B223" s="64"/>
      <c r="C223" s="1"/>
      <c r="D223" s="1"/>
      <c r="E223" s="1"/>
      <c r="F223" s="1"/>
      <c r="G223" s="1"/>
      <c r="H223" s="1"/>
      <c r="I223" s="1"/>
      <c r="J223" s="1"/>
    </row>
    <row r="224" spans="2:10">
      <c r="B224" s="61"/>
      <c r="C224" s="60">
        <v>2014</v>
      </c>
      <c r="D224" s="60">
        <v>2015</v>
      </c>
      <c r="E224" s="60">
        <v>2016</v>
      </c>
      <c r="F224" s="60">
        <v>2017</v>
      </c>
      <c r="G224" s="60">
        <v>2018</v>
      </c>
      <c r="H224" s="60">
        <v>2019</v>
      </c>
      <c r="I224" s="60">
        <v>2020</v>
      </c>
      <c r="J224" s="60">
        <v>2021</v>
      </c>
    </row>
    <row r="225" spans="2:10">
      <c r="B225" s="154" t="s">
        <v>362</v>
      </c>
      <c r="C225" s="1"/>
      <c r="D225" s="1"/>
      <c r="E225" s="1"/>
      <c r="F225" s="1"/>
      <c r="G225" s="1"/>
      <c r="H225" s="1"/>
      <c r="I225" s="1"/>
      <c r="J225" s="153"/>
    </row>
    <row r="226" spans="2:10">
      <c r="B226" s="54" t="s">
        <v>361</v>
      </c>
      <c r="C226" s="55">
        <v>956805.91268117633</v>
      </c>
      <c r="D226" s="55">
        <v>811544.07601136481</v>
      </c>
      <c r="E226" s="55">
        <v>971160.46138915606</v>
      </c>
      <c r="F226" s="55">
        <v>1090068.3212699457</v>
      </c>
      <c r="G226" s="55">
        <v>787293.05363370059</v>
      </c>
      <c r="H226" s="55">
        <v>789703.39906009368</v>
      </c>
      <c r="I226" s="55">
        <v>827608.97614911199</v>
      </c>
      <c r="J226" s="55">
        <v>1272658.0160252366</v>
      </c>
    </row>
    <row r="227" spans="2:10">
      <c r="B227" s="151" t="s">
        <v>360</v>
      </c>
      <c r="C227" s="55">
        <v>0</v>
      </c>
      <c r="D227" s="55">
        <v>0</v>
      </c>
      <c r="E227" s="55">
        <v>0</v>
      </c>
      <c r="F227" s="55">
        <v>0</v>
      </c>
      <c r="G227" s="55">
        <v>0</v>
      </c>
      <c r="H227" s="55">
        <v>0</v>
      </c>
      <c r="I227" s="55">
        <v>0</v>
      </c>
      <c r="J227" s="55"/>
    </row>
    <row r="228" spans="2:10">
      <c r="B228" s="151" t="s">
        <v>359</v>
      </c>
      <c r="C228" s="55">
        <v>956805.91268117633</v>
      </c>
      <c r="D228" s="55">
        <v>811544.07601136481</v>
      </c>
      <c r="E228" s="55">
        <v>971160.46138915606</v>
      </c>
      <c r="F228" s="55">
        <v>1090068.3212699457</v>
      </c>
      <c r="G228" s="55">
        <v>787293.05363370059</v>
      </c>
      <c r="H228" s="55">
        <v>789703.39906009368</v>
      </c>
      <c r="I228" s="55">
        <v>827608.97614911199</v>
      </c>
      <c r="J228" s="55">
        <v>1272658.0160252366</v>
      </c>
    </row>
    <row r="229" spans="2:10">
      <c r="B229" s="152" t="s">
        <v>358</v>
      </c>
      <c r="C229" s="55">
        <v>7401.2532351412565</v>
      </c>
      <c r="D229" s="55">
        <v>6840.3982532518257</v>
      </c>
      <c r="E229" s="55">
        <v>8495.1282813529178</v>
      </c>
      <c r="F229" s="55">
        <v>11131.363709295203</v>
      </c>
      <c r="G229" s="55">
        <v>8647.0784494872805</v>
      </c>
      <c r="H229" s="55">
        <v>8958.0194842198853</v>
      </c>
      <c r="I229" s="55">
        <v>9065.5759505713086</v>
      </c>
      <c r="J229" s="55">
        <v>12972.177739221872</v>
      </c>
    </row>
    <row r="230" spans="2:10">
      <c r="B230" s="90" t="s">
        <v>357</v>
      </c>
      <c r="C230" s="55">
        <v>60292.008303428076</v>
      </c>
      <c r="D230" s="55">
        <v>55298.140822834292</v>
      </c>
      <c r="E230" s="55">
        <v>67582.483394506067</v>
      </c>
      <c r="F230" s="55">
        <v>76389.976723745771</v>
      </c>
      <c r="G230" s="55">
        <v>52969.235256143227</v>
      </c>
      <c r="H230" s="55">
        <v>51879.054562150428</v>
      </c>
      <c r="I230" s="55">
        <v>51646.462157723203</v>
      </c>
      <c r="J230" s="55">
        <v>79767.859043112519</v>
      </c>
    </row>
    <row r="231" spans="2:10">
      <c r="B231" s="151" t="s">
        <v>356</v>
      </c>
      <c r="C231" s="55">
        <v>20112.847047480027</v>
      </c>
      <c r="D231" s="55">
        <v>17887.948282068432</v>
      </c>
      <c r="E231" s="55">
        <v>20605.927406955117</v>
      </c>
      <c r="F231" s="55">
        <v>24250.182592017765</v>
      </c>
      <c r="G231" s="55">
        <v>17358.221409539703</v>
      </c>
      <c r="H231" s="55">
        <v>17860.368315662909</v>
      </c>
      <c r="I231" s="55">
        <v>22551.834263237699</v>
      </c>
      <c r="J231" s="55">
        <v>37652.812807570983</v>
      </c>
    </row>
    <row r="232" spans="2:10" ht="26">
      <c r="B232" s="151" t="s">
        <v>355</v>
      </c>
      <c r="C232" s="55">
        <v>0</v>
      </c>
      <c r="D232" s="55">
        <v>0</v>
      </c>
      <c r="E232" s="55">
        <v>0</v>
      </c>
      <c r="F232" s="55">
        <v>0</v>
      </c>
      <c r="G232" s="55">
        <v>0</v>
      </c>
      <c r="H232" s="55">
        <v>0</v>
      </c>
      <c r="I232" s="55">
        <v>0</v>
      </c>
      <c r="J232" s="55">
        <v>0</v>
      </c>
    </row>
    <row r="233" spans="2:10">
      <c r="B233" s="151" t="s">
        <v>354</v>
      </c>
      <c r="C233" s="55">
        <v>40179.161255948049</v>
      </c>
      <c r="D233" s="55">
        <v>37410.192540765856</v>
      </c>
      <c r="E233" s="55">
        <v>45954.885185969142</v>
      </c>
      <c r="F233" s="55">
        <v>50457.236036973773</v>
      </c>
      <c r="G233" s="55">
        <v>33937.196807936882</v>
      </c>
      <c r="H233" s="55">
        <v>33782.791009795139</v>
      </c>
      <c r="I233" s="55">
        <v>29094.6278944855</v>
      </c>
      <c r="J233" s="55">
        <v>42115.046235541537</v>
      </c>
    </row>
    <row r="234" spans="2:10">
      <c r="B234" s="71" t="s">
        <v>338</v>
      </c>
      <c r="C234" s="55">
        <v>0</v>
      </c>
      <c r="D234" s="55">
        <v>0</v>
      </c>
      <c r="E234" s="55">
        <v>89.678234021652742</v>
      </c>
      <c r="F234" s="55">
        <v>635.13991254285656</v>
      </c>
      <c r="G234" s="55">
        <v>720.27763334022677</v>
      </c>
      <c r="H234" s="55">
        <v>1858.8515591960263</v>
      </c>
      <c r="I234" s="55">
        <v>4902.0756101412053</v>
      </c>
      <c r="J234" s="55">
        <v>11785.707392218719</v>
      </c>
    </row>
    <row r="235" spans="2:10">
      <c r="B235" s="71" t="s">
        <v>353</v>
      </c>
      <c r="C235" s="55">
        <v>237892.76821232866</v>
      </c>
      <c r="D235" s="55">
        <v>181152.09247474739</v>
      </c>
      <c r="E235" s="55">
        <v>181114.37867024075</v>
      </c>
      <c r="F235" s="55">
        <v>187462.16667394401</v>
      </c>
      <c r="G235" s="55">
        <v>116176.89614472377</v>
      </c>
      <c r="H235" s="55">
        <v>97146.780616078133</v>
      </c>
      <c r="I235" s="55">
        <v>51782.827751366771</v>
      </c>
      <c r="J235" s="55">
        <v>68205.367781282868</v>
      </c>
    </row>
    <row r="236" spans="2:10">
      <c r="B236" s="150" t="s">
        <v>352</v>
      </c>
      <c r="C236" s="55">
        <v>237892.76821232866</v>
      </c>
      <c r="D236" s="55">
        <v>181152.09247474739</v>
      </c>
      <c r="E236" s="55">
        <v>181114.37867024075</v>
      </c>
      <c r="F236" s="55">
        <v>187462.16667394401</v>
      </c>
      <c r="G236" s="55">
        <v>116176.89614472377</v>
      </c>
      <c r="H236" s="55">
        <v>97146.780616078133</v>
      </c>
      <c r="I236" s="55">
        <v>51782.827751366771</v>
      </c>
      <c r="J236" s="55">
        <v>68205.367781282868</v>
      </c>
    </row>
    <row r="237" spans="2:10">
      <c r="B237" s="150" t="s">
        <v>351</v>
      </c>
      <c r="C237" s="66">
        <v>0</v>
      </c>
      <c r="D237" s="66">
        <v>0</v>
      </c>
      <c r="E237" s="66">
        <v>0</v>
      </c>
      <c r="F237" s="66">
        <v>0</v>
      </c>
      <c r="G237" s="66">
        <v>0</v>
      </c>
      <c r="H237" s="66">
        <v>0</v>
      </c>
      <c r="I237" s="66">
        <v>0</v>
      </c>
      <c r="J237" s="66">
        <v>0</v>
      </c>
    </row>
    <row r="238" spans="2:10">
      <c r="B238" s="54" t="s">
        <v>350</v>
      </c>
      <c r="C238" s="67">
        <v>0</v>
      </c>
      <c r="D238" s="67">
        <v>0</v>
      </c>
      <c r="E238" s="67">
        <v>0</v>
      </c>
      <c r="F238" s="55">
        <v>1.8948272911761883</v>
      </c>
      <c r="G238" s="55">
        <v>1.3054905491651303</v>
      </c>
      <c r="H238" s="55">
        <v>1633.9277613538693</v>
      </c>
      <c r="I238" s="55">
        <v>20855.627482288688</v>
      </c>
      <c r="J238" s="55">
        <v>52239.645457413251</v>
      </c>
    </row>
    <row r="239" spans="2:10">
      <c r="B239" s="54"/>
      <c r="C239" s="66"/>
      <c r="D239" s="55"/>
      <c r="E239" s="55"/>
      <c r="F239" s="55"/>
      <c r="G239" s="55"/>
      <c r="H239" s="55"/>
      <c r="I239" s="55"/>
      <c r="J239" s="55"/>
    </row>
    <row r="240" spans="2:10">
      <c r="B240" s="149" t="s">
        <v>349</v>
      </c>
      <c r="C240" s="66">
        <f t="shared" ref="C240:I240" si="1">C226+C229+C230+IF(ISNUMBER(C234),C234,0)+C235+IF(ISNUMBER(C238),C238,0)</f>
        <v>1262391.9424320743</v>
      </c>
      <c r="D240" s="66">
        <f t="shared" si="1"/>
        <v>1054834.7075621984</v>
      </c>
      <c r="E240" s="66">
        <f t="shared" si="1"/>
        <v>1228442.1299692774</v>
      </c>
      <c r="F240" s="66">
        <f t="shared" si="1"/>
        <v>1365688.8631167647</v>
      </c>
      <c r="G240" s="66">
        <f t="shared" si="1"/>
        <v>965807.84660794435</v>
      </c>
      <c r="H240" s="66">
        <f t="shared" si="1"/>
        <v>951180.033043092</v>
      </c>
      <c r="I240" s="66">
        <f t="shared" si="1"/>
        <v>965861.54510120314</v>
      </c>
      <c r="J240" s="55">
        <v>1497628.7734279705</v>
      </c>
    </row>
    <row r="241" spans="2:10">
      <c r="B241" s="147" t="s">
        <v>348</v>
      </c>
      <c r="C241" s="66">
        <v>0</v>
      </c>
      <c r="D241" s="66">
        <v>0</v>
      </c>
      <c r="E241" s="66">
        <v>0</v>
      </c>
      <c r="F241" s="66">
        <v>0</v>
      </c>
      <c r="G241" s="66">
        <v>0</v>
      </c>
      <c r="H241" s="66">
        <v>0</v>
      </c>
      <c r="I241" s="66">
        <v>0</v>
      </c>
      <c r="J241" s="66">
        <v>0</v>
      </c>
    </row>
    <row r="242" spans="2:10">
      <c r="B242" s="147"/>
      <c r="C242" s="66"/>
      <c r="D242" s="66"/>
      <c r="E242" s="66"/>
      <c r="F242" s="66"/>
      <c r="G242" s="66"/>
      <c r="H242" s="66"/>
      <c r="I242" s="66"/>
      <c r="J242" s="66"/>
    </row>
    <row r="243" spans="2:10">
      <c r="B243" s="54" t="s">
        <v>347</v>
      </c>
      <c r="C243" s="66">
        <v>0</v>
      </c>
      <c r="D243" s="66">
        <v>0</v>
      </c>
      <c r="E243" s="66">
        <v>0</v>
      </c>
      <c r="F243" s="66">
        <v>0</v>
      </c>
      <c r="G243" s="66">
        <v>0</v>
      </c>
      <c r="H243" s="66">
        <v>0</v>
      </c>
      <c r="I243" s="66">
        <v>0</v>
      </c>
      <c r="J243" s="66">
        <v>0</v>
      </c>
    </row>
    <row r="244" spans="2:10">
      <c r="B244" s="54"/>
      <c r="C244" s="54"/>
      <c r="D244" s="54"/>
      <c r="E244" s="54"/>
      <c r="F244" s="54"/>
      <c r="G244" s="54"/>
      <c r="H244" s="54"/>
      <c r="I244" s="54"/>
      <c r="J244" s="54"/>
    </row>
    <row r="245" spans="2:10">
      <c r="B245" s="114" t="s">
        <v>346</v>
      </c>
      <c r="C245" s="66"/>
      <c r="D245" s="66"/>
      <c r="E245" s="66"/>
      <c r="F245" s="66"/>
      <c r="G245" s="66"/>
      <c r="H245" s="66"/>
      <c r="I245" s="66"/>
      <c r="J245" s="66"/>
    </row>
    <row r="246" spans="2:10">
      <c r="B246" s="54" t="s">
        <v>342</v>
      </c>
      <c r="C246" s="55">
        <v>110574.8969097353</v>
      </c>
      <c r="D246" s="55">
        <v>90667.757102948875</v>
      </c>
      <c r="E246" s="55">
        <v>94414.361473378274</v>
      </c>
      <c r="F246" s="55">
        <v>100740.78507246524</v>
      </c>
      <c r="G246" s="55">
        <v>60909.975223354944</v>
      </c>
      <c r="H246" s="55">
        <v>52884.602699924872</v>
      </c>
      <c r="I246" s="55">
        <v>67097.581677125869</v>
      </c>
      <c r="J246" s="55">
        <v>84449.959358569933</v>
      </c>
    </row>
    <row r="247" spans="2:10">
      <c r="B247" s="147" t="s">
        <v>341</v>
      </c>
      <c r="C247" s="55">
        <v>104239.12094598208</v>
      </c>
      <c r="D247" s="55">
        <v>85857.145458335261</v>
      </c>
      <c r="E247" s="55">
        <v>90131.26389170358</v>
      </c>
      <c r="F247" s="55">
        <v>96786.636156253619</v>
      </c>
      <c r="G247" s="55">
        <v>58064.122945394556</v>
      </c>
      <c r="H247" s="55">
        <v>49667.275520227064</v>
      </c>
      <c r="I247" s="55">
        <v>58776.569079075001</v>
      </c>
      <c r="J247" s="55">
        <v>74643.905383806516</v>
      </c>
    </row>
    <row r="248" spans="2:10">
      <c r="B248" s="147" t="s">
        <v>340</v>
      </c>
      <c r="C248" s="55">
        <v>6335.7759637532081</v>
      </c>
      <c r="D248" s="55">
        <v>4810.6116446136093</v>
      </c>
      <c r="E248" s="55">
        <v>4247.7288175833746</v>
      </c>
      <c r="F248" s="55">
        <v>3954.148916211609</v>
      </c>
      <c r="G248" s="55">
        <v>2845.8522779603945</v>
      </c>
      <c r="H248" s="55">
        <v>3217.3271797145003</v>
      </c>
      <c r="I248" s="55">
        <v>8321.0125980508674</v>
      </c>
      <c r="J248" s="55">
        <v>9806.0539642481599</v>
      </c>
    </row>
    <row r="249" spans="2:10">
      <c r="B249" s="54" t="s">
        <v>339</v>
      </c>
      <c r="C249" s="55">
        <v>49634.271272888982</v>
      </c>
      <c r="D249" s="55">
        <v>45315.619686180697</v>
      </c>
      <c r="E249" s="55">
        <v>53348.663987783126</v>
      </c>
      <c r="F249" s="55">
        <v>60913.636820332693</v>
      </c>
      <c r="G249" s="55">
        <v>42858.928160526979</v>
      </c>
      <c r="H249" s="55">
        <v>39137.264340729605</v>
      </c>
      <c r="I249" s="55">
        <v>40483.522426094358</v>
      </c>
      <c r="J249" s="55">
        <v>60134.370462670879</v>
      </c>
    </row>
    <row r="250" spans="2:10">
      <c r="B250" s="54" t="s">
        <v>338</v>
      </c>
      <c r="C250" s="66">
        <v>0</v>
      </c>
      <c r="D250" s="66">
        <v>0</v>
      </c>
      <c r="E250" s="66">
        <v>0</v>
      </c>
      <c r="F250" s="66">
        <v>0</v>
      </c>
      <c r="G250" s="66">
        <v>0</v>
      </c>
      <c r="H250" s="66">
        <v>0</v>
      </c>
      <c r="I250" s="66">
        <v>0</v>
      </c>
      <c r="J250" s="66">
        <v>0</v>
      </c>
    </row>
    <row r="251" spans="2:10" ht="26">
      <c r="B251" s="147" t="s">
        <v>337</v>
      </c>
      <c r="C251" s="66">
        <v>0</v>
      </c>
      <c r="D251" s="66">
        <v>0</v>
      </c>
      <c r="E251" s="66">
        <v>0</v>
      </c>
      <c r="F251" s="66">
        <v>0</v>
      </c>
      <c r="G251" s="66">
        <v>0</v>
      </c>
      <c r="H251" s="66">
        <v>0</v>
      </c>
      <c r="I251" s="66">
        <v>0</v>
      </c>
      <c r="J251" s="66">
        <v>0</v>
      </c>
    </row>
    <row r="252" spans="2:10">
      <c r="B252" s="147" t="s">
        <v>336</v>
      </c>
      <c r="C252" s="66">
        <v>0</v>
      </c>
      <c r="D252" s="66">
        <v>0</v>
      </c>
      <c r="E252" s="66">
        <v>0</v>
      </c>
      <c r="F252" s="66">
        <v>0</v>
      </c>
      <c r="G252" s="66">
        <v>0</v>
      </c>
      <c r="H252" s="66">
        <v>0</v>
      </c>
      <c r="I252" s="66">
        <v>0</v>
      </c>
      <c r="J252" s="66">
        <v>0</v>
      </c>
    </row>
    <row r="253" spans="2:10" ht="26">
      <c r="B253" s="147" t="s">
        <v>335</v>
      </c>
      <c r="C253" s="66">
        <v>0</v>
      </c>
      <c r="D253" s="66">
        <v>0</v>
      </c>
      <c r="E253" s="66">
        <v>0</v>
      </c>
      <c r="F253" s="66">
        <v>0</v>
      </c>
      <c r="G253" s="66">
        <v>0</v>
      </c>
      <c r="H253" s="66">
        <v>0</v>
      </c>
      <c r="I253" s="66">
        <v>0</v>
      </c>
      <c r="J253" s="66">
        <v>0</v>
      </c>
    </row>
    <row r="254" spans="2:10">
      <c r="B254" s="147"/>
      <c r="C254" s="66"/>
      <c r="D254" s="66"/>
      <c r="E254" s="66"/>
      <c r="F254" s="66"/>
      <c r="G254" s="66"/>
      <c r="H254" s="66"/>
      <c r="I254" s="66"/>
      <c r="J254" s="66"/>
    </row>
    <row r="255" spans="2:10" ht="26">
      <c r="B255" s="148" t="s">
        <v>345</v>
      </c>
      <c r="C255" s="66"/>
      <c r="D255" s="66"/>
      <c r="E255" s="66"/>
      <c r="F255" s="66"/>
      <c r="G255" s="66"/>
      <c r="H255" s="66"/>
      <c r="I255" s="66"/>
      <c r="J255" s="66"/>
    </row>
    <row r="256" spans="2:10">
      <c r="B256" s="54" t="s">
        <v>342</v>
      </c>
      <c r="C256" s="55">
        <v>110285.2912591833</v>
      </c>
      <c r="D256" s="55">
        <v>90506.611627389473</v>
      </c>
      <c r="E256" s="55">
        <v>93969.663908057948</v>
      </c>
      <c r="F256" s="55">
        <v>100251.54115385689</v>
      </c>
      <c r="G256" s="55">
        <v>60569.471995600681</v>
      </c>
      <c r="H256" s="55">
        <v>52639.572705634862</v>
      </c>
      <c r="I256" s="55">
        <v>67012.740670311381</v>
      </c>
      <c r="J256" s="55">
        <v>84317.389400630913</v>
      </c>
    </row>
    <row r="257" spans="2:10">
      <c r="B257" s="147" t="s">
        <v>341</v>
      </c>
      <c r="C257" s="55">
        <v>103949.5152954301</v>
      </c>
      <c r="D257" s="55">
        <v>85695.999982775858</v>
      </c>
      <c r="E257" s="55">
        <v>89721.935090474581</v>
      </c>
      <c r="F257" s="55">
        <v>96297.392237645283</v>
      </c>
      <c r="G257" s="55">
        <v>57723.619717640286</v>
      </c>
      <c r="H257" s="55">
        <v>49422.245525920356</v>
      </c>
      <c r="I257" s="55">
        <v>58691.728072260521</v>
      </c>
      <c r="J257" s="55">
        <v>74511.335436382753</v>
      </c>
    </row>
    <row r="258" spans="2:10">
      <c r="B258" s="147" t="s">
        <v>340</v>
      </c>
      <c r="C258" s="55">
        <v>6335.7759637532081</v>
      </c>
      <c r="D258" s="55">
        <v>4810.6116446136093</v>
      </c>
      <c r="E258" s="55">
        <v>4247.7288175833746</v>
      </c>
      <c r="F258" s="55">
        <v>3954.148916211609</v>
      </c>
      <c r="G258" s="55">
        <v>2845.8522779603945</v>
      </c>
      <c r="H258" s="55">
        <v>3217.3271797145003</v>
      </c>
      <c r="I258" s="55">
        <v>8321.0125980508674</v>
      </c>
      <c r="J258" s="55">
        <v>9806.0539642481599</v>
      </c>
    </row>
    <row r="259" spans="2:10">
      <c r="B259" s="54" t="s">
        <v>339</v>
      </c>
      <c r="C259" s="55">
        <v>49469.993346034542</v>
      </c>
      <c r="D259" s="55">
        <v>45081.87972847213</v>
      </c>
      <c r="E259" s="55">
        <v>53010.104896099736</v>
      </c>
      <c r="F259" s="55">
        <v>60481.840839398057</v>
      </c>
      <c r="G259" s="55">
        <v>42518.009136687971</v>
      </c>
      <c r="H259" s="55">
        <v>38959.541491944234</v>
      </c>
      <c r="I259" s="55">
        <v>40433.384834799144</v>
      </c>
      <c r="J259" s="55">
        <v>60109.373091482652</v>
      </c>
    </row>
    <row r="260" spans="2:10">
      <c r="B260" s="54" t="s">
        <v>338</v>
      </c>
      <c r="C260" s="66">
        <v>0</v>
      </c>
      <c r="D260" s="66">
        <v>0</v>
      </c>
      <c r="E260" s="66">
        <v>0</v>
      </c>
      <c r="F260" s="66">
        <v>0</v>
      </c>
      <c r="G260" s="66">
        <v>0</v>
      </c>
      <c r="H260" s="66">
        <v>0</v>
      </c>
      <c r="I260" s="55">
        <v>0</v>
      </c>
      <c r="J260" s="66">
        <v>0</v>
      </c>
    </row>
    <row r="261" spans="2:10" ht="26">
      <c r="B261" s="147" t="s">
        <v>337</v>
      </c>
      <c r="C261" s="66">
        <v>0</v>
      </c>
      <c r="D261" s="66">
        <v>0</v>
      </c>
      <c r="E261" s="66">
        <v>0</v>
      </c>
      <c r="F261" s="66">
        <v>0</v>
      </c>
      <c r="G261" s="66">
        <v>0</v>
      </c>
      <c r="H261" s="66">
        <v>0</v>
      </c>
      <c r="I261" s="55">
        <v>0</v>
      </c>
      <c r="J261" s="66">
        <v>0</v>
      </c>
    </row>
    <row r="262" spans="2:10">
      <c r="B262" s="147" t="s">
        <v>336</v>
      </c>
      <c r="C262" s="66">
        <v>0</v>
      </c>
      <c r="D262" s="66">
        <v>0</v>
      </c>
      <c r="E262" s="66">
        <v>0</v>
      </c>
      <c r="F262" s="66">
        <v>0</v>
      </c>
      <c r="G262" s="66">
        <v>0</v>
      </c>
      <c r="H262" s="66">
        <v>0</v>
      </c>
      <c r="I262" s="55">
        <v>0</v>
      </c>
      <c r="J262" s="66">
        <v>0</v>
      </c>
    </row>
    <row r="263" spans="2:10" ht="26">
      <c r="B263" s="147" t="s">
        <v>335</v>
      </c>
      <c r="C263" s="66">
        <v>0</v>
      </c>
      <c r="D263" s="66">
        <v>0</v>
      </c>
      <c r="E263" s="66">
        <v>0</v>
      </c>
      <c r="F263" s="66">
        <v>0</v>
      </c>
      <c r="G263" s="66">
        <v>0</v>
      </c>
      <c r="H263" s="66">
        <v>0</v>
      </c>
      <c r="I263" s="55">
        <v>0</v>
      </c>
      <c r="J263" s="66">
        <v>0</v>
      </c>
    </row>
    <row r="264" spans="2:10">
      <c r="B264" s="147"/>
      <c r="C264" s="66"/>
      <c r="D264" s="66"/>
      <c r="E264" s="66"/>
      <c r="F264" s="66"/>
      <c r="G264" s="66"/>
      <c r="H264" s="66"/>
      <c r="I264" s="66"/>
      <c r="J264" s="66"/>
    </row>
    <row r="265" spans="2:10" ht="39">
      <c r="B265" s="148" t="s">
        <v>344</v>
      </c>
      <c r="C265" s="66"/>
      <c r="D265" s="66"/>
      <c r="E265" s="66"/>
      <c r="F265" s="66"/>
      <c r="G265" s="66"/>
      <c r="H265" s="66"/>
      <c r="I265" s="66"/>
      <c r="J265" s="66"/>
    </row>
    <row r="266" spans="2:10">
      <c r="B266" s="54" t="s">
        <v>342</v>
      </c>
      <c r="C266" s="55">
        <v>284.15472984270014</v>
      </c>
      <c r="D266" s="55">
        <v>156.47436447520184</v>
      </c>
      <c r="E266" s="55">
        <v>344.27711511526672</v>
      </c>
      <c r="F266" s="55">
        <v>355.19913764634441</v>
      </c>
      <c r="G266" s="55">
        <v>220.70476152326339</v>
      </c>
      <c r="H266" s="55">
        <v>188.08358522414221</v>
      </c>
      <c r="I266" s="55">
        <v>65.806988352745421</v>
      </c>
      <c r="J266" s="55">
        <v>76.411093585699263</v>
      </c>
    </row>
    <row r="267" spans="2:10">
      <c r="B267" s="147" t="s">
        <v>341</v>
      </c>
      <c r="C267" s="55">
        <v>284.15472984270014</v>
      </c>
      <c r="D267" s="55">
        <v>156.47436447520184</v>
      </c>
      <c r="E267" s="55">
        <v>344.27711511526672</v>
      </c>
      <c r="F267" s="55">
        <v>355.19913764634441</v>
      </c>
      <c r="G267" s="55">
        <v>220.70476152326339</v>
      </c>
      <c r="H267" s="55">
        <v>188.08358522414221</v>
      </c>
      <c r="I267" s="55">
        <v>65.806988352745421</v>
      </c>
      <c r="J267" s="55">
        <v>76.411093585699263</v>
      </c>
    </row>
    <row r="268" spans="2:10">
      <c r="B268" s="147" t="s">
        <v>340</v>
      </c>
      <c r="C268" s="66"/>
      <c r="D268" s="55">
        <v>0</v>
      </c>
      <c r="E268" s="55">
        <v>0</v>
      </c>
      <c r="F268" s="55">
        <v>0</v>
      </c>
      <c r="G268" s="55">
        <v>0</v>
      </c>
      <c r="H268" s="55">
        <v>0</v>
      </c>
      <c r="I268" s="55">
        <v>0</v>
      </c>
      <c r="J268" s="55">
        <v>0</v>
      </c>
    </row>
    <row r="269" spans="2:10">
      <c r="B269" s="54" t="s">
        <v>339</v>
      </c>
      <c r="C269" s="66">
        <v>0</v>
      </c>
      <c r="D269" s="66">
        <v>0</v>
      </c>
      <c r="E269" s="66">
        <v>0</v>
      </c>
      <c r="F269" s="66">
        <v>0</v>
      </c>
      <c r="G269" s="66">
        <v>0</v>
      </c>
      <c r="H269" s="66">
        <v>0</v>
      </c>
      <c r="I269" s="55">
        <v>0</v>
      </c>
      <c r="J269" s="55">
        <v>0</v>
      </c>
    </row>
    <row r="270" spans="2:10">
      <c r="B270" s="54" t="s">
        <v>338</v>
      </c>
      <c r="C270" s="66">
        <v>0</v>
      </c>
      <c r="D270" s="66">
        <v>0</v>
      </c>
      <c r="E270" s="66">
        <v>0</v>
      </c>
      <c r="F270" s="66">
        <v>0</v>
      </c>
      <c r="G270" s="66">
        <v>0</v>
      </c>
      <c r="H270" s="66">
        <v>0</v>
      </c>
      <c r="I270" s="55">
        <v>0</v>
      </c>
      <c r="J270" s="66">
        <v>0</v>
      </c>
    </row>
    <row r="271" spans="2:10" ht="26">
      <c r="B271" s="147" t="s">
        <v>337</v>
      </c>
      <c r="C271" s="66">
        <v>0</v>
      </c>
      <c r="D271" s="66">
        <v>0</v>
      </c>
      <c r="E271" s="66">
        <v>0</v>
      </c>
      <c r="F271" s="66">
        <v>0</v>
      </c>
      <c r="G271" s="66">
        <v>0</v>
      </c>
      <c r="H271" s="66">
        <v>0</v>
      </c>
      <c r="I271" s="55">
        <v>0</v>
      </c>
      <c r="J271" s="66">
        <v>0</v>
      </c>
    </row>
    <row r="272" spans="2:10">
      <c r="B272" s="147" t="s">
        <v>336</v>
      </c>
      <c r="C272" s="66">
        <v>0</v>
      </c>
      <c r="D272" s="66">
        <v>0</v>
      </c>
      <c r="E272" s="66">
        <v>0</v>
      </c>
      <c r="F272" s="66">
        <v>0</v>
      </c>
      <c r="G272" s="66">
        <v>0</v>
      </c>
      <c r="H272" s="66">
        <v>0</v>
      </c>
      <c r="I272" s="55">
        <v>0</v>
      </c>
      <c r="J272" s="66">
        <v>0</v>
      </c>
    </row>
    <row r="273" spans="2:10" ht="26">
      <c r="B273" s="147" t="s">
        <v>335</v>
      </c>
      <c r="C273" s="66">
        <v>0</v>
      </c>
      <c r="D273" s="66">
        <v>0</v>
      </c>
      <c r="E273" s="66">
        <v>0</v>
      </c>
      <c r="F273" s="66">
        <v>0</v>
      </c>
      <c r="G273" s="66">
        <v>0</v>
      </c>
      <c r="H273" s="66">
        <v>0</v>
      </c>
      <c r="I273" s="55">
        <v>0</v>
      </c>
      <c r="J273" s="66">
        <v>0</v>
      </c>
    </row>
    <row r="274" spans="2:10">
      <c r="B274" s="147"/>
      <c r="C274" s="66"/>
      <c r="D274" s="66"/>
      <c r="E274" s="66"/>
      <c r="F274" s="66"/>
      <c r="G274" s="66"/>
      <c r="H274" s="66"/>
      <c r="I274" s="66"/>
      <c r="J274" s="66"/>
    </row>
    <row r="275" spans="2:10" ht="26">
      <c r="B275" s="148" t="s">
        <v>343</v>
      </c>
      <c r="C275" s="66"/>
      <c r="D275" s="66"/>
      <c r="E275" s="66"/>
      <c r="F275" s="66"/>
      <c r="G275" s="66"/>
      <c r="H275" s="66"/>
      <c r="I275" s="66"/>
      <c r="J275" s="66"/>
    </row>
    <row r="276" spans="2:10">
      <c r="B276" s="54" t="s">
        <v>342</v>
      </c>
      <c r="C276" s="55">
        <v>5.4509207092899903</v>
      </c>
      <c r="D276" s="55">
        <v>4.6711110841983849</v>
      </c>
      <c r="E276" s="55">
        <v>65.051686113739891</v>
      </c>
      <c r="F276" s="55">
        <v>134.04478096200324</v>
      </c>
      <c r="G276" s="55">
        <v>119.79846623099391</v>
      </c>
      <c r="H276" s="55">
        <v>56.946409065865261</v>
      </c>
      <c r="I276" s="55">
        <v>19.034018461711682</v>
      </c>
      <c r="J276" s="66">
        <v>0</v>
      </c>
    </row>
    <row r="277" spans="2:10">
      <c r="B277" s="147" t="s">
        <v>341</v>
      </c>
      <c r="C277" s="55">
        <v>5.4509207092899903</v>
      </c>
      <c r="D277" s="55">
        <v>4.6711110841983849</v>
      </c>
      <c r="E277" s="55">
        <v>65.051686113739891</v>
      </c>
      <c r="F277" s="55">
        <v>134.04478096200324</v>
      </c>
      <c r="G277" s="55">
        <v>119.79846623099391</v>
      </c>
      <c r="H277" s="55">
        <v>56.946409065865261</v>
      </c>
      <c r="I277" s="55">
        <v>19.034018461711682</v>
      </c>
      <c r="J277" s="66">
        <v>0</v>
      </c>
    </row>
    <row r="278" spans="2:10">
      <c r="B278" s="147" t="s">
        <v>340</v>
      </c>
      <c r="C278" s="66">
        <v>0</v>
      </c>
      <c r="D278" s="55">
        <v>0</v>
      </c>
      <c r="E278" s="55">
        <v>0</v>
      </c>
      <c r="F278" s="55">
        <v>0</v>
      </c>
      <c r="G278" s="55">
        <v>0</v>
      </c>
      <c r="H278" s="55">
        <v>0</v>
      </c>
      <c r="I278" s="55">
        <v>0</v>
      </c>
      <c r="J278" s="66">
        <v>0</v>
      </c>
    </row>
    <row r="279" spans="2:10">
      <c r="B279" s="54" t="s">
        <v>339</v>
      </c>
      <c r="C279" s="67">
        <v>164.27792685443728</v>
      </c>
      <c r="D279" s="55">
        <v>233.73995770857363</v>
      </c>
      <c r="E279" s="55">
        <v>338.5590916833857</v>
      </c>
      <c r="F279" s="55">
        <v>431.79598093464205</v>
      </c>
      <c r="G279" s="55">
        <v>340.91902383900322</v>
      </c>
      <c r="H279" s="55">
        <v>177.72284876867849</v>
      </c>
      <c r="I279" s="55">
        <v>50.137591295209731</v>
      </c>
      <c r="J279" s="66">
        <v>0</v>
      </c>
    </row>
    <row r="280" spans="2:10">
      <c r="B280" s="54" t="s">
        <v>338</v>
      </c>
      <c r="C280" s="66">
        <v>0</v>
      </c>
      <c r="D280" s="66">
        <v>0</v>
      </c>
      <c r="E280" s="66">
        <v>0</v>
      </c>
      <c r="F280" s="66">
        <v>0</v>
      </c>
      <c r="G280" s="66">
        <v>0</v>
      </c>
      <c r="H280" s="66">
        <v>0</v>
      </c>
      <c r="I280" s="55">
        <v>0</v>
      </c>
      <c r="J280" s="66">
        <v>0</v>
      </c>
    </row>
    <row r="281" spans="2:10" ht="26">
      <c r="B281" s="147" t="s">
        <v>337</v>
      </c>
      <c r="C281" s="66">
        <v>0</v>
      </c>
      <c r="D281" s="66">
        <v>0</v>
      </c>
      <c r="E281" s="66">
        <v>0</v>
      </c>
      <c r="F281" s="66">
        <v>0</v>
      </c>
      <c r="G281" s="66">
        <v>0</v>
      </c>
      <c r="H281" s="66">
        <v>0</v>
      </c>
      <c r="I281" s="55">
        <v>0</v>
      </c>
      <c r="J281" s="66">
        <v>0</v>
      </c>
    </row>
    <row r="282" spans="2:10">
      <c r="B282" s="147" t="s">
        <v>336</v>
      </c>
      <c r="C282" s="66">
        <v>0</v>
      </c>
      <c r="D282" s="66">
        <v>0</v>
      </c>
      <c r="E282" s="66">
        <v>0</v>
      </c>
      <c r="F282" s="66">
        <v>0</v>
      </c>
      <c r="G282" s="66">
        <v>0</v>
      </c>
      <c r="H282" s="66">
        <v>0</v>
      </c>
      <c r="I282" s="55">
        <v>0</v>
      </c>
      <c r="J282" s="66">
        <v>0</v>
      </c>
    </row>
    <row r="283" spans="2:10" ht="26">
      <c r="B283" s="147" t="s">
        <v>335</v>
      </c>
      <c r="C283" s="66">
        <v>0</v>
      </c>
      <c r="D283" s="66">
        <v>0</v>
      </c>
      <c r="E283" s="66">
        <v>0</v>
      </c>
      <c r="F283" s="66">
        <v>0</v>
      </c>
      <c r="G283" s="66">
        <v>0</v>
      </c>
      <c r="H283" s="66">
        <v>0</v>
      </c>
      <c r="I283" s="55">
        <v>0</v>
      </c>
      <c r="J283" s="66">
        <v>0</v>
      </c>
    </row>
    <row r="284" spans="2:10" ht="26.5" thickBot="1">
      <c r="B284" s="146" t="s">
        <v>335</v>
      </c>
      <c r="C284" s="66">
        <v>0</v>
      </c>
      <c r="D284" s="66">
        <v>0</v>
      </c>
      <c r="E284" s="66">
        <v>0</v>
      </c>
      <c r="F284" s="66">
        <v>0</v>
      </c>
      <c r="G284" s="66">
        <v>0</v>
      </c>
      <c r="H284" s="66">
        <v>0</v>
      </c>
      <c r="I284" s="66">
        <v>0</v>
      </c>
      <c r="J284" s="66">
        <v>0</v>
      </c>
    </row>
    <row r="285" spans="2:10" ht="15" thickTop="1">
      <c r="B285" s="2026" t="s">
        <v>334</v>
      </c>
      <c r="C285" s="2026"/>
      <c r="D285" s="2026"/>
      <c r="E285" s="2026"/>
      <c r="F285" s="2026"/>
      <c r="G285" s="2026"/>
      <c r="H285" s="2026"/>
      <c r="I285" s="2026"/>
      <c r="J285" s="2026"/>
    </row>
    <row r="286" spans="2:10">
      <c r="B286" s="64"/>
      <c r="C286" s="1"/>
      <c r="D286" s="1"/>
      <c r="E286" s="1"/>
      <c r="F286" s="1"/>
      <c r="G286" s="1"/>
      <c r="H286" s="1"/>
      <c r="I286" s="1"/>
      <c r="J286" s="1"/>
    </row>
    <row r="287" spans="2:10">
      <c r="B287" s="14" t="s">
        <v>333</v>
      </c>
      <c r="C287" s="14"/>
      <c r="D287" s="14"/>
      <c r="E287" s="14"/>
      <c r="F287" s="14"/>
      <c r="G287" s="14"/>
      <c r="H287" s="14"/>
      <c r="I287" s="14"/>
      <c r="J287" s="14"/>
    </row>
    <row r="288" spans="2:10">
      <c r="B288" s="12" t="s">
        <v>332</v>
      </c>
      <c r="C288" s="1"/>
      <c r="D288" s="1"/>
      <c r="E288" s="1"/>
      <c r="F288" s="1"/>
      <c r="G288" s="1"/>
      <c r="H288" s="1"/>
      <c r="I288" s="1"/>
      <c r="J288" s="1"/>
    </row>
    <row r="289" spans="2:10">
      <c r="B289" s="62" t="s">
        <v>269</v>
      </c>
      <c r="C289" s="1"/>
      <c r="D289" s="1"/>
      <c r="E289" s="1"/>
      <c r="F289" s="1"/>
      <c r="G289" s="1"/>
      <c r="H289" s="1"/>
      <c r="I289" s="1"/>
      <c r="J289" s="1"/>
    </row>
    <row r="290" spans="2:10">
      <c r="B290" s="64"/>
      <c r="C290" s="1"/>
      <c r="D290" s="1"/>
      <c r="E290" s="1"/>
      <c r="F290" s="1"/>
      <c r="G290" s="1"/>
      <c r="H290" s="1"/>
      <c r="I290" s="1"/>
      <c r="J290" s="1"/>
    </row>
    <row r="291" spans="2:10">
      <c r="B291" s="61"/>
      <c r="C291" s="60">
        <v>2014</v>
      </c>
      <c r="D291" s="60">
        <v>2015</v>
      </c>
      <c r="E291" s="60">
        <v>2016</v>
      </c>
      <c r="F291" s="60">
        <v>2017</v>
      </c>
      <c r="G291" s="60">
        <v>2018</v>
      </c>
      <c r="H291" s="60">
        <v>2019</v>
      </c>
      <c r="I291" s="60">
        <v>2020</v>
      </c>
      <c r="J291" s="60">
        <v>2021</v>
      </c>
    </row>
    <row r="292" spans="2:10">
      <c r="B292" s="114" t="s">
        <v>310</v>
      </c>
      <c r="C292" s="1"/>
      <c r="D292" s="1"/>
      <c r="E292" s="1"/>
      <c r="F292" s="1"/>
      <c r="G292" s="1"/>
      <c r="H292" s="1"/>
      <c r="I292" s="1"/>
      <c r="J292" s="1"/>
    </row>
    <row r="293" spans="2:10">
      <c r="B293" s="114"/>
      <c r="C293" s="1"/>
      <c r="D293" s="1"/>
      <c r="E293" s="1"/>
      <c r="F293" s="1"/>
      <c r="G293" s="1"/>
      <c r="H293" s="1"/>
      <c r="I293" s="1"/>
      <c r="J293" s="1"/>
    </row>
    <row r="294" spans="2:10">
      <c r="B294" s="59" t="s">
        <v>309</v>
      </c>
      <c r="C294" s="1"/>
      <c r="D294" s="1"/>
      <c r="E294" s="1"/>
      <c r="F294" s="1"/>
      <c r="G294" s="1"/>
      <c r="H294" s="1"/>
      <c r="I294" s="1"/>
      <c r="J294" s="1"/>
    </row>
    <row r="295" spans="2:10">
      <c r="B295" s="71" t="s">
        <v>331</v>
      </c>
      <c r="C295" s="3">
        <v>94</v>
      </c>
      <c r="D295" s="3">
        <v>94</v>
      </c>
      <c r="E295" s="3">
        <v>94</v>
      </c>
      <c r="F295" s="3">
        <v>94</v>
      </c>
      <c r="G295" s="3">
        <v>93</v>
      </c>
      <c r="H295" s="3">
        <v>103</v>
      </c>
      <c r="I295" s="3">
        <v>276</v>
      </c>
      <c r="J295" s="3">
        <v>265</v>
      </c>
    </row>
    <row r="296" spans="2:10">
      <c r="B296" s="133" t="s">
        <v>330</v>
      </c>
      <c r="C296" s="3">
        <v>66</v>
      </c>
      <c r="D296" s="3">
        <v>66</v>
      </c>
      <c r="E296" s="3">
        <v>64</v>
      </c>
      <c r="F296" s="3">
        <v>64</v>
      </c>
      <c r="G296" s="3">
        <v>64</v>
      </c>
      <c r="H296" s="3">
        <v>94</v>
      </c>
      <c r="I296" s="3">
        <v>94</v>
      </c>
      <c r="J296" s="3">
        <v>96</v>
      </c>
    </row>
    <row r="297" spans="2:10">
      <c r="B297" s="52" t="s">
        <v>260</v>
      </c>
      <c r="C297" s="3">
        <v>65</v>
      </c>
      <c r="D297" s="3">
        <v>65</v>
      </c>
      <c r="E297" s="3">
        <v>63</v>
      </c>
      <c r="F297" s="3">
        <v>63</v>
      </c>
      <c r="G297" s="3">
        <v>63</v>
      </c>
      <c r="H297" s="3">
        <v>65</v>
      </c>
      <c r="I297" s="3">
        <v>65</v>
      </c>
      <c r="J297" s="3">
        <v>66</v>
      </c>
    </row>
    <row r="298" spans="2:10">
      <c r="B298" s="52" t="s">
        <v>329</v>
      </c>
      <c r="C298" s="3">
        <v>1</v>
      </c>
      <c r="D298" s="3">
        <v>1</v>
      </c>
      <c r="E298" s="3">
        <v>1</v>
      </c>
      <c r="F298" s="3">
        <v>1</v>
      </c>
      <c r="G298" s="3">
        <v>1</v>
      </c>
      <c r="H298" s="3">
        <v>1</v>
      </c>
      <c r="I298" s="3">
        <v>1</v>
      </c>
      <c r="J298" s="3">
        <v>1</v>
      </c>
    </row>
    <row r="299" spans="2:10">
      <c r="B299" s="52" t="s">
        <v>328</v>
      </c>
      <c r="C299" s="3">
        <v>28</v>
      </c>
      <c r="D299" s="3">
        <v>28</v>
      </c>
      <c r="E299" s="3">
        <v>30</v>
      </c>
      <c r="F299" s="3">
        <v>30</v>
      </c>
      <c r="G299" s="3">
        <v>29</v>
      </c>
      <c r="H299" s="3">
        <v>28</v>
      </c>
      <c r="I299" s="3">
        <v>28</v>
      </c>
      <c r="J299" s="3">
        <v>29</v>
      </c>
    </row>
    <row r="300" spans="2:10">
      <c r="B300" s="136" t="s">
        <v>327</v>
      </c>
      <c r="C300" s="3">
        <v>0</v>
      </c>
      <c r="D300" s="3">
        <v>0</v>
      </c>
      <c r="E300" s="3">
        <v>0</v>
      </c>
      <c r="F300" s="3">
        <v>0</v>
      </c>
      <c r="G300" s="3">
        <v>0</v>
      </c>
      <c r="H300" s="3">
        <v>2</v>
      </c>
      <c r="I300" s="3">
        <v>2</v>
      </c>
      <c r="J300" s="3">
        <v>2</v>
      </c>
    </row>
    <row r="301" spans="2:10">
      <c r="B301" s="136" t="s">
        <v>326</v>
      </c>
      <c r="C301" s="3">
        <v>1</v>
      </c>
      <c r="D301" s="3">
        <v>1</v>
      </c>
      <c r="E301" s="3">
        <v>1</v>
      </c>
      <c r="F301" s="3">
        <v>1</v>
      </c>
      <c r="G301" s="3">
        <v>1</v>
      </c>
      <c r="H301" s="3">
        <v>1</v>
      </c>
      <c r="I301" s="3">
        <v>1</v>
      </c>
      <c r="J301" s="3">
        <v>1</v>
      </c>
    </row>
    <row r="302" spans="2:10">
      <c r="B302" s="136" t="s">
        <v>325</v>
      </c>
      <c r="C302" s="3">
        <v>2</v>
      </c>
      <c r="D302" s="3">
        <v>2</v>
      </c>
      <c r="E302" s="3">
        <v>2</v>
      </c>
      <c r="F302" s="3">
        <v>2</v>
      </c>
      <c r="G302" s="3">
        <v>2</v>
      </c>
      <c r="H302" s="3">
        <v>2</v>
      </c>
      <c r="I302" s="3">
        <v>2</v>
      </c>
      <c r="J302" s="3">
        <v>2</v>
      </c>
    </row>
    <row r="303" spans="2:10">
      <c r="B303" s="136" t="s">
        <v>323</v>
      </c>
      <c r="C303" s="3">
        <v>19</v>
      </c>
      <c r="D303" s="3">
        <v>19</v>
      </c>
      <c r="E303" s="3">
        <v>20</v>
      </c>
      <c r="F303" s="3">
        <v>19</v>
      </c>
      <c r="G303" s="3">
        <v>18</v>
      </c>
      <c r="H303" s="3">
        <v>14</v>
      </c>
      <c r="I303" s="3">
        <v>14</v>
      </c>
      <c r="J303" s="3">
        <v>15</v>
      </c>
    </row>
    <row r="304" spans="2:10">
      <c r="B304" s="136" t="s">
        <v>117</v>
      </c>
      <c r="C304" s="3">
        <v>6</v>
      </c>
      <c r="D304" s="3">
        <v>6</v>
      </c>
      <c r="E304" s="3">
        <v>7</v>
      </c>
      <c r="F304" s="3">
        <v>8</v>
      </c>
      <c r="G304" s="3">
        <v>8</v>
      </c>
      <c r="H304" s="3">
        <v>9</v>
      </c>
      <c r="I304" s="3">
        <v>9</v>
      </c>
      <c r="J304" s="3">
        <v>9</v>
      </c>
    </row>
    <row r="305" spans="2:10">
      <c r="B305" s="133" t="s">
        <v>322</v>
      </c>
      <c r="C305" s="3">
        <v>0</v>
      </c>
      <c r="D305" s="3">
        <v>0</v>
      </c>
      <c r="E305" s="3">
        <v>0</v>
      </c>
      <c r="F305" s="3">
        <v>0</v>
      </c>
      <c r="G305" s="3">
        <v>0</v>
      </c>
      <c r="H305" s="3">
        <v>0</v>
      </c>
      <c r="I305" s="3">
        <v>0</v>
      </c>
      <c r="J305" s="3">
        <v>0</v>
      </c>
    </row>
    <row r="306" spans="2:10">
      <c r="B306" s="133"/>
      <c r="C306" s="3"/>
      <c r="D306" s="3"/>
      <c r="E306" s="3"/>
      <c r="F306" s="3"/>
      <c r="G306" s="3"/>
      <c r="H306" s="3"/>
      <c r="I306" s="3"/>
      <c r="J306" s="3"/>
    </row>
    <row r="307" spans="2:10">
      <c r="B307" s="59" t="s">
        <v>93</v>
      </c>
      <c r="C307" s="1"/>
      <c r="D307" s="1"/>
      <c r="E307" s="1"/>
      <c r="F307" s="1"/>
      <c r="G307" s="1"/>
      <c r="H307" s="1"/>
      <c r="I307" s="1"/>
      <c r="J307" s="1"/>
    </row>
    <row r="308" spans="2:10">
      <c r="B308" s="71" t="s">
        <v>331</v>
      </c>
      <c r="C308" s="145">
        <v>131051</v>
      </c>
      <c r="D308" s="145">
        <v>140051</v>
      </c>
      <c r="E308" s="145">
        <v>153554</v>
      </c>
      <c r="F308" s="145">
        <v>178854</v>
      </c>
      <c r="G308" s="145">
        <v>189426</v>
      </c>
      <c r="H308" s="145">
        <v>197791</v>
      </c>
      <c r="I308" s="145">
        <v>202598</v>
      </c>
      <c r="J308" s="145">
        <v>206818</v>
      </c>
    </row>
    <row r="309" spans="2:10">
      <c r="B309" s="133" t="s">
        <v>330</v>
      </c>
      <c r="C309" s="142">
        <v>51</v>
      </c>
      <c r="D309" s="142">
        <v>51</v>
      </c>
      <c r="E309" s="142">
        <v>54</v>
      </c>
      <c r="F309" s="142">
        <v>54</v>
      </c>
      <c r="G309" s="142">
        <v>57</v>
      </c>
      <c r="H309" s="142">
        <v>57</v>
      </c>
      <c r="I309" s="142">
        <v>57</v>
      </c>
      <c r="J309" s="142">
        <v>57</v>
      </c>
    </row>
    <row r="310" spans="2:10">
      <c r="B310" s="52" t="s">
        <v>260</v>
      </c>
      <c r="C310" s="142">
        <v>50</v>
      </c>
      <c r="D310" s="142">
        <v>50</v>
      </c>
      <c r="E310" s="142">
        <v>52</v>
      </c>
      <c r="F310" s="142">
        <v>51</v>
      </c>
      <c r="G310" s="142">
        <v>54</v>
      </c>
      <c r="H310" s="142">
        <v>54</v>
      </c>
      <c r="I310" s="142">
        <v>55</v>
      </c>
      <c r="J310" s="142">
        <v>55</v>
      </c>
    </row>
    <row r="311" spans="2:10">
      <c r="B311" s="52" t="s">
        <v>329</v>
      </c>
      <c r="C311" s="145">
        <v>1</v>
      </c>
      <c r="D311" s="145">
        <v>1</v>
      </c>
      <c r="E311" s="145">
        <v>1</v>
      </c>
      <c r="F311" s="145">
        <v>1</v>
      </c>
      <c r="G311" s="145">
        <v>1</v>
      </c>
      <c r="H311" s="145">
        <v>1</v>
      </c>
      <c r="I311" s="145">
        <v>1</v>
      </c>
      <c r="J311" s="145">
        <v>1</v>
      </c>
    </row>
    <row r="312" spans="2:10">
      <c r="B312" s="52" t="s">
        <v>328</v>
      </c>
      <c r="C312" s="3">
        <v>0</v>
      </c>
      <c r="D312" s="3">
        <v>0</v>
      </c>
      <c r="E312" s="145">
        <v>1</v>
      </c>
      <c r="F312" s="145">
        <v>2</v>
      </c>
      <c r="G312" s="145">
        <v>2</v>
      </c>
      <c r="H312" s="145">
        <v>2</v>
      </c>
      <c r="I312" s="145">
        <v>1</v>
      </c>
      <c r="J312" s="145">
        <v>1</v>
      </c>
    </row>
    <row r="313" spans="2:10">
      <c r="B313" s="136" t="s">
        <v>327</v>
      </c>
      <c r="C313" s="3">
        <v>0</v>
      </c>
      <c r="D313" s="3">
        <v>0</v>
      </c>
      <c r="E313" s="3">
        <v>0</v>
      </c>
      <c r="F313" s="3">
        <v>0</v>
      </c>
      <c r="G313" s="3">
        <v>0</v>
      </c>
      <c r="H313" s="3">
        <v>0</v>
      </c>
      <c r="I313" s="3">
        <v>0</v>
      </c>
      <c r="J313" s="3">
        <v>0</v>
      </c>
    </row>
    <row r="314" spans="2:10">
      <c r="B314" s="136" t="s">
        <v>326</v>
      </c>
      <c r="C314" s="3">
        <v>0</v>
      </c>
      <c r="D314" s="3">
        <v>0</v>
      </c>
      <c r="E314" s="3">
        <v>0</v>
      </c>
      <c r="F314" s="3">
        <v>0</v>
      </c>
      <c r="G314" s="3">
        <v>0</v>
      </c>
      <c r="H314" s="3">
        <v>0</v>
      </c>
      <c r="I314" s="3">
        <v>0</v>
      </c>
      <c r="J314" s="3">
        <v>0</v>
      </c>
    </row>
    <row r="315" spans="2:10">
      <c r="B315" s="136" t="s">
        <v>325</v>
      </c>
      <c r="C315" s="3">
        <v>0</v>
      </c>
      <c r="D315" s="3">
        <v>0</v>
      </c>
      <c r="E315" s="3">
        <v>0</v>
      </c>
      <c r="F315" s="3">
        <v>0</v>
      </c>
      <c r="G315" s="3">
        <v>0</v>
      </c>
      <c r="H315" s="3">
        <v>0</v>
      </c>
      <c r="I315" s="3">
        <v>0</v>
      </c>
      <c r="J315" s="3">
        <v>0</v>
      </c>
    </row>
    <row r="316" spans="2:10">
      <c r="B316" s="136" t="s">
        <v>323</v>
      </c>
      <c r="C316" s="3">
        <v>0</v>
      </c>
      <c r="D316" s="3">
        <v>0</v>
      </c>
      <c r="E316" s="145">
        <v>1</v>
      </c>
      <c r="F316" s="145">
        <v>2</v>
      </c>
      <c r="G316" s="145">
        <v>2</v>
      </c>
      <c r="H316" s="145">
        <v>2</v>
      </c>
      <c r="I316" s="145">
        <v>1</v>
      </c>
      <c r="J316" s="145">
        <v>1</v>
      </c>
    </row>
    <row r="317" spans="2:10">
      <c r="B317" s="136" t="s">
        <v>117</v>
      </c>
      <c r="C317" s="3">
        <v>0</v>
      </c>
      <c r="D317" s="3">
        <v>0</v>
      </c>
      <c r="E317" s="3">
        <v>0</v>
      </c>
      <c r="F317" s="3">
        <v>0</v>
      </c>
      <c r="G317" s="3">
        <v>0</v>
      </c>
      <c r="H317" s="3">
        <v>0</v>
      </c>
      <c r="I317" s="3">
        <v>0</v>
      </c>
      <c r="J317" s="3">
        <v>0</v>
      </c>
    </row>
    <row r="318" spans="2:10">
      <c r="B318" s="133" t="s">
        <v>322</v>
      </c>
      <c r="C318" s="3">
        <v>131000</v>
      </c>
      <c r="D318" s="145">
        <v>140000</v>
      </c>
      <c r="E318" s="145">
        <v>153500</v>
      </c>
      <c r="F318" s="145">
        <v>178800</v>
      </c>
      <c r="G318" s="145">
        <v>189369</v>
      </c>
      <c r="H318" s="145">
        <v>197734</v>
      </c>
      <c r="I318" s="145">
        <v>202541</v>
      </c>
      <c r="J318" s="145">
        <v>206761</v>
      </c>
    </row>
    <row r="319" spans="2:10">
      <c r="B319" s="65"/>
      <c r="D319" s="3"/>
      <c r="E319" s="3"/>
      <c r="F319" s="3"/>
      <c r="G319" s="3"/>
      <c r="H319" s="3"/>
      <c r="I319" s="3"/>
      <c r="J319" s="3"/>
    </row>
    <row r="320" spans="2:10">
      <c r="B320" s="59" t="s">
        <v>305</v>
      </c>
      <c r="C320" s="3"/>
      <c r="D320" s="3"/>
      <c r="E320" s="3"/>
      <c r="F320" s="3"/>
      <c r="G320" s="3"/>
      <c r="H320" s="3"/>
      <c r="I320" s="3"/>
      <c r="J320" s="3"/>
    </row>
    <row r="321" spans="2:10">
      <c r="B321" s="71" t="s">
        <v>331</v>
      </c>
      <c r="C321" s="144">
        <v>299</v>
      </c>
      <c r="D321" s="144">
        <v>298</v>
      </c>
      <c r="E321" s="144">
        <v>280</v>
      </c>
      <c r="F321" s="144">
        <v>277</v>
      </c>
      <c r="G321" s="144">
        <v>250</v>
      </c>
      <c r="H321" s="144">
        <v>247</v>
      </c>
      <c r="I321" s="144">
        <v>249</v>
      </c>
      <c r="J321" s="144">
        <v>250</v>
      </c>
    </row>
    <row r="322" spans="2:10">
      <c r="B322" s="133" t="s">
        <v>330</v>
      </c>
      <c r="C322" s="144">
        <v>14</v>
      </c>
      <c r="D322" s="144">
        <v>14</v>
      </c>
      <c r="E322" s="144">
        <v>14</v>
      </c>
      <c r="F322" s="144">
        <v>14</v>
      </c>
      <c r="G322" s="144">
        <v>14</v>
      </c>
      <c r="H322" s="144">
        <v>13</v>
      </c>
      <c r="I322" s="144">
        <v>13</v>
      </c>
      <c r="J322" s="144">
        <v>13</v>
      </c>
    </row>
    <row r="323" spans="2:10">
      <c r="B323" s="52" t="s">
        <v>260</v>
      </c>
      <c r="C323" s="143">
        <v>0</v>
      </c>
      <c r="D323" s="143">
        <v>0</v>
      </c>
      <c r="E323" s="143">
        <v>0</v>
      </c>
      <c r="F323" s="143">
        <v>0</v>
      </c>
      <c r="G323" s="143">
        <v>0</v>
      </c>
      <c r="H323" s="143">
        <v>0</v>
      </c>
      <c r="I323" s="143">
        <v>0</v>
      </c>
      <c r="J323" s="143">
        <v>0</v>
      </c>
    </row>
    <row r="324" spans="2:10">
      <c r="B324" s="52" t="s">
        <v>329</v>
      </c>
      <c r="C324" s="143">
        <v>12</v>
      </c>
      <c r="D324" s="143">
        <v>12</v>
      </c>
      <c r="E324" s="143">
        <v>12</v>
      </c>
      <c r="F324" s="143">
        <v>12</v>
      </c>
      <c r="G324" s="143">
        <v>12</v>
      </c>
      <c r="H324" s="143">
        <v>11</v>
      </c>
      <c r="I324" s="143">
        <v>11</v>
      </c>
      <c r="J324" s="143">
        <v>11</v>
      </c>
    </row>
    <row r="325" spans="2:10">
      <c r="B325" s="52" t="s">
        <v>328</v>
      </c>
      <c r="C325" s="143">
        <v>2</v>
      </c>
      <c r="D325" s="143">
        <v>2</v>
      </c>
      <c r="E325" s="143">
        <v>2</v>
      </c>
      <c r="F325" s="143">
        <v>2</v>
      </c>
      <c r="G325" s="143">
        <v>2</v>
      </c>
      <c r="H325" s="143">
        <v>2</v>
      </c>
      <c r="I325" s="143">
        <v>2</v>
      </c>
      <c r="J325" s="143">
        <v>2</v>
      </c>
    </row>
    <row r="326" spans="2:10">
      <c r="B326" s="136" t="s">
        <v>327</v>
      </c>
      <c r="C326" s="3">
        <v>0</v>
      </c>
      <c r="D326" s="3">
        <v>0</v>
      </c>
      <c r="E326" s="3">
        <v>0</v>
      </c>
      <c r="F326" s="3">
        <v>0</v>
      </c>
      <c r="G326" s="3">
        <v>0</v>
      </c>
      <c r="H326" s="3">
        <v>0</v>
      </c>
      <c r="I326" s="3">
        <v>0</v>
      </c>
      <c r="J326" s="3">
        <v>0</v>
      </c>
    </row>
    <row r="327" spans="2:10">
      <c r="B327" s="136" t="s">
        <v>326</v>
      </c>
      <c r="C327" s="3">
        <v>0</v>
      </c>
      <c r="D327" s="3">
        <v>0</v>
      </c>
      <c r="E327" s="3">
        <v>0</v>
      </c>
      <c r="F327" s="3">
        <v>0</v>
      </c>
      <c r="G327" s="3">
        <v>0</v>
      </c>
      <c r="H327" s="3">
        <v>0</v>
      </c>
      <c r="I327" s="3">
        <v>0</v>
      </c>
      <c r="J327" s="3">
        <v>0</v>
      </c>
    </row>
    <row r="328" spans="2:10">
      <c r="B328" s="136" t="s">
        <v>325</v>
      </c>
      <c r="C328" s="143">
        <v>1</v>
      </c>
      <c r="D328" s="143">
        <v>1</v>
      </c>
      <c r="E328" s="143">
        <v>1</v>
      </c>
      <c r="F328" s="143">
        <v>1</v>
      </c>
      <c r="G328" s="143">
        <v>1</v>
      </c>
      <c r="H328" s="143">
        <v>1</v>
      </c>
      <c r="I328" s="143">
        <v>1</v>
      </c>
      <c r="J328" s="143">
        <v>1</v>
      </c>
    </row>
    <row r="329" spans="2:10">
      <c r="B329" s="136" t="s">
        <v>323</v>
      </c>
      <c r="C329" s="143">
        <v>1</v>
      </c>
      <c r="D329" s="143">
        <v>1</v>
      </c>
      <c r="E329" s="143">
        <v>1</v>
      </c>
      <c r="F329" s="143">
        <v>1</v>
      </c>
      <c r="G329" s="143">
        <v>1</v>
      </c>
      <c r="H329" s="143">
        <v>1</v>
      </c>
      <c r="I329" s="143">
        <v>1</v>
      </c>
      <c r="J329" s="143">
        <v>1</v>
      </c>
    </row>
    <row r="330" spans="2:10">
      <c r="B330" s="136" t="s">
        <v>117</v>
      </c>
      <c r="C330" s="3">
        <v>0</v>
      </c>
      <c r="D330" s="3">
        <v>0</v>
      </c>
      <c r="E330" s="3">
        <v>0</v>
      </c>
      <c r="F330" s="3">
        <v>0</v>
      </c>
      <c r="G330" s="3">
        <v>0</v>
      </c>
      <c r="H330" s="3">
        <v>0</v>
      </c>
      <c r="I330" s="3">
        <v>0</v>
      </c>
      <c r="J330" s="3">
        <v>0</v>
      </c>
    </row>
    <row r="331" spans="2:10">
      <c r="B331" s="133" t="s">
        <v>322</v>
      </c>
      <c r="C331" s="3">
        <v>285</v>
      </c>
      <c r="D331" s="3">
        <v>284</v>
      </c>
      <c r="E331" s="3">
        <v>266</v>
      </c>
      <c r="F331" s="3">
        <v>263</v>
      </c>
      <c r="G331" s="3">
        <v>236</v>
      </c>
      <c r="H331" s="3">
        <v>234</v>
      </c>
      <c r="I331" s="3">
        <v>236</v>
      </c>
      <c r="J331" s="3">
        <v>237</v>
      </c>
    </row>
    <row r="332" spans="2:10">
      <c r="B332" s="65"/>
    </row>
    <row r="333" spans="2:10">
      <c r="B333" s="59" t="s">
        <v>304</v>
      </c>
      <c r="C333" s="3"/>
      <c r="D333" s="3"/>
      <c r="E333" s="3"/>
      <c r="F333" s="3"/>
      <c r="G333" s="3"/>
      <c r="H333" s="3"/>
      <c r="I333" s="3"/>
      <c r="J333" s="3"/>
    </row>
    <row r="334" spans="2:10">
      <c r="B334" s="71" t="s">
        <v>331</v>
      </c>
      <c r="C334" s="145">
        <v>52</v>
      </c>
      <c r="D334" s="145">
        <v>53</v>
      </c>
      <c r="E334" s="145">
        <v>53</v>
      </c>
      <c r="F334" s="145">
        <v>44</v>
      </c>
      <c r="G334" s="145">
        <v>68</v>
      </c>
      <c r="H334" s="145">
        <v>68</v>
      </c>
      <c r="I334" s="145">
        <v>68</v>
      </c>
      <c r="J334" s="145">
        <v>69</v>
      </c>
    </row>
    <row r="335" spans="2:10">
      <c r="B335" s="133" t="s">
        <v>330</v>
      </c>
      <c r="C335" s="144">
        <v>3</v>
      </c>
      <c r="D335" s="144">
        <v>3</v>
      </c>
      <c r="E335" s="144">
        <v>3</v>
      </c>
      <c r="F335" s="144">
        <v>4</v>
      </c>
      <c r="G335" s="144">
        <v>4</v>
      </c>
      <c r="H335" s="144">
        <v>4</v>
      </c>
      <c r="I335" s="144">
        <v>4</v>
      </c>
      <c r="J335" s="144">
        <v>5</v>
      </c>
    </row>
    <row r="336" spans="2:10">
      <c r="B336" s="52" t="s">
        <v>260</v>
      </c>
      <c r="C336" s="144">
        <v>0</v>
      </c>
      <c r="D336" s="144">
        <v>0</v>
      </c>
      <c r="E336" s="144">
        <v>0</v>
      </c>
      <c r="F336" s="144">
        <v>0</v>
      </c>
      <c r="G336" s="144">
        <v>0</v>
      </c>
      <c r="H336" s="144">
        <v>0</v>
      </c>
      <c r="I336" s="144">
        <v>0</v>
      </c>
      <c r="J336" s="144">
        <v>0</v>
      </c>
    </row>
    <row r="337" spans="2:10">
      <c r="B337" s="52" t="s">
        <v>329</v>
      </c>
      <c r="C337" s="143">
        <v>2</v>
      </c>
      <c r="D337" s="143">
        <v>2</v>
      </c>
      <c r="E337" s="143">
        <v>2</v>
      </c>
      <c r="F337" s="143">
        <v>3</v>
      </c>
      <c r="G337" s="143">
        <v>3</v>
      </c>
      <c r="H337" s="143">
        <v>3</v>
      </c>
      <c r="I337" s="143">
        <v>3</v>
      </c>
      <c r="J337" s="143">
        <v>4</v>
      </c>
    </row>
    <row r="338" spans="2:10">
      <c r="B338" s="52" t="s">
        <v>328</v>
      </c>
      <c r="C338" s="143">
        <v>1</v>
      </c>
      <c r="D338" s="143">
        <v>1</v>
      </c>
      <c r="E338" s="143">
        <v>1</v>
      </c>
      <c r="F338" s="143">
        <v>1</v>
      </c>
      <c r="G338" s="143">
        <v>1</v>
      </c>
      <c r="H338" s="143">
        <v>1</v>
      </c>
      <c r="I338" s="143">
        <v>1</v>
      </c>
      <c r="J338" s="143">
        <v>1</v>
      </c>
    </row>
    <row r="339" spans="2:10">
      <c r="B339" s="136" t="s">
        <v>327</v>
      </c>
      <c r="C339" s="3">
        <v>0</v>
      </c>
      <c r="D339" s="3">
        <v>0</v>
      </c>
      <c r="E339" s="3">
        <v>0</v>
      </c>
      <c r="F339" s="3">
        <v>0</v>
      </c>
      <c r="G339" s="3">
        <v>0</v>
      </c>
      <c r="H339" s="3">
        <v>0</v>
      </c>
      <c r="I339" s="3">
        <v>0</v>
      </c>
      <c r="J339" s="3">
        <v>0</v>
      </c>
    </row>
    <row r="340" spans="2:10">
      <c r="B340" s="136" t="s">
        <v>326</v>
      </c>
      <c r="C340" s="3">
        <v>0</v>
      </c>
      <c r="D340" s="3">
        <v>0</v>
      </c>
      <c r="E340" s="3">
        <v>0</v>
      </c>
      <c r="F340" s="3">
        <v>0</v>
      </c>
      <c r="G340" s="3">
        <v>0</v>
      </c>
      <c r="H340" s="3">
        <v>0</v>
      </c>
      <c r="I340" s="3">
        <v>0</v>
      </c>
      <c r="J340" s="3">
        <v>0</v>
      </c>
    </row>
    <row r="341" spans="2:10">
      <c r="B341" s="136" t="s">
        <v>325</v>
      </c>
      <c r="C341" s="3">
        <v>0</v>
      </c>
      <c r="D341" s="3">
        <v>0</v>
      </c>
      <c r="E341" s="3">
        <v>0</v>
      </c>
      <c r="F341" s="3">
        <v>0</v>
      </c>
      <c r="G341" s="3">
        <v>0</v>
      </c>
      <c r="H341" s="3">
        <v>0</v>
      </c>
      <c r="I341" s="3">
        <v>0</v>
      </c>
      <c r="J341" s="3">
        <v>0</v>
      </c>
    </row>
    <row r="342" spans="2:10">
      <c r="B342" s="136" t="s">
        <v>323</v>
      </c>
      <c r="C342" s="143">
        <v>1</v>
      </c>
      <c r="D342" s="143">
        <v>1</v>
      </c>
      <c r="E342" s="143">
        <v>1</v>
      </c>
      <c r="F342" s="143">
        <v>1</v>
      </c>
      <c r="G342" s="143">
        <v>1</v>
      </c>
      <c r="H342" s="143">
        <v>1</v>
      </c>
      <c r="I342" s="143">
        <v>1</v>
      </c>
      <c r="J342" s="143">
        <v>1</v>
      </c>
    </row>
    <row r="343" spans="2:10">
      <c r="B343" s="136" t="s">
        <v>117</v>
      </c>
      <c r="C343" s="3">
        <v>0</v>
      </c>
      <c r="D343" s="3">
        <v>0</v>
      </c>
      <c r="E343" s="3">
        <v>0</v>
      </c>
      <c r="F343" s="3">
        <v>0</v>
      </c>
      <c r="G343" s="3">
        <v>0</v>
      </c>
      <c r="H343" s="3">
        <v>0</v>
      </c>
      <c r="I343" s="3">
        <v>0</v>
      </c>
      <c r="J343" s="3">
        <v>0</v>
      </c>
    </row>
    <row r="344" spans="2:10">
      <c r="B344" s="133" t="s">
        <v>322</v>
      </c>
      <c r="C344" s="142">
        <v>49</v>
      </c>
      <c r="D344" s="142">
        <v>50</v>
      </c>
      <c r="E344" s="142">
        <v>50</v>
      </c>
      <c r="F344" s="142">
        <v>40</v>
      </c>
      <c r="G344" s="142">
        <v>64</v>
      </c>
      <c r="H344" s="142">
        <v>64</v>
      </c>
      <c r="I344" s="142">
        <v>64</v>
      </c>
      <c r="J344" s="142">
        <v>64</v>
      </c>
    </row>
    <row r="345" spans="2:10">
      <c r="B345" s="65"/>
      <c r="C345" s="3"/>
      <c r="D345" s="3"/>
      <c r="E345" s="3"/>
      <c r="F345" s="3"/>
      <c r="G345" s="3"/>
      <c r="H345" s="3"/>
      <c r="I345" s="3"/>
      <c r="J345" s="3"/>
    </row>
    <row r="346" spans="2:10">
      <c r="B346" s="114" t="s">
        <v>302</v>
      </c>
      <c r="C346" s="3"/>
      <c r="D346" s="3"/>
      <c r="E346" s="3"/>
      <c r="F346" s="3"/>
      <c r="G346" s="3"/>
      <c r="H346" s="3"/>
      <c r="I346" s="3"/>
      <c r="J346" s="3"/>
    </row>
    <row r="347" spans="2:10">
      <c r="B347" s="114"/>
      <c r="C347" s="3"/>
      <c r="D347" s="3"/>
      <c r="E347" s="3"/>
      <c r="F347" s="3"/>
      <c r="G347" s="3"/>
      <c r="H347" s="3"/>
      <c r="I347" s="3"/>
      <c r="J347" s="3"/>
    </row>
    <row r="348" spans="2:10">
      <c r="B348" s="59" t="s">
        <v>85</v>
      </c>
      <c r="C348" s="3"/>
      <c r="D348" s="3"/>
      <c r="E348" s="3"/>
      <c r="F348" s="3"/>
      <c r="G348" s="3"/>
      <c r="H348" s="3"/>
      <c r="I348" s="3"/>
      <c r="J348" s="3"/>
    </row>
    <row r="349" spans="2:10">
      <c r="B349" s="71" t="s">
        <v>331</v>
      </c>
      <c r="C349" s="3">
        <v>63</v>
      </c>
      <c r="D349" s="3">
        <v>63</v>
      </c>
      <c r="E349" s="3">
        <v>68</v>
      </c>
      <c r="F349" s="3">
        <v>70</v>
      </c>
      <c r="G349" s="3">
        <v>70</v>
      </c>
      <c r="H349" s="3">
        <v>70</v>
      </c>
      <c r="I349" s="3">
        <v>69</v>
      </c>
      <c r="J349" s="3">
        <v>69</v>
      </c>
    </row>
    <row r="350" spans="2:10">
      <c r="B350" s="133" t="s">
        <v>330</v>
      </c>
      <c r="C350" s="3">
        <v>63</v>
      </c>
      <c r="D350" s="3">
        <v>63</v>
      </c>
      <c r="E350" s="3">
        <v>68</v>
      </c>
      <c r="F350" s="3">
        <v>70</v>
      </c>
      <c r="G350" s="3">
        <v>70</v>
      </c>
      <c r="H350" s="3">
        <v>70</v>
      </c>
      <c r="I350" s="3">
        <v>69</v>
      </c>
      <c r="J350" s="3">
        <v>69</v>
      </c>
    </row>
    <row r="351" spans="2:10">
      <c r="B351" s="52" t="s">
        <v>260</v>
      </c>
      <c r="C351" s="3">
        <v>0</v>
      </c>
      <c r="D351" s="3">
        <v>0</v>
      </c>
      <c r="E351" s="3">
        <v>0</v>
      </c>
      <c r="F351" s="3">
        <v>59</v>
      </c>
      <c r="G351" s="3">
        <v>59</v>
      </c>
      <c r="H351" s="3">
        <v>59</v>
      </c>
      <c r="I351" s="3">
        <v>58</v>
      </c>
      <c r="J351" s="3">
        <v>58</v>
      </c>
    </row>
    <row r="352" spans="2:10">
      <c r="B352" s="52" t="s">
        <v>329</v>
      </c>
      <c r="C352" s="3">
        <v>0</v>
      </c>
      <c r="D352" s="3">
        <v>0</v>
      </c>
      <c r="E352" s="3">
        <v>0</v>
      </c>
      <c r="F352" s="3">
        <v>0</v>
      </c>
      <c r="G352" s="3">
        <v>0</v>
      </c>
      <c r="H352" s="3">
        <v>0</v>
      </c>
      <c r="I352" s="3">
        <v>0</v>
      </c>
      <c r="J352" s="3">
        <v>0</v>
      </c>
    </row>
    <row r="353" spans="2:10">
      <c r="B353" s="52" t="s">
        <v>328</v>
      </c>
      <c r="C353" s="3">
        <v>0</v>
      </c>
      <c r="D353" s="3">
        <v>0</v>
      </c>
      <c r="E353" s="3">
        <v>0</v>
      </c>
      <c r="F353" s="3">
        <v>11</v>
      </c>
      <c r="G353" s="3">
        <v>11</v>
      </c>
      <c r="H353" s="3">
        <v>11</v>
      </c>
      <c r="I353" s="3">
        <v>11</v>
      </c>
      <c r="J353" s="3">
        <v>11</v>
      </c>
    </row>
    <row r="354" spans="2:10">
      <c r="B354" s="136" t="s">
        <v>327</v>
      </c>
      <c r="C354" s="3">
        <v>0</v>
      </c>
      <c r="D354" s="3">
        <v>0</v>
      </c>
      <c r="E354" s="3">
        <v>0</v>
      </c>
      <c r="F354" s="3">
        <v>0</v>
      </c>
      <c r="G354" s="3">
        <v>0</v>
      </c>
      <c r="H354" s="3">
        <v>0</v>
      </c>
      <c r="I354" s="3">
        <v>0</v>
      </c>
      <c r="J354" s="3">
        <v>0</v>
      </c>
    </row>
    <row r="355" spans="2:10">
      <c r="B355" s="136" t="s">
        <v>326</v>
      </c>
      <c r="C355" s="3">
        <v>0</v>
      </c>
      <c r="D355" s="3">
        <v>0</v>
      </c>
      <c r="E355" s="3">
        <v>0</v>
      </c>
      <c r="F355" s="3">
        <v>1</v>
      </c>
      <c r="G355" s="3">
        <v>1</v>
      </c>
      <c r="H355" s="3">
        <v>1</v>
      </c>
      <c r="I355" s="3">
        <v>1</v>
      </c>
      <c r="J355" s="3">
        <v>1</v>
      </c>
    </row>
    <row r="356" spans="2:10">
      <c r="B356" s="136" t="s">
        <v>325</v>
      </c>
      <c r="C356" s="3">
        <v>0</v>
      </c>
      <c r="D356" s="3">
        <v>0</v>
      </c>
      <c r="E356" s="3">
        <v>0</v>
      </c>
      <c r="F356" s="3">
        <v>0</v>
      </c>
      <c r="G356" s="3">
        <v>0</v>
      </c>
      <c r="H356" s="3">
        <v>0</v>
      </c>
      <c r="I356" s="3">
        <v>0</v>
      </c>
      <c r="J356" s="3">
        <v>0</v>
      </c>
    </row>
    <row r="357" spans="2:10">
      <c r="B357" s="136" t="s">
        <v>323</v>
      </c>
      <c r="C357" s="3">
        <v>0</v>
      </c>
      <c r="D357" s="3">
        <v>0</v>
      </c>
      <c r="E357" s="3">
        <v>0</v>
      </c>
      <c r="F357" s="3">
        <v>9</v>
      </c>
      <c r="G357" s="3">
        <v>9</v>
      </c>
      <c r="H357" s="3">
        <v>9</v>
      </c>
      <c r="I357" s="3">
        <v>9</v>
      </c>
      <c r="J357" s="3">
        <v>9</v>
      </c>
    </row>
    <row r="358" spans="2:10">
      <c r="B358" s="136" t="s">
        <v>117</v>
      </c>
      <c r="C358" s="3">
        <v>0</v>
      </c>
      <c r="D358" s="3">
        <v>0</v>
      </c>
      <c r="E358" s="3">
        <v>0</v>
      </c>
      <c r="F358" s="3">
        <v>1</v>
      </c>
      <c r="G358" s="3">
        <v>1</v>
      </c>
      <c r="H358" s="3">
        <v>1</v>
      </c>
      <c r="I358" s="3">
        <v>1</v>
      </c>
      <c r="J358" s="3">
        <v>1</v>
      </c>
    </row>
    <row r="359" spans="2:10">
      <c r="B359" s="133" t="s">
        <v>322</v>
      </c>
      <c r="C359" s="3">
        <v>0</v>
      </c>
      <c r="D359" s="3">
        <v>0</v>
      </c>
      <c r="E359" s="3">
        <v>0</v>
      </c>
      <c r="F359" s="3">
        <v>0</v>
      </c>
      <c r="G359" s="3">
        <v>0</v>
      </c>
      <c r="H359" s="3">
        <v>0</v>
      </c>
      <c r="I359" s="3">
        <v>0</v>
      </c>
      <c r="J359" s="3">
        <v>0</v>
      </c>
    </row>
    <row r="360" spans="2:10">
      <c r="B360" s="54"/>
      <c r="C360" s="3"/>
      <c r="D360" s="3"/>
      <c r="E360" s="3"/>
      <c r="F360" s="3"/>
      <c r="G360" s="3"/>
      <c r="H360" s="3"/>
      <c r="I360" s="3"/>
      <c r="J360" s="3"/>
    </row>
    <row r="361" spans="2:10">
      <c r="B361" s="59" t="s">
        <v>300</v>
      </c>
      <c r="C361" s="3"/>
      <c r="D361" s="3"/>
      <c r="E361" s="3"/>
      <c r="F361" s="3"/>
      <c r="G361" s="3"/>
      <c r="H361" s="3"/>
      <c r="I361" s="3"/>
      <c r="J361" s="3"/>
    </row>
    <row r="362" spans="2:10">
      <c r="B362" s="71" t="s">
        <v>331</v>
      </c>
      <c r="C362" s="3">
        <v>15</v>
      </c>
      <c r="D362" s="3">
        <v>15</v>
      </c>
      <c r="E362" s="3">
        <v>15</v>
      </c>
      <c r="F362" s="3">
        <v>17</v>
      </c>
      <c r="G362" s="3">
        <v>21</v>
      </c>
      <c r="H362" s="3">
        <v>21</v>
      </c>
      <c r="I362" s="3">
        <v>21</v>
      </c>
      <c r="J362" s="3">
        <v>23</v>
      </c>
    </row>
    <row r="363" spans="2:10">
      <c r="B363" s="133" t="s">
        <v>330</v>
      </c>
      <c r="C363" s="3">
        <v>15</v>
      </c>
      <c r="D363" s="3">
        <v>15</v>
      </c>
      <c r="E363" s="3">
        <v>15</v>
      </c>
      <c r="F363" s="3">
        <v>17</v>
      </c>
      <c r="G363" s="3">
        <v>21</v>
      </c>
      <c r="H363" s="3">
        <v>21</v>
      </c>
      <c r="I363" s="3">
        <v>21</v>
      </c>
      <c r="J363" s="3">
        <v>23</v>
      </c>
    </row>
    <row r="364" spans="2:10">
      <c r="B364" s="52" t="s">
        <v>260</v>
      </c>
      <c r="C364" s="3">
        <v>15</v>
      </c>
      <c r="D364" s="3">
        <v>15</v>
      </c>
      <c r="E364" s="3">
        <v>15</v>
      </c>
      <c r="F364" s="3">
        <v>17</v>
      </c>
      <c r="G364" s="3">
        <v>21</v>
      </c>
      <c r="H364" s="3">
        <v>21</v>
      </c>
      <c r="I364" s="3">
        <v>21</v>
      </c>
      <c r="J364" s="3">
        <v>23</v>
      </c>
    </row>
    <row r="365" spans="2:10">
      <c r="B365" s="52" t="s">
        <v>329</v>
      </c>
      <c r="C365" s="3">
        <v>0</v>
      </c>
      <c r="D365" s="3">
        <v>0</v>
      </c>
      <c r="E365" s="3">
        <v>0</v>
      </c>
      <c r="F365" s="3">
        <v>0</v>
      </c>
      <c r="G365" s="3">
        <v>0</v>
      </c>
      <c r="H365" s="3">
        <v>0</v>
      </c>
      <c r="I365" s="3">
        <v>0</v>
      </c>
      <c r="J365" s="3">
        <v>0</v>
      </c>
    </row>
    <row r="366" spans="2:10">
      <c r="B366" s="52" t="s">
        <v>328</v>
      </c>
      <c r="C366" s="3">
        <v>0</v>
      </c>
      <c r="D366" s="3">
        <v>0</v>
      </c>
      <c r="E366" s="3">
        <v>0</v>
      </c>
      <c r="F366" s="3">
        <v>0</v>
      </c>
      <c r="G366" s="3">
        <v>0</v>
      </c>
      <c r="H366" s="3">
        <v>0</v>
      </c>
      <c r="I366" s="3">
        <v>0</v>
      </c>
      <c r="J366" s="3">
        <v>0</v>
      </c>
    </row>
    <row r="367" spans="2:10">
      <c r="B367" s="136" t="s">
        <v>327</v>
      </c>
      <c r="C367" s="3">
        <v>0</v>
      </c>
      <c r="D367" s="3">
        <v>0</v>
      </c>
      <c r="E367" s="3">
        <v>0</v>
      </c>
      <c r="F367" s="3">
        <v>0</v>
      </c>
      <c r="G367" s="3">
        <v>0</v>
      </c>
      <c r="H367" s="3">
        <v>0</v>
      </c>
      <c r="I367" s="3">
        <v>0</v>
      </c>
      <c r="J367" s="3">
        <v>0</v>
      </c>
    </row>
    <row r="368" spans="2:10">
      <c r="B368" s="136" t="s">
        <v>326</v>
      </c>
      <c r="C368" s="3">
        <v>0</v>
      </c>
      <c r="D368" s="3">
        <v>0</v>
      </c>
      <c r="E368" s="3">
        <v>0</v>
      </c>
      <c r="F368" s="3">
        <v>0</v>
      </c>
      <c r="G368" s="3">
        <v>0</v>
      </c>
      <c r="H368" s="3">
        <v>0</v>
      </c>
      <c r="I368" s="3">
        <v>0</v>
      </c>
      <c r="J368" s="3">
        <v>0</v>
      </c>
    </row>
    <row r="369" spans="2:10">
      <c r="B369" s="136" t="s">
        <v>325</v>
      </c>
      <c r="C369" s="3">
        <v>0</v>
      </c>
      <c r="D369" s="3">
        <v>0</v>
      </c>
      <c r="E369" s="3">
        <v>0</v>
      </c>
      <c r="F369" s="3">
        <v>0</v>
      </c>
      <c r="G369" s="3">
        <v>0</v>
      </c>
      <c r="H369" s="3">
        <v>0</v>
      </c>
      <c r="I369" s="3">
        <v>0</v>
      </c>
      <c r="J369" s="3">
        <v>0</v>
      </c>
    </row>
    <row r="370" spans="2:10">
      <c r="B370" s="136" t="s">
        <v>323</v>
      </c>
      <c r="C370" s="3">
        <v>0</v>
      </c>
      <c r="D370" s="3">
        <v>0</v>
      </c>
      <c r="E370" s="3">
        <v>0</v>
      </c>
      <c r="F370" s="3">
        <v>0</v>
      </c>
      <c r="G370" s="3">
        <v>0</v>
      </c>
      <c r="H370" s="3">
        <v>0</v>
      </c>
      <c r="I370" s="3">
        <v>0</v>
      </c>
      <c r="J370" s="3">
        <v>0</v>
      </c>
    </row>
    <row r="371" spans="2:10">
      <c r="B371" s="136" t="s">
        <v>117</v>
      </c>
      <c r="C371" s="3">
        <v>0</v>
      </c>
      <c r="D371" s="3">
        <v>0</v>
      </c>
      <c r="E371" s="3">
        <v>0</v>
      </c>
      <c r="F371" s="3">
        <v>0</v>
      </c>
      <c r="G371" s="3">
        <v>0</v>
      </c>
      <c r="H371" s="3">
        <v>0</v>
      </c>
      <c r="I371" s="3">
        <v>0</v>
      </c>
      <c r="J371" s="3">
        <v>0</v>
      </c>
    </row>
    <row r="372" spans="2:10">
      <c r="B372" s="133" t="s">
        <v>322</v>
      </c>
      <c r="C372" s="3">
        <v>0</v>
      </c>
      <c r="D372" s="3">
        <v>0</v>
      </c>
      <c r="E372" s="3">
        <v>0</v>
      </c>
      <c r="F372" s="3">
        <v>0</v>
      </c>
      <c r="G372" s="3">
        <v>0</v>
      </c>
      <c r="H372" s="3">
        <v>0</v>
      </c>
      <c r="I372" s="3">
        <v>0</v>
      </c>
      <c r="J372" s="3">
        <v>0</v>
      </c>
    </row>
    <row r="373" spans="2:10">
      <c r="B373" s="133"/>
      <c r="C373" s="3"/>
      <c r="D373" s="3"/>
      <c r="E373" s="3"/>
      <c r="F373" s="3"/>
      <c r="G373" s="3"/>
      <c r="H373" s="3"/>
      <c r="I373" s="3"/>
      <c r="J373" s="3"/>
    </row>
    <row r="374" spans="2:10">
      <c r="B374" s="59" t="s">
        <v>83</v>
      </c>
      <c r="C374" s="3"/>
      <c r="D374" s="3"/>
      <c r="E374" s="3"/>
      <c r="F374" s="3"/>
      <c r="G374" s="3"/>
      <c r="H374" s="3"/>
      <c r="I374" s="3"/>
      <c r="J374" s="3"/>
    </row>
    <row r="375" spans="2:10">
      <c r="B375" s="71" t="s">
        <v>331</v>
      </c>
      <c r="C375" s="3">
        <v>34</v>
      </c>
      <c r="D375" s="3">
        <v>34</v>
      </c>
      <c r="E375" s="3">
        <v>34</v>
      </c>
      <c r="F375" s="3">
        <v>36</v>
      </c>
      <c r="G375" s="3">
        <v>39</v>
      </c>
      <c r="H375" s="3">
        <v>40</v>
      </c>
      <c r="I375" s="3">
        <v>40</v>
      </c>
      <c r="J375" s="3">
        <v>40</v>
      </c>
    </row>
    <row r="376" spans="2:10">
      <c r="B376" s="133" t="s">
        <v>330</v>
      </c>
      <c r="C376" s="3">
        <v>34</v>
      </c>
      <c r="D376" s="3">
        <v>34</v>
      </c>
      <c r="E376" s="3">
        <v>34</v>
      </c>
      <c r="F376" s="3">
        <v>36</v>
      </c>
      <c r="G376" s="3">
        <v>39</v>
      </c>
      <c r="H376" s="3">
        <v>40</v>
      </c>
      <c r="I376" s="3">
        <v>40</v>
      </c>
      <c r="J376" s="3">
        <v>40</v>
      </c>
    </row>
    <row r="377" spans="2:10">
      <c r="B377" s="52" t="s">
        <v>260</v>
      </c>
      <c r="C377" s="3">
        <v>34</v>
      </c>
      <c r="D377" s="3">
        <v>33</v>
      </c>
      <c r="E377" s="3">
        <v>33</v>
      </c>
      <c r="F377" s="3">
        <v>35</v>
      </c>
      <c r="G377" s="3">
        <v>38</v>
      </c>
      <c r="H377" s="3">
        <v>39</v>
      </c>
      <c r="I377" s="3">
        <v>39</v>
      </c>
      <c r="J377" s="3">
        <v>39</v>
      </c>
    </row>
    <row r="378" spans="2:10">
      <c r="B378" s="52" t="s">
        <v>329</v>
      </c>
      <c r="C378" s="3">
        <v>0</v>
      </c>
      <c r="D378" s="3">
        <v>0</v>
      </c>
      <c r="E378" s="3">
        <v>0</v>
      </c>
      <c r="F378" s="3">
        <v>0</v>
      </c>
      <c r="G378" s="3">
        <v>0</v>
      </c>
      <c r="H378" s="3">
        <v>0</v>
      </c>
      <c r="I378" s="3">
        <v>0</v>
      </c>
      <c r="J378" s="3">
        <v>0</v>
      </c>
    </row>
    <row r="379" spans="2:10">
      <c r="B379" s="52" t="s">
        <v>328</v>
      </c>
      <c r="C379" s="3">
        <v>0</v>
      </c>
      <c r="D379" s="3">
        <v>1</v>
      </c>
      <c r="E379" s="3">
        <v>1</v>
      </c>
      <c r="F379" s="3">
        <v>1</v>
      </c>
      <c r="G379" s="3">
        <v>1</v>
      </c>
      <c r="H379" s="3">
        <v>1</v>
      </c>
      <c r="I379" s="3">
        <v>1</v>
      </c>
      <c r="J379" s="3">
        <v>1</v>
      </c>
    </row>
    <row r="380" spans="2:10">
      <c r="B380" s="136" t="s">
        <v>327</v>
      </c>
      <c r="C380" s="3">
        <v>0</v>
      </c>
      <c r="D380" s="3">
        <v>0</v>
      </c>
      <c r="E380" s="3">
        <v>0</v>
      </c>
      <c r="F380" s="3">
        <v>0</v>
      </c>
      <c r="G380" s="3">
        <v>0</v>
      </c>
      <c r="H380" s="3">
        <v>0</v>
      </c>
      <c r="I380" s="3">
        <v>0</v>
      </c>
      <c r="J380" s="3">
        <v>0</v>
      </c>
    </row>
    <row r="381" spans="2:10">
      <c r="B381" s="136" t="s">
        <v>326</v>
      </c>
      <c r="C381" s="3">
        <v>0</v>
      </c>
      <c r="D381" s="3">
        <v>0</v>
      </c>
      <c r="E381" s="3">
        <v>0</v>
      </c>
      <c r="F381" s="3">
        <v>0</v>
      </c>
      <c r="G381" s="3">
        <v>0</v>
      </c>
      <c r="H381" s="3">
        <v>0</v>
      </c>
      <c r="I381" s="3">
        <v>0</v>
      </c>
      <c r="J381" s="3">
        <v>0</v>
      </c>
    </row>
    <row r="382" spans="2:10">
      <c r="B382" s="136" t="s">
        <v>325</v>
      </c>
      <c r="C382" s="3" t="s">
        <v>324</v>
      </c>
      <c r="D382" s="3">
        <v>1</v>
      </c>
      <c r="E382" s="3">
        <v>1</v>
      </c>
      <c r="F382" s="3">
        <v>1</v>
      </c>
      <c r="G382" s="3">
        <v>1</v>
      </c>
      <c r="H382" s="3">
        <v>1</v>
      </c>
      <c r="I382" s="3">
        <v>1</v>
      </c>
      <c r="J382" s="3">
        <v>1</v>
      </c>
    </row>
    <row r="383" spans="2:10">
      <c r="B383" s="136" t="s">
        <v>323</v>
      </c>
      <c r="C383" s="3">
        <v>0</v>
      </c>
      <c r="D383" s="3">
        <v>0</v>
      </c>
      <c r="E383" s="3">
        <v>0</v>
      </c>
      <c r="F383" s="3">
        <v>0</v>
      </c>
      <c r="G383" s="3">
        <v>0</v>
      </c>
      <c r="H383" s="3">
        <v>0</v>
      </c>
      <c r="I383" s="3">
        <v>0</v>
      </c>
      <c r="J383" s="3">
        <v>0</v>
      </c>
    </row>
    <row r="384" spans="2:10">
      <c r="B384" s="136" t="s">
        <v>117</v>
      </c>
      <c r="C384" s="3">
        <v>0</v>
      </c>
      <c r="D384" s="3">
        <v>0</v>
      </c>
      <c r="E384" s="3">
        <v>0</v>
      </c>
      <c r="F384" s="3">
        <v>0</v>
      </c>
      <c r="G384" s="3">
        <v>0</v>
      </c>
      <c r="H384" s="3">
        <v>0</v>
      </c>
      <c r="I384" s="3">
        <v>0</v>
      </c>
      <c r="J384" s="3">
        <v>0</v>
      </c>
    </row>
    <row r="385" spans="2:10" ht="15" thickBot="1">
      <c r="B385" s="141" t="s">
        <v>322</v>
      </c>
      <c r="C385" s="3">
        <v>0</v>
      </c>
      <c r="D385" s="3">
        <v>0</v>
      </c>
      <c r="E385" s="3">
        <v>0</v>
      </c>
      <c r="F385" s="3">
        <v>0</v>
      </c>
      <c r="G385" s="3">
        <v>0</v>
      </c>
      <c r="H385" s="3">
        <v>0</v>
      </c>
      <c r="I385" s="3">
        <v>0</v>
      </c>
      <c r="J385" s="3">
        <v>0</v>
      </c>
    </row>
    <row r="386" spans="2:10" ht="15" thickTop="1">
      <c r="B386" s="2026" t="s">
        <v>321</v>
      </c>
      <c r="C386" s="2026"/>
      <c r="D386" s="2026"/>
      <c r="E386" s="2026"/>
      <c r="F386" s="2026"/>
      <c r="G386" s="2026"/>
      <c r="H386" s="2026"/>
      <c r="I386" s="2026"/>
      <c r="J386" s="2026"/>
    </row>
    <row r="387" spans="2:10">
      <c r="B387" s="64"/>
      <c r="C387" s="1"/>
      <c r="D387" s="1"/>
      <c r="E387" s="1"/>
      <c r="F387" s="1"/>
      <c r="G387" s="1"/>
      <c r="H387" s="1"/>
      <c r="I387" s="1"/>
      <c r="J387" s="1"/>
    </row>
    <row r="388" spans="2:10">
      <c r="B388" s="14" t="s">
        <v>320</v>
      </c>
      <c r="C388" s="14"/>
      <c r="D388" s="14"/>
      <c r="E388" s="14"/>
      <c r="F388" s="14"/>
      <c r="G388" s="14"/>
      <c r="H388" s="14"/>
      <c r="I388" s="14"/>
      <c r="J388" s="14"/>
    </row>
    <row r="389" spans="2:10">
      <c r="B389" s="12" t="s">
        <v>319</v>
      </c>
      <c r="C389" s="1"/>
      <c r="D389" s="1"/>
      <c r="E389" s="1"/>
      <c r="F389" s="1"/>
      <c r="G389" s="1"/>
      <c r="H389" s="1"/>
      <c r="I389" s="1"/>
      <c r="J389" s="1"/>
    </row>
    <row r="390" spans="2:10">
      <c r="B390" s="62" t="s">
        <v>242</v>
      </c>
      <c r="C390" s="1"/>
      <c r="D390" s="1"/>
      <c r="E390" s="1"/>
      <c r="F390" s="1"/>
      <c r="G390" s="1"/>
      <c r="H390" s="1"/>
      <c r="I390" s="1"/>
      <c r="J390" s="1"/>
    </row>
    <row r="391" spans="2:10">
      <c r="B391" s="64"/>
      <c r="C391" s="1"/>
      <c r="D391" s="1"/>
      <c r="E391" s="1"/>
      <c r="F391" s="1"/>
      <c r="G391" s="1"/>
      <c r="H391" s="1"/>
      <c r="I391" s="1"/>
      <c r="J391" s="1"/>
    </row>
    <row r="392" spans="2:10">
      <c r="B392" s="61"/>
      <c r="C392" s="60">
        <v>2014</v>
      </c>
      <c r="D392" s="60">
        <v>2015</v>
      </c>
      <c r="E392" s="60">
        <v>2016</v>
      </c>
      <c r="F392" s="60">
        <v>2017</v>
      </c>
      <c r="G392" s="60">
        <v>2018</v>
      </c>
      <c r="H392" s="60">
        <v>2019</v>
      </c>
      <c r="I392" s="60">
        <v>2020</v>
      </c>
      <c r="J392" s="60">
        <v>2021</v>
      </c>
    </row>
    <row r="393" spans="2:10">
      <c r="B393" s="114" t="s">
        <v>310</v>
      </c>
      <c r="C393" s="107"/>
      <c r="D393" s="107"/>
      <c r="E393" s="107"/>
      <c r="F393" s="107"/>
      <c r="G393" s="107"/>
      <c r="H393" s="107"/>
      <c r="I393" s="107"/>
      <c r="J393" s="107"/>
    </row>
    <row r="394" spans="2:10">
      <c r="B394" s="114"/>
      <c r="C394" s="107"/>
      <c r="D394" s="107"/>
      <c r="E394" s="107"/>
      <c r="F394" s="107"/>
      <c r="G394" s="107"/>
      <c r="H394" s="107"/>
      <c r="I394" s="107"/>
      <c r="J394" s="107"/>
    </row>
    <row r="395" spans="2:10">
      <c r="B395" s="59" t="s">
        <v>309</v>
      </c>
      <c r="C395" s="107"/>
      <c r="D395" s="107"/>
      <c r="E395" s="107"/>
      <c r="F395" s="107"/>
      <c r="G395" s="107"/>
      <c r="H395" s="107"/>
      <c r="I395" s="107"/>
      <c r="J395" s="107"/>
    </row>
    <row r="396" spans="2:10">
      <c r="B396" s="71" t="s">
        <v>297</v>
      </c>
      <c r="C396" s="102">
        <v>1.671845</v>
      </c>
      <c r="D396" s="102">
        <v>1.832902</v>
      </c>
      <c r="E396" s="102">
        <v>1.9241630000000001</v>
      </c>
      <c r="F396" s="102">
        <v>2.1383019999999999</v>
      </c>
      <c r="G396" s="102">
        <v>2.2050329999999998</v>
      </c>
      <c r="H396" s="102">
        <v>2.5373299999999999</v>
      </c>
      <c r="I396" s="102">
        <v>2.621</v>
      </c>
      <c r="J396" s="102">
        <v>2.956</v>
      </c>
    </row>
    <row r="397" spans="2:10">
      <c r="B397" s="133" t="s">
        <v>296</v>
      </c>
      <c r="C397" s="102">
        <v>1.671845</v>
      </c>
      <c r="D397" s="102">
        <v>1.832902</v>
      </c>
      <c r="E397" s="102">
        <v>1.9241630000000001</v>
      </c>
      <c r="F397" s="102">
        <v>2.1383019999999999</v>
      </c>
      <c r="G397" s="102">
        <v>2.2050329999999998</v>
      </c>
      <c r="H397" s="102">
        <v>2.5373299999999999</v>
      </c>
      <c r="I397" s="102">
        <v>2.621</v>
      </c>
      <c r="J397" s="102">
        <v>2.956</v>
      </c>
    </row>
    <row r="398" spans="2:10">
      <c r="B398" s="132" t="s">
        <v>295</v>
      </c>
      <c r="C398" s="138">
        <v>0</v>
      </c>
      <c r="D398" s="138">
        <v>0</v>
      </c>
      <c r="E398" s="138">
        <v>0</v>
      </c>
      <c r="F398" s="138">
        <v>0</v>
      </c>
      <c r="G398" s="138">
        <v>0</v>
      </c>
      <c r="H398" s="138">
        <v>0</v>
      </c>
      <c r="I398" s="129">
        <v>0</v>
      </c>
      <c r="J398" s="129">
        <v>0</v>
      </c>
    </row>
    <row r="399" spans="2:10">
      <c r="B399" s="132" t="s">
        <v>303</v>
      </c>
      <c r="C399" s="138">
        <v>0</v>
      </c>
      <c r="D399" s="138">
        <v>0</v>
      </c>
      <c r="E399" s="138">
        <v>0</v>
      </c>
      <c r="F399" s="138">
        <v>0</v>
      </c>
      <c r="G399" s="138">
        <v>0</v>
      </c>
      <c r="H399" s="138">
        <v>0</v>
      </c>
      <c r="I399" s="129">
        <v>0</v>
      </c>
      <c r="J399" s="129">
        <v>0</v>
      </c>
    </row>
    <row r="400" spans="2:10">
      <c r="B400" s="65" t="s">
        <v>318</v>
      </c>
      <c r="C400" s="137">
        <v>0.66643336072142245</v>
      </c>
      <c r="D400" s="137">
        <v>0.69988267739330512</v>
      </c>
      <c r="E400" s="137">
        <v>0.51702905694875145</v>
      </c>
      <c r="F400" s="137">
        <v>0.49187688511105021</v>
      </c>
      <c r="G400" s="137">
        <v>0.55292529892269449</v>
      </c>
      <c r="H400" s="137">
        <v>0.53091484172269265</v>
      </c>
      <c r="I400" s="129">
        <v>0</v>
      </c>
      <c r="J400" s="129">
        <v>0</v>
      </c>
    </row>
    <row r="401" spans="2:10">
      <c r="B401" s="65" t="s">
        <v>317</v>
      </c>
      <c r="C401" s="137">
        <v>0.36881318091721749</v>
      </c>
      <c r="D401" s="137">
        <v>0.36291856299249625</v>
      </c>
      <c r="E401" s="137">
        <v>0.40070872285316683</v>
      </c>
      <c r="F401" s="137">
        <v>0.43686679327405065</v>
      </c>
      <c r="G401" s="137">
        <v>0.45835987524715327</v>
      </c>
      <c r="H401" s="137">
        <v>0.42135231567820625</v>
      </c>
      <c r="I401" s="129">
        <v>0</v>
      </c>
      <c r="J401" s="129">
        <v>0</v>
      </c>
    </row>
    <row r="402" spans="2:10">
      <c r="B402" s="65" t="s">
        <v>316</v>
      </c>
      <c r="C402" s="137">
        <v>0.75</v>
      </c>
      <c r="D402" s="137">
        <v>0.92307692307692313</v>
      </c>
      <c r="E402" s="137">
        <v>0.97777777777777775</v>
      </c>
      <c r="F402" s="137">
        <v>0.96846846846846846</v>
      </c>
      <c r="G402" s="137">
        <v>0.94871794871794868</v>
      </c>
      <c r="H402" s="137">
        <v>0.83388704318936868</v>
      </c>
      <c r="I402" s="129">
        <v>0</v>
      </c>
      <c r="J402" s="129">
        <v>0</v>
      </c>
    </row>
    <row r="403" spans="2:10">
      <c r="B403" s="136"/>
      <c r="C403" s="138"/>
      <c r="D403" s="138"/>
      <c r="E403" s="138"/>
      <c r="F403" s="138"/>
      <c r="G403" s="138"/>
      <c r="H403" s="138"/>
      <c r="I403" s="138"/>
      <c r="J403" s="138"/>
    </row>
    <row r="404" spans="2:10">
      <c r="B404" s="59" t="s">
        <v>305</v>
      </c>
      <c r="C404" s="138"/>
      <c r="D404" s="138"/>
      <c r="E404" s="138"/>
      <c r="F404" s="138"/>
      <c r="G404" s="138"/>
      <c r="H404" s="138"/>
      <c r="I404" s="138"/>
      <c r="J404" s="138"/>
    </row>
    <row r="405" spans="2:10">
      <c r="B405" s="71" t="s">
        <v>297</v>
      </c>
      <c r="C405" s="140">
        <v>5.2030000000000002E-3</v>
      </c>
      <c r="D405" s="102">
        <v>3.591E-3</v>
      </c>
      <c r="E405" s="102">
        <v>3.1520000000000003E-3</v>
      </c>
      <c r="F405" s="102">
        <v>2.7160000000000001E-3</v>
      </c>
      <c r="G405" s="102">
        <v>2.8279999999999998E-3</v>
      </c>
      <c r="H405" s="102">
        <v>2.1450000000000002E-3</v>
      </c>
      <c r="I405" s="102">
        <v>2.297E-3</v>
      </c>
      <c r="J405" s="102">
        <v>1E-3</v>
      </c>
    </row>
    <row r="406" spans="2:10">
      <c r="B406" s="133" t="s">
        <v>296</v>
      </c>
      <c r="C406" s="140">
        <v>0</v>
      </c>
      <c r="D406" s="140">
        <v>0</v>
      </c>
      <c r="E406" s="140">
        <v>0</v>
      </c>
      <c r="F406" s="140">
        <v>0</v>
      </c>
      <c r="G406" s="140">
        <v>0</v>
      </c>
      <c r="H406" s="140">
        <v>0</v>
      </c>
      <c r="I406" s="140">
        <v>0</v>
      </c>
      <c r="J406" s="140">
        <v>0</v>
      </c>
    </row>
    <row r="407" spans="2:10">
      <c r="B407" s="132" t="s">
        <v>295</v>
      </c>
      <c r="C407" s="140">
        <v>2.1150000000000001E-3</v>
      </c>
      <c r="D407" s="139">
        <v>7.5799999999999999E-4</v>
      </c>
      <c r="E407" s="139">
        <v>2.7599999999999999E-4</v>
      </c>
      <c r="F407" s="139">
        <v>2.3800000000000001E-4</v>
      </c>
      <c r="G407" s="139">
        <v>6.0899999999999995E-4</v>
      </c>
      <c r="H407" s="139">
        <v>2.8499999999999999E-4</v>
      </c>
      <c r="I407" s="139">
        <v>2.8499999999999999E-4</v>
      </c>
      <c r="J407" s="102">
        <v>1E-3</v>
      </c>
    </row>
    <row r="408" spans="2:10">
      <c r="B408" s="132" t="s">
        <v>303</v>
      </c>
      <c r="C408" s="140">
        <v>3.088E-3</v>
      </c>
      <c r="D408" s="139">
        <v>2.833E-3</v>
      </c>
      <c r="E408" s="139">
        <v>2.8760000000000001E-3</v>
      </c>
      <c r="F408" s="139">
        <v>2.4780000000000002E-3</v>
      </c>
      <c r="G408" s="139">
        <v>2.2190000000000001E-3</v>
      </c>
      <c r="H408" s="139">
        <v>1.8600000000000001E-3</v>
      </c>
      <c r="I408" s="139">
        <v>2.0230000000000001E-3</v>
      </c>
      <c r="J408" s="139">
        <v>2.0230000000000001E-3</v>
      </c>
    </row>
    <row r="409" spans="2:10">
      <c r="B409" s="65" t="s">
        <v>287</v>
      </c>
      <c r="C409" s="138">
        <v>0</v>
      </c>
      <c r="D409" s="138">
        <v>0</v>
      </c>
      <c r="E409" s="138">
        <v>0</v>
      </c>
      <c r="F409" s="138">
        <v>0</v>
      </c>
      <c r="G409" s="138">
        <v>0</v>
      </c>
      <c r="H409" s="138">
        <v>0</v>
      </c>
      <c r="I409" s="138">
        <v>0</v>
      </c>
      <c r="J409" s="138">
        <v>0</v>
      </c>
    </row>
    <row r="410" spans="2:10">
      <c r="B410" s="1"/>
      <c r="C410" s="107"/>
      <c r="D410" s="107"/>
      <c r="E410" s="107"/>
      <c r="F410" s="107"/>
      <c r="G410" s="107"/>
      <c r="H410" s="107"/>
      <c r="I410" s="107"/>
      <c r="J410" s="107"/>
    </row>
    <row r="411" spans="2:10">
      <c r="B411" s="59" t="s">
        <v>304</v>
      </c>
      <c r="C411" s="138"/>
      <c r="D411" s="139"/>
      <c r="E411" s="139"/>
      <c r="F411" s="139"/>
      <c r="G411" s="139"/>
      <c r="H411" s="139"/>
      <c r="I411" s="139"/>
      <c r="J411" s="139"/>
    </row>
    <row r="412" spans="2:10">
      <c r="B412" s="71" t="s">
        <v>297</v>
      </c>
      <c r="C412" s="140">
        <v>9.3089999999999996E-3</v>
      </c>
      <c r="D412" s="139">
        <v>1.0988E-2</v>
      </c>
      <c r="E412" s="139">
        <v>9.196000000000001E-3</v>
      </c>
      <c r="F412" s="139">
        <v>8.4860000000000005E-3</v>
      </c>
      <c r="G412" s="139">
        <v>8.3419999999999987E-3</v>
      </c>
      <c r="H412" s="139">
        <v>7.0009999999999994E-3</v>
      </c>
      <c r="I412" s="139">
        <v>7.0009999999999994E-3</v>
      </c>
      <c r="J412" s="139">
        <v>1.1999999999999999E-3</v>
      </c>
    </row>
    <row r="413" spans="2:10">
      <c r="B413" s="133" t="s">
        <v>296</v>
      </c>
      <c r="C413" s="140">
        <v>0</v>
      </c>
      <c r="D413" s="140">
        <v>0</v>
      </c>
      <c r="E413" s="140">
        <v>0</v>
      </c>
      <c r="F413" s="140">
        <v>0</v>
      </c>
      <c r="G413" s="140">
        <v>0</v>
      </c>
      <c r="H413" s="140">
        <v>0</v>
      </c>
      <c r="I413" s="140">
        <v>0</v>
      </c>
      <c r="J413" s="140">
        <v>0</v>
      </c>
    </row>
    <row r="414" spans="2:10">
      <c r="B414" s="132" t="s">
        <v>295</v>
      </c>
      <c r="C414" s="140">
        <v>9.1710000000000003E-3</v>
      </c>
      <c r="D414" s="139">
        <v>1.0789E-2</v>
      </c>
      <c r="E414" s="139">
        <v>8.9300000000000004E-3</v>
      </c>
      <c r="F414" s="139">
        <v>8.2199999999999999E-3</v>
      </c>
      <c r="G414" s="139">
        <v>8.1099999999999992E-3</v>
      </c>
      <c r="H414" s="139">
        <v>6.7999999999999996E-3</v>
      </c>
      <c r="I414" s="139">
        <v>6.7999999999999996E-3</v>
      </c>
      <c r="J414" s="139">
        <v>1.1999999999999999E-3</v>
      </c>
    </row>
    <row r="415" spans="2:10">
      <c r="B415" s="132" t="s">
        <v>303</v>
      </c>
      <c r="C415" s="140">
        <v>1.3799999999999999E-4</v>
      </c>
      <c r="D415" s="139">
        <v>1.9900000000000001E-4</v>
      </c>
      <c r="E415" s="139">
        <v>2.6600000000000001E-4</v>
      </c>
      <c r="F415" s="139">
        <v>2.6600000000000001E-4</v>
      </c>
      <c r="G415" s="139">
        <v>2.32E-4</v>
      </c>
      <c r="H415" s="139">
        <v>2.0100000000000001E-4</v>
      </c>
      <c r="I415" s="139">
        <v>2.0100000000000001E-4</v>
      </c>
      <c r="J415" s="139">
        <v>2.0100000000000001E-4</v>
      </c>
    </row>
    <row r="416" spans="2:10">
      <c r="B416" s="65" t="s">
        <v>287</v>
      </c>
      <c r="C416" s="138">
        <v>0</v>
      </c>
      <c r="D416" s="138">
        <v>0</v>
      </c>
      <c r="E416" s="138">
        <v>0</v>
      </c>
      <c r="F416" s="138">
        <v>0</v>
      </c>
      <c r="G416" s="138">
        <v>0</v>
      </c>
      <c r="H416" s="138">
        <v>0</v>
      </c>
      <c r="I416" s="138">
        <v>0</v>
      </c>
      <c r="J416" s="138">
        <v>0</v>
      </c>
    </row>
    <row r="417" spans="2:10">
      <c r="B417" s="1"/>
      <c r="C417" s="107"/>
      <c r="D417" s="107"/>
      <c r="E417" s="107"/>
      <c r="F417" s="107"/>
      <c r="G417" s="107"/>
      <c r="H417" s="107"/>
      <c r="I417" s="107"/>
      <c r="J417" s="107"/>
    </row>
    <row r="418" spans="2:10">
      <c r="B418" s="1"/>
      <c r="C418" s="107"/>
      <c r="D418" s="107"/>
      <c r="E418" s="107"/>
      <c r="F418" s="107"/>
      <c r="G418" s="107"/>
      <c r="H418" s="107"/>
      <c r="I418" s="107"/>
      <c r="J418" s="107"/>
    </row>
    <row r="419" spans="2:10">
      <c r="B419" s="114" t="s">
        <v>302</v>
      </c>
      <c r="C419" s="107"/>
      <c r="D419" s="107"/>
      <c r="E419" s="107"/>
      <c r="F419" s="107"/>
      <c r="G419" s="107"/>
      <c r="H419" s="107"/>
      <c r="I419" s="107"/>
      <c r="J419" s="107"/>
    </row>
    <row r="420" spans="2:10">
      <c r="B420" s="59" t="s">
        <v>93</v>
      </c>
      <c r="C420" s="107"/>
      <c r="D420" s="107"/>
      <c r="E420" s="107"/>
      <c r="F420" s="107"/>
      <c r="G420" s="107"/>
      <c r="H420" s="107"/>
      <c r="I420" s="107"/>
      <c r="J420" s="107"/>
    </row>
    <row r="421" spans="2:10">
      <c r="B421" s="71" t="s">
        <v>297</v>
      </c>
      <c r="C421" s="107"/>
      <c r="D421" s="102">
        <v>47.415227999999999</v>
      </c>
      <c r="E421" s="102">
        <v>53.157995999999997</v>
      </c>
      <c r="F421" s="102">
        <v>63.350816999999999</v>
      </c>
      <c r="G421" s="102">
        <v>75.649491999999995</v>
      </c>
      <c r="H421" s="102">
        <v>95.808566999999996</v>
      </c>
      <c r="I421" s="102">
        <v>100.54600000000001</v>
      </c>
      <c r="J421" s="102">
        <v>115.605</v>
      </c>
    </row>
    <row r="422" spans="2:10">
      <c r="B422" s="133" t="s">
        <v>296</v>
      </c>
      <c r="C422" s="107"/>
      <c r="D422" s="102">
        <v>47.415227999999999</v>
      </c>
      <c r="E422" s="102">
        <v>53.157995999999997</v>
      </c>
      <c r="F422" s="102">
        <v>63.350816999999999</v>
      </c>
      <c r="G422" s="102">
        <v>75.649491999999995</v>
      </c>
      <c r="H422" s="102">
        <v>95.808566999999996</v>
      </c>
      <c r="I422" s="102">
        <v>100.54600000000001</v>
      </c>
      <c r="J422" s="102">
        <v>115.605</v>
      </c>
    </row>
    <row r="423" spans="2:10">
      <c r="B423" s="131" t="s">
        <v>294</v>
      </c>
      <c r="C423" s="107"/>
      <c r="D423" s="102">
        <v>47.415227999999999</v>
      </c>
      <c r="E423" s="102">
        <v>53.157995999999997</v>
      </c>
      <c r="F423" s="102">
        <v>63.350816999999999</v>
      </c>
      <c r="G423" s="102">
        <v>75.649491999999995</v>
      </c>
      <c r="H423" s="102">
        <v>95.808566999999996</v>
      </c>
      <c r="I423" s="102">
        <v>100.54600000000001</v>
      </c>
      <c r="J423" s="102">
        <v>115.605</v>
      </c>
    </row>
    <row r="424" spans="2:10">
      <c r="B424" s="131" t="s">
        <v>293</v>
      </c>
      <c r="C424" s="107"/>
      <c r="D424" s="138">
        <v>0</v>
      </c>
      <c r="E424" s="138">
        <v>0</v>
      </c>
      <c r="F424" s="138">
        <v>0</v>
      </c>
      <c r="G424" s="138">
        <v>0</v>
      </c>
      <c r="H424" s="138">
        <v>0</v>
      </c>
      <c r="I424" s="138">
        <v>0</v>
      </c>
      <c r="J424" s="138">
        <v>0</v>
      </c>
    </row>
    <row r="425" spans="2:10">
      <c r="B425" s="131" t="s">
        <v>292</v>
      </c>
      <c r="C425" s="107"/>
      <c r="D425" s="138">
        <v>0</v>
      </c>
      <c r="E425" s="138">
        <v>0</v>
      </c>
      <c r="F425" s="138">
        <v>0</v>
      </c>
      <c r="G425" s="138">
        <v>0</v>
      </c>
      <c r="H425" s="138">
        <v>0</v>
      </c>
      <c r="I425" s="138">
        <v>0</v>
      </c>
      <c r="J425" s="138">
        <v>0</v>
      </c>
    </row>
    <row r="426" spans="2:10">
      <c r="B426" s="131" t="s">
        <v>291</v>
      </c>
      <c r="C426" s="107"/>
      <c r="D426" s="138">
        <v>0</v>
      </c>
      <c r="E426" s="138">
        <v>0</v>
      </c>
      <c r="F426" s="138">
        <v>0</v>
      </c>
      <c r="G426" s="138">
        <v>0</v>
      </c>
      <c r="H426" s="138">
        <v>0</v>
      </c>
      <c r="I426" s="138">
        <v>0</v>
      </c>
      <c r="J426" s="138">
        <v>0</v>
      </c>
    </row>
    <row r="427" spans="2:10">
      <c r="B427" s="131" t="s">
        <v>290</v>
      </c>
      <c r="C427" s="107"/>
      <c r="D427" s="138">
        <v>0</v>
      </c>
      <c r="E427" s="138">
        <v>0</v>
      </c>
      <c r="F427" s="138">
        <v>0</v>
      </c>
      <c r="G427" s="138">
        <v>0</v>
      </c>
      <c r="H427" s="138">
        <v>0</v>
      </c>
      <c r="I427" s="138">
        <v>0</v>
      </c>
      <c r="J427" s="138">
        <v>0</v>
      </c>
    </row>
    <row r="428" spans="2:10">
      <c r="B428" s="131" t="s">
        <v>289</v>
      </c>
      <c r="C428" s="107"/>
      <c r="D428" s="138">
        <v>0</v>
      </c>
      <c r="E428" s="138">
        <v>0</v>
      </c>
      <c r="F428" s="138">
        <v>0</v>
      </c>
      <c r="G428" s="138">
        <v>0</v>
      </c>
      <c r="H428" s="138">
        <v>0</v>
      </c>
      <c r="I428" s="138">
        <v>0</v>
      </c>
      <c r="J428" s="138">
        <v>0</v>
      </c>
    </row>
    <row r="429" spans="2:10">
      <c r="B429" s="131" t="s">
        <v>288</v>
      </c>
      <c r="C429" s="107"/>
      <c r="D429" s="138">
        <v>0</v>
      </c>
      <c r="E429" s="138">
        <v>0</v>
      </c>
      <c r="F429" s="138">
        <v>0</v>
      </c>
      <c r="G429" s="138">
        <v>0</v>
      </c>
      <c r="H429" s="138">
        <v>0</v>
      </c>
      <c r="I429" s="138">
        <v>0</v>
      </c>
      <c r="J429" s="138">
        <v>0</v>
      </c>
    </row>
    <row r="430" spans="2:10">
      <c r="B430" s="132" t="s">
        <v>295</v>
      </c>
      <c r="C430" s="107"/>
      <c r="D430" s="138">
        <v>0</v>
      </c>
      <c r="E430" s="138">
        <v>0</v>
      </c>
      <c r="F430" s="138">
        <v>0</v>
      </c>
      <c r="G430" s="138">
        <v>0</v>
      </c>
      <c r="H430" s="138">
        <v>0</v>
      </c>
      <c r="I430" s="138">
        <v>0</v>
      </c>
      <c r="J430" s="138">
        <v>0</v>
      </c>
    </row>
    <row r="431" spans="2:10">
      <c r="B431" s="131" t="s">
        <v>294</v>
      </c>
      <c r="C431" s="107"/>
      <c r="D431" s="138">
        <v>0</v>
      </c>
      <c r="E431" s="138">
        <v>0</v>
      </c>
      <c r="F431" s="138">
        <v>0</v>
      </c>
      <c r="G431" s="138">
        <v>0</v>
      </c>
      <c r="H431" s="138">
        <v>0</v>
      </c>
      <c r="I431" s="138">
        <v>0</v>
      </c>
      <c r="J431" s="138">
        <v>0</v>
      </c>
    </row>
    <row r="432" spans="2:10">
      <c r="B432" s="131" t="s">
        <v>293</v>
      </c>
      <c r="C432" s="107"/>
      <c r="D432" s="138">
        <v>0</v>
      </c>
      <c r="E432" s="138">
        <v>0</v>
      </c>
      <c r="F432" s="138">
        <v>0</v>
      </c>
      <c r="G432" s="138">
        <v>0</v>
      </c>
      <c r="H432" s="138">
        <v>0</v>
      </c>
      <c r="I432" s="138">
        <v>0</v>
      </c>
      <c r="J432" s="138">
        <v>0</v>
      </c>
    </row>
    <row r="433" spans="2:10">
      <c r="B433" s="131" t="s">
        <v>292</v>
      </c>
      <c r="C433" s="107"/>
      <c r="D433" s="138">
        <v>0</v>
      </c>
      <c r="E433" s="138">
        <v>0</v>
      </c>
      <c r="F433" s="138">
        <v>0</v>
      </c>
      <c r="G433" s="138">
        <v>0</v>
      </c>
      <c r="H433" s="138">
        <v>0</v>
      </c>
      <c r="I433" s="138">
        <v>0</v>
      </c>
      <c r="J433" s="138">
        <v>0</v>
      </c>
    </row>
    <row r="434" spans="2:10">
      <c r="B434" s="131" t="s">
        <v>291</v>
      </c>
      <c r="C434" s="107"/>
      <c r="D434" s="138">
        <v>0</v>
      </c>
      <c r="E434" s="138">
        <v>0</v>
      </c>
      <c r="F434" s="138">
        <v>0</v>
      </c>
      <c r="G434" s="138">
        <v>0</v>
      </c>
      <c r="H434" s="138">
        <v>0</v>
      </c>
      <c r="I434" s="138">
        <v>0</v>
      </c>
      <c r="J434" s="138">
        <v>0</v>
      </c>
    </row>
    <row r="435" spans="2:10">
      <c r="B435" s="131" t="s">
        <v>290</v>
      </c>
      <c r="C435" s="107"/>
      <c r="D435" s="138">
        <v>0</v>
      </c>
      <c r="E435" s="138">
        <v>0</v>
      </c>
      <c r="F435" s="138">
        <v>0</v>
      </c>
      <c r="G435" s="138">
        <v>0</v>
      </c>
      <c r="H435" s="138">
        <v>0</v>
      </c>
      <c r="I435" s="138">
        <v>0</v>
      </c>
      <c r="J435" s="138">
        <v>0</v>
      </c>
    </row>
    <row r="436" spans="2:10">
      <c r="B436" s="131" t="s">
        <v>289</v>
      </c>
      <c r="C436" s="107"/>
      <c r="D436" s="138">
        <v>0</v>
      </c>
      <c r="E436" s="138">
        <v>0</v>
      </c>
      <c r="F436" s="138">
        <v>0</v>
      </c>
      <c r="G436" s="138">
        <v>0</v>
      </c>
      <c r="H436" s="138">
        <v>0</v>
      </c>
      <c r="I436" s="138">
        <v>0</v>
      </c>
      <c r="J436" s="138">
        <v>0</v>
      </c>
    </row>
    <row r="437" spans="2:10">
      <c r="B437" s="131" t="s">
        <v>288</v>
      </c>
      <c r="C437" s="107"/>
      <c r="D437" s="138">
        <v>0</v>
      </c>
      <c r="E437" s="138">
        <v>0</v>
      </c>
      <c r="F437" s="138">
        <v>0</v>
      </c>
      <c r="G437" s="138">
        <v>0</v>
      </c>
      <c r="H437" s="138">
        <v>0</v>
      </c>
      <c r="I437" s="138">
        <v>0</v>
      </c>
      <c r="J437" s="138">
        <v>0</v>
      </c>
    </row>
    <row r="438" spans="2:10">
      <c r="B438" s="65" t="s">
        <v>287</v>
      </c>
      <c r="C438" s="107"/>
      <c r="D438" s="138">
        <v>0</v>
      </c>
      <c r="E438" s="138">
        <v>0</v>
      </c>
      <c r="F438" s="138">
        <v>0</v>
      </c>
      <c r="G438" s="138">
        <v>0</v>
      </c>
      <c r="H438" s="138">
        <v>0</v>
      </c>
      <c r="I438" s="138">
        <v>0</v>
      </c>
      <c r="J438" s="138">
        <v>0</v>
      </c>
    </row>
    <row r="439" spans="2:10">
      <c r="B439" s="114"/>
      <c r="C439" s="107"/>
      <c r="D439" s="107"/>
      <c r="E439" s="107"/>
      <c r="F439" s="107"/>
      <c r="G439" s="107"/>
      <c r="H439" s="107"/>
      <c r="I439" s="107"/>
      <c r="J439" s="107"/>
    </row>
    <row r="440" spans="2:10">
      <c r="B440" s="59" t="s">
        <v>85</v>
      </c>
      <c r="C440" s="107"/>
      <c r="D440" s="107"/>
      <c r="E440" s="107"/>
      <c r="F440" s="107"/>
      <c r="G440" s="107"/>
      <c r="H440" s="107"/>
      <c r="I440" s="107"/>
      <c r="J440" s="107"/>
    </row>
    <row r="441" spans="2:10">
      <c r="B441" s="71" t="s">
        <v>297</v>
      </c>
      <c r="C441" s="139">
        <v>217.987234</v>
      </c>
      <c r="D441" s="102">
        <v>179.513948</v>
      </c>
      <c r="E441" s="102">
        <v>189.604195</v>
      </c>
      <c r="F441" s="102">
        <v>202.96888499999997</v>
      </c>
      <c r="G441" s="102">
        <v>214.08256800000001</v>
      </c>
      <c r="H441" s="102">
        <v>222.07666499999999</v>
      </c>
      <c r="I441" s="102">
        <v>299.77154999999999</v>
      </c>
      <c r="J441" s="102">
        <v>622.83399999999995</v>
      </c>
    </row>
    <row r="442" spans="2:10">
      <c r="B442" s="133" t="s">
        <v>296</v>
      </c>
      <c r="C442" s="139">
        <v>217.987234</v>
      </c>
      <c r="D442" s="102">
        <v>179.513948</v>
      </c>
      <c r="E442" s="102">
        <v>189.604195</v>
      </c>
      <c r="F442" s="102">
        <v>202.96888499999997</v>
      </c>
      <c r="G442" s="102">
        <v>214.08256800000001</v>
      </c>
      <c r="H442" s="102">
        <v>222.07666499999999</v>
      </c>
      <c r="I442" s="102">
        <v>299.77154999999999</v>
      </c>
      <c r="J442" s="102">
        <v>622.83399999999995</v>
      </c>
    </row>
    <row r="443" spans="2:10">
      <c r="B443" s="131" t="s">
        <v>294</v>
      </c>
      <c r="C443" s="139">
        <v>83.857678000000007</v>
      </c>
      <c r="D443" s="102">
        <v>43.671779000000001</v>
      </c>
      <c r="E443" s="102">
        <v>50.579439000000001</v>
      </c>
      <c r="F443" s="102">
        <v>52.955855</v>
      </c>
      <c r="G443" s="102">
        <v>50.85163</v>
      </c>
      <c r="H443" s="102">
        <v>50.360464999999998</v>
      </c>
      <c r="I443" s="102">
        <v>131.12245100000001</v>
      </c>
      <c r="J443" s="102">
        <v>418.39499999999998</v>
      </c>
    </row>
    <row r="444" spans="2:10">
      <c r="B444" s="131" t="s">
        <v>293</v>
      </c>
      <c r="C444" s="139">
        <v>42.767791000000003</v>
      </c>
      <c r="D444" s="102">
        <v>46.792079999999999</v>
      </c>
      <c r="E444" s="102">
        <v>52.718480999999997</v>
      </c>
      <c r="F444" s="102">
        <v>64.589765</v>
      </c>
      <c r="G444" s="102">
        <v>79.888435999999999</v>
      </c>
      <c r="H444" s="102">
        <v>93.838116999999997</v>
      </c>
      <c r="I444" s="102">
        <v>107.514099</v>
      </c>
      <c r="J444" s="102">
        <v>120.505</v>
      </c>
    </row>
    <row r="445" spans="2:10">
      <c r="B445" s="131" t="s">
        <v>292</v>
      </c>
      <c r="C445" s="138">
        <v>0</v>
      </c>
      <c r="D445" s="138">
        <v>0</v>
      </c>
      <c r="E445" s="138">
        <v>0</v>
      </c>
      <c r="F445" s="138">
        <v>0</v>
      </c>
      <c r="G445" s="138">
        <v>0</v>
      </c>
      <c r="H445" s="138">
        <v>0</v>
      </c>
      <c r="I445" s="138">
        <v>0</v>
      </c>
      <c r="J445" s="138">
        <v>0</v>
      </c>
    </row>
    <row r="446" spans="2:10">
      <c r="B446" s="131" t="s">
        <v>291</v>
      </c>
      <c r="C446" s="138">
        <v>0</v>
      </c>
      <c r="D446" s="138">
        <v>0</v>
      </c>
      <c r="E446" s="138">
        <v>0</v>
      </c>
      <c r="F446" s="138">
        <v>0</v>
      </c>
      <c r="G446" s="138">
        <v>0</v>
      </c>
      <c r="H446" s="138">
        <v>0</v>
      </c>
      <c r="I446" s="138">
        <v>0</v>
      </c>
      <c r="J446" s="138">
        <v>0</v>
      </c>
    </row>
    <row r="447" spans="2:10">
      <c r="B447" s="131" t="s">
        <v>290</v>
      </c>
      <c r="C447" s="138">
        <v>0</v>
      </c>
      <c r="D447" s="138">
        <v>0</v>
      </c>
      <c r="E447" s="138">
        <v>0</v>
      </c>
      <c r="F447" s="138">
        <v>0</v>
      </c>
      <c r="G447" s="138">
        <v>0</v>
      </c>
      <c r="H447" s="138">
        <v>0</v>
      </c>
      <c r="I447" s="138">
        <v>0</v>
      </c>
      <c r="J447" s="138">
        <v>0</v>
      </c>
    </row>
    <row r="448" spans="2:10">
      <c r="B448" s="131" t="s">
        <v>289</v>
      </c>
      <c r="C448" s="139">
        <v>91.361765000000005</v>
      </c>
      <c r="D448" s="102">
        <v>89.050089</v>
      </c>
      <c r="E448" s="102">
        <v>86.306274999999999</v>
      </c>
      <c r="F448" s="102">
        <v>85.421087</v>
      </c>
      <c r="G448" s="102">
        <v>83.336061999999998</v>
      </c>
      <c r="H448" s="102">
        <v>77.458962</v>
      </c>
      <c r="I448" s="102">
        <v>52.549275000000002</v>
      </c>
      <c r="J448" s="102">
        <v>56.868000000000002</v>
      </c>
    </row>
    <row r="449" spans="2:10">
      <c r="B449" s="131" t="s">
        <v>288</v>
      </c>
      <c r="C449" s="139">
        <v>0</v>
      </c>
      <c r="D449" s="102">
        <v>0</v>
      </c>
      <c r="E449" s="102">
        <v>0</v>
      </c>
      <c r="F449" s="102">
        <v>2.1779999999999998E-3</v>
      </c>
      <c r="G449" s="102">
        <v>6.4400000000000004E-3</v>
      </c>
      <c r="H449" s="102">
        <v>0.39092500000000002</v>
      </c>
      <c r="I449" s="102">
        <v>4.6589999999999998</v>
      </c>
      <c r="J449" s="102">
        <v>27.065999999999999</v>
      </c>
    </row>
    <row r="450" spans="2:10">
      <c r="B450" s="132" t="s">
        <v>295</v>
      </c>
      <c r="C450" s="138">
        <v>0</v>
      </c>
      <c r="D450" s="138">
        <v>0</v>
      </c>
      <c r="E450" s="138">
        <v>0</v>
      </c>
      <c r="F450" s="138">
        <v>0</v>
      </c>
      <c r="G450" s="138">
        <v>0</v>
      </c>
      <c r="H450" s="138">
        <v>0</v>
      </c>
      <c r="I450" s="138">
        <v>0</v>
      </c>
      <c r="J450" s="138">
        <v>0</v>
      </c>
    </row>
    <row r="451" spans="2:10">
      <c r="B451" s="131" t="s">
        <v>294</v>
      </c>
      <c r="C451" s="138">
        <v>0</v>
      </c>
      <c r="D451" s="138">
        <v>0</v>
      </c>
      <c r="E451" s="138">
        <v>0</v>
      </c>
      <c r="F451" s="138">
        <v>0</v>
      </c>
      <c r="G451" s="138">
        <v>0</v>
      </c>
      <c r="H451" s="138">
        <v>0</v>
      </c>
      <c r="I451" s="138">
        <v>0</v>
      </c>
      <c r="J451" s="138">
        <v>0</v>
      </c>
    </row>
    <row r="452" spans="2:10">
      <c r="B452" s="131" t="s">
        <v>293</v>
      </c>
      <c r="C452" s="138">
        <v>0</v>
      </c>
      <c r="D452" s="138">
        <v>0</v>
      </c>
      <c r="E452" s="138">
        <v>0</v>
      </c>
      <c r="F452" s="138">
        <v>0</v>
      </c>
      <c r="G452" s="138">
        <v>0</v>
      </c>
      <c r="H452" s="138">
        <v>0</v>
      </c>
      <c r="I452" s="138">
        <v>0</v>
      </c>
      <c r="J452" s="138">
        <v>0</v>
      </c>
    </row>
    <row r="453" spans="2:10">
      <c r="B453" s="131" t="s">
        <v>292</v>
      </c>
      <c r="C453" s="138">
        <v>0</v>
      </c>
      <c r="D453" s="138">
        <v>0</v>
      </c>
      <c r="E453" s="138">
        <v>0</v>
      </c>
      <c r="F453" s="138">
        <v>0</v>
      </c>
      <c r="G453" s="138">
        <v>0</v>
      </c>
      <c r="H453" s="138">
        <v>0</v>
      </c>
      <c r="I453" s="138">
        <v>0</v>
      </c>
      <c r="J453" s="138">
        <v>0</v>
      </c>
    </row>
    <row r="454" spans="2:10">
      <c r="B454" s="131" t="s">
        <v>291</v>
      </c>
      <c r="C454" s="138">
        <v>0</v>
      </c>
      <c r="D454" s="138">
        <v>0</v>
      </c>
      <c r="E454" s="138">
        <v>0</v>
      </c>
      <c r="F454" s="138">
        <v>0</v>
      </c>
      <c r="G454" s="138">
        <v>0</v>
      </c>
      <c r="H454" s="138">
        <v>0</v>
      </c>
      <c r="I454" s="138">
        <v>0</v>
      </c>
      <c r="J454" s="138">
        <v>0</v>
      </c>
    </row>
    <row r="455" spans="2:10">
      <c r="B455" s="131" t="s">
        <v>290</v>
      </c>
      <c r="C455" s="138">
        <v>0</v>
      </c>
      <c r="D455" s="138">
        <v>0</v>
      </c>
      <c r="E455" s="138">
        <v>0</v>
      </c>
      <c r="F455" s="138">
        <v>0</v>
      </c>
      <c r="G455" s="138">
        <v>0</v>
      </c>
      <c r="H455" s="138">
        <v>0</v>
      </c>
      <c r="I455" s="138">
        <v>0</v>
      </c>
      <c r="J455" s="138">
        <v>0</v>
      </c>
    </row>
    <row r="456" spans="2:10">
      <c r="B456" s="131" t="s">
        <v>289</v>
      </c>
      <c r="C456" s="138">
        <v>0</v>
      </c>
      <c r="D456" s="138">
        <v>0</v>
      </c>
      <c r="E456" s="138">
        <v>0</v>
      </c>
      <c r="F456" s="138">
        <v>0</v>
      </c>
      <c r="G456" s="138">
        <v>0</v>
      </c>
      <c r="H456" s="138">
        <v>0</v>
      </c>
      <c r="I456" s="138">
        <v>0</v>
      </c>
      <c r="J456" s="138">
        <v>0</v>
      </c>
    </row>
    <row r="457" spans="2:10">
      <c r="B457" s="131" t="s">
        <v>288</v>
      </c>
      <c r="C457" s="138">
        <v>0</v>
      </c>
      <c r="D457" s="138">
        <v>0</v>
      </c>
      <c r="E457" s="138">
        <v>0</v>
      </c>
      <c r="F457" s="138">
        <v>0</v>
      </c>
      <c r="G457" s="138">
        <v>0</v>
      </c>
      <c r="H457" s="138">
        <v>0</v>
      </c>
      <c r="I457" s="138">
        <v>0</v>
      </c>
      <c r="J457" s="138">
        <v>0</v>
      </c>
    </row>
    <row r="458" spans="2:10">
      <c r="B458" s="65" t="s">
        <v>287</v>
      </c>
      <c r="C458" s="138">
        <v>0</v>
      </c>
      <c r="D458" s="138">
        <v>0</v>
      </c>
      <c r="E458" s="138">
        <v>0</v>
      </c>
      <c r="F458" s="138">
        <v>0</v>
      </c>
      <c r="G458" s="138">
        <v>0</v>
      </c>
      <c r="H458" s="138">
        <v>0</v>
      </c>
      <c r="I458" s="138">
        <v>0</v>
      </c>
      <c r="J458" s="138">
        <v>0</v>
      </c>
    </row>
    <row r="459" spans="2:10">
      <c r="B459" s="114"/>
      <c r="C459" s="107"/>
      <c r="D459" s="107"/>
      <c r="E459" s="107"/>
      <c r="F459" s="107"/>
      <c r="G459" s="107"/>
      <c r="H459" s="107"/>
      <c r="I459" s="107"/>
      <c r="J459" s="107"/>
    </row>
    <row r="460" spans="2:10">
      <c r="B460" s="59" t="s">
        <v>300</v>
      </c>
      <c r="C460" s="107"/>
      <c r="D460" s="107"/>
      <c r="E460" s="107"/>
      <c r="F460" s="107"/>
      <c r="G460" s="107"/>
      <c r="H460" s="107"/>
      <c r="I460" s="107"/>
      <c r="J460" s="107"/>
    </row>
    <row r="461" spans="2:10">
      <c r="B461" s="71" t="s">
        <v>297</v>
      </c>
      <c r="C461" s="102">
        <v>1126.955046</v>
      </c>
      <c r="D461" s="102">
        <v>1266.2061960000001</v>
      </c>
      <c r="E461" s="102">
        <v>1413.2468630000001</v>
      </c>
      <c r="F461" s="102">
        <v>1557.962865</v>
      </c>
      <c r="G461" s="102">
        <v>1893.174</v>
      </c>
      <c r="H461" s="102">
        <v>1923.645</v>
      </c>
      <c r="I461" s="102">
        <v>2031.6</v>
      </c>
      <c r="J461" s="102">
        <v>1934.53</v>
      </c>
    </row>
    <row r="462" spans="2:10">
      <c r="B462" s="133" t="s">
        <v>296</v>
      </c>
      <c r="C462" s="102">
        <v>1126.955046</v>
      </c>
      <c r="D462" s="102">
        <v>1266.2061960000001</v>
      </c>
      <c r="E462" s="102">
        <v>1413.2468630000001</v>
      </c>
      <c r="F462" s="102">
        <v>1557.962865</v>
      </c>
      <c r="G462" s="102">
        <v>1893.174</v>
      </c>
      <c r="H462" s="102">
        <v>1923.645</v>
      </c>
      <c r="I462" s="102">
        <v>2031.6</v>
      </c>
      <c r="J462" s="102">
        <v>1934.53</v>
      </c>
    </row>
    <row r="463" spans="2:10">
      <c r="B463" s="131" t="s">
        <v>294</v>
      </c>
      <c r="C463" s="102">
        <v>19.132479</v>
      </c>
      <c r="D463" s="102">
        <v>24.453185999999999</v>
      </c>
      <c r="E463" s="102">
        <v>32.356524999999998</v>
      </c>
      <c r="F463" s="102">
        <v>48.199446000000002</v>
      </c>
      <c r="G463" s="102">
        <v>67.353999999999999</v>
      </c>
      <c r="H463" s="102">
        <v>92.364000000000004</v>
      </c>
      <c r="I463" s="102">
        <v>181.87200000000001</v>
      </c>
      <c r="J463" s="102">
        <v>313.56299999999999</v>
      </c>
    </row>
    <row r="464" spans="2:10">
      <c r="B464" s="131" t="s">
        <v>293</v>
      </c>
      <c r="C464" s="102">
        <v>0</v>
      </c>
      <c r="D464" s="102">
        <v>0</v>
      </c>
      <c r="E464" s="102">
        <v>0</v>
      </c>
      <c r="F464" s="102">
        <v>0</v>
      </c>
      <c r="G464" s="102">
        <v>0</v>
      </c>
      <c r="H464" s="102">
        <v>0</v>
      </c>
      <c r="I464" s="102">
        <v>0</v>
      </c>
      <c r="J464" s="102">
        <v>0</v>
      </c>
    </row>
    <row r="465" spans="2:10">
      <c r="B465" s="131" t="s">
        <v>292</v>
      </c>
      <c r="C465" s="102">
        <v>742.79256699999996</v>
      </c>
      <c r="D465" s="102">
        <v>825.79264000000001</v>
      </c>
      <c r="E465" s="102">
        <v>943.16503599999999</v>
      </c>
      <c r="F465" s="102">
        <v>1037.2590279999999</v>
      </c>
      <c r="G465" s="102">
        <v>1344.68</v>
      </c>
      <c r="H465" s="102">
        <v>1313.306</v>
      </c>
      <c r="I465" s="102">
        <v>1375.72</v>
      </c>
      <c r="J465" s="102">
        <v>1119.5139999999999</v>
      </c>
    </row>
    <row r="466" spans="2:10">
      <c r="B466" s="131" t="s">
        <v>291</v>
      </c>
      <c r="C466" s="102">
        <v>365.03</v>
      </c>
      <c r="D466" s="102">
        <v>395.47136999999998</v>
      </c>
      <c r="E466" s="102">
        <v>431.17483700000003</v>
      </c>
      <c r="F466" s="102">
        <v>469.46940000000001</v>
      </c>
      <c r="G466" s="102">
        <v>479.42700000000002</v>
      </c>
      <c r="H466" s="102">
        <v>516.83199999999999</v>
      </c>
      <c r="I466" s="102">
        <v>473.83699999999999</v>
      </c>
      <c r="J466" s="102">
        <v>501.428</v>
      </c>
    </row>
    <row r="467" spans="2:10">
      <c r="B467" s="131" t="s">
        <v>290</v>
      </c>
      <c r="C467" s="102">
        <v>0</v>
      </c>
      <c r="D467" s="102">
        <v>20.489000000000001</v>
      </c>
      <c r="E467" s="102">
        <v>6.550465</v>
      </c>
      <c r="F467" s="102">
        <v>3.0349910000000002</v>
      </c>
      <c r="G467" s="102">
        <v>1.7130000000000001</v>
      </c>
      <c r="H467" s="102">
        <v>1.143</v>
      </c>
      <c r="I467" s="102">
        <v>0.17100000000000001</v>
      </c>
      <c r="J467" s="102">
        <v>2.4E-2</v>
      </c>
    </row>
    <row r="468" spans="2:10">
      <c r="B468" s="131" t="s">
        <v>289</v>
      </c>
      <c r="C468" s="138">
        <v>0</v>
      </c>
      <c r="D468" s="138">
        <v>0</v>
      </c>
      <c r="E468" s="138">
        <v>0</v>
      </c>
      <c r="F468" s="138">
        <v>0</v>
      </c>
      <c r="G468" s="138">
        <v>0</v>
      </c>
      <c r="H468" s="138">
        <v>0</v>
      </c>
      <c r="I468" s="138">
        <v>0</v>
      </c>
      <c r="J468" s="138">
        <v>0</v>
      </c>
    </row>
    <row r="469" spans="2:10">
      <c r="B469" s="131" t="s">
        <v>288</v>
      </c>
      <c r="C469" s="129">
        <v>0</v>
      </c>
      <c r="D469" s="129">
        <v>0</v>
      </c>
      <c r="E469" s="129">
        <v>0</v>
      </c>
      <c r="F469" s="129">
        <v>0</v>
      </c>
      <c r="G469" s="129">
        <v>0</v>
      </c>
      <c r="H469" s="129">
        <v>0</v>
      </c>
      <c r="I469" s="129">
        <v>0</v>
      </c>
      <c r="J469" s="129">
        <v>0</v>
      </c>
    </row>
    <row r="470" spans="2:10">
      <c r="B470" s="132" t="s">
        <v>295</v>
      </c>
      <c r="C470" s="138">
        <v>0</v>
      </c>
      <c r="D470" s="138">
        <v>0</v>
      </c>
      <c r="E470" s="138">
        <v>0</v>
      </c>
      <c r="F470" s="138">
        <v>0</v>
      </c>
      <c r="G470" s="138">
        <v>0</v>
      </c>
      <c r="H470" s="138">
        <v>0</v>
      </c>
      <c r="I470" s="138">
        <v>0</v>
      </c>
      <c r="J470" s="138">
        <v>0</v>
      </c>
    </row>
    <row r="471" spans="2:10">
      <c r="B471" s="131" t="s">
        <v>294</v>
      </c>
      <c r="C471" s="138">
        <v>0</v>
      </c>
      <c r="D471" s="138">
        <v>0</v>
      </c>
      <c r="E471" s="138">
        <v>0</v>
      </c>
      <c r="F471" s="138">
        <v>0</v>
      </c>
      <c r="G471" s="138">
        <v>0</v>
      </c>
      <c r="H471" s="138">
        <v>0</v>
      </c>
      <c r="I471" s="138">
        <v>0</v>
      </c>
      <c r="J471" s="138">
        <v>0</v>
      </c>
    </row>
    <row r="472" spans="2:10">
      <c r="B472" s="131" t="s">
        <v>293</v>
      </c>
      <c r="C472" s="138">
        <v>0</v>
      </c>
      <c r="D472" s="138">
        <v>0</v>
      </c>
      <c r="E472" s="138">
        <v>0</v>
      </c>
      <c r="F472" s="138">
        <v>0</v>
      </c>
      <c r="G472" s="138">
        <v>0</v>
      </c>
      <c r="H472" s="138">
        <v>0</v>
      </c>
      <c r="I472" s="138">
        <v>0</v>
      </c>
      <c r="J472" s="138">
        <v>0</v>
      </c>
    </row>
    <row r="473" spans="2:10">
      <c r="B473" s="131" t="s">
        <v>292</v>
      </c>
      <c r="C473" s="138">
        <v>0</v>
      </c>
      <c r="D473" s="138">
        <v>0</v>
      </c>
      <c r="E473" s="138">
        <v>0</v>
      </c>
      <c r="F473" s="138">
        <v>0</v>
      </c>
      <c r="G473" s="138">
        <v>0</v>
      </c>
      <c r="H473" s="138">
        <v>0</v>
      </c>
      <c r="I473" s="138">
        <v>0</v>
      </c>
      <c r="J473" s="138">
        <v>0</v>
      </c>
    </row>
    <row r="474" spans="2:10">
      <c r="B474" s="131" t="s">
        <v>291</v>
      </c>
      <c r="C474" s="138">
        <v>0</v>
      </c>
      <c r="D474" s="138">
        <v>0</v>
      </c>
      <c r="E474" s="138">
        <v>0</v>
      </c>
      <c r="F474" s="138">
        <v>0</v>
      </c>
      <c r="G474" s="138">
        <v>0</v>
      </c>
      <c r="H474" s="138">
        <v>0</v>
      </c>
      <c r="I474" s="138">
        <v>0</v>
      </c>
      <c r="J474" s="138">
        <v>0</v>
      </c>
    </row>
    <row r="475" spans="2:10">
      <c r="B475" s="131" t="s">
        <v>290</v>
      </c>
      <c r="C475" s="138">
        <v>0</v>
      </c>
      <c r="D475" s="138">
        <v>0</v>
      </c>
      <c r="E475" s="138">
        <v>0</v>
      </c>
      <c r="F475" s="138">
        <v>0</v>
      </c>
      <c r="G475" s="138">
        <v>0</v>
      </c>
      <c r="H475" s="138">
        <v>0</v>
      </c>
      <c r="I475" s="138">
        <v>0</v>
      </c>
      <c r="J475" s="138">
        <v>0</v>
      </c>
    </row>
    <row r="476" spans="2:10">
      <c r="B476" s="131" t="s">
        <v>289</v>
      </c>
      <c r="C476" s="138">
        <v>0</v>
      </c>
      <c r="D476" s="138">
        <v>0</v>
      </c>
      <c r="E476" s="138">
        <v>0</v>
      </c>
      <c r="F476" s="138">
        <v>0</v>
      </c>
      <c r="G476" s="138">
        <v>0</v>
      </c>
      <c r="H476" s="138">
        <v>0</v>
      </c>
      <c r="I476" s="138">
        <v>0</v>
      </c>
      <c r="J476" s="138">
        <v>0</v>
      </c>
    </row>
    <row r="477" spans="2:10">
      <c r="B477" s="131" t="s">
        <v>288</v>
      </c>
      <c r="C477" s="138">
        <v>0</v>
      </c>
      <c r="D477" s="138">
        <v>0</v>
      </c>
      <c r="E477" s="138">
        <v>0</v>
      </c>
      <c r="F477" s="138">
        <v>0</v>
      </c>
      <c r="G477" s="138">
        <v>0</v>
      </c>
      <c r="H477" s="138">
        <v>0</v>
      </c>
      <c r="I477" s="138">
        <v>0</v>
      </c>
      <c r="J477" s="138">
        <v>0</v>
      </c>
    </row>
    <row r="478" spans="2:10">
      <c r="B478" s="65" t="s">
        <v>287</v>
      </c>
      <c r="C478" s="138">
        <v>0</v>
      </c>
      <c r="D478" s="138">
        <v>0</v>
      </c>
      <c r="E478" s="138">
        <v>0</v>
      </c>
      <c r="F478" s="138">
        <v>0</v>
      </c>
      <c r="G478" s="138">
        <v>0</v>
      </c>
      <c r="H478" s="138">
        <v>0</v>
      </c>
      <c r="I478" s="138">
        <v>0</v>
      </c>
      <c r="J478" s="138">
        <v>0</v>
      </c>
    </row>
    <row r="479" spans="2:10">
      <c r="B479" s="114"/>
      <c r="C479" s="107"/>
      <c r="D479" s="107"/>
      <c r="E479" s="107"/>
      <c r="F479" s="107"/>
      <c r="G479" s="107"/>
      <c r="H479" s="107"/>
      <c r="I479" s="107"/>
      <c r="J479" s="107"/>
    </row>
    <row r="480" spans="2:10">
      <c r="B480" s="59" t="s">
        <v>83</v>
      </c>
      <c r="C480" s="107"/>
      <c r="D480" s="107"/>
      <c r="E480" s="107"/>
      <c r="F480" s="107"/>
      <c r="G480" s="107"/>
      <c r="H480" s="107"/>
      <c r="I480" s="107"/>
      <c r="J480" s="107"/>
    </row>
    <row r="481" spans="2:10">
      <c r="B481" s="71" t="s">
        <v>297</v>
      </c>
      <c r="C481" s="102">
        <v>668.094562</v>
      </c>
      <c r="D481" s="102">
        <v>773.13066300000003</v>
      </c>
      <c r="E481" s="102">
        <v>886.23897299999999</v>
      </c>
      <c r="F481" s="102">
        <v>975.81856800000003</v>
      </c>
      <c r="G481" s="102">
        <v>1123.9076110000001</v>
      </c>
      <c r="H481" s="102">
        <v>1311.514463</v>
      </c>
      <c r="I481" s="102">
        <v>1362.992943</v>
      </c>
      <c r="J481" s="102">
        <v>443.15899999999999</v>
      </c>
    </row>
    <row r="482" spans="2:10">
      <c r="B482" s="133" t="s">
        <v>296</v>
      </c>
      <c r="C482" s="102">
        <v>668.094562</v>
      </c>
      <c r="D482" s="102">
        <v>773.13066300000003</v>
      </c>
      <c r="E482" s="102">
        <v>886.23897299999999</v>
      </c>
      <c r="F482" s="102">
        <v>975.81856800000003</v>
      </c>
      <c r="G482" s="102">
        <v>1123.9076110000001</v>
      </c>
      <c r="H482" s="102">
        <v>1311.514463</v>
      </c>
      <c r="I482" s="102">
        <v>1362.992943</v>
      </c>
      <c r="J482" s="102">
        <v>443.15899999999999</v>
      </c>
    </row>
    <row r="483" spans="2:10">
      <c r="B483" s="131" t="s">
        <v>294</v>
      </c>
      <c r="C483" s="102">
        <v>19.907015000000001</v>
      </c>
      <c r="D483" s="102">
        <v>27.082663</v>
      </c>
      <c r="E483" s="102">
        <v>35.191972999999997</v>
      </c>
      <c r="F483" s="102">
        <v>46.679568000000003</v>
      </c>
      <c r="G483" s="102">
        <v>73.912824000000001</v>
      </c>
      <c r="H483" s="102">
        <v>123.27499</v>
      </c>
      <c r="I483" s="102">
        <v>230.486943</v>
      </c>
      <c r="J483" s="102">
        <v>351.78399999999999</v>
      </c>
    </row>
    <row r="484" spans="2:10">
      <c r="B484" s="131" t="s">
        <v>293</v>
      </c>
      <c r="C484" s="102">
        <v>0</v>
      </c>
      <c r="D484" s="102">
        <v>0</v>
      </c>
      <c r="E484" s="102">
        <v>0</v>
      </c>
      <c r="F484" s="102">
        <v>0</v>
      </c>
      <c r="G484" s="102">
        <v>0</v>
      </c>
      <c r="H484" s="102">
        <v>0</v>
      </c>
      <c r="I484" s="102">
        <v>0</v>
      </c>
      <c r="J484" s="102">
        <v>0</v>
      </c>
    </row>
    <row r="485" spans="2:10">
      <c r="B485" s="131" t="s">
        <v>292</v>
      </c>
      <c r="C485" s="102">
        <v>224.635547</v>
      </c>
      <c r="D485" s="102">
        <v>256.911</v>
      </c>
      <c r="E485" s="102">
        <v>307.72699999999998</v>
      </c>
      <c r="F485" s="102">
        <v>337.072</v>
      </c>
      <c r="G485" s="102">
        <v>386.84095300000001</v>
      </c>
      <c r="H485" s="102">
        <v>461.55122699999998</v>
      </c>
      <c r="I485" s="102">
        <v>410.947</v>
      </c>
      <c r="J485" s="102">
        <v>513.39</v>
      </c>
    </row>
    <row r="486" spans="2:10">
      <c r="B486" s="131" t="s">
        <v>291</v>
      </c>
      <c r="C486" s="102">
        <v>423.55200000000002</v>
      </c>
      <c r="D486" s="102">
        <v>489.137</v>
      </c>
      <c r="E486" s="102">
        <v>543.32000000000005</v>
      </c>
      <c r="F486" s="102">
        <v>592.06700000000001</v>
      </c>
      <c r="G486" s="102">
        <v>663.15383399999996</v>
      </c>
      <c r="H486" s="102">
        <v>726.68824600000005</v>
      </c>
      <c r="I486" s="102">
        <v>721.55899999999997</v>
      </c>
      <c r="J486" s="102">
        <v>682.79200000000003</v>
      </c>
    </row>
    <row r="487" spans="2:10">
      <c r="B487" s="131" t="s">
        <v>290</v>
      </c>
      <c r="C487" s="138">
        <v>0</v>
      </c>
      <c r="D487" s="138">
        <v>0</v>
      </c>
      <c r="E487" s="138">
        <v>0</v>
      </c>
      <c r="F487" s="138">
        <v>0</v>
      </c>
      <c r="G487" s="138">
        <v>0</v>
      </c>
      <c r="H487" s="138">
        <v>0</v>
      </c>
      <c r="I487" s="138">
        <v>0</v>
      </c>
      <c r="J487" s="138">
        <v>0</v>
      </c>
    </row>
    <row r="488" spans="2:10">
      <c r="B488" s="131" t="s">
        <v>289</v>
      </c>
      <c r="C488" s="138">
        <v>0</v>
      </c>
      <c r="D488" s="138">
        <v>0</v>
      </c>
      <c r="E488" s="138">
        <v>0</v>
      </c>
      <c r="F488" s="138">
        <v>0</v>
      </c>
      <c r="G488" s="138">
        <v>0</v>
      </c>
      <c r="H488" s="138">
        <v>0</v>
      </c>
      <c r="I488" s="138">
        <v>0</v>
      </c>
      <c r="J488" s="138">
        <v>0</v>
      </c>
    </row>
    <row r="489" spans="2:10">
      <c r="B489" s="131" t="s">
        <v>288</v>
      </c>
      <c r="C489" s="138">
        <v>0</v>
      </c>
      <c r="D489" s="138">
        <v>0</v>
      </c>
      <c r="E489" s="138">
        <v>0</v>
      </c>
      <c r="F489" s="138">
        <v>0</v>
      </c>
      <c r="G489" s="138">
        <v>0</v>
      </c>
      <c r="H489" s="138">
        <v>0</v>
      </c>
      <c r="I489" s="138">
        <v>0</v>
      </c>
      <c r="J489" s="138">
        <v>0</v>
      </c>
    </row>
    <row r="490" spans="2:10">
      <c r="B490" s="132" t="s">
        <v>295</v>
      </c>
      <c r="C490" s="138">
        <v>0</v>
      </c>
      <c r="D490" s="138">
        <v>0</v>
      </c>
      <c r="E490" s="138">
        <v>0</v>
      </c>
      <c r="F490" s="138">
        <v>0</v>
      </c>
      <c r="G490" s="138">
        <v>0</v>
      </c>
      <c r="H490" s="138">
        <v>0</v>
      </c>
      <c r="I490" s="138">
        <v>0</v>
      </c>
      <c r="J490" s="138">
        <v>0</v>
      </c>
    </row>
    <row r="491" spans="2:10">
      <c r="B491" s="131" t="s">
        <v>294</v>
      </c>
      <c r="C491" s="138">
        <v>0</v>
      </c>
      <c r="D491" s="138">
        <v>0</v>
      </c>
      <c r="E491" s="138">
        <v>0</v>
      </c>
      <c r="F491" s="138">
        <v>0</v>
      </c>
      <c r="G491" s="138">
        <v>0</v>
      </c>
      <c r="H491" s="138">
        <v>0</v>
      </c>
      <c r="I491" s="138">
        <v>0</v>
      </c>
      <c r="J491" s="138">
        <v>0</v>
      </c>
    </row>
    <row r="492" spans="2:10">
      <c r="B492" s="131" t="s">
        <v>293</v>
      </c>
      <c r="C492" s="138">
        <v>0</v>
      </c>
      <c r="D492" s="138">
        <v>0</v>
      </c>
      <c r="E492" s="138">
        <v>0</v>
      </c>
      <c r="F492" s="138">
        <v>0</v>
      </c>
      <c r="G492" s="138">
        <v>0</v>
      </c>
      <c r="H492" s="138">
        <v>0</v>
      </c>
      <c r="I492" s="138">
        <v>0</v>
      </c>
      <c r="J492" s="138">
        <v>0</v>
      </c>
    </row>
    <row r="493" spans="2:10">
      <c r="B493" s="131" t="s">
        <v>292</v>
      </c>
      <c r="C493" s="138">
        <v>0</v>
      </c>
      <c r="D493" s="138">
        <v>0</v>
      </c>
      <c r="E493" s="138">
        <v>0</v>
      </c>
      <c r="F493" s="138">
        <v>0</v>
      </c>
      <c r="G493" s="138">
        <v>0</v>
      </c>
      <c r="H493" s="138">
        <v>0</v>
      </c>
      <c r="I493" s="138">
        <v>0</v>
      </c>
      <c r="J493" s="138">
        <v>0</v>
      </c>
    </row>
    <row r="494" spans="2:10">
      <c r="B494" s="131" t="s">
        <v>291</v>
      </c>
      <c r="C494" s="138">
        <v>0</v>
      </c>
      <c r="D494" s="138">
        <v>0</v>
      </c>
      <c r="E494" s="138">
        <v>0</v>
      </c>
      <c r="F494" s="138">
        <v>0</v>
      </c>
      <c r="G494" s="138">
        <v>0</v>
      </c>
      <c r="H494" s="138">
        <v>0</v>
      </c>
      <c r="I494" s="138">
        <v>0</v>
      </c>
      <c r="J494" s="138">
        <v>0</v>
      </c>
    </row>
    <row r="495" spans="2:10">
      <c r="B495" s="131" t="s">
        <v>290</v>
      </c>
      <c r="C495" s="138">
        <v>0</v>
      </c>
      <c r="D495" s="138">
        <v>0</v>
      </c>
      <c r="E495" s="138">
        <v>0</v>
      </c>
      <c r="F495" s="138">
        <v>0</v>
      </c>
      <c r="G495" s="138">
        <v>0</v>
      </c>
      <c r="H495" s="138">
        <v>0</v>
      </c>
      <c r="I495" s="138">
        <v>0</v>
      </c>
      <c r="J495" s="138">
        <v>0</v>
      </c>
    </row>
    <row r="496" spans="2:10">
      <c r="B496" s="131" t="s">
        <v>289</v>
      </c>
      <c r="C496" s="138">
        <v>0</v>
      </c>
      <c r="D496" s="138">
        <v>0</v>
      </c>
      <c r="E496" s="138">
        <v>0</v>
      </c>
      <c r="F496" s="138">
        <v>0</v>
      </c>
      <c r="G496" s="138">
        <v>0</v>
      </c>
      <c r="H496" s="138">
        <v>0</v>
      </c>
      <c r="I496" s="138">
        <v>0</v>
      </c>
      <c r="J496" s="138">
        <v>0</v>
      </c>
    </row>
    <row r="497" spans="2:10">
      <c r="B497" s="131" t="s">
        <v>288</v>
      </c>
      <c r="C497" s="138">
        <v>0</v>
      </c>
      <c r="D497" s="138">
        <v>0</v>
      </c>
      <c r="E497" s="138">
        <v>0</v>
      </c>
      <c r="F497" s="138">
        <v>0</v>
      </c>
      <c r="G497" s="138">
        <v>0</v>
      </c>
      <c r="H497" s="138">
        <v>0</v>
      </c>
      <c r="I497" s="138">
        <v>0</v>
      </c>
      <c r="J497" s="138">
        <v>0</v>
      </c>
    </row>
    <row r="498" spans="2:10">
      <c r="B498" s="65" t="s">
        <v>287</v>
      </c>
      <c r="C498" s="138">
        <v>0</v>
      </c>
      <c r="D498" s="138">
        <v>0</v>
      </c>
      <c r="E498" s="138">
        <v>0</v>
      </c>
      <c r="F498" s="138">
        <v>0</v>
      </c>
      <c r="G498" s="138">
        <v>0</v>
      </c>
      <c r="H498" s="138">
        <v>0</v>
      </c>
      <c r="I498" s="138">
        <v>0</v>
      </c>
      <c r="J498" s="138">
        <v>0</v>
      </c>
    </row>
    <row r="499" spans="2:10">
      <c r="B499" s="114"/>
      <c r="C499" s="107"/>
      <c r="D499" s="107"/>
      <c r="E499" s="107"/>
      <c r="F499" s="107"/>
      <c r="G499" s="107"/>
      <c r="H499" s="107"/>
      <c r="I499" s="107"/>
      <c r="J499" s="107"/>
    </row>
    <row r="500" spans="2:10">
      <c r="B500" s="59" t="s">
        <v>299</v>
      </c>
      <c r="C500" s="107"/>
      <c r="D500" s="107"/>
      <c r="E500" s="107"/>
      <c r="F500" s="107"/>
      <c r="G500" s="107"/>
      <c r="H500" s="107"/>
      <c r="I500" s="107"/>
      <c r="J500" s="107"/>
    </row>
    <row r="501" spans="2:10">
      <c r="B501" s="71" t="s">
        <v>297</v>
      </c>
      <c r="C501" s="102">
        <v>0</v>
      </c>
      <c r="D501" s="102">
        <v>0</v>
      </c>
      <c r="E501" s="102">
        <v>0</v>
      </c>
      <c r="F501" s="102">
        <v>0</v>
      </c>
      <c r="G501" s="102">
        <v>404875.875</v>
      </c>
      <c r="H501" s="102">
        <v>729542.98199999996</v>
      </c>
      <c r="I501" s="102">
        <v>777741.28</v>
      </c>
      <c r="J501" s="102">
        <v>633004.36199999996</v>
      </c>
    </row>
    <row r="502" spans="2:10">
      <c r="B502" s="133" t="s">
        <v>296</v>
      </c>
      <c r="C502" s="102">
        <v>0</v>
      </c>
      <c r="D502" s="102">
        <v>0</v>
      </c>
      <c r="E502" s="102">
        <v>0</v>
      </c>
      <c r="F502" s="102">
        <v>0</v>
      </c>
      <c r="G502" s="102">
        <v>404875.875</v>
      </c>
      <c r="H502" s="102">
        <v>729542.98199999996</v>
      </c>
      <c r="I502" s="102">
        <v>777741.28</v>
      </c>
      <c r="J502" s="102">
        <v>633004.36199999996</v>
      </c>
    </row>
    <row r="503" spans="2:10">
      <c r="B503" s="131" t="s">
        <v>294</v>
      </c>
      <c r="C503" s="138">
        <v>0</v>
      </c>
      <c r="D503" s="138">
        <v>0</v>
      </c>
      <c r="E503" s="138">
        <v>0</v>
      </c>
      <c r="F503" s="138">
        <v>0</v>
      </c>
      <c r="G503" s="138">
        <v>0</v>
      </c>
      <c r="H503" s="138">
        <v>0</v>
      </c>
      <c r="I503" s="138">
        <v>0</v>
      </c>
      <c r="J503" s="138">
        <v>0</v>
      </c>
    </row>
    <row r="504" spans="2:10">
      <c r="B504" s="131" t="s">
        <v>293</v>
      </c>
      <c r="C504" s="102">
        <v>0</v>
      </c>
      <c r="D504" s="102">
        <v>0</v>
      </c>
      <c r="E504" s="102">
        <v>0</v>
      </c>
      <c r="F504" s="102">
        <v>0</v>
      </c>
      <c r="G504" s="102">
        <v>0</v>
      </c>
      <c r="H504" s="102">
        <v>0</v>
      </c>
      <c r="I504" s="102">
        <v>0</v>
      </c>
      <c r="J504" s="102">
        <v>0</v>
      </c>
    </row>
    <row r="505" spans="2:10">
      <c r="B505" s="131" t="s">
        <v>292</v>
      </c>
      <c r="C505" s="102">
        <v>0</v>
      </c>
      <c r="D505" s="102">
        <v>0</v>
      </c>
      <c r="E505" s="102">
        <v>0</v>
      </c>
      <c r="F505" s="102">
        <v>0</v>
      </c>
      <c r="G505" s="102">
        <v>404875.875</v>
      </c>
      <c r="H505" s="102">
        <v>729542.98199999996</v>
      </c>
      <c r="I505" s="102">
        <v>777741.28</v>
      </c>
      <c r="J505" s="102">
        <v>633004.36199999996</v>
      </c>
    </row>
    <row r="506" spans="2:10">
      <c r="B506" s="131" t="s">
        <v>291</v>
      </c>
      <c r="C506" s="138">
        <v>0</v>
      </c>
      <c r="D506" s="138">
        <v>0</v>
      </c>
      <c r="E506" s="138">
        <v>0</v>
      </c>
      <c r="F506" s="138">
        <v>0</v>
      </c>
      <c r="G506" s="138">
        <v>0</v>
      </c>
      <c r="H506" s="138">
        <v>0</v>
      </c>
      <c r="I506" s="138">
        <v>0</v>
      </c>
      <c r="J506" s="138">
        <v>0</v>
      </c>
    </row>
    <row r="507" spans="2:10">
      <c r="B507" s="131" t="s">
        <v>290</v>
      </c>
      <c r="C507" s="138">
        <v>0</v>
      </c>
      <c r="D507" s="138">
        <v>0</v>
      </c>
      <c r="E507" s="138">
        <v>0</v>
      </c>
      <c r="F507" s="138">
        <v>0</v>
      </c>
      <c r="G507" s="138">
        <v>0</v>
      </c>
      <c r="H507" s="138">
        <v>0</v>
      </c>
      <c r="I507" s="138">
        <v>0</v>
      </c>
      <c r="J507" s="138">
        <v>0</v>
      </c>
    </row>
    <row r="508" spans="2:10">
      <c r="B508" s="131" t="s">
        <v>289</v>
      </c>
      <c r="C508" s="138">
        <v>0</v>
      </c>
      <c r="D508" s="138">
        <v>0</v>
      </c>
      <c r="E508" s="138">
        <v>0</v>
      </c>
      <c r="F508" s="138">
        <v>0</v>
      </c>
      <c r="G508" s="138">
        <v>0</v>
      </c>
      <c r="H508" s="138">
        <v>0</v>
      </c>
      <c r="I508" s="138">
        <v>0</v>
      </c>
      <c r="J508" s="138">
        <v>0</v>
      </c>
    </row>
    <row r="509" spans="2:10">
      <c r="B509" s="131" t="s">
        <v>288</v>
      </c>
      <c r="C509" s="138">
        <v>0</v>
      </c>
      <c r="D509" s="138">
        <v>0</v>
      </c>
      <c r="E509" s="138">
        <v>0</v>
      </c>
      <c r="F509" s="138">
        <v>0</v>
      </c>
      <c r="G509" s="138">
        <v>0</v>
      </c>
      <c r="H509" s="138">
        <v>0</v>
      </c>
      <c r="I509" s="138">
        <v>0</v>
      </c>
      <c r="J509" s="138">
        <v>0</v>
      </c>
    </row>
    <row r="510" spans="2:10">
      <c r="B510" s="132" t="s">
        <v>295</v>
      </c>
      <c r="C510" s="138">
        <v>0</v>
      </c>
      <c r="D510" s="138">
        <v>0</v>
      </c>
      <c r="E510" s="138">
        <v>0</v>
      </c>
      <c r="F510" s="138">
        <v>0</v>
      </c>
      <c r="G510" s="138">
        <v>0</v>
      </c>
      <c r="H510" s="138">
        <v>0</v>
      </c>
      <c r="I510" s="138">
        <v>0</v>
      </c>
      <c r="J510" s="138">
        <v>0</v>
      </c>
    </row>
    <row r="511" spans="2:10">
      <c r="B511" s="131" t="s">
        <v>294</v>
      </c>
      <c r="C511" s="138">
        <v>0</v>
      </c>
      <c r="D511" s="138">
        <v>0</v>
      </c>
      <c r="E511" s="138">
        <v>0</v>
      </c>
      <c r="F511" s="138">
        <v>0</v>
      </c>
      <c r="G511" s="138">
        <v>0</v>
      </c>
      <c r="H511" s="138">
        <v>0</v>
      </c>
      <c r="I511" s="138">
        <v>0</v>
      </c>
      <c r="J511" s="138">
        <v>0</v>
      </c>
    </row>
    <row r="512" spans="2:10">
      <c r="B512" s="131" t="s">
        <v>293</v>
      </c>
      <c r="C512" s="138">
        <v>0</v>
      </c>
      <c r="D512" s="138">
        <v>0</v>
      </c>
      <c r="E512" s="138">
        <v>0</v>
      </c>
      <c r="F512" s="138">
        <v>0</v>
      </c>
      <c r="G512" s="138">
        <v>0</v>
      </c>
      <c r="H512" s="138">
        <v>0</v>
      </c>
      <c r="I512" s="138">
        <v>0</v>
      </c>
      <c r="J512" s="138">
        <v>0</v>
      </c>
    </row>
    <row r="513" spans="2:10">
      <c r="B513" s="131" t="s">
        <v>292</v>
      </c>
      <c r="C513" s="138">
        <v>0</v>
      </c>
      <c r="D513" s="138">
        <v>0</v>
      </c>
      <c r="E513" s="138">
        <v>0</v>
      </c>
      <c r="F513" s="138">
        <v>0</v>
      </c>
      <c r="G513" s="138">
        <v>0</v>
      </c>
      <c r="H513" s="138">
        <v>0</v>
      </c>
      <c r="I513" s="138">
        <v>0</v>
      </c>
      <c r="J513" s="138">
        <v>0</v>
      </c>
    </row>
    <row r="514" spans="2:10">
      <c r="B514" s="131" t="s">
        <v>291</v>
      </c>
      <c r="C514" s="138">
        <v>0</v>
      </c>
      <c r="D514" s="138">
        <v>0</v>
      </c>
      <c r="E514" s="138">
        <v>0</v>
      </c>
      <c r="F514" s="138">
        <v>0</v>
      </c>
      <c r="G514" s="138">
        <v>0</v>
      </c>
      <c r="H514" s="138">
        <v>0</v>
      </c>
      <c r="I514" s="138">
        <v>0</v>
      </c>
      <c r="J514" s="138">
        <v>0</v>
      </c>
    </row>
    <row r="515" spans="2:10">
      <c r="B515" s="131" t="s">
        <v>290</v>
      </c>
      <c r="C515" s="138">
        <v>0</v>
      </c>
      <c r="D515" s="138">
        <v>0</v>
      </c>
      <c r="E515" s="138">
        <v>0</v>
      </c>
      <c r="F515" s="138">
        <v>0</v>
      </c>
      <c r="G515" s="138">
        <v>0</v>
      </c>
      <c r="H515" s="138">
        <v>0</v>
      </c>
      <c r="I515" s="138">
        <v>0</v>
      </c>
      <c r="J515" s="138">
        <v>0</v>
      </c>
    </row>
    <row r="516" spans="2:10">
      <c r="B516" s="131" t="s">
        <v>289</v>
      </c>
      <c r="C516" s="138">
        <v>0</v>
      </c>
      <c r="D516" s="138">
        <v>0</v>
      </c>
      <c r="E516" s="138">
        <v>0</v>
      </c>
      <c r="F516" s="138">
        <v>0</v>
      </c>
      <c r="G516" s="138">
        <v>0</v>
      </c>
      <c r="H516" s="138">
        <v>0</v>
      </c>
      <c r="I516" s="138">
        <v>0</v>
      </c>
      <c r="J516" s="138">
        <v>0</v>
      </c>
    </row>
    <row r="517" spans="2:10">
      <c r="B517" s="131" t="s">
        <v>288</v>
      </c>
      <c r="C517" s="138">
        <v>0</v>
      </c>
      <c r="D517" s="138">
        <v>0</v>
      </c>
      <c r="E517" s="138">
        <v>0</v>
      </c>
      <c r="F517" s="138">
        <v>0</v>
      </c>
      <c r="G517" s="138">
        <v>0</v>
      </c>
      <c r="H517" s="138">
        <v>0</v>
      </c>
      <c r="I517" s="138">
        <v>0</v>
      </c>
      <c r="J517" s="138">
        <v>0</v>
      </c>
    </row>
    <row r="518" spans="2:10">
      <c r="B518" s="65" t="s">
        <v>287</v>
      </c>
      <c r="C518" s="138">
        <v>0</v>
      </c>
      <c r="D518" s="138">
        <v>0</v>
      </c>
      <c r="E518" s="138">
        <v>0</v>
      </c>
      <c r="F518" s="138">
        <v>0</v>
      </c>
      <c r="G518" s="138">
        <v>0</v>
      </c>
      <c r="H518" s="138">
        <v>0</v>
      </c>
      <c r="I518" s="138">
        <v>0</v>
      </c>
      <c r="J518" s="138">
        <v>0</v>
      </c>
    </row>
    <row r="519" spans="2:10">
      <c r="B519" s="114"/>
      <c r="C519" s="107"/>
      <c r="D519" s="107"/>
      <c r="E519" s="107"/>
      <c r="F519" s="107"/>
      <c r="G519" s="107"/>
      <c r="H519" s="107"/>
      <c r="I519" s="107"/>
      <c r="J519" s="107"/>
    </row>
    <row r="520" spans="2:10">
      <c r="B520" s="59" t="s">
        <v>315</v>
      </c>
      <c r="C520" s="107"/>
      <c r="D520" s="107"/>
      <c r="E520" s="107"/>
      <c r="F520" s="107"/>
      <c r="G520" s="107"/>
      <c r="H520" s="107"/>
      <c r="I520" s="107"/>
      <c r="J520" s="107"/>
    </row>
    <row r="521" spans="2:10">
      <c r="B521" s="71" t="s">
        <v>297</v>
      </c>
      <c r="C521" s="138">
        <v>0</v>
      </c>
      <c r="D521" s="138">
        <v>0</v>
      </c>
      <c r="E521" s="138">
        <v>0</v>
      </c>
      <c r="F521" s="138">
        <v>0</v>
      </c>
      <c r="G521" s="138">
        <v>0</v>
      </c>
      <c r="H521" s="138">
        <v>0</v>
      </c>
      <c r="I521" s="102">
        <v>295.87299999999999</v>
      </c>
      <c r="J521" s="102">
        <v>699.54200000000003</v>
      </c>
    </row>
    <row r="522" spans="2:10">
      <c r="B522" s="133" t="s">
        <v>296</v>
      </c>
      <c r="C522" s="138">
        <v>0</v>
      </c>
      <c r="D522" s="138">
        <v>0</v>
      </c>
      <c r="E522" s="138">
        <v>0</v>
      </c>
      <c r="F522" s="138">
        <v>0</v>
      </c>
      <c r="G522" s="138">
        <v>0</v>
      </c>
      <c r="H522" s="138">
        <v>0</v>
      </c>
      <c r="I522" s="102">
        <v>295.87299999999999</v>
      </c>
      <c r="J522" s="102">
        <v>699.54200000000003</v>
      </c>
    </row>
    <row r="523" spans="2:10">
      <c r="B523" s="131" t="s">
        <v>294</v>
      </c>
      <c r="C523" s="138">
        <v>0</v>
      </c>
      <c r="D523" s="138">
        <v>0</v>
      </c>
      <c r="E523" s="138">
        <v>0</v>
      </c>
      <c r="F523" s="138">
        <v>0</v>
      </c>
      <c r="G523" s="138">
        <v>0</v>
      </c>
      <c r="H523" s="138">
        <v>0</v>
      </c>
      <c r="I523" s="102">
        <v>295.87299999999999</v>
      </c>
      <c r="J523" s="102">
        <v>699.54200000000003</v>
      </c>
    </row>
    <row r="524" spans="2:10">
      <c r="B524" s="131" t="s">
        <v>293</v>
      </c>
      <c r="C524" s="138">
        <v>0</v>
      </c>
      <c r="D524" s="138">
        <v>0</v>
      </c>
      <c r="E524" s="138">
        <v>0</v>
      </c>
      <c r="F524" s="138">
        <v>0</v>
      </c>
      <c r="G524" s="138">
        <v>0</v>
      </c>
      <c r="H524" s="138">
        <v>0</v>
      </c>
      <c r="I524" s="138">
        <v>0</v>
      </c>
      <c r="J524" s="138">
        <v>0</v>
      </c>
    </row>
    <row r="525" spans="2:10">
      <c r="B525" s="131" t="s">
        <v>292</v>
      </c>
      <c r="C525" s="138">
        <v>0</v>
      </c>
      <c r="D525" s="138">
        <v>0</v>
      </c>
      <c r="E525" s="138">
        <v>0</v>
      </c>
      <c r="F525" s="138">
        <v>0</v>
      </c>
      <c r="G525" s="138">
        <v>0</v>
      </c>
      <c r="H525" s="138">
        <v>0</v>
      </c>
      <c r="I525" s="138">
        <v>0</v>
      </c>
      <c r="J525" s="138">
        <v>0</v>
      </c>
    </row>
    <row r="526" spans="2:10">
      <c r="B526" s="131" t="s">
        <v>291</v>
      </c>
      <c r="C526" s="138">
        <v>0</v>
      </c>
      <c r="D526" s="138">
        <v>0</v>
      </c>
      <c r="E526" s="138">
        <v>0</v>
      </c>
      <c r="F526" s="138">
        <v>0</v>
      </c>
      <c r="G526" s="138">
        <v>0</v>
      </c>
      <c r="H526" s="138">
        <v>0</v>
      </c>
      <c r="I526" s="138">
        <v>0</v>
      </c>
      <c r="J526" s="138">
        <v>0</v>
      </c>
    </row>
    <row r="527" spans="2:10">
      <c r="B527" s="131" t="s">
        <v>290</v>
      </c>
      <c r="C527" s="138">
        <v>0</v>
      </c>
      <c r="D527" s="138">
        <v>0</v>
      </c>
      <c r="E527" s="138">
        <v>0</v>
      </c>
      <c r="F527" s="138">
        <v>0</v>
      </c>
      <c r="G527" s="138">
        <v>0</v>
      </c>
      <c r="H527" s="138">
        <v>0</v>
      </c>
      <c r="I527" s="138">
        <v>0</v>
      </c>
      <c r="J527" s="138">
        <v>0</v>
      </c>
    </row>
    <row r="528" spans="2:10">
      <c r="B528" s="131" t="s">
        <v>289</v>
      </c>
      <c r="C528" s="138">
        <v>0</v>
      </c>
      <c r="D528" s="138">
        <v>0</v>
      </c>
      <c r="E528" s="138">
        <v>0</v>
      </c>
      <c r="F528" s="138">
        <v>0</v>
      </c>
      <c r="G528" s="138">
        <v>0</v>
      </c>
      <c r="H528" s="138">
        <v>0</v>
      </c>
      <c r="I528" s="138">
        <v>0</v>
      </c>
      <c r="J528" s="138">
        <v>0</v>
      </c>
    </row>
    <row r="529" spans="2:10">
      <c r="B529" s="131" t="s">
        <v>288</v>
      </c>
      <c r="C529" s="138">
        <v>0</v>
      </c>
      <c r="D529" s="138">
        <v>0</v>
      </c>
      <c r="E529" s="138">
        <v>0</v>
      </c>
      <c r="F529" s="138">
        <v>0</v>
      </c>
      <c r="G529" s="138">
        <v>0</v>
      </c>
      <c r="H529" s="138">
        <v>0</v>
      </c>
      <c r="I529" s="138">
        <v>0</v>
      </c>
      <c r="J529" s="138">
        <v>0</v>
      </c>
    </row>
    <row r="530" spans="2:10">
      <c r="B530" s="132" t="s">
        <v>295</v>
      </c>
      <c r="C530" s="138">
        <v>0</v>
      </c>
      <c r="D530" s="138">
        <v>0</v>
      </c>
      <c r="E530" s="138">
        <v>0</v>
      </c>
      <c r="F530" s="138">
        <v>0</v>
      </c>
      <c r="G530" s="138">
        <v>0</v>
      </c>
      <c r="H530" s="138">
        <v>0</v>
      </c>
      <c r="I530" s="138">
        <v>0</v>
      </c>
      <c r="J530" s="138">
        <v>0</v>
      </c>
    </row>
    <row r="531" spans="2:10">
      <c r="B531" s="131" t="s">
        <v>294</v>
      </c>
      <c r="C531" s="138">
        <v>0</v>
      </c>
      <c r="D531" s="138">
        <v>0</v>
      </c>
      <c r="E531" s="138">
        <v>0</v>
      </c>
      <c r="F531" s="138">
        <v>0</v>
      </c>
      <c r="G531" s="138">
        <v>0</v>
      </c>
      <c r="H531" s="138">
        <v>0</v>
      </c>
      <c r="I531" s="138">
        <v>0</v>
      </c>
      <c r="J531" s="138">
        <v>0</v>
      </c>
    </row>
    <row r="532" spans="2:10">
      <c r="B532" s="131" t="s">
        <v>293</v>
      </c>
      <c r="C532" s="138">
        <v>0</v>
      </c>
      <c r="D532" s="138">
        <v>0</v>
      </c>
      <c r="E532" s="138">
        <v>0</v>
      </c>
      <c r="F532" s="138">
        <v>0</v>
      </c>
      <c r="G532" s="138">
        <v>0</v>
      </c>
      <c r="H532" s="138">
        <v>0</v>
      </c>
      <c r="I532" s="138">
        <v>0</v>
      </c>
      <c r="J532" s="138">
        <v>0</v>
      </c>
    </row>
    <row r="533" spans="2:10">
      <c r="B533" s="131" t="s">
        <v>292</v>
      </c>
      <c r="C533" s="138">
        <v>0</v>
      </c>
      <c r="D533" s="138">
        <v>0</v>
      </c>
      <c r="E533" s="138">
        <v>0</v>
      </c>
      <c r="F533" s="138">
        <v>0</v>
      </c>
      <c r="G533" s="138">
        <v>0</v>
      </c>
      <c r="H533" s="138">
        <v>0</v>
      </c>
      <c r="I533" s="138">
        <v>0</v>
      </c>
      <c r="J533" s="138">
        <v>0</v>
      </c>
    </row>
    <row r="534" spans="2:10">
      <c r="B534" s="131" t="s">
        <v>291</v>
      </c>
      <c r="C534" s="138">
        <v>0</v>
      </c>
      <c r="D534" s="138">
        <v>0</v>
      </c>
      <c r="E534" s="138">
        <v>0</v>
      </c>
      <c r="F534" s="138">
        <v>0</v>
      </c>
      <c r="G534" s="138">
        <v>0</v>
      </c>
      <c r="H534" s="138">
        <v>0</v>
      </c>
      <c r="I534" s="138">
        <v>0</v>
      </c>
      <c r="J534" s="138">
        <v>0</v>
      </c>
    </row>
    <row r="535" spans="2:10">
      <c r="B535" s="131" t="s">
        <v>290</v>
      </c>
      <c r="C535" s="138">
        <v>0</v>
      </c>
      <c r="D535" s="138">
        <v>0</v>
      </c>
      <c r="E535" s="138">
        <v>0</v>
      </c>
      <c r="F535" s="138">
        <v>0</v>
      </c>
      <c r="G535" s="138">
        <v>0</v>
      </c>
      <c r="H535" s="138">
        <v>0</v>
      </c>
      <c r="I535" s="138">
        <v>0</v>
      </c>
      <c r="J535" s="138">
        <v>0</v>
      </c>
    </row>
    <row r="536" spans="2:10">
      <c r="B536" s="131" t="s">
        <v>289</v>
      </c>
      <c r="C536" s="138">
        <v>0</v>
      </c>
      <c r="D536" s="138">
        <v>0</v>
      </c>
      <c r="E536" s="138">
        <v>0</v>
      </c>
      <c r="F536" s="138">
        <v>0</v>
      </c>
      <c r="G536" s="138">
        <v>0</v>
      </c>
      <c r="H536" s="138">
        <v>0</v>
      </c>
      <c r="I536" s="138">
        <v>0</v>
      </c>
      <c r="J536" s="138">
        <v>0</v>
      </c>
    </row>
    <row r="537" spans="2:10">
      <c r="B537" s="131" t="s">
        <v>288</v>
      </c>
      <c r="C537" s="138">
        <v>0</v>
      </c>
      <c r="D537" s="138">
        <v>0</v>
      </c>
      <c r="E537" s="138">
        <v>0</v>
      </c>
      <c r="F537" s="138">
        <v>0</v>
      </c>
      <c r="G537" s="138">
        <v>0</v>
      </c>
      <c r="H537" s="138">
        <v>0</v>
      </c>
      <c r="I537" s="138">
        <v>0</v>
      </c>
      <c r="J537" s="138">
        <v>0</v>
      </c>
    </row>
    <row r="538" spans="2:10" ht="15" thickBot="1">
      <c r="B538" s="65" t="s">
        <v>287</v>
      </c>
      <c r="C538" s="138">
        <v>0</v>
      </c>
      <c r="D538" s="138">
        <v>0</v>
      </c>
      <c r="E538" s="138">
        <v>0</v>
      </c>
      <c r="F538" s="138">
        <v>0</v>
      </c>
      <c r="G538" s="138">
        <v>0</v>
      </c>
      <c r="H538" s="138">
        <v>0</v>
      </c>
      <c r="I538" s="138">
        <v>0</v>
      </c>
      <c r="J538" s="138">
        <v>0</v>
      </c>
    </row>
    <row r="539" spans="2:10" ht="15" thickTop="1">
      <c r="B539" s="2026" t="s">
        <v>314</v>
      </c>
      <c r="C539" s="2026"/>
      <c r="D539" s="2026"/>
      <c r="E539" s="2026"/>
      <c r="F539" s="2026"/>
      <c r="G539" s="2026"/>
      <c r="H539" s="2026"/>
      <c r="I539" s="2026"/>
      <c r="J539" s="2026"/>
    </row>
    <row r="540" spans="2:10">
      <c r="B540" s="64"/>
      <c r="C540" s="1"/>
      <c r="D540" s="1"/>
      <c r="E540" s="1"/>
      <c r="F540" s="1"/>
      <c r="G540" s="1"/>
      <c r="H540" s="1"/>
      <c r="I540" s="1"/>
      <c r="J540" s="1"/>
    </row>
    <row r="541" spans="2:10">
      <c r="B541" s="14" t="s">
        <v>313</v>
      </c>
      <c r="C541" s="14"/>
      <c r="D541" s="14"/>
      <c r="E541" s="14"/>
      <c r="F541" s="14"/>
      <c r="G541" s="14"/>
      <c r="H541" s="14"/>
      <c r="I541" s="14"/>
      <c r="J541" s="14"/>
    </row>
    <row r="542" spans="2:10">
      <c r="B542" s="12" t="s">
        <v>312</v>
      </c>
      <c r="C542" s="1"/>
      <c r="D542" s="1"/>
      <c r="E542" s="1"/>
      <c r="F542" s="1"/>
      <c r="G542" s="1"/>
      <c r="H542" s="1"/>
      <c r="I542" s="1"/>
      <c r="J542" s="1"/>
    </row>
    <row r="543" spans="2:10">
      <c r="B543" s="62" t="s">
        <v>311</v>
      </c>
      <c r="C543" s="1"/>
      <c r="D543" s="1"/>
      <c r="E543" s="1"/>
      <c r="F543" s="1"/>
      <c r="G543" s="1"/>
      <c r="H543" s="1"/>
      <c r="I543" s="1"/>
      <c r="J543" s="1"/>
    </row>
    <row r="544" spans="2:10">
      <c r="B544" s="64"/>
      <c r="C544" s="1"/>
      <c r="D544" s="1"/>
      <c r="E544" s="1"/>
      <c r="F544" s="1"/>
      <c r="G544" s="1"/>
      <c r="H544" s="1"/>
      <c r="I544" s="1"/>
      <c r="J544" s="1"/>
    </row>
    <row r="545" spans="2:10">
      <c r="B545" s="61"/>
      <c r="C545" s="60">
        <v>2014</v>
      </c>
      <c r="D545" s="60">
        <v>2015</v>
      </c>
      <c r="E545" s="60">
        <v>2016</v>
      </c>
      <c r="F545" s="60">
        <v>2017</v>
      </c>
      <c r="G545" s="60">
        <v>2018</v>
      </c>
      <c r="H545" s="60">
        <v>2019</v>
      </c>
      <c r="I545" s="60">
        <v>2020</v>
      </c>
      <c r="J545" s="60">
        <v>2021</v>
      </c>
    </row>
    <row r="546" spans="2:10">
      <c r="B546" s="114" t="s">
        <v>310</v>
      </c>
      <c r="C546" s="107"/>
      <c r="D546" s="107"/>
      <c r="E546" s="107"/>
      <c r="F546" s="107"/>
      <c r="G546" s="107"/>
      <c r="H546" s="107"/>
      <c r="I546" s="107"/>
      <c r="J546" s="107"/>
    </row>
    <row r="547" spans="2:10">
      <c r="B547" s="114"/>
      <c r="C547" s="107"/>
      <c r="D547" s="107"/>
      <c r="E547" s="107"/>
      <c r="F547" s="107"/>
      <c r="G547" s="107"/>
      <c r="H547" s="107"/>
      <c r="I547" s="107"/>
      <c r="J547" s="107"/>
    </row>
    <row r="548" spans="2:10">
      <c r="B548" s="59" t="s">
        <v>309</v>
      </c>
      <c r="C548" s="107"/>
      <c r="D548" s="107"/>
      <c r="E548" s="107"/>
      <c r="F548" s="107"/>
      <c r="G548" s="107"/>
      <c r="H548" s="107"/>
      <c r="I548" s="107"/>
      <c r="J548" s="107"/>
    </row>
    <row r="549" spans="2:10">
      <c r="B549" s="71" t="s">
        <v>297</v>
      </c>
      <c r="C549" s="102">
        <v>1662186.509015217</v>
      </c>
      <c r="D549" s="102">
        <v>1427328.7710993465</v>
      </c>
      <c r="E549" s="102">
        <v>1965655.8397037261</v>
      </c>
      <c r="F549" s="102">
        <v>2440679.642053403</v>
      </c>
      <c r="G549" s="102">
        <v>1473658.3876874652</v>
      </c>
      <c r="H549" s="102">
        <v>3369307.2713037315</v>
      </c>
      <c r="I549" s="102">
        <v>5441881.6338602323</v>
      </c>
      <c r="J549" s="102">
        <v>4866678.9799319068</v>
      </c>
    </row>
    <row r="550" spans="2:10">
      <c r="B550" s="133" t="s">
        <v>296</v>
      </c>
      <c r="C550" s="102">
        <v>1662186.509015217</v>
      </c>
      <c r="D550" s="102">
        <v>1427328.7710993465</v>
      </c>
      <c r="E550" s="102">
        <v>1965655.8397037261</v>
      </c>
      <c r="F550" s="102">
        <v>2440679.642053403</v>
      </c>
      <c r="G550" s="102">
        <v>1473658.3876874652</v>
      </c>
      <c r="H550" s="102">
        <v>3369307.2713037315</v>
      </c>
      <c r="I550" s="102">
        <v>5441881.6338602323</v>
      </c>
      <c r="J550" s="102">
        <v>4866678.9799319068</v>
      </c>
    </row>
    <row r="551" spans="2:10">
      <c r="B551" s="132" t="s">
        <v>295</v>
      </c>
      <c r="C551" s="102">
        <v>0</v>
      </c>
      <c r="D551" s="102">
        <v>0</v>
      </c>
      <c r="E551" s="102">
        <v>0</v>
      </c>
      <c r="F551" s="102">
        <v>0</v>
      </c>
      <c r="G551" s="102">
        <v>0</v>
      </c>
      <c r="H551" s="102">
        <v>0</v>
      </c>
      <c r="I551" s="102">
        <v>0</v>
      </c>
      <c r="J551" s="102">
        <v>0</v>
      </c>
    </row>
    <row r="552" spans="2:10">
      <c r="B552" s="132" t="s">
        <v>303</v>
      </c>
      <c r="C552" s="102">
        <v>0</v>
      </c>
      <c r="D552" s="102">
        <v>0</v>
      </c>
      <c r="E552" s="102">
        <v>0</v>
      </c>
      <c r="F552" s="102">
        <v>0</v>
      </c>
      <c r="G552" s="102">
        <v>0</v>
      </c>
      <c r="H552" s="102">
        <v>0</v>
      </c>
      <c r="I552" s="102">
        <v>0</v>
      </c>
      <c r="J552" s="102">
        <v>0</v>
      </c>
    </row>
    <row r="553" spans="2:10">
      <c r="B553" s="65" t="s">
        <v>308</v>
      </c>
      <c r="C553" s="137">
        <v>0.42459999999999998</v>
      </c>
      <c r="D553" s="137">
        <v>0.57779999999999998</v>
      </c>
      <c r="E553" s="137">
        <v>0.50560000000000005</v>
      </c>
      <c r="F553" s="137">
        <v>0.48620000000000002</v>
      </c>
      <c r="G553" s="137">
        <v>0.45069999999999999</v>
      </c>
      <c r="H553" s="137">
        <v>0.56699999999999995</v>
      </c>
      <c r="I553" s="102">
        <v>0</v>
      </c>
      <c r="J553" s="102">
        <v>0</v>
      </c>
    </row>
    <row r="554" spans="2:10">
      <c r="B554" s="65" t="s">
        <v>307</v>
      </c>
      <c r="C554" s="137">
        <v>0.98899999999999999</v>
      </c>
      <c r="D554" s="137">
        <v>0.99880000000000002</v>
      </c>
      <c r="E554" s="137">
        <v>0.99970000000000003</v>
      </c>
      <c r="F554" s="137">
        <v>1</v>
      </c>
      <c r="G554" s="137">
        <v>0.96809999999999996</v>
      </c>
      <c r="H554" s="137">
        <v>0.9738</v>
      </c>
      <c r="I554" s="102">
        <v>0</v>
      </c>
      <c r="J554" s="102">
        <v>0</v>
      </c>
    </row>
    <row r="555" spans="2:10">
      <c r="B555" s="65" t="s">
        <v>306</v>
      </c>
      <c r="C555" s="137">
        <v>0.50460000000000005</v>
      </c>
      <c r="D555" s="137">
        <v>0.53990000000000005</v>
      </c>
      <c r="E555" s="137">
        <v>0.51910000000000001</v>
      </c>
      <c r="F555" s="137">
        <v>0.55030000000000001</v>
      </c>
      <c r="G555" s="137">
        <v>0.45939999999999998</v>
      </c>
      <c r="H555" s="137">
        <v>0.50190000000000001</v>
      </c>
      <c r="I555" s="102">
        <v>0</v>
      </c>
      <c r="J555" s="102">
        <v>0</v>
      </c>
    </row>
    <row r="556" spans="2:10">
      <c r="B556" s="136"/>
      <c r="C556" s="1"/>
      <c r="D556" s="1"/>
      <c r="E556" s="1"/>
      <c r="F556" s="1"/>
      <c r="G556" s="1"/>
      <c r="H556" s="1"/>
      <c r="I556" s="1"/>
      <c r="J556" s="1"/>
    </row>
    <row r="557" spans="2:10">
      <c r="B557" s="59" t="s">
        <v>305</v>
      </c>
      <c r="C557" s="129"/>
      <c r="D557" s="129"/>
      <c r="E557" s="129"/>
      <c r="F557" s="129"/>
      <c r="G557" s="129"/>
      <c r="H557" s="129"/>
      <c r="I557" s="129"/>
      <c r="J557" s="129"/>
    </row>
    <row r="558" spans="2:10">
      <c r="B558" s="71" t="s">
        <v>297</v>
      </c>
      <c r="C558" s="102">
        <v>99.398728644585603</v>
      </c>
      <c r="D558" s="102">
        <v>60.8996539792387</v>
      </c>
      <c r="E558" s="102">
        <v>49.778551690199492</v>
      </c>
      <c r="F558" s="102">
        <v>42.718198378625985</v>
      </c>
      <c r="G558" s="102">
        <v>21.820605528415715</v>
      </c>
      <c r="H558" s="102">
        <v>10.601886634944485</v>
      </c>
      <c r="I558" s="102">
        <v>7.5267538644470875</v>
      </c>
      <c r="J558" s="102">
        <v>0.58885383806519453</v>
      </c>
    </row>
    <row r="559" spans="2:10">
      <c r="B559" s="133" t="s">
        <v>296</v>
      </c>
      <c r="C559" s="102">
        <v>0</v>
      </c>
      <c r="D559" s="102">
        <v>0</v>
      </c>
      <c r="E559" s="102">
        <v>0</v>
      </c>
      <c r="F559" s="102">
        <v>0</v>
      </c>
      <c r="G559" s="102">
        <v>0</v>
      </c>
      <c r="H559" s="102">
        <v>0</v>
      </c>
      <c r="I559" s="102">
        <v>0</v>
      </c>
      <c r="J559" s="102">
        <v>0</v>
      </c>
    </row>
    <row r="560" spans="2:10">
      <c r="B560" s="132" t="s">
        <v>295</v>
      </c>
      <c r="C560" s="102">
        <v>43.479245615289614</v>
      </c>
      <c r="D560" s="102">
        <v>0.38446751249514222</v>
      </c>
      <c r="E560" s="102">
        <v>0.88326961173991236</v>
      </c>
      <c r="F560" s="102">
        <v>0.69243962459119501</v>
      </c>
      <c r="G560" s="102">
        <v>0.26449218822321896</v>
      </c>
      <c r="H560" s="102">
        <v>0.15026296018031537</v>
      </c>
      <c r="I560" s="102">
        <v>9.5124851367420327E-2</v>
      </c>
      <c r="J560" s="102">
        <v>1.0515247108307046E-2</v>
      </c>
    </row>
    <row r="561" spans="2:10">
      <c r="B561" s="132" t="s">
        <v>303</v>
      </c>
      <c r="C561" s="102">
        <v>55.919483029295989</v>
      </c>
      <c r="D561" s="102">
        <v>60.515186466743558</v>
      </c>
      <c r="E561" s="102">
        <v>48.89528207845958</v>
      </c>
      <c r="F561" s="102">
        <v>42.02575875403479</v>
      </c>
      <c r="G561" s="102">
        <v>21.556113340192496</v>
      </c>
      <c r="H561" s="102">
        <v>10.45162367476417</v>
      </c>
      <c r="I561" s="102">
        <v>7.4316290130796672</v>
      </c>
      <c r="J561" s="102">
        <v>0.57833859095688755</v>
      </c>
    </row>
    <row r="562" spans="2:10">
      <c r="B562" s="65" t="s">
        <v>301</v>
      </c>
      <c r="C562" s="129">
        <v>0</v>
      </c>
      <c r="D562" s="129">
        <v>0</v>
      </c>
      <c r="E562" s="129">
        <v>0</v>
      </c>
      <c r="F562" s="129">
        <v>0</v>
      </c>
      <c r="G562" s="129">
        <v>0</v>
      </c>
      <c r="H562" s="129">
        <v>0</v>
      </c>
      <c r="I562" s="129">
        <v>0</v>
      </c>
      <c r="J562" s="102">
        <v>0</v>
      </c>
    </row>
    <row r="563" spans="2:10">
      <c r="B563" s="1"/>
      <c r="C563" s="107"/>
      <c r="D563" s="107"/>
      <c r="E563" s="135"/>
      <c r="F563" s="135"/>
      <c r="G563" s="135"/>
      <c r="H563" s="135"/>
      <c r="I563" s="135"/>
      <c r="J563" s="135"/>
    </row>
    <row r="564" spans="2:10">
      <c r="B564" s="59" t="s">
        <v>304</v>
      </c>
      <c r="C564" s="129"/>
      <c r="D564" s="129"/>
      <c r="E564" s="129"/>
      <c r="F564" s="129"/>
      <c r="G564" s="129"/>
      <c r="H564" s="129"/>
      <c r="I564" s="129"/>
      <c r="J564" s="129"/>
    </row>
    <row r="565" spans="2:10">
      <c r="B565" s="71" t="s">
        <v>297</v>
      </c>
      <c r="C565" s="102">
        <v>123.04749679794426</v>
      </c>
      <c r="D565" s="102">
        <v>46.289888504421377</v>
      </c>
      <c r="E565" s="102">
        <v>30.283529545368513</v>
      </c>
      <c r="F565" s="102">
        <v>12.357384069627468</v>
      </c>
      <c r="G565" s="102">
        <v>6.0039726726671123</v>
      </c>
      <c r="H565" s="102">
        <v>3.5228316220051754</v>
      </c>
      <c r="I565" s="102">
        <v>2.3305588585017838</v>
      </c>
      <c r="J565" s="102">
        <v>8.885383806519453</v>
      </c>
    </row>
    <row r="566" spans="2:10">
      <c r="B566" s="133" t="s">
        <v>296</v>
      </c>
      <c r="C566" s="102">
        <v>0</v>
      </c>
      <c r="D566" s="102">
        <v>0</v>
      </c>
      <c r="E566" s="102">
        <v>0</v>
      </c>
      <c r="F566" s="102">
        <v>0</v>
      </c>
      <c r="G566" s="102">
        <v>0</v>
      </c>
      <c r="H566" s="102">
        <v>0</v>
      </c>
      <c r="I566" s="102">
        <v>0</v>
      </c>
      <c r="J566" s="102">
        <v>0</v>
      </c>
    </row>
    <row r="567" spans="2:10">
      <c r="B567" s="132" t="s">
        <v>295</v>
      </c>
      <c r="C567" s="102">
        <v>122.55481412808263</v>
      </c>
      <c r="D567" s="102">
        <v>30.603613994617454</v>
      </c>
      <c r="E567" s="102">
        <v>24.289914322847661</v>
      </c>
      <c r="F567" s="102">
        <v>12.037796550585378</v>
      </c>
      <c r="G567" s="102">
        <v>5.765929703266214</v>
      </c>
      <c r="H567" s="102">
        <v>3.2056098171800649</v>
      </c>
      <c r="I567" s="102">
        <v>2.128418549346017</v>
      </c>
      <c r="J567" s="102">
        <v>8.4121976866456372</v>
      </c>
    </row>
    <row r="568" spans="2:10">
      <c r="B568" s="132" t="s">
        <v>303</v>
      </c>
      <c r="C568" s="102">
        <v>0.49268266986163872</v>
      </c>
      <c r="D568" s="102">
        <v>15.686274509803921</v>
      </c>
      <c r="E568" s="102">
        <v>5.9936152225208517</v>
      </c>
      <c r="F568" s="102">
        <v>0.31958751904208965</v>
      </c>
      <c r="G568" s="102">
        <v>0.23804296940089872</v>
      </c>
      <c r="H568" s="102">
        <v>0.31722180482511059</v>
      </c>
      <c r="I568" s="102">
        <v>0.20214030915576695</v>
      </c>
      <c r="J568" s="102">
        <v>0.47318611987381709</v>
      </c>
    </row>
    <row r="569" spans="2:10">
      <c r="B569" s="65" t="s">
        <v>301</v>
      </c>
      <c r="C569" s="102">
        <v>0</v>
      </c>
      <c r="D569" s="102">
        <v>0</v>
      </c>
      <c r="E569" s="102">
        <v>0</v>
      </c>
      <c r="F569" s="102">
        <v>0</v>
      </c>
      <c r="G569" s="102">
        <v>0</v>
      </c>
      <c r="H569" s="102">
        <v>0</v>
      </c>
      <c r="I569" s="102">
        <v>0</v>
      </c>
      <c r="J569" s="102">
        <v>0</v>
      </c>
    </row>
    <row r="570" spans="2:10">
      <c r="B570" s="1"/>
      <c r="C570" s="107"/>
      <c r="D570" s="107"/>
      <c r="E570" s="135"/>
      <c r="F570" s="135"/>
      <c r="G570" s="135"/>
      <c r="H570" s="135"/>
      <c r="I570" s="135"/>
      <c r="J570" s="135"/>
    </row>
    <row r="571" spans="2:10">
      <c r="B571" s="114" t="s">
        <v>302</v>
      </c>
      <c r="C571" s="107"/>
      <c r="D571" s="107"/>
      <c r="E571" s="107"/>
      <c r="F571" s="107"/>
      <c r="G571" s="107"/>
      <c r="H571" s="107"/>
      <c r="I571" s="107"/>
      <c r="J571" s="107"/>
    </row>
    <row r="572" spans="2:10">
      <c r="B572" s="114"/>
      <c r="C572" s="107"/>
      <c r="D572" s="107"/>
      <c r="E572" s="107"/>
      <c r="F572" s="107"/>
      <c r="G572" s="107"/>
      <c r="H572" s="107"/>
      <c r="I572" s="107"/>
      <c r="J572" s="107"/>
    </row>
    <row r="573" spans="2:10">
      <c r="B573" s="59" t="s">
        <v>93</v>
      </c>
      <c r="C573" s="107"/>
      <c r="D573" s="107"/>
      <c r="E573" s="107"/>
      <c r="F573" s="107"/>
      <c r="G573" s="107"/>
      <c r="H573" s="107"/>
      <c r="I573" s="107"/>
      <c r="J573" s="107"/>
    </row>
    <row r="574" spans="2:10">
      <c r="B574" s="71" t="s">
        <v>297</v>
      </c>
      <c r="C574" s="107"/>
      <c r="D574" s="102">
        <v>715478.0297467896</v>
      </c>
      <c r="E574" s="102">
        <v>852407.14325301896</v>
      </c>
      <c r="F574" s="102">
        <v>929004.963849272</v>
      </c>
      <c r="G574" s="102">
        <v>680187.57164342212</v>
      </c>
      <c r="H574" s="102">
        <v>679822.44315692456</v>
      </c>
      <c r="I574" s="102">
        <v>684089.51716761349</v>
      </c>
      <c r="J574" s="102">
        <v>1017838.9866666667</v>
      </c>
    </row>
    <row r="575" spans="2:10">
      <c r="B575" s="133" t="s">
        <v>296</v>
      </c>
      <c r="C575" s="107"/>
      <c r="D575" s="102">
        <v>715478.0297467896</v>
      </c>
      <c r="E575" s="102">
        <v>852407.14325301896</v>
      </c>
      <c r="F575" s="102">
        <v>929004.963849272</v>
      </c>
      <c r="G575" s="102">
        <v>680187.57164342212</v>
      </c>
      <c r="H575" s="102">
        <v>679822.44315692456</v>
      </c>
      <c r="I575" s="102">
        <v>684089.51716761349</v>
      </c>
      <c r="J575" s="102">
        <v>1017838.9866666667</v>
      </c>
    </row>
    <row r="576" spans="2:10">
      <c r="B576" s="131" t="s">
        <v>294</v>
      </c>
      <c r="C576" s="107"/>
      <c r="D576" s="102">
        <v>0</v>
      </c>
      <c r="E576" s="102">
        <v>0</v>
      </c>
      <c r="F576" s="102">
        <v>0</v>
      </c>
      <c r="G576" s="102">
        <v>0</v>
      </c>
      <c r="H576" s="102">
        <v>0</v>
      </c>
      <c r="I576" s="102">
        <v>0</v>
      </c>
      <c r="J576" s="102">
        <v>0</v>
      </c>
    </row>
    <row r="577" spans="2:10">
      <c r="B577" s="131" t="s">
        <v>293</v>
      </c>
      <c r="C577" s="107"/>
      <c r="D577" s="102">
        <v>0</v>
      </c>
      <c r="E577" s="102">
        <v>0</v>
      </c>
      <c r="F577" s="102">
        <v>0</v>
      </c>
      <c r="G577" s="102">
        <v>0</v>
      </c>
      <c r="H577" s="102">
        <v>0</v>
      </c>
      <c r="I577" s="102">
        <v>0</v>
      </c>
      <c r="J577" s="102">
        <v>0</v>
      </c>
    </row>
    <row r="578" spans="2:10">
      <c r="B578" s="131" t="s">
        <v>292</v>
      </c>
      <c r="C578" s="107"/>
      <c r="D578" s="102">
        <v>0</v>
      </c>
      <c r="E578" s="102">
        <v>0</v>
      </c>
      <c r="F578" s="102">
        <v>0</v>
      </c>
      <c r="G578" s="102">
        <v>0</v>
      </c>
      <c r="H578" s="102">
        <v>0</v>
      </c>
      <c r="I578" s="102">
        <v>0</v>
      </c>
      <c r="J578" s="102">
        <v>0</v>
      </c>
    </row>
    <row r="579" spans="2:10">
      <c r="B579" s="131" t="s">
        <v>291</v>
      </c>
      <c r="C579" s="107"/>
      <c r="D579" s="102">
        <v>0</v>
      </c>
      <c r="E579" s="102">
        <v>0</v>
      </c>
      <c r="F579" s="102">
        <v>0</v>
      </c>
      <c r="G579" s="102">
        <v>0</v>
      </c>
      <c r="H579" s="102">
        <v>0</v>
      </c>
      <c r="I579" s="102">
        <v>0</v>
      </c>
      <c r="J579" s="102">
        <v>0</v>
      </c>
    </row>
    <row r="580" spans="2:10">
      <c r="B580" s="131" t="s">
        <v>290</v>
      </c>
      <c r="C580" s="107"/>
      <c r="D580" s="102">
        <v>0</v>
      </c>
      <c r="E580" s="102">
        <v>0</v>
      </c>
      <c r="F580" s="102">
        <v>0</v>
      </c>
      <c r="G580" s="102">
        <v>0</v>
      </c>
      <c r="H580" s="102">
        <v>0</v>
      </c>
      <c r="I580" s="102">
        <v>0</v>
      </c>
      <c r="J580" s="102">
        <v>0</v>
      </c>
    </row>
    <row r="581" spans="2:10">
      <c r="B581" s="131" t="s">
        <v>289</v>
      </c>
      <c r="C581" s="107"/>
      <c r="D581" s="102">
        <v>0</v>
      </c>
      <c r="E581" s="102">
        <v>0</v>
      </c>
      <c r="F581" s="102">
        <v>0</v>
      </c>
      <c r="G581" s="102">
        <v>0</v>
      </c>
      <c r="H581" s="102">
        <v>0</v>
      </c>
      <c r="I581" s="102">
        <v>0</v>
      </c>
      <c r="J581" s="102">
        <v>0</v>
      </c>
    </row>
    <row r="582" spans="2:10">
      <c r="B582" s="131" t="s">
        <v>288</v>
      </c>
      <c r="C582" s="107"/>
      <c r="D582" s="102">
        <v>0</v>
      </c>
      <c r="E582" s="102">
        <v>0</v>
      </c>
      <c r="F582" s="102">
        <v>0</v>
      </c>
      <c r="G582" s="102">
        <v>0</v>
      </c>
      <c r="H582" s="102">
        <v>0</v>
      </c>
      <c r="I582" s="102">
        <v>0</v>
      </c>
      <c r="J582" s="102">
        <v>0</v>
      </c>
    </row>
    <row r="583" spans="2:10">
      <c r="B583" s="132" t="s">
        <v>295</v>
      </c>
      <c r="C583" s="107"/>
      <c r="D583" s="102">
        <v>0</v>
      </c>
      <c r="E583" s="102">
        <v>0</v>
      </c>
      <c r="F583" s="102">
        <v>0</v>
      </c>
      <c r="G583" s="102">
        <v>0</v>
      </c>
      <c r="H583" s="102">
        <v>0</v>
      </c>
      <c r="I583" s="102">
        <v>0</v>
      </c>
      <c r="J583" s="102">
        <v>0</v>
      </c>
    </row>
    <row r="584" spans="2:10">
      <c r="B584" s="131" t="s">
        <v>294</v>
      </c>
      <c r="C584" s="107"/>
      <c r="D584" s="102">
        <v>0</v>
      </c>
      <c r="E584" s="102">
        <v>0</v>
      </c>
      <c r="F584" s="102">
        <v>0</v>
      </c>
      <c r="G584" s="102">
        <v>0</v>
      </c>
      <c r="H584" s="102">
        <v>0</v>
      </c>
      <c r="I584" s="102">
        <v>0</v>
      </c>
      <c r="J584" s="102">
        <v>0</v>
      </c>
    </row>
    <row r="585" spans="2:10">
      <c r="B585" s="131" t="s">
        <v>293</v>
      </c>
      <c r="C585" s="107"/>
      <c r="D585" s="102">
        <v>0</v>
      </c>
      <c r="E585" s="102">
        <v>0</v>
      </c>
      <c r="F585" s="102">
        <v>0</v>
      </c>
      <c r="G585" s="102">
        <v>0</v>
      </c>
      <c r="H585" s="102">
        <v>0</v>
      </c>
      <c r="I585" s="102">
        <v>0</v>
      </c>
      <c r="J585" s="102">
        <v>0</v>
      </c>
    </row>
    <row r="586" spans="2:10">
      <c r="B586" s="131" t="s">
        <v>292</v>
      </c>
      <c r="C586" s="107"/>
      <c r="D586" s="102">
        <v>0</v>
      </c>
      <c r="E586" s="102">
        <v>0</v>
      </c>
      <c r="F586" s="102">
        <v>0</v>
      </c>
      <c r="G586" s="102">
        <v>0</v>
      </c>
      <c r="H586" s="102">
        <v>0</v>
      </c>
      <c r="I586" s="102">
        <v>0</v>
      </c>
      <c r="J586" s="102">
        <v>0</v>
      </c>
    </row>
    <row r="587" spans="2:10">
      <c r="B587" s="131" t="s">
        <v>291</v>
      </c>
      <c r="C587" s="107"/>
      <c r="D587" s="102">
        <v>0</v>
      </c>
      <c r="E587" s="102">
        <v>0</v>
      </c>
      <c r="F587" s="102">
        <v>0</v>
      </c>
      <c r="G587" s="102">
        <v>0</v>
      </c>
      <c r="H587" s="102">
        <v>0</v>
      </c>
      <c r="I587" s="102">
        <v>0</v>
      </c>
      <c r="J587" s="102">
        <v>0</v>
      </c>
    </row>
    <row r="588" spans="2:10">
      <c r="B588" s="131" t="s">
        <v>290</v>
      </c>
      <c r="C588" s="107"/>
      <c r="D588" s="102">
        <v>0</v>
      </c>
      <c r="E588" s="102">
        <v>0</v>
      </c>
      <c r="F588" s="102">
        <v>0</v>
      </c>
      <c r="G588" s="102">
        <v>0</v>
      </c>
      <c r="H588" s="102">
        <v>0</v>
      </c>
      <c r="I588" s="102">
        <v>0</v>
      </c>
      <c r="J588" s="102">
        <v>0</v>
      </c>
    </row>
    <row r="589" spans="2:10">
      <c r="B589" s="131" t="s">
        <v>289</v>
      </c>
      <c r="C589" s="107"/>
      <c r="D589" s="102">
        <v>0</v>
      </c>
      <c r="E589" s="102">
        <v>0</v>
      </c>
      <c r="F589" s="102">
        <v>0</v>
      </c>
      <c r="G589" s="102">
        <v>0</v>
      </c>
      <c r="H589" s="102">
        <v>0</v>
      </c>
      <c r="I589" s="102">
        <v>0</v>
      </c>
      <c r="J589" s="102">
        <v>0</v>
      </c>
    </row>
    <row r="590" spans="2:10">
      <c r="B590" s="131" t="s">
        <v>288</v>
      </c>
      <c r="C590" s="107"/>
      <c r="D590" s="102">
        <v>0</v>
      </c>
      <c r="E590" s="102">
        <v>0</v>
      </c>
      <c r="F590" s="102">
        <v>0</v>
      </c>
      <c r="G590" s="102">
        <v>0</v>
      </c>
      <c r="H590" s="102">
        <v>0</v>
      </c>
      <c r="I590" s="102">
        <v>0</v>
      </c>
      <c r="J590" s="102">
        <v>0</v>
      </c>
    </row>
    <row r="591" spans="2:10">
      <c r="B591" s="65" t="s">
        <v>301</v>
      </c>
      <c r="C591" s="107"/>
      <c r="D591" s="129">
        <v>0</v>
      </c>
      <c r="E591" s="129">
        <v>0</v>
      </c>
      <c r="F591" s="129">
        <v>0</v>
      </c>
      <c r="G591" s="129">
        <v>0</v>
      </c>
      <c r="H591" s="129">
        <v>0</v>
      </c>
      <c r="I591" s="129">
        <v>0</v>
      </c>
      <c r="J591" s="129">
        <v>0</v>
      </c>
    </row>
    <row r="592" spans="2:10">
      <c r="B592" s="114"/>
      <c r="C592" s="107"/>
      <c r="D592" s="107"/>
      <c r="E592" s="107"/>
      <c r="F592" s="107"/>
      <c r="G592" s="107"/>
      <c r="H592" s="107"/>
      <c r="I592" s="107"/>
      <c r="J592" s="107"/>
    </row>
    <row r="593" spans="2:10">
      <c r="B593" s="59" t="s">
        <v>85</v>
      </c>
      <c r="C593" s="134"/>
      <c r="D593" s="134"/>
      <c r="E593" s="134"/>
      <c r="F593" s="134"/>
      <c r="G593" s="134"/>
      <c r="H593" s="134"/>
      <c r="I593" s="134"/>
      <c r="J593" s="134"/>
    </row>
    <row r="594" spans="2:10">
      <c r="B594" s="71" t="s">
        <v>297</v>
      </c>
      <c r="C594" s="102">
        <v>913459.06007918832</v>
      </c>
      <c r="D594" s="102">
        <v>238869.64316052516</v>
      </c>
      <c r="E594" s="102">
        <v>246026.46884841518</v>
      </c>
      <c r="F594" s="102">
        <v>267526.84334758914</v>
      </c>
      <c r="G594" s="102">
        <v>166620.20452859215</v>
      </c>
      <c r="H594" s="102">
        <v>143137.88222357043</v>
      </c>
      <c r="I594" s="102">
        <v>108789.60055656786</v>
      </c>
      <c r="J594" s="102">
        <v>132901.84007360676</v>
      </c>
    </row>
    <row r="595" spans="2:10">
      <c r="B595" s="133" t="s">
        <v>296</v>
      </c>
      <c r="C595" s="102">
        <v>7401.2532351412565</v>
      </c>
      <c r="D595" s="102">
        <v>238869.64316052516</v>
      </c>
      <c r="E595" s="102">
        <v>246026.46884841518</v>
      </c>
      <c r="F595" s="102">
        <v>267526.84334758914</v>
      </c>
      <c r="G595" s="102">
        <v>166620.20452859215</v>
      </c>
      <c r="H595" s="102">
        <v>143137.88222357043</v>
      </c>
      <c r="I595" s="102">
        <v>108789.60055656786</v>
      </c>
      <c r="J595" s="102">
        <v>132901.84007360676</v>
      </c>
    </row>
    <row r="596" spans="2:10">
      <c r="B596" s="131" t="s">
        <v>294</v>
      </c>
      <c r="C596" s="102">
        <v>0</v>
      </c>
      <c r="D596" s="102">
        <v>50877.152432525945</v>
      </c>
      <c r="E596" s="102">
        <v>56416.961896821493</v>
      </c>
      <c r="F596" s="102">
        <v>68931.418137058688</v>
      </c>
      <c r="G596" s="102">
        <v>41795.145802819257</v>
      </c>
      <c r="H596" s="102">
        <v>35546.311927932096</v>
      </c>
      <c r="I596" s="102">
        <v>43080.68208633086</v>
      </c>
      <c r="J596" s="102">
        <v>48807.700609884334</v>
      </c>
    </row>
    <row r="597" spans="2:10">
      <c r="B597" s="131" t="s">
        <v>293</v>
      </c>
      <c r="C597" s="102">
        <v>0</v>
      </c>
      <c r="D597" s="102">
        <v>6840.3982532518257</v>
      </c>
      <c r="E597" s="102">
        <v>8495.1282813529178</v>
      </c>
      <c r="F597" s="102">
        <v>11131.363709295205</v>
      </c>
      <c r="G597" s="102">
        <v>8646.8570904999688</v>
      </c>
      <c r="H597" s="102">
        <v>8958.0194842198835</v>
      </c>
      <c r="I597" s="102">
        <v>9065.5759505713086</v>
      </c>
      <c r="J597" s="102">
        <v>12972.177739221872</v>
      </c>
    </row>
    <row r="598" spans="2:10">
      <c r="B598" s="131" t="s">
        <v>292</v>
      </c>
      <c r="C598" s="102">
        <v>0</v>
      </c>
      <c r="D598" s="102">
        <v>0</v>
      </c>
      <c r="E598" s="102">
        <v>0</v>
      </c>
      <c r="F598" s="102">
        <v>0</v>
      </c>
      <c r="G598" s="102">
        <v>0</v>
      </c>
      <c r="H598" s="102">
        <v>0</v>
      </c>
      <c r="I598" s="102">
        <v>0</v>
      </c>
      <c r="J598" s="102">
        <v>0</v>
      </c>
    </row>
    <row r="599" spans="2:10">
      <c r="B599" s="131" t="s">
        <v>291</v>
      </c>
      <c r="C599" s="102">
        <v>237892.76821232866</v>
      </c>
      <c r="D599" s="102">
        <v>0</v>
      </c>
      <c r="E599" s="102">
        <v>0</v>
      </c>
      <c r="F599" s="102">
        <v>0</v>
      </c>
      <c r="G599" s="102">
        <v>0</v>
      </c>
      <c r="H599" s="102">
        <v>0</v>
      </c>
      <c r="I599" s="102">
        <v>0</v>
      </c>
      <c r="J599" s="102">
        <v>0</v>
      </c>
    </row>
    <row r="600" spans="2:10">
      <c r="B600" s="131" t="s">
        <v>290</v>
      </c>
      <c r="C600" s="102">
        <v>0</v>
      </c>
      <c r="D600" s="102">
        <v>0</v>
      </c>
      <c r="E600" s="102">
        <v>0</v>
      </c>
      <c r="F600" s="102">
        <v>0</v>
      </c>
      <c r="G600" s="102">
        <v>0</v>
      </c>
      <c r="H600" s="102">
        <v>0</v>
      </c>
      <c r="I600" s="102">
        <v>0</v>
      </c>
      <c r="J600" s="102">
        <v>0</v>
      </c>
    </row>
    <row r="601" spans="2:10">
      <c r="B601" s="131" t="s">
        <v>289</v>
      </c>
      <c r="C601" s="102">
        <v>0</v>
      </c>
      <c r="D601" s="102">
        <v>181152.09247474739</v>
      </c>
      <c r="E601" s="102">
        <v>181114.37867024075</v>
      </c>
      <c r="F601" s="102">
        <v>187462.16667394401</v>
      </c>
      <c r="G601" s="102">
        <v>116176.89614472377</v>
      </c>
      <c r="H601" s="102">
        <v>96999.623050068258</v>
      </c>
      <c r="I601" s="102">
        <v>55670.224991477298</v>
      </c>
      <c r="J601" s="102">
        <v>68205.367781282868</v>
      </c>
    </row>
    <row r="602" spans="2:10">
      <c r="B602" s="131" t="s">
        <v>288</v>
      </c>
      <c r="C602" s="102">
        <v>0</v>
      </c>
      <c r="D602" s="102">
        <v>0</v>
      </c>
      <c r="E602" s="102">
        <v>0</v>
      </c>
      <c r="F602" s="102">
        <v>1.8948272911761881</v>
      </c>
      <c r="G602" s="102">
        <v>1.3054905491651303</v>
      </c>
      <c r="H602" s="102">
        <v>1633.9277613501961</v>
      </c>
      <c r="I602" s="102">
        <v>973.11752818840864</v>
      </c>
      <c r="J602" s="102">
        <v>2916.5939432176656</v>
      </c>
    </row>
    <row r="603" spans="2:10">
      <c r="B603" s="132" t="s">
        <v>295</v>
      </c>
      <c r="C603" s="129">
        <v>0</v>
      </c>
      <c r="D603" s="102">
        <v>0</v>
      </c>
      <c r="E603" s="102">
        <v>0</v>
      </c>
      <c r="F603" s="102">
        <v>0</v>
      </c>
      <c r="G603" s="102">
        <v>0</v>
      </c>
      <c r="H603" s="102">
        <v>0</v>
      </c>
      <c r="I603" s="102">
        <v>0</v>
      </c>
      <c r="J603" s="102">
        <v>0</v>
      </c>
    </row>
    <row r="604" spans="2:10">
      <c r="B604" s="131" t="s">
        <v>294</v>
      </c>
      <c r="C604" s="129">
        <v>0</v>
      </c>
      <c r="D604" s="102">
        <v>0</v>
      </c>
      <c r="E604" s="102">
        <v>0</v>
      </c>
      <c r="F604" s="102">
        <v>0</v>
      </c>
      <c r="G604" s="102">
        <v>0</v>
      </c>
      <c r="H604" s="102">
        <v>0</v>
      </c>
      <c r="I604" s="102">
        <v>0</v>
      </c>
      <c r="J604" s="102">
        <v>0</v>
      </c>
    </row>
    <row r="605" spans="2:10">
      <c r="B605" s="131" t="s">
        <v>293</v>
      </c>
      <c r="C605" s="129">
        <v>0</v>
      </c>
      <c r="D605" s="102">
        <v>0</v>
      </c>
      <c r="E605" s="102">
        <v>0</v>
      </c>
      <c r="F605" s="102">
        <v>0</v>
      </c>
      <c r="G605" s="102">
        <v>0</v>
      </c>
      <c r="H605" s="102">
        <v>0</v>
      </c>
      <c r="I605" s="102">
        <v>0</v>
      </c>
      <c r="J605" s="102">
        <v>0</v>
      </c>
    </row>
    <row r="606" spans="2:10">
      <c r="B606" s="131" t="s">
        <v>292</v>
      </c>
      <c r="C606" s="129">
        <v>0</v>
      </c>
      <c r="D606" s="102">
        <v>0</v>
      </c>
      <c r="E606" s="102">
        <v>0</v>
      </c>
      <c r="F606" s="102">
        <v>0</v>
      </c>
      <c r="G606" s="102">
        <v>0</v>
      </c>
      <c r="H606" s="102">
        <v>0</v>
      </c>
      <c r="I606" s="102">
        <v>0</v>
      </c>
      <c r="J606" s="102">
        <v>0</v>
      </c>
    </row>
    <row r="607" spans="2:10">
      <c r="B607" s="131" t="s">
        <v>291</v>
      </c>
      <c r="C607" s="129">
        <v>0</v>
      </c>
      <c r="D607" s="102">
        <v>0</v>
      </c>
      <c r="E607" s="102">
        <v>0</v>
      </c>
      <c r="F607" s="102">
        <v>0</v>
      </c>
      <c r="G607" s="102">
        <v>0</v>
      </c>
      <c r="H607" s="102">
        <v>0</v>
      </c>
      <c r="I607" s="102">
        <v>0</v>
      </c>
      <c r="J607" s="102">
        <v>0</v>
      </c>
    </row>
    <row r="608" spans="2:10">
      <c r="B608" s="131" t="s">
        <v>290</v>
      </c>
      <c r="C608" s="129">
        <v>0</v>
      </c>
      <c r="D608" s="102">
        <v>0</v>
      </c>
      <c r="E608" s="102">
        <v>0</v>
      </c>
      <c r="F608" s="102">
        <v>0</v>
      </c>
      <c r="G608" s="102">
        <v>0</v>
      </c>
      <c r="H608" s="102">
        <v>0</v>
      </c>
      <c r="I608" s="102">
        <v>0</v>
      </c>
      <c r="J608" s="102">
        <v>0</v>
      </c>
    </row>
    <row r="609" spans="2:10">
      <c r="B609" s="131" t="s">
        <v>289</v>
      </c>
      <c r="C609" s="129">
        <v>0</v>
      </c>
      <c r="D609" s="102">
        <v>0</v>
      </c>
      <c r="E609" s="102">
        <v>0</v>
      </c>
      <c r="F609" s="102">
        <v>0</v>
      </c>
      <c r="G609" s="102">
        <v>0</v>
      </c>
      <c r="H609" s="102">
        <v>0</v>
      </c>
      <c r="I609" s="102">
        <v>0</v>
      </c>
      <c r="J609" s="102">
        <v>0</v>
      </c>
    </row>
    <row r="610" spans="2:10">
      <c r="B610" s="131" t="s">
        <v>288</v>
      </c>
      <c r="C610" s="129">
        <v>0</v>
      </c>
      <c r="D610" s="102">
        <v>0</v>
      </c>
      <c r="E610" s="102">
        <v>0</v>
      </c>
      <c r="F610" s="102">
        <v>0</v>
      </c>
      <c r="G610" s="102">
        <v>0</v>
      </c>
      <c r="H610" s="102">
        <v>0</v>
      </c>
      <c r="I610" s="102">
        <v>0</v>
      </c>
      <c r="J610" s="102">
        <v>0</v>
      </c>
    </row>
    <row r="611" spans="2:10">
      <c r="B611" s="65" t="s">
        <v>301</v>
      </c>
      <c r="C611" s="129">
        <v>0</v>
      </c>
      <c r="D611" s="129">
        <v>0</v>
      </c>
      <c r="E611" s="129">
        <v>0</v>
      </c>
      <c r="F611" s="129">
        <v>0</v>
      </c>
      <c r="G611" s="129">
        <v>0</v>
      </c>
      <c r="H611" s="129">
        <v>0</v>
      </c>
      <c r="I611" s="129">
        <v>0</v>
      </c>
      <c r="J611" s="129">
        <v>0</v>
      </c>
    </row>
    <row r="612" spans="2:10">
      <c r="B612" s="65"/>
      <c r="C612" s="129"/>
      <c r="D612" s="129"/>
      <c r="E612" s="129"/>
      <c r="F612" s="129"/>
      <c r="G612" s="129"/>
      <c r="H612" s="129"/>
      <c r="I612" s="129"/>
      <c r="J612" s="129"/>
    </row>
    <row r="613" spans="2:10">
      <c r="B613" s="59" t="s">
        <v>300</v>
      </c>
      <c r="C613" s="107"/>
      <c r="D613" s="107"/>
      <c r="E613" s="107"/>
      <c r="F613" s="107"/>
      <c r="G613" s="107"/>
      <c r="H613" s="107"/>
      <c r="I613" s="107"/>
      <c r="J613" s="107"/>
    </row>
    <row r="614" spans="2:10">
      <c r="B614" s="71" t="s">
        <v>297</v>
      </c>
      <c r="C614" s="55">
        <v>102882.23463125544</v>
      </c>
      <c r="D614" s="55">
        <v>89815.477714718407</v>
      </c>
      <c r="E614" s="55">
        <v>101808.13307546701</v>
      </c>
      <c r="F614" s="55">
        <v>118865.37266347471</v>
      </c>
      <c r="G614" s="55">
        <v>83108.107051382962</v>
      </c>
      <c r="H614" s="55">
        <v>80402.93851004442</v>
      </c>
      <c r="I614" s="55">
        <v>98780.649478268009</v>
      </c>
      <c r="J614" s="102">
        <v>127672.01492113566</v>
      </c>
    </row>
    <row r="615" spans="2:10">
      <c r="B615" s="133" t="s">
        <v>296</v>
      </c>
      <c r="C615" s="55">
        <v>102882.23463125544</v>
      </c>
      <c r="D615" s="55">
        <v>89815.477714718407</v>
      </c>
      <c r="E615" s="55">
        <v>101808.13307546701</v>
      </c>
      <c r="F615" s="55">
        <v>118865.37266347471</v>
      </c>
      <c r="G615" s="55">
        <v>83108.107051382962</v>
      </c>
      <c r="H615" s="55">
        <v>80402.93851004442</v>
      </c>
      <c r="I615" s="55">
        <v>98780.649478268009</v>
      </c>
      <c r="J615" s="102">
        <v>127672.01492113566</v>
      </c>
    </row>
    <row r="616" spans="2:10">
      <c r="B616" s="131" t="s">
        <v>294</v>
      </c>
      <c r="C616" s="102">
        <v>10134.133369902294</v>
      </c>
      <c r="D616" s="102">
        <v>10045.570772851441</v>
      </c>
      <c r="E616" s="102">
        <v>14895.772524673948</v>
      </c>
      <c r="F616" s="102">
        <v>24603.617000683917</v>
      </c>
      <c r="G616" s="102">
        <v>21794.822814197229</v>
      </c>
      <c r="H616" s="102">
        <v>25752.136969990817</v>
      </c>
      <c r="I616" s="102">
        <v>34332.086381049085</v>
      </c>
      <c r="J616" s="102">
        <v>53643.151924290221</v>
      </c>
    </row>
    <row r="617" spans="2:10">
      <c r="B617" s="131" t="s">
        <v>293</v>
      </c>
      <c r="C617" s="102">
        <v>0</v>
      </c>
      <c r="D617" s="102">
        <v>0</v>
      </c>
      <c r="E617" s="102">
        <v>0</v>
      </c>
      <c r="F617" s="102">
        <v>0</v>
      </c>
      <c r="G617" s="102">
        <v>0</v>
      </c>
      <c r="H617" s="102">
        <v>0</v>
      </c>
      <c r="I617" s="102">
        <v>0</v>
      </c>
      <c r="J617" s="102">
        <v>0</v>
      </c>
    </row>
    <row r="618" spans="2:10">
      <c r="B618" s="131" t="s">
        <v>292</v>
      </c>
      <c r="C618" s="55">
        <v>41067.413582211761</v>
      </c>
      <c r="D618" s="55">
        <v>37412.21421520799</v>
      </c>
      <c r="E618" s="55">
        <v>43912.301713805507</v>
      </c>
      <c r="F618" s="55">
        <v>49752.861708463046</v>
      </c>
      <c r="G618" s="55">
        <v>34944.774529736591</v>
      </c>
      <c r="H618" s="55">
        <v>31193.714629273727</v>
      </c>
      <c r="I618" s="55">
        <v>33193.356310910385</v>
      </c>
      <c r="J618" s="102">
        <v>28548.400147213459</v>
      </c>
    </row>
    <row r="619" spans="2:10">
      <c r="B619" s="131" t="s">
        <v>291</v>
      </c>
      <c r="C619" s="55">
        <v>51680.687679141382</v>
      </c>
      <c r="D619" s="55">
        <v>42350.271119584781</v>
      </c>
      <c r="E619" s="55">
        <v>42997.724506727995</v>
      </c>
      <c r="F619" s="55">
        <v>44507.793660914445</v>
      </c>
      <c r="G619" s="55">
        <v>26368.118257194848</v>
      </c>
      <c r="H619" s="55">
        <v>23456.770642075466</v>
      </c>
      <c r="I619" s="55">
        <v>31255.169954837176</v>
      </c>
      <c r="J619" s="102">
        <v>45480.456635120929</v>
      </c>
    </row>
    <row r="620" spans="2:10">
      <c r="B620" s="131" t="s">
        <v>290</v>
      </c>
      <c r="C620" s="102">
        <v>0</v>
      </c>
      <c r="D620" s="102">
        <v>7.4216070742022291</v>
      </c>
      <c r="E620" s="102">
        <v>2.3343302595550841</v>
      </c>
      <c r="F620" s="102">
        <v>1.1002934133012325</v>
      </c>
      <c r="G620" s="55">
        <v>0.39145025430923897</v>
      </c>
      <c r="H620" s="55">
        <v>0.31626870439936555</v>
      </c>
      <c r="I620" s="55">
        <v>3.6831471357261711E-2</v>
      </c>
      <c r="J620" s="102">
        <v>6.2145110410094639E-3</v>
      </c>
    </row>
    <row r="621" spans="2:10">
      <c r="B621" s="131" t="s">
        <v>289</v>
      </c>
      <c r="C621" s="102">
        <v>0</v>
      </c>
      <c r="D621" s="102">
        <v>0</v>
      </c>
      <c r="E621" s="102">
        <v>0</v>
      </c>
      <c r="F621" s="102">
        <v>0</v>
      </c>
      <c r="G621" s="102">
        <v>0</v>
      </c>
      <c r="H621" s="102">
        <v>0</v>
      </c>
      <c r="I621" s="102">
        <v>0</v>
      </c>
      <c r="J621" s="102">
        <v>0</v>
      </c>
    </row>
    <row r="622" spans="2:10">
      <c r="B622" s="131" t="s">
        <v>288</v>
      </c>
      <c r="C622" s="102">
        <v>0</v>
      </c>
      <c r="D622" s="102">
        <v>0</v>
      </c>
      <c r="E622" s="102">
        <v>0</v>
      </c>
      <c r="F622" s="102">
        <v>0</v>
      </c>
      <c r="G622" s="102">
        <v>0</v>
      </c>
      <c r="H622" s="102">
        <v>0</v>
      </c>
      <c r="I622" s="102">
        <v>0</v>
      </c>
      <c r="J622" s="102">
        <v>0</v>
      </c>
    </row>
    <row r="623" spans="2:10">
      <c r="B623" s="132" t="s">
        <v>295</v>
      </c>
      <c r="C623" s="102">
        <v>0</v>
      </c>
      <c r="D623" s="102">
        <v>0</v>
      </c>
      <c r="E623" s="102">
        <v>0</v>
      </c>
      <c r="F623" s="102">
        <v>0</v>
      </c>
      <c r="G623" s="102">
        <v>0</v>
      </c>
      <c r="H623" s="102">
        <v>0</v>
      </c>
      <c r="I623" s="102">
        <v>0</v>
      </c>
      <c r="J623" s="102">
        <v>0</v>
      </c>
    </row>
    <row r="624" spans="2:10">
      <c r="B624" s="131" t="s">
        <v>294</v>
      </c>
      <c r="C624" s="102">
        <v>0</v>
      </c>
      <c r="D624" s="102">
        <v>0</v>
      </c>
      <c r="E624" s="102">
        <v>0</v>
      </c>
      <c r="F624" s="102">
        <v>0</v>
      </c>
      <c r="G624" s="102">
        <v>0</v>
      </c>
      <c r="H624" s="102">
        <v>0</v>
      </c>
      <c r="I624" s="102">
        <v>0</v>
      </c>
      <c r="J624" s="102">
        <v>0</v>
      </c>
    </row>
    <row r="625" spans="2:10">
      <c r="B625" s="131" t="s">
        <v>293</v>
      </c>
      <c r="C625" s="102">
        <v>0</v>
      </c>
      <c r="D625" s="102">
        <v>0</v>
      </c>
      <c r="E625" s="102">
        <v>0</v>
      </c>
      <c r="F625" s="102">
        <v>0</v>
      </c>
      <c r="G625" s="102">
        <v>0</v>
      </c>
      <c r="H625" s="102">
        <v>0</v>
      </c>
      <c r="I625" s="102">
        <v>0</v>
      </c>
      <c r="J625" s="102">
        <v>0</v>
      </c>
    </row>
    <row r="626" spans="2:10">
      <c r="B626" s="131" t="s">
        <v>292</v>
      </c>
      <c r="C626" s="102">
        <v>0</v>
      </c>
      <c r="D626" s="102">
        <v>0</v>
      </c>
      <c r="E626" s="102">
        <v>0</v>
      </c>
      <c r="F626" s="102">
        <v>0</v>
      </c>
      <c r="G626" s="102">
        <v>0</v>
      </c>
      <c r="H626" s="102">
        <v>0</v>
      </c>
      <c r="I626" s="102">
        <v>0</v>
      </c>
      <c r="J626" s="102">
        <v>0</v>
      </c>
    </row>
    <row r="627" spans="2:10">
      <c r="B627" s="131" t="s">
        <v>291</v>
      </c>
      <c r="C627" s="102">
        <v>0</v>
      </c>
      <c r="D627" s="102">
        <v>0</v>
      </c>
      <c r="E627" s="102">
        <v>0</v>
      </c>
      <c r="F627" s="102">
        <v>0</v>
      </c>
      <c r="G627" s="102">
        <v>0</v>
      </c>
      <c r="H627" s="102">
        <v>0</v>
      </c>
      <c r="I627" s="102">
        <v>0</v>
      </c>
      <c r="J627" s="102">
        <v>0</v>
      </c>
    </row>
    <row r="628" spans="2:10">
      <c r="B628" s="131" t="s">
        <v>290</v>
      </c>
      <c r="C628" s="102">
        <v>0</v>
      </c>
      <c r="D628" s="102">
        <v>0</v>
      </c>
      <c r="E628" s="102">
        <v>0</v>
      </c>
      <c r="F628" s="102">
        <v>0</v>
      </c>
      <c r="G628" s="102">
        <v>0</v>
      </c>
      <c r="H628" s="102">
        <v>0</v>
      </c>
      <c r="I628" s="102">
        <v>0</v>
      </c>
      <c r="J628" s="102">
        <v>0</v>
      </c>
    </row>
    <row r="629" spans="2:10">
      <c r="B629" s="131" t="s">
        <v>289</v>
      </c>
      <c r="C629" s="102">
        <v>0</v>
      </c>
      <c r="D629" s="102">
        <v>0</v>
      </c>
      <c r="E629" s="102">
        <v>0</v>
      </c>
      <c r="F629" s="102">
        <v>0</v>
      </c>
      <c r="G629" s="102">
        <v>0</v>
      </c>
      <c r="H629" s="102">
        <v>0</v>
      </c>
      <c r="I629" s="102">
        <v>0</v>
      </c>
      <c r="J629" s="102">
        <v>0</v>
      </c>
    </row>
    <row r="630" spans="2:10">
      <c r="B630" s="131" t="s">
        <v>288</v>
      </c>
      <c r="C630" s="102">
        <v>0</v>
      </c>
      <c r="D630" s="102">
        <v>0</v>
      </c>
      <c r="E630" s="102">
        <v>0</v>
      </c>
      <c r="F630" s="102">
        <v>0</v>
      </c>
      <c r="G630" s="102">
        <v>0</v>
      </c>
      <c r="H630" s="102">
        <v>0</v>
      </c>
      <c r="I630" s="102">
        <v>0</v>
      </c>
      <c r="J630" s="102">
        <v>0</v>
      </c>
    </row>
    <row r="631" spans="2:10">
      <c r="B631" s="65" t="s">
        <v>287</v>
      </c>
      <c r="C631" s="102">
        <v>0</v>
      </c>
      <c r="D631" s="102">
        <v>0</v>
      </c>
      <c r="E631" s="102">
        <v>0</v>
      </c>
      <c r="F631" s="102">
        <v>0</v>
      </c>
      <c r="G631" s="102">
        <v>0</v>
      </c>
      <c r="H631" s="102">
        <v>0</v>
      </c>
      <c r="I631" s="102">
        <v>0</v>
      </c>
      <c r="J631" s="102">
        <v>0</v>
      </c>
    </row>
    <row r="632" spans="2:10">
      <c r="B632" s="114"/>
      <c r="C632" s="107"/>
      <c r="D632" s="107"/>
      <c r="E632" s="107"/>
      <c r="F632" s="107"/>
      <c r="G632" s="107"/>
      <c r="H632" s="107"/>
      <c r="I632" s="107"/>
      <c r="J632" s="107"/>
    </row>
    <row r="633" spans="2:10">
      <c r="B633" s="59" t="s">
        <v>83</v>
      </c>
      <c r="C633" s="129"/>
      <c r="D633" s="129"/>
      <c r="E633" s="129"/>
      <c r="F633" s="129"/>
      <c r="G633" s="129"/>
      <c r="H633" s="129"/>
      <c r="I633" s="129"/>
      <c r="J633" s="129"/>
    </row>
    <row r="634" spans="2:10">
      <c r="B634" s="71" t="s">
        <v>297</v>
      </c>
      <c r="C634" s="55">
        <v>100954.45299482199</v>
      </c>
      <c r="D634" s="55">
        <v>91364.214513544779</v>
      </c>
      <c r="E634" s="55">
        <v>108265.33250067507</v>
      </c>
      <c r="F634" s="55">
        <v>134922.08880640366</v>
      </c>
      <c r="G634" s="55">
        <v>85978.704144066287</v>
      </c>
      <c r="H634" s="55">
        <v>85953.888776875508</v>
      </c>
      <c r="I634" s="55">
        <v>109239.26835159125</v>
      </c>
      <c r="J634" s="102">
        <v>112787.11356466878</v>
      </c>
    </row>
    <row r="635" spans="2:10">
      <c r="B635" s="133" t="s">
        <v>296</v>
      </c>
      <c r="C635" s="55">
        <v>100954.45299482199</v>
      </c>
      <c r="D635" s="55">
        <v>91364.214513544779</v>
      </c>
      <c r="E635" s="55">
        <v>108265.33250067507</v>
      </c>
      <c r="F635" s="55">
        <v>134922.08880640366</v>
      </c>
      <c r="G635" s="55">
        <v>85978.704144066287</v>
      </c>
      <c r="H635" s="55">
        <v>85953.888776875508</v>
      </c>
      <c r="I635" s="55">
        <v>109239.26835159125</v>
      </c>
      <c r="J635" s="102">
        <v>112787.11356466878</v>
      </c>
    </row>
    <row r="636" spans="2:10">
      <c r="B636" s="131" t="s">
        <v>294</v>
      </c>
      <c r="C636" s="55">
        <v>32662.381656858735</v>
      </c>
      <c r="D636" s="55">
        <v>35143.323059207993</v>
      </c>
      <c r="E636" s="55">
        <v>47440.58371465344</v>
      </c>
      <c r="F636" s="55">
        <v>67528.322282983034</v>
      </c>
      <c r="G636" s="55">
        <v>43515.51337325402</v>
      </c>
      <c r="H636" s="55">
        <v>48582.507007566914</v>
      </c>
      <c r="I636" s="55">
        <v>66106.6905141186</v>
      </c>
      <c r="J636" s="102">
        <v>109138.34627760254</v>
      </c>
    </row>
    <row r="637" spans="2:10">
      <c r="B637" s="131" t="s">
        <v>293</v>
      </c>
      <c r="C637" s="55">
        <v>0</v>
      </c>
      <c r="D637" s="55">
        <v>0</v>
      </c>
      <c r="E637" s="55">
        <v>0</v>
      </c>
      <c r="F637" s="55">
        <v>0</v>
      </c>
      <c r="G637" s="55">
        <v>0</v>
      </c>
      <c r="H637" s="55">
        <v>0</v>
      </c>
      <c r="I637" s="55">
        <v>0</v>
      </c>
      <c r="J637" s="55">
        <v>0</v>
      </c>
    </row>
    <row r="638" spans="2:10">
      <c r="B638" s="131" t="s">
        <v>292</v>
      </c>
      <c r="C638" s="55">
        <v>9397.8621073693503</v>
      </c>
      <c r="D638" s="55">
        <v>7903.4054709727016</v>
      </c>
      <c r="E638" s="55">
        <v>9436.3622739776165</v>
      </c>
      <c r="F638" s="55">
        <v>11160.77511186964</v>
      </c>
      <c r="G638" s="55">
        <v>7921.3338046522058</v>
      </c>
      <c r="H638" s="55">
        <v>7943.5497114525078</v>
      </c>
      <c r="I638" s="55">
        <v>7290.1661151839662</v>
      </c>
      <c r="J638" s="102">
        <v>11402.769316508939</v>
      </c>
    </row>
    <row r="639" spans="2:10">
      <c r="B639" s="131" t="s">
        <v>291</v>
      </c>
      <c r="C639" s="55">
        <v>58894.209230593915</v>
      </c>
      <c r="D639" s="55">
        <v>48317.485983364088</v>
      </c>
      <c r="E639" s="55">
        <v>51388.38651204401</v>
      </c>
      <c r="F639" s="55">
        <v>56232.99141155096</v>
      </c>
      <c r="G639" s="55">
        <v>34541.85696616007</v>
      </c>
      <c r="H639" s="55">
        <v>29427.832057856082</v>
      </c>
      <c r="I639" s="55">
        <v>35842.411722288685</v>
      </c>
      <c r="J639" s="102">
        <v>112787.11356466878</v>
      </c>
    </row>
    <row r="640" spans="2:10">
      <c r="B640" s="131" t="s">
        <v>290</v>
      </c>
      <c r="C640" s="129">
        <v>0</v>
      </c>
      <c r="D640" s="129">
        <v>0</v>
      </c>
      <c r="E640" s="129">
        <v>0</v>
      </c>
      <c r="F640" s="129">
        <v>0</v>
      </c>
      <c r="G640" s="129">
        <v>0</v>
      </c>
      <c r="H640" s="129">
        <v>0</v>
      </c>
      <c r="I640" s="129">
        <v>0</v>
      </c>
      <c r="J640" s="55">
        <v>0</v>
      </c>
    </row>
    <row r="641" spans="2:10">
      <c r="B641" s="131" t="s">
        <v>289</v>
      </c>
      <c r="C641" s="129">
        <v>0</v>
      </c>
      <c r="D641" s="129">
        <v>0</v>
      </c>
      <c r="E641" s="129">
        <v>0</v>
      </c>
      <c r="F641" s="129">
        <v>0</v>
      </c>
      <c r="G641" s="129">
        <v>0</v>
      </c>
      <c r="H641" s="129">
        <v>0</v>
      </c>
      <c r="I641" s="129">
        <v>0</v>
      </c>
      <c r="J641" s="55">
        <v>0</v>
      </c>
    </row>
    <row r="642" spans="2:10">
      <c r="B642" s="131" t="s">
        <v>288</v>
      </c>
      <c r="C642" s="129">
        <v>0</v>
      </c>
      <c r="D642" s="129">
        <v>0</v>
      </c>
      <c r="E642" s="129">
        <v>0</v>
      </c>
      <c r="F642" s="129">
        <v>0</v>
      </c>
      <c r="G642" s="129">
        <v>0</v>
      </c>
      <c r="H642" s="129">
        <v>0</v>
      </c>
      <c r="I642" s="129">
        <v>0</v>
      </c>
      <c r="J642" s="55">
        <v>0</v>
      </c>
    </row>
    <row r="643" spans="2:10">
      <c r="B643" s="132" t="s">
        <v>295</v>
      </c>
      <c r="C643" s="129">
        <v>0</v>
      </c>
      <c r="D643" s="129">
        <v>0</v>
      </c>
      <c r="E643" s="129">
        <v>0</v>
      </c>
      <c r="F643" s="129">
        <v>0</v>
      </c>
      <c r="G643" s="129">
        <v>0</v>
      </c>
      <c r="H643" s="129">
        <v>0</v>
      </c>
      <c r="I643" s="129">
        <v>0</v>
      </c>
      <c r="J643" s="55">
        <v>0</v>
      </c>
    </row>
    <row r="644" spans="2:10">
      <c r="B644" s="131" t="s">
        <v>294</v>
      </c>
      <c r="C644" s="129">
        <v>0</v>
      </c>
      <c r="D644" s="129">
        <v>0</v>
      </c>
      <c r="E644" s="129">
        <v>0</v>
      </c>
      <c r="F644" s="129">
        <v>0</v>
      </c>
      <c r="G644" s="129">
        <v>0</v>
      </c>
      <c r="H644" s="129">
        <v>0</v>
      </c>
      <c r="I644" s="129">
        <v>0</v>
      </c>
      <c r="J644" s="55">
        <v>0</v>
      </c>
    </row>
    <row r="645" spans="2:10">
      <c r="B645" s="131" t="s">
        <v>293</v>
      </c>
      <c r="C645" s="129">
        <v>0</v>
      </c>
      <c r="D645" s="129">
        <v>0</v>
      </c>
      <c r="E645" s="129">
        <v>0</v>
      </c>
      <c r="F645" s="129">
        <v>0</v>
      </c>
      <c r="G645" s="129">
        <v>0</v>
      </c>
      <c r="H645" s="129">
        <v>0</v>
      </c>
      <c r="I645" s="129">
        <v>0</v>
      </c>
      <c r="J645" s="55">
        <v>0</v>
      </c>
    </row>
    <row r="646" spans="2:10">
      <c r="B646" s="131" t="s">
        <v>292</v>
      </c>
      <c r="C646" s="129">
        <v>0</v>
      </c>
      <c r="D646" s="129">
        <v>0</v>
      </c>
      <c r="E646" s="129">
        <v>0</v>
      </c>
      <c r="F646" s="129">
        <v>0</v>
      </c>
      <c r="G646" s="129">
        <v>0</v>
      </c>
      <c r="H646" s="129">
        <v>0</v>
      </c>
      <c r="I646" s="129">
        <v>0</v>
      </c>
      <c r="J646" s="55">
        <v>0</v>
      </c>
    </row>
    <row r="647" spans="2:10">
      <c r="B647" s="131" t="s">
        <v>291</v>
      </c>
      <c r="C647" s="129">
        <v>0</v>
      </c>
      <c r="D647" s="129">
        <v>0</v>
      </c>
      <c r="E647" s="129">
        <v>0</v>
      </c>
      <c r="F647" s="129">
        <v>0</v>
      </c>
      <c r="G647" s="129">
        <v>0</v>
      </c>
      <c r="H647" s="129">
        <v>0</v>
      </c>
      <c r="I647" s="129">
        <v>0</v>
      </c>
      <c r="J647" s="55">
        <v>0</v>
      </c>
    </row>
    <row r="648" spans="2:10">
      <c r="B648" s="131" t="s">
        <v>290</v>
      </c>
      <c r="C648" s="129">
        <v>0</v>
      </c>
      <c r="D648" s="129">
        <v>0</v>
      </c>
      <c r="E648" s="129">
        <v>0</v>
      </c>
      <c r="F648" s="129">
        <v>0</v>
      </c>
      <c r="G648" s="129">
        <v>0</v>
      </c>
      <c r="H648" s="129">
        <v>0</v>
      </c>
      <c r="I648" s="129">
        <v>0</v>
      </c>
      <c r="J648" s="55">
        <v>0</v>
      </c>
    </row>
    <row r="649" spans="2:10">
      <c r="B649" s="131" t="s">
        <v>289</v>
      </c>
      <c r="C649" s="129">
        <v>0</v>
      </c>
      <c r="D649" s="129">
        <v>0</v>
      </c>
      <c r="E649" s="129">
        <v>0</v>
      </c>
      <c r="F649" s="129">
        <v>0</v>
      </c>
      <c r="G649" s="129">
        <v>0</v>
      </c>
      <c r="H649" s="129">
        <v>0</v>
      </c>
      <c r="I649" s="129">
        <v>0</v>
      </c>
      <c r="J649" s="55">
        <v>0</v>
      </c>
    </row>
    <row r="650" spans="2:10">
      <c r="B650" s="131" t="s">
        <v>288</v>
      </c>
      <c r="C650" s="129">
        <v>0</v>
      </c>
      <c r="D650" s="129">
        <v>0</v>
      </c>
      <c r="E650" s="129">
        <v>0</v>
      </c>
      <c r="F650" s="129">
        <v>0</v>
      </c>
      <c r="G650" s="129">
        <v>0</v>
      </c>
      <c r="H650" s="129">
        <v>0</v>
      </c>
      <c r="I650" s="129">
        <v>0</v>
      </c>
      <c r="J650" s="55">
        <v>0</v>
      </c>
    </row>
    <row r="651" spans="2:10">
      <c r="B651" s="131" t="s">
        <v>287</v>
      </c>
      <c r="C651" s="129">
        <v>0</v>
      </c>
      <c r="D651" s="129">
        <v>0</v>
      </c>
      <c r="E651" s="129">
        <v>0</v>
      </c>
      <c r="F651" s="129">
        <v>0</v>
      </c>
      <c r="G651" s="129">
        <v>0</v>
      </c>
      <c r="H651" s="129">
        <v>0</v>
      </c>
      <c r="I651" s="129">
        <v>0</v>
      </c>
      <c r="J651" s="129">
        <v>0</v>
      </c>
    </row>
    <row r="652" spans="2:10">
      <c r="B652" s="114"/>
      <c r="C652" s="107"/>
      <c r="D652" s="107"/>
      <c r="E652" s="107"/>
      <c r="F652" s="107"/>
      <c r="G652" s="107"/>
      <c r="H652" s="107"/>
      <c r="I652" s="107"/>
      <c r="J652" s="107"/>
    </row>
    <row r="653" spans="2:10">
      <c r="B653" s="59" t="s">
        <v>299</v>
      </c>
      <c r="C653" s="129"/>
      <c r="D653" s="129"/>
      <c r="E653" s="129"/>
      <c r="F653" s="129"/>
      <c r="G653" s="129"/>
      <c r="H653" s="129"/>
      <c r="I653" s="129"/>
      <c r="J653" s="129"/>
    </row>
    <row r="654" spans="2:10">
      <c r="B654" s="71" t="s">
        <v>297</v>
      </c>
      <c r="C654" s="129">
        <v>0</v>
      </c>
      <c r="D654" s="129">
        <v>0</v>
      </c>
      <c r="E654" s="129">
        <v>0</v>
      </c>
      <c r="F654" s="129">
        <v>0</v>
      </c>
      <c r="G654" s="55">
        <v>4553.7867402733964</v>
      </c>
      <c r="H654" s="55">
        <v>10764.814963196637</v>
      </c>
      <c r="I654" s="55">
        <v>16115.952513144061</v>
      </c>
      <c r="J654" s="55">
        <v>17216.481062039958</v>
      </c>
    </row>
    <row r="655" spans="2:10">
      <c r="B655" s="133" t="s">
        <v>296</v>
      </c>
      <c r="C655" s="129">
        <v>0</v>
      </c>
      <c r="D655" s="129">
        <v>0</v>
      </c>
      <c r="E655" s="129">
        <v>0</v>
      </c>
      <c r="F655" s="129">
        <v>0</v>
      </c>
      <c r="G655" s="55">
        <v>4553.7867402733964</v>
      </c>
      <c r="H655" s="55">
        <v>10764.814963196637</v>
      </c>
      <c r="I655" s="55">
        <v>16115.952513144061</v>
      </c>
      <c r="J655" s="55">
        <v>17216.481062039958</v>
      </c>
    </row>
    <row r="656" spans="2:10">
      <c r="B656" s="131" t="s">
        <v>294</v>
      </c>
      <c r="C656" s="129">
        <v>0</v>
      </c>
      <c r="D656" s="129">
        <v>0</v>
      </c>
      <c r="E656" s="129">
        <v>0</v>
      </c>
      <c r="F656" s="129">
        <v>0</v>
      </c>
      <c r="G656" s="129">
        <v>0</v>
      </c>
      <c r="H656" s="129">
        <v>0</v>
      </c>
      <c r="I656" s="129">
        <v>0</v>
      </c>
      <c r="J656" s="129">
        <v>0</v>
      </c>
    </row>
    <row r="657" spans="2:10">
      <c r="B657" s="131" t="s">
        <v>293</v>
      </c>
      <c r="C657" s="129">
        <v>0</v>
      </c>
      <c r="D657" s="129">
        <v>0</v>
      </c>
      <c r="E657" s="129">
        <v>0</v>
      </c>
      <c r="F657" s="129">
        <v>0</v>
      </c>
      <c r="G657" s="129">
        <v>0</v>
      </c>
      <c r="H657" s="129">
        <v>0</v>
      </c>
      <c r="I657" s="129">
        <v>0</v>
      </c>
      <c r="J657" s="129">
        <v>0</v>
      </c>
    </row>
    <row r="658" spans="2:10">
      <c r="B658" s="131" t="s">
        <v>292</v>
      </c>
      <c r="C658" s="129">
        <v>0</v>
      </c>
      <c r="D658" s="129">
        <v>0</v>
      </c>
      <c r="E658" s="129">
        <v>0</v>
      </c>
      <c r="F658" s="129">
        <v>0</v>
      </c>
      <c r="G658" s="102">
        <v>4553.7867402733964</v>
      </c>
      <c r="H658" s="102">
        <v>10764.814963196637</v>
      </c>
      <c r="I658" s="102">
        <v>16115.952513144061</v>
      </c>
      <c r="J658" s="102">
        <v>17216.481062039958</v>
      </c>
    </row>
    <row r="659" spans="2:10">
      <c r="B659" s="131" t="s">
        <v>291</v>
      </c>
      <c r="C659" s="129">
        <v>0</v>
      </c>
      <c r="D659" s="129">
        <v>0</v>
      </c>
      <c r="E659" s="129">
        <v>0</v>
      </c>
      <c r="F659" s="129">
        <v>0</v>
      </c>
      <c r="G659" s="129">
        <v>0</v>
      </c>
      <c r="H659" s="129">
        <v>0</v>
      </c>
      <c r="I659" s="129">
        <v>0</v>
      </c>
      <c r="J659" s="129">
        <v>0</v>
      </c>
    </row>
    <row r="660" spans="2:10">
      <c r="B660" s="131" t="s">
        <v>290</v>
      </c>
      <c r="C660" s="129">
        <v>0</v>
      </c>
      <c r="D660" s="129">
        <v>0</v>
      </c>
      <c r="E660" s="129">
        <v>0</v>
      </c>
      <c r="F660" s="129">
        <v>0</v>
      </c>
      <c r="G660" s="129">
        <v>0</v>
      </c>
      <c r="H660" s="129">
        <v>0</v>
      </c>
      <c r="I660" s="129">
        <v>0</v>
      </c>
      <c r="J660" s="129">
        <v>0</v>
      </c>
    </row>
    <row r="661" spans="2:10">
      <c r="B661" s="131" t="s">
        <v>289</v>
      </c>
      <c r="C661" s="129">
        <v>0</v>
      </c>
      <c r="D661" s="129">
        <v>0</v>
      </c>
      <c r="E661" s="129">
        <v>0</v>
      </c>
      <c r="F661" s="129">
        <v>0</v>
      </c>
      <c r="G661" s="129">
        <v>0</v>
      </c>
      <c r="H661" s="129">
        <v>0</v>
      </c>
      <c r="I661" s="129">
        <v>0</v>
      </c>
      <c r="J661" s="129">
        <v>0</v>
      </c>
    </row>
    <row r="662" spans="2:10">
      <c r="B662" s="131" t="s">
        <v>288</v>
      </c>
      <c r="C662" s="129">
        <v>0</v>
      </c>
      <c r="D662" s="129">
        <v>0</v>
      </c>
      <c r="E662" s="129">
        <v>0</v>
      </c>
      <c r="F662" s="129">
        <v>0</v>
      </c>
      <c r="G662" s="129">
        <v>0</v>
      </c>
      <c r="H662" s="129">
        <v>0</v>
      </c>
      <c r="I662" s="129">
        <v>0</v>
      </c>
      <c r="J662" s="129">
        <v>0</v>
      </c>
    </row>
    <row r="663" spans="2:10">
      <c r="B663" s="132" t="s">
        <v>295</v>
      </c>
      <c r="C663" s="129">
        <v>0</v>
      </c>
      <c r="D663" s="129">
        <v>0</v>
      </c>
      <c r="E663" s="129">
        <v>0</v>
      </c>
      <c r="F663" s="129">
        <v>0</v>
      </c>
      <c r="G663" s="129">
        <v>0</v>
      </c>
      <c r="H663" s="129">
        <v>0</v>
      </c>
      <c r="I663" s="129">
        <v>0</v>
      </c>
      <c r="J663" s="129">
        <v>0</v>
      </c>
    </row>
    <row r="664" spans="2:10">
      <c r="B664" s="131" t="s">
        <v>294</v>
      </c>
      <c r="C664" s="129">
        <v>0</v>
      </c>
      <c r="D664" s="129">
        <v>0</v>
      </c>
      <c r="E664" s="129">
        <v>0</v>
      </c>
      <c r="F664" s="129">
        <v>0</v>
      </c>
      <c r="G664" s="129">
        <v>0</v>
      </c>
      <c r="H664" s="129">
        <v>0</v>
      </c>
      <c r="I664" s="129">
        <v>0</v>
      </c>
      <c r="J664" s="129">
        <v>0</v>
      </c>
    </row>
    <row r="665" spans="2:10">
      <c r="B665" s="131" t="s">
        <v>293</v>
      </c>
      <c r="C665" s="129">
        <v>0</v>
      </c>
      <c r="D665" s="129">
        <v>0</v>
      </c>
      <c r="E665" s="129">
        <v>0</v>
      </c>
      <c r="F665" s="129">
        <v>0</v>
      </c>
      <c r="G665" s="129">
        <v>0</v>
      </c>
      <c r="H665" s="129">
        <v>0</v>
      </c>
      <c r="I665" s="129">
        <v>0</v>
      </c>
      <c r="J665" s="129">
        <v>0</v>
      </c>
    </row>
    <row r="666" spans="2:10">
      <c r="B666" s="131" t="s">
        <v>292</v>
      </c>
      <c r="C666" s="129">
        <v>0</v>
      </c>
      <c r="D666" s="129">
        <v>0</v>
      </c>
      <c r="E666" s="129">
        <v>0</v>
      </c>
      <c r="F666" s="129">
        <v>0</v>
      </c>
      <c r="G666" s="129">
        <v>0</v>
      </c>
      <c r="H666" s="129">
        <v>0</v>
      </c>
      <c r="I666" s="129">
        <v>0</v>
      </c>
      <c r="J666" s="129">
        <v>0</v>
      </c>
    </row>
    <row r="667" spans="2:10">
      <c r="B667" s="131" t="s">
        <v>291</v>
      </c>
      <c r="C667" s="129">
        <v>0</v>
      </c>
      <c r="D667" s="129">
        <v>0</v>
      </c>
      <c r="E667" s="129">
        <v>0</v>
      </c>
      <c r="F667" s="129">
        <v>0</v>
      </c>
      <c r="G667" s="129">
        <v>0</v>
      </c>
      <c r="H667" s="129">
        <v>0</v>
      </c>
      <c r="I667" s="129">
        <v>0</v>
      </c>
      <c r="J667" s="129">
        <v>0</v>
      </c>
    </row>
    <row r="668" spans="2:10">
      <c r="B668" s="131" t="s">
        <v>290</v>
      </c>
      <c r="C668" s="129">
        <v>0</v>
      </c>
      <c r="D668" s="129">
        <v>0</v>
      </c>
      <c r="E668" s="129">
        <v>0</v>
      </c>
      <c r="F668" s="129">
        <v>0</v>
      </c>
      <c r="G668" s="129">
        <v>0</v>
      </c>
      <c r="H668" s="129">
        <v>0</v>
      </c>
      <c r="I668" s="129">
        <v>0</v>
      </c>
      <c r="J668" s="129">
        <v>0</v>
      </c>
    </row>
    <row r="669" spans="2:10">
      <c r="B669" s="131" t="s">
        <v>289</v>
      </c>
      <c r="C669" s="129">
        <v>0</v>
      </c>
      <c r="D669" s="129">
        <v>0</v>
      </c>
      <c r="E669" s="129">
        <v>0</v>
      </c>
      <c r="F669" s="129">
        <v>0</v>
      </c>
      <c r="G669" s="129">
        <v>0</v>
      </c>
      <c r="H669" s="129">
        <v>0</v>
      </c>
      <c r="I669" s="129">
        <v>0</v>
      </c>
      <c r="J669" s="129">
        <v>0</v>
      </c>
    </row>
    <row r="670" spans="2:10">
      <c r="B670" s="131" t="s">
        <v>288</v>
      </c>
      <c r="C670" s="129">
        <v>0</v>
      </c>
      <c r="D670" s="129">
        <v>0</v>
      </c>
      <c r="E670" s="129">
        <v>0</v>
      </c>
      <c r="F670" s="129">
        <v>0</v>
      </c>
      <c r="G670" s="129">
        <v>0</v>
      </c>
      <c r="H670" s="129">
        <v>0</v>
      </c>
      <c r="I670" s="129">
        <v>0</v>
      </c>
      <c r="J670" s="129">
        <v>0</v>
      </c>
    </row>
    <row r="671" spans="2:10">
      <c r="B671" s="131" t="s">
        <v>287</v>
      </c>
      <c r="C671" s="129">
        <v>0</v>
      </c>
      <c r="D671" s="129">
        <v>0</v>
      </c>
      <c r="E671" s="129">
        <v>0</v>
      </c>
      <c r="F671" s="129">
        <v>0</v>
      </c>
      <c r="G671" s="129">
        <v>0</v>
      </c>
      <c r="H671" s="129">
        <v>0</v>
      </c>
      <c r="I671" s="129">
        <v>0</v>
      </c>
      <c r="J671" s="129">
        <v>0</v>
      </c>
    </row>
    <row r="672" spans="2:10">
      <c r="B672" s="114"/>
      <c r="C672" s="107"/>
      <c r="D672" s="107"/>
      <c r="E672" s="107"/>
      <c r="F672" s="107"/>
      <c r="G672" s="107"/>
      <c r="H672" s="107"/>
      <c r="I672" s="107"/>
      <c r="J672" s="107"/>
    </row>
    <row r="673" spans="2:10">
      <c r="B673" s="59" t="s">
        <v>298</v>
      </c>
      <c r="C673" s="129"/>
      <c r="D673" s="129"/>
      <c r="E673" s="129"/>
      <c r="F673" s="129"/>
      <c r="G673" s="129"/>
      <c r="H673" s="129"/>
      <c r="I673" s="129"/>
      <c r="J673" s="129"/>
    </row>
    <row r="674" spans="2:10">
      <c r="B674" s="71" t="s">
        <v>297</v>
      </c>
      <c r="C674" s="129">
        <v>0</v>
      </c>
      <c r="D674" s="129">
        <v>0</v>
      </c>
      <c r="E674" s="129">
        <v>0</v>
      </c>
      <c r="F674" s="129">
        <v>0</v>
      </c>
      <c r="G674" s="129">
        <v>0</v>
      </c>
      <c r="H674" s="129">
        <v>0</v>
      </c>
      <c r="I674" s="102">
        <v>5256.5058464773929</v>
      </c>
      <c r="J674" s="102">
        <v>14109.603427970558</v>
      </c>
    </row>
    <row r="675" spans="2:10">
      <c r="B675" s="133" t="s">
        <v>296</v>
      </c>
      <c r="C675" s="129">
        <v>0</v>
      </c>
      <c r="D675" s="129">
        <v>0</v>
      </c>
      <c r="E675" s="129">
        <v>0</v>
      </c>
      <c r="F675" s="129">
        <v>0</v>
      </c>
      <c r="G675" s="129">
        <v>0</v>
      </c>
      <c r="H675" s="129">
        <v>0</v>
      </c>
      <c r="I675" s="55">
        <v>5256.5058464773929</v>
      </c>
      <c r="J675" s="55">
        <v>14109.603427970558</v>
      </c>
    </row>
    <row r="676" spans="2:10">
      <c r="B676" s="131" t="s">
        <v>294</v>
      </c>
      <c r="C676" s="129">
        <v>0</v>
      </c>
      <c r="D676" s="129">
        <v>0</v>
      </c>
      <c r="E676" s="129">
        <v>0</v>
      </c>
      <c r="F676" s="129">
        <v>0</v>
      </c>
      <c r="G676" s="129">
        <v>0</v>
      </c>
      <c r="H676" s="129">
        <v>0</v>
      </c>
      <c r="I676" s="55">
        <v>5256.5058464773929</v>
      </c>
      <c r="J676" s="55">
        <v>14109.603427970558</v>
      </c>
    </row>
    <row r="677" spans="2:10">
      <c r="B677" s="131" t="s">
        <v>293</v>
      </c>
      <c r="C677" s="129">
        <v>0</v>
      </c>
      <c r="D677" s="129">
        <v>0</v>
      </c>
      <c r="E677" s="129">
        <v>0</v>
      </c>
      <c r="F677" s="129">
        <v>0</v>
      </c>
      <c r="G677" s="129">
        <v>0</v>
      </c>
      <c r="H677" s="129">
        <v>0</v>
      </c>
      <c r="I677" s="129">
        <v>0</v>
      </c>
      <c r="J677" s="129">
        <v>0</v>
      </c>
    </row>
    <row r="678" spans="2:10">
      <c r="B678" s="131" t="s">
        <v>292</v>
      </c>
      <c r="C678" s="129">
        <v>0</v>
      </c>
      <c r="D678" s="129">
        <v>0</v>
      </c>
      <c r="E678" s="129">
        <v>0</v>
      </c>
      <c r="F678" s="129">
        <v>0</v>
      </c>
      <c r="G678" s="129">
        <v>0</v>
      </c>
      <c r="H678" s="129">
        <v>0</v>
      </c>
      <c r="I678" s="129">
        <v>0</v>
      </c>
      <c r="J678" s="129">
        <v>0</v>
      </c>
    </row>
    <row r="679" spans="2:10">
      <c r="B679" s="131" t="s">
        <v>291</v>
      </c>
      <c r="C679" s="129">
        <v>0</v>
      </c>
      <c r="D679" s="129">
        <v>0</v>
      </c>
      <c r="E679" s="129">
        <v>0</v>
      </c>
      <c r="F679" s="129">
        <v>0</v>
      </c>
      <c r="G679" s="129">
        <v>0</v>
      </c>
      <c r="H679" s="129">
        <v>0</v>
      </c>
      <c r="I679" s="129">
        <v>0</v>
      </c>
      <c r="J679" s="129">
        <v>0</v>
      </c>
    </row>
    <row r="680" spans="2:10">
      <c r="B680" s="131" t="s">
        <v>290</v>
      </c>
      <c r="C680" s="129">
        <v>0</v>
      </c>
      <c r="D680" s="129">
        <v>0</v>
      </c>
      <c r="E680" s="129">
        <v>0</v>
      </c>
      <c r="F680" s="129">
        <v>0</v>
      </c>
      <c r="G680" s="129">
        <v>0</v>
      </c>
      <c r="H680" s="129">
        <v>0</v>
      </c>
      <c r="I680" s="129">
        <v>0</v>
      </c>
      <c r="J680" s="129">
        <v>0</v>
      </c>
    </row>
    <row r="681" spans="2:10">
      <c r="B681" s="131" t="s">
        <v>289</v>
      </c>
      <c r="C681" s="129">
        <v>0</v>
      </c>
      <c r="D681" s="129">
        <v>0</v>
      </c>
      <c r="E681" s="129">
        <v>0</v>
      </c>
      <c r="F681" s="129">
        <v>0</v>
      </c>
      <c r="G681" s="129">
        <v>0</v>
      </c>
      <c r="H681" s="129">
        <v>0</v>
      </c>
      <c r="I681" s="129">
        <v>0</v>
      </c>
      <c r="J681" s="129">
        <v>0</v>
      </c>
    </row>
    <row r="682" spans="2:10">
      <c r="B682" s="131" t="s">
        <v>288</v>
      </c>
      <c r="C682" s="129">
        <v>0</v>
      </c>
      <c r="D682" s="129">
        <v>0</v>
      </c>
      <c r="E682" s="129">
        <v>0</v>
      </c>
      <c r="F682" s="129">
        <v>0</v>
      </c>
      <c r="G682" s="129">
        <v>0</v>
      </c>
      <c r="H682" s="129">
        <v>0</v>
      </c>
      <c r="I682" s="129">
        <v>0</v>
      </c>
      <c r="J682" s="129">
        <v>0</v>
      </c>
    </row>
    <row r="683" spans="2:10">
      <c r="B683" s="132" t="s">
        <v>295</v>
      </c>
      <c r="C683" s="129">
        <v>0</v>
      </c>
      <c r="D683" s="129">
        <v>0</v>
      </c>
      <c r="E683" s="129">
        <v>0</v>
      </c>
      <c r="F683" s="129">
        <v>0</v>
      </c>
      <c r="G683" s="129">
        <v>0</v>
      </c>
      <c r="H683" s="129">
        <v>0</v>
      </c>
      <c r="I683" s="129">
        <v>0</v>
      </c>
      <c r="J683" s="129">
        <v>0</v>
      </c>
    </row>
    <row r="684" spans="2:10">
      <c r="B684" s="131" t="s">
        <v>294</v>
      </c>
      <c r="C684" s="129">
        <v>0</v>
      </c>
      <c r="D684" s="129">
        <v>0</v>
      </c>
      <c r="E684" s="129">
        <v>0</v>
      </c>
      <c r="F684" s="129">
        <v>0</v>
      </c>
      <c r="G684" s="129">
        <v>0</v>
      </c>
      <c r="H684" s="129">
        <v>0</v>
      </c>
      <c r="I684" s="129">
        <v>0</v>
      </c>
      <c r="J684" s="129">
        <v>0</v>
      </c>
    </row>
    <row r="685" spans="2:10">
      <c r="B685" s="131" t="s">
        <v>293</v>
      </c>
      <c r="C685" s="129">
        <v>0</v>
      </c>
      <c r="D685" s="129">
        <v>0</v>
      </c>
      <c r="E685" s="129">
        <v>0</v>
      </c>
      <c r="F685" s="129">
        <v>0</v>
      </c>
      <c r="G685" s="129">
        <v>0</v>
      </c>
      <c r="H685" s="129">
        <v>0</v>
      </c>
      <c r="I685" s="129">
        <v>0</v>
      </c>
      <c r="J685" s="129">
        <v>0</v>
      </c>
    </row>
    <row r="686" spans="2:10">
      <c r="B686" s="131" t="s">
        <v>292</v>
      </c>
      <c r="C686" s="129">
        <v>0</v>
      </c>
      <c r="D686" s="129">
        <v>0</v>
      </c>
      <c r="E686" s="129">
        <v>0</v>
      </c>
      <c r="F686" s="129">
        <v>0</v>
      </c>
      <c r="G686" s="129">
        <v>0</v>
      </c>
      <c r="H686" s="129">
        <v>0</v>
      </c>
      <c r="I686" s="129">
        <v>0</v>
      </c>
      <c r="J686" s="129">
        <v>0</v>
      </c>
    </row>
    <row r="687" spans="2:10">
      <c r="B687" s="131" t="s">
        <v>291</v>
      </c>
      <c r="C687" s="129">
        <v>0</v>
      </c>
      <c r="D687" s="129">
        <v>0</v>
      </c>
      <c r="E687" s="129">
        <v>0</v>
      </c>
      <c r="F687" s="129">
        <v>0</v>
      </c>
      <c r="G687" s="129">
        <v>0</v>
      </c>
      <c r="H687" s="129">
        <v>0</v>
      </c>
      <c r="I687" s="129">
        <v>0</v>
      </c>
      <c r="J687" s="129">
        <v>0</v>
      </c>
    </row>
    <row r="688" spans="2:10">
      <c r="B688" s="131" t="s">
        <v>290</v>
      </c>
      <c r="C688" s="129">
        <v>0</v>
      </c>
      <c r="D688" s="129">
        <v>0</v>
      </c>
      <c r="E688" s="129">
        <v>0</v>
      </c>
      <c r="F688" s="129">
        <v>0</v>
      </c>
      <c r="G688" s="129">
        <v>0</v>
      </c>
      <c r="H688" s="129">
        <v>0</v>
      </c>
      <c r="I688" s="129">
        <v>0</v>
      </c>
      <c r="J688" s="129">
        <v>0</v>
      </c>
    </row>
    <row r="689" spans="2:10">
      <c r="B689" s="131" t="s">
        <v>289</v>
      </c>
      <c r="C689" s="129">
        <v>0</v>
      </c>
      <c r="D689" s="129">
        <v>0</v>
      </c>
      <c r="E689" s="129">
        <v>0</v>
      </c>
      <c r="F689" s="129">
        <v>0</v>
      </c>
      <c r="G689" s="129">
        <v>0</v>
      </c>
      <c r="H689" s="129">
        <v>0</v>
      </c>
      <c r="I689" s="129">
        <v>0</v>
      </c>
      <c r="J689" s="129">
        <v>0</v>
      </c>
    </row>
    <row r="690" spans="2:10">
      <c r="B690" s="131" t="s">
        <v>288</v>
      </c>
      <c r="C690" s="129">
        <v>0</v>
      </c>
      <c r="D690" s="129">
        <v>0</v>
      </c>
      <c r="E690" s="129">
        <v>0</v>
      </c>
      <c r="F690" s="129">
        <v>0</v>
      </c>
      <c r="G690" s="129">
        <v>0</v>
      </c>
      <c r="H690" s="129">
        <v>0</v>
      </c>
      <c r="I690" s="129">
        <v>0</v>
      </c>
      <c r="J690" s="129">
        <v>0</v>
      </c>
    </row>
    <row r="691" spans="2:10" ht="15" thickBot="1">
      <c r="B691" s="130" t="s">
        <v>287</v>
      </c>
      <c r="C691" s="129">
        <v>0</v>
      </c>
      <c r="D691" s="129">
        <v>0</v>
      </c>
      <c r="E691" s="129">
        <v>0</v>
      </c>
      <c r="F691" s="129">
        <v>0</v>
      </c>
      <c r="G691" s="129">
        <v>0</v>
      </c>
      <c r="H691" s="129">
        <v>0</v>
      </c>
      <c r="I691" s="129">
        <v>0</v>
      </c>
      <c r="J691" s="129">
        <v>0</v>
      </c>
    </row>
    <row r="692" spans="2:10" ht="15" thickTop="1">
      <c r="B692" s="2026" t="s">
        <v>286</v>
      </c>
      <c r="C692" s="2026"/>
      <c r="D692" s="2026"/>
      <c r="E692" s="2026"/>
      <c r="F692" s="2026"/>
      <c r="G692" s="2026"/>
      <c r="H692" s="2026"/>
      <c r="I692" s="2026"/>
      <c r="J692" s="2026"/>
    </row>
    <row r="693" spans="2:10">
      <c r="B693" s="64"/>
      <c r="C693" s="1"/>
      <c r="D693" s="1"/>
      <c r="E693" s="1"/>
      <c r="F693" s="1"/>
      <c r="G693" s="1"/>
      <c r="H693" s="1"/>
      <c r="I693" s="1"/>
      <c r="J693" s="1"/>
    </row>
    <row r="694" spans="2:10">
      <c r="B694" s="14" t="s">
        <v>285</v>
      </c>
      <c r="C694" s="14"/>
      <c r="D694" s="14"/>
      <c r="E694" s="14"/>
      <c r="F694" s="14"/>
      <c r="G694" s="14"/>
      <c r="H694" s="14"/>
      <c r="I694" s="14"/>
      <c r="J694" s="14"/>
    </row>
    <row r="695" spans="2:10">
      <c r="B695" s="12" t="s">
        <v>284</v>
      </c>
      <c r="C695" s="1"/>
      <c r="D695" s="1"/>
      <c r="E695" s="1"/>
      <c r="F695" s="1"/>
      <c r="G695" s="1"/>
      <c r="H695" s="1"/>
      <c r="I695" s="1"/>
      <c r="J695" s="1"/>
    </row>
    <row r="696" spans="2:10">
      <c r="B696" s="62" t="s">
        <v>269</v>
      </c>
      <c r="C696" s="1"/>
      <c r="D696" s="1"/>
      <c r="E696" s="1"/>
      <c r="F696" s="1"/>
      <c r="G696" s="1"/>
      <c r="H696" s="1"/>
      <c r="I696" s="1"/>
      <c r="J696" s="1"/>
    </row>
    <row r="697" spans="2:10">
      <c r="B697" s="64"/>
      <c r="C697" s="1"/>
      <c r="D697" s="1"/>
      <c r="E697" s="1"/>
      <c r="F697" s="1"/>
      <c r="G697" s="1"/>
      <c r="H697" s="1"/>
      <c r="I697" s="1"/>
      <c r="J697" s="1"/>
    </row>
    <row r="698" spans="2:10">
      <c r="B698" s="61"/>
      <c r="C698" s="60">
        <v>2014</v>
      </c>
      <c r="D698" s="60">
        <v>2015</v>
      </c>
      <c r="E698" s="60">
        <v>2016</v>
      </c>
      <c r="F698" s="60">
        <v>2017</v>
      </c>
      <c r="G698" s="60">
        <v>2018</v>
      </c>
      <c r="H698" s="60">
        <v>2019</v>
      </c>
      <c r="I698" s="60">
        <v>2020</v>
      </c>
      <c r="J698" s="60">
        <v>2021</v>
      </c>
    </row>
    <row r="699" spans="2:10" ht="15" thickBot="1">
      <c r="B699" s="128" t="s">
        <v>283</v>
      </c>
      <c r="C699" s="127">
        <v>89</v>
      </c>
      <c r="D699" s="127">
        <v>83</v>
      </c>
      <c r="E699" s="127">
        <v>86</v>
      </c>
      <c r="F699" s="127">
        <v>88</v>
      </c>
      <c r="G699" s="127">
        <v>0</v>
      </c>
      <c r="H699" s="127">
        <v>0</v>
      </c>
      <c r="I699" s="127">
        <v>0</v>
      </c>
      <c r="J699" s="127">
        <v>0</v>
      </c>
    </row>
    <row r="700" spans="2:10" ht="15" thickTop="1">
      <c r="B700" s="108" t="s">
        <v>272</v>
      </c>
      <c r="C700" s="1"/>
      <c r="D700" s="1"/>
      <c r="E700" s="1"/>
      <c r="F700" s="1"/>
      <c r="G700" s="1"/>
      <c r="H700" s="1"/>
      <c r="I700" s="1"/>
      <c r="J700" s="1"/>
    </row>
    <row r="701" spans="2:10">
      <c r="B701" s="64"/>
      <c r="C701" s="1"/>
      <c r="D701" s="1"/>
      <c r="E701" s="1"/>
      <c r="F701" s="1"/>
      <c r="G701" s="1"/>
      <c r="H701" s="1"/>
      <c r="I701" s="1"/>
      <c r="J701" s="1"/>
    </row>
    <row r="702" spans="2:10">
      <c r="B702" s="14" t="s">
        <v>282</v>
      </c>
      <c r="C702" s="14"/>
      <c r="D702" s="14"/>
      <c r="E702" s="14"/>
      <c r="F702" s="14"/>
      <c r="G702" s="14"/>
      <c r="H702" s="14"/>
      <c r="I702" s="14"/>
      <c r="J702" s="14"/>
    </row>
    <row r="703" spans="2:10">
      <c r="B703" s="12" t="s">
        <v>281</v>
      </c>
      <c r="C703" s="1"/>
      <c r="D703" s="1"/>
      <c r="E703" s="1"/>
      <c r="F703" s="1"/>
      <c r="G703" s="1"/>
      <c r="H703" s="1"/>
      <c r="I703" s="1"/>
      <c r="J703" s="1"/>
    </row>
    <row r="704" spans="2:10">
      <c r="B704" s="62" t="s">
        <v>236</v>
      </c>
      <c r="C704" s="1"/>
      <c r="D704" s="1"/>
      <c r="E704" s="1"/>
      <c r="F704" s="1"/>
      <c r="G704" s="1"/>
      <c r="H704" s="1"/>
      <c r="I704" s="1"/>
      <c r="J704" s="1"/>
    </row>
    <row r="705" spans="2:10">
      <c r="B705" s="64"/>
      <c r="C705" s="1"/>
      <c r="D705" s="1"/>
      <c r="E705" s="1"/>
      <c r="F705" s="1"/>
      <c r="G705" s="1"/>
      <c r="H705" s="1"/>
      <c r="I705" s="1"/>
      <c r="J705" s="1"/>
    </row>
    <row r="706" spans="2:10">
      <c r="B706" s="61"/>
      <c r="C706" s="60">
        <v>2014</v>
      </c>
      <c r="D706" s="60">
        <v>2015</v>
      </c>
      <c r="E706" s="60">
        <v>2016</v>
      </c>
      <c r="F706" s="60">
        <v>2017</v>
      </c>
      <c r="G706" s="60">
        <v>2018</v>
      </c>
      <c r="H706" s="60">
        <v>2019</v>
      </c>
      <c r="I706" s="60">
        <v>2020</v>
      </c>
      <c r="J706" s="60">
        <v>2021</v>
      </c>
    </row>
    <row r="707" spans="2:10">
      <c r="B707" s="126" t="s">
        <v>280</v>
      </c>
      <c r="C707" s="67"/>
      <c r="D707" s="67"/>
      <c r="E707" s="67"/>
      <c r="F707" s="67"/>
      <c r="G707" s="67"/>
      <c r="H707" s="67"/>
      <c r="I707" s="67"/>
      <c r="J707" s="67"/>
    </row>
    <row r="708" spans="2:10">
      <c r="B708" s="124" t="s">
        <v>277</v>
      </c>
      <c r="C708" s="67"/>
      <c r="D708" s="67"/>
      <c r="E708" s="67"/>
      <c r="F708" s="67"/>
      <c r="G708" s="67"/>
      <c r="H708" s="67"/>
      <c r="I708" s="67"/>
      <c r="J708" s="67"/>
    </row>
    <row r="709" spans="2:10">
      <c r="B709" s="123" t="s">
        <v>276</v>
      </c>
      <c r="C709" s="67">
        <v>924225</v>
      </c>
      <c r="D709" s="67">
        <v>992727</v>
      </c>
      <c r="E709" s="67">
        <v>1203383</v>
      </c>
      <c r="F709" s="67">
        <v>1003628</v>
      </c>
      <c r="G709" s="67">
        <v>0</v>
      </c>
      <c r="H709" s="67">
        <v>0</v>
      </c>
      <c r="I709" s="67">
        <v>0</v>
      </c>
      <c r="J709" s="67">
        <v>0</v>
      </c>
    </row>
    <row r="710" spans="2:10">
      <c r="B710" s="123" t="s">
        <v>275</v>
      </c>
      <c r="C710" s="67">
        <v>68844</v>
      </c>
      <c r="D710" s="67">
        <v>70831</v>
      </c>
      <c r="E710" s="67">
        <v>13324</v>
      </c>
      <c r="F710" s="67">
        <v>7571</v>
      </c>
      <c r="G710" s="67">
        <v>0</v>
      </c>
      <c r="H710" s="67">
        <v>0</v>
      </c>
      <c r="I710" s="67">
        <v>0</v>
      </c>
      <c r="J710" s="67">
        <v>0</v>
      </c>
    </row>
    <row r="711" spans="2:10">
      <c r="B711" s="123" t="s">
        <v>274</v>
      </c>
      <c r="C711" s="67">
        <v>77126</v>
      </c>
      <c r="D711" s="67">
        <v>67884</v>
      </c>
      <c r="E711" s="67">
        <v>73395</v>
      </c>
      <c r="F711" s="67">
        <v>69845</v>
      </c>
      <c r="G711" s="67">
        <v>0</v>
      </c>
      <c r="H711" s="67">
        <v>0</v>
      </c>
      <c r="I711" s="67">
        <v>0</v>
      </c>
      <c r="J711" s="67">
        <v>0</v>
      </c>
    </row>
    <row r="712" spans="2:10">
      <c r="B712" s="123" t="s">
        <v>273</v>
      </c>
      <c r="C712" s="67">
        <v>10698</v>
      </c>
      <c r="D712" s="67">
        <v>10796</v>
      </c>
      <c r="E712" s="67">
        <v>10431</v>
      </c>
      <c r="F712" s="67">
        <v>10913</v>
      </c>
      <c r="G712" s="67">
        <v>0</v>
      </c>
      <c r="H712" s="67">
        <v>0</v>
      </c>
      <c r="I712" s="67">
        <v>0</v>
      </c>
      <c r="J712" s="67">
        <v>0</v>
      </c>
    </row>
    <row r="713" spans="2:10">
      <c r="B713" s="125" t="s">
        <v>279</v>
      </c>
      <c r="C713" s="67"/>
      <c r="D713" s="67"/>
      <c r="E713" s="67"/>
      <c r="F713" s="67"/>
      <c r="G713" s="67"/>
      <c r="H713" s="67"/>
      <c r="I713" s="67"/>
      <c r="J713" s="67"/>
    </row>
    <row r="714" spans="2:10">
      <c r="B714" s="124" t="s">
        <v>277</v>
      </c>
      <c r="C714" s="67"/>
      <c r="D714" s="67"/>
      <c r="E714" s="67"/>
      <c r="F714" s="67"/>
      <c r="G714" s="67"/>
      <c r="H714" s="67"/>
      <c r="I714" s="67"/>
      <c r="J714" s="67"/>
    </row>
    <row r="715" spans="2:10">
      <c r="B715" s="123" t="s">
        <v>276</v>
      </c>
      <c r="C715" s="67">
        <v>347535</v>
      </c>
      <c r="D715" s="67">
        <v>317266</v>
      </c>
      <c r="E715" s="67">
        <v>308744</v>
      </c>
      <c r="F715" s="67">
        <v>411465</v>
      </c>
      <c r="G715" s="67">
        <v>0</v>
      </c>
      <c r="H715" s="67">
        <v>0</v>
      </c>
      <c r="I715" s="67">
        <v>0</v>
      </c>
      <c r="J715" s="67">
        <v>0</v>
      </c>
    </row>
    <row r="716" spans="2:10">
      <c r="B716" s="123" t="s">
        <v>275</v>
      </c>
      <c r="C716" s="67">
        <v>116546</v>
      </c>
      <c r="D716" s="67">
        <v>109720</v>
      </c>
      <c r="E716" s="67">
        <v>100047</v>
      </c>
      <c r="F716" s="67">
        <v>136982</v>
      </c>
      <c r="G716" s="67">
        <v>0</v>
      </c>
      <c r="H716" s="67">
        <v>0</v>
      </c>
      <c r="I716" s="67">
        <v>0</v>
      </c>
      <c r="J716" s="67">
        <v>0</v>
      </c>
    </row>
    <row r="717" spans="2:10">
      <c r="B717" s="123" t="s">
        <v>274</v>
      </c>
      <c r="C717" s="67">
        <v>7236</v>
      </c>
      <c r="D717" s="67">
        <v>6531</v>
      </c>
      <c r="E717" s="67">
        <v>7397</v>
      </c>
      <c r="F717" s="67">
        <v>7703</v>
      </c>
      <c r="G717" s="67">
        <v>0</v>
      </c>
      <c r="H717" s="67">
        <v>0</v>
      </c>
      <c r="I717" s="67">
        <v>0</v>
      </c>
      <c r="J717" s="67">
        <v>0</v>
      </c>
    </row>
    <row r="718" spans="2:10">
      <c r="B718" s="123" t="s">
        <v>273</v>
      </c>
      <c r="C718" s="67">
        <v>5387</v>
      </c>
      <c r="D718" s="67">
        <v>3517</v>
      </c>
      <c r="E718" s="67">
        <v>3468</v>
      </c>
      <c r="F718" s="67">
        <v>4278</v>
      </c>
      <c r="G718" s="67">
        <v>0</v>
      </c>
      <c r="H718" s="67">
        <v>0</v>
      </c>
      <c r="I718" s="67">
        <v>0</v>
      </c>
      <c r="J718" s="67">
        <v>0</v>
      </c>
    </row>
    <row r="719" spans="2:10">
      <c r="B719" s="125" t="s">
        <v>278</v>
      </c>
      <c r="C719" s="67"/>
      <c r="D719" s="67"/>
      <c r="E719" s="67"/>
      <c r="F719" s="67"/>
      <c r="G719" s="67"/>
      <c r="H719" s="67"/>
      <c r="I719" s="67"/>
      <c r="J719" s="67"/>
    </row>
    <row r="720" spans="2:10">
      <c r="B720" s="124" t="s">
        <v>277</v>
      </c>
      <c r="C720" s="67"/>
      <c r="D720" s="67"/>
      <c r="E720" s="67"/>
      <c r="F720" s="67"/>
      <c r="G720" s="67"/>
      <c r="H720" s="67"/>
      <c r="I720" s="67"/>
      <c r="J720" s="67"/>
    </row>
    <row r="721" spans="2:10">
      <c r="B721" s="123" t="s">
        <v>276</v>
      </c>
      <c r="C721" s="67">
        <v>10813</v>
      </c>
      <c r="D721" s="67">
        <v>10955</v>
      </c>
      <c r="E721" s="67">
        <v>10458</v>
      </c>
      <c r="F721" s="67">
        <v>11095</v>
      </c>
      <c r="G721" s="67">
        <v>0</v>
      </c>
      <c r="H721" s="67">
        <v>0</v>
      </c>
      <c r="I721" s="67">
        <v>0</v>
      </c>
      <c r="J721" s="67">
        <v>0</v>
      </c>
    </row>
    <row r="722" spans="2:10">
      <c r="B722" s="123" t="s">
        <v>275</v>
      </c>
      <c r="C722" s="67">
        <v>2</v>
      </c>
      <c r="D722" s="67"/>
      <c r="E722" s="67"/>
      <c r="F722" s="67">
        <v>2</v>
      </c>
      <c r="G722" s="67">
        <v>0</v>
      </c>
      <c r="H722" s="67">
        <v>0</v>
      </c>
      <c r="I722" s="67">
        <v>0</v>
      </c>
      <c r="J722" s="67">
        <v>0</v>
      </c>
    </row>
    <row r="723" spans="2:10">
      <c r="B723" s="123" t="s">
        <v>274</v>
      </c>
      <c r="C723" s="67">
        <v>5</v>
      </c>
      <c r="D723" s="67">
        <v>2</v>
      </c>
      <c r="E723" s="67">
        <v>4</v>
      </c>
      <c r="F723" s="67">
        <v>4</v>
      </c>
      <c r="G723" s="67">
        <v>0</v>
      </c>
      <c r="H723" s="67">
        <v>0</v>
      </c>
      <c r="I723" s="67">
        <v>0</v>
      </c>
      <c r="J723" s="67">
        <v>0</v>
      </c>
    </row>
    <row r="724" spans="2:10" ht="15" thickBot="1">
      <c r="B724" s="122" t="s">
        <v>273</v>
      </c>
      <c r="C724" s="117">
        <v>1</v>
      </c>
      <c r="D724" s="117"/>
      <c r="E724" s="117"/>
      <c r="F724" s="117">
        <v>1</v>
      </c>
      <c r="G724" s="117">
        <v>0</v>
      </c>
      <c r="H724" s="117">
        <v>0</v>
      </c>
      <c r="I724" s="117">
        <v>0</v>
      </c>
      <c r="J724" s="117">
        <v>0</v>
      </c>
    </row>
    <row r="725" spans="2:10" ht="15" thickTop="1">
      <c r="B725" s="108" t="s">
        <v>272</v>
      </c>
      <c r="C725" s="1"/>
      <c r="D725" s="1"/>
      <c r="E725" s="1"/>
      <c r="F725" s="1"/>
      <c r="G725" s="1"/>
      <c r="H725" s="1"/>
      <c r="I725" s="1"/>
      <c r="J725" s="1"/>
    </row>
    <row r="726" spans="2:10">
      <c r="B726" s="64"/>
      <c r="C726" s="1"/>
      <c r="D726" s="1"/>
      <c r="E726" s="1"/>
      <c r="F726" s="1"/>
      <c r="G726" s="1"/>
      <c r="H726" s="1"/>
      <c r="I726" s="1"/>
      <c r="J726" s="1"/>
    </row>
    <row r="727" spans="2:10">
      <c r="B727" s="14" t="s">
        <v>271</v>
      </c>
      <c r="C727" s="14"/>
      <c r="D727" s="14"/>
      <c r="E727" s="14"/>
      <c r="F727" s="14"/>
      <c r="G727" s="14"/>
      <c r="H727" s="14"/>
      <c r="I727" s="14"/>
      <c r="J727" s="14"/>
    </row>
    <row r="728" spans="2:10">
      <c r="B728" s="12" t="s">
        <v>270</v>
      </c>
      <c r="C728" s="1"/>
      <c r="D728" s="1"/>
      <c r="E728" s="1"/>
      <c r="F728" s="1"/>
      <c r="G728" s="1"/>
      <c r="H728" s="1"/>
      <c r="I728" s="1"/>
      <c r="J728" s="1"/>
    </row>
    <row r="729" spans="2:10">
      <c r="B729" s="77" t="s">
        <v>269</v>
      </c>
      <c r="C729" s="1"/>
      <c r="D729" s="1"/>
      <c r="E729" s="1"/>
      <c r="F729" s="1"/>
      <c r="G729" s="1"/>
      <c r="H729" s="1"/>
      <c r="I729" s="1"/>
      <c r="J729" s="1"/>
    </row>
    <row r="730" spans="2:10">
      <c r="B730" s="76"/>
      <c r="C730" s="1"/>
      <c r="D730" s="1"/>
      <c r="E730" s="1"/>
      <c r="F730" s="1"/>
      <c r="G730" s="1"/>
      <c r="H730" s="1"/>
      <c r="I730" s="1"/>
      <c r="J730" s="1"/>
    </row>
    <row r="731" spans="2:10">
      <c r="B731" s="61"/>
      <c r="C731" s="60">
        <v>2014</v>
      </c>
      <c r="D731" s="60">
        <v>2015</v>
      </c>
      <c r="E731" s="60">
        <v>2016</v>
      </c>
      <c r="F731" s="60">
        <v>2017</v>
      </c>
      <c r="G731" s="60">
        <v>2018</v>
      </c>
      <c r="H731" s="60">
        <v>2019</v>
      </c>
      <c r="I731" s="60">
        <v>2020</v>
      </c>
      <c r="J731" s="60">
        <v>2021</v>
      </c>
    </row>
    <row r="732" spans="2:10">
      <c r="B732" s="76" t="s">
        <v>268</v>
      </c>
      <c r="C732" s="121"/>
      <c r="D732" s="121"/>
      <c r="E732" s="121"/>
      <c r="F732" s="121"/>
      <c r="G732" s="121"/>
      <c r="H732" s="121"/>
      <c r="I732" s="121"/>
      <c r="J732" s="121"/>
    </row>
    <row r="733" spans="2:10">
      <c r="B733" s="71" t="s">
        <v>265</v>
      </c>
      <c r="C733" s="3">
        <v>70</v>
      </c>
      <c r="D733" s="3">
        <v>92</v>
      </c>
      <c r="E733" s="3">
        <v>134</v>
      </c>
      <c r="F733" s="3">
        <v>151</v>
      </c>
      <c r="G733" s="3">
        <v>162</v>
      </c>
      <c r="H733" s="3">
        <v>180</v>
      </c>
      <c r="I733" s="3">
        <v>194</v>
      </c>
      <c r="J733" s="3">
        <v>211</v>
      </c>
    </row>
    <row r="734" spans="2:10">
      <c r="B734" s="52" t="s">
        <v>262</v>
      </c>
      <c r="C734" s="3">
        <v>0</v>
      </c>
      <c r="D734" s="3">
        <v>0</v>
      </c>
      <c r="E734" s="3">
        <v>0</v>
      </c>
      <c r="F734" s="3">
        <v>0</v>
      </c>
      <c r="G734" s="3">
        <v>0</v>
      </c>
      <c r="H734" s="3">
        <v>0</v>
      </c>
      <c r="I734" s="3">
        <v>0</v>
      </c>
      <c r="J734" s="3">
        <v>0</v>
      </c>
    </row>
    <row r="735" spans="2:10">
      <c r="B735" s="52" t="s">
        <v>261</v>
      </c>
      <c r="C735" s="3">
        <v>70</v>
      </c>
      <c r="D735" s="3">
        <v>0</v>
      </c>
      <c r="E735" s="3">
        <v>0</v>
      </c>
      <c r="F735" s="3">
        <v>0</v>
      </c>
      <c r="G735" s="3">
        <v>0</v>
      </c>
      <c r="H735" s="3">
        <v>0</v>
      </c>
      <c r="I735" s="3">
        <v>0</v>
      </c>
      <c r="J735" s="3">
        <v>0</v>
      </c>
    </row>
    <row r="736" spans="2:10">
      <c r="B736" s="52" t="s">
        <v>260</v>
      </c>
      <c r="C736" s="3">
        <v>0</v>
      </c>
      <c r="D736" s="3">
        <v>0</v>
      </c>
      <c r="E736" s="3">
        <v>0</v>
      </c>
      <c r="F736" s="3">
        <v>0</v>
      </c>
      <c r="G736" s="3">
        <v>0</v>
      </c>
      <c r="H736" s="3">
        <v>0</v>
      </c>
      <c r="I736" s="3">
        <v>0</v>
      </c>
      <c r="J736" s="3">
        <v>0</v>
      </c>
    </row>
    <row r="737" spans="2:10">
      <c r="B737" s="52" t="s">
        <v>117</v>
      </c>
      <c r="C737" s="3">
        <v>0</v>
      </c>
      <c r="D737" s="3">
        <v>92</v>
      </c>
      <c r="E737" s="3">
        <v>134</v>
      </c>
      <c r="F737" s="3">
        <v>151</v>
      </c>
      <c r="G737" s="3">
        <v>162</v>
      </c>
      <c r="H737" s="3">
        <v>180</v>
      </c>
      <c r="I737" s="3">
        <v>194</v>
      </c>
      <c r="J737" s="3">
        <v>211</v>
      </c>
    </row>
    <row r="738" spans="2:10">
      <c r="B738" s="52"/>
      <c r="C738" s="3"/>
      <c r="D738" s="3"/>
      <c r="E738" s="3"/>
      <c r="F738" s="3"/>
      <c r="G738" s="3"/>
      <c r="H738" s="3"/>
      <c r="I738" s="3"/>
      <c r="J738" s="3"/>
    </row>
    <row r="739" spans="2:10">
      <c r="B739" s="71" t="s">
        <v>264</v>
      </c>
      <c r="C739" s="3">
        <v>70</v>
      </c>
      <c r="D739" s="3">
        <v>92</v>
      </c>
      <c r="E739" s="3">
        <v>134</v>
      </c>
      <c r="F739" s="3">
        <v>151</v>
      </c>
      <c r="G739" s="3">
        <v>162</v>
      </c>
      <c r="H739" s="3">
        <v>180</v>
      </c>
      <c r="I739" s="3">
        <v>194</v>
      </c>
      <c r="J739" s="3">
        <v>211</v>
      </c>
    </row>
    <row r="740" spans="2:10">
      <c r="B740" s="52" t="s">
        <v>262</v>
      </c>
      <c r="C740" s="3">
        <v>0</v>
      </c>
      <c r="D740" s="3">
        <v>0</v>
      </c>
      <c r="E740" s="3">
        <v>0</v>
      </c>
      <c r="F740" s="3">
        <v>0</v>
      </c>
      <c r="G740" s="3">
        <v>0</v>
      </c>
      <c r="H740" s="3">
        <v>0</v>
      </c>
      <c r="I740" s="3">
        <v>0</v>
      </c>
      <c r="J740" s="3">
        <v>0</v>
      </c>
    </row>
    <row r="741" spans="2:10">
      <c r="B741" s="52" t="s">
        <v>261</v>
      </c>
      <c r="C741" s="3">
        <v>70</v>
      </c>
      <c r="D741" s="3">
        <v>92</v>
      </c>
      <c r="E741" s="3">
        <v>134</v>
      </c>
      <c r="F741" s="3">
        <v>151</v>
      </c>
      <c r="G741" s="3">
        <v>162</v>
      </c>
      <c r="H741" s="3">
        <v>0</v>
      </c>
      <c r="I741" s="3">
        <v>0</v>
      </c>
      <c r="J741" s="3"/>
    </row>
    <row r="742" spans="2:10">
      <c r="B742" s="52" t="s">
        <v>260</v>
      </c>
      <c r="C742" s="3">
        <v>0</v>
      </c>
      <c r="D742" s="3">
        <v>0</v>
      </c>
      <c r="E742" s="3">
        <v>0</v>
      </c>
      <c r="F742" s="3">
        <v>0</v>
      </c>
      <c r="G742" s="3">
        <v>0</v>
      </c>
      <c r="H742" s="3">
        <v>0</v>
      </c>
      <c r="I742" s="3">
        <v>0</v>
      </c>
      <c r="J742" s="3">
        <v>0</v>
      </c>
    </row>
    <row r="743" spans="2:10">
      <c r="B743" s="52" t="s">
        <v>117</v>
      </c>
      <c r="C743" s="3">
        <v>0</v>
      </c>
      <c r="D743" s="3">
        <v>0</v>
      </c>
      <c r="E743" s="3">
        <v>0</v>
      </c>
      <c r="F743" s="3">
        <v>0</v>
      </c>
      <c r="G743" s="3">
        <v>0</v>
      </c>
      <c r="H743" s="3">
        <v>180</v>
      </c>
      <c r="I743" s="3">
        <v>194</v>
      </c>
      <c r="J743" s="3">
        <v>211</v>
      </c>
    </row>
    <row r="744" spans="2:10">
      <c r="B744" s="52"/>
      <c r="C744" s="3"/>
      <c r="D744" s="3"/>
      <c r="E744" s="3"/>
      <c r="F744" s="3"/>
      <c r="G744" s="3"/>
      <c r="H744" s="3"/>
      <c r="I744" s="3"/>
      <c r="J744" s="3"/>
    </row>
    <row r="745" spans="2:10">
      <c r="B745" s="71" t="s">
        <v>263</v>
      </c>
      <c r="C745" s="3">
        <v>0</v>
      </c>
      <c r="D745" s="3">
        <v>0</v>
      </c>
      <c r="E745" s="3">
        <v>0</v>
      </c>
      <c r="F745" s="3">
        <v>0</v>
      </c>
      <c r="G745" s="3">
        <v>0</v>
      </c>
      <c r="H745" s="3">
        <v>0</v>
      </c>
      <c r="I745" s="3">
        <v>0</v>
      </c>
      <c r="J745" s="3">
        <v>0</v>
      </c>
    </row>
    <row r="746" spans="2:10">
      <c r="B746" s="52" t="s">
        <v>262</v>
      </c>
      <c r="C746" s="3">
        <v>0</v>
      </c>
      <c r="D746" s="3">
        <v>0</v>
      </c>
      <c r="E746" s="3">
        <v>0</v>
      </c>
      <c r="F746" s="3">
        <v>0</v>
      </c>
      <c r="G746" s="3">
        <v>0</v>
      </c>
      <c r="H746" s="3">
        <v>0</v>
      </c>
      <c r="I746" s="3">
        <v>0</v>
      </c>
      <c r="J746" s="3">
        <v>0</v>
      </c>
    </row>
    <row r="747" spans="2:10">
      <c r="B747" s="52" t="s">
        <v>261</v>
      </c>
      <c r="C747" s="3">
        <v>0</v>
      </c>
      <c r="D747" s="3">
        <v>0</v>
      </c>
      <c r="E747" s="3">
        <v>0</v>
      </c>
      <c r="F747" s="3">
        <v>0</v>
      </c>
      <c r="G747" s="3">
        <v>0</v>
      </c>
      <c r="H747" s="3">
        <v>0</v>
      </c>
      <c r="I747" s="3">
        <v>0</v>
      </c>
      <c r="J747" s="3">
        <v>0</v>
      </c>
    </row>
    <row r="748" spans="2:10">
      <c r="B748" s="52" t="s">
        <v>260</v>
      </c>
      <c r="C748" s="3">
        <v>0</v>
      </c>
      <c r="D748" s="3">
        <v>0</v>
      </c>
      <c r="E748" s="3">
        <v>0</v>
      </c>
      <c r="F748" s="3">
        <v>0</v>
      </c>
      <c r="G748" s="3">
        <v>0</v>
      </c>
      <c r="H748" s="3">
        <v>0</v>
      </c>
      <c r="I748" s="3">
        <v>0</v>
      </c>
      <c r="J748" s="3">
        <v>0</v>
      </c>
    </row>
    <row r="749" spans="2:10">
      <c r="B749" s="52" t="s">
        <v>117</v>
      </c>
      <c r="C749" s="121">
        <v>0</v>
      </c>
      <c r="D749" s="121">
        <v>0</v>
      </c>
      <c r="E749" s="121">
        <v>0</v>
      </c>
      <c r="F749" s="121">
        <v>0</v>
      </c>
      <c r="G749" s="121">
        <v>0</v>
      </c>
      <c r="H749" s="121">
        <v>0</v>
      </c>
      <c r="I749" s="121">
        <v>0</v>
      </c>
      <c r="J749" s="121">
        <v>0</v>
      </c>
    </row>
    <row r="750" spans="2:10">
      <c r="B750" s="52"/>
      <c r="D750" s="121"/>
      <c r="E750" s="121"/>
      <c r="F750" s="121"/>
      <c r="G750" s="121"/>
      <c r="H750" s="121"/>
      <c r="I750" s="121"/>
      <c r="J750" s="121"/>
    </row>
    <row r="751" spans="2:10">
      <c r="B751" s="76" t="s">
        <v>234</v>
      </c>
      <c r="C751" s="121"/>
      <c r="D751" s="121"/>
      <c r="E751" s="121"/>
      <c r="F751" s="121"/>
      <c r="G751" s="121"/>
      <c r="H751" s="121"/>
      <c r="I751" s="121"/>
      <c r="J751" s="121"/>
    </row>
    <row r="752" spans="2:10">
      <c r="B752" s="71" t="s">
        <v>265</v>
      </c>
      <c r="C752" s="3">
        <v>85</v>
      </c>
      <c r="D752" s="3">
        <v>72</v>
      </c>
      <c r="E752" s="3">
        <v>77</v>
      </c>
      <c r="F752" s="3">
        <v>73</v>
      </c>
      <c r="G752" s="3">
        <v>127</v>
      </c>
      <c r="H752" s="3">
        <v>238</v>
      </c>
      <c r="I752" s="3">
        <v>242</v>
      </c>
      <c r="J752" s="3">
        <v>271</v>
      </c>
    </row>
    <row r="753" spans="2:10">
      <c r="B753" s="52" t="s">
        <v>262</v>
      </c>
      <c r="C753" s="3">
        <v>0</v>
      </c>
      <c r="D753" s="3">
        <v>0</v>
      </c>
      <c r="E753" s="3">
        <v>0</v>
      </c>
      <c r="F753" s="3">
        <v>0</v>
      </c>
      <c r="G753" s="3">
        <v>0</v>
      </c>
      <c r="H753" s="3">
        <v>1</v>
      </c>
      <c r="I753" s="3">
        <v>1</v>
      </c>
      <c r="J753" s="3">
        <v>1</v>
      </c>
    </row>
    <row r="754" spans="2:10">
      <c r="B754" s="52" t="s">
        <v>261</v>
      </c>
      <c r="C754" s="3">
        <v>0</v>
      </c>
      <c r="D754" s="3">
        <v>0</v>
      </c>
      <c r="E754" s="3">
        <v>0</v>
      </c>
      <c r="F754" s="3">
        <v>0</v>
      </c>
      <c r="G754" s="3">
        <v>0</v>
      </c>
      <c r="H754" s="3">
        <v>0</v>
      </c>
      <c r="I754" s="3">
        <v>0</v>
      </c>
      <c r="J754" s="3">
        <v>0</v>
      </c>
    </row>
    <row r="755" spans="2:10">
      <c r="B755" s="52" t="s">
        <v>260</v>
      </c>
      <c r="C755" s="3">
        <v>2</v>
      </c>
      <c r="D755" s="3">
        <v>2</v>
      </c>
      <c r="E755" s="3">
        <v>2</v>
      </c>
      <c r="F755" s="3">
        <v>2</v>
      </c>
      <c r="G755" s="3">
        <v>3</v>
      </c>
      <c r="H755" s="3">
        <v>35</v>
      </c>
      <c r="I755" s="3">
        <v>40</v>
      </c>
      <c r="J755" s="3">
        <v>39</v>
      </c>
    </row>
    <row r="756" spans="2:10">
      <c r="B756" s="52" t="s">
        <v>117</v>
      </c>
      <c r="C756" s="3">
        <v>83</v>
      </c>
      <c r="D756" s="3">
        <v>70</v>
      </c>
      <c r="E756" s="3">
        <v>75</v>
      </c>
      <c r="F756" s="3">
        <v>71</v>
      </c>
      <c r="G756" s="3">
        <v>124</v>
      </c>
      <c r="H756" s="3">
        <v>202</v>
      </c>
      <c r="I756" s="3">
        <v>201</v>
      </c>
      <c r="J756" s="3">
        <v>231</v>
      </c>
    </row>
    <row r="757" spans="2:10">
      <c r="B757" s="52"/>
      <c r="C757" s="3"/>
      <c r="D757" s="3"/>
      <c r="E757" s="3"/>
      <c r="F757" s="3"/>
      <c r="G757" s="3"/>
      <c r="H757" s="3"/>
      <c r="I757" s="3"/>
      <c r="J757" s="3"/>
    </row>
    <row r="758" spans="2:10">
      <c r="B758" s="71" t="s">
        <v>264</v>
      </c>
      <c r="C758" s="3">
        <v>85</v>
      </c>
      <c r="D758" s="3">
        <v>72</v>
      </c>
      <c r="E758" s="3">
        <v>77</v>
      </c>
      <c r="F758" s="3">
        <v>73</v>
      </c>
      <c r="G758" s="3">
        <v>127</v>
      </c>
      <c r="H758" s="3">
        <v>238</v>
      </c>
      <c r="I758" s="3">
        <v>242</v>
      </c>
      <c r="J758" s="3">
        <v>271</v>
      </c>
    </row>
    <row r="759" spans="2:10">
      <c r="B759" s="52" t="s">
        <v>262</v>
      </c>
      <c r="C759" s="3">
        <v>0</v>
      </c>
      <c r="D759" s="3">
        <v>0</v>
      </c>
      <c r="E759" s="3">
        <v>0</v>
      </c>
      <c r="F759" s="3">
        <v>0</v>
      </c>
      <c r="G759" s="3">
        <v>0</v>
      </c>
      <c r="H759" s="3">
        <v>1</v>
      </c>
      <c r="I759" s="3">
        <v>1</v>
      </c>
      <c r="J759" s="3">
        <v>1</v>
      </c>
    </row>
    <row r="760" spans="2:10">
      <c r="B760" s="52" t="s">
        <v>261</v>
      </c>
      <c r="C760" s="3">
        <v>0</v>
      </c>
      <c r="D760" s="3">
        <v>0</v>
      </c>
      <c r="E760" s="3">
        <v>0</v>
      </c>
      <c r="F760" s="3">
        <v>0</v>
      </c>
      <c r="G760" s="3">
        <v>0</v>
      </c>
      <c r="H760" s="3">
        <v>0</v>
      </c>
      <c r="I760" s="3">
        <v>0</v>
      </c>
      <c r="J760" s="3">
        <v>0</v>
      </c>
    </row>
    <row r="761" spans="2:10">
      <c r="B761" s="52" t="s">
        <v>260</v>
      </c>
      <c r="C761" s="3">
        <v>2</v>
      </c>
      <c r="D761" s="3">
        <v>2</v>
      </c>
      <c r="E761" s="3">
        <v>2</v>
      </c>
      <c r="F761" s="3">
        <v>2</v>
      </c>
      <c r="G761" s="3">
        <v>3</v>
      </c>
      <c r="H761" s="3">
        <v>35</v>
      </c>
      <c r="I761" s="3">
        <v>40</v>
      </c>
      <c r="J761" s="3">
        <v>39</v>
      </c>
    </row>
    <row r="762" spans="2:10">
      <c r="B762" s="52" t="s">
        <v>117</v>
      </c>
      <c r="C762" s="3">
        <v>83</v>
      </c>
      <c r="D762" s="3">
        <v>70</v>
      </c>
      <c r="E762" s="3">
        <v>75</v>
      </c>
      <c r="F762" s="3">
        <v>71</v>
      </c>
      <c r="G762" s="3">
        <v>124</v>
      </c>
      <c r="H762" s="3">
        <v>202</v>
      </c>
      <c r="I762" s="3">
        <v>201</v>
      </c>
      <c r="J762" s="3">
        <v>231</v>
      </c>
    </row>
    <row r="763" spans="2:10">
      <c r="B763" s="52"/>
      <c r="C763" s="3"/>
      <c r="D763" s="3"/>
      <c r="E763" s="3"/>
      <c r="F763" s="3"/>
      <c r="G763" s="3"/>
      <c r="H763" s="3"/>
      <c r="I763" s="3"/>
      <c r="J763" s="3"/>
    </row>
    <row r="764" spans="2:10">
      <c r="B764" s="71" t="s">
        <v>263</v>
      </c>
      <c r="C764" s="3">
        <v>0</v>
      </c>
      <c r="D764" s="3">
        <v>0</v>
      </c>
      <c r="E764" s="3">
        <v>0</v>
      </c>
      <c r="F764" s="3">
        <v>0</v>
      </c>
      <c r="G764" s="3">
        <v>0</v>
      </c>
      <c r="H764" s="3">
        <v>0</v>
      </c>
      <c r="I764" s="3">
        <v>0</v>
      </c>
      <c r="J764" s="3">
        <v>0</v>
      </c>
    </row>
    <row r="765" spans="2:10">
      <c r="B765" s="52" t="s">
        <v>262</v>
      </c>
      <c r="C765" s="3">
        <v>0</v>
      </c>
      <c r="D765" s="3">
        <v>0</v>
      </c>
      <c r="E765" s="3">
        <v>0</v>
      </c>
      <c r="F765" s="3">
        <v>0</v>
      </c>
      <c r="G765" s="3">
        <v>0</v>
      </c>
      <c r="H765" s="3">
        <v>0</v>
      </c>
      <c r="I765" s="3">
        <v>0</v>
      </c>
      <c r="J765" s="3">
        <v>0</v>
      </c>
    </row>
    <row r="766" spans="2:10">
      <c r="B766" s="52" t="s">
        <v>261</v>
      </c>
      <c r="C766" s="3">
        <v>0</v>
      </c>
      <c r="D766" s="3">
        <v>0</v>
      </c>
      <c r="E766" s="3">
        <v>0</v>
      </c>
      <c r="F766" s="3">
        <v>0</v>
      </c>
      <c r="G766" s="3">
        <v>0</v>
      </c>
      <c r="H766" s="3">
        <v>0</v>
      </c>
      <c r="I766" s="3">
        <v>0</v>
      </c>
      <c r="J766" s="3">
        <v>0</v>
      </c>
    </row>
    <row r="767" spans="2:10">
      <c r="B767" s="52" t="s">
        <v>260</v>
      </c>
      <c r="C767" s="3">
        <v>0</v>
      </c>
      <c r="D767" s="3">
        <v>0</v>
      </c>
      <c r="E767" s="3">
        <v>0</v>
      </c>
      <c r="F767" s="3">
        <v>0</v>
      </c>
      <c r="G767" s="3">
        <v>0</v>
      </c>
      <c r="H767" s="3">
        <v>0</v>
      </c>
      <c r="I767" s="3">
        <v>0</v>
      </c>
      <c r="J767" s="3">
        <v>0</v>
      </c>
    </row>
    <row r="768" spans="2:10">
      <c r="B768" s="52" t="s">
        <v>117</v>
      </c>
      <c r="C768" s="3">
        <v>0</v>
      </c>
      <c r="D768" s="3">
        <v>0</v>
      </c>
      <c r="E768" s="3">
        <v>0</v>
      </c>
      <c r="F768" s="3">
        <v>0</v>
      </c>
      <c r="G768" s="3">
        <v>0</v>
      </c>
      <c r="H768" s="3">
        <v>0</v>
      </c>
      <c r="I768" s="3">
        <v>0</v>
      </c>
      <c r="J768" s="3">
        <v>0</v>
      </c>
    </row>
    <row r="769" spans="2:10">
      <c r="B769" s="52"/>
      <c r="C769" s="121"/>
      <c r="D769" s="121"/>
      <c r="E769" s="121"/>
      <c r="F769" s="121"/>
      <c r="G769" s="121"/>
      <c r="H769" s="121"/>
      <c r="I769" s="121"/>
      <c r="J769" s="121"/>
    </row>
    <row r="770" spans="2:10">
      <c r="B770" s="76" t="s">
        <v>267</v>
      </c>
      <c r="C770" s="121"/>
      <c r="D770" s="121"/>
      <c r="E770" s="121"/>
      <c r="F770" s="121"/>
      <c r="G770" s="121"/>
      <c r="H770" s="121"/>
      <c r="I770" s="121"/>
      <c r="J770" s="121"/>
    </row>
    <row r="771" spans="2:10">
      <c r="B771" s="71" t="s">
        <v>265</v>
      </c>
      <c r="C771" s="3">
        <v>200</v>
      </c>
      <c r="D771" s="3">
        <v>205</v>
      </c>
      <c r="E771" s="3">
        <v>229</v>
      </c>
      <c r="F771" s="3">
        <v>249</v>
      </c>
      <c r="G771" s="3">
        <v>240</v>
      </c>
      <c r="H771" s="3">
        <v>247</v>
      </c>
      <c r="I771" s="3">
        <v>248</v>
      </c>
      <c r="J771" s="3">
        <v>255</v>
      </c>
    </row>
    <row r="772" spans="2:10">
      <c r="B772" s="52" t="s">
        <v>262</v>
      </c>
      <c r="C772" s="3"/>
      <c r="D772" s="3">
        <v>1</v>
      </c>
      <c r="E772" s="3">
        <v>1</v>
      </c>
      <c r="F772" s="3">
        <v>1</v>
      </c>
      <c r="G772" s="3">
        <v>1</v>
      </c>
      <c r="H772" s="3">
        <v>1</v>
      </c>
      <c r="I772" s="3">
        <v>1</v>
      </c>
      <c r="J772" s="3">
        <v>1</v>
      </c>
    </row>
    <row r="773" spans="2:10">
      <c r="B773" s="52" t="s">
        <v>261</v>
      </c>
      <c r="C773" s="3">
        <v>1</v>
      </c>
      <c r="D773" s="3">
        <v>0</v>
      </c>
      <c r="E773" s="3">
        <v>0</v>
      </c>
      <c r="F773" s="3">
        <v>0</v>
      </c>
      <c r="G773" s="3">
        <v>0</v>
      </c>
      <c r="H773" s="3">
        <v>0</v>
      </c>
      <c r="I773" s="3">
        <v>0</v>
      </c>
      <c r="J773" s="3">
        <v>0</v>
      </c>
    </row>
    <row r="774" spans="2:10">
      <c r="B774" s="52" t="s">
        <v>260</v>
      </c>
      <c r="C774" s="3"/>
      <c r="D774" s="3">
        <v>0</v>
      </c>
      <c r="E774" s="3">
        <v>0</v>
      </c>
      <c r="F774" s="3">
        <v>0</v>
      </c>
      <c r="G774" s="3">
        <v>0</v>
      </c>
      <c r="H774" s="3">
        <v>34</v>
      </c>
      <c r="I774" s="3">
        <v>32</v>
      </c>
      <c r="J774" s="3">
        <v>37</v>
      </c>
    </row>
    <row r="775" spans="2:10">
      <c r="B775" s="52" t="s">
        <v>117</v>
      </c>
      <c r="C775" s="3">
        <v>199</v>
      </c>
      <c r="D775" s="3">
        <v>204</v>
      </c>
      <c r="E775" s="3">
        <v>228</v>
      </c>
      <c r="F775" s="3">
        <v>248</v>
      </c>
      <c r="G775" s="3">
        <v>239</v>
      </c>
      <c r="H775" s="3">
        <v>212</v>
      </c>
      <c r="I775" s="3">
        <v>215</v>
      </c>
      <c r="J775" s="3">
        <v>217</v>
      </c>
    </row>
    <row r="776" spans="2:10">
      <c r="B776" s="52"/>
      <c r="C776" s="3"/>
      <c r="D776" s="3"/>
      <c r="E776" s="3"/>
      <c r="F776" s="3"/>
      <c r="G776" s="3"/>
      <c r="H776" s="3"/>
      <c r="I776" s="3"/>
      <c r="J776" s="3"/>
    </row>
    <row r="777" spans="2:10">
      <c r="B777" s="71" t="s">
        <v>264</v>
      </c>
      <c r="C777" s="3">
        <v>0</v>
      </c>
      <c r="D777" s="3">
        <v>0</v>
      </c>
      <c r="E777" s="3">
        <v>0</v>
      </c>
      <c r="F777" s="3">
        <v>0</v>
      </c>
      <c r="G777" s="3">
        <v>0</v>
      </c>
      <c r="H777" s="3">
        <v>247</v>
      </c>
      <c r="I777" s="3">
        <v>248</v>
      </c>
      <c r="J777" s="3">
        <v>255</v>
      </c>
    </row>
    <row r="778" spans="2:10">
      <c r="B778" s="52" t="s">
        <v>262</v>
      </c>
      <c r="C778" s="3">
        <v>0</v>
      </c>
      <c r="D778" s="3">
        <v>0</v>
      </c>
      <c r="E778" s="3">
        <v>0</v>
      </c>
      <c r="F778" s="3">
        <v>0</v>
      </c>
      <c r="G778" s="3">
        <v>0</v>
      </c>
      <c r="H778" s="3">
        <v>1</v>
      </c>
      <c r="I778" s="3">
        <v>1</v>
      </c>
      <c r="J778" s="3">
        <v>1</v>
      </c>
    </row>
    <row r="779" spans="2:10">
      <c r="B779" s="52" t="s">
        <v>261</v>
      </c>
      <c r="C779" s="3">
        <v>0</v>
      </c>
      <c r="D779" s="3">
        <v>0</v>
      </c>
      <c r="E779" s="3">
        <v>0</v>
      </c>
      <c r="F779" s="3">
        <v>0</v>
      </c>
      <c r="G779" s="3">
        <v>0</v>
      </c>
      <c r="H779" s="3">
        <v>0</v>
      </c>
      <c r="I779" s="3">
        <v>0</v>
      </c>
      <c r="J779" s="3">
        <v>0</v>
      </c>
    </row>
    <row r="780" spans="2:10">
      <c r="B780" s="52" t="s">
        <v>260</v>
      </c>
      <c r="C780" s="3">
        <v>0</v>
      </c>
      <c r="D780" s="3">
        <v>0</v>
      </c>
      <c r="E780" s="3">
        <v>0</v>
      </c>
      <c r="F780" s="3">
        <v>0</v>
      </c>
      <c r="G780" s="3">
        <v>0</v>
      </c>
      <c r="H780" s="3">
        <v>34</v>
      </c>
      <c r="I780" s="3">
        <v>32</v>
      </c>
      <c r="J780" s="3">
        <v>37</v>
      </c>
    </row>
    <row r="781" spans="2:10">
      <c r="B781" s="52" t="s">
        <v>117</v>
      </c>
      <c r="C781" s="3">
        <v>0</v>
      </c>
      <c r="D781" s="3">
        <v>0</v>
      </c>
      <c r="E781" s="3">
        <v>0</v>
      </c>
      <c r="F781" s="3">
        <v>0</v>
      </c>
      <c r="G781" s="3">
        <v>0</v>
      </c>
      <c r="H781" s="3">
        <v>212</v>
      </c>
      <c r="I781" s="3">
        <v>215</v>
      </c>
      <c r="J781" s="3">
        <v>217</v>
      </c>
    </row>
    <row r="782" spans="2:10">
      <c r="B782" s="52"/>
      <c r="C782" s="3"/>
      <c r="D782" s="3"/>
      <c r="E782" s="3"/>
      <c r="F782" s="3"/>
      <c r="G782" s="3"/>
      <c r="H782" s="3"/>
      <c r="I782" s="3"/>
      <c r="J782" s="3"/>
    </row>
    <row r="783" spans="2:10">
      <c r="B783" s="71" t="s">
        <v>263</v>
      </c>
      <c r="C783" s="3">
        <v>0</v>
      </c>
      <c r="D783" s="3">
        <v>0</v>
      </c>
      <c r="E783" s="3">
        <v>0</v>
      </c>
      <c r="F783" s="3">
        <v>0</v>
      </c>
      <c r="G783" s="3">
        <v>0</v>
      </c>
      <c r="H783" s="3">
        <v>0</v>
      </c>
      <c r="I783" s="3">
        <v>0</v>
      </c>
      <c r="J783" s="3">
        <v>0</v>
      </c>
    </row>
    <row r="784" spans="2:10">
      <c r="B784" s="52" t="s">
        <v>262</v>
      </c>
      <c r="C784" s="3">
        <v>0</v>
      </c>
      <c r="D784" s="3">
        <v>0</v>
      </c>
      <c r="E784" s="3">
        <v>0</v>
      </c>
      <c r="F784" s="3">
        <v>0</v>
      </c>
      <c r="G784" s="3">
        <v>0</v>
      </c>
      <c r="H784" s="3">
        <v>0</v>
      </c>
      <c r="I784" s="3">
        <v>0</v>
      </c>
      <c r="J784" s="3">
        <v>0</v>
      </c>
    </row>
    <row r="785" spans="2:10">
      <c r="B785" s="52" t="s">
        <v>261</v>
      </c>
      <c r="C785" s="3">
        <v>0</v>
      </c>
      <c r="D785" s="3">
        <v>0</v>
      </c>
      <c r="E785" s="3">
        <v>0</v>
      </c>
      <c r="F785" s="3">
        <v>0</v>
      </c>
      <c r="G785" s="3">
        <v>0</v>
      </c>
      <c r="H785" s="3">
        <v>0</v>
      </c>
      <c r="I785" s="3">
        <v>0</v>
      </c>
      <c r="J785" s="3">
        <v>0</v>
      </c>
    </row>
    <row r="786" spans="2:10">
      <c r="B786" s="52" t="s">
        <v>260</v>
      </c>
      <c r="C786" s="3">
        <v>0</v>
      </c>
      <c r="D786" s="3">
        <v>0</v>
      </c>
      <c r="E786" s="3">
        <v>0</v>
      </c>
      <c r="F786" s="3">
        <v>0</v>
      </c>
      <c r="G786" s="3">
        <v>0</v>
      </c>
      <c r="H786" s="3">
        <v>0</v>
      </c>
      <c r="I786" s="3">
        <v>0</v>
      </c>
      <c r="J786" s="3">
        <v>0</v>
      </c>
    </row>
    <row r="787" spans="2:10">
      <c r="B787" s="52" t="s">
        <v>117</v>
      </c>
      <c r="C787" s="3">
        <v>0</v>
      </c>
      <c r="D787" s="3">
        <v>0</v>
      </c>
      <c r="E787" s="3">
        <v>0</v>
      </c>
      <c r="F787" s="3">
        <v>0</v>
      </c>
      <c r="G787" s="3">
        <v>0</v>
      </c>
      <c r="H787" s="121">
        <v>0</v>
      </c>
      <c r="I787" s="121">
        <v>0</v>
      </c>
      <c r="J787" s="121">
        <v>0</v>
      </c>
    </row>
    <row r="788" spans="2:10">
      <c r="B788" s="52"/>
      <c r="I788" s="121">
        <v>0</v>
      </c>
      <c r="J788" s="121"/>
    </row>
    <row r="789" spans="2:10">
      <c r="B789" s="76" t="s">
        <v>266</v>
      </c>
      <c r="I789" s="121"/>
      <c r="J789" s="121"/>
    </row>
    <row r="790" spans="2:10">
      <c r="B790" s="71" t="s">
        <v>265</v>
      </c>
      <c r="C790" s="3">
        <v>0</v>
      </c>
      <c r="D790" s="3">
        <v>72</v>
      </c>
      <c r="E790" s="3">
        <v>88</v>
      </c>
      <c r="F790" s="3">
        <v>99</v>
      </c>
      <c r="G790" s="3">
        <v>106</v>
      </c>
      <c r="H790" s="3">
        <v>165</v>
      </c>
      <c r="I790" s="3">
        <v>179</v>
      </c>
      <c r="J790" s="3">
        <v>173</v>
      </c>
    </row>
    <row r="791" spans="2:10">
      <c r="B791" s="52" t="s">
        <v>262</v>
      </c>
      <c r="C791" s="3">
        <v>0</v>
      </c>
      <c r="D791" s="3">
        <v>1</v>
      </c>
      <c r="E791" s="3">
        <v>1</v>
      </c>
      <c r="F791" s="3">
        <v>1</v>
      </c>
      <c r="G791" s="3">
        <v>1</v>
      </c>
      <c r="H791" s="3">
        <v>1</v>
      </c>
      <c r="I791" s="3">
        <v>1</v>
      </c>
      <c r="J791" s="3">
        <v>1</v>
      </c>
    </row>
    <row r="792" spans="2:10">
      <c r="B792" s="52" t="s">
        <v>261</v>
      </c>
      <c r="C792" s="3">
        <v>0</v>
      </c>
      <c r="D792" s="3">
        <v>0</v>
      </c>
      <c r="E792" s="3">
        <v>0</v>
      </c>
      <c r="F792" s="3">
        <v>0</v>
      </c>
      <c r="G792" s="3">
        <v>0</v>
      </c>
      <c r="H792" s="3">
        <v>1</v>
      </c>
      <c r="I792" s="3">
        <v>1</v>
      </c>
      <c r="J792" s="3">
        <v>1</v>
      </c>
    </row>
    <row r="793" spans="2:10">
      <c r="B793" s="52" t="s">
        <v>260</v>
      </c>
      <c r="C793" s="3">
        <v>0</v>
      </c>
      <c r="D793" s="3">
        <v>53</v>
      </c>
      <c r="E793" s="3">
        <v>51</v>
      </c>
      <c r="F793" s="3">
        <v>50</v>
      </c>
      <c r="G793" s="3">
        <v>50</v>
      </c>
      <c r="H793" s="3">
        <v>58</v>
      </c>
      <c r="I793" s="3">
        <v>56</v>
      </c>
      <c r="J793" s="3">
        <v>59</v>
      </c>
    </row>
    <row r="794" spans="2:10">
      <c r="B794" s="52" t="s">
        <v>117</v>
      </c>
      <c r="C794" s="3">
        <v>0</v>
      </c>
      <c r="D794" s="3">
        <v>18</v>
      </c>
      <c r="E794" s="3">
        <v>36</v>
      </c>
      <c r="F794" s="3">
        <v>49</v>
      </c>
      <c r="G794" s="3">
        <v>55</v>
      </c>
      <c r="H794" s="3">
        <v>105</v>
      </c>
      <c r="I794" s="3">
        <v>121</v>
      </c>
      <c r="J794" s="3">
        <v>112</v>
      </c>
    </row>
    <row r="795" spans="2:10">
      <c r="B795" s="52"/>
      <c r="D795" s="3"/>
      <c r="E795" s="3"/>
      <c r="F795" s="3"/>
      <c r="G795" s="3"/>
      <c r="H795" s="3"/>
      <c r="I795" s="3"/>
      <c r="J795" s="3"/>
    </row>
    <row r="796" spans="2:10">
      <c r="B796" s="71" t="s">
        <v>264</v>
      </c>
      <c r="C796" s="3">
        <v>0</v>
      </c>
      <c r="D796" s="3">
        <v>72</v>
      </c>
      <c r="E796" s="3">
        <v>88</v>
      </c>
      <c r="F796" s="3">
        <v>99</v>
      </c>
      <c r="G796" s="3">
        <v>106</v>
      </c>
      <c r="H796" s="3">
        <v>165</v>
      </c>
      <c r="I796" s="3">
        <v>179</v>
      </c>
      <c r="J796" s="3">
        <v>173</v>
      </c>
    </row>
    <row r="797" spans="2:10">
      <c r="B797" s="52" t="s">
        <v>262</v>
      </c>
      <c r="C797" s="3">
        <v>0</v>
      </c>
      <c r="D797" s="3">
        <v>1</v>
      </c>
      <c r="E797" s="3">
        <v>1</v>
      </c>
      <c r="F797" s="3">
        <v>1</v>
      </c>
      <c r="G797" s="3">
        <v>1</v>
      </c>
      <c r="H797" s="3">
        <v>1</v>
      </c>
      <c r="I797" s="3">
        <v>1</v>
      </c>
      <c r="J797" s="3">
        <v>1</v>
      </c>
    </row>
    <row r="798" spans="2:10">
      <c r="B798" s="52" t="s">
        <v>261</v>
      </c>
      <c r="C798" s="3">
        <v>0</v>
      </c>
      <c r="D798" s="3">
        <v>0</v>
      </c>
      <c r="E798" s="3">
        <v>0</v>
      </c>
      <c r="F798" s="3">
        <v>0</v>
      </c>
      <c r="G798" s="3">
        <v>0</v>
      </c>
      <c r="H798" s="3">
        <v>1</v>
      </c>
      <c r="I798" s="3">
        <v>1</v>
      </c>
      <c r="J798" s="3">
        <v>1</v>
      </c>
    </row>
    <row r="799" spans="2:10">
      <c r="B799" s="52" t="s">
        <v>260</v>
      </c>
      <c r="C799" s="3">
        <v>0</v>
      </c>
      <c r="D799" s="3">
        <v>53</v>
      </c>
      <c r="E799" s="3">
        <v>51</v>
      </c>
      <c r="F799" s="3">
        <v>50</v>
      </c>
      <c r="G799" s="3">
        <v>50</v>
      </c>
      <c r="H799" s="3">
        <v>58</v>
      </c>
      <c r="I799" s="3">
        <v>56</v>
      </c>
      <c r="J799" s="3">
        <v>59</v>
      </c>
    </row>
    <row r="800" spans="2:10">
      <c r="B800" s="52" t="s">
        <v>117</v>
      </c>
      <c r="C800" s="3">
        <v>0</v>
      </c>
      <c r="D800" s="3">
        <v>18</v>
      </c>
      <c r="E800" s="3">
        <v>36</v>
      </c>
      <c r="F800" s="3">
        <v>49</v>
      </c>
      <c r="G800" s="3">
        <v>55</v>
      </c>
      <c r="H800" s="3">
        <v>105</v>
      </c>
      <c r="I800" s="3">
        <v>121</v>
      </c>
      <c r="J800" s="3">
        <v>112</v>
      </c>
    </row>
    <row r="801" spans="2:10">
      <c r="B801" s="52"/>
      <c r="D801" s="3"/>
      <c r="E801" s="3"/>
      <c r="F801" s="3"/>
      <c r="G801" s="3"/>
      <c r="H801" s="3"/>
      <c r="I801" s="3"/>
      <c r="J801" s="3"/>
    </row>
    <row r="802" spans="2:10">
      <c r="B802" s="71" t="s">
        <v>263</v>
      </c>
      <c r="C802" s="3">
        <v>0</v>
      </c>
      <c r="D802" s="3">
        <v>0</v>
      </c>
      <c r="E802" s="3">
        <v>0</v>
      </c>
      <c r="F802" s="3">
        <v>0</v>
      </c>
      <c r="G802" s="3">
        <v>0</v>
      </c>
      <c r="H802" s="3">
        <v>0</v>
      </c>
      <c r="I802" s="3">
        <v>0</v>
      </c>
      <c r="J802" s="3">
        <v>0</v>
      </c>
    </row>
    <row r="803" spans="2:10">
      <c r="B803" s="52" t="s">
        <v>262</v>
      </c>
      <c r="C803" s="3">
        <v>0</v>
      </c>
      <c r="D803" s="3">
        <v>0</v>
      </c>
      <c r="E803" s="3">
        <v>0</v>
      </c>
      <c r="F803" s="3">
        <v>0</v>
      </c>
      <c r="G803" s="3">
        <v>0</v>
      </c>
      <c r="H803" s="3">
        <v>0</v>
      </c>
      <c r="I803" s="3">
        <v>0</v>
      </c>
      <c r="J803" s="3">
        <v>0</v>
      </c>
    </row>
    <row r="804" spans="2:10">
      <c r="B804" s="52" t="s">
        <v>261</v>
      </c>
      <c r="C804" s="3">
        <v>0</v>
      </c>
      <c r="D804" s="3">
        <v>0</v>
      </c>
      <c r="E804" s="3">
        <v>0</v>
      </c>
      <c r="F804" s="3">
        <v>0</v>
      </c>
      <c r="G804" s="3">
        <v>0</v>
      </c>
      <c r="H804" s="3">
        <v>0</v>
      </c>
      <c r="I804" s="3">
        <v>0</v>
      </c>
      <c r="J804" s="3">
        <v>0</v>
      </c>
    </row>
    <row r="805" spans="2:10">
      <c r="B805" s="52" t="s">
        <v>260</v>
      </c>
      <c r="C805" s="3">
        <v>0</v>
      </c>
      <c r="D805" s="3">
        <v>0</v>
      </c>
      <c r="E805" s="3">
        <v>0</v>
      </c>
      <c r="F805" s="3">
        <v>0</v>
      </c>
      <c r="G805" s="3">
        <v>0</v>
      </c>
      <c r="H805" s="3">
        <v>0</v>
      </c>
      <c r="I805" s="3">
        <v>0</v>
      </c>
      <c r="J805" s="3">
        <v>0</v>
      </c>
    </row>
    <row r="806" spans="2:10">
      <c r="B806" s="52" t="s">
        <v>117</v>
      </c>
      <c r="C806" s="3">
        <v>0</v>
      </c>
      <c r="D806" s="121">
        <v>0</v>
      </c>
      <c r="E806" s="121">
        <v>0</v>
      </c>
      <c r="F806" s="121">
        <v>0</v>
      </c>
      <c r="G806" s="121">
        <v>0</v>
      </c>
      <c r="H806" s="121">
        <v>0</v>
      </c>
      <c r="I806" s="121">
        <v>0</v>
      </c>
      <c r="J806" s="121">
        <v>0</v>
      </c>
    </row>
    <row r="807" spans="2:10">
      <c r="B807" s="52"/>
      <c r="C807" s="121"/>
      <c r="D807" s="121"/>
      <c r="E807" s="121"/>
      <c r="F807" s="121"/>
      <c r="G807" s="121"/>
      <c r="H807" s="121"/>
      <c r="I807" s="121"/>
      <c r="J807" s="121"/>
    </row>
    <row r="808" spans="2:10">
      <c r="B808" s="76" t="s">
        <v>125</v>
      </c>
      <c r="C808" s="121"/>
      <c r="D808" s="121"/>
      <c r="E808" s="121"/>
      <c r="F808" s="121"/>
      <c r="G808" s="121"/>
      <c r="H808" s="121"/>
      <c r="I808" s="121"/>
      <c r="J808" s="121"/>
    </row>
    <row r="809" spans="2:10">
      <c r="B809" s="71" t="s">
        <v>265</v>
      </c>
      <c r="C809" s="3">
        <v>0</v>
      </c>
      <c r="D809" s="3">
        <v>162</v>
      </c>
      <c r="E809" s="3">
        <v>337</v>
      </c>
      <c r="F809" s="3">
        <v>327</v>
      </c>
      <c r="G809" s="3">
        <v>332</v>
      </c>
      <c r="H809" s="3">
        <v>340</v>
      </c>
      <c r="I809" s="3">
        <v>281</v>
      </c>
      <c r="J809" s="3">
        <v>325</v>
      </c>
    </row>
    <row r="810" spans="2:10">
      <c r="B810" s="52" t="s">
        <v>262</v>
      </c>
      <c r="C810" s="3">
        <v>0</v>
      </c>
      <c r="D810" s="3">
        <v>0</v>
      </c>
      <c r="E810" s="3">
        <v>0</v>
      </c>
      <c r="F810" s="3">
        <v>0</v>
      </c>
      <c r="G810" s="3">
        <v>0</v>
      </c>
      <c r="H810" s="3">
        <v>0</v>
      </c>
      <c r="I810" s="3">
        <v>0</v>
      </c>
      <c r="J810" s="3">
        <v>0</v>
      </c>
    </row>
    <row r="811" spans="2:10">
      <c r="B811" s="52" t="s">
        <v>261</v>
      </c>
      <c r="C811" s="3">
        <v>0</v>
      </c>
      <c r="D811" s="3"/>
      <c r="E811" s="3"/>
      <c r="F811" s="3"/>
      <c r="G811" s="3"/>
      <c r="H811" s="3">
        <v>0</v>
      </c>
      <c r="I811" s="3">
        <v>0</v>
      </c>
      <c r="J811" s="3">
        <v>0</v>
      </c>
    </row>
    <row r="812" spans="2:10">
      <c r="B812" s="52" t="s">
        <v>260</v>
      </c>
      <c r="C812" s="3">
        <v>0</v>
      </c>
      <c r="D812" s="3">
        <v>60</v>
      </c>
      <c r="E812" s="3">
        <v>62</v>
      </c>
      <c r="F812" s="3">
        <v>61</v>
      </c>
      <c r="G812" s="3">
        <v>64</v>
      </c>
      <c r="H812" s="3">
        <v>78</v>
      </c>
      <c r="I812" s="3">
        <v>78</v>
      </c>
      <c r="J812" s="3">
        <v>78</v>
      </c>
    </row>
    <row r="813" spans="2:10">
      <c r="B813" s="52" t="s">
        <v>117</v>
      </c>
      <c r="C813" s="3">
        <v>0</v>
      </c>
      <c r="D813" s="3">
        <v>102</v>
      </c>
      <c r="E813" s="3">
        <v>275</v>
      </c>
      <c r="F813" s="3">
        <v>266</v>
      </c>
      <c r="G813" s="3">
        <v>268</v>
      </c>
      <c r="H813" s="3">
        <v>262</v>
      </c>
      <c r="I813" s="3">
        <v>203</v>
      </c>
      <c r="J813" s="3">
        <v>247</v>
      </c>
    </row>
    <row r="814" spans="2:10">
      <c r="B814" s="52"/>
      <c r="C814" s="3"/>
      <c r="D814" s="3"/>
      <c r="E814" s="3"/>
      <c r="F814" s="3"/>
      <c r="G814" s="3"/>
      <c r="H814" s="3"/>
      <c r="I814" s="3"/>
      <c r="J814" s="3"/>
    </row>
    <row r="815" spans="2:10">
      <c r="B815" s="71" t="s">
        <v>264</v>
      </c>
      <c r="C815" s="3">
        <v>0</v>
      </c>
      <c r="D815" s="3">
        <v>0</v>
      </c>
      <c r="E815" s="3">
        <v>0</v>
      </c>
      <c r="F815" s="3">
        <v>0</v>
      </c>
      <c r="G815" s="3">
        <v>0</v>
      </c>
      <c r="H815" s="3">
        <v>340</v>
      </c>
      <c r="I815" s="3">
        <v>281</v>
      </c>
      <c r="J815" s="3">
        <v>325</v>
      </c>
    </row>
    <row r="816" spans="2:10">
      <c r="B816" s="52" t="s">
        <v>262</v>
      </c>
      <c r="C816" s="3">
        <v>0</v>
      </c>
      <c r="D816" s="3">
        <v>0</v>
      </c>
      <c r="E816" s="3">
        <v>0</v>
      </c>
      <c r="F816" s="3">
        <v>0</v>
      </c>
      <c r="G816" s="3">
        <v>0</v>
      </c>
      <c r="H816" s="3">
        <v>0</v>
      </c>
      <c r="I816" s="3">
        <v>0</v>
      </c>
      <c r="J816" s="3">
        <v>0</v>
      </c>
    </row>
    <row r="817" spans="2:10">
      <c r="B817" s="52" t="s">
        <v>261</v>
      </c>
      <c r="C817" s="3">
        <v>0</v>
      </c>
      <c r="D817" s="3">
        <v>0</v>
      </c>
      <c r="E817" s="3">
        <v>0</v>
      </c>
      <c r="F817" s="3">
        <v>0</v>
      </c>
      <c r="G817" s="3">
        <v>0</v>
      </c>
      <c r="H817" s="3">
        <v>0</v>
      </c>
      <c r="I817" s="3">
        <v>0</v>
      </c>
      <c r="J817" s="3">
        <v>0</v>
      </c>
    </row>
    <row r="818" spans="2:10">
      <c r="B818" s="52" t="s">
        <v>260</v>
      </c>
      <c r="C818" s="3">
        <v>0</v>
      </c>
      <c r="D818" s="3">
        <v>0</v>
      </c>
      <c r="E818" s="3">
        <v>0</v>
      </c>
      <c r="F818" s="3">
        <v>0</v>
      </c>
      <c r="G818" s="3">
        <v>0</v>
      </c>
      <c r="H818" s="3">
        <v>78</v>
      </c>
      <c r="I818" s="3">
        <v>78</v>
      </c>
      <c r="J818" s="3">
        <v>78</v>
      </c>
    </row>
    <row r="819" spans="2:10">
      <c r="B819" s="52" t="s">
        <v>117</v>
      </c>
      <c r="C819" s="3">
        <v>0</v>
      </c>
      <c r="D819" s="3">
        <v>0</v>
      </c>
      <c r="E819" s="3">
        <v>0</v>
      </c>
      <c r="F819" s="3">
        <v>0</v>
      </c>
      <c r="G819" s="3">
        <v>0</v>
      </c>
      <c r="H819" s="3">
        <v>262</v>
      </c>
      <c r="I819" s="3">
        <v>203</v>
      </c>
      <c r="J819" s="3">
        <v>247</v>
      </c>
    </row>
    <row r="820" spans="2:10">
      <c r="B820" s="52"/>
      <c r="C820" s="3"/>
      <c r="D820" s="3"/>
      <c r="E820" s="3"/>
      <c r="F820" s="3"/>
      <c r="G820" s="3"/>
      <c r="H820" s="3"/>
      <c r="I820" s="3"/>
      <c r="J820" s="3"/>
    </row>
    <row r="821" spans="2:10">
      <c r="B821" s="71" t="s">
        <v>263</v>
      </c>
      <c r="C821" s="3">
        <v>0</v>
      </c>
      <c r="D821" s="3">
        <v>0</v>
      </c>
      <c r="E821" s="3">
        <v>0</v>
      </c>
      <c r="F821" s="3">
        <v>0</v>
      </c>
      <c r="G821" s="3">
        <v>0</v>
      </c>
      <c r="H821" s="3">
        <v>0</v>
      </c>
      <c r="I821" s="3">
        <v>0</v>
      </c>
      <c r="J821" s="3">
        <v>0</v>
      </c>
    </row>
    <row r="822" spans="2:10">
      <c r="B822" s="52" t="s">
        <v>262</v>
      </c>
      <c r="C822" s="3">
        <v>0</v>
      </c>
      <c r="D822" s="3">
        <v>0</v>
      </c>
      <c r="E822" s="3">
        <v>0</v>
      </c>
      <c r="F822" s="3">
        <v>0</v>
      </c>
      <c r="G822" s="3">
        <v>0</v>
      </c>
      <c r="H822" s="3">
        <v>0</v>
      </c>
      <c r="I822" s="3">
        <v>0</v>
      </c>
      <c r="J822" s="3">
        <v>0</v>
      </c>
    </row>
    <row r="823" spans="2:10">
      <c r="B823" s="52" t="s">
        <v>261</v>
      </c>
      <c r="C823" s="3">
        <v>0</v>
      </c>
      <c r="D823" s="3">
        <v>0</v>
      </c>
      <c r="E823" s="3">
        <v>0</v>
      </c>
      <c r="F823" s="3">
        <v>0</v>
      </c>
      <c r="G823" s="3">
        <v>0</v>
      </c>
      <c r="H823" s="3">
        <v>0</v>
      </c>
      <c r="I823" s="3">
        <v>0</v>
      </c>
      <c r="J823" s="3">
        <v>0</v>
      </c>
    </row>
    <row r="824" spans="2:10">
      <c r="B824" s="52" t="s">
        <v>260</v>
      </c>
      <c r="C824" s="3">
        <v>0</v>
      </c>
      <c r="D824" s="3">
        <v>0</v>
      </c>
      <c r="E824" s="3">
        <v>0</v>
      </c>
      <c r="F824" s="3">
        <v>0</v>
      </c>
      <c r="G824" s="3">
        <v>0</v>
      </c>
      <c r="H824" s="3">
        <v>0</v>
      </c>
      <c r="I824" s="3">
        <v>0</v>
      </c>
      <c r="J824" s="3">
        <v>0</v>
      </c>
    </row>
    <row r="825" spans="2:10" ht="15" thickBot="1">
      <c r="B825" s="50" t="s">
        <v>117</v>
      </c>
      <c r="C825" s="3">
        <v>0</v>
      </c>
      <c r="D825" s="3">
        <v>0</v>
      </c>
      <c r="E825" s="3">
        <v>0</v>
      </c>
      <c r="F825" s="3">
        <v>0</v>
      </c>
      <c r="G825" s="3">
        <v>0</v>
      </c>
      <c r="H825" s="3">
        <v>0</v>
      </c>
      <c r="I825" s="3">
        <v>0</v>
      </c>
      <c r="J825" s="3">
        <v>0</v>
      </c>
    </row>
    <row r="826" spans="2:10" ht="15" customHeight="1" thickTop="1">
      <c r="B826" s="2017" t="s">
        <v>246</v>
      </c>
      <c r="C826" s="2017"/>
      <c r="D826" s="2017"/>
      <c r="E826" s="2017"/>
      <c r="F826" s="2017"/>
      <c r="G826" s="2017"/>
      <c r="H826" s="2017"/>
      <c r="I826" s="2017"/>
      <c r="J826" s="2017"/>
    </row>
    <row r="827" spans="2:10">
      <c r="B827" s="2017" t="s">
        <v>259</v>
      </c>
      <c r="C827" s="2017"/>
      <c r="D827" s="2017"/>
      <c r="E827" s="2017"/>
      <c r="F827" s="2017"/>
      <c r="G827" s="2017"/>
      <c r="H827" s="2017"/>
      <c r="I827" s="2017"/>
      <c r="J827" s="2017"/>
    </row>
    <row r="828" spans="2:10">
      <c r="B828" s="62"/>
      <c r="C828" s="1"/>
      <c r="D828" s="1"/>
      <c r="E828" s="1"/>
      <c r="F828" s="1"/>
      <c r="G828" s="1"/>
      <c r="H828" s="1"/>
      <c r="I828" s="1"/>
      <c r="J828" s="1"/>
    </row>
    <row r="829" spans="2:10">
      <c r="B829" s="14" t="s">
        <v>258</v>
      </c>
      <c r="C829" s="14"/>
      <c r="D829" s="14"/>
      <c r="E829" s="14"/>
      <c r="F829" s="14"/>
      <c r="G829" s="14"/>
      <c r="H829" s="14"/>
      <c r="I829" s="14"/>
      <c r="J829" s="14"/>
    </row>
    <row r="830" spans="2:10">
      <c r="B830" s="12" t="s">
        <v>257</v>
      </c>
      <c r="C830" s="1"/>
      <c r="D830" s="1"/>
      <c r="E830" s="1"/>
      <c r="F830" s="1"/>
      <c r="G830" s="1"/>
      <c r="H830" s="1"/>
      <c r="I830" s="1"/>
      <c r="J830" s="1"/>
    </row>
    <row r="831" spans="2:10">
      <c r="B831" s="77" t="s">
        <v>256</v>
      </c>
      <c r="C831" s="1"/>
      <c r="D831" s="1"/>
      <c r="E831" s="1"/>
      <c r="F831" s="1"/>
      <c r="G831" s="1"/>
      <c r="H831" s="1"/>
      <c r="I831" s="1"/>
      <c r="J831" s="1"/>
    </row>
    <row r="832" spans="2:10">
      <c r="B832" s="62"/>
      <c r="C832" s="1"/>
      <c r="D832" s="1"/>
      <c r="E832" s="1"/>
      <c r="F832" s="1"/>
      <c r="G832" s="1"/>
      <c r="H832" s="1"/>
      <c r="I832" s="1"/>
      <c r="J832" s="1"/>
    </row>
    <row r="833" spans="2:10">
      <c r="B833" s="61"/>
      <c r="C833" s="60">
        <v>2014</v>
      </c>
      <c r="D833" s="60">
        <v>2015</v>
      </c>
      <c r="E833" s="60">
        <v>2016</v>
      </c>
      <c r="F833" s="60">
        <v>2017</v>
      </c>
      <c r="G833" s="60">
        <v>2018</v>
      </c>
      <c r="H833" s="60">
        <v>2019</v>
      </c>
      <c r="I833" s="60">
        <v>2020</v>
      </c>
      <c r="J833" s="60">
        <v>2021</v>
      </c>
    </row>
    <row r="834" spans="2:10">
      <c r="B834" s="59" t="s">
        <v>255</v>
      </c>
      <c r="C834" s="1"/>
      <c r="D834" s="1"/>
      <c r="E834" s="1"/>
      <c r="F834" s="1"/>
      <c r="G834" s="1"/>
      <c r="H834" s="1"/>
      <c r="I834" s="1"/>
      <c r="J834" s="1"/>
    </row>
    <row r="835" spans="2:10">
      <c r="B835" s="71" t="s">
        <v>247</v>
      </c>
      <c r="C835" s="116">
        <v>1.4140000000000001</v>
      </c>
      <c r="D835" s="116">
        <v>1.4770000000000001</v>
      </c>
      <c r="E835" s="116">
        <v>1.405</v>
      </c>
      <c r="F835" s="116">
        <v>1.4219999999999999</v>
      </c>
      <c r="G835" s="116">
        <v>1.454</v>
      </c>
      <c r="H835" s="116">
        <v>1.0329999999999999</v>
      </c>
      <c r="I835" s="119">
        <v>0.81699999999999995</v>
      </c>
      <c r="J835" s="119">
        <v>0.88400000000000001</v>
      </c>
    </row>
    <row r="836" spans="2:10">
      <c r="B836" s="52" t="s">
        <v>121</v>
      </c>
      <c r="C836" s="116">
        <v>1.4140000000000001</v>
      </c>
      <c r="D836" s="116">
        <v>1.4710000000000001</v>
      </c>
      <c r="E836" s="116">
        <v>1.3979999999999999</v>
      </c>
      <c r="F836" s="116">
        <v>1.415</v>
      </c>
      <c r="G836" s="116">
        <v>1.4450000000000001</v>
      </c>
      <c r="H836" s="116">
        <v>1.012</v>
      </c>
      <c r="I836" s="119">
        <v>0.79600000000000004</v>
      </c>
      <c r="J836" s="119">
        <v>0.86299999999999999</v>
      </c>
    </row>
    <row r="837" spans="2:10">
      <c r="B837" s="53" t="s">
        <v>120</v>
      </c>
      <c r="C837" s="116">
        <v>0.104</v>
      </c>
      <c r="D837" s="116">
        <v>0.14599999999999999</v>
      </c>
      <c r="E837" s="116">
        <v>0.04</v>
      </c>
      <c r="F837" s="116">
        <v>4.5999999999999999E-2</v>
      </c>
      <c r="G837" s="116">
        <v>3.7999999999999999E-2</v>
      </c>
      <c r="H837" s="116">
        <v>0.65400000000000003</v>
      </c>
      <c r="I837" s="119">
        <v>0.43</v>
      </c>
      <c r="J837" s="119">
        <v>0.378</v>
      </c>
    </row>
    <row r="838" spans="2:10">
      <c r="B838" s="53" t="s">
        <v>119</v>
      </c>
      <c r="C838" s="116">
        <v>1.31</v>
      </c>
      <c r="D838" s="116">
        <v>1.325</v>
      </c>
      <c r="E838" s="116">
        <v>1.3580000000000001</v>
      </c>
      <c r="F838" s="116">
        <v>1.369</v>
      </c>
      <c r="G838" s="116">
        <v>1.407</v>
      </c>
      <c r="H838" s="116">
        <v>0.35799999999999998</v>
      </c>
      <c r="I838" s="119">
        <v>0.36599999999999999</v>
      </c>
      <c r="J838" s="119">
        <v>0.48499999999999999</v>
      </c>
    </row>
    <row r="839" spans="2:10">
      <c r="B839" s="52" t="s">
        <v>118</v>
      </c>
      <c r="C839" s="3">
        <v>0</v>
      </c>
      <c r="D839" s="79">
        <v>6.0000000000000001E-3</v>
      </c>
      <c r="E839" s="116">
        <v>7.0000000000000001E-3</v>
      </c>
      <c r="F839" s="116">
        <v>7.0000000000000001E-3</v>
      </c>
      <c r="G839" s="116">
        <v>8.9999999999999993E-3</v>
      </c>
      <c r="H839" s="116">
        <v>8.9999999999999993E-3</v>
      </c>
      <c r="I839" s="119">
        <v>8.9999999999999993E-3</v>
      </c>
      <c r="J839" s="119">
        <v>8.9999999999999993E-3</v>
      </c>
    </row>
    <row r="840" spans="2:10">
      <c r="B840" s="52" t="s">
        <v>117</v>
      </c>
      <c r="C840" s="120">
        <v>0</v>
      </c>
      <c r="D840" s="119">
        <v>0</v>
      </c>
      <c r="E840" s="119">
        <v>0</v>
      </c>
      <c r="F840" s="119">
        <v>0</v>
      </c>
      <c r="G840" s="119">
        <v>0</v>
      </c>
      <c r="H840" s="119">
        <v>1.2E-2</v>
      </c>
      <c r="I840" s="119">
        <v>1.2E-2</v>
      </c>
      <c r="J840" s="119">
        <v>1.2E-2</v>
      </c>
    </row>
    <row r="841" spans="2:10">
      <c r="B841" s="52"/>
      <c r="C841" s="120"/>
      <c r="D841" s="119"/>
      <c r="E841" s="119"/>
      <c r="F841" s="119"/>
      <c r="G841" s="119"/>
      <c r="H841" s="119"/>
      <c r="I841" s="119"/>
      <c r="J841" s="119"/>
    </row>
    <row r="842" spans="2:10">
      <c r="B842" s="59" t="s">
        <v>254</v>
      </c>
      <c r="C842" s="1"/>
      <c r="D842" s="1"/>
      <c r="E842" s="1"/>
      <c r="F842" s="1"/>
      <c r="G842" s="1"/>
      <c r="H842" s="1"/>
      <c r="I842" s="1"/>
      <c r="J842" s="1"/>
    </row>
    <row r="843" spans="2:10">
      <c r="B843" s="71" t="s">
        <v>247</v>
      </c>
      <c r="C843" s="119">
        <v>0</v>
      </c>
      <c r="D843" s="116">
        <v>35</v>
      </c>
      <c r="E843" s="116">
        <v>39</v>
      </c>
      <c r="F843" s="116">
        <v>45</v>
      </c>
      <c r="G843" s="116">
        <v>70</v>
      </c>
      <c r="H843" s="116">
        <v>44</v>
      </c>
      <c r="I843" s="116">
        <v>30</v>
      </c>
      <c r="J843" s="116">
        <v>77.103999999999999</v>
      </c>
    </row>
    <row r="844" spans="2:10">
      <c r="B844" s="52" t="s">
        <v>121</v>
      </c>
      <c r="C844" s="119">
        <v>0</v>
      </c>
      <c r="D844" s="116">
        <v>0</v>
      </c>
      <c r="E844" s="116">
        <v>0</v>
      </c>
      <c r="F844" s="116">
        <v>0</v>
      </c>
      <c r="G844" s="116">
        <v>0</v>
      </c>
      <c r="H844" s="116">
        <v>0</v>
      </c>
      <c r="I844" s="116">
        <v>0</v>
      </c>
      <c r="J844" s="116">
        <v>1.7999999999999999E-2</v>
      </c>
    </row>
    <row r="845" spans="2:10">
      <c r="B845" s="53" t="s">
        <v>120</v>
      </c>
      <c r="C845" s="119">
        <v>0</v>
      </c>
      <c r="D845" s="116">
        <v>0</v>
      </c>
      <c r="E845" s="116">
        <v>0</v>
      </c>
      <c r="F845" s="116">
        <v>0</v>
      </c>
      <c r="G845" s="116">
        <v>0</v>
      </c>
      <c r="H845" s="116">
        <v>0</v>
      </c>
      <c r="I845" s="116">
        <v>0</v>
      </c>
      <c r="J845" s="116">
        <v>0</v>
      </c>
    </row>
    <row r="846" spans="2:10">
      <c r="B846" s="53" t="s">
        <v>119</v>
      </c>
      <c r="C846" s="119">
        <v>0</v>
      </c>
      <c r="D846" s="116">
        <v>10</v>
      </c>
      <c r="E846" s="116">
        <v>19</v>
      </c>
      <c r="F846" s="116">
        <v>5</v>
      </c>
      <c r="G846" s="116">
        <v>0</v>
      </c>
      <c r="H846" s="116">
        <v>4</v>
      </c>
      <c r="I846" s="116">
        <v>3</v>
      </c>
      <c r="J846" s="116">
        <v>1.7999999999999999E-2</v>
      </c>
    </row>
    <row r="847" spans="2:10">
      <c r="B847" s="52" t="s">
        <v>118</v>
      </c>
      <c r="C847" s="3">
        <v>0</v>
      </c>
      <c r="D847" s="116">
        <v>1</v>
      </c>
      <c r="E847" s="116">
        <v>1</v>
      </c>
      <c r="F847" s="116">
        <v>1</v>
      </c>
      <c r="G847" s="116">
        <v>1</v>
      </c>
      <c r="H847" s="116">
        <v>1</v>
      </c>
      <c r="I847" s="116">
        <v>1</v>
      </c>
      <c r="J847" s="116">
        <v>1E-3</v>
      </c>
    </row>
    <row r="848" spans="2:10">
      <c r="B848" s="52" t="s">
        <v>117</v>
      </c>
      <c r="C848" s="120">
        <v>0</v>
      </c>
      <c r="D848" s="116">
        <v>24</v>
      </c>
      <c r="E848" s="116">
        <v>19</v>
      </c>
      <c r="F848" s="116">
        <v>39</v>
      </c>
      <c r="G848" s="116">
        <v>69</v>
      </c>
      <c r="H848" s="116">
        <v>39</v>
      </c>
      <c r="I848" s="116">
        <v>26</v>
      </c>
      <c r="J848" s="116">
        <v>77.084999999999994</v>
      </c>
    </row>
    <row r="849" spans="2:10">
      <c r="B849" s="52"/>
      <c r="C849" s="120"/>
      <c r="D849" s="119"/>
      <c r="E849" s="119"/>
      <c r="F849" s="119"/>
      <c r="G849" s="119"/>
      <c r="H849" s="119"/>
      <c r="I849" s="119"/>
      <c r="J849" s="119"/>
    </row>
    <row r="850" spans="2:10" ht="15">
      <c r="B850" s="59" t="s">
        <v>253</v>
      </c>
      <c r="C850" s="1"/>
      <c r="D850" s="1"/>
      <c r="E850" s="1"/>
      <c r="F850" s="1"/>
      <c r="G850" s="1"/>
      <c r="H850" s="1"/>
      <c r="I850" s="1"/>
      <c r="J850" s="1"/>
    </row>
    <row r="851" spans="2:10">
      <c r="B851" s="71" t="s">
        <v>247</v>
      </c>
      <c r="C851" s="119">
        <v>237.76600000000002</v>
      </c>
      <c r="D851" s="116">
        <v>251.13900000000001</v>
      </c>
      <c r="E851" s="116">
        <v>279.24700000000001</v>
      </c>
      <c r="F851" s="116">
        <v>284.46100000000001</v>
      </c>
      <c r="G851" s="116">
        <v>715.50099999999998</v>
      </c>
      <c r="H851" s="116">
        <v>17</v>
      </c>
      <c r="I851" s="116">
        <v>107</v>
      </c>
      <c r="J851" s="116">
        <v>0.16</v>
      </c>
    </row>
    <row r="852" spans="2:10">
      <c r="B852" s="52" t="s">
        <v>121</v>
      </c>
      <c r="C852" s="3">
        <v>0</v>
      </c>
      <c r="D852" s="116">
        <v>0</v>
      </c>
      <c r="E852" s="116">
        <v>0</v>
      </c>
      <c r="F852" s="116">
        <v>0</v>
      </c>
      <c r="G852" s="116">
        <v>0</v>
      </c>
      <c r="H852" s="116">
        <v>0</v>
      </c>
      <c r="I852" s="116">
        <v>0</v>
      </c>
      <c r="J852" s="116">
        <v>0</v>
      </c>
    </row>
    <row r="853" spans="2:10">
      <c r="B853" s="53" t="s">
        <v>120</v>
      </c>
      <c r="C853" s="3">
        <v>0</v>
      </c>
      <c r="D853" s="116">
        <v>0</v>
      </c>
      <c r="E853" s="116">
        <v>0</v>
      </c>
      <c r="F853" s="116">
        <v>0</v>
      </c>
      <c r="G853" s="116">
        <v>0</v>
      </c>
      <c r="H853" s="116">
        <v>0</v>
      </c>
      <c r="I853" s="116">
        <v>0</v>
      </c>
      <c r="J853" s="116">
        <v>0</v>
      </c>
    </row>
    <row r="854" spans="2:10">
      <c r="B854" s="53" t="s">
        <v>119</v>
      </c>
      <c r="C854" s="3">
        <v>0</v>
      </c>
      <c r="D854" s="116">
        <v>0</v>
      </c>
      <c r="E854" s="116">
        <v>0</v>
      </c>
      <c r="F854" s="116">
        <v>0</v>
      </c>
      <c r="G854" s="116">
        <v>0</v>
      </c>
      <c r="H854" s="116">
        <v>0</v>
      </c>
      <c r="I854" s="116">
        <v>0</v>
      </c>
      <c r="J854" s="116">
        <v>0</v>
      </c>
    </row>
    <row r="855" spans="2:10">
      <c r="B855" s="52" t="s">
        <v>118</v>
      </c>
      <c r="C855" s="3">
        <v>0</v>
      </c>
      <c r="D855" s="116">
        <v>0</v>
      </c>
      <c r="E855" s="116">
        <v>0</v>
      </c>
      <c r="F855" s="116">
        <v>0</v>
      </c>
      <c r="G855" s="116">
        <v>0</v>
      </c>
      <c r="H855" s="116">
        <v>0</v>
      </c>
      <c r="I855" s="116">
        <v>0</v>
      </c>
      <c r="J855" s="116">
        <v>0</v>
      </c>
    </row>
    <row r="856" spans="2:10">
      <c r="B856" s="52" t="s">
        <v>252</v>
      </c>
      <c r="C856" s="119">
        <v>237.76600000000002</v>
      </c>
      <c r="D856" s="116">
        <v>251.13900000000001</v>
      </c>
      <c r="E856" s="116">
        <v>279.24700000000001</v>
      </c>
      <c r="F856" s="116">
        <v>284.46100000000001</v>
      </c>
      <c r="G856" s="116">
        <v>715.50099999999998</v>
      </c>
      <c r="H856" s="116">
        <v>17</v>
      </c>
      <c r="I856" s="116">
        <v>107</v>
      </c>
      <c r="J856" s="116">
        <v>0.16</v>
      </c>
    </row>
    <row r="857" spans="2:10">
      <c r="B857" s="52"/>
      <c r="C857" s="118"/>
      <c r="D857" s="118"/>
      <c r="E857" s="118"/>
      <c r="F857" s="118"/>
      <c r="G857" s="118"/>
      <c r="H857" s="118"/>
      <c r="I857" s="118"/>
      <c r="J857" s="118"/>
    </row>
    <row r="858" spans="2:10">
      <c r="B858" s="59" t="s">
        <v>251</v>
      </c>
      <c r="C858" s="1"/>
      <c r="D858" s="1"/>
      <c r="E858" s="1"/>
      <c r="F858" s="1"/>
      <c r="G858" s="1"/>
      <c r="H858" s="1"/>
      <c r="I858" s="1"/>
      <c r="J858" s="1"/>
    </row>
    <row r="859" spans="2:10" ht="27">
      <c r="B859" s="71" t="s">
        <v>250</v>
      </c>
      <c r="C859" s="119">
        <v>1.044</v>
      </c>
      <c r="D859" s="116">
        <v>1.036</v>
      </c>
      <c r="E859" s="116">
        <v>0.97399999999999998</v>
      </c>
      <c r="F859" s="116">
        <v>0.96</v>
      </c>
      <c r="G859" s="116">
        <v>0.80899999999999994</v>
      </c>
      <c r="H859" s="116">
        <v>1.3120000000000001</v>
      </c>
      <c r="I859" s="116">
        <v>1.849</v>
      </c>
      <c r="J859" s="116">
        <v>0.89</v>
      </c>
    </row>
    <row r="860" spans="2:10">
      <c r="B860" s="52" t="s">
        <v>121</v>
      </c>
      <c r="C860" s="119">
        <v>0.46100000000000002</v>
      </c>
      <c r="D860" s="116">
        <v>0.55100000000000005</v>
      </c>
      <c r="E860" s="116">
        <v>0.48399999999999999</v>
      </c>
      <c r="F860" s="116">
        <v>0.46899999999999997</v>
      </c>
      <c r="G860" s="116">
        <v>0.379</v>
      </c>
      <c r="H860" s="116">
        <v>0.627</v>
      </c>
      <c r="I860" s="116">
        <v>0.63800000000000001</v>
      </c>
      <c r="J860" s="116">
        <v>0.32400000000000001</v>
      </c>
    </row>
    <row r="861" spans="2:10">
      <c r="B861" s="53" t="s">
        <v>120</v>
      </c>
      <c r="C861" s="119">
        <v>0</v>
      </c>
      <c r="D861" s="116">
        <v>0</v>
      </c>
      <c r="E861" s="116">
        <v>0</v>
      </c>
      <c r="F861" s="116">
        <v>0</v>
      </c>
      <c r="G861" s="116">
        <v>0</v>
      </c>
      <c r="H861" s="116">
        <v>0.32900000000000001</v>
      </c>
      <c r="I861" s="116">
        <v>0.32500000000000001</v>
      </c>
      <c r="J861" s="116">
        <v>1E-3</v>
      </c>
    </row>
    <row r="862" spans="2:10">
      <c r="B862" s="53" t="s">
        <v>189</v>
      </c>
      <c r="C862" s="119">
        <v>0.46100000000000002</v>
      </c>
      <c r="D862" s="116">
        <v>0.55100000000000005</v>
      </c>
      <c r="E862" s="116">
        <v>0.48399999999999999</v>
      </c>
      <c r="F862" s="116">
        <v>0.46899999999999997</v>
      </c>
      <c r="G862" s="116">
        <v>0.379</v>
      </c>
      <c r="H862" s="116">
        <v>0.29799999999999999</v>
      </c>
      <c r="I862" s="116">
        <v>0.313</v>
      </c>
      <c r="J862" s="116">
        <v>0.313</v>
      </c>
    </row>
    <row r="863" spans="2:10">
      <c r="B863" s="52" t="s">
        <v>118</v>
      </c>
      <c r="C863" s="119">
        <v>0.10100000000000001</v>
      </c>
      <c r="D863" s="116">
        <v>9.9000000000000005E-2</v>
      </c>
      <c r="E863" s="116">
        <v>9.6000000000000002E-2</v>
      </c>
      <c r="F863" s="116">
        <v>0.1</v>
      </c>
      <c r="G863" s="116">
        <v>0.1</v>
      </c>
      <c r="H863" s="116">
        <v>0.14199999999999999</v>
      </c>
      <c r="I863" s="116">
        <v>0.13900000000000001</v>
      </c>
      <c r="J863" s="116">
        <v>0.13900000000000001</v>
      </c>
    </row>
    <row r="864" spans="2:10">
      <c r="B864" s="52" t="s">
        <v>249</v>
      </c>
      <c r="C864" s="119">
        <v>0.48199999999999998</v>
      </c>
      <c r="D864" s="116">
        <v>0.38600000000000001</v>
      </c>
      <c r="E864" s="116">
        <v>0.39400000000000002</v>
      </c>
      <c r="F864" s="116">
        <v>0.39100000000000001</v>
      </c>
      <c r="G864" s="116">
        <v>0.33</v>
      </c>
      <c r="H864" s="116">
        <v>0.54300000000000004</v>
      </c>
      <c r="I864" s="116">
        <v>0.434</v>
      </c>
      <c r="J864" s="116">
        <v>0.434</v>
      </c>
    </row>
    <row r="865" spans="2:10">
      <c r="B865" s="52"/>
      <c r="C865" s="118"/>
      <c r="D865" s="118"/>
      <c r="E865" s="118"/>
      <c r="F865" s="118"/>
      <c r="G865" s="118"/>
      <c r="H865" s="118"/>
      <c r="I865" s="118"/>
      <c r="J865" s="118"/>
    </row>
    <row r="866" spans="2:10">
      <c r="B866" s="59" t="s">
        <v>248</v>
      </c>
      <c r="C866" s="1"/>
      <c r="D866" s="1"/>
      <c r="E866" s="1"/>
      <c r="F866" s="1"/>
      <c r="G866" s="1"/>
      <c r="H866" s="1"/>
      <c r="I866" s="1"/>
      <c r="J866" s="1"/>
    </row>
    <row r="867" spans="2:10">
      <c r="B867" s="71" t="s">
        <v>247</v>
      </c>
      <c r="C867" s="67">
        <v>0</v>
      </c>
      <c r="D867" s="116">
        <v>192</v>
      </c>
      <c r="E867" s="116">
        <v>155</v>
      </c>
      <c r="F867" s="116">
        <v>1.538</v>
      </c>
      <c r="G867" s="116">
        <v>3.266</v>
      </c>
      <c r="H867" s="116">
        <v>3.653</v>
      </c>
      <c r="I867" s="116">
        <v>3.294</v>
      </c>
      <c r="J867" s="116">
        <v>3.0409999999999999</v>
      </c>
    </row>
    <row r="868" spans="2:10">
      <c r="B868" s="52" t="s">
        <v>121</v>
      </c>
      <c r="C868" s="67">
        <v>0</v>
      </c>
      <c r="D868" s="116">
        <v>192</v>
      </c>
      <c r="E868" s="116">
        <v>155</v>
      </c>
      <c r="F868" s="116">
        <v>1.538</v>
      </c>
      <c r="G868" s="116">
        <v>3.266</v>
      </c>
      <c r="H868" s="116">
        <v>3.653</v>
      </c>
      <c r="I868" s="116">
        <v>3.294</v>
      </c>
      <c r="J868" s="116">
        <v>0</v>
      </c>
    </row>
    <row r="869" spans="2:10">
      <c r="B869" s="53" t="s">
        <v>120</v>
      </c>
      <c r="C869" s="67">
        <v>0</v>
      </c>
      <c r="D869" s="116">
        <v>127</v>
      </c>
      <c r="E869" s="116">
        <v>36</v>
      </c>
      <c r="F869" s="116">
        <v>8.9999999999999993E-3</v>
      </c>
      <c r="G869" s="116">
        <v>0</v>
      </c>
      <c r="H869" s="116">
        <v>5</v>
      </c>
      <c r="I869" s="116">
        <v>8.9999999999999993E-3</v>
      </c>
      <c r="J869" s="116">
        <v>0.02</v>
      </c>
    </row>
    <row r="870" spans="2:10">
      <c r="B870" s="53" t="s">
        <v>119</v>
      </c>
      <c r="C870" s="67">
        <v>0</v>
      </c>
      <c r="D870" s="116">
        <v>65</v>
      </c>
      <c r="E870" s="116">
        <v>119</v>
      </c>
      <c r="F870" s="116">
        <v>1.5289999999999999</v>
      </c>
      <c r="G870" s="116">
        <v>8.0000000000000002E-3</v>
      </c>
      <c r="H870" s="116">
        <v>3.6480000000000001</v>
      </c>
      <c r="I870" s="116">
        <v>3.2850000000000001</v>
      </c>
      <c r="J870" s="116">
        <v>3.0209999999999999</v>
      </c>
    </row>
    <row r="871" spans="2:10">
      <c r="B871" s="52" t="s">
        <v>118</v>
      </c>
      <c r="C871" s="67">
        <v>0</v>
      </c>
      <c r="D871" s="116">
        <v>0</v>
      </c>
      <c r="E871" s="116">
        <v>0</v>
      </c>
      <c r="F871" s="116">
        <v>0</v>
      </c>
      <c r="G871" s="116">
        <v>3.258</v>
      </c>
      <c r="H871" s="116">
        <v>0</v>
      </c>
      <c r="I871" s="116">
        <v>0</v>
      </c>
      <c r="J871" s="116">
        <v>0</v>
      </c>
    </row>
    <row r="872" spans="2:10" ht="15" thickBot="1">
      <c r="B872" s="50" t="s">
        <v>117</v>
      </c>
      <c r="C872" s="117">
        <v>0</v>
      </c>
      <c r="D872" s="116">
        <v>0</v>
      </c>
      <c r="E872" s="116">
        <v>0</v>
      </c>
      <c r="F872" s="116">
        <v>0</v>
      </c>
      <c r="G872" s="116">
        <v>0</v>
      </c>
      <c r="H872" s="116">
        <v>0</v>
      </c>
      <c r="I872" s="116">
        <v>0</v>
      </c>
      <c r="J872" s="116">
        <v>0</v>
      </c>
    </row>
    <row r="873" spans="2:10" ht="15" customHeight="1" thickTop="1">
      <c r="B873" s="2026" t="s">
        <v>246</v>
      </c>
      <c r="C873" s="2026"/>
      <c r="D873" s="2026"/>
      <c r="E873" s="2026"/>
      <c r="F873" s="2026"/>
      <c r="G873" s="2026"/>
      <c r="H873" s="2026"/>
      <c r="I873" s="2026"/>
      <c r="J873" s="2026"/>
    </row>
    <row r="874" spans="2:10">
      <c r="B874" s="2027" t="s">
        <v>245</v>
      </c>
      <c r="C874" s="2027"/>
      <c r="D874" s="2027"/>
      <c r="E874" s="2027"/>
      <c r="F874" s="2027"/>
      <c r="G874" s="2027"/>
      <c r="H874" s="2027"/>
      <c r="I874" s="2027"/>
      <c r="J874" s="2027"/>
    </row>
    <row r="875" spans="2:10">
      <c r="B875" s="64"/>
      <c r="C875" s="1"/>
      <c r="D875" s="1"/>
      <c r="E875" s="1"/>
      <c r="F875" s="1"/>
      <c r="G875" s="1"/>
      <c r="H875" s="1"/>
      <c r="I875" s="1"/>
      <c r="J875" s="1"/>
    </row>
    <row r="876" spans="2:10">
      <c r="B876" s="14" t="s">
        <v>244</v>
      </c>
      <c r="C876" s="14"/>
      <c r="D876" s="14"/>
      <c r="E876" s="14"/>
      <c r="F876" s="14"/>
      <c r="G876" s="14"/>
      <c r="H876" s="14"/>
      <c r="I876" s="14"/>
      <c r="J876" s="14"/>
    </row>
    <row r="877" spans="2:10">
      <c r="B877" s="12" t="s">
        <v>243</v>
      </c>
      <c r="C877" s="1"/>
      <c r="D877" s="1"/>
      <c r="E877" s="1"/>
      <c r="F877" s="1"/>
      <c r="G877" s="1"/>
      <c r="H877" s="1"/>
      <c r="I877" s="1"/>
      <c r="J877" s="1"/>
    </row>
    <row r="878" spans="2:10">
      <c r="B878" s="62" t="s">
        <v>242</v>
      </c>
      <c r="C878" s="1"/>
      <c r="D878" s="1"/>
      <c r="E878" s="1"/>
      <c r="F878" s="1"/>
      <c r="G878" s="1"/>
      <c r="H878" s="1"/>
      <c r="I878" s="1"/>
      <c r="J878" s="1"/>
    </row>
    <row r="879" spans="2:10">
      <c r="B879" s="64"/>
      <c r="C879" s="1"/>
      <c r="D879" s="1"/>
      <c r="E879" s="1"/>
      <c r="F879" s="1"/>
      <c r="G879" s="1"/>
      <c r="H879" s="1"/>
      <c r="I879" s="1"/>
      <c r="J879" s="1"/>
    </row>
    <row r="880" spans="2:10">
      <c r="B880" s="61"/>
      <c r="C880" s="115">
        <v>2014</v>
      </c>
      <c r="D880" s="115">
        <v>2015</v>
      </c>
      <c r="E880" s="115">
        <v>2016</v>
      </c>
      <c r="F880" s="115">
        <v>2017</v>
      </c>
      <c r="G880" s="115">
        <v>2018</v>
      </c>
      <c r="H880" s="115">
        <v>2019</v>
      </c>
      <c r="I880" s="115">
        <v>2020</v>
      </c>
      <c r="J880" s="115">
        <v>2021</v>
      </c>
    </row>
    <row r="881" spans="2:10">
      <c r="B881" s="114" t="s">
        <v>241</v>
      </c>
      <c r="C881" s="107"/>
      <c r="D881" s="107"/>
      <c r="E881" s="107"/>
      <c r="F881" s="107"/>
      <c r="G881" s="107"/>
      <c r="H881" s="107"/>
      <c r="I881" s="107"/>
      <c r="J881" s="107"/>
    </row>
    <row r="882" spans="2:10">
      <c r="B882" s="71" t="s">
        <v>239</v>
      </c>
      <c r="C882" s="113">
        <v>0</v>
      </c>
      <c r="D882" s="110">
        <v>56059.054209919261</v>
      </c>
      <c r="E882" s="110">
        <v>63789.237990849972</v>
      </c>
      <c r="F882" s="110">
        <v>109775.66261145615</v>
      </c>
      <c r="G882" s="110">
        <v>47714.39075546903</v>
      </c>
      <c r="H882" s="110">
        <v>40220.385674931131</v>
      </c>
      <c r="I882" s="110">
        <v>34276.20632279534</v>
      </c>
      <c r="J882" s="110">
        <v>27665.369649805449</v>
      </c>
    </row>
    <row r="883" spans="2:10">
      <c r="B883" s="114" t="s">
        <v>32</v>
      </c>
      <c r="C883" s="113"/>
      <c r="D883" s="110"/>
      <c r="E883" s="110"/>
      <c r="F883" s="110"/>
      <c r="G883" s="110"/>
      <c r="H883" s="110"/>
      <c r="I883" s="110"/>
      <c r="J883" s="110"/>
    </row>
    <row r="884" spans="2:10">
      <c r="B884" s="71" t="s">
        <v>239</v>
      </c>
      <c r="C884" s="113">
        <v>0</v>
      </c>
      <c r="D884" s="111">
        <v>0</v>
      </c>
      <c r="E884" s="111">
        <v>14.11440171101942</v>
      </c>
      <c r="F884" s="111">
        <v>17.044667682244782</v>
      </c>
      <c r="G884" s="111">
        <v>17.13909379686471</v>
      </c>
      <c r="H884" s="111">
        <v>16.695884464479505</v>
      </c>
      <c r="I884" s="111">
        <v>16.638935108153078</v>
      </c>
      <c r="J884" s="110">
        <v>21.789883268482491</v>
      </c>
    </row>
    <row r="885" spans="2:10">
      <c r="B885" s="114" t="s">
        <v>240</v>
      </c>
      <c r="C885" s="113"/>
      <c r="D885" s="111"/>
      <c r="E885" s="111"/>
      <c r="F885" s="111"/>
      <c r="G885" s="111"/>
      <c r="H885" s="111"/>
      <c r="I885" s="111"/>
      <c r="J885" s="111"/>
    </row>
    <row r="886" spans="2:10">
      <c r="B886" s="71" t="s">
        <v>239</v>
      </c>
      <c r="C886" s="113">
        <v>0</v>
      </c>
      <c r="D886" s="112">
        <v>0</v>
      </c>
      <c r="E886" s="112">
        <v>0</v>
      </c>
      <c r="F886" s="112">
        <v>0</v>
      </c>
      <c r="G886" s="112">
        <v>0</v>
      </c>
      <c r="H886" s="112">
        <v>0</v>
      </c>
      <c r="I886" s="111">
        <v>252.73544093178037</v>
      </c>
      <c r="J886" s="110">
        <v>260.66692607003893</v>
      </c>
    </row>
    <row r="887" spans="2:10">
      <c r="B887" s="59" t="s">
        <v>30</v>
      </c>
      <c r="C887" s="1"/>
      <c r="D887" s="111"/>
      <c r="E887" s="111"/>
      <c r="F887" s="111"/>
      <c r="G887" s="111"/>
      <c r="H887" s="111"/>
      <c r="I887" s="111"/>
      <c r="J887" s="111"/>
    </row>
    <row r="888" spans="2:10" ht="15" thickBot="1">
      <c r="B888" s="50" t="s">
        <v>239</v>
      </c>
      <c r="C888" s="101">
        <v>59526.691651075773</v>
      </c>
      <c r="D888" s="112">
        <v>0</v>
      </c>
      <c r="E888" s="112">
        <v>0</v>
      </c>
      <c r="F888" s="112">
        <v>0</v>
      </c>
      <c r="G888" s="112">
        <v>0</v>
      </c>
      <c r="H888" s="111">
        <v>292123.67900390184</v>
      </c>
      <c r="I888" s="110">
        <v>154153.14868077013</v>
      </c>
      <c r="J888" s="110">
        <v>186186.5910603113</v>
      </c>
    </row>
    <row r="889" spans="2:10" ht="15" customHeight="1" thickTop="1">
      <c r="B889" s="2026" t="s">
        <v>201</v>
      </c>
      <c r="C889" s="2026"/>
      <c r="D889" s="2026"/>
      <c r="E889" s="2026"/>
      <c r="F889" s="2026"/>
      <c r="G889" s="2026"/>
      <c r="H889" s="2026"/>
      <c r="I889" s="2026"/>
      <c r="J889" s="2026"/>
    </row>
    <row r="890" spans="2:10">
      <c r="B890" s="2017"/>
      <c r="C890" s="2017"/>
      <c r="D890" s="2017"/>
      <c r="E890" s="2017"/>
      <c r="F890" s="2017"/>
      <c r="G890" s="2017"/>
      <c r="H890" s="2017"/>
      <c r="I890" s="2017"/>
      <c r="J890" s="2017"/>
    </row>
    <row r="891" spans="2:10">
      <c r="B891" s="64"/>
      <c r="C891" s="1"/>
      <c r="D891" s="1"/>
      <c r="E891" s="1"/>
      <c r="F891" s="1"/>
      <c r="G891" s="1"/>
      <c r="H891" s="1"/>
      <c r="I891" s="1"/>
      <c r="J891" s="1"/>
    </row>
    <row r="892" spans="2:10">
      <c r="B892" s="14" t="s">
        <v>238</v>
      </c>
      <c r="C892" s="14"/>
      <c r="D892" s="14"/>
      <c r="E892" s="14"/>
      <c r="F892" s="14"/>
      <c r="G892" s="14"/>
      <c r="H892" s="14"/>
      <c r="I892" s="14"/>
      <c r="J892" s="14"/>
    </row>
    <row r="893" spans="2:10">
      <c r="B893" s="12" t="s">
        <v>237</v>
      </c>
      <c r="C893" s="1"/>
      <c r="D893" s="1"/>
      <c r="E893" s="1"/>
      <c r="F893" s="1"/>
      <c r="G893" s="1"/>
      <c r="H893" s="1"/>
      <c r="I893" s="1"/>
      <c r="J893" s="1"/>
    </row>
    <row r="894" spans="2:10">
      <c r="B894" s="62" t="s">
        <v>236</v>
      </c>
      <c r="C894" s="1"/>
      <c r="D894" s="1"/>
      <c r="E894" s="1"/>
      <c r="F894" s="1"/>
      <c r="G894" s="1"/>
      <c r="H894" s="1"/>
      <c r="I894" s="1"/>
      <c r="J894" s="1"/>
    </row>
    <row r="895" spans="2:10">
      <c r="B895" s="64"/>
      <c r="C895" s="1"/>
      <c r="D895" s="1"/>
      <c r="E895" s="1"/>
      <c r="F895" s="1"/>
      <c r="G895" s="1"/>
      <c r="H895" s="1"/>
      <c r="I895" s="1"/>
      <c r="J895" s="1"/>
    </row>
    <row r="896" spans="2:10">
      <c r="B896" s="61"/>
      <c r="C896" s="60">
        <v>2014</v>
      </c>
      <c r="D896" s="60">
        <v>2015</v>
      </c>
      <c r="E896" s="60">
        <v>2016</v>
      </c>
      <c r="F896" s="60">
        <v>2017</v>
      </c>
      <c r="G896" s="60">
        <v>2018</v>
      </c>
      <c r="H896" s="60">
        <v>2019</v>
      </c>
      <c r="I896" s="60">
        <v>2020</v>
      </c>
      <c r="J896" s="60">
        <v>2021</v>
      </c>
    </row>
    <row r="897" spans="2:10">
      <c r="B897" s="59" t="s">
        <v>33</v>
      </c>
      <c r="C897" s="89"/>
      <c r="D897" s="89"/>
      <c r="E897" s="89"/>
      <c r="F897" s="89"/>
      <c r="G897" s="89"/>
      <c r="H897" s="89"/>
      <c r="I897" s="89"/>
      <c r="J897" s="89"/>
    </row>
    <row r="898" spans="2:10">
      <c r="B898" s="71" t="s">
        <v>231</v>
      </c>
      <c r="C898" s="55">
        <v>3307.8879999999999</v>
      </c>
      <c r="D898" s="55">
        <v>3578.098</v>
      </c>
      <c r="E898" s="55">
        <v>4114.4040000000005</v>
      </c>
      <c r="F898" s="55">
        <v>5385.07</v>
      </c>
      <c r="G898" s="55">
        <v>6002.3389999999999</v>
      </c>
      <c r="H898" s="55">
        <v>8287.1864999999998</v>
      </c>
      <c r="I898" s="55">
        <v>16895.091</v>
      </c>
      <c r="J898" s="55">
        <v>23134.982</v>
      </c>
    </row>
    <row r="899" spans="2:10">
      <c r="B899" s="52" t="s">
        <v>121</v>
      </c>
      <c r="C899" s="55">
        <v>1089.0029999999999</v>
      </c>
      <c r="D899" s="55">
        <v>1107.2360000000001</v>
      </c>
      <c r="E899" s="55">
        <v>1057.249</v>
      </c>
      <c r="F899" s="55">
        <v>1324.97</v>
      </c>
      <c r="G899" s="55">
        <v>2068.4110000000001</v>
      </c>
      <c r="H899" s="55">
        <v>3752.8114999999998</v>
      </c>
      <c r="I899" s="55">
        <v>6841.241</v>
      </c>
      <c r="J899" s="55">
        <v>9154.2890000000007</v>
      </c>
    </row>
    <row r="900" spans="2:10">
      <c r="B900" s="82" t="s">
        <v>120</v>
      </c>
      <c r="C900" s="55">
        <v>0</v>
      </c>
      <c r="D900" s="55">
        <v>0</v>
      </c>
      <c r="E900" s="55">
        <v>0</v>
      </c>
      <c r="F900" s="55">
        <v>0</v>
      </c>
      <c r="G900" s="55">
        <v>0</v>
      </c>
      <c r="H900" s="55">
        <v>314.79050000000001</v>
      </c>
      <c r="I900" s="55">
        <v>143.95699999999999</v>
      </c>
      <c r="J900" s="55">
        <v>485.375</v>
      </c>
    </row>
    <row r="901" spans="2:10" ht="15">
      <c r="B901" s="82" t="s">
        <v>235</v>
      </c>
      <c r="C901" s="55">
        <v>1089.0029999999999</v>
      </c>
      <c r="D901" s="55">
        <v>1107.2360000000001</v>
      </c>
      <c r="E901" s="55">
        <v>1057.249</v>
      </c>
      <c r="F901" s="55">
        <v>1324.97</v>
      </c>
      <c r="G901" s="55">
        <v>2068.4110000000001</v>
      </c>
      <c r="H901" s="55">
        <v>3438.0210000000002</v>
      </c>
      <c r="I901" s="55">
        <v>6697.2839999999997</v>
      </c>
      <c r="J901" s="55">
        <v>8668.9140000000007</v>
      </c>
    </row>
    <row r="902" spans="2:10">
      <c r="B902" s="52" t="s">
        <v>118</v>
      </c>
      <c r="C902" s="55">
        <v>1341.614</v>
      </c>
      <c r="D902" s="55">
        <v>1412.3440000000001</v>
      </c>
      <c r="E902" s="55">
        <v>1942.172</v>
      </c>
      <c r="F902" s="55">
        <v>2842.7280000000001</v>
      </c>
      <c r="G902" s="55">
        <v>3370.6469999999999</v>
      </c>
      <c r="H902" s="55">
        <v>3160.94</v>
      </c>
      <c r="I902" s="55">
        <v>10052.049999999999</v>
      </c>
      <c r="J902" s="55">
        <v>11475.847</v>
      </c>
    </row>
    <row r="903" spans="2:10">
      <c r="B903" s="52" t="s">
        <v>117</v>
      </c>
      <c r="C903" s="55">
        <v>877.27100000000019</v>
      </c>
      <c r="D903" s="55">
        <v>1058.518</v>
      </c>
      <c r="E903" s="55">
        <v>1114.9829999999999</v>
      </c>
      <c r="F903" s="55">
        <v>1217.3720000000001</v>
      </c>
      <c r="G903" s="55">
        <v>563.28099999999995</v>
      </c>
      <c r="H903" s="55">
        <v>1373.4349999999999</v>
      </c>
      <c r="I903" s="55">
        <v>1.8</v>
      </c>
      <c r="J903" s="55">
        <v>2504.846</v>
      </c>
    </row>
    <row r="904" spans="2:10">
      <c r="B904" s="52"/>
      <c r="C904" s="55"/>
      <c r="D904" s="55"/>
      <c r="E904" s="55"/>
      <c r="F904" s="55"/>
      <c r="G904" s="55"/>
      <c r="H904" s="55"/>
      <c r="I904" s="55"/>
      <c r="J904" s="55"/>
    </row>
    <row r="905" spans="2:10">
      <c r="B905" s="71" t="s">
        <v>230</v>
      </c>
      <c r="C905" s="55">
        <v>497.63400000000001</v>
      </c>
      <c r="D905" s="55">
        <v>607.14499999999998</v>
      </c>
      <c r="E905" s="55">
        <v>593.66099999999994</v>
      </c>
      <c r="F905" s="55">
        <v>658.20600000000002</v>
      </c>
      <c r="G905" s="55">
        <v>798.11500000000001</v>
      </c>
      <c r="H905" s="55">
        <v>982.20799999999997</v>
      </c>
      <c r="I905" s="55">
        <v>544477</v>
      </c>
      <c r="J905" s="55">
        <v>3935.105</v>
      </c>
    </row>
    <row r="906" spans="2:10">
      <c r="B906" s="52" t="s">
        <v>169</v>
      </c>
      <c r="C906" s="55">
        <v>0</v>
      </c>
      <c r="D906" s="55">
        <v>0</v>
      </c>
      <c r="E906" s="55">
        <v>0</v>
      </c>
      <c r="F906" s="55">
        <v>0</v>
      </c>
      <c r="G906" s="55">
        <v>8.1590000000000007</v>
      </c>
      <c r="H906" s="55">
        <v>11.49</v>
      </c>
      <c r="I906" s="55">
        <v>360000</v>
      </c>
      <c r="J906" s="55">
        <v>3.9350000000000001</v>
      </c>
    </row>
    <row r="907" spans="2:10">
      <c r="B907" s="52" t="s">
        <v>168</v>
      </c>
      <c r="C907" s="55">
        <v>497.63400000000001</v>
      </c>
      <c r="D907" s="55">
        <v>607.14499999999998</v>
      </c>
      <c r="E907" s="55">
        <v>593.66099999999994</v>
      </c>
      <c r="F907" s="55">
        <v>658.20600000000002</v>
      </c>
      <c r="G907" s="55">
        <v>789.95600000000002</v>
      </c>
      <c r="H907" s="55">
        <v>970.71799999999996</v>
      </c>
      <c r="I907" s="55">
        <v>184477</v>
      </c>
      <c r="J907" s="55">
        <v>3931.17</v>
      </c>
    </row>
    <row r="908" spans="2:10">
      <c r="B908" s="52" t="s">
        <v>167</v>
      </c>
      <c r="C908" s="55">
        <v>0</v>
      </c>
      <c r="D908" s="55">
        <v>0</v>
      </c>
      <c r="E908" s="55">
        <v>0</v>
      </c>
      <c r="F908" s="55">
        <v>0</v>
      </c>
      <c r="G908" s="55">
        <v>0</v>
      </c>
      <c r="H908" s="55">
        <v>0</v>
      </c>
      <c r="I908" s="55">
        <v>0</v>
      </c>
      <c r="J908" s="55">
        <v>0</v>
      </c>
    </row>
    <row r="909" spans="2:10">
      <c r="B909" s="52" t="s">
        <v>166</v>
      </c>
      <c r="C909" s="55">
        <v>0</v>
      </c>
      <c r="D909" s="55">
        <v>0</v>
      </c>
      <c r="E909" s="55">
        <v>0</v>
      </c>
      <c r="F909" s="55">
        <v>0</v>
      </c>
      <c r="G909" s="55">
        <v>0</v>
      </c>
      <c r="H909" s="55">
        <v>0</v>
      </c>
      <c r="I909" s="55">
        <v>0</v>
      </c>
      <c r="J909" s="55">
        <v>0</v>
      </c>
    </row>
    <row r="910" spans="2:10">
      <c r="B910" s="52" t="s">
        <v>165</v>
      </c>
      <c r="C910" s="55">
        <v>0</v>
      </c>
      <c r="D910" s="55">
        <v>0</v>
      </c>
      <c r="E910" s="55">
        <v>0</v>
      </c>
      <c r="F910" s="55">
        <v>0</v>
      </c>
      <c r="G910" s="55">
        <v>0</v>
      </c>
      <c r="H910" s="55">
        <v>0</v>
      </c>
      <c r="I910" s="55">
        <v>0</v>
      </c>
      <c r="J910" s="55">
        <v>0</v>
      </c>
    </row>
    <row r="911" spans="2:10">
      <c r="B911" s="52" t="s">
        <v>164</v>
      </c>
      <c r="C911" s="55">
        <v>0</v>
      </c>
      <c r="D911" s="55">
        <v>0</v>
      </c>
      <c r="E911" s="55">
        <v>0</v>
      </c>
      <c r="F911" s="55">
        <v>0</v>
      </c>
      <c r="G911" s="55">
        <v>0</v>
      </c>
      <c r="H911" s="55">
        <v>0</v>
      </c>
      <c r="I911" s="55">
        <v>0</v>
      </c>
      <c r="J911" s="55">
        <v>0</v>
      </c>
    </row>
    <row r="912" spans="2:10">
      <c r="B912" s="52"/>
      <c r="C912" s="55"/>
      <c r="D912" s="55"/>
      <c r="E912" s="55"/>
      <c r="F912" s="55"/>
      <c r="G912" s="55"/>
      <c r="H912" s="55"/>
      <c r="I912" s="55"/>
      <c r="J912" s="55"/>
    </row>
    <row r="913" spans="2:10">
      <c r="B913" s="59" t="s">
        <v>234</v>
      </c>
      <c r="C913" s="66"/>
      <c r="D913" s="66"/>
      <c r="E913" s="66"/>
      <c r="F913" s="66"/>
      <c r="G913" s="66"/>
      <c r="H913" s="66"/>
      <c r="I913" s="66"/>
      <c r="J913" s="66"/>
    </row>
    <row r="914" spans="2:10">
      <c r="B914" s="71" t="s">
        <v>231</v>
      </c>
      <c r="C914" s="67">
        <v>0</v>
      </c>
      <c r="D914" s="55">
        <v>0</v>
      </c>
      <c r="E914" s="55">
        <v>0</v>
      </c>
      <c r="F914" s="55">
        <v>0</v>
      </c>
      <c r="G914" s="55">
        <v>0</v>
      </c>
      <c r="H914" s="55">
        <v>1.2430000000000001</v>
      </c>
      <c r="I914" s="55">
        <v>8125</v>
      </c>
      <c r="J914" s="55">
        <v>21047</v>
      </c>
    </row>
    <row r="915" spans="2:10">
      <c r="B915" s="52" t="s">
        <v>121</v>
      </c>
      <c r="C915" s="67">
        <v>0</v>
      </c>
      <c r="D915" s="55">
        <v>0</v>
      </c>
      <c r="E915" s="55">
        <v>0</v>
      </c>
      <c r="F915" s="55">
        <v>0</v>
      </c>
      <c r="G915" s="55">
        <v>0</v>
      </c>
      <c r="H915" s="55">
        <v>0</v>
      </c>
      <c r="I915" s="55">
        <v>0</v>
      </c>
      <c r="J915" s="55">
        <v>0</v>
      </c>
    </row>
    <row r="916" spans="2:10">
      <c r="B916" s="82" t="s">
        <v>120</v>
      </c>
      <c r="C916" s="67">
        <v>0</v>
      </c>
      <c r="D916" s="55">
        <v>0</v>
      </c>
      <c r="E916" s="55">
        <v>0</v>
      </c>
      <c r="F916" s="55">
        <v>0</v>
      </c>
      <c r="G916" s="55">
        <v>0</v>
      </c>
      <c r="H916" s="55">
        <v>0</v>
      </c>
      <c r="I916" s="55">
        <v>0</v>
      </c>
      <c r="J916" s="55">
        <v>0</v>
      </c>
    </row>
    <row r="917" spans="2:10">
      <c r="B917" s="82" t="s">
        <v>119</v>
      </c>
      <c r="C917" s="67">
        <v>0</v>
      </c>
      <c r="D917" s="55">
        <v>0</v>
      </c>
      <c r="E917" s="55">
        <v>0</v>
      </c>
      <c r="F917" s="55">
        <v>0</v>
      </c>
      <c r="G917" s="55">
        <v>0</v>
      </c>
      <c r="H917" s="55">
        <v>0</v>
      </c>
      <c r="I917" s="55">
        <v>0</v>
      </c>
      <c r="J917" s="55">
        <v>0</v>
      </c>
    </row>
    <row r="918" spans="2:10">
      <c r="B918" s="52" t="s">
        <v>118</v>
      </c>
      <c r="C918" s="67">
        <v>0</v>
      </c>
      <c r="D918" s="55">
        <v>0</v>
      </c>
      <c r="E918" s="55">
        <v>0</v>
      </c>
      <c r="F918" s="55">
        <v>0</v>
      </c>
      <c r="G918" s="55">
        <v>0</v>
      </c>
      <c r="H918" s="55">
        <v>0</v>
      </c>
      <c r="I918" s="55">
        <v>0</v>
      </c>
      <c r="J918" s="55">
        <v>0</v>
      </c>
    </row>
    <row r="919" spans="2:10">
      <c r="B919" s="52" t="s">
        <v>117</v>
      </c>
      <c r="C919" s="67">
        <v>0</v>
      </c>
      <c r="D919" s="55">
        <v>0</v>
      </c>
      <c r="E919" s="55">
        <v>0</v>
      </c>
      <c r="F919" s="55">
        <v>0</v>
      </c>
      <c r="G919" s="55">
        <v>0</v>
      </c>
      <c r="H919" s="55">
        <v>1.2430000000000001</v>
      </c>
      <c r="I919" s="55">
        <v>8125</v>
      </c>
      <c r="J919" s="55">
        <v>21047</v>
      </c>
    </row>
    <row r="920" spans="2:10">
      <c r="B920" s="52"/>
      <c r="C920" s="66"/>
      <c r="D920" s="55"/>
      <c r="E920" s="55"/>
      <c r="F920" s="55"/>
      <c r="G920" s="55"/>
      <c r="H920" s="55"/>
      <c r="I920" s="55"/>
      <c r="J920" s="55"/>
    </row>
    <row r="921" spans="2:10">
      <c r="B921" s="71" t="s">
        <v>230</v>
      </c>
      <c r="C921" s="55">
        <v>237.76600000000002</v>
      </c>
      <c r="D921" s="55">
        <v>251.13900000000001</v>
      </c>
      <c r="E921" s="55">
        <v>279.24700000000001</v>
      </c>
      <c r="F921" s="55">
        <v>284.46100000000001</v>
      </c>
      <c r="G921" s="55">
        <v>715501</v>
      </c>
      <c r="H921" s="55">
        <v>1275.278</v>
      </c>
      <c r="I921" s="55">
        <v>1290.2160000000001</v>
      </c>
      <c r="J921" s="55">
        <v>884.495</v>
      </c>
    </row>
    <row r="922" spans="2:10">
      <c r="B922" s="52" t="s">
        <v>169</v>
      </c>
      <c r="C922" s="55">
        <v>3.698</v>
      </c>
      <c r="D922" s="55">
        <v>5.0519999999999996</v>
      </c>
      <c r="E922" s="55">
        <v>3.5670000000000002</v>
      </c>
      <c r="F922" s="55">
        <v>7.0730000000000004</v>
      </c>
      <c r="G922" s="55">
        <v>1139</v>
      </c>
      <c r="H922" s="55">
        <v>1024.94</v>
      </c>
      <c r="I922" s="55">
        <v>1078.51</v>
      </c>
      <c r="J922" s="55">
        <v>629.02099999999996</v>
      </c>
    </row>
    <row r="923" spans="2:10">
      <c r="B923" s="52" t="s">
        <v>168</v>
      </c>
      <c r="C923" s="55">
        <v>0</v>
      </c>
      <c r="D923" s="55">
        <v>0</v>
      </c>
      <c r="E923" s="55">
        <v>0</v>
      </c>
      <c r="F923" s="55">
        <v>0</v>
      </c>
      <c r="G923" s="55">
        <v>200</v>
      </c>
      <c r="H923" s="55">
        <v>28.565000000000001</v>
      </c>
      <c r="I923" s="55">
        <v>1.756</v>
      </c>
      <c r="J923" s="55">
        <v>2.2669999999999999</v>
      </c>
    </row>
    <row r="924" spans="2:10">
      <c r="B924" s="52" t="s">
        <v>167</v>
      </c>
      <c r="C924" s="55">
        <v>0</v>
      </c>
      <c r="D924" s="55">
        <v>0</v>
      </c>
      <c r="E924" s="55">
        <v>0</v>
      </c>
      <c r="F924" s="55">
        <v>0</v>
      </c>
      <c r="G924" s="55">
        <v>0</v>
      </c>
      <c r="H924" s="55">
        <v>0</v>
      </c>
      <c r="I924" s="55">
        <v>8.7999999999999995E-2</v>
      </c>
      <c r="J924" s="55">
        <v>0.58699999999999997</v>
      </c>
    </row>
    <row r="925" spans="2:10">
      <c r="B925" s="52" t="s">
        <v>166</v>
      </c>
      <c r="C925" s="55">
        <v>201.643</v>
      </c>
      <c r="D925" s="55">
        <v>216.13200000000001</v>
      </c>
      <c r="E925" s="55">
        <v>229.83099999999999</v>
      </c>
      <c r="F925" s="55">
        <v>236.12200000000001</v>
      </c>
      <c r="G925" s="55">
        <v>625769</v>
      </c>
      <c r="H925" s="55">
        <v>187.357</v>
      </c>
      <c r="I925" s="55">
        <v>187.04499999999999</v>
      </c>
      <c r="J925" s="55">
        <v>225.85599999999999</v>
      </c>
    </row>
    <row r="926" spans="2:10">
      <c r="B926" s="52" t="s">
        <v>165</v>
      </c>
      <c r="C926" s="55">
        <v>32.424999999999997</v>
      </c>
      <c r="D926" s="55">
        <v>29.954999999999998</v>
      </c>
      <c r="E926" s="55">
        <v>45.848999999999997</v>
      </c>
      <c r="F926" s="55">
        <v>41.265999999999998</v>
      </c>
      <c r="G926" s="55">
        <v>88393</v>
      </c>
      <c r="H926" s="55">
        <v>34.415999999999997</v>
      </c>
      <c r="I926" s="55">
        <v>22.817</v>
      </c>
      <c r="J926" s="55">
        <v>26.763999999999999</v>
      </c>
    </row>
    <row r="927" spans="2:10">
      <c r="B927" s="52" t="s">
        <v>164</v>
      </c>
      <c r="C927" s="55">
        <v>0</v>
      </c>
      <c r="D927" s="55">
        <v>0</v>
      </c>
      <c r="E927" s="55">
        <v>0</v>
      </c>
      <c r="F927" s="55">
        <v>0</v>
      </c>
      <c r="G927" s="55">
        <v>0</v>
      </c>
      <c r="H927" s="55">
        <v>0</v>
      </c>
      <c r="I927" s="55">
        <v>0</v>
      </c>
      <c r="J927" s="55">
        <v>0</v>
      </c>
    </row>
    <row r="928" spans="2:10">
      <c r="B928" s="71"/>
      <c r="C928" s="66"/>
      <c r="D928" s="66"/>
      <c r="E928" s="66"/>
      <c r="F928" s="66"/>
      <c r="G928" s="66"/>
      <c r="H928" s="66"/>
      <c r="I928" s="66"/>
      <c r="J928" s="66"/>
    </row>
    <row r="929" spans="2:10">
      <c r="B929" s="59" t="s">
        <v>30</v>
      </c>
      <c r="C929" s="66"/>
      <c r="D929" s="66"/>
      <c r="E929" s="66"/>
      <c r="F929" s="66"/>
      <c r="G929" s="66"/>
      <c r="H929" s="66"/>
      <c r="I929" s="66"/>
      <c r="J929" s="66"/>
    </row>
    <row r="930" spans="2:10">
      <c r="B930" s="71" t="s">
        <v>231</v>
      </c>
      <c r="C930" s="55">
        <v>174.93100000000001</v>
      </c>
      <c r="D930" s="55">
        <v>97.808999999999997</v>
      </c>
      <c r="E930" s="55">
        <v>136.47</v>
      </c>
      <c r="F930" s="55">
        <v>199.21600000000001</v>
      </c>
      <c r="G930" s="55">
        <v>283.99199999999996</v>
      </c>
      <c r="H930" s="55">
        <v>312.23399999999998</v>
      </c>
      <c r="I930" s="55">
        <v>240.72</v>
      </c>
      <c r="J930" s="55">
        <v>305.459</v>
      </c>
    </row>
    <row r="931" spans="2:10">
      <c r="B931" s="52" t="s">
        <v>121</v>
      </c>
      <c r="C931" s="55">
        <v>174.93100000000001</v>
      </c>
      <c r="D931" s="55">
        <v>97.808999999999997</v>
      </c>
      <c r="E931" s="55">
        <v>136.47</v>
      </c>
      <c r="F931" s="55">
        <v>199.21600000000001</v>
      </c>
      <c r="G931" s="55">
        <v>281.55099999999999</v>
      </c>
      <c r="H931" s="55">
        <v>190.94300000000001</v>
      </c>
      <c r="I931" s="55">
        <v>196.774</v>
      </c>
      <c r="J931" s="55">
        <v>251.65600000000001</v>
      </c>
    </row>
    <row r="932" spans="2:10">
      <c r="B932" s="82" t="s">
        <v>120</v>
      </c>
      <c r="C932" s="66">
        <v>0</v>
      </c>
      <c r="D932" s="66">
        <v>0</v>
      </c>
      <c r="E932" s="66">
        <v>0</v>
      </c>
      <c r="F932" s="66">
        <v>0</v>
      </c>
      <c r="G932" s="66">
        <v>0</v>
      </c>
      <c r="H932" s="55">
        <v>119.643</v>
      </c>
      <c r="I932" s="55">
        <v>143.89099999999999</v>
      </c>
      <c r="J932" s="55">
        <v>188.19800000000001</v>
      </c>
    </row>
    <row r="933" spans="2:10">
      <c r="B933" s="82" t="s">
        <v>119</v>
      </c>
      <c r="C933" s="66">
        <v>0</v>
      </c>
      <c r="D933" s="66">
        <v>0</v>
      </c>
      <c r="E933" s="66">
        <v>0</v>
      </c>
      <c r="F933" s="66">
        <v>0</v>
      </c>
      <c r="G933" s="66">
        <v>0</v>
      </c>
      <c r="H933" s="55">
        <v>71.3</v>
      </c>
      <c r="I933" s="55">
        <v>52.883000000000003</v>
      </c>
      <c r="J933" s="55">
        <v>63.457999999999998</v>
      </c>
    </row>
    <row r="934" spans="2:10">
      <c r="B934" s="52" t="s">
        <v>118</v>
      </c>
      <c r="C934" s="66">
        <v>0</v>
      </c>
      <c r="D934" s="66">
        <v>0</v>
      </c>
      <c r="E934" s="66">
        <v>0</v>
      </c>
      <c r="F934" s="66">
        <v>0</v>
      </c>
      <c r="G934" s="66">
        <v>0</v>
      </c>
      <c r="H934" s="55">
        <v>4.1000000000000002E-2</v>
      </c>
      <c r="I934" s="55">
        <v>2E-3</v>
      </c>
      <c r="J934" s="55">
        <v>3.5999999999999997E-2</v>
      </c>
    </row>
    <row r="935" spans="2:10">
      <c r="B935" s="52" t="s">
        <v>117</v>
      </c>
      <c r="C935" s="66">
        <v>0</v>
      </c>
      <c r="D935" s="66">
        <v>0</v>
      </c>
      <c r="E935" s="66">
        <v>0</v>
      </c>
      <c r="F935" s="66">
        <v>0</v>
      </c>
      <c r="G935" s="66">
        <v>0</v>
      </c>
      <c r="H935" s="55">
        <v>121.25</v>
      </c>
      <c r="I935" s="55">
        <v>43.944000000000003</v>
      </c>
      <c r="J935" s="55">
        <v>53.767000000000003</v>
      </c>
    </row>
    <row r="936" spans="2:10">
      <c r="B936" s="52"/>
      <c r="C936" s="66"/>
      <c r="D936" s="66"/>
      <c r="E936" s="66"/>
      <c r="F936" s="66"/>
      <c r="G936" s="66"/>
      <c r="H936" s="66"/>
      <c r="I936" s="66"/>
      <c r="J936" s="66"/>
    </row>
    <row r="937" spans="2:10">
      <c r="B937" s="71" t="s">
        <v>230</v>
      </c>
      <c r="C937" s="66">
        <v>0</v>
      </c>
      <c r="D937" s="66">
        <v>0</v>
      </c>
      <c r="E937" s="66">
        <v>0</v>
      </c>
      <c r="F937" s="66">
        <v>0</v>
      </c>
      <c r="G937" s="55">
        <v>2.4409999999999998</v>
      </c>
      <c r="H937" s="55">
        <v>0.71</v>
      </c>
      <c r="I937" s="55">
        <v>1E-3</v>
      </c>
      <c r="J937" s="55">
        <v>4.5179999999999998</v>
      </c>
    </row>
    <row r="938" spans="2:10">
      <c r="B938" s="52" t="s">
        <v>169</v>
      </c>
      <c r="C938" s="66">
        <v>0</v>
      </c>
      <c r="D938" s="66">
        <v>0</v>
      </c>
      <c r="E938" s="66">
        <v>0</v>
      </c>
      <c r="F938" s="66">
        <v>0</v>
      </c>
      <c r="G938" s="55">
        <v>2.4409999999999998</v>
      </c>
      <c r="H938" s="55">
        <v>0.71</v>
      </c>
      <c r="I938" s="55">
        <v>1E-3</v>
      </c>
      <c r="J938" s="55">
        <v>4.5179999999999998</v>
      </c>
    </row>
    <row r="939" spans="2:10">
      <c r="B939" s="52" t="s">
        <v>168</v>
      </c>
      <c r="C939" s="66">
        <v>0</v>
      </c>
      <c r="D939" s="66">
        <v>0</v>
      </c>
      <c r="E939" s="66">
        <v>0</v>
      </c>
      <c r="F939" s="66">
        <v>0</v>
      </c>
      <c r="G939" s="55">
        <v>0</v>
      </c>
      <c r="H939" s="55">
        <v>0</v>
      </c>
      <c r="I939" s="55">
        <v>0</v>
      </c>
      <c r="J939" s="55">
        <v>0</v>
      </c>
    </row>
    <row r="940" spans="2:10">
      <c r="B940" s="52" t="s">
        <v>167</v>
      </c>
      <c r="C940" s="66">
        <v>0</v>
      </c>
      <c r="D940" s="66">
        <v>0</v>
      </c>
      <c r="E940" s="66">
        <v>0</v>
      </c>
      <c r="F940" s="66">
        <v>0</v>
      </c>
      <c r="G940" s="55">
        <v>0</v>
      </c>
      <c r="H940" s="55">
        <v>0</v>
      </c>
      <c r="I940" s="55">
        <v>0</v>
      </c>
      <c r="J940" s="55">
        <v>0</v>
      </c>
    </row>
    <row r="941" spans="2:10">
      <c r="B941" s="52" t="s">
        <v>166</v>
      </c>
      <c r="C941" s="66">
        <v>0</v>
      </c>
      <c r="D941" s="66">
        <v>0</v>
      </c>
      <c r="E941" s="66">
        <v>0</v>
      </c>
      <c r="F941" s="66">
        <v>0</v>
      </c>
      <c r="G941" s="55">
        <v>0</v>
      </c>
      <c r="H941" s="55">
        <v>0</v>
      </c>
      <c r="I941" s="55">
        <v>0</v>
      </c>
      <c r="J941" s="55">
        <v>0</v>
      </c>
    </row>
    <row r="942" spans="2:10">
      <c r="B942" s="52" t="s">
        <v>165</v>
      </c>
      <c r="C942" s="66">
        <v>0</v>
      </c>
      <c r="D942" s="66">
        <v>0</v>
      </c>
      <c r="E942" s="66">
        <v>0</v>
      </c>
      <c r="F942" s="66">
        <v>0</v>
      </c>
      <c r="G942" s="55">
        <v>0</v>
      </c>
      <c r="H942" s="55">
        <v>0</v>
      </c>
      <c r="I942" s="55">
        <v>0</v>
      </c>
      <c r="J942" s="55">
        <v>0</v>
      </c>
    </row>
    <row r="943" spans="2:10">
      <c r="B943" s="52" t="s">
        <v>164</v>
      </c>
      <c r="C943" s="66">
        <v>0</v>
      </c>
      <c r="D943" s="66">
        <v>0</v>
      </c>
      <c r="E943" s="66">
        <v>0</v>
      </c>
      <c r="F943" s="66">
        <v>0</v>
      </c>
      <c r="G943" s="55">
        <v>0</v>
      </c>
      <c r="H943" s="55">
        <v>0</v>
      </c>
      <c r="I943" s="55">
        <v>0</v>
      </c>
      <c r="J943" s="55">
        <v>0</v>
      </c>
    </row>
    <row r="944" spans="2:10">
      <c r="B944" s="71"/>
      <c r="C944" s="66"/>
      <c r="D944" s="66"/>
      <c r="E944" s="66"/>
      <c r="F944" s="66"/>
      <c r="G944" s="66"/>
      <c r="H944" s="66"/>
      <c r="I944" s="66"/>
      <c r="J944" s="66"/>
    </row>
    <row r="945" spans="2:10">
      <c r="B945" s="59" t="s">
        <v>32</v>
      </c>
      <c r="C945" s="66"/>
      <c r="D945" s="66"/>
      <c r="E945" s="66"/>
      <c r="F945" s="66"/>
      <c r="G945" s="66"/>
      <c r="H945" s="66"/>
      <c r="I945" s="66"/>
      <c r="J945" s="66"/>
    </row>
    <row r="946" spans="2:10">
      <c r="B946" s="71" t="s">
        <v>231</v>
      </c>
      <c r="C946" s="66">
        <v>85.08</v>
      </c>
      <c r="D946" s="66">
        <v>127.54</v>
      </c>
      <c r="E946" s="66">
        <v>164.17699999999999</v>
      </c>
      <c r="F946" s="66">
        <v>234.07900000000001</v>
      </c>
      <c r="G946" s="66">
        <v>343.63299999999998</v>
      </c>
      <c r="H946" s="55">
        <v>538.95000000000005</v>
      </c>
      <c r="I946" s="55">
        <v>606.68899999999996</v>
      </c>
      <c r="J946" s="55">
        <v>612.84699999999998</v>
      </c>
    </row>
    <row r="947" spans="2:10">
      <c r="B947" s="52" t="s">
        <v>121</v>
      </c>
      <c r="C947" s="66">
        <v>0</v>
      </c>
      <c r="D947" s="66">
        <v>0</v>
      </c>
      <c r="E947" s="66">
        <v>1.2889999999999999</v>
      </c>
      <c r="F947" s="66">
        <v>495</v>
      </c>
      <c r="G947" s="66">
        <v>1</v>
      </c>
      <c r="H947" s="55">
        <v>4.0000000000000001E-3</v>
      </c>
      <c r="I947" s="55">
        <v>0.159</v>
      </c>
      <c r="J947" s="55">
        <v>0.14299999999999999</v>
      </c>
    </row>
    <row r="948" spans="2:10">
      <c r="B948" s="82" t="s">
        <v>120</v>
      </c>
      <c r="C948" s="66">
        <v>0</v>
      </c>
      <c r="D948" s="66">
        <v>0</v>
      </c>
      <c r="E948" s="66">
        <v>0</v>
      </c>
      <c r="F948" s="66">
        <v>0</v>
      </c>
      <c r="G948" s="66">
        <v>0</v>
      </c>
      <c r="H948" s="55" t="s">
        <v>233</v>
      </c>
      <c r="I948" s="55" t="s">
        <v>232</v>
      </c>
      <c r="J948" s="55" t="s">
        <v>232</v>
      </c>
    </row>
    <row r="949" spans="2:10">
      <c r="B949" s="82" t="s">
        <v>119</v>
      </c>
      <c r="C949" s="66">
        <v>0.64400000000000002</v>
      </c>
      <c r="D949" s="55">
        <v>1.3440000000000001</v>
      </c>
      <c r="E949" s="55">
        <v>1.2889999999999999</v>
      </c>
      <c r="F949" s="55">
        <v>0.495</v>
      </c>
      <c r="G949" s="55">
        <v>1E-3</v>
      </c>
      <c r="H949" s="55">
        <v>4.0000000000000001E-3</v>
      </c>
      <c r="I949" s="55">
        <v>0.159</v>
      </c>
      <c r="J949" s="55">
        <v>0.14299999999999999</v>
      </c>
    </row>
    <row r="950" spans="2:10">
      <c r="B950" s="52" t="s">
        <v>118</v>
      </c>
      <c r="C950" s="66">
        <v>0.08</v>
      </c>
      <c r="D950" s="55">
        <v>3.1E-2</v>
      </c>
      <c r="E950" s="55">
        <v>0.10199999999999999</v>
      </c>
      <c r="F950" s="55">
        <v>0.06</v>
      </c>
      <c r="G950" s="55">
        <v>5.1999999999999998E-2</v>
      </c>
      <c r="H950" s="55">
        <v>7.3999999999999996E-2</v>
      </c>
      <c r="I950" s="55">
        <v>1.7000000000000001E-2</v>
      </c>
      <c r="J950" s="55">
        <v>1.4999999999999999E-2</v>
      </c>
    </row>
    <row r="951" spans="2:10">
      <c r="B951" s="52" t="s">
        <v>117</v>
      </c>
      <c r="C951" s="66">
        <v>84.356999999999999</v>
      </c>
      <c r="D951" s="55">
        <v>126.161</v>
      </c>
      <c r="E951" s="55">
        <v>162.786</v>
      </c>
      <c r="F951" s="55">
        <v>233.524</v>
      </c>
      <c r="G951" s="55">
        <v>343.58</v>
      </c>
      <c r="H951" s="55">
        <v>538.87199999999996</v>
      </c>
      <c r="I951" s="55">
        <v>606.51300000000003</v>
      </c>
      <c r="J951" s="55">
        <v>612.54600000000005</v>
      </c>
    </row>
    <row r="952" spans="2:10">
      <c r="B952" s="52"/>
      <c r="C952" s="66"/>
      <c r="D952" s="66"/>
      <c r="E952" s="66"/>
      <c r="F952" s="66"/>
      <c r="G952" s="66"/>
      <c r="H952" s="66"/>
      <c r="I952" s="66"/>
      <c r="J952" s="66"/>
    </row>
    <row r="953" spans="2:10">
      <c r="B953" s="71" t="s">
        <v>230</v>
      </c>
      <c r="C953" s="66">
        <v>0</v>
      </c>
      <c r="D953" s="66">
        <v>0</v>
      </c>
      <c r="E953" s="66">
        <v>0</v>
      </c>
      <c r="F953" s="66">
        <v>0</v>
      </c>
      <c r="G953" s="66">
        <v>0</v>
      </c>
      <c r="H953" s="55">
        <v>0</v>
      </c>
      <c r="I953" s="55">
        <v>0</v>
      </c>
      <c r="J953" s="55">
        <v>0</v>
      </c>
    </row>
    <row r="954" spans="2:10">
      <c r="B954" s="52" t="s">
        <v>169</v>
      </c>
      <c r="C954" s="66">
        <v>0</v>
      </c>
      <c r="D954" s="66">
        <v>0</v>
      </c>
      <c r="E954" s="66">
        <v>0</v>
      </c>
      <c r="F954" s="66">
        <v>0</v>
      </c>
      <c r="G954" s="66">
        <v>0</v>
      </c>
      <c r="H954" s="55">
        <v>0</v>
      </c>
      <c r="I954" s="55">
        <v>0</v>
      </c>
      <c r="J954" s="55">
        <v>0</v>
      </c>
    </row>
    <row r="955" spans="2:10">
      <c r="B955" s="52" t="s">
        <v>168</v>
      </c>
      <c r="C955" s="66">
        <v>0</v>
      </c>
      <c r="D955" s="66">
        <v>0</v>
      </c>
      <c r="E955" s="66">
        <v>0</v>
      </c>
      <c r="F955" s="66">
        <v>0</v>
      </c>
      <c r="G955" s="66">
        <v>0</v>
      </c>
      <c r="H955" s="55">
        <v>0</v>
      </c>
      <c r="I955" s="55">
        <v>0</v>
      </c>
      <c r="J955" s="55">
        <v>0</v>
      </c>
    </row>
    <row r="956" spans="2:10">
      <c r="B956" s="52" t="s">
        <v>167</v>
      </c>
      <c r="C956" s="66">
        <v>0</v>
      </c>
      <c r="D956" s="66">
        <v>0</v>
      </c>
      <c r="E956" s="66">
        <v>0</v>
      </c>
      <c r="F956" s="66">
        <v>0</v>
      </c>
      <c r="G956" s="66">
        <v>0</v>
      </c>
      <c r="H956" s="55">
        <v>0</v>
      </c>
      <c r="I956" s="55">
        <v>0</v>
      </c>
      <c r="J956" s="55">
        <v>0</v>
      </c>
    </row>
    <row r="957" spans="2:10">
      <c r="B957" s="52" t="s">
        <v>166</v>
      </c>
      <c r="C957" s="66">
        <v>0</v>
      </c>
      <c r="D957" s="66">
        <v>0</v>
      </c>
      <c r="E957" s="66">
        <v>0</v>
      </c>
      <c r="F957" s="66">
        <v>0</v>
      </c>
      <c r="G957" s="66">
        <v>0</v>
      </c>
      <c r="H957" s="55">
        <v>0</v>
      </c>
      <c r="I957" s="55">
        <v>0</v>
      </c>
      <c r="J957" s="55">
        <v>0</v>
      </c>
    </row>
    <row r="958" spans="2:10">
      <c r="B958" s="52" t="s">
        <v>165</v>
      </c>
      <c r="C958" s="66">
        <v>0</v>
      </c>
      <c r="D958" s="66">
        <v>0</v>
      </c>
      <c r="E958" s="66">
        <v>0</v>
      </c>
      <c r="F958" s="66">
        <v>0</v>
      </c>
      <c r="G958" s="66">
        <v>0</v>
      </c>
      <c r="H958" s="55">
        <v>0</v>
      </c>
      <c r="I958" s="55">
        <v>0</v>
      </c>
      <c r="J958" s="55">
        <v>0</v>
      </c>
    </row>
    <row r="959" spans="2:10">
      <c r="B959" s="52" t="s">
        <v>164</v>
      </c>
      <c r="C959" s="66">
        <v>0</v>
      </c>
      <c r="D959" s="66">
        <v>0</v>
      </c>
      <c r="E959" s="66">
        <v>0</v>
      </c>
      <c r="F959" s="66">
        <v>0</v>
      </c>
      <c r="G959" s="66">
        <v>0</v>
      </c>
      <c r="H959" s="55">
        <v>0</v>
      </c>
      <c r="I959" s="55">
        <v>0</v>
      </c>
      <c r="J959" s="55">
        <v>0</v>
      </c>
    </row>
    <row r="960" spans="2:10">
      <c r="B960" s="71"/>
      <c r="C960" s="66"/>
      <c r="D960" s="66"/>
      <c r="E960" s="66"/>
      <c r="F960" s="66"/>
      <c r="G960" s="66"/>
      <c r="H960" s="66"/>
      <c r="I960" s="66"/>
      <c r="J960" s="66"/>
    </row>
    <row r="961" spans="2:10">
      <c r="B961" s="59" t="s">
        <v>223</v>
      </c>
      <c r="C961" s="66"/>
      <c r="D961" s="66"/>
      <c r="E961" s="66"/>
      <c r="F961" s="66"/>
      <c r="G961" s="66"/>
      <c r="H961" s="66"/>
      <c r="I961" s="66"/>
      <c r="J961" s="66"/>
    </row>
    <row r="962" spans="2:10">
      <c r="B962" s="71" t="s">
        <v>231</v>
      </c>
      <c r="C962" s="66">
        <v>50.15</v>
      </c>
      <c r="D962" s="55">
        <v>69.289000000000001</v>
      </c>
      <c r="E962" s="55">
        <v>512.61300000000006</v>
      </c>
      <c r="F962" s="55">
        <v>400688</v>
      </c>
      <c r="G962" s="55">
        <v>338963</v>
      </c>
      <c r="H962" s="55">
        <v>260542</v>
      </c>
      <c r="I962" s="55">
        <v>147550</v>
      </c>
      <c r="J962" s="55">
        <v>141577</v>
      </c>
    </row>
    <row r="963" spans="2:10">
      <c r="B963" s="52" t="s">
        <v>121</v>
      </c>
      <c r="C963" s="66">
        <v>50.15</v>
      </c>
      <c r="D963" s="55">
        <v>69.289000000000001</v>
      </c>
      <c r="E963" s="55">
        <v>512.61300000000006</v>
      </c>
      <c r="F963" s="55">
        <v>400688</v>
      </c>
      <c r="G963" s="55">
        <v>338963</v>
      </c>
      <c r="H963" s="55">
        <v>260542</v>
      </c>
      <c r="I963" s="55">
        <v>147550</v>
      </c>
      <c r="J963" s="55">
        <v>141577</v>
      </c>
    </row>
    <row r="964" spans="2:10">
      <c r="B964" s="82" t="s">
        <v>120</v>
      </c>
      <c r="C964" s="66">
        <v>41.89</v>
      </c>
      <c r="D964" s="55">
        <v>58.643000000000001</v>
      </c>
      <c r="E964" s="55">
        <v>441.71699999999998</v>
      </c>
      <c r="F964" s="55">
        <v>217729</v>
      </c>
      <c r="G964" s="55">
        <v>128832</v>
      </c>
      <c r="H964" s="55">
        <v>90222</v>
      </c>
      <c r="I964" s="55">
        <v>101829</v>
      </c>
      <c r="J964" s="55">
        <v>105251</v>
      </c>
    </row>
    <row r="965" spans="2:10">
      <c r="B965" s="82" t="s">
        <v>119</v>
      </c>
      <c r="C965" s="66">
        <v>8.26</v>
      </c>
      <c r="D965" s="55">
        <v>10.646000000000001</v>
      </c>
      <c r="E965" s="55">
        <v>70.896000000000072</v>
      </c>
      <c r="F965" s="55">
        <v>182959</v>
      </c>
      <c r="G965" s="55">
        <v>210131</v>
      </c>
      <c r="H965" s="55">
        <v>170320</v>
      </c>
      <c r="I965" s="55">
        <v>45721</v>
      </c>
      <c r="J965" s="55">
        <v>36326</v>
      </c>
    </row>
    <row r="966" spans="2:10">
      <c r="B966" s="52" t="s">
        <v>118</v>
      </c>
      <c r="C966" s="66">
        <v>0</v>
      </c>
      <c r="D966" s="66">
        <v>0</v>
      </c>
      <c r="E966" s="66">
        <v>0</v>
      </c>
      <c r="F966" s="66">
        <v>0</v>
      </c>
      <c r="G966" s="66">
        <v>0</v>
      </c>
      <c r="H966" s="55">
        <v>0</v>
      </c>
      <c r="I966" s="55">
        <v>0</v>
      </c>
      <c r="J966" s="55">
        <v>0</v>
      </c>
    </row>
    <row r="967" spans="2:10">
      <c r="B967" s="52" t="s">
        <v>117</v>
      </c>
      <c r="C967" s="66">
        <v>0</v>
      </c>
      <c r="D967" s="66">
        <v>0</v>
      </c>
      <c r="E967" s="66">
        <v>0</v>
      </c>
      <c r="F967" s="66">
        <v>0</v>
      </c>
      <c r="G967" s="66">
        <v>0</v>
      </c>
      <c r="H967" s="55">
        <v>0</v>
      </c>
      <c r="I967" s="55">
        <v>0</v>
      </c>
      <c r="J967" s="55">
        <v>0</v>
      </c>
    </row>
    <row r="968" spans="2:10">
      <c r="B968" s="52"/>
      <c r="C968" s="66"/>
      <c r="D968" s="66"/>
      <c r="E968" s="66"/>
      <c r="F968" s="66"/>
      <c r="G968" s="66"/>
      <c r="H968" s="66"/>
      <c r="I968" s="66"/>
      <c r="J968" s="66"/>
    </row>
    <row r="969" spans="2:10">
      <c r="B969" s="71" t="s">
        <v>230</v>
      </c>
      <c r="C969" s="66">
        <v>0</v>
      </c>
      <c r="D969" s="66">
        <v>0</v>
      </c>
      <c r="E969" s="66">
        <v>0</v>
      </c>
      <c r="F969" s="66">
        <v>0</v>
      </c>
      <c r="G969" s="66">
        <v>0</v>
      </c>
      <c r="H969" s="55">
        <v>0</v>
      </c>
      <c r="I969" s="55">
        <v>0</v>
      </c>
      <c r="J969" s="55">
        <v>0</v>
      </c>
    </row>
    <row r="970" spans="2:10">
      <c r="B970" s="52" t="s">
        <v>169</v>
      </c>
      <c r="C970" s="66">
        <v>0</v>
      </c>
      <c r="D970" s="66">
        <v>0</v>
      </c>
      <c r="E970" s="66">
        <v>0</v>
      </c>
      <c r="F970" s="66">
        <v>0</v>
      </c>
      <c r="G970" s="66">
        <v>0</v>
      </c>
      <c r="H970" s="55">
        <v>0</v>
      </c>
      <c r="I970" s="55">
        <v>0</v>
      </c>
      <c r="J970" s="55">
        <v>0</v>
      </c>
    </row>
    <row r="971" spans="2:10">
      <c r="B971" s="52" t="s">
        <v>168</v>
      </c>
      <c r="C971" s="66">
        <v>0</v>
      </c>
      <c r="D971" s="66">
        <v>0</v>
      </c>
      <c r="E971" s="66">
        <v>0</v>
      </c>
      <c r="F971" s="66">
        <v>0</v>
      </c>
      <c r="G971" s="66">
        <v>0</v>
      </c>
      <c r="H971" s="55">
        <v>0</v>
      </c>
      <c r="I971" s="55">
        <v>0</v>
      </c>
      <c r="J971" s="55">
        <v>0</v>
      </c>
    </row>
    <row r="972" spans="2:10">
      <c r="B972" s="52" t="s">
        <v>167</v>
      </c>
      <c r="C972" s="66">
        <v>0</v>
      </c>
      <c r="D972" s="66">
        <v>0</v>
      </c>
      <c r="E972" s="66">
        <v>0</v>
      </c>
      <c r="F972" s="66">
        <v>0</v>
      </c>
      <c r="G972" s="66">
        <v>0</v>
      </c>
      <c r="H972" s="55">
        <v>0</v>
      </c>
      <c r="I972" s="55">
        <v>0</v>
      </c>
      <c r="J972" s="55">
        <v>0</v>
      </c>
    </row>
    <row r="973" spans="2:10">
      <c r="B973" s="52" t="s">
        <v>166</v>
      </c>
      <c r="C973" s="66">
        <v>0</v>
      </c>
      <c r="D973" s="66">
        <v>0</v>
      </c>
      <c r="E973" s="66">
        <v>0</v>
      </c>
      <c r="F973" s="66">
        <v>0</v>
      </c>
      <c r="G973" s="66">
        <v>0</v>
      </c>
      <c r="H973" s="55">
        <v>0</v>
      </c>
      <c r="I973" s="55">
        <v>0</v>
      </c>
      <c r="J973" s="55">
        <v>0</v>
      </c>
    </row>
    <row r="974" spans="2:10">
      <c r="B974" s="52" t="s">
        <v>165</v>
      </c>
      <c r="C974" s="66">
        <v>0</v>
      </c>
      <c r="D974" s="66">
        <v>0</v>
      </c>
      <c r="E974" s="66">
        <v>0</v>
      </c>
      <c r="F974" s="66">
        <v>0</v>
      </c>
      <c r="G974" s="66">
        <v>0</v>
      </c>
      <c r="H974" s="55">
        <v>0</v>
      </c>
      <c r="I974" s="55">
        <v>0</v>
      </c>
      <c r="J974" s="55">
        <v>0</v>
      </c>
    </row>
    <row r="975" spans="2:10" ht="15" thickBot="1">
      <c r="B975" s="50" t="s">
        <v>164</v>
      </c>
      <c r="C975" s="109">
        <v>0</v>
      </c>
      <c r="D975" s="109">
        <v>0</v>
      </c>
      <c r="E975" s="109">
        <v>0</v>
      </c>
      <c r="F975" s="109">
        <v>0</v>
      </c>
      <c r="G975" s="109">
        <v>0</v>
      </c>
      <c r="H975" s="101">
        <v>0</v>
      </c>
      <c r="I975" s="101">
        <v>0</v>
      </c>
      <c r="J975" s="101">
        <v>0</v>
      </c>
    </row>
    <row r="976" spans="2:10" ht="15" thickTop="1">
      <c r="B976" s="2026" t="s">
        <v>229</v>
      </c>
      <c r="C976" s="2026"/>
      <c r="D976" s="2026"/>
      <c r="E976" s="2026"/>
      <c r="F976" s="2026"/>
      <c r="G976" s="2026"/>
      <c r="H976" s="2026"/>
      <c r="I976" s="2026"/>
      <c r="J976" s="2026"/>
    </row>
    <row r="977" spans="2:10">
      <c r="B977" s="108"/>
      <c r="C977" s="1"/>
      <c r="D977" s="1"/>
      <c r="E977" s="1"/>
      <c r="F977" s="1"/>
      <c r="G977" s="1"/>
      <c r="H977" s="1"/>
      <c r="I977" s="1"/>
      <c r="J977" s="1"/>
    </row>
    <row r="978" spans="2:10">
      <c r="B978" s="14" t="s">
        <v>228</v>
      </c>
      <c r="C978" s="14"/>
      <c r="D978" s="14"/>
      <c r="E978" s="14"/>
      <c r="F978" s="14"/>
      <c r="G978" s="14"/>
      <c r="H978" s="14"/>
      <c r="I978" s="14"/>
      <c r="J978" s="14"/>
    </row>
    <row r="979" spans="2:10">
      <c r="B979" s="12" t="s">
        <v>227</v>
      </c>
      <c r="C979" s="1"/>
      <c r="D979" s="1"/>
      <c r="E979" s="1"/>
      <c r="F979" s="1"/>
      <c r="G979" s="1"/>
      <c r="H979" s="1"/>
      <c r="I979" s="1"/>
      <c r="J979" s="1"/>
    </row>
    <row r="980" spans="2:10">
      <c r="B980" s="62" t="s">
        <v>127</v>
      </c>
      <c r="C980" s="1"/>
      <c r="D980" s="1"/>
      <c r="E980" s="1"/>
      <c r="F980" s="1"/>
      <c r="G980" s="1"/>
      <c r="H980" s="1"/>
      <c r="I980" s="1"/>
      <c r="J980" s="1"/>
    </row>
    <row r="981" spans="2:10">
      <c r="B981" s="62"/>
      <c r="C981" s="1"/>
      <c r="D981" s="1"/>
      <c r="E981" s="1"/>
      <c r="F981" s="1"/>
      <c r="G981" s="1"/>
      <c r="H981" s="1"/>
      <c r="I981" s="1"/>
      <c r="J981" s="1"/>
    </row>
    <row r="982" spans="2:10">
      <c r="B982" s="61"/>
      <c r="C982" s="60">
        <v>2014</v>
      </c>
      <c r="D982" s="60">
        <v>2015</v>
      </c>
      <c r="E982" s="60">
        <v>2016</v>
      </c>
      <c r="F982" s="60">
        <v>2017</v>
      </c>
      <c r="G982" s="60">
        <v>2018</v>
      </c>
      <c r="H982" s="60">
        <v>2019</v>
      </c>
      <c r="I982" s="60">
        <v>2020</v>
      </c>
      <c r="J982" s="60">
        <v>2021</v>
      </c>
    </row>
    <row r="983" spans="2:10">
      <c r="B983" s="59" t="s">
        <v>33</v>
      </c>
      <c r="C983" s="107"/>
      <c r="D983" s="107"/>
      <c r="E983" s="107"/>
      <c r="F983" s="107"/>
      <c r="G983" s="107"/>
      <c r="H983" s="105"/>
      <c r="I983" s="105"/>
      <c r="J983" s="105"/>
    </row>
    <row r="984" spans="2:10">
      <c r="B984" s="71" t="s">
        <v>222</v>
      </c>
      <c r="C984" s="102">
        <v>76591.412806717519</v>
      </c>
      <c r="D984" s="102">
        <v>57656.958567935406</v>
      </c>
      <c r="E984" s="102">
        <v>83885.819567239538</v>
      </c>
      <c r="F984" s="102">
        <v>136279.51571837947</v>
      </c>
      <c r="G984" s="102">
        <v>110305.11942211102</v>
      </c>
      <c r="H984" s="102">
        <v>130075.37080559312</v>
      </c>
      <c r="I984" s="102">
        <v>69666.968050677446</v>
      </c>
      <c r="J984" s="102">
        <v>477120.65957939019</v>
      </c>
    </row>
    <row r="985" spans="2:10">
      <c r="B985" s="52" t="s">
        <v>121</v>
      </c>
      <c r="C985" s="102">
        <v>60941.169786267477</v>
      </c>
      <c r="D985" s="102">
        <v>41520.933922312186</v>
      </c>
      <c r="E985" s="102">
        <v>67656.902364327892</v>
      </c>
      <c r="F985" s="102">
        <v>115240.18834357789</v>
      </c>
      <c r="G985" s="102">
        <v>91836.998727792568</v>
      </c>
      <c r="H985" s="102">
        <v>90208.38151879955</v>
      </c>
      <c r="I985" s="102">
        <v>69595.70950822439</v>
      </c>
      <c r="J985" s="102">
        <v>284785.27522607782</v>
      </c>
    </row>
    <row r="986" spans="2:10">
      <c r="B986" s="53" t="s">
        <v>120</v>
      </c>
      <c r="C986" s="102">
        <v>0</v>
      </c>
      <c r="D986" s="102">
        <v>0</v>
      </c>
      <c r="E986" s="102">
        <v>0</v>
      </c>
      <c r="F986" s="102">
        <v>0</v>
      </c>
      <c r="G986" s="102">
        <v>0</v>
      </c>
      <c r="H986" s="102">
        <v>14855.874042081976</v>
      </c>
      <c r="I986" s="102">
        <v>63259.546893617779</v>
      </c>
      <c r="J986" s="102">
        <v>70087.677770767623</v>
      </c>
    </row>
    <row r="987" spans="2:10">
      <c r="B987" s="53" t="s">
        <v>226</v>
      </c>
      <c r="C987" s="102">
        <v>60941.169786267477</v>
      </c>
      <c r="D987" s="102">
        <v>41520.933922312186</v>
      </c>
      <c r="E987" s="102">
        <v>67656.902364327892</v>
      </c>
      <c r="F987" s="102">
        <v>115240.18834357789</v>
      </c>
      <c r="G987" s="102">
        <v>91836.998727792568</v>
      </c>
      <c r="H987" s="102">
        <v>75352.507476717583</v>
      </c>
      <c r="I987" s="102">
        <v>6336.1626146066083</v>
      </c>
      <c r="J987" s="102">
        <v>214697.59744479498</v>
      </c>
    </row>
    <row r="988" spans="2:10">
      <c r="B988" s="52" t="s">
        <v>118</v>
      </c>
      <c r="C988" s="102">
        <v>4904.7064990182389</v>
      </c>
      <c r="D988" s="102">
        <v>3664.3733792364469</v>
      </c>
      <c r="E988" s="102">
        <v>4370.6390742192534</v>
      </c>
      <c r="F988" s="102">
        <v>6520.3641699779482</v>
      </c>
      <c r="G988" s="102">
        <v>5760.6801852238796</v>
      </c>
      <c r="H988" s="102">
        <v>4192.0197657901326</v>
      </c>
      <c r="I988" s="102">
        <v>69.962266947943903</v>
      </c>
      <c r="J988" s="102">
        <v>9065.5016403785503</v>
      </c>
    </row>
    <row r="989" spans="2:10">
      <c r="B989" s="52" t="s">
        <v>117</v>
      </c>
      <c r="C989" s="102">
        <v>10745.536521431794</v>
      </c>
      <c r="D989" s="102">
        <v>12471.651266386774</v>
      </c>
      <c r="E989" s="102">
        <v>11858.278128692384</v>
      </c>
      <c r="F989" s="102">
        <v>14496.236377581999</v>
      </c>
      <c r="G989" s="102">
        <v>12707.440509094564</v>
      </c>
      <c r="H989" s="102">
        <v>35674.969521003419</v>
      </c>
      <c r="I989" s="102">
        <v>1.2962755051105299</v>
      </c>
      <c r="J989" s="102">
        <v>183269.88271293379</v>
      </c>
    </row>
    <row r="990" spans="2:10">
      <c r="B990" s="52"/>
      <c r="C990" s="102"/>
      <c r="D990" s="102"/>
      <c r="E990" s="102"/>
      <c r="F990" s="102"/>
      <c r="G990" s="102"/>
      <c r="H990" s="102"/>
      <c r="I990" s="102"/>
      <c r="J990" s="102"/>
    </row>
    <row r="991" spans="2:10">
      <c r="B991" s="71" t="s">
        <v>221</v>
      </c>
      <c r="C991" s="102">
        <v>277.783916338258</v>
      </c>
      <c r="D991" s="102">
        <v>228.18382077277971</v>
      </c>
      <c r="E991" s="102">
        <v>216.51198453331824</v>
      </c>
      <c r="F991" s="102">
        <v>243.02239243216755</v>
      </c>
      <c r="G991" s="102">
        <v>541.10049909675911</v>
      </c>
      <c r="H991" s="102">
        <v>5438.7364157609145</v>
      </c>
      <c r="I991" s="102">
        <v>1397.7147173639173</v>
      </c>
      <c r="J991" s="102">
        <v>11595.414658254469</v>
      </c>
    </row>
    <row r="992" spans="2:10">
      <c r="B992" s="52" t="s">
        <v>169</v>
      </c>
      <c r="C992" s="102">
        <v>0</v>
      </c>
      <c r="D992" s="102">
        <v>0</v>
      </c>
      <c r="E992" s="102">
        <v>0</v>
      </c>
      <c r="F992" s="102">
        <v>0</v>
      </c>
      <c r="G992" s="102">
        <v>317.82352023232994</v>
      </c>
      <c r="H992" s="102">
        <v>5260.3919067701809</v>
      </c>
      <c r="I992" s="102">
        <v>1385.8573068576181</v>
      </c>
      <c r="J992" s="102">
        <v>11298.292776025237</v>
      </c>
    </row>
    <row r="993" spans="2:10">
      <c r="B993" s="52" t="s">
        <v>168</v>
      </c>
      <c r="C993" s="102">
        <v>277.783916338258</v>
      </c>
      <c r="D993" s="102">
        <v>228.18382077277971</v>
      </c>
      <c r="E993" s="102">
        <v>216.51198453331824</v>
      </c>
      <c r="F993" s="102">
        <v>243.02239243216755</v>
      </c>
      <c r="G993" s="102">
        <v>223.27697886442922</v>
      </c>
      <c r="H993" s="102">
        <v>178.34450899073377</v>
      </c>
      <c r="I993" s="102">
        <v>11.857410506299026</v>
      </c>
      <c r="J993" s="102">
        <v>297.12188222923243</v>
      </c>
    </row>
    <row r="994" spans="2:10">
      <c r="B994" s="52" t="s">
        <v>167</v>
      </c>
      <c r="C994" s="102">
        <v>0</v>
      </c>
      <c r="D994" s="102">
        <v>0</v>
      </c>
      <c r="E994" s="102">
        <v>0</v>
      </c>
      <c r="F994" s="102">
        <v>0</v>
      </c>
      <c r="G994" s="102">
        <v>0</v>
      </c>
      <c r="H994" s="102">
        <v>0</v>
      </c>
      <c r="I994" s="102">
        <v>0</v>
      </c>
      <c r="J994" s="102">
        <v>0</v>
      </c>
    </row>
    <row r="995" spans="2:10">
      <c r="B995" s="52" t="s">
        <v>166</v>
      </c>
      <c r="C995" s="102">
        <v>0</v>
      </c>
      <c r="D995" s="102">
        <v>0</v>
      </c>
      <c r="E995" s="102">
        <v>0</v>
      </c>
      <c r="F995" s="102">
        <v>0</v>
      </c>
      <c r="G995" s="102">
        <v>0</v>
      </c>
      <c r="H995" s="102">
        <v>0</v>
      </c>
      <c r="I995" s="102">
        <v>0</v>
      </c>
      <c r="J995" s="102">
        <v>0</v>
      </c>
    </row>
    <row r="996" spans="2:10">
      <c r="B996" s="52" t="s">
        <v>165</v>
      </c>
      <c r="C996" s="102">
        <v>0</v>
      </c>
      <c r="D996" s="102">
        <v>0</v>
      </c>
      <c r="E996" s="102">
        <v>0</v>
      </c>
      <c r="F996" s="102">
        <v>0</v>
      </c>
      <c r="G996" s="102">
        <v>0</v>
      </c>
      <c r="H996" s="102">
        <v>0</v>
      </c>
      <c r="I996" s="102">
        <v>0</v>
      </c>
      <c r="J996" s="102">
        <v>0</v>
      </c>
    </row>
    <row r="997" spans="2:10">
      <c r="B997" s="52" t="s">
        <v>164</v>
      </c>
      <c r="C997" s="102">
        <v>0</v>
      </c>
      <c r="D997" s="102">
        <v>0</v>
      </c>
      <c r="E997" s="102">
        <v>0</v>
      </c>
      <c r="F997" s="102">
        <v>0</v>
      </c>
      <c r="G997" s="102">
        <v>0</v>
      </c>
      <c r="H997" s="102">
        <v>0</v>
      </c>
      <c r="I997" s="102">
        <v>0</v>
      </c>
      <c r="J997" s="102">
        <v>0</v>
      </c>
    </row>
    <row r="998" spans="2:10">
      <c r="B998" s="71"/>
      <c r="C998" s="102"/>
      <c r="D998" s="102"/>
      <c r="E998" s="102"/>
      <c r="F998" s="102"/>
      <c r="G998" s="102"/>
      <c r="H998" s="102"/>
      <c r="I998" s="102"/>
      <c r="J998" s="102"/>
    </row>
    <row r="999" spans="2:10">
      <c r="B999" s="59" t="s">
        <v>35</v>
      </c>
      <c r="C999" s="102"/>
      <c r="D999" s="102"/>
      <c r="E999" s="102"/>
      <c r="F999" s="102"/>
      <c r="G999" s="102"/>
      <c r="H999" s="105"/>
      <c r="I999" s="105"/>
      <c r="J999" s="105"/>
    </row>
    <row r="1000" spans="2:10">
      <c r="B1000" s="71" t="s">
        <v>222</v>
      </c>
      <c r="C1000" s="102">
        <v>0</v>
      </c>
      <c r="D1000" s="102">
        <v>0</v>
      </c>
      <c r="E1000" s="102">
        <v>0</v>
      </c>
      <c r="F1000" s="102">
        <v>0</v>
      </c>
      <c r="G1000" s="102">
        <v>0</v>
      </c>
      <c r="H1000" s="102">
        <v>53.026129059186907</v>
      </c>
      <c r="I1000" s="102">
        <v>469.32575962681244</v>
      </c>
      <c r="J1000" s="102">
        <v>591.26415352260778</v>
      </c>
    </row>
    <row r="1001" spans="2:10">
      <c r="B1001" s="52" t="s">
        <v>121</v>
      </c>
      <c r="C1001" s="102">
        <v>0</v>
      </c>
      <c r="D1001" s="102">
        <v>0</v>
      </c>
      <c r="E1001" s="102">
        <v>0</v>
      </c>
      <c r="F1001" s="102">
        <v>0</v>
      </c>
      <c r="G1001" s="102">
        <v>0</v>
      </c>
      <c r="H1001" s="102">
        <v>0</v>
      </c>
      <c r="I1001" s="102">
        <v>0</v>
      </c>
      <c r="J1001" s="102">
        <v>0</v>
      </c>
    </row>
    <row r="1002" spans="2:10">
      <c r="B1002" s="53" t="s">
        <v>120</v>
      </c>
      <c r="C1002" s="102">
        <v>0</v>
      </c>
      <c r="D1002" s="102">
        <v>0</v>
      </c>
      <c r="E1002" s="102">
        <v>0</v>
      </c>
      <c r="F1002" s="102">
        <v>0</v>
      </c>
      <c r="G1002" s="102">
        <v>0</v>
      </c>
      <c r="H1002" s="102">
        <v>0</v>
      </c>
      <c r="I1002" s="102">
        <v>0</v>
      </c>
      <c r="J1002" s="102">
        <v>0</v>
      </c>
    </row>
    <row r="1003" spans="2:10">
      <c r="B1003" s="53" t="s">
        <v>119</v>
      </c>
      <c r="C1003" s="102">
        <v>0</v>
      </c>
      <c r="D1003" s="102">
        <v>0</v>
      </c>
      <c r="E1003" s="102">
        <v>0</v>
      </c>
      <c r="F1003" s="102">
        <v>0</v>
      </c>
      <c r="G1003" s="102">
        <v>0</v>
      </c>
      <c r="H1003" s="102">
        <v>0</v>
      </c>
      <c r="I1003" s="102">
        <v>0</v>
      </c>
      <c r="J1003" s="102">
        <v>0</v>
      </c>
    </row>
    <row r="1004" spans="2:10">
      <c r="B1004" s="52" t="s">
        <v>118</v>
      </c>
      <c r="C1004" s="102">
        <v>0</v>
      </c>
      <c r="D1004" s="102">
        <v>0</v>
      </c>
      <c r="E1004" s="102">
        <v>0</v>
      </c>
      <c r="F1004" s="102">
        <v>0</v>
      </c>
      <c r="G1004" s="102">
        <v>0</v>
      </c>
      <c r="H1004" s="102">
        <v>0</v>
      </c>
      <c r="I1004" s="102">
        <v>0</v>
      </c>
      <c r="J1004" s="102">
        <v>0</v>
      </c>
    </row>
    <row r="1005" spans="2:10">
      <c r="B1005" s="52" t="s">
        <v>117</v>
      </c>
      <c r="C1005" s="102">
        <v>0</v>
      </c>
      <c r="D1005" s="102">
        <v>0</v>
      </c>
      <c r="E1005" s="102">
        <v>0</v>
      </c>
      <c r="F1005" s="102">
        <v>0</v>
      </c>
      <c r="G1005" s="102">
        <v>0</v>
      </c>
      <c r="H1005" s="102">
        <v>53.026129059186907</v>
      </c>
      <c r="I1005" s="102">
        <v>469.32575962681244</v>
      </c>
      <c r="J1005" s="102">
        <v>591.26415352260778</v>
      </c>
    </row>
    <row r="1006" spans="2:10">
      <c r="B1006" s="52"/>
      <c r="C1006" s="102"/>
      <c r="D1006" s="102"/>
      <c r="E1006" s="102"/>
      <c r="F1006" s="102"/>
      <c r="G1006" s="102"/>
      <c r="H1006" s="102"/>
      <c r="I1006" s="102"/>
      <c r="J1006" s="102"/>
    </row>
    <row r="1007" spans="2:10">
      <c r="B1007" s="71" t="s">
        <v>221</v>
      </c>
      <c r="C1007" s="102">
        <v>6754.2068875601399</v>
      </c>
      <c r="D1007" s="102">
        <v>3505.2235644653588</v>
      </c>
      <c r="E1007" s="102">
        <v>6147.8144021763128</v>
      </c>
      <c r="F1007" s="102">
        <v>5932.0523910472884</v>
      </c>
      <c r="G1007" s="102">
        <v>7814963.0107674766</v>
      </c>
      <c r="H1007" s="102">
        <v>177651.76725294359</v>
      </c>
      <c r="I1007" s="102">
        <v>116557.90556987164</v>
      </c>
      <c r="J1007" s="102">
        <v>133630.30554153523</v>
      </c>
    </row>
    <row r="1008" spans="2:10">
      <c r="B1008" s="52" t="s">
        <v>169</v>
      </c>
      <c r="C1008" s="102">
        <v>41.965965867982888</v>
      </c>
      <c r="D1008" s="102">
        <v>37.160506728181467</v>
      </c>
      <c r="E1008" s="102">
        <v>34.469524674767506</v>
      </c>
      <c r="F1008" s="102">
        <v>12.401614982262892</v>
      </c>
      <c r="G1008" s="102">
        <v>8307.8847766231211</v>
      </c>
      <c r="H1008" s="102">
        <v>170217.44075397053</v>
      </c>
      <c r="I1008" s="102">
        <v>107416.54984417638</v>
      </c>
      <c r="J1008" s="102">
        <v>120189.61767613041</v>
      </c>
    </row>
    <row r="1009" spans="2:10">
      <c r="B1009" s="52" t="s">
        <v>168</v>
      </c>
      <c r="C1009" s="102">
        <v>0</v>
      </c>
      <c r="D1009" s="102">
        <v>0</v>
      </c>
      <c r="E1009" s="102">
        <v>0</v>
      </c>
      <c r="F1009" s="102">
        <v>0</v>
      </c>
      <c r="G1009" s="102">
        <v>359.15394238831152</v>
      </c>
      <c r="H1009" s="102">
        <v>1.1898682278928121</v>
      </c>
      <c r="I1009" s="102">
        <v>0.51380797480389828</v>
      </c>
      <c r="J1009" s="102">
        <v>0.41773922187171397</v>
      </c>
    </row>
    <row r="1010" spans="2:10">
      <c r="B1010" s="52" t="s">
        <v>167</v>
      </c>
      <c r="C1010" s="102">
        <v>0</v>
      </c>
      <c r="D1010" s="102">
        <v>0</v>
      </c>
      <c r="E1010" s="102">
        <v>0</v>
      </c>
      <c r="F1010" s="102">
        <v>0</v>
      </c>
      <c r="G1010" s="102">
        <v>0</v>
      </c>
      <c r="H1010" s="102">
        <v>0</v>
      </c>
      <c r="I1010" s="102">
        <v>0.13533804373662942</v>
      </c>
      <c r="J1010" s="102">
        <v>0.63930599369085184</v>
      </c>
    </row>
    <row r="1011" spans="2:10">
      <c r="B1011" s="52" t="s">
        <v>166</v>
      </c>
      <c r="C1011" s="102">
        <v>5791.1414307532687</v>
      </c>
      <c r="D1011" s="102">
        <v>3033.668935968627</v>
      </c>
      <c r="E1011" s="102">
        <v>5032.0336218076109</v>
      </c>
      <c r="F1011" s="102">
        <v>4922.9446261358671</v>
      </c>
      <c r="G1011" s="102">
        <v>6218302.4626867641</v>
      </c>
      <c r="H1011" s="102">
        <v>7383.6496470183401</v>
      </c>
      <c r="I1011" s="102">
        <v>9026.9119854052769</v>
      </c>
      <c r="J1011" s="102">
        <v>13335.775152471084</v>
      </c>
    </row>
    <row r="1012" spans="2:10">
      <c r="B1012" s="52" t="s">
        <v>165</v>
      </c>
      <c r="C1012" s="102">
        <v>921.09949093888793</v>
      </c>
      <c r="D1012" s="102">
        <v>434.39412176855046</v>
      </c>
      <c r="E1012" s="102">
        <v>1081.3112556939345</v>
      </c>
      <c r="F1012" s="102">
        <v>996.70611797040624</v>
      </c>
      <c r="G1012" s="102">
        <v>1587993.5093617009</v>
      </c>
      <c r="H1012" s="102">
        <v>49.486983726858661</v>
      </c>
      <c r="I1012" s="102">
        <v>113.79459427145234</v>
      </c>
      <c r="J1012" s="102">
        <v>103.85565720294429</v>
      </c>
    </row>
    <row r="1013" spans="2:10">
      <c r="B1013" s="52" t="s">
        <v>164</v>
      </c>
      <c r="C1013" s="102">
        <v>0</v>
      </c>
      <c r="D1013" s="102">
        <v>0</v>
      </c>
      <c r="E1013" s="102">
        <v>0</v>
      </c>
      <c r="F1013" s="102">
        <v>0</v>
      </c>
      <c r="G1013" s="102">
        <v>0</v>
      </c>
      <c r="H1013" s="102">
        <v>0</v>
      </c>
      <c r="I1013" s="102">
        <v>0</v>
      </c>
      <c r="J1013" s="102">
        <v>0</v>
      </c>
    </row>
    <row r="1014" spans="2:10">
      <c r="B1014" s="71"/>
      <c r="C1014" s="102"/>
      <c r="D1014" s="102"/>
      <c r="E1014" s="102"/>
      <c r="F1014" s="102"/>
      <c r="G1014" s="102"/>
      <c r="H1014" s="102"/>
      <c r="I1014" s="102"/>
      <c r="J1014" s="102"/>
    </row>
    <row r="1015" spans="2:10">
      <c r="B1015" s="106" t="s">
        <v>30</v>
      </c>
      <c r="C1015" s="102"/>
      <c r="D1015" s="102"/>
      <c r="E1015" s="102"/>
      <c r="F1015" s="102"/>
      <c r="G1015" s="102"/>
      <c r="H1015" s="105"/>
      <c r="I1015" s="102"/>
      <c r="J1015" s="102"/>
    </row>
    <row r="1016" spans="2:10">
      <c r="B1016" s="71" t="s">
        <v>222</v>
      </c>
      <c r="C1016" s="103">
        <v>125274.30765833975</v>
      </c>
      <c r="D1016" s="103">
        <v>135623.62421360015</v>
      </c>
      <c r="E1016" s="103">
        <v>253761.82204142597</v>
      </c>
      <c r="F1016" s="103">
        <v>525863.85548368131</v>
      </c>
      <c r="G1016" s="103">
        <v>896306.79950088554</v>
      </c>
      <c r="H1016" s="103">
        <v>1018549.3066412306</v>
      </c>
      <c r="I1016" s="102">
        <v>46129.130043890706</v>
      </c>
      <c r="J1016" s="102">
        <v>25189.755583596216</v>
      </c>
    </row>
    <row r="1017" spans="2:10">
      <c r="B1017" s="52" t="s">
        <v>121</v>
      </c>
      <c r="C1017" s="103">
        <v>125274.30765833975</v>
      </c>
      <c r="D1017" s="103">
        <v>135623.62421360015</v>
      </c>
      <c r="E1017" s="103">
        <v>253761.82204142597</v>
      </c>
      <c r="F1017" s="103">
        <v>525863.85548368131</v>
      </c>
      <c r="G1017" s="103">
        <v>896306.79950088554</v>
      </c>
      <c r="H1017" s="103">
        <v>782759.0488889456</v>
      </c>
      <c r="I1017" s="102">
        <v>44866.181990655532</v>
      </c>
      <c r="J1017" s="102">
        <v>23816.90284963197</v>
      </c>
    </row>
    <row r="1018" spans="2:10">
      <c r="B1018" s="53" t="s">
        <v>225</v>
      </c>
      <c r="C1018" s="104">
        <v>0</v>
      </c>
      <c r="D1018" s="104">
        <v>0</v>
      </c>
      <c r="E1018" s="104">
        <v>0</v>
      </c>
      <c r="F1018" s="104">
        <v>0</v>
      </c>
      <c r="G1018" s="104">
        <v>0</v>
      </c>
      <c r="H1018" s="104">
        <v>676332.25840037689</v>
      </c>
      <c r="I1018" s="102">
        <v>44149.025881353533</v>
      </c>
      <c r="J1018" s="102">
        <v>23046.618927444797</v>
      </c>
    </row>
    <row r="1019" spans="2:10">
      <c r="B1019" s="53" t="s">
        <v>224</v>
      </c>
      <c r="C1019" s="104">
        <v>0</v>
      </c>
      <c r="D1019" s="104">
        <v>0</v>
      </c>
      <c r="E1019" s="104">
        <v>0</v>
      </c>
      <c r="F1019" s="104">
        <v>0</v>
      </c>
      <c r="G1019" s="104">
        <v>0</v>
      </c>
      <c r="H1019" s="104">
        <v>106426.79048856877</v>
      </c>
      <c r="I1019" s="102">
        <v>717.15609514370669</v>
      </c>
      <c r="J1019" s="102">
        <v>770.28391167192433</v>
      </c>
    </row>
    <row r="1020" spans="2:10">
      <c r="B1020" s="52" t="s">
        <v>118</v>
      </c>
      <c r="C1020" s="104">
        <v>0</v>
      </c>
      <c r="D1020" s="104">
        <v>0</v>
      </c>
      <c r="E1020" s="104">
        <v>0</v>
      </c>
      <c r="F1020" s="104">
        <v>0</v>
      </c>
      <c r="G1020" s="104">
        <v>0</v>
      </c>
      <c r="H1020" s="104">
        <v>5.7461531912810919</v>
      </c>
      <c r="I1020" s="102">
        <v>4.3182783519750819E-3</v>
      </c>
      <c r="J1020" s="102">
        <v>6.572029442691904E-3</v>
      </c>
    </row>
    <row r="1021" spans="2:10">
      <c r="B1021" s="52" t="s">
        <v>117</v>
      </c>
      <c r="C1021" s="89">
        <v>0</v>
      </c>
      <c r="D1021" s="89">
        <v>0</v>
      </c>
      <c r="E1021" s="89">
        <v>0</v>
      </c>
      <c r="F1021" s="89">
        <v>0</v>
      </c>
      <c r="G1021" s="89">
        <v>0</v>
      </c>
      <c r="H1021" s="89">
        <v>235784.51159909379</v>
      </c>
      <c r="I1021" s="102">
        <v>1262.943749115107</v>
      </c>
      <c r="J1021" s="102">
        <v>1372.8461724500528</v>
      </c>
    </row>
    <row r="1022" spans="2:10">
      <c r="B1022" s="71" t="s">
        <v>221</v>
      </c>
      <c r="C1022" s="103">
        <v>22063.815849769428</v>
      </c>
      <c r="D1022" s="103">
        <v>24696.27019300633</v>
      </c>
      <c r="E1022" s="103">
        <v>18977.086407817609</v>
      </c>
      <c r="F1022" s="103">
        <v>11331.569845581418</v>
      </c>
      <c r="G1022" s="103">
        <v>15594.268822687181</v>
      </c>
      <c r="H1022" s="103">
        <v>2847.1337087791344</v>
      </c>
      <c r="I1022" s="102">
        <v>4.4396007362310641</v>
      </c>
      <c r="J1022" s="102">
        <v>17110.468596913495</v>
      </c>
    </row>
    <row r="1023" spans="2:10">
      <c r="B1023" s="52" t="s">
        <v>169</v>
      </c>
      <c r="C1023" s="103">
        <v>22062.584143094773</v>
      </c>
      <c r="D1023" s="103">
        <v>24679.116116850561</v>
      </c>
      <c r="E1023" s="103">
        <v>18963.89240252275</v>
      </c>
      <c r="F1023" s="103">
        <v>11328.491352774787</v>
      </c>
      <c r="G1023" s="103">
        <v>15594.268822687181</v>
      </c>
      <c r="H1023" s="103">
        <v>2847.1337087791344</v>
      </c>
      <c r="I1023" s="102">
        <v>4.4396007362310641</v>
      </c>
      <c r="J1023" s="102">
        <v>17110.468596913495</v>
      </c>
    </row>
    <row r="1024" spans="2:10">
      <c r="B1024" s="52" t="s">
        <v>168</v>
      </c>
      <c r="C1024" s="104">
        <v>0</v>
      </c>
      <c r="D1024" s="104">
        <v>0</v>
      </c>
      <c r="E1024" s="104">
        <v>0</v>
      </c>
      <c r="F1024" s="104">
        <v>0</v>
      </c>
      <c r="G1024" s="104">
        <v>0</v>
      </c>
      <c r="H1024" s="104">
        <v>0</v>
      </c>
      <c r="I1024" s="102">
        <v>0</v>
      </c>
      <c r="J1024" s="102">
        <v>0</v>
      </c>
    </row>
    <row r="1025" spans="2:10">
      <c r="B1025" s="52" t="s">
        <v>167</v>
      </c>
      <c r="C1025" s="104">
        <v>1.2317066746540968</v>
      </c>
      <c r="D1025" s="103">
        <v>17.154076155767815</v>
      </c>
      <c r="E1025" s="103">
        <v>13.194005294859924</v>
      </c>
      <c r="F1025" s="103">
        <v>3.0784928066301891</v>
      </c>
      <c r="G1025" s="103">
        <v>0</v>
      </c>
      <c r="H1025" s="104">
        <v>0</v>
      </c>
      <c r="I1025" s="102">
        <v>0</v>
      </c>
      <c r="J1025" s="102">
        <v>0</v>
      </c>
    </row>
    <row r="1026" spans="2:10">
      <c r="B1026" s="52" t="s">
        <v>166</v>
      </c>
      <c r="C1026" s="104">
        <v>0</v>
      </c>
      <c r="D1026" s="104">
        <v>0</v>
      </c>
      <c r="E1026" s="104">
        <v>0</v>
      </c>
      <c r="F1026" s="104">
        <v>0</v>
      </c>
      <c r="G1026" s="104">
        <v>0</v>
      </c>
      <c r="H1026" s="104">
        <v>0</v>
      </c>
      <c r="I1026" s="102">
        <v>0</v>
      </c>
      <c r="J1026" s="102">
        <v>0</v>
      </c>
    </row>
    <row r="1027" spans="2:10">
      <c r="B1027" s="52" t="s">
        <v>165</v>
      </c>
      <c r="C1027" s="104">
        <v>0</v>
      </c>
      <c r="D1027" s="104">
        <v>0</v>
      </c>
      <c r="E1027" s="104">
        <v>0</v>
      </c>
      <c r="F1027" s="104">
        <v>0</v>
      </c>
      <c r="G1027" s="104">
        <v>0</v>
      </c>
      <c r="H1027" s="104">
        <v>0</v>
      </c>
      <c r="I1027" s="102">
        <v>0</v>
      </c>
      <c r="J1027" s="102">
        <v>0</v>
      </c>
    </row>
    <row r="1028" spans="2:10">
      <c r="B1028" s="52" t="s">
        <v>164</v>
      </c>
      <c r="C1028" s="104">
        <v>0</v>
      </c>
      <c r="D1028" s="104">
        <v>0</v>
      </c>
      <c r="E1028" s="104">
        <v>0</v>
      </c>
      <c r="F1028" s="104">
        <v>0</v>
      </c>
      <c r="G1028" s="104">
        <v>0</v>
      </c>
      <c r="H1028" s="104">
        <v>0</v>
      </c>
      <c r="I1028" s="102">
        <v>0</v>
      </c>
      <c r="J1028" s="102">
        <v>0</v>
      </c>
    </row>
    <row r="1029" spans="2:10">
      <c r="B1029" s="52"/>
      <c r="C1029" s="89"/>
      <c r="D1029" s="89"/>
      <c r="E1029" s="89"/>
      <c r="F1029" s="89"/>
      <c r="G1029" s="89"/>
      <c r="H1029" s="89"/>
      <c r="I1029" s="103"/>
      <c r="J1029" s="103"/>
    </row>
    <row r="1030" spans="2:10">
      <c r="B1030" s="59" t="s">
        <v>32</v>
      </c>
      <c r="C1030" s="55"/>
      <c r="D1030" s="55"/>
      <c r="E1030" s="55"/>
      <c r="F1030" s="55"/>
      <c r="G1030" s="55"/>
      <c r="H1030" s="55"/>
      <c r="I1030" s="55"/>
      <c r="J1030" s="55"/>
    </row>
    <row r="1031" spans="2:10">
      <c r="B1031" s="71" t="s">
        <v>222</v>
      </c>
      <c r="C1031" s="55">
        <v>2426.1739297067011</v>
      </c>
      <c r="D1031" s="55">
        <v>2815.8388312187617</v>
      </c>
      <c r="E1031" s="55">
        <v>3568.1739662591012</v>
      </c>
      <c r="F1031" s="55">
        <v>3305.616803911751</v>
      </c>
      <c r="G1031" s="55">
        <v>3589.0556041927293</v>
      </c>
      <c r="H1031" s="55">
        <v>3644.8603389264545</v>
      </c>
      <c r="I1031" s="103">
        <v>11010.884359401</v>
      </c>
      <c r="J1031" s="102">
        <v>36438.023785926664</v>
      </c>
    </row>
    <row r="1032" spans="2:10">
      <c r="B1032" s="52" t="s">
        <v>121</v>
      </c>
      <c r="C1032" s="55">
        <v>124.1116913648454</v>
      </c>
      <c r="D1032" s="55">
        <v>186.63114186851209</v>
      </c>
      <c r="E1032" s="55">
        <v>356.5487501734994</v>
      </c>
      <c r="F1032" s="55">
        <v>174.58480254817781</v>
      </c>
      <c r="G1032" s="55">
        <v>19.97344498430239</v>
      </c>
      <c r="H1032" s="55">
        <v>0.17731029301277232</v>
      </c>
      <c r="I1032" s="103">
        <v>22.022106013786548</v>
      </c>
      <c r="J1032" s="102">
        <v>21.226957383548068</v>
      </c>
    </row>
    <row r="1033" spans="2:10">
      <c r="B1033" s="53" t="s">
        <v>120</v>
      </c>
      <c r="C1033" s="55">
        <v>0</v>
      </c>
      <c r="D1033" s="55">
        <v>0</v>
      </c>
      <c r="E1033" s="55">
        <v>0</v>
      </c>
      <c r="F1033" s="55">
        <v>0</v>
      </c>
      <c r="G1033" s="55">
        <v>0</v>
      </c>
      <c r="H1033" s="55">
        <v>0</v>
      </c>
      <c r="I1033" s="103">
        <v>0</v>
      </c>
      <c r="J1033" s="102">
        <v>0</v>
      </c>
    </row>
    <row r="1034" spans="2:10">
      <c r="B1034" s="53" t="s">
        <v>119</v>
      </c>
      <c r="C1034" s="55">
        <v>122.16066799219331</v>
      </c>
      <c r="D1034" s="55">
        <v>179.65490196078429</v>
      </c>
      <c r="E1034" s="55">
        <v>353.45793743927521</v>
      </c>
      <c r="F1034" s="55">
        <v>170.44294830139233</v>
      </c>
      <c r="G1034" s="55">
        <v>0</v>
      </c>
      <c r="H1034" s="55">
        <v>0.17731029301277232</v>
      </c>
      <c r="I1034" s="103">
        <v>22.022106013786548</v>
      </c>
      <c r="J1034" s="102">
        <v>21.226957383548068</v>
      </c>
    </row>
    <row r="1035" spans="2:10">
      <c r="B1035" s="52" t="s">
        <v>118</v>
      </c>
      <c r="C1035" s="55">
        <v>1.5962918503517094</v>
      </c>
      <c r="D1035" s="55">
        <v>0.4106881968473664</v>
      </c>
      <c r="E1035" s="55">
        <v>1.2355680054510354</v>
      </c>
      <c r="F1035" s="55">
        <v>4.1993800002130586</v>
      </c>
      <c r="G1035" s="55">
        <v>0.79638597874011785</v>
      </c>
      <c r="H1035" s="55">
        <v>1.2989398113365054</v>
      </c>
      <c r="I1035" s="103">
        <v>9.8288566674589961E-2</v>
      </c>
      <c r="J1035" s="102">
        <v>0.22596630327056494</v>
      </c>
    </row>
    <row r="1036" spans="2:10">
      <c r="B1036" s="52" t="s">
        <v>117</v>
      </c>
      <c r="C1036" s="55">
        <v>2300.4659464915039</v>
      </c>
      <c r="D1036" s="55">
        <v>2628.797078046905</v>
      </c>
      <c r="E1036" s="55">
        <v>3210.3896480801504</v>
      </c>
      <c r="F1036" s="55">
        <v>3126.8326213633604</v>
      </c>
      <c r="G1036" s="55">
        <v>3568.2857996789066</v>
      </c>
      <c r="H1036" s="55">
        <v>3643.3840888221048</v>
      </c>
      <c r="I1036" s="103">
        <v>10988.763964820537</v>
      </c>
      <c r="J1036" s="102">
        <v>36416.57072065695</v>
      </c>
    </row>
    <row r="1037" spans="2:10">
      <c r="B1037" s="52"/>
      <c r="C1037" s="55"/>
      <c r="D1037" s="55"/>
      <c r="E1037" s="55"/>
      <c r="F1037" s="55"/>
      <c r="G1037" s="55"/>
      <c r="H1037" s="55"/>
      <c r="I1037" s="55"/>
      <c r="J1037" s="55"/>
    </row>
    <row r="1038" spans="2:10">
      <c r="B1038" s="71" t="s">
        <v>221</v>
      </c>
      <c r="C1038" s="55">
        <v>0</v>
      </c>
      <c r="D1038" s="55">
        <v>0</v>
      </c>
      <c r="E1038" s="55">
        <v>0</v>
      </c>
      <c r="F1038" s="55">
        <v>0</v>
      </c>
      <c r="G1038" s="55">
        <v>0</v>
      </c>
      <c r="H1038" s="103">
        <v>0</v>
      </c>
      <c r="I1038" s="103">
        <v>0</v>
      </c>
      <c r="J1038" s="103">
        <v>0</v>
      </c>
    </row>
    <row r="1039" spans="2:10">
      <c r="B1039" s="52" t="s">
        <v>169</v>
      </c>
      <c r="C1039" s="55">
        <v>0</v>
      </c>
      <c r="D1039" s="55">
        <v>0</v>
      </c>
      <c r="E1039" s="55">
        <v>0</v>
      </c>
      <c r="F1039" s="55">
        <v>0</v>
      </c>
      <c r="G1039" s="55">
        <v>0</v>
      </c>
      <c r="H1039" s="103">
        <v>0</v>
      </c>
      <c r="I1039" s="103">
        <v>0</v>
      </c>
      <c r="J1039" s="103">
        <v>0</v>
      </c>
    </row>
    <row r="1040" spans="2:10">
      <c r="B1040" s="52" t="s">
        <v>168</v>
      </c>
      <c r="C1040" s="55">
        <v>0</v>
      </c>
      <c r="D1040" s="55">
        <v>0</v>
      </c>
      <c r="E1040" s="55">
        <v>0</v>
      </c>
      <c r="F1040" s="55">
        <v>0</v>
      </c>
      <c r="G1040" s="55">
        <v>0</v>
      </c>
      <c r="H1040" s="103">
        <v>0</v>
      </c>
      <c r="I1040" s="103">
        <v>0</v>
      </c>
      <c r="J1040" s="103">
        <v>0</v>
      </c>
    </row>
    <row r="1041" spans="2:10">
      <c r="B1041" s="52" t="s">
        <v>167</v>
      </c>
      <c r="C1041" s="55">
        <v>0</v>
      </c>
      <c r="D1041" s="55">
        <v>0</v>
      </c>
      <c r="E1041" s="55">
        <v>0</v>
      </c>
      <c r="F1041" s="55">
        <v>0</v>
      </c>
      <c r="G1041" s="55">
        <v>0</v>
      </c>
      <c r="H1041" s="103">
        <v>0</v>
      </c>
      <c r="I1041" s="103">
        <v>0</v>
      </c>
      <c r="J1041" s="103">
        <v>0</v>
      </c>
    </row>
    <row r="1042" spans="2:10">
      <c r="B1042" s="52" t="s">
        <v>166</v>
      </c>
      <c r="C1042" s="55">
        <v>0</v>
      </c>
      <c r="D1042" s="55">
        <v>0</v>
      </c>
      <c r="E1042" s="55">
        <v>0</v>
      </c>
      <c r="F1042" s="55">
        <v>0</v>
      </c>
      <c r="G1042" s="55">
        <v>0</v>
      </c>
      <c r="H1042" s="103">
        <v>0</v>
      </c>
      <c r="I1042" s="103">
        <v>0</v>
      </c>
      <c r="J1042" s="103">
        <v>0</v>
      </c>
    </row>
    <row r="1043" spans="2:10">
      <c r="B1043" s="52" t="s">
        <v>165</v>
      </c>
      <c r="C1043" s="55">
        <v>0</v>
      </c>
      <c r="D1043" s="55">
        <v>0</v>
      </c>
      <c r="E1043" s="55">
        <v>0</v>
      </c>
      <c r="F1043" s="55">
        <v>0</v>
      </c>
      <c r="G1043" s="55">
        <v>0</v>
      </c>
      <c r="H1043" s="103">
        <v>0</v>
      </c>
      <c r="I1043" s="103">
        <v>0</v>
      </c>
      <c r="J1043" s="103">
        <v>0</v>
      </c>
    </row>
    <row r="1044" spans="2:10">
      <c r="B1044" s="52" t="s">
        <v>164</v>
      </c>
      <c r="C1044" s="55">
        <v>0</v>
      </c>
      <c r="D1044" s="55">
        <v>0</v>
      </c>
      <c r="E1044" s="55">
        <v>0</v>
      </c>
      <c r="F1044" s="55">
        <v>0</v>
      </c>
      <c r="G1044" s="55">
        <v>0</v>
      </c>
      <c r="H1044" s="103">
        <v>0</v>
      </c>
      <c r="I1044" s="103">
        <v>0</v>
      </c>
      <c r="J1044" s="103">
        <v>0</v>
      </c>
    </row>
    <row r="1045" spans="2:10">
      <c r="B1045" s="71"/>
      <c r="C1045" s="55"/>
      <c r="D1045" s="55"/>
      <c r="E1045" s="55"/>
      <c r="F1045" s="55"/>
      <c r="G1045" s="55"/>
      <c r="H1045" s="55"/>
      <c r="I1045" s="55"/>
      <c r="J1045" s="55"/>
    </row>
    <row r="1046" spans="2:10">
      <c r="B1046" s="59" t="s">
        <v>223</v>
      </c>
      <c r="C1046" s="55"/>
      <c r="D1046" s="55"/>
      <c r="E1046" s="55"/>
      <c r="F1046" s="55"/>
      <c r="G1046" s="55"/>
      <c r="H1046" s="55"/>
      <c r="I1046" s="55"/>
      <c r="J1046" s="55"/>
    </row>
    <row r="1047" spans="2:10">
      <c r="B1047" s="71" t="s">
        <v>222</v>
      </c>
      <c r="C1047" s="55">
        <v>1423927.1483980038</v>
      </c>
      <c r="D1047" s="103">
        <v>1276825.3748558245</v>
      </c>
      <c r="E1047" s="103">
        <v>2705280.8797365334</v>
      </c>
      <c r="F1047" s="103">
        <v>2895101.4222604819</v>
      </c>
      <c r="G1047" s="103">
        <v>1589314.5155957818</v>
      </c>
      <c r="H1047" s="103">
        <v>3109.2348777026459</v>
      </c>
      <c r="I1047" s="103">
        <v>4428.665711908724</v>
      </c>
      <c r="J1047" s="102">
        <v>6037211.9920713585</v>
      </c>
    </row>
    <row r="1048" spans="2:10">
      <c r="B1048" s="52" t="s">
        <v>121</v>
      </c>
      <c r="C1048" s="55">
        <v>1423927.1483980038</v>
      </c>
      <c r="D1048" s="103">
        <v>1276825.3748558245</v>
      </c>
      <c r="E1048" s="103">
        <v>2705280.8797365334</v>
      </c>
      <c r="F1048" s="103">
        <v>2895101.4222604819</v>
      </c>
      <c r="G1048" s="103">
        <v>1589314.5155957818</v>
      </c>
      <c r="H1048" s="103">
        <v>3109.2348777026464</v>
      </c>
      <c r="I1048" s="103">
        <v>4428.665711908724</v>
      </c>
      <c r="J1048" s="102">
        <v>6037211.9920713585</v>
      </c>
    </row>
    <row r="1049" spans="2:10">
      <c r="B1049" s="53" t="s">
        <v>120</v>
      </c>
      <c r="C1049" s="55">
        <v>1320133.7359113996</v>
      </c>
      <c r="D1049" s="103">
        <v>1120026.9896193771</v>
      </c>
      <c r="E1049" s="103">
        <v>2249814.1348374155</v>
      </c>
      <c r="F1049" s="103">
        <v>2668313.9628398549</v>
      </c>
      <c r="G1049" s="103">
        <v>1499666.6075967446</v>
      </c>
      <c r="H1049" s="103">
        <v>3010.5104098839638</v>
      </c>
      <c r="I1049" s="103">
        <v>4267.9194318992149</v>
      </c>
      <c r="J1049" s="102">
        <v>5842902.4777006945</v>
      </c>
    </row>
    <row r="1050" spans="2:10">
      <c r="B1050" s="53" t="s">
        <v>119</v>
      </c>
      <c r="C1050" s="55">
        <v>103793.41125489779</v>
      </c>
      <c r="D1050" s="103">
        <v>156798.3852364475</v>
      </c>
      <c r="E1050" s="103">
        <v>455466.74489911803</v>
      </c>
      <c r="F1050" s="103">
        <v>226787.45942062724</v>
      </c>
      <c r="G1050" s="103">
        <v>89647.907999037241</v>
      </c>
      <c r="H1050" s="103">
        <v>98.724467818682683</v>
      </c>
      <c r="I1050" s="103">
        <v>160.74628000950796</v>
      </c>
      <c r="J1050" s="102">
        <v>194309.51437066402</v>
      </c>
    </row>
    <row r="1051" spans="2:10">
      <c r="B1051" s="52" t="s">
        <v>118</v>
      </c>
      <c r="C1051" s="55">
        <v>0</v>
      </c>
      <c r="D1051" s="55">
        <v>0</v>
      </c>
      <c r="E1051" s="55">
        <v>0</v>
      </c>
      <c r="F1051" s="55">
        <v>0</v>
      </c>
      <c r="G1051" s="55">
        <v>0</v>
      </c>
      <c r="H1051" s="55">
        <v>0</v>
      </c>
      <c r="I1051" s="55">
        <v>0</v>
      </c>
      <c r="J1051" s="55">
        <v>0</v>
      </c>
    </row>
    <row r="1052" spans="2:10">
      <c r="B1052" s="52" t="s">
        <v>117</v>
      </c>
      <c r="C1052" s="55">
        <v>0</v>
      </c>
      <c r="D1052" s="55">
        <v>0</v>
      </c>
      <c r="E1052" s="55">
        <v>0</v>
      </c>
      <c r="F1052" s="55">
        <v>0</v>
      </c>
      <c r="G1052" s="55">
        <v>0</v>
      </c>
      <c r="H1052" s="55">
        <v>0</v>
      </c>
      <c r="I1052" s="55">
        <v>0</v>
      </c>
      <c r="J1052" s="55">
        <v>0</v>
      </c>
    </row>
    <row r="1053" spans="2:10">
      <c r="B1053" s="52"/>
      <c r="C1053" s="55"/>
      <c r="D1053" s="55">
        <v>0</v>
      </c>
      <c r="E1053" s="55">
        <v>0</v>
      </c>
      <c r="F1053" s="55"/>
      <c r="G1053" s="55"/>
      <c r="H1053" s="55"/>
      <c r="I1053" s="55"/>
      <c r="J1053" s="55"/>
    </row>
    <row r="1054" spans="2:10">
      <c r="B1054" s="71" t="s">
        <v>221</v>
      </c>
      <c r="C1054" s="55">
        <v>0</v>
      </c>
      <c r="D1054" s="55">
        <v>0</v>
      </c>
      <c r="E1054" s="55">
        <v>0</v>
      </c>
      <c r="F1054" s="55">
        <v>0</v>
      </c>
      <c r="G1054" s="55">
        <v>0</v>
      </c>
      <c r="H1054" s="55">
        <v>0</v>
      </c>
      <c r="I1054" s="55">
        <v>0</v>
      </c>
      <c r="J1054" s="55">
        <v>0</v>
      </c>
    </row>
    <row r="1055" spans="2:10">
      <c r="B1055" s="52" t="s">
        <v>169</v>
      </c>
      <c r="C1055" s="55">
        <v>0</v>
      </c>
      <c r="D1055" s="55">
        <v>0</v>
      </c>
      <c r="E1055" s="55">
        <v>0</v>
      </c>
      <c r="F1055" s="55">
        <v>0</v>
      </c>
      <c r="G1055" s="55">
        <v>0</v>
      </c>
      <c r="H1055" s="55">
        <v>0</v>
      </c>
      <c r="I1055" s="55">
        <v>0</v>
      </c>
      <c r="J1055" s="55">
        <v>0</v>
      </c>
    </row>
    <row r="1056" spans="2:10">
      <c r="B1056" s="52" t="s">
        <v>168</v>
      </c>
      <c r="C1056" s="55">
        <v>0</v>
      </c>
      <c r="D1056" s="55">
        <v>0</v>
      </c>
      <c r="E1056" s="55">
        <v>0</v>
      </c>
      <c r="F1056" s="55">
        <v>0</v>
      </c>
      <c r="G1056" s="55">
        <v>0</v>
      </c>
      <c r="H1056" s="55">
        <v>0</v>
      </c>
      <c r="I1056" s="55">
        <v>0</v>
      </c>
      <c r="J1056" s="55">
        <v>0</v>
      </c>
    </row>
    <row r="1057" spans="2:10">
      <c r="B1057" s="52" t="s">
        <v>167</v>
      </c>
      <c r="C1057" s="55">
        <v>0</v>
      </c>
      <c r="D1057" s="55">
        <v>0</v>
      </c>
      <c r="E1057" s="55">
        <v>0</v>
      </c>
      <c r="F1057" s="55">
        <v>0</v>
      </c>
      <c r="G1057" s="55">
        <v>0</v>
      </c>
      <c r="H1057" s="55">
        <v>0</v>
      </c>
      <c r="I1057" s="55">
        <v>0</v>
      </c>
      <c r="J1057" s="55">
        <v>0</v>
      </c>
    </row>
    <row r="1058" spans="2:10">
      <c r="B1058" s="52" t="s">
        <v>166</v>
      </c>
      <c r="C1058" s="55">
        <v>0</v>
      </c>
      <c r="D1058" s="55">
        <v>0</v>
      </c>
      <c r="E1058" s="55">
        <v>0</v>
      </c>
      <c r="F1058" s="55">
        <v>0</v>
      </c>
      <c r="G1058" s="55">
        <v>0</v>
      </c>
      <c r="H1058" s="55">
        <v>0</v>
      </c>
      <c r="I1058" s="55">
        <v>0</v>
      </c>
      <c r="J1058" s="55">
        <v>0</v>
      </c>
    </row>
    <row r="1059" spans="2:10">
      <c r="B1059" s="52" t="s">
        <v>165</v>
      </c>
      <c r="C1059" s="55">
        <v>0</v>
      </c>
      <c r="D1059" s="55">
        <v>0</v>
      </c>
      <c r="E1059" s="55">
        <v>0</v>
      </c>
      <c r="F1059" s="55">
        <v>0</v>
      </c>
      <c r="G1059" s="55">
        <v>0</v>
      </c>
      <c r="H1059" s="55">
        <v>0</v>
      </c>
      <c r="I1059" s="55">
        <v>0</v>
      </c>
      <c r="J1059" s="55">
        <v>0</v>
      </c>
    </row>
    <row r="1060" spans="2:10" ht="15" thickBot="1">
      <c r="B1060" s="50" t="s">
        <v>164</v>
      </c>
      <c r="C1060" s="101">
        <v>0</v>
      </c>
      <c r="D1060" s="101">
        <v>0</v>
      </c>
      <c r="E1060" s="101">
        <v>0</v>
      </c>
      <c r="F1060" s="101">
        <v>0</v>
      </c>
      <c r="G1060" s="101">
        <v>0</v>
      </c>
      <c r="H1060" s="101">
        <v>0</v>
      </c>
      <c r="I1060" s="101">
        <v>0</v>
      </c>
      <c r="J1060" s="101">
        <v>0</v>
      </c>
    </row>
    <row r="1061" spans="2:10" ht="15" customHeight="1" thickTop="1">
      <c r="B1061" s="2026" t="s">
        <v>220</v>
      </c>
      <c r="C1061" s="2026"/>
      <c r="D1061" s="2026"/>
      <c r="E1061" s="2026"/>
      <c r="F1061" s="2026"/>
      <c r="G1061" s="2026"/>
      <c r="H1061" s="2026"/>
      <c r="I1061" s="2026"/>
      <c r="J1061" s="2026"/>
    </row>
    <row r="1062" spans="2:10" ht="14.5" customHeight="1">
      <c r="B1062" s="2017"/>
      <c r="C1062" s="2017"/>
      <c r="D1062" s="2017"/>
      <c r="E1062" s="2017"/>
      <c r="F1062" s="2017"/>
      <c r="G1062" s="2017"/>
      <c r="H1062" s="2017"/>
      <c r="I1062" s="2017"/>
      <c r="J1062" s="2017"/>
    </row>
    <row r="1063" spans="2:10">
      <c r="B1063" s="64"/>
      <c r="C1063" s="1"/>
      <c r="D1063" s="1"/>
      <c r="E1063" s="1"/>
      <c r="F1063" s="1"/>
      <c r="G1063" s="1"/>
      <c r="H1063" s="1"/>
      <c r="I1063" s="1"/>
      <c r="J1063" s="1"/>
    </row>
    <row r="1064" spans="2:10">
      <c r="B1064" s="14" t="s">
        <v>219</v>
      </c>
      <c r="C1064" s="14"/>
      <c r="D1064" s="14"/>
      <c r="E1064" s="14"/>
      <c r="F1064" s="14"/>
      <c r="G1064" s="14"/>
      <c r="H1064" s="14"/>
      <c r="I1064" s="14"/>
      <c r="J1064" s="14"/>
    </row>
    <row r="1065" spans="2:10">
      <c r="B1065" s="12" t="s">
        <v>218</v>
      </c>
      <c r="C1065" s="1"/>
      <c r="D1065" s="1"/>
      <c r="E1065" s="1"/>
      <c r="F1065" s="1"/>
      <c r="G1065" s="1"/>
      <c r="H1065" s="1"/>
      <c r="I1065" s="1"/>
      <c r="J1065" s="1"/>
    </row>
    <row r="1066" spans="2:10">
      <c r="B1066" s="77" t="s">
        <v>159</v>
      </c>
      <c r="C1066" s="1"/>
      <c r="D1066" s="1"/>
      <c r="E1066" s="1"/>
      <c r="F1066" s="1"/>
      <c r="G1066" s="1"/>
      <c r="H1066" s="1"/>
      <c r="I1066" s="1"/>
      <c r="J1066" s="1"/>
    </row>
    <row r="1067" spans="2:10">
      <c r="B1067" s="76"/>
      <c r="C1067" s="1"/>
      <c r="D1067" s="1"/>
      <c r="E1067" s="1"/>
      <c r="F1067" s="1"/>
      <c r="G1067" s="1"/>
      <c r="H1067" s="1"/>
      <c r="I1067" s="1"/>
      <c r="J1067" s="1"/>
    </row>
    <row r="1068" spans="2:10">
      <c r="B1068" s="61"/>
      <c r="C1068" s="60">
        <v>2014</v>
      </c>
      <c r="D1068" s="60">
        <v>2015</v>
      </c>
      <c r="E1068" s="60">
        <v>2016</v>
      </c>
      <c r="F1068" s="60">
        <v>2017</v>
      </c>
      <c r="G1068" s="60">
        <v>2018</v>
      </c>
      <c r="H1068" s="60">
        <v>2019</v>
      </c>
      <c r="I1068" s="60">
        <v>2020</v>
      </c>
      <c r="J1068" s="60">
        <v>2021</v>
      </c>
    </row>
    <row r="1069" spans="2:10" ht="26">
      <c r="B1069" s="59" t="s">
        <v>196</v>
      </c>
      <c r="C1069" s="1"/>
      <c r="D1069" s="1"/>
      <c r="E1069" s="1"/>
      <c r="F1069" s="1"/>
      <c r="G1069" s="1"/>
      <c r="H1069" s="1"/>
      <c r="I1069" s="1"/>
      <c r="J1069" s="1"/>
    </row>
    <row r="1070" spans="2:10">
      <c r="B1070" s="71" t="s">
        <v>217</v>
      </c>
      <c r="C1070" s="3">
        <v>85</v>
      </c>
      <c r="D1070" s="3">
        <v>72</v>
      </c>
      <c r="E1070" s="3">
        <v>77</v>
      </c>
      <c r="F1070" s="3">
        <v>73</v>
      </c>
      <c r="G1070" s="3">
        <v>127</v>
      </c>
      <c r="H1070" s="3">
        <v>188</v>
      </c>
      <c r="I1070" s="3">
        <v>189</v>
      </c>
      <c r="J1070" s="3">
        <v>190</v>
      </c>
    </row>
    <row r="1071" spans="2:10">
      <c r="B1071" s="52" t="s">
        <v>150</v>
      </c>
      <c r="C1071" s="3">
        <v>0</v>
      </c>
      <c r="D1071" s="3">
        <v>0</v>
      </c>
      <c r="E1071" s="3">
        <v>0</v>
      </c>
      <c r="F1071" s="3">
        <v>0</v>
      </c>
      <c r="G1071" s="3">
        <v>0</v>
      </c>
      <c r="H1071" s="3">
        <v>1</v>
      </c>
      <c r="I1071" s="3">
        <v>1</v>
      </c>
      <c r="J1071" s="3">
        <v>1</v>
      </c>
    </row>
    <row r="1072" spans="2:10">
      <c r="B1072" s="52" t="s">
        <v>214</v>
      </c>
      <c r="C1072" s="3">
        <v>0</v>
      </c>
      <c r="D1072" s="3">
        <v>0</v>
      </c>
      <c r="E1072" s="3">
        <v>0</v>
      </c>
      <c r="F1072" s="3">
        <v>0</v>
      </c>
      <c r="G1072" s="3">
        <v>0</v>
      </c>
      <c r="H1072" s="3">
        <v>0</v>
      </c>
      <c r="I1072" s="3">
        <v>0</v>
      </c>
      <c r="J1072" s="3">
        <v>0</v>
      </c>
    </row>
    <row r="1073" spans="2:10">
      <c r="B1073" s="52" t="s">
        <v>147</v>
      </c>
      <c r="C1073" s="3">
        <v>2</v>
      </c>
      <c r="D1073" s="3">
        <v>2</v>
      </c>
      <c r="E1073" s="3">
        <v>2</v>
      </c>
      <c r="F1073" s="3">
        <v>2</v>
      </c>
      <c r="G1073" s="3">
        <v>3</v>
      </c>
      <c r="H1073" s="3">
        <v>35</v>
      </c>
      <c r="I1073" s="3">
        <v>40</v>
      </c>
      <c r="J1073" s="3">
        <v>39</v>
      </c>
    </row>
    <row r="1074" spans="2:10">
      <c r="B1074" s="52" t="s">
        <v>146</v>
      </c>
      <c r="C1074" s="3">
        <v>83</v>
      </c>
      <c r="D1074" s="3">
        <v>70</v>
      </c>
      <c r="E1074" s="3">
        <v>75</v>
      </c>
      <c r="F1074" s="3">
        <v>71</v>
      </c>
      <c r="G1074" s="3">
        <v>124</v>
      </c>
      <c r="H1074" s="3">
        <v>152</v>
      </c>
      <c r="I1074" s="3">
        <v>148</v>
      </c>
      <c r="J1074" s="3">
        <v>150</v>
      </c>
    </row>
    <row r="1075" spans="2:10">
      <c r="B1075" s="52"/>
      <c r="C1075" s="3"/>
      <c r="D1075" s="3"/>
      <c r="E1075" s="3"/>
      <c r="F1075" s="3"/>
      <c r="G1075" s="3"/>
      <c r="H1075" s="3"/>
      <c r="I1075" s="3"/>
      <c r="J1075" s="3"/>
    </row>
    <row r="1076" spans="2:10">
      <c r="B1076" s="71" t="s">
        <v>216</v>
      </c>
      <c r="C1076" s="3">
        <v>85</v>
      </c>
      <c r="D1076" s="3">
        <v>72</v>
      </c>
      <c r="E1076" s="3">
        <v>77</v>
      </c>
      <c r="F1076" s="3">
        <v>73</v>
      </c>
      <c r="G1076" s="3">
        <v>127</v>
      </c>
      <c r="H1076" s="3">
        <v>188</v>
      </c>
      <c r="I1076" s="3">
        <v>189</v>
      </c>
      <c r="J1076" s="3">
        <v>190</v>
      </c>
    </row>
    <row r="1077" spans="2:10">
      <c r="B1077" s="52" t="s">
        <v>150</v>
      </c>
      <c r="C1077" s="3">
        <v>0</v>
      </c>
      <c r="D1077" s="3">
        <v>0</v>
      </c>
      <c r="E1077" s="3">
        <v>0</v>
      </c>
      <c r="F1077" s="3">
        <v>0</v>
      </c>
      <c r="G1077" s="3">
        <v>0</v>
      </c>
      <c r="H1077" s="3">
        <v>1</v>
      </c>
      <c r="I1077" s="3">
        <v>1</v>
      </c>
      <c r="J1077" s="3">
        <v>1</v>
      </c>
    </row>
    <row r="1078" spans="2:10">
      <c r="B1078" s="52" t="s">
        <v>214</v>
      </c>
      <c r="C1078" s="3">
        <v>0</v>
      </c>
      <c r="D1078" s="3">
        <v>0</v>
      </c>
      <c r="E1078" s="3">
        <v>0</v>
      </c>
      <c r="F1078" s="3">
        <v>0</v>
      </c>
      <c r="G1078" s="3">
        <v>0</v>
      </c>
      <c r="H1078" s="3">
        <v>0</v>
      </c>
      <c r="I1078" s="3">
        <v>0</v>
      </c>
      <c r="J1078" s="3">
        <v>0</v>
      </c>
    </row>
    <row r="1079" spans="2:10">
      <c r="B1079" s="52" t="s">
        <v>147</v>
      </c>
      <c r="C1079" s="3">
        <v>2</v>
      </c>
      <c r="D1079" s="3">
        <v>2</v>
      </c>
      <c r="E1079" s="3">
        <v>2</v>
      </c>
      <c r="F1079" s="3">
        <v>2</v>
      </c>
      <c r="G1079" s="3">
        <v>3</v>
      </c>
      <c r="H1079" s="3">
        <v>35</v>
      </c>
      <c r="I1079" s="3">
        <v>40</v>
      </c>
      <c r="J1079" s="3">
        <v>39</v>
      </c>
    </row>
    <row r="1080" spans="2:10">
      <c r="B1080" s="52" t="s">
        <v>146</v>
      </c>
      <c r="C1080" s="3">
        <v>83</v>
      </c>
      <c r="D1080" s="3">
        <v>70</v>
      </c>
      <c r="E1080" s="3">
        <v>75</v>
      </c>
      <c r="F1080" s="3">
        <v>71</v>
      </c>
      <c r="G1080" s="3">
        <v>124</v>
      </c>
      <c r="H1080" s="3">
        <v>152</v>
      </c>
      <c r="I1080" s="3">
        <v>148</v>
      </c>
      <c r="J1080" s="3">
        <v>150</v>
      </c>
    </row>
    <row r="1081" spans="2:10">
      <c r="B1081" s="52"/>
      <c r="C1081" s="3"/>
      <c r="D1081" s="3"/>
      <c r="E1081" s="3"/>
      <c r="F1081" s="3"/>
      <c r="G1081" s="3"/>
      <c r="H1081" s="3"/>
      <c r="I1081" s="3"/>
      <c r="J1081" s="3"/>
    </row>
    <row r="1082" spans="2:10">
      <c r="B1082" s="71" t="s">
        <v>215</v>
      </c>
      <c r="C1082" s="3">
        <v>0</v>
      </c>
      <c r="D1082" s="3">
        <v>0</v>
      </c>
      <c r="E1082" s="3">
        <v>0</v>
      </c>
      <c r="F1082" s="3">
        <v>0</v>
      </c>
      <c r="G1082" s="3">
        <v>0</v>
      </c>
      <c r="H1082" s="3">
        <v>0</v>
      </c>
      <c r="I1082" s="3">
        <v>0</v>
      </c>
      <c r="J1082" s="3">
        <v>0</v>
      </c>
    </row>
    <row r="1083" spans="2:10">
      <c r="B1083" s="52" t="s">
        <v>150</v>
      </c>
      <c r="C1083" s="3">
        <v>0</v>
      </c>
      <c r="D1083" s="3">
        <v>0</v>
      </c>
      <c r="E1083" s="3">
        <v>0</v>
      </c>
      <c r="F1083" s="3">
        <v>0</v>
      </c>
      <c r="G1083" s="3">
        <v>0</v>
      </c>
      <c r="H1083" s="3">
        <v>0</v>
      </c>
      <c r="I1083" s="3">
        <v>0</v>
      </c>
      <c r="J1083" s="3">
        <v>0</v>
      </c>
    </row>
    <row r="1084" spans="2:10">
      <c r="B1084" s="52" t="s">
        <v>214</v>
      </c>
      <c r="C1084" s="3">
        <v>0</v>
      </c>
      <c r="D1084" s="3">
        <v>0</v>
      </c>
      <c r="E1084" s="3">
        <v>0</v>
      </c>
      <c r="F1084" s="3">
        <v>0</v>
      </c>
      <c r="G1084" s="3">
        <v>0</v>
      </c>
      <c r="H1084" s="3">
        <v>0</v>
      </c>
      <c r="I1084" s="3">
        <v>0</v>
      </c>
      <c r="J1084" s="3">
        <v>0</v>
      </c>
    </row>
    <row r="1085" spans="2:10">
      <c r="B1085" s="52" t="s">
        <v>147</v>
      </c>
      <c r="C1085" s="3">
        <v>0</v>
      </c>
      <c r="D1085" s="3">
        <v>0</v>
      </c>
      <c r="E1085" s="3">
        <v>0</v>
      </c>
      <c r="F1085" s="3">
        <v>0</v>
      </c>
      <c r="G1085" s="3">
        <v>0</v>
      </c>
      <c r="H1085" s="3">
        <v>0</v>
      </c>
      <c r="I1085" s="3">
        <v>0</v>
      </c>
      <c r="J1085" s="3">
        <v>0</v>
      </c>
    </row>
    <row r="1086" spans="2:10">
      <c r="B1086" s="52" t="s">
        <v>146</v>
      </c>
      <c r="C1086" s="3">
        <v>0</v>
      </c>
      <c r="D1086" s="3">
        <v>0</v>
      </c>
      <c r="E1086" s="3">
        <v>0</v>
      </c>
      <c r="F1086" s="3">
        <v>0</v>
      </c>
      <c r="G1086" s="3">
        <v>0</v>
      </c>
      <c r="H1086" s="3">
        <v>0</v>
      </c>
      <c r="I1086" s="3">
        <v>0</v>
      </c>
      <c r="J1086" s="3">
        <v>0</v>
      </c>
    </row>
    <row r="1087" spans="2:10">
      <c r="B1087" s="52"/>
      <c r="C1087" s="3"/>
      <c r="D1087" s="3"/>
      <c r="E1087" s="3"/>
      <c r="F1087" s="3"/>
      <c r="G1087" s="3"/>
      <c r="H1087" s="3"/>
      <c r="I1087" s="3"/>
      <c r="J1087" s="3"/>
    </row>
    <row r="1088" spans="2:10">
      <c r="B1088" s="59" t="s">
        <v>33</v>
      </c>
      <c r="C1088" s="1"/>
      <c r="D1088" s="1"/>
      <c r="E1088" s="1"/>
      <c r="F1088" s="1"/>
      <c r="G1088" s="1"/>
      <c r="H1088" s="1"/>
      <c r="I1088" s="1"/>
      <c r="J1088" s="1"/>
    </row>
    <row r="1089" spans="2:10">
      <c r="B1089" s="71" t="s">
        <v>217</v>
      </c>
      <c r="C1089" s="3">
        <v>200</v>
      </c>
      <c r="D1089" s="3">
        <v>205</v>
      </c>
      <c r="E1089" s="3">
        <v>229</v>
      </c>
      <c r="F1089" s="3">
        <v>249</v>
      </c>
      <c r="G1089" s="3">
        <v>240</v>
      </c>
      <c r="H1089" s="3">
        <v>247</v>
      </c>
      <c r="I1089" s="3">
        <v>248</v>
      </c>
      <c r="J1089" s="3">
        <v>255</v>
      </c>
    </row>
    <row r="1090" spans="2:10">
      <c r="B1090" s="52" t="s">
        <v>150</v>
      </c>
      <c r="C1090" s="3">
        <v>0</v>
      </c>
      <c r="D1090" s="3">
        <v>0</v>
      </c>
      <c r="E1090" s="3">
        <v>0</v>
      </c>
      <c r="F1090" s="3">
        <v>0</v>
      </c>
      <c r="G1090" s="3"/>
      <c r="H1090" s="3">
        <v>0</v>
      </c>
      <c r="I1090" s="3">
        <v>1</v>
      </c>
      <c r="J1090" s="3">
        <v>1</v>
      </c>
    </row>
    <row r="1091" spans="2:10">
      <c r="B1091" s="52" t="s">
        <v>214</v>
      </c>
      <c r="C1091" s="3">
        <v>1</v>
      </c>
      <c r="D1091" s="3">
        <v>1</v>
      </c>
      <c r="E1091" s="3">
        <v>1</v>
      </c>
      <c r="F1091" s="3">
        <v>1</v>
      </c>
      <c r="G1091" s="3">
        <v>1</v>
      </c>
      <c r="H1091" s="3">
        <v>1</v>
      </c>
      <c r="I1091" s="3">
        <v>0</v>
      </c>
      <c r="J1091" s="3">
        <v>0</v>
      </c>
    </row>
    <row r="1092" spans="2:10">
      <c r="B1092" s="52" t="s">
        <v>147</v>
      </c>
      <c r="C1092" s="3">
        <v>0</v>
      </c>
      <c r="D1092" s="3">
        <v>0</v>
      </c>
      <c r="E1092" s="3">
        <v>0</v>
      </c>
      <c r="F1092" s="3">
        <v>0</v>
      </c>
      <c r="G1092" s="3"/>
      <c r="H1092" s="3">
        <v>34</v>
      </c>
      <c r="I1092" s="3">
        <v>32</v>
      </c>
      <c r="J1092" s="3">
        <v>37</v>
      </c>
    </row>
    <row r="1093" spans="2:10">
      <c r="B1093" s="52" t="s">
        <v>146</v>
      </c>
      <c r="C1093" s="3">
        <v>199</v>
      </c>
      <c r="D1093" s="3">
        <v>204</v>
      </c>
      <c r="E1093" s="3">
        <v>228</v>
      </c>
      <c r="F1093" s="3">
        <v>248</v>
      </c>
      <c r="G1093" s="3">
        <v>239</v>
      </c>
      <c r="H1093" s="3">
        <v>212</v>
      </c>
      <c r="I1093" s="3">
        <v>215</v>
      </c>
      <c r="J1093" s="3">
        <v>217</v>
      </c>
    </row>
    <row r="1094" spans="2:10">
      <c r="B1094" s="52"/>
      <c r="C1094" s="3"/>
      <c r="D1094" s="3"/>
      <c r="E1094" s="3"/>
      <c r="F1094" s="3"/>
      <c r="G1094" s="3"/>
      <c r="H1094" s="3"/>
      <c r="I1094" s="3"/>
      <c r="J1094" s="3"/>
    </row>
    <row r="1095" spans="2:10">
      <c r="B1095" s="71" t="s">
        <v>216</v>
      </c>
      <c r="C1095" s="3">
        <v>0</v>
      </c>
      <c r="D1095" s="3">
        <v>0</v>
      </c>
      <c r="E1095" s="3">
        <v>0</v>
      </c>
      <c r="F1095" s="3">
        <v>0</v>
      </c>
      <c r="G1095" s="3">
        <v>0</v>
      </c>
      <c r="H1095" s="3">
        <v>247</v>
      </c>
      <c r="I1095" s="3">
        <v>248</v>
      </c>
      <c r="J1095" s="3">
        <v>255</v>
      </c>
    </row>
    <row r="1096" spans="2:10">
      <c r="B1096" s="52" t="s">
        <v>150</v>
      </c>
      <c r="C1096" s="3">
        <v>0</v>
      </c>
      <c r="D1096" s="3">
        <v>0</v>
      </c>
      <c r="E1096" s="3">
        <v>0</v>
      </c>
      <c r="F1096" s="3">
        <v>0</v>
      </c>
      <c r="G1096" s="3">
        <v>0</v>
      </c>
      <c r="H1096" s="3">
        <v>0</v>
      </c>
      <c r="I1096" s="3">
        <v>1</v>
      </c>
      <c r="J1096" s="3">
        <v>1</v>
      </c>
    </row>
    <row r="1097" spans="2:10">
      <c r="B1097" s="52" t="s">
        <v>214</v>
      </c>
      <c r="C1097" s="3">
        <v>0</v>
      </c>
      <c r="D1097" s="3">
        <v>0</v>
      </c>
      <c r="E1097" s="3">
        <v>0</v>
      </c>
      <c r="F1097" s="3">
        <v>0</v>
      </c>
      <c r="G1097" s="3">
        <v>0</v>
      </c>
      <c r="H1097" s="3">
        <v>1</v>
      </c>
      <c r="I1097" s="3">
        <v>0</v>
      </c>
      <c r="J1097" s="3">
        <v>0</v>
      </c>
    </row>
    <row r="1098" spans="2:10">
      <c r="B1098" s="52" t="s">
        <v>147</v>
      </c>
      <c r="C1098" s="3">
        <v>0</v>
      </c>
      <c r="D1098" s="3">
        <v>0</v>
      </c>
      <c r="E1098" s="3">
        <v>0</v>
      </c>
      <c r="F1098" s="3">
        <v>0</v>
      </c>
      <c r="G1098" s="3">
        <v>0</v>
      </c>
      <c r="H1098" s="3">
        <v>34</v>
      </c>
      <c r="I1098" s="3">
        <v>32</v>
      </c>
      <c r="J1098" s="3">
        <v>37</v>
      </c>
    </row>
    <row r="1099" spans="2:10">
      <c r="B1099" s="52" t="s">
        <v>146</v>
      </c>
      <c r="C1099" s="3">
        <v>0</v>
      </c>
      <c r="D1099" s="3">
        <v>0</v>
      </c>
      <c r="E1099" s="3">
        <v>0</v>
      </c>
      <c r="F1099" s="3">
        <v>0</v>
      </c>
      <c r="G1099" s="3">
        <v>0</v>
      </c>
      <c r="H1099" s="3">
        <v>212</v>
      </c>
      <c r="I1099" s="3">
        <v>215</v>
      </c>
      <c r="J1099" s="3">
        <v>217</v>
      </c>
    </row>
    <row r="1100" spans="2:10">
      <c r="B1100" s="52"/>
      <c r="C1100" s="3"/>
      <c r="D1100" s="3"/>
      <c r="E1100" s="3"/>
      <c r="F1100" s="3"/>
      <c r="G1100" s="3"/>
      <c r="H1100" s="3"/>
      <c r="I1100" s="3"/>
      <c r="J1100" s="3"/>
    </row>
    <row r="1101" spans="2:10">
      <c r="B1101" s="71" t="s">
        <v>215</v>
      </c>
      <c r="C1101" s="3">
        <v>0</v>
      </c>
      <c r="D1101" s="3">
        <v>0</v>
      </c>
      <c r="E1101" s="3">
        <v>0</v>
      </c>
      <c r="F1101" s="3">
        <v>0</v>
      </c>
      <c r="G1101" s="3">
        <v>0</v>
      </c>
      <c r="H1101" s="3">
        <v>0</v>
      </c>
      <c r="I1101" s="3">
        <v>0</v>
      </c>
      <c r="J1101" s="3">
        <v>0</v>
      </c>
    </row>
    <row r="1102" spans="2:10">
      <c r="B1102" s="52" t="s">
        <v>150</v>
      </c>
      <c r="C1102" s="3">
        <v>0</v>
      </c>
      <c r="D1102" s="3">
        <v>0</v>
      </c>
      <c r="E1102" s="3">
        <v>0</v>
      </c>
      <c r="F1102" s="3">
        <v>0</v>
      </c>
      <c r="G1102" s="3">
        <v>0</v>
      </c>
      <c r="H1102" s="3">
        <v>0</v>
      </c>
      <c r="I1102" s="3">
        <v>0</v>
      </c>
      <c r="J1102" s="3">
        <v>0</v>
      </c>
    </row>
    <row r="1103" spans="2:10">
      <c r="B1103" s="52" t="s">
        <v>214</v>
      </c>
      <c r="C1103" s="3">
        <v>0</v>
      </c>
      <c r="D1103" s="3">
        <v>0</v>
      </c>
      <c r="E1103" s="3">
        <v>0</v>
      </c>
      <c r="F1103" s="3">
        <v>0</v>
      </c>
      <c r="G1103" s="3">
        <v>0</v>
      </c>
      <c r="H1103" s="3">
        <v>0</v>
      </c>
      <c r="I1103" s="3">
        <v>0</v>
      </c>
      <c r="J1103" s="3">
        <v>0</v>
      </c>
    </row>
    <row r="1104" spans="2:10">
      <c r="B1104" s="52" t="s">
        <v>147</v>
      </c>
      <c r="C1104" s="3">
        <v>0</v>
      </c>
      <c r="D1104" s="3">
        <v>0</v>
      </c>
      <c r="E1104" s="3">
        <v>0</v>
      </c>
      <c r="F1104" s="3">
        <v>0</v>
      </c>
      <c r="G1104" s="3">
        <v>0</v>
      </c>
      <c r="H1104" s="3">
        <v>0</v>
      </c>
      <c r="I1104" s="3">
        <v>0</v>
      </c>
      <c r="J1104" s="3">
        <v>0</v>
      </c>
    </row>
    <row r="1105" spans="2:10">
      <c r="B1105" s="52" t="s">
        <v>146</v>
      </c>
      <c r="C1105" s="3">
        <v>0</v>
      </c>
      <c r="D1105" s="3">
        <v>0</v>
      </c>
      <c r="E1105" s="3">
        <v>0</v>
      </c>
      <c r="F1105" s="3">
        <v>0</v>
      </c>
      <c r="G1105" s="3">
        <v>0</v>
      </c>
      <c r="H1105" s="3">
        <v>0</v>
      </c>
      <c r="I1105" s="3">
        <v>0</v>
      </c>
      <c r="J1105" s="3">
        <v>0</v>
      </c>
    </row>
    <row r="1106" spans="2:10">
      <c r="B1106" s="52"/>
      <c r="C1106" s="3"/>
      <c r="D1106" s="3"/>
      <c r="E1106" s="3"/>
      <c r="F1106" s="3"/>
      <c r="G1106" s="3"/>
      <c r="H1106" s="3"/>
      <c r="I1106" s="3"/>
      <c r="J1106" s="3">
        <v>0</v>
      </c>
    </row>
    <row r="1107" spans="2:10">
      <c r="B1107" s="59" t="s">
        <v>32</v>
      </c>
      <c r="C1107" s="1"/>
      <c r="D1107" s="1"/>
      <c r="E1107" s="1"/>
      <c r="F1107" s="1"/>
      <c r="G1107" s="1"/>
      <c r="H1107" s="1"/>
      <c r="I1107" s="1"/>
      <c r="J1107" s="1"/>
    </row>
    <row r="1108" spans="2:10">
      <c r="B1108" s="71" t="s">
        <v>217</v>
      </c>
      <c r="C1108" s="3">
        <v>70</v>
      </c>
      <c r="D1108" s="3">
        <v>92</v>
      </c>
      <c r="E1108" s="3">
        <v>115</v>
      </c>
      <c r="F1108" s="3">
        <v>151</v>
      </c>
      <c r="G1108" s="3">
        <v>162</v>
      </c>
      <c r="H1108" s="3">
        <v>180</v>
      </c>
      <c r="I1108" s="3">
        <v>194</v>
      </c>
      <c r="J1108" s="3">
        <v>211</v>
      </c>
    </row>
    <row r="1109" spans="2:10">
      <c r="B1109" s="52" t="s">
        <v>150</v>
      </c>
      <c r="C1109" s="3">
        <v>0</v>
      </c>
      <c r="D1109" s="3">
        <v>0</v>
      </c>
      <c r="E1109" s="3">
        <v>0</v>
      </c>
      <c r="F1109" s="3">
        <v>0</v>
      </c>
      <c r="G1109" s="3">
        <v>0</v>
      </c>
      <c r="H1109" s="3">
        <v>0</v>
      </c>
      <c r="I1109" s="3">
        <v>0</v>
      </c>
      <c r="J1109" s="3">
        <v>0</v>
      </c>
    </row>
    <row r="1110" spans="2:10">
      <c r="B1110" s="52" t="s">
        <v>214</v>
      </c>
      <c r="C1110" s="3">
        <v>70</v>
      </c>
      <c r="D1110" s="3">
        <v>0</v>
      </c>
      <c r="E1110" s="3">
        <v>0</v>
      </c>
      <c r="F1110" s="3">
        <v>0</v>
      </c>
      <c r="G1110" s="3">
        <v>0</v>
      </c>
      <c r="H1110" s="3">
        <v>0</v>
      </c>
      <c r="I1110" s="3">
        <v>0</v>
      </c>
      <c r="J1110" s="3">
        <v>0</v>
      </c>
    </row>
    <row r="1111" spans="2:10">
      <c r="B1111" s="52" t="s">
        <v>147</v>
      </c>
      <c r="C1111" s="3">
        <v>0</v>
      </c>
      <c r="D1111" s="3">
        <v>0</v>
      </c>
      <c r="E1111" s="3">
        <v>0</v>
      </c>
      <c r="F1111" s="3">
        <v>0</v>
      </c>
      <c r="G1111" s="3">
        <v>0</v>
      </c>
      <c r="H1111" s="3">
        <v>0</v>
      </c>
      <c r="I1111" s="3">
        <v>0</v>
      </c>
      <c r="J1111" s="3">
        <v>0</v>
      </c>
    </row>
    <row r="1112" spans="2:10">
      <c r="B1112" s="52" t="s">
        <v>146</v>
      </c>
      <c r="C1112" s="3">
        <v>0</v>
      </c>
      <c r="D1112" s="3">
        <v>92</v>
      </c>
      <c r="E1112" s="3">
        <v>115</v>
      </c>
      <c r="F1112" s="3">
        <v>151</v>
      </c>
      <c r="G1112" s="3">
        <v>162</v>
      </c>
      <c r="H1112" s="3">
        <v>180</v>
      </c>
      <c r="I1112" s="3">
        <v>194</v>
      </c>
      <c r="J1112" s="3">
        <v>211</v>
      </c>
    </row>
    <row r="1113" spans="2:10">
      <c r="B1113" s="52"/>
      <c r="C1113" s="3"/>
      <c r="D1113" s="3"/>
      <c r="E1113" s="3"/>
      <c r="F1113" s="3"/>
      <c r="G1113" s="3"/>
      <c r="H1113" s="3"/>
      <c r="I1113" s="3"/>
      <c r="J1113" s="3"/>
    </row>
    <row r="1114" spans="2:10">
      <c r="B1114" s="71" t="s">
        <v>216</v>
      </c>
      <c r="C1114" s="3">
        <v>70</v>
      </c>
      <c r="D1114" s="3">
        <v>92</v>
      </c>
      <c r="E1114" s="3">
        <v>115</v>
      </c>
      <c r="F1114" s="3">
        <v>151</v>
      </c>
      <c r="G1114" s="3">
        <v>162</v>
      </c>
      <c r="H1114" s="3">
        <v>180</v>
      </c>
      <c r="I1114" s="3">
        <v>194</v>
      </c>
      <c r="J1114" s="3">
        <v>211</v>
      </c>
    </row>
    <row r="1115" spans="2:10">
      <c r="B1115" s="52" t="s">
        <v>150</v>
      </c>
      <c r="C1115" s="3">
        <v>0</v>
      </c>
      <c r="D1115" s="3">
        <v>0</v>
      </c>
      <c r="E1115" s="3">
        <v>0</v>
      </c>
      <c r="F1115" s="3">
        <v>0</v>
      </c>
      <c r="G1115" s="3">
        <v>0</v>
      </c>
      <c r="H1115" s="3">
        <v>0</v>
      </c>
      <c r="I1115" s="3">
        <v>0</v>
      </c>
      <c r="J1115" s="3">
        <v>0</v>
      </c>
    </row>
    <row r="1116" spans="2:10">
      <c r="B1116" s="52" t="s">
        <v>214</v>
      </c>
      <c r="C1116" s="3">
        <v>70</v>
      </c>
      <c r="D1116" s="3">
        <v>0</v>
      </c>
      <c r="E1116" s="3">
        <v>0</v>
      </c>
      <c r="F1116" s="3">
        <v>0</v>
      </c>
      <c r="G1116" s="3">
        <v>0</v>
      </c>
      <c r="H1116" s="3">
        <v>0</v>
      </c>
      <c r="I1116" s="3">
        <v>0</v>
      </c>
      <c r="J1116" s="3">
        <v>0</v>
      </c>
    </row>
    <row r="1117" spans="2:10">
      <c r="B1117" s="52" t="s">
        <v>147</v>
      </c>
      <c r="C1117" s="3">
        <v>0</v>
      </c>
      <c r="D1117" s="3">
        <v>0</v>
      </c>
      <c r="E1117" s="3">
        <v>0</v>
      </c>
      <c r="F1117" s="3">
        <v>0</v>
      </c>
      <c r="G1117" s="3">
        <v>0</v>
      </c>
      <c r="H1117" s="3">
        <v>0</v>
      </c>
      <c r="I1117" s="3">
        <v>0</v>
      </c>
      <c r="J1117" s="3">
        <v>0</v>
      </c>
    </row>
    <row r="1118" spans="2:10">
      <c r="B1118" s="52" t="s">
        <v>146</v>
      </c>
      <c r="C1118" s="3">
        <v>0</v>
      </c>
      <c r="D1118" s="3">
        <v>92</v>
      </c>
      <c r="E1118" s="3">
        <v>115</v>
      </c>
      <c r="F1118" s="3">
        <v>151</v>
      </c>
      <c r="G1118" s="3">
        <v>162</v>
      </c>
      <c r="H1118" s="3">
        <v>180</v>
      </c>
      <c r="I1118" s="3">
        <v>194</v>
      </c>
      <c r="J1118" s="3">
        <v>211</v>
      </c>
    </row>
    <row r="1119" spans="2:10">
      <c r="B1119" s="52"/>
      <c r="C1119" s="3"/>
      <c r="D1119" s="3"/>
      <c r="E1119" s="3"/>
      <c r="F1119" s="3"/>
      <c r="G1119" s="3"/>
      <c r="H1119" s="3"/>
      <c r="I1119" s="3"/>
      <c r="J1119" s="3"/>
    </row>
    <row r="1120" spans="2:10">
      <c r="B1120" s="71" t="s">
        <v>215</v>
      </c>
      <c r="C1120" s="3">
        <v>0</v>
      </c>
      <c r="D1120" s="3">
        <v>0</v>
      </c>
      <c r="E1120" s="3">
        <v>0</v>
      </c>
      <c r="F1120" s="3">
        <v>0</v>
      </c>
      <c r="G1120" s="3">
        <v>0</v>
      </c>
      <c r="H1120" s="3">
        <v>0</v>
      </c>
      <c r="I1120" s="3">
        <v>0</v>
      </c>
      <c r="J1120" s="3">
        <v>0</v>
      </c>
    </row>
    <row r="1121" spans="2:10">
      <c r="B1121" s="52" t="s">
        <v>150</v>
      </c>
      <c r="C1121" s="3">
        <v>0</v>
      </c>
      <c r="D1121" s="3">
        <v>0</v>
      </c>
      <c r="E1121" s="3">
        <v>0</v>
      </c>
      <c r="F1121" s="3">
        <v>0</v>
      </c>
      <c r="G1121" s="3">
        <v>0</v>
      </c>
      <c r="H1121" s="3">
        <v>0</v>
      </c>
      <c r="I1121" s="3">
        <v>0</v>
      </c>
      <c r="J1121" s="3">
        <v>0</v>
      </c>
    </row>
    <row r="1122" spans="2:10">
      <c r="B1122" s="52" t="s">
        <v>214</v>
      </c>
      <c r="C1122" s="3">
        <v>0</v>
      </c>
      <c r="D1122" s="3">
        <v>0</v>
      </c>
      <c r="E1122" s="3">
        <v>0</v>
      </c>
      <c r="F1122" s="3">
        <v>0</v>
      </c>
      <c r="G1122" s="3">
        <v>0</v>
      </c>
      <c r="H1122" s="3">
        <v>0</v>
      </c>
      <c r="I1122" s="3">
        <v>0</v>
      </c>
      <c r="J1122" s="3">
        <v>0</v>
      </c>
    </row>
    <row r="1123" spans="2:10">
      <c r="B1123" s="52" t="s">
        <v>147</v>
      </c>
      <c r="C1123" s="3">
        <v>0</v>
      </c>
      <c r="D1123" s="3">
        <v>0</v>
      </c>
      <c r="E1123" s="3">
        <v>0</v>
      </c>
      <c r="F1123" s="3">
        <v>0</v>
      </c>
      <c r="G1123" s="3">
        <v>0</v>
      </c>
      <c r="H1123" s="3">
        <v>0</v>
      </c>
      <c r="I1123" s="3">
        <v>0</v>
      </c>
      <c r="J1123" s="3">
        <v>0</v>
      </c>
    </row>
    <row r="1124" spans="2:10">
      <c r="B1124" s="52" t="s">
        <v>146</v>
      </c>
      <c r="C1124" s="3">
        <v>0</v>
      </c>
      <c r="D1124" s="3">
        <v>0</v>
      </c>
      <c r="E1124" s="3">
        <v>0</v>
      </c>
      <c r="F1124" s="3">
        <v>0</v>
      </c>
      <c r="G1124" s="3">
        <v>0</v>
      </c>
      <c r="H1124" s="3">
        <v>0</v>
      </c>
      <c r="I1124" s="3">
        <v>0</v>
      </c>
      <c r="J1124" s="3">
        <v>0</v>
      </c>
    </row>
    <row r="1125" spans="2:10">
      <c r="B1125" s="52"/>
      <c r="C1125" s="3"/>
      <c r="D1125" s="3"/>
      <c r="E1125" s="3"/>
      <c r="F1125" s="3"/>
      <c r="G1125" s="3"/>
      <c r="H1125" s="3"/>
      <c r="I1125" s="3"/>
      <c r="J1125" s="3"/>
    </row>
    <row r="1126" spans="2:10">
      <c r="B1126" s="59" t="s">
        <v>30</v>
      </c>
      <c r="C1126" s="1"/>
      <c r="D1126" s="1"/>
      <c r="E1126" s="1"/>
      <c r="F1126" s="1"/>
      <c r="G1126" s="1"/>
      <c r="H1126" s="1"/>
      <c r="I1126" s="1"/>
      <c r="J1126" s="1"/>
    </row>
    <row r="1127" spans="2:10">
      <c r="B1127" s="71" t="s">
        <v>217</v>
      </c>
      <c r="C1127" s="3">
        <v>0</v>
      </c>
      <c r="D1127" s="3">
        <v>66</v>
      </c>
      <c r="E1127" s="3">
        <v>85</v>
      </c>
      <c r="F1127" s="3">
        <v>123</v>
      </c>
      <c r="G1127" s="3">
        <v>128</v>
      </c>
      <c r="H1127" s="3">
        <v>108</v>
      </c>
      <c r="I1127" s="3">
        <v>119</v>
      </c>
      <c r="J1127" s="3">
        <v>129</v>
      </c>
    </row>
    <row r="1128" spans="2:10">
      <c r="B1128" s="52" t="s">
        <v>150</v>
      </c>
      <c r="C1128" s="3">
        <v>0</v>
      </c>
      <c r="D1128" s="3">
        <v>0</v>
      </c>
      <c r="E1128" s="3">
        <v>0</v>
      </c>
      <c r="F1128" s="3">
        <v>0</v>
      </c>
      <c r="G1128" s="3">
        <v>0</v>
      </c>
      <c r="H1128" s="3">
        <v>1</v>
      </c>
      <c r="I1128" s="3">
        <v>1</v>
      </c>
      <c r="J1128" s="3">
        <v>1</v>
      </c>
    </row>
    <row r="1129" spans="2:10">
      <c r="B1129" s="52" t="s">
        <v>214</v>
      </c>
      <c r="C1129" s="3">
        <v>0</v>
      </c>
      <c r="D1129" s="3">
        <v>0</v>
      </c>
      <c r="E1129" s="3">
        <v>1</v>
      </c>
      <c r="F1129" s="3">
        <v>1</v>
      </c>
      <c r="G1129" s="3">
        <v>1</v>
      </c>
      <c r="H1129" s="3">
        <v>1</v>
      </c>
      <c r="I1129" s="3">
        <v>1</v>
      </c>
      <c r="J1129" s="3">
        <v>1</v>
      </c>
    </row>
    <row r="1130" spans="2:10">
      <c r="B1130" s="52" t="s">
        <v>147</v>
      </c>
      <c r="C1130" s="3">
        <v>0</v>
      </c>
      <c r="D1130" s="3">
        <v>50</v>
      </c>
      <c r="E1130" s="3">
        <v>50</v>
      </c>
      <c r="F1130" s="3">
        <v>51</v>
      </c>
      <c r="G1130" s="3">
        <v>48</v>
      </c>
      <c r="H1130" s="3">
        <v>51</v>
      </c>
      <c r="I1130" s="3">
        <v>47</v>
      </c>
      <c r="J1130" s="3">
        <v>50</v>
      </c>
    </row>
    <row r="1131" spans="2:10">
      <c r="B1131" s="52" t="s">
        <v>146</v>
      </c>
      <c r="C1131" s="3">
        <v>0</v>
      </c>
      <c r="D1131" s="3">
        <v>16</v>
      </c>
      <c r="E1131" s="3">
        <v>34</v>
      </c>
      <c r="F1131" s="3">
        <v>71</v>
      </c>
      <c r="G1131" s="3">
        <v>79</v>
      </c>
      <c r="H1131" s="3">
        <v>55</v>
      </c>
      <c r="I1131" s="3">
        <v>70</v>
      </c>
      <c r="J1131" s="3">
        <v>77</v>
      </c>
    </row>
    <row r="1132" spans="2:10">
      <c r="B1132" s="52"/>
      <c r="C1132" s="3"/>
      <c r="D1132" s="3"/>
      <c r="E1132" s="3"/>
      <c r="F1132" s="3"/>
      <c r="G1132" s="3"/>
      <c r="H1132" s="3"/>
      <c r="I1132" s="3"/>
      <c r="J1132" s="3"/>
    </row>
    <row r="1133" spans="2:10">
      <c r="B1133" s="71" t="s">
        <v>216</v>
      </c>
      <c r="C1133" s="3">
        <v>0</v>
      </c>
      <c r="D1133" s="3">
        <v>66</v>
      </c>
      <c r="E1133" s="3">
        <v>85</v>
      </c>
      <c r="F1133" s="3">
        <v>123</v>
      </c>
      <c r="G1133" s="3">
        <v>128</v>
      </c>
      <c r="H1133" s="3">
        <v>128</v>
      </c>
      <c r="I1133" s="3">
        <v>119</v>
      </c>
      <c r="J1133" s="3">
        <v>129</v>
      </c>
    </row>
    <row r="1134" spans="2:10">
      <c r="B1134" s="52" t="s">
        <v>150</v>
      </c>
      <c r="C1134" s="3">
        <v>0</v>
      </c>
      <c r="D1134" s="3">
        <v>0</v>
      </c>
      <c r="E1134" s="3">
        <v>0</v>
      </c>
      <c r="F1134" s="3">
        <v>0</v>
      </c>
      <c r="G1134" s="3">
        <v>0</v>
      </c>
      <c r="H1134" s="3">
        <v>0</v>
      </c>
      <c r="I1134" s="3">
        <v>1</v>
      </c>
      <c r="J1134" s="3">
        <v>1</v>
      </c>
    </row>
    <row r="1135" spans="2:10">
      <c r="B1135" s="52" t="s">
        <v>214</v>
      </c>
      <c r="C1135" s="3">
        <v>0</v>
      </c>
      <c r="D1135" s="3">
        <v>0</v>
      </c>
      <c r="E1135" s="3">
        <v>1</v>
      </c>
      <c r="F1135" s="3">
        <v>1</v>
      </c>
      <c r="G1135" s="3">
        <v>1</v>
      </c>
      <c r="H1135" s="3">
        <v>1</v>
      </c>
      <c r="I1135" s="3">
        <v>1</v>
      </c>
      <c r="J1135" s="3">
        <v>1</v>
      </c>
    </row>
    <row r="1136" spans="2:10">
      <c r="B1136" s="52" t="s">
        <v>147</v>
      </c>
      <c r="C1136" s="3">
        <v>0</v>
      </c>
      <c r="D1136" s="3">
        <v>50</v>
      </c>
      <c r="E1136" s="3">
        <v>50</v>
      </c>
      <c r="F1136" s="3">
        <v>51</v>
      </c>
      <c r="G1136" s="3">
        <v>48</v>
      </c>
      <c r="H1136" s="3">
        <v>48</v>
      </c>
      <c r="I1136" s="3">
        <v>47</v>
      </c>
      <c r="J1136" s="3">
        <v>50</v>
      </c>
    </row>
    <row r="1137" spans="2:10">
      <c r="B1137" s="52" t="s">
        <v>146</v>
      </c>
      <c r="C1137" s="3">
        <v>0</v>
      </c>
      <c r="D1137" s="3">
        <v>16</v>
      </c>
      <c r="E1137" s="3">
        <v>34</v>
      </c>
      <c r="F1137" s="3">
        <v>71</v>
      </c>
      <c r="G1137" s="3">
        <v>79</v>
      </c>
      <c r="H1137" s="3">
        <v>79</v>
      </c>
      <c r="I1137" s="3">
        <v>70</v>
      </c>
      <c r="J1137" s="3">
        <v>77</v>
      </c>
    </row>
    <row r="1138" spans="2:10">
      <c r="B1138" s="52"/>
      <c r="C1138" s="3"/>
      <c r="D1138" s="3"/>
      <c r="E1138" s="3"/>
      <c r="F1138" s="3"/>
      <c r="G1138" s="3"/>
      <c r="H1138" s="3"/>
      <c r="I1138" s="3"/>
      <c r="J1138" s="3"/>
    </row>
    <row r="1139" spans="2:10">
      <c r="B1139" s="71" t="s">
        <v>215</v>
      </c>
      <c r="C1139" s="3">
        <v>0</v>
      </c>
      <c r="D1139" s="3">
        <v>0</v>
      </c>
      <c r="E1139" s="3">
        <v>0</v>
      </c>
      <c r="F1139" s="3">
        <v>0</v>
      </c>
      <c r="G1139" s="3">
        <v>0</v>
      </c>
      <c r="H1139" s="3">
        <v>0</v>
      </c>
      <c r="I1139" s="3">
        <v>0</v>
      </c>
      <c r="J1139" s="3">
        <v>0</v>
      </c>
    </row>
    <row r="1140" spans="2:10">
      <c r="B1140" s="52" t="s">
        <v>150</v>
      </c>
      <c r="C1140" s="3">
        <v>0</v>
      </c>
      <c r="D1140" s="3">
        <v>0</v>
      </c>
      <c r="E1140" s="3">
        <v>0</v>
      </c>
      <c r="F1140" s="3">
        <v>0</v>
      </c>
      <c r="G1140" s="3">
        <v>0</v>
      </c>
      <c r="H1140" s="3">
        <v>0</v>
      </c>
      <c r="I1140" s="3">
        <v>0</v>
      </c>
      <c r="J1140" s="3">
        <v>0</v>
      </c>
    </row>
    <row r="1141" spans="2:10">
      <c r="B1141" s="52" t="s">
        <v>214</v>
      </c>
      <c r="C1141" s="3">
        <v>0</v>
      </c>
      <c r="D1141" s="3">
        <v>0</v>
      </c>
      <c r="E1141" s="3">
        <v>0</v>
      </c>
      <c r="F1141" s="3">
        <v>0</v>
      </c>
      <c r="G1141" s="3">
        <v>0</v>
      </c>
      <c r="H1141" s="3">
        <v>0</v>
      </c>
      <c r="I1141" s="3">
        <v>0</v>
      </c>
      <c r="J1141" s="3">
        <v>0</v>
      </c>
    </row>
    <row r="1142" spans="2:10">
      <c r="B1142" s="52" t="s">
        <v>147</v>
      </c>
      <c r="C1142" s="3">
        <v>0</v>
      </c>
      <c r="D1142" s="3">
        <v>0</v>
      </c>
      <c r="E1142" s="3">
        <v>0</v>
      </c>
      <c r="F1142" s="3">
        <v>0</v>
      </c>
      <c r="G1142" s="3">
        <v>0</v>
      </c>
      <c r="H1142" s="3">
        <v>0</v>
      </c>
      <c r="I1142" s="3">
        <v>0</v>
      </c>
      <c r="J1142" s="3">
        <v>0</v>
      </c>
    </row>
    <row r="1143" spans="2:10">
      <c r="B1143" s="52" t="s">
        <v>146</v>
      </c>
      <c r="C1143" s="3">
        <v>0</v>
      </c>
      <c r="D1143" s="3">
        <v>0</v>
      </c>
      <c r="E1143" s="3">
        <v>0</v>
      </c>
      <c r="F1143" s="3">
        <v>0</v>
      </c>
      <c r="G1143" s="3">
        <v>0</v>
      </c>
      <c r="H1143" s="3">
        <v>0</v>
      </c>
      <c r="I1143" s="3">
        <v>0</v>
      </c>
      <c r="J1143" s="3">
        <v>0</v>
      </c>
    </row>
    <row r="1144" spans="2:10">
      <c r="B1144" s="52" t="s">
        <v>147</v>
      </c>
      <c r="C1144" s="3">
        <v>0</v>
      </c>
      <c r="D1144" s="3">
        <v>0</v>
      </c>
      <c r="E1144" s="3">
        <v>0</v>
      </c>
      <c r="F1144" s="3">
        <v>0</v>
      </c>
      <c r="G1144" s="3">
        <v>0</v>
      </c>
      <c r="H1144" s="3">
        <v>0</v>
      </c>
      <c r="I1144" s="3">
        <v>0</v>
      </c>
      <c r="J1144" s="3">
        <v>0</v>
      </c>
    </row>
    <row r="1145" spans="2:10" ht="15" thickBot="1">
      <c r="B1145" s="50" t="s">
        <v>146</v>
      </c>
      <c r="C1145" s="100">
        <v>0</v>
      </c>
      <c r="D1145" s="100">
        <v>0</v>
      </c>
      <c r="E1145" s="100">
        <v>0</v>
      </c>
      <c r="F1145" s="100">
        <v>0</v>
      </c>
      <c r="G1145" s="100">
        <v>0</v>
      </c>
      <c r="H1145" s="100">
        <v>0</v>
      </c>
      <c r="I1145" s="100">
        <v>0</v>
      </c>
      <c r="J1145" s="100">
        <v>0</v>
      </c>
    </row>
    <row r="1146" spans="2:10" ht="15" customHeight="1" thickTop="1">
      <c r="B1146" s="2017" t="s">
        <v>201</v>
      </c>
      <c r="C1146" s="2017"/>
      <c r="D1146" s="2017"/>
      <c r="E1146" s="2017"/>
      <c r="F1146" s="2017"/>
      <c r="G1146" s="2017"/>
      <c r="H1146" s="2017"/>
      <c r="I1146" s="2017"/>
      <c r="J1146" s="2017"/>
    </row>
    <row r="1147" spans="2:10">
      <c r="B1147" s="2017" t="s">
        <v>213</v>
      </c>
      <c r="C1147" s="2017"/>
      <c r="D1147" s="2017"/>
      <c r="E1147" s="2017"/>
      <c r="F1147" s="2017"/>
      <c r="G1147" s="2017"/>
      <c r="H1147" s="2017"/>
      <c r="I1147" s="2017"/>
      <c r="J1147" s="2017"/>
    </row>
    <row r="1148" spans="2:10">
      <c r="B1148" s="62"/>
      <c r="C1148" s="1"/>
      <c r="D1148" s="1"/>
      <c r="E1148" s="1"/>
      <c r="F1148" s="1"/>
      <c r="G1148" s="1"/>
      <c r="H1148" s="1"/>
      <c r="I1148" s="1"/>
      <c r="J1148" s="1"/>
    </row>
    <row r="1149" spans="2:10">
      <c r="B1149" s="14" t="s">
        <v>212</v>
      </c>
      <c r="C1149" s="14"/>
      <c r="D1149" s="14"/>
      <c r="E1149" s="14"/>
      <c r="F1149" s="14"/>
      <c r="G1149" s="14"/>
      <c r="H1149" s="14"/>
      <c r="I1149" s="14"/>
      <c r="J1149" s="14"/>
    </row>
    <row r="1150" spans="2:10">
      <c r="B1150" s="12" t="s">
        <v>211</v>
      </c>
      <c r="C1150" s="1"/>
      <c r="D1150" s="1"/>
      <c r="E1150" s="1"/>
      <c r="F1150" s="1"/>
      <c r="G1150" s="1"/>
      <c r="H1150" s="1"/>
      <c r="I1150" s="1"/>
      <c r="J1150" s="1"/>
    </row>
    <row r="1151" spans="2:10">
      <c r="B1151" s="62" t="s">
        <v>210</v>
      </c>
      <c r="C1151" s="1"/>
      <c r="D1151" s="1"/>
      <c r="E1151" s="1"/>
      <c r="F1151" s="1"/>
      <c r="G1151" s="1"/>
      <c r="H1151" s="1"/>
      <c r="I1151" s="1"/>
      <c r="J1151" s="1"/>
    </row>
    <row r="1152" spans="2:10">
      <c r="B1152" s="62"/>
      <c r="C1152" s="1"/>
      <c r="D1152" s="1"/>
      <c r="E1152" s="1"/>
      <c r="F1152" s="1"/>
      <c r="G1152" s="1"/>
      <c r="H1152" s="1"/>
      <c r="I1152" s="1"/>
      <c r="J1152" s="1"/>
    </row>
    <row r="1153" spans="2:10">
      <c r="B1153" s="61"/>
      <c r="C1153" s="60">
        <v>2014</v>
      </c>
      <c r="D1153" s="60">
        <v>2015</v>
      </c>
      <c r="E1153" s="60">
        <v>2016</v>
      </c>
      <c r="F1153" s="60">
        <v>2017</v>
      </c>
      <c r="G1153" s="60">
        <v>2018</v>
      </c>
      <c r="H1153" s="60">
        <v>2019</v>
      </c>
      <c r="I1153" s="60">
        <v>2020</v>
      </c>
      <c r="J1153" s="60">
        <v>2021</v>
      </c>
    </row>
    <row r="1154" spans="2:10">
      <c r="B1154" s="59" t="s">
        <v>30</v>
      </c>
      <c r="C1154" s="1"/>
      <c r="D1154" s="1"/>
      <c r="E1154" s="1"/>
      <c r="F1154" s="1"/>
      <c r="G1154" s="1"/>
      <c r="H1154" s="1"/>
      <c r="I1154" s="1"/>
      <c r="J1154" s="1"/>
    </row>
    <row r="1155" spans="2:10" ht="25">
      <c r="B1155" s="71" t="s">
        <v>209</v>
      </c>
      <c r="C1155" s="79">
        <v>222.71700000000001</v>
      </c>
      <c r="D1155" s="79">
        <v>244.93199999999999</v>
      </c>
      <c r="E1155" s="79">
        <v>191.536</v>
      </c>
      <c r="F1155" s="79">
        <v>115.51300000000001</v>
      </c>
      <c r="G1155" s="55">
        <v>200.405</v>
      </c>
      <c r="H1155" s="79">
        <v>183.87299999999999</v>
      </c>
      <c r="I1155" s="79">
        <v>10468.385</v>
      </c>
      <c r="J1155" s="79">
        <v>12021.535</v>
      </c>
    </row>
    <row r="1156" spans="2:10">
      <c r="B1156" s="71"/>
      <c r="C1156" s="79"/>
      <c r="D1156" s="79"/>
      <c r="E1156" s="79"/>
      <c r="F1156" s="79"/>
      <c r="G1156" s="79"/>
      <c r="H1156" s="79"/>
      <c r="I1156" s="79"/>
      <c r="J1156" s="79"/>
    </row>
    <row r="1157" spans="2:10">
      <c r="B1157" s="71" t="s">
        <v>208</v>
      </c>
      <c r="C1157" s="79">
        <v>0</v>
      </c>
      <c r="D1157" s="79">
        <v>0</v>
      </c>
      <c r="E1157" s="79">
        <v>0</v>
      </c>
      <c r="F1157" s="79">
        <v>0</v>
      </c>
      <c r="G1157" s="79">
        <v>0</v>
      </c>
      <c r="H1157" s="79">
        <v>145.029</v>
      </c>
      <c r="I1157" s="79">
        <v>142.89400000000001</v>
      </c>
      <c r="J1157" s="79">
        <v>177.94799999999998</v>
      </c>
    </row>
    <row r="1158" spans="2:10">
      <c r="B1158" s="52" t="s">
        <v>121</v>
      </c>
      <c r="C1158" s="79">
        <v>0</v>
      </c>
      <c r="D1158" s="79">
        <v>0</v>
      </c>
      <c r="E1158" s="79">
        <v>0</v>
      </c>
      <c r="F1158" s="79">
        <v>0</v>
      </c>
      <c r="G1158" s="79">
        <v>0</v>
      </c>
      <c r="H1158" s="79">
        <v>47.86</v>
      </c>
      <c r="I1158" s="79">
        <v>70.018000000000001</v>
      </c>
      <c r="J1158" s="79">
        <v>80.076999999999998</v>
      </c>
    </row>
    <row r="1159" spans="2:10">
      <c r="B1159" s="53" t="s">
        <v>120</v>
      </c>
      <c r="C1159" s="79">
        <v>0</v>
      </c>
      <c r="D1159" s="79">
        <v>0</v>
      </c>
      <c r="E1159" s="79">
        <v>0</v>
      </c>
      <c r="F1159" s="79">
        <v>0</v>
      </c>
      <c r="G1159" s="79">
        <v>0</v>
      </c>
      <c r="H1159" s="79">
        <v>97.168999999999997</v>
      </c>
      <c r="I1159" s="79">
        <v>72.876000000000005</v>
      </c>
      <c r="J1159" s="79">
        <v>97.870999999999995</v>
      </c>
    </row>
    <row r="1160" spans="2:10">
      <c r="B1160" s="53" t="s">
        <v>119</v>
      </c>
      <c r="C1160" s="79">
        <v>0</v>
      </c>
      <c r="D1160" s="79">
        <v>0</v>
      </c>
      <c r="E1160" s="79">
        <v>0</v>
      </c>
      <c r="F1160" s="79">
        <v>0</v>
      </c>
      <c r="G1160" s="79">
        <v>0</v>
      </c>
      <c r="H1160" s="79">
        <v>0</v>
      </c>
      <c r="I1160" s="79">
        <v>0</v>
      </c>
      <c r="J1160" s="79">
        <v>0</v>
      </c>
    </row>
    <row r="1161" spans="2:10">
      <c r="B1161" s="53" t="s">
        <v>172</v>
      </c>
      <c r="C1161" s="79">
        <v>0</v>
      </c>
      <c r="D1161" s="79">
        <v>0</v>
      </c>
      <c r="E1161" s="79">
        <v>0</v>
      </c>
      <c r="F1161" s="79">
        <v>0</v>
      </c>
      <c r="G1161" s="79">
        <v>0</v>
      </c>
      <c r="H1161" s="79">
        <v>0</v>
      </c>
      <c r="I1161" s="79">
        <v>0</v>
      </c>
      <c r="J1161" s="79">
        <v>0</v>
      </c>
    </row>
    <row r="1162" spans="2:10">
      <c r="B1162" s="52" t="s">
        <v>118</v>
      </c>
      <c r="C1162" s="79">
        <v>0</v>
      </c>
      <c r="D1162" s="79">
        <v>0</v>
      </c>
      <c r="E1162" s="79">
        <v>0</v>
      </c>
      <c r="F1162" s="79">
        <v>0</v>
      </c>
      <c r="G1162" s="79">
        <v>0</v>
      </c>
      <c r="H1162" s="79">
        <v>0</v>
      </c>
      <c r="I1162" s="79">
        <v>0</v>
      </c>
      <c r="J1162" s="79">
        <v>0</v>
      </c>
    </row>
    <row r="1163" spans="2:10">
      <c r="B1163" s="52" t="s">
        <v>176</v>
      </c>
      <c r="C1163" s="79">
        <v>222.61699999999999</v>
      </c>
      <c r="D1163" s="79">
        <v>243.40199999999999</v>
      </c>
      <c r="E1163" s="79">
        <v>189.58600000000001</v>
      </c>
      <c r="F1163" s="79">
        <v>115.003</v>
      </c>
      <c r="G1163" s="55">
        <v>200.405</v>
      </c>
      <c r="H1163" s="79">
        <v>0</v>
      </c>
      <c r="I1163" s="79">
        <v>0</v>
      </c>
      <c r="J1163" s="79">
        <v>0</v>
      </c>
    </row>
    <row r="1164" spans="2:10">
      <c r="B1164" s="52" t="s">
        <v>175</v>
      </c>
      <c r="C1164" s="79">
        <v>0</v>
      </c>
      <c r="D1164" s="79">
        <v>0</v>
      </c>
      <c r="E1164" s="79">
        <v>0</v>
      </c>
      <c r="F1164" s="79">
        <v>0</v>
      </c>
      <c r="G1164" s="79">
        <v>0</v>
      </c>
      <c r="H1164" s="79">
        <v>0</v>
      </c>
      <c r="I1164" s="79">
        <v>0</v>
      </c>
      <c r="J1164" s="79">
        <v>0</v>
      </c>
    </row>
    <row r="1165" spans="2:10">
      <c r="B1165" s="52" t="s">
        <v>174</v>
      </c>
      <c r="C1165" s="79">
        <v>0.1</v>
      </c>
      <c r="D1165" s="79">
        <v>1.53</v>
      </c>
      <c r="E1165" s="79">
        <v>1.95</v>
      </c>
      <c r="F1165" s="79">
        <v>0.51</v>
      </c>
      <c r="G1165" s="79">
        <v>0</v>
      </c>
      <c r="H1165" s="79">
        <v>0</v>
      </c>
      <c r="I1165" s="79">
        <v>0</v>
      </c>
      <c r="J1165" s="79">
        <v>0</v>
      </c>
    </row>
    <row r="1166" spans="2:10">
      <c r="B1166" s="52"/>
      <c r="C1166" s="79"/>
      <c r="D1166" s="79"/>
      <c r="E1166" s="79"/>
      <c r="F1166" s="79"/>
      <c r="G1166" s="79"/>
      <c r="H1166" s="79"/>
      <c r="I1166" s="79"/>
      <c r="J1166" s="79"/>
    </row>
    <row r="1167" spans="2:10" ht="26">
      <c r="B1167" s="83" t="s">
        <v>205</v>
      </c>
      <c r="C1167" s="97">
        <v>0</v>
      </c>
      <c r="D1167" s="97">
        <v>0</v>
      </c>
      <c r="E1167" s="97">
        <v>0</v>
      </c>
      <c r="F1167" s="97">
        <v>0</v>
      </c>
      <c r="G1167" s="97">
        <v>0</v>
      </c>
      <c r="H1167" s="97">
        <v>0</v>
      </c>
      <c r="I1167" s="97">
        <v>0</v>
      </c>
      <c r="J1167" s="97">
        <v>0</v>
      </c>
    </row>
    <row r="1168" spans="2:10">
      <c r="B1168" s="81" t="s">
        <v>121</v>
      </c>
      <c r="C1168" s="79">
        <v>0</v>
      </c>
      <c r="D1168" s="79">
        <v>0</v>
      </c>
      <c r="E1168" s="79">
        <v>0</v>
      </c>
      <c r="F1168" s="79">
        <v>0</v>
      </c>
      <c r="G1168" s="79">
        <v>0</v>
      </c>
      <c r="H1168" s="79">
        <v>0</v>
      </c>
      <c r="I1168" s="79">
        <v>0</v>
      </c>
      <c r="J1168" s="79">
        <v>0</v>
      </c>
    </row>
    <row r="1169" spans="2:10">
      <c r="B1169" s="82" t="s">
        <v>120</v>
      </c>
      <c r="C1169" s="79">
        <v>0</v>
      </c>
      <c r="D1169" s="79">
        <v>0</v>
      </c>
      <c r="E1169" s="79">
        <v>0</v>
      </c>
      <c r="F1169" s="79">
        <v>0</v>
      </c>
      <c r="G1169" s="79">
        <v>0</v>
      </c>
      <c r="H1169" s="79">
        <v>0</v>
      </c>
      <c r="I1169" s="79">
        <v>0</v>
      </c>
      <c r="J1169" s="79">
        <v>0</v>
      </c>
    </row>
    <row r="1170" spans="2:10">
      <c r="B1170" s="82" t="s">
        <v>119</v>
      </c>
      <c r="C1170" s="79">
        <v>0</v>
      </c>
      <c r="D1170" s="79">
        <v>0</v>
      </c>
      <c r="E1170" s="79">
        <v>0</v>
      </c>
      <c r="F1170" s="79">
        <v>0</v>
      </c>
      <c r="G1170" s="79">
        <v>0</v>
      </c>
      <c r="H1170" s="79">
        <v>0</v>
      </c>
      <c r="I1170" s="79">
        <v>0</v>
      </c>
      <c r="J1170" s="79">
        <v>0</v>
      </c>
    </row>
    <row r="1171" spans="2:10">
      <c r="B1171" s="82" t="s">
        <v>172</v>
      </c>
      <c r="C1171" s="79">
        <v>0</v>
      </c>
      <c r="D1171" s="79">
        <v>0</v>
      </c>
      <c r="E1171" s="79">
        <v>0</v>
      </c>
      <c r="F1171" s="79">
        <v>0</v>
      </c>
      <c r="G1171" s="79">
        <v>0</v>
      </c>
      <c r="H1171" s="79">
        <v>0</v>
      </c>
      <c r="I1171" s="79">
        <v>0</v>
      </c>
      <c r="J1171" s="79">
        <v>0</v>
      </c>
    </row>
    <row r="1172" spans="2:10">
      <c r="B1172" s="81" t="s">
        <v>118</v>
      </c>
      <c r="C1172" s="79">
        <v>0</v>
      </c>
      <c r="D1172" s="79">
        <v>0</v>
      </c>
      <c r="E1172" s="79">
        <v>0</v>
      </c>
      <c r="F1172" s="79">
        <v>0</v>
      </c>
      <c r="G1172" s="79">
        <v>0</v>
      </c>
      <c r="H1172" s="79">
        <v>0</v>
      </c>
      <c r="I1172" s="79">
        <v>0</v>
      </c>
      <c r="J1172" s="79">
        <v>0</v>
      </c>
    </row>
    <row r="1173" spans="2:10">
      <c r="B1173" s="81" t="s">
        <v>117</v>
      </c>
      <c r="C1173" s="79"/>
      <c r="D1173" s="79">
        <v>0</v>
      </c>
      <c r="E1173" s="79">
        <v>0</v>
      </c>
      <c r="F1173" s="79">
        <v>0</v>
      </c>
      <c r="G1173" s="79">
        <v>0</v>
      </c>
      <c r="H1173" s="79">
        <v>0</v>
      </c>
      <c r="I1173" s="79">
        <v>0</v>
      </c>
      <c r="J1173" s="79">
        <v>0</v>
      </c>
    </row>
    <row r="1174" spans="2:10">
      <c r="B1174" s="81"/>
      <c r="C1174" s="79"/>
      <c r="D1174" s="79"/>
      <c r="E1174" s="79"/>
      <c r="F1174" s="79"/>
      <c r="G1174" s="79"/>
      <c r="H1174" s="79"/>
      <c r="I1174" s="79"/>
      <c r="J1174" s="79"/>
    </row>
    <row r="1175" spans="2:10" ht="26">
      <c r="B1175" s="83" t="s">
        <v>204</v>
      </c>
      <c r="C1175" s="79">
        <v>0</v>
      </c>
      <c r="D1175" s="79">
        <v>0</v>
      </c>
      <c r="E1175" s="79">
        <v>0</v>
      </c>
      <c r="F1175" s="79">
        <v>0</v>
      </c>
      <c r="G1175" s="79">
        <v>0</v>
      </c>
      <c r="H1175" s="79">
        <v>0</v>
      </c>
      <c r="I1175" s="79">
        <v>0</v>
      </c>
      <c r="J1175" s="97">
        <v>0</v>
      </c>
    </row>
    <row r="1176" spans="2:10">
      <c r="B1176" s="81" t="s">
        <v>121</v>
      </c>
      <c r="C1176" s="79">
        <v>0</v>
      </c>
      <c r="D1176" s="79">
        <v>0</v>
      </c>
      <c r="E1176" s="79">
        <v>0</v>
      </c>
      <c r="F1176" s="79">
        <v>0</v>
      </c>
      <c r="G1176" s="79">
        <v>0</v>
      </c>
      <c r="H1176" s="79">
        <v>0</v>
      </c>
      <c r="I1176" s="79">
        <v>0</v>
      </c>
      <c r="J1176" s="79">
        <v>0</v>
      </c>
    </row>
    <row r="1177" spans="2:10">
      <c r="B1177" s="82" t="s">
        <v>120</v>
      </c>
      <c r="C1177" s="79">
        <v>0</v>
      </c>
      <c r="D1177" s="79">
        <v>0</v>
      </c>
      <c r="E1177" s="79">
        <v>0</v>
      </c>
      <c r="F1177" s="79">
        <v>0</v>
      </c>
      <c r="G1177" s="79">
        <v>0</v>
      </c>
      <c r="H1177" s="79">
        <v>0</v>
      </c>
      <c r="I1177" s="79">
        <v>0</v>
      </c>
      <c r="J1177" s="79">
        <v>0</v>
      </c>
    </row>
    <row r="1178" spans="2:10">
      <c r="B1178" s="82" t="s">
        <v>119</v>
      </c>
      <c r="C1178" s="79">
        <v>0</v>
      </c>
      <c r="D1178" s="79">
        <v>0</v>
      </c>
      <c r="E1178" s="79">
        <v>0</v>
      </c>
      <c r="F1178" s="79">
        <v>0</v>
      </c>
      <c r="G1178" s="79">
        <v>0</v>
      </c>
      <c r="H1178" s="79">
        <v>0</v>
      </c>
      <c r="I1178" s="79">
        <v>0</v>
      </c>
      <c r="J1178" s="79">
        <v>0</v>
      </c>
    </row>
    <row r="1179" spans="2:10">
      <c r="B1179" s="82" t="s">
        <v>172</v>
      </c>
      <c r="C1179" s="79">
        <v>0</v>
      </c>
      <c r="D1179" s="79">
        <v>0</v>
      </c>
      <c r="E1179" s="79">
        <v>0</v>
      </c>
      <c r="F1179" s="79">
        <v>0</v>
      </c>
      <c r="G1179" s="79">
        <v>0</v>
      </c>
      <c r="H1179" s="79">
        <v>0</v>
      </c>
      <c r="I1179" s="79">
        <v>0</v>
      </c>
      <c r="J1179" s="79">
        <v>0</v>
      </c>
    </row>
    <row r="1180" spans="2:10">
      <c r="B1180" s="81" t="s">
        <v>118</v>
      </c>
      <c r="C1180" s="79">
        <v>0</v>
      </c>
      <c r="D1180" s="79">
        <v>0</v>
      </c>
      <c r="E1180" s="79">
        <v>0</v>
      </c>
      <c r="F1180" s="79">
        <v>0</v>
      </c>
      <c r="G1180" s="79">
        <v>0</v>
      </c>
      <c r="H1180" s="79">
        <v>0</v>
      </c>
      <c r="I1180" s="79">
        <v>0</v>
      </c>
      <c r="J1180" s="79">
        <v>0</v>
      </c>
    </row>
    <row r="1181" spans="2:10">
      <c r="B1181" s="81" t="s">
        <v>117</v>
      </c>
      <c r="C1181" s="79"/>
      <c r="D1181" s="79">
        <v>0</v>
      </c>
      <c r="E1181" s="79">
        <v>0</v>
      </c>
      <c r="F1181" s="79">
        <v>0</v>
      </c>
      <c r="G1181" s="79">
        <v>0</v>
      </c>
      <c r="H1181" s="79">
        <v>0</v>
      </c>
      <c r="I1181" s="79">
        <v>0</v>
      </c>
      <c r="J1181" s="79">
        <v>0</v>
      </c>
    </row>
    <row r="1182" spans="2:10">
      <c r="B1182" s="81"/>
      <c r="C1182" s="79">
        <v>0</v>
      </c>
    </row>
    <row r="1183" spans="2:10" ht="25">
      <c r="B1183" s="71" t="s">
        <v>203</v>
      </c>
      <c r="C1183" s="79">
        <v>0</v>
      </c>
      <c r="D1183" s="79">
        <v>0</v>
      </c>
      <c r="E1183" s="79">
        <v>0</v>
      </c>
      <c r="F1183" s="79">
        <v>0</v>
      </c>
      <c r="G1183" s="79">
        <v>0</v>
      </c>
      <c r="H1183" s="79">
        <v>38.844000000000001</v>
      </c>
      <c r="I1183" s="79">
        <v>10325.491</v>
      </c>
      <c r="J1183" s="97">
        <v>11843.587</v>
      </c>
    </row>
    <row r="1184" spans="2:10">
      <c r="B1184" s="52" t="s">
        <v>169</v>
      </c>
      <c r="C1184" s="79">
        <v>0</v>
      </c>
      <c r="D1184" s="79">
        <v>0</v>
      </c>
      <c r="E1184" s="79">
        <v>0</v>
      </c>
      <c r="F1184" s="79">
        <v>0</v>
      </c>
      <c r="G1184" s="79">
        <v>0</v>
      </c>
      <c r="H1184" s="79">
        <v>38.844000000000001</v>
      </c>
      <c r="I1184" s="79">
        <v>10325.491</v>
      </c>
      <c r="J1184" s="79">
        <v>11843.587</v>
      </c>
    </row>
    <row r="1185" spans="2:10">
      <c r="B1185" s="52" t="s">
        <v>168</v>
      </c>
      <c r="C1185" s="79">
        <v>0</v>
      </c>
      <c r="D1185" s="79">
        <v>0</v>
      </c>
      <c r="E1185" s="79">
        <v>0</v>
      </c>
      <c r="F1185" s="79">
        <v>0</v>
      </c>
      <c r="G1185" s="79">
        <v>0</v>
      </c>
      <c r="H1185" s="79">
        <v>0</v>
      </c>
      <c r="I1185" s="79">
        <v>0</v>
      </c>
      <c r="J1185" s="79">
        <v>0</v>
      </c>
    </row>
    <row r="1186" spans="2:10">
      <c r="B1186" s="52" t="s">
        <v>167</v>
      </c>
      <c r="C1186" s="79">
        <v>0</v>
      </c>
      <c r="D1186" s="79">
        <v>0</v>
      </c>
      <c r="E1186" s="79">
        <v>0</v>
      </c>
      <c r="F1186" s="79">
        <v>0</v>
      </c>
      <c r="G1186" s="79">
        <v>0</v>
      </c>
      <c r="H1186" s="79">
        <v>0</v>
      </c>
      <c r="I1186" s="79">
        <v>0</v>
      </c>
      <c r="J1186" s="79">
        <v>0</v>
      </c>
    </row>
    <row r="1187" spans="2:10">
      <c r="B1187" s="52" t="s">
        <v>166</v>
      </c>
      <c r="C1187" s="79">
        <v>0</v>
      </c>
      <c r="D1187" s="79">
        <v>0</v>
      </c>
      <c r="E1187" s="79">
        <v>0</v>
      </c>
      <c r="F1187" s="79">
        <v>0</v>
      </c>
      <c r="G1187" s="79">
        <v>0</v>
      </c>
      <c r="H1187" s="79">
        <v>0</v>
      </c>
      <c r="I1187" s="79">
        <v>0</v>
      </c>
      <c r="J1187" s="79">
        <v>0</v>
      </c>
    </row>
    <row r="1188" spans="2:10">
      <c r="B1188" s="52" t="s">
        <v>165</v>
      </c>
      <c r="C1188" s="79">
        <v>0</v>
      </c>
      <c r="D1188" s="79">
        <v>0</v>
      </c>
      <c r="E1188" s="79">
        <v>0</v>
      </c>
      <c r="F1188" s="79">
        <v>0</v>
      </c>
      <c r="G1188" s="79">
        <v>0</v>
      </c>
      <c r="H1188" s="79">
        <v>0</v>
      </c>
      <c r="I1188" s="79">
        <v>0</v>
      </c>
      <c r="J1188" s="79">
        <v>0</v>
      </c>
    </row>
    <row r="1189" spans="2:10">
      <c r="B1189" s="52" t="s">
        <v>164</v>
      </c>
      <c r="C1189" s="79"/>
      <c r="D1189" s="79">
        <v>0</v>
      </c>
      <c r="E1189" s="79">
        <v>0</v>
      </c>
      <c r="F1189" s="79">
        <v>0</v>
      </c>
      <c r="G1189" s="79">
        <v>0</v>
      </c>
      <c r="H1189" s="79">
        <v>0</v>
      </c>
      <c r="I1189" s="79">
        <v>0</v>
      </c>
      <c r="J1189" s="79">
        <v>0</v>
      </c>
    </row>
    <row r="1190" spans="2:10">
      <c r="B1190" s="52"/>
      <c r="C1190" s="79">
        <v>0</v>
      </c>
    </row>
    <row r="1191" spans="2:10">
      <c r="B1191" s="80" t="s">
        <v>202</v>
      </c>
      <c r="C1191" s="79">
        <v>0</v>
      </c>
      <c r="D1191" s="79">
        <v>0</v>
      </c>
      <c r="E1191" s="79">
        <v>0</v>
      </c>
      <c r="F1191" s="79">
        <v>0</v>
      </c>
      <c r="G1191" s="79">
        <v>0</v>
      </c>
      <c r="H1191" s="79">
        <v>0</v>
      </c>
      <c r="I1191" s="79">
        <v>0</v>
      </c>
      <c r="J1191" s="97">
        <v>0</v>
      </c>
    </row>
    <row r="1192" spans="2:10">
      <c r="B1192" s="52" t="s">
        <v>169</v>
      </c>
      <c r="C1192" s="79">
        <v>0</v>
      </c>
      <c r="D1192" s="79">
        <v>0</v>
      </c>
      <c r="E1192" s="79">
        <v>0</v>
      </c>
      <c r="F1192" s="79">
        <v>0</v>
      </c>
      <c r="G1192" s="79">
        <v>0</v>
      </c>
      <c r="H1192" s="79">
        <v>0</v>
      </c>
      <c r="I1192" s="79">
        <v>0</v>
      </c>
      <c r="J1192" s="79">
        <v>0</v>
      </c>
    </row>
    <row r="1193" spans="2:10">
      <c r="B1193" s="52" t="s">
        <v>168</v>
      </c>
      <c r="C1193" s="79">
        <v>0</v>
      </c>
      <c r="D1193" s="79">
        <v>0</v>
      </c>
      <c r="E1193" s="79">
        <v>0</v>
      </c>
      <c r="F1193" s="79">
        <v>0</v>
      </c>
      <c r="G1193" s="79">
        <v>0</v>
      </c>
      <c r="H1193" s="79">
        <v>0</v>
      </c>
      <c r="I1193" s="79">
        <v>0</v>
      </c>
      <c r="J1193" s="79">
        <v>0</v>
      </c>
    </row>
    <row r="1194" spans="2:10">
      <c r="B1194" s="52" t="s">
        <v>167</v>
      </c>
      <c r="C1194" s="79">
        <v>0</v>
      </c>
      <c r="D1194" s="79">
        <v>0</v>
      </c>
      <c r="E1194" s="79">
        <v>0</v>
      </c>
      <c r="F1194" s="79">
        <v>0</v>
      </c>
      <c r="G1194" s="79">
        <v>0</v>
      </c>
      <c r="H1194" s="79">
        <v>0</v>
      </c>
      <c r="I1194" s="79">
        <v>0</v>
      </c>
      <c r="J1194" s="79">
        <v>0</v>
      </c>
    </row>
    <row r="1195" spans="2:10">
      <c r="B1195" s="52" t="s">
        <v>166</v>
      </c>
      <c r="C1195" s="79">
        <v>0</v>
      </c>
      <c r="D1195" s="79">
        <v>0</v>
      </c>
      <c r="E1195" s="79">
        <v>0</v>
      </c>
      <c r="F1195" s="79">
        <v>0</v>
      </c>
      <c r="G1195" s="79">
        <v>0</v>
      </c>
      <c r="H1195" s="79">
        <v>0</v>
      </c>
      <c r="I1195" s="79">
        <v>0</v>
      </c>
      <c r="J1195" s="79">
        <v>0</v>
      </c>
    </row>
    <row r="1196" spans="2:10">
      <c r="B1196" s="52" t="s">
        <v>165</v>
      </c>
      <c r="C1196" s="79">
        <v>0</v>
      </c>
      <c r="D1196" s="79">
        <v>0</v>
      </c>
      <c r="E1196" s="79">
        <v>0</v>
      </c>
      <c r="F1196" s="79">
        <v>0</v>
      </c>
      <c r="G1196" s="79">
        <v>0</v>
      </c>
      <c r="H1196" s="79">
        <v>0</v>
      </c>
      <c r="I1196" s="79">
        <v>0</v>
      </c>
      <c r="J1196" s="79">
        <v>0</v>
      </c>
    </row>
    <row r="1197" spans="2:10">
      <c r="B1197" s="52" t="s">
        <v>164</v>
      </c>
      <c r="C1197" s="79">
        <v>0</v>
      </c>
      <c r="D1197" s="79">
        <v>0</v>
      </c>
      <c r="E1197" s="79">
        <v>0</v>
      </c>
      <c r="F1197" s="79">
        <v>0</v>
      </c>
      <c r="G1197" s="79">
        <v>0</v>
      </c>
      <c r="H1197" s="79">
        <v>0</v>
      </c>
      <c r="I1197" s="79">
        <v>0</v>
      </c>
      <c r="J1197" s="79">
        <v>0</v>
      </c>
    </row>
    <row r="1198" spans="2:10">
      <c r="B1198" s="52"/>
      <c r="C1198" s="79"/>
      <c r="D1198" s="79"/>
      <c r="E1198" s="79"/>
      <c r="F1198" s="79"/>
      <c r="G1198" s="79"/>
      <c r="H1198" s="79"/>
      <c r="I1198" s="79"/>
      <c r="J1198" s="79"/>
    </row>
    <row r="1199" spans="2:10">
      <c r="B1199" s="59" t="s">
        <v>35</v>
      </c>
      <c r="C1199" s="79"/>
      <c r="D1199" s="79"/>
      <c r="E1199" s="79"/>
      <c r="F1199" s="79"/>
      <c r="G1199" s="79"/>
      <c r="H1199" s="79"/>
      <c r="I1199" s="79"/>
      <c r="J1199" s="79"/>
    </row>
    <row r="1200" spans="2:10" ht="25">
      <c r="B1200" s="71" t="s">
        <v>209</v>
      </c>
      <c r="C1200" s="79"/>
      <c r="D1200" s="55">
        <v>251.13900000000001</v>
      </c>
      <c r="E1200" s="55">
        <v>279.24700000000001</v>
      </c>
      <c r="F1200" s="55">
        <v>284.46100000000001</v>
      </c>
      <c r="G1200" s="55">
        <v>715.50099999999998</v>
      </c>
      <c r="H1200" s="55">
        <v>210155.67800000001</v>
      </c>
      <c r="I1200" s="55">
        <v>117474.807</v>
      </c>
      <c r="J1200" s="55">
        <v>129561.62514285714</v>
      </c>
    </row>
    <row r="1201" spans="2:10">
      <c r="B1201" s="71"/>
      <c r="C1201" s="79"/>
      <c r="D1201" s="87"/>
      <c r="E1201" s="87"/>
      <c r="F1201" s="87"/>
      <c r="G1201" s="87"/>
      <c r="H1201" s="87"/>
      <c r="I1201" s="87"/>
      <c r="J1201" s="87"/>
    </row>
    <row r="1202" spans="2:10">
      <c r="B1202" s="71" t="s">
        <v>208</v>
      </c>
      <c r="C1202" s="79"/>
      <c r="D1202" s="87"/>
      <c r="E1202" s="87"/>
      <c r="F1202" s="87"/>
      <c r="G1202" s="87"/>
      <c r="H1202" s="87"/>
      <c r="I1202" s="87"/>
      <c r="J1202" s="87"/>
    </row>
    <row r="1203" spans="2:10">
      <c r="B1203" s="52" t="s">
        <v>121</v>
      </c>
      <c r="C1203" s="79"/>
      <c r="D1203" s="79">
        <v>0</v>
      </c>
      <c r="E1203" s="79">
        <v>0</v>
      </c>
      <c r="F1203" s="79">
        <v>0</v>
      </c>
      <c r="G1203" s="79">
        <v>0</v>
      </c>
      <c r="H1203" s="79">
        <v>0</v>
      </c>
      <c r="I1203" s="79">
        <v>0</v>
      </c>
      <c r="J1203" s="79">
        <v>0</v>
      </c>
    </row>
    <row r="1204" spans="2:10">
      <c r="B1204" s="53" t="s">
        <v>120</v>
      </c>
      <c r="C1204" s="79"/>
      <c r="D1204" s="79">
        <v>0</v>
      </c>
      <c r="E1204" s="79">
        <v>0</v>
      </c>
      <c r="F1204" s="79">
        <v>0</v>
      </c>
      <c r="G1204" s="79">
        <v>0</v>
      </c>
      <c r="H1204" s="79">
        <v>0</v>
      </c>
      <c r="I1204" s="79">
        <v>0</v>
      </c>
      <c r="J1204" s="79">
        <v>0</v>
      </c>
    </row>
    <row r="1205" spans="2:10">
      <c r="B1205" s="53" t="s">
        <v>119</v>
      </c>
      <c r="C1205" s="79"/>
      <c r="D1205" s="79">
        <v>0</v>
      </c>
      <c r="E1205" s="79">
        <v>0</v>
      </c>
      <c r="F1205" s="79">
        <v>0</v>
      </c>
      <c r="G1205" s="79">
        <v>0</v>
      </c>
      <c r="H1205" s="79">
        <v>0</v>
      </c>
      <c r="I1205" s="79">
        <v>0</v>
      </c>
      <c r="J1205" s="79">
        <v>0</v>
      </c>
    </row>
    <row r="1206" spans="2:10">
      <c r="B1206" s="53" t="s">
        <v>172</v>
      </c>
      <c r="C1206" s="79"/>
      <c r="D1206" s="79">
        <v>0</v>
      </c>
      <c r="E1206" s="79">
        <v>0</v>
      </c>
      <c r="F1206" s="79">
        <v>0</v>
      </c>
      <c r="G1206" s="79">
        <v>0</v>
      </c>
      <c r="H1206" s="79">
        <v>0</v>
      </c>
      <c r="I1206" s="79">
        <v>0</v>
      </c>
      <c r="J1206" s="79">
        <v>0</v>
      </c>
    </row>
    <row r="1207" spans="2:10">
      <c r="B1207" s="52" t="s">
        <v>118</v>
      </c>
      <c r="C1207" s="79"/>
      <c r="D1207" s="79">
        <v>0</v>
      </c>
      <c r="E1207" s="79">
        <v>0</v>
      </c>
      <c r="F1207" s="79">
        <v>0</v>
      </c>
      <c r="G1207" s="79">
        <v>0</v>
      </c>
      <c r="H1207" s="79">
        <v>0</v>
      </c>
      <c r="I1207" s="79">
        <v>0</v>
      </c>
      <c r="J1207" s="79">
        <v>0</v>
      </c>
    </row>
    <row r="1208" spans="2:10">
      <c r="B1208" s="52" t="s">
        <v>117</v>
      </c>
      <c r="C1208" s="79"/>
      <c r="D1208" s="79">
        <v>0</v>
      </c>
      <c r="E1208" s="79">
        <v>0</v>
      </c>
      <c r="F1208" s="79">
        <v>0</v>
      </c>
      <c r="G1208" s="79">
        <v>0</v>
      </c>
      <c r="H1208" s="79">
        <v>0</v>
      </c>
      <c r="I1208" s="79">
        <v>0</v>
      </c>
      <c r="J1208" s="79">
        <v>0</v>
      </c>
    </row>
    <row r="1209" spans="2:10">
      <c r="B1209" s="52"/>
      <c r="C1209" s="79"/>
      <c r="D1209" s="79"/>
      <c r="E1209" s="79"/>
      <c r="F1209" s="79"/>
      <c r="G1209" s="79"/>
      <c r="H1209" s="79"/>
      <c r="I1209" s="79"/>
      <c r="J1209" s="79"/>
    </row>
    <row r="1210" spans="2:10" ht="26">
      <c r="B1210" s="83" t="s">
        <v>205</v>
      </c>
      <c r="C1210" s="79"/>
      <c r="D1210" s="79"/>
      <c r="E1210" s="79"/>
      <c r="F1210" s="79"/>
      <c r="G1210" s="79"/>
      <c r="H1210" s="79">
        <v>0</v>
      </c>
      <c r="I1210" s="79">
        <v>0</v>
      </c>
      <c r="J1210" s="79">
        <v>0</v>
      </c>
    </row>
    <row r="1211" spans="2:10">
      <c r="B1211" s="81" t="s">
        <v>121</v>
      </c>
      <c r="C1211" s="79"/>
      <c r="D1211" s="79">
        <v>0</v>
      </c>
      <c r="E1211" s="79">
        <v>0</v>
      </c>
      <c r="F1211" s="79">
        <v>0</v>
      </c>
      <c r="G1211" s="79">
        <v>0</v>
      </c>
      <c r="H1211" s="79">
        <v>0</v>
      </c>
      <c r="I1211" s="79">
        <v>0</v>
      </c>
      <c r="J1211" s="79">
        <v>0</v>
      </c>
    </row>
    <row r="1212" spans="2:10">
      <c r="B1212" s="82" t="s">
        <v>120</v>
      </c>
      <c r="C1212" s="79"/>
      <c r="D1212" s="79">
        <v>0</v>
      </c>
      <c r="E1212" s="79">
        <v>0</v>
      </c>
      <c r="F1212" s="79">
        <v>0</v>
      </c>
      <c r="G1212" s="79">
        <v>0</v>
      </c>
      <c r="H1212" s="79">
        <v>0</v>
      </c>
      <c r="I1212" s="79">
        <v>0</v>
      </c>
      <c r="J1212" s="79">
        <v>0</v>
      </c>
    </row>
    <row r="1213" spans="2:10">
      <c r="B1213" s="82" t="s">
        <v>119</v>
      </c>
      <c r="C1213" s="79"/>
      <c r="D1213" s="79">
        <v>0</v>
      </c>
      <c r="E1213" s="79">
        <v>0</v>
      </c>
      <c r="F1213" s="79">
        <v>0</v>
      </c>
      <c r="G1213" s="79">
        <v>0</v>
      </c>
      <c r="H1213" s="79">
        <v>0</v>
      </c>
      <c r="I1213" s="79">
        <v>0</v>
      </c>
      <c r="J1213" s="79">
        <v>0</v>
      </c>
    </row>
    <row r="1214" spans="2:10">
      <c r="B1214" s="82" t="s">
        <v>172</v>
      </c>
      <c r="C1214" s="79"/>
      <c r="D1214" s="79">
        <v>0</v>
      </c>
      <c r="E1214" s="79">
        <v>0</v>
      </c>
      <c r="F1214" s="79">
        <v>0</v>
      </c>
      <c r="G1214" s="79">
        <v>0</v>
      </c>
      <c r="H1214" s="79">
        <v>0</v>
      </c>
      <c r="I1214" s="79">
        <v>0</v>
      </c>
      <c r="J1214" s="79">
        <v>0</v>
      </c>
    </row>
    <row r="1215" spans="2:10">
      <c r="B1215" s="81" t="s">
        <v>118</v>
      </c>
      <c r="C1215" s="79"/>
      <c r="D1215" s="79">
        <v>0</v>
      </c>
      <c r="E1215" s="79">
        <v>0</v>
      </c>
      <c r="F1215" s="79">
        <v>0</v>
      </c>
      <c r="G1215" s="79">
        <v>0</v>
      </c>
      <c r="H1215" s="79">
        <v>0</v>
      </c>
      <c r="I1215" s="79">
        <v>0</v>
      </c>
      <c r="J1215" s="79">
        <v>0</v>
      </c>
    </row>
    <row r="1216" spans="2:10">
      <c r="B1216" s="81" t="s">
        <v>117</v>
      </c>
      <c r="C1216" s="79"/>
      <c r="D1216" s="79">
        <v>0</v>
      </c>
      <c r="E1216" s="79">
        <v>0</v>
      </c>
      <c r="F1216" s="79">
        <v>0</v>
      </c>
      <c r="G1216" s="79">
        <v>0</v>
      </c>
      <c r="H1216" s="79">
        <v>0</v>
      </c>
      <c r="I1216" s="79">
        <v>0</v>
      </c>
      <c r="J1216" s="79">
        <v>0</v>
      </c>
    </row>
    <row r="1217" spans="2:10">
      <c r="B1217" s="81"/>
      <c r="C1217" s="79"/>
      <c r="D1217" s="79">
        <v>0</v>
      </c>
      <c r="E1217" s="79">
        <v>0</v>
      </c>
      <c r="F1217" s="79">
        <v>0</v>
      </c>
      <c r="G1217" s="79">
        <v>0</v>
      </c>
      <c r="H1217" s="79">
        <v>0</v>
      </c>
      <c r="I1217" s="79">
        <v>0</v>
      </c>
      <c r="J1217" s="79">
        <v>0</v>
      </c>
    </row>
    <row r="1218" spans="2:10" ht="26">
      <c r="B1218" s="83" t="s">
        <v>204</v>
      </c>
      <c r="C1218" s="79"/>
      <c r="D1218" s="79"/>
      <c r="E1218" s="79"/>
      <c r="F1218" s="79"/>
      <c r="G1218" s="79"/>
    </row>
    <row r="1219" spans="2:10">
      <c r="B1219" s="81" t="s">
        <v>121</v>
      </c>
      <c r="C1219" s="79"/>
      <c r="D1219" s="79">
        <v>0</v>
      </c>
      <c r="E1219" s="79">
        <v>0</v>
      </c>
      <c r="F1219" s="79">
        <v>0</v>
      </c>
      <c r="G1219" s="79">
        <v>0</v>
      </c>
      <c r="H1219" s="79">
        <v>0</v>
      </c>
      <c r="I1219" s="79">
        <v>0</v>
      </c>
      <c r="J1219" s="79">
        <v>0</v>
      </c>
    </row>
    <row r="1220" spans="2:10">
      <c r="B1220" s="82" t="s">
        <v>120</v>
      </c>
      <c r="C1220" s="79"/>
      <c r="D1220" s="79">
        <v>0</v>
      </c>
      <c r="E1220" s="79">
        <v>0</v>
      </c>
      <c r="F1220" s="79">
        <v>0</v>
      </c>
      <c r="G1220" s="79">
        <v>0</v>
      </c>
      <c r="H1220" s="79">
        <v>0</v>
      </c>
      <c r="I1220" s="79">
        <v>0</v>
      </c>
      <c r="J1220" s="79">
        <v>0</v>
      </c>
    </row>
    <row r="1221" spans="2:10">
      <c r="B1221" s="82" t="s">
        <v>119</v>
      </c>
      <c r="C1221" s="79"/>
      <c r="D1221" s="79">
        <v>0</v>
      </c>
      <c r="E1221" s="79">
        <v>0</v>
      </c>
      <c r="F1221" s="79">
        <v>0</v>
      </c>
      <c r="G1221" s="79">
        <v>0</v>
      </c>
      <c r="H1221" s="79">
        <v>0</v>
      </c>
      <c r="I1221" s="79">
        <v>0</v>
      </c>
      <c r="J1221" s="79">
        <v>0</v>
      </c>
    </row>
    <row r="1222" spans="2:10">
      <c r="B1222" s="82" t="s">
        <v>172</v>
      </c>
      <c r="C1222" s="79"/>
      <c r="D1222" s="79">
        <v>0</v>
      </c>
      <c r="E1222" s="79">
        <v>0</v>
      </c>
      <c r="F1222" s="79">
        <v>0</v>
      </c>
      <c r="G1222" s="79">
        <v>0</v>
      </c>
      <c r="H1222" s="79">
        <v>0</v>
      </c>
      <c r="I1222" s="79">
        <v>0</v>
      </c>
      <c r="J1222" s="79">
        <v>0</v>
      </c>
    </row>
    <row r="1223" spans="2:10">
      <c r="B1223" s="81" t="s">
        <v>118</v>
      </c>
      <c r="C1223" s="79"/>
      <c r="D1223" s="79">
        <v>0</v>
      </c>
      <c r="E1223" s="79">
        <v>0</v>
      </c>
      <c r="F1223" s="79">
        <v>0</v>
      </c>
      <c r="G1223" s="79">
        <v>0</v>
      </c>
      <c r="H1223" s="79">
        <v>0</v>
      </c>
      <c r="I1223" s="79">
        <v>0</v>
      </c>
      <c r="J1223" s="79">
        <v>0</v>
      </c>
    </row>
    <row r="1224" spans="2:10">
      <c r="B1224" s="81" t="s">
        <v>117</v>
      </c>
      <c r="C1224" s="79"/>
      <c r="D1224" s="79">
        <v>0</v>
      </c>
      <c r="E1224" s="79">
        <v>0</v>
      </c>
      <c r="F1224" s="79">
        <v>0</v>
      </c>
      <c r="G1224" s="79">
        <v>0</v>
      </c>
      <c r="H1224" s="79">
        <v>0</v>
      </c>
      <c r="I1224" s="79">
        <v>12.72</v>
      </c>
      <c r="J1224" s="55">
        <v>23.422999999999998</v>
      </c>
    </row>
    <row r="1225" spans="2:10">
      <c r="B1225" s="81"/>
      <c r="C1225" s="79"/>
      <c r="D1225" s="79"/>
      <c r="E1225" s="79"/>
      <c r="F1225" s="79"/>
      <c r="G1225" s="79"/>
      <c r="H1225" s="79"/>
      <c r="I1225" s="79"/>
      <c r="J1225" s="79"/>
    </row>
    <row r="1226" spans="2:10" ht="25">
      <c r="B1226" s="71" t="s">
        <v>203</v>
      </c>
      <c r="C1226" s="79"/>
      <c r="D1226" s="79"/>
      <c r="E1226" s="79"/>
      <c r="F1226" s="79"/>
      <c r="G1226" s="79"/>
      <c r="H1226" s="79">
        <v>210155.67800000001</v>
      </c>
      <c r="I1226" s="79">
        <v>117462.087</v>
      </c>
      <c r="J1226" s="55">
        <v>129538.202</v>
      </c>
    </row>
    <row r="1227" spans="2:10">
      <c r="B1227" s="52" t="s">
        <v>169</v>
      </c>
      <c r="C1227" s="79"/>
      <c r="D1227" s="79">
        <v>251.13900000000001</v>
      </c>
      <c r="E1227" s="79">
        <v>279.24700000000001</v>
      </c>
      <c r="F1227" s="79">
        <v>284.46100000000001</v>
      </c>
      <c r="G1227" s="79">
        <v>715.50099999999998</v>
      </c>
      <c r="H1227" s="79">
        <v>209109.307</v>
      </c>
      <c r="I1227" s="79">
        <v>116327.59</v>
      </c>
      <c r="J1227" s="55">
        <v>128640.546</v>
      </c>
    </row>
    <row r="1228" spans="2:10">
      <c r="B1228" s="52" t="s">
        <v>168</v>
      </c>
      <c r="C1228" s="79"/>
      <c r="D1228" s="79">
        <v>5.0519999999999996</v>
      </c>
      <c r="E1228" s="79">
        <v>3.5670000000000002</v>
      </c>
      <c r="F1228" s="79">
        <v>7.0730000000000004</v>
      </c>
      <c r="G1228" s="79">
        <v>1.139</v>
      </c>
      <c r="H1228" s="79">
        <v>75.628</v>
      </c>
      <c r="I1228" s="79">
        <v>36.701999999999998</v>
      </c>
      <c r="J1228" s="55">
        <v>27.495000000000001</v>
      </c>
    </row>
    <row r="1229" spans="2:10">
      <c r="B1229" s="52" t="s">
        <v>167</v>
      </c>
      <c r="C1229" s="79"/>
      <c r="D1229" s="79">
        <v>0</v>
      </c>
      <c r="E1229" s="79">
        <v>0</v>
      </c>
      <c r="F1229" s="79">
        <v>0</v>
      </c>
      <c r="G1229" s="79">
        <v>200</v>
      </c>
      <c r="H1229" s="79">
        <v>0</v>
      </c>
      <c r="I1229" s="79">
        <v>8.6999999999999994E-2</v>
      </c>
      <c r="J1229" s="55">
        <v>0.19500000000000001</v>
      </c>
    </row>
    <row r="1230" spans="2:10">
      <c r="B1230" s="52" t="s">
        <v>166</v>
      </c>
      <c r="C1230" s="79"/>
      <c r="D1230" s="79">
        <v>0</v>
      </c>
      <c r="E1230" s="79">
        <v>0</v>
      </c>
      <c r="F1230" s="79">
        <v>0</v>
      </c>
      <c r="G1230" s="79">
        <v>0</v>
      </c>
      <c r="H1230" s="79">
        <v>849.90800000000002</v>
      </c>
      <c r="I1230" s="79">
        <v>993.46900000000005</v>
      </c>
      <c r="J1230" s="55">
        <v>738.20899999999995</v>
      </c>
    </row>
    <row r="1231" spans="2:10">
      <c r="B1231" s="52" t="s">
        <v>165</v>
      </c>
      <c r="C1231" s="79"/>
      <c r="D1231" s="79">
        <v>216.13200000000001</v>
      </c>
      <c r="E1231" s="79">
        <v>229.83099999999999</v>
      </c>
      <c r="F1231" s="79">
        <v>236.12200000000001</v>
      </c>
      <c r="G1231" s="79">
        <v>625.76900000000001</v>
      </c>
      <c r="H1231" s="79">
        <v>120.83499999999999</v>
      </c>
      <c r="I1231" s="79">
        <v>104.239</v>
      </c>
      <c r="J1231" s="55">
        <v>131.75700000000001</v>
      </c>
    </row>
    <row r="1232" spans="2:10">
      <c r="B1232" s="52" t="s">
        <v>164</v>
      </c>
      <c r="C1232" s="79"/>
      <c r="D1232" s="79">
        <v>29.954999999999998</v>
      </c>
      <c r="E1232" s="79">
        <v>45.848999999999997</v>
      </c>
      <c r="F1232" s="79">
        <v>41.265999999999998</v>
      </c>
      <c r="G1232" s="79">
        <v>88.393000000000001</v>
      </c>
      <c r="H1232" s="79">
        <v>0</v>
      </c>
      <c r="I1232" s="79">
        <v>0</v>
      </c>
      <c r="J1232" s="79">
        <v>0</v>
      </c>
    </row>
    <row r="1233" spans="2:10">
      <c r="B1233" s="52"/>
      <c r="C1233" s="79"/>
      <c r="D1233" s="79"/>
      <c r="E1233" s="79"/>
      <c r="F1233" s="79"/>
      <c r="G1233" s="79"/>
      <c r="H1233" s="79"/>
      <c r="I1233" s="79"/>
      <c r="J1233" s="79"/>
    </row>
    <row r="1234" spans="2:10">
      <c r="B1234" s="80" t="s">
        <v>202</v>
      </c>
      <c r="C1234" s="79"/>
      <c r="D1234" s="79">
        <v>0</v>
      </c>
      <c r="E1234" s="79">
        <v>0</v>
      </c>
      <c r="F1234" s="79">
        <v>0</v>
      </c>
      <c r="G1234" s="79">
        <v>0</v>
      </c>
      <c r="H1234" s="79">
        <v>0</v>
      </c>
      <c r="I1234" s="79">
        <v>0</v>
      </c>
      <c r="J1234" s="79">
        <v>0</v>
      </c>
    </row>
    <row r="1235" spans="2:10">
      <c r="B1235" s="52" t="s">
        <v>169</v>
      </c>
      <c r="C1235" s="79"/>
      <c r="D1235" s="79">
        <v>0</v>
      </c>
      <c r="E1235" s="79">
        <v>0</v>
      </c>
      <c r="F1235" s="79">
        <v>0</v>
      </c>
      <c r="G1235" s="79">
        <v>0</v>
      </c>
      <c r="H1235" s="79">
        <v>0</v>
      </c>
      <c r="I1235" s="79">
        <v>0</v>
      </c>
      <c r="J1235" s="79">
        <v>0</v>
      </c>
    </row>
    <row r="1236" spans="2:10">
      <c r="B1236" s="52" t="s">
        <v>168</v>
      </c>
      <c r="C1236" s="79"/>
      <c r="D1236" s="79">
        <v>0</v>
      </c>
      <c r="E1236" s="79">
        <v>0</v>
      </c>
      <c r="F1236" s="79">
        <v>0</v>
      </c>
      <c r="G1236" s="79">
        <v>0</v>
      </c>
      <c r="H1236" s="79">
        <v>0</v>
      </c>
      <c r="I1236" s="79">
        <v>0</v>
      </c>
      <c r="J1236" s="79">
        <v>0</v>
      </c>
    </row>
    <row r="1237" spans="2:10">
      <c r="B1237" s="52" t="s">
        <v>167</v>
      </c>
      <c r="C1237" s="79"/>
      <c r="D1237" s="79">
        <v>0</v>
      </c>
      <c r="E1237" s="79">
        <v>0</v>
      </c>
      <c r="F1237" s="79">
        <v>0</v>
      </c>
      <c r="G1237" s="79">
        <v>0</v>
      </c>
      <c r="H1237" s="79">
        <v>0</v>
      </c>
      <c r="I1237" s="79">
        <v>0</v>
      </c>
      <c r="J1237" s="79">
        <v>0</v>
      </c>
    </row>
    <row r="1238" spans="2:10">
      <c r="B1238" s="52" t="s">
        <v>166</v>
      </c>
      <c r="C1238" s="79"/>
      <c r="D1238" s="79">
        <v>0</v>
      </c>
      <c r="E1238" s="79">
        <v>0</v>
      </c>
      <c r="F1238" s="79">
        <v>0</v>
      </c>
      <c r="G1238" s="79">
        <v>0</v>
      </c>
      <c r="H1238" s="79">
        <v>0</v>
      </c>
      <c r="I1238" s="79">
        <v>0</v>
      </c>
      <c r="J1238" s="79">
        <v>0</v>
      </c>
    </row>
    <row r="1239" spans="2:10">
      <c r="B1239" s="52" t="s">
        <v>165</v>
      </c>
      <c r="C1239" s="79"/>
      <c r="D1239" s="79">
        <v>0</v>
      </c>
      <c r="E1239" s="79">
        <v>0</v>
      </c>
      <c r="F1239" s="79">
        <v>0</v>
      </c>
      <c r="G1239" s="79">
        <v>0</v>
      </c>
      <c r="H1239" s="79">
        <v>0</v>
      </c>
      <c r="I1239" s="79">
        <v>0</v>
      </c>
      <c r="J1239" s="79">
        <v>0</v>
      </c>
    </row>
    <row r="1240" spans="2:10">
      <c r="B1240" s="52" t="s">
        <v>164</v>
      </c>
      <c r="C1240" s="79"/>
      <c r="D1240" s="79">
        <v>0</v>
      </c>
      <c r="E1240" s="79">
        <v>0</v>
      </c>
      <c r="F1240" s="79">
        <v>0</v>
      </c>
      <c r="G1240" s="79">
        <v>0</v>
      </c>
      <c r="H1240" s="79">
        <v>0</v>
      </c>
      <c r="I1240" s="79">
        <v>0</v>
      </c>
      <c r="J1240" s="79">
        <v>0</v>
      </c>
    </row>
    <row r="1241" spans="2:10">
      <c r="B1241" s="64"/>
      <c r="C1241" s="79"/>
      <c r="D1241" s="79"/>
      <c r="E1241" s="79"/>
      <c r="F1241" s="79"/>
      <c r="G1241" s="79"/>
      <c r="H1241" s="79"/>
      <c r="I1241" s="79"/>
      <c r="J1241" s="79"/>
    </row>
    <row r="1242" spans="2:10">
      <c r="B1242" s="59" t="s">
        <v>32</v>
      </c>
      <c r="C1242" s="99"/>
      <c r="D1242" s="99"/>
      <c r="E1242" s="99"/>
      <c r="F1242" s="99"/>
      <c r="G1242" s="99"/>
      <c r="H1242" s="99"/>
      <c r="I1242" s="99"/>
      <c r="J1242" s="99"/>
    </row>
    <row r="1243" spans="2:10" ht="25">
      <c r="B1243" s="71" t="s">
        <v>209</v>
      </c>
      <c r="C1243" s="79">
        <v>0</v>
      </c>
      <c r="D1243" s="79">
        <v>127.536</v>
      </c>
      <c r="E1243" s="79">
        <v>163.452</v>
      </c>
      <c r="F1243" s="79">
        <v>232.114</v>
      </c>
      <c r="G1243" s="79">
        <v>339.93099999999998</v>
      </c>
      <c r="H1243" s="79">
        <v>529.56500000000005</v>
      </c>
      <c r="I1243" s="79">
        <v>568.56899999999996</v>
      </c>
      <c r="J1243" s="79">
        <v>572.31399999999996</v>
      </c>
    </row>
    <row r="1244" spans="2:10">
      <c r="B1244" s="71"/>
      <c r="C1244" s="87"/>
      <c r="D1244" s="87"/>
      <c r="E1244" s="87"/>
      <c r="F1244" s="87"/>
      <c r="G1244" s="87"/>
      <c r="H1244" s="87"/>
      <c r="I1244" s="87"/>
      <c r="J1244" s="87"/>
    </row>
    <row r="1245" spans="2:10">
      <c r="B1245" s="71" t="s">
        <v>208</v>
      </c>
      <c r="C1245" s="79">
        <v>0</v>
      </c>
      <c r="D1245" s="79">
        <v>127.536</v>
      </c>
      <c r="E1245" s="79">
        <v>163.452</v>
      </c>
      <c r="F1245" s="79">
        <v>232.114</v>
      </c>
      <c r="G1245" s="79">
        <v>339.93099999999998</v>
      </c>
      <c r="H1245" s="79">
        <v>529.56500000000005</v>
      </c>
      <c r="I1245" s="79">
        <v>568.56899999999996</v>
      </c>
      <c r="J1245" s="87">
        <v>572.31399999999996</v>
      </c>
    </row>
    <row r="1246" spans="2:10">
      <c r="B1246" s="52" t="s">
        <v>121</v>
      </c>
      <c r="C1246" s="79">
        <v>0</v>
      </c>
      <c r="D1246" s="79">
        <v>0</v>
      </c>
      <c r="E1246" s="79">
        <v>0</v>
      </c>
      <c r="F1246" s="79">
        <v>0</v>
      </c>
      <c r="G1246" s="79">
        <v>0</v>
      </c>
      <c r="H1246" s="79">
        <v>0</v>
      </c>
      <c r="I1246" s="79">
        <v>0</v>
      </c>
      <c r="J1246" s="79">
        <v>0</v>
      </c>
    </row>
    <row r="1247" spans="2:10">
      <c r="B1247" s="53" t="s">
        <v>120</v>
      </c>
      <c r="C1247" s="79">
        <v>0</v>
      </c>
      <c r="D1247" s="79">
        <v>0</v>
      </c>
      <c r="E1247" s="79">
        <v>0</v>
      </c>
      <c r="F1247" s="79">
        <v>0</v>
      </c>
      <c r="G1247" s="79">
        <v>0</v>
      </c>
      <c r="H1247" s="79">
        <v>0</v>
      </c>
      <c r="I1247" s="79">
        <v>0</v>
      </c>
      <c r="J1247" s="79">
        <v>0</v>
      </c>
    </row>
    <row r="1248" spans="2:10">
      <c r="B1248" s="53" t="s">
        <v>119</v>
      </c>
      <c r="C1248" s="79">
        <v>0</v>
      </c>
      <c r="D1248" s="79">
        <v>0</v>
      </c>
      <c r="E1248" s="79">
        <v>0</v>
      </c>
      <c r="F1248" s="79">
        <v>0</v>
      </c>
      <c r="G1248" s="79">
        <v>0</v>
      </c>
      <c r="H1248" s="79">
        <v>0</v>
      </c>
      <c r="I1248" s="79">
        <v>0</v>
      </c>
      <c r="J1248" s="79">
        <v>0</v>
      </c>
    </row>
    <row r="1249" spans="2:10">
      <c r="B1249" s="53" t="s">
        <v>172</v>
      </c>
      <c r="C1249" s="79">
        <v>0</v>
      </c>
      <c r="D1249" s="79">
        <v>0</v>
      </c>
      <c r="E1249" s="79">
        <v>0</v>
      </c>
      <c r="F1249" s="79">
        <v>0</v>
      </c>
      <c r="G1249" s="79">
        <v>0</v>
      </c>
      <c r="H1249" s="79">
        <v>0</v>
      </c>
      <c r="I1249" s="79">
        <v>0.159</v>
      </c>
      <c r="J1249" s="79">
        <v>0.14299999999999999</v>
      </c>
    </row>
    <row r="1250" spans="2:10">
      <c r="B1250" s="52" t="s">
        <v>118</v>
      </c>
      <c r="C1250" s="79">
        <v>0</v>
      </c>
      <c r="D1250" s="79">
        <v>3.1E-2</v>
      </c>
      <c r="E1250" s="79">
        <v>0.10199999999999999</v>
      </c>
      <c r="F1250" s="79">
        <v>0.06</v>
      </c>
      <c r="G1250" s="79">
        <v>5.1999999999999998E-2</v>
      </c>
      <c r="H1250" s="79">
        <v>7.3999999999999996E-2</v>
      </c>
      <c r="I1250" s="79">
        <v>1.7000000000000001E-2</v>
      </c>
      <c r="J1250" s="79">
        <v>1.4999999999999999E-2</v>
      </c>
    </row>
    <row r="1251" spans="2:10">
      <c r="B1251" s="52" t="s">
        <v>117</v>
      </c>
      <c r="C1251" s="79">
        <v>0</v>
      </c>
      <c r="D1251" s="79">
        <v>127.505</v>
      </c>
      <c r="E1251" s="79">
        <v>163.35</v>
      </c>
      <c r="F1251" s="79">
        <v>232.054</v>
      </c>
      <c r="G1251" s="79">
        <v>339.87899999999996</v>
      </c>
      <c r="H1251" s="79">
        <v>529.4910000000001</v>
      </c>
      <c r="I1251" s="79">
        <v>568.39300000000003</v>
      </c>
      <c r="J1251" s="79">
        <v>572.15599999999995</v>
      </c>
    </row>
    <row r="1252" spans="2:10">
      <c r="B1252" s="52"/>
      <c r="C1252" s="79"/>
      <c r="D1252" s="79"/>
      <c r="E1252" s="79"/>
      <c r="F1252" s="79"/>
      <c r="G1252" s="79"/>
      <c r="H1252" s="79"/>
      <c r="I1252" s="79"/>
      <c r="J1252" s="79"/>
    </row>
    <row r="1253" spans="2:10" ht="26">
      <c r="B1253" s="83" t="s">
        <v>205</v>
      </c>
      <c r="C1253" s="79"/>
      <c r="D1253" s="79">
        <v>0</v>
      </c>
      <c r="E1253" s="79">
        <v>0</v>
      </c>
      <c r="F1253" s="79">
        <v>0</v>
      </c>
      <c r="G1253" s="79">
        <v>0</v>
      </c>
      <c r="H1253" s="79">
        <v>0</v>
      </c>
      <c r="I1253" s="79">
        <v>0</v>
      </c>
      <c r="J1253" s="79">
        <v>0</v>
      </c>
    </row>
    <row r="1254" spans="2:10">
      <c r="B1254" s="81" t="s">
        <v>121</v>
      </c>
      <c r="C1254" s="79">
        <v>0</v>
      </c>
      <c r="D1254" s="79">
        <v>0</v>
      </c>
      <c r="E1254" s="79">
        <v>0</v>
      </c>
      <c r="F1254" s="79">
        <v>0</v>
      </c>
      <c r="G1254" s="79">
        <v>0</v>
      </c>
      <c r="H1254" s="79">
        <v>0</v>
      </c>
      <c r="I1254" s="79">
        <v>0</v>
      </c>
      <c r="J1254" s="79">
        <v>0</v>
      </c>
    </row>
    <row r="1255" spans="2:10">
      <c r="B1255" s="82" t="s">
        <v>120</v>
      </c>
      <c r="C1255" s="79">
        <v>0</v>
      </c>
      <c r="D1255" s="79">
        <v>0</v>
      </c>
      <c r="E1255" s="79">
        <v>0</v>
      </c>
      <c r="F1255" s="79">
        <v>0</v>
      </c>
      <c r="G1255" s="79">
        <v>0</v>
      </c>
      <c r="H1255" s="79">
        <v>0</v>
      </c>
      <c r="I1255" s="79">
        <v>0</v>
      </c>
      <c r="J1255" s="79">
        <v>0</v>
      </c>
    </row>
    <row r="1256" spans="2:10">
      <c r="B1256" s="82" t="s">
        <v>119</v>
      </c>
      <c r="C1256" s="79">
        <v>0</v>
      </c>
      <c r="D1256" s="79">
        <v>0</v>
      </c>
      <c r="E1256" s="79">
        <v>0</v>
      </c>
      <c r="F1256" s="79">
        <v>0</v>
      </c>
      <c r="G1256" s="79">
        <v>0</v>
      </c>
      <c r="H1256" s="79">
        <v>0</v>
      </c>
      <c r="I1256" s="79">
        <v>0</v>
      </c>
      <c r="J1256" s="79">
        <v>0</v>
      </c>
    </row>
    <row r="1257" spans="2:10">
      <c r="B1257" s="82" t="s">
        <v>172</v>
      </c>
      <c r="C1257" s="79">
        <v>0</v>
      </c>
      <c r="D1257" s="79">
        <v>0</v>
      </c>
      <c r="E1257" s="79">
        <v>0</v>
      </c>
      <c r="F1257" s="79">
        <v>0</v>
      </c>
      <c r="G1257" s="79">
        <v>0</v>
      </c>
      <c r="H1257" s="79">
        <v>0</v>
      </c>
      <c r="I1257" s="79">
        <v>0</v>
      </c>
      <c r="J1257" s="79">
        <v>0</v>
      </c>
    </row>
    <row r="1258" spans="2:10">
      <c r="B1258" s="81" t="s">
        <v>118</v>
      </c>
      <c r="C1258" s="79">
        <v>0</v>
      </c>
      <c r="D1258" s="79">
        <v>0</v>
      </c>
      <c r="E1258" s="79">
        <v>0</v>
      </c>
      <c r="F1258" s="79">
        <v>0</v>
      </c>
      <c r="G1258" s="79">
        <v>0</v>
      </c>
      <c r="H1258" s="79">
        <v>0</v>
      </c>
      <c r="I1258" s="79">
        <v>0</v>
      </c>
      <c r="J1258" s="79">
        <v>0</v>
      </c>
    </row>
    <row r="1259" spans="2:10">
      <c r="B1259" s="81" t="s">
        <v>117</v>
      </c>
      <c r="C1259" s="79">
        <v>0</v>
      </c>
      <c r="D1259" s="79">
        <v>0</v>
      </c>
      <c r="E1259" s="79">
        <v>0</v>
      </c>
      <c r="F1259" s="79">
        <v>0</v>
      </c>
      <c r="G1259" s="79">
        <v>0</v>
      </c>
      <c r="H1259" s="79">
        <v>0</v>
      </c>
      <c r="I1259" s="79">
        <v>0</v>
      </c>
      <c r="J1259" s="79">
        <v>0</v>
      </c>
    </row>
    <row r="1260" spans="2:10">
      <c r="B1260" s="81"/>
      <c r="C1260" s="79">
        <v>0</v>
      </c>
      <c r="D1260" s="79"/>
      <c r="E1260" s="79"/>
      <c r="F1260" s="79"/>
      <c r="G1260" s="79"/>
      <c r="H1260" s="79"/>
      <c r="I1260" s="79"/>
      <c r="J1260" s="79"/>
    </row>
    <row r="1261" spans="2:10" ht="26">
      <c r="B1261" s="83" t="s">
        <v>204</v>
      </c>
      <c r="C1261" s="79"/>
      <c r="D1261" s="79">
        <v>0</v>
      </c>
      <c r="E1261" s="79">
        <v>0</v>
      </c>
      <c r="F1261" s="79">
        <v>0</v>
      </c>
      <c r="G1261" s="79">
        <v>0</v>
      </c>
      <c r="H1261">
        <v>0</v>
      </c>
      <c r="I1261">
        <v>0</v>
      </c>
      <c r="J1261">
        <v>0</v>
      </c>
    </row>
    <row r="1262" spans="2:10">
      <c r="B1262" s="81" t="s">
        <v>121</v>
      </c>
      <c r="C1262" s="79">
        <v>0</v>
      </c>
      <c r="D1262" s="79">
        <v>0</v>
      </c>
      <c r="E1262" s="79">
        <v>0</v>
      </c>
      <c r="F1262" s="79">
        <v>0</v>
      </c>
      <c r="G1262" s="79">
        <v>0</v>
      </c>
      <c r="H1262" s="79">
        <v>0</v>
      </c>
      <c r="I1262" s="79">
        <v>0</v>
      </c>
      <c r="J1262" s="79">
        <v>0</v>
      </c>
    </row>
    <row r="1263" spans="2:10">
      <c r="B1263" s="82" t="s">
        <v>120</v>
      </c>
      <c r="C1263" s="79">
        <v>0</v>
      </c>
      <c r="D1263" s="79">
        <v>0</v>
      </c>
      <c r="E1263" s="79">
        <v>0</v>
      </c>
      <c r="F1263" s="79">
        <v>0</v>
      </c>
      <c r="G1263" s="79">
        <v>0</v>
      </c>
      <c r="H1263" s="79">
        <v>0</v>
      </c>
      <c r="I1263" s="79">
        <v>0</v>
      </c>
      <c r="J1263" s="79">
        <v>0</v>
      </c>
    </row>
    <row r="1264" spans="2:10">
      <c r="B1264" s="82" t="s">
        <v>119</v>
      </c>
      <c r="C1264" s="79">
        <v>0</v>
      </c>
      <c r="D1264" s="79">
        <v>0</v>
      </c>
      <c r="E1264" s="79">
        <v>0</v>
      </c>
      <c r="F1264" s="79">
        <v>0</v>
      </c>
      <c r="G1264" s="79">
        <v>0</v>
      </c>
      <c r="H1264" s="79">
        <v>0</v>
      </c>
      <c r="I1264" s="79">
        <v>0</v>
      </c>
      <c r="J1264" s="79">
        <v>0</v>
      </c>
    </row>
    <row r="1265" spans="2:10">
      <c r="B1265" s="82" t="s">
        <v>172</v>
      </c>
      <c r="C1265" s="79">
        <v>0</v>
      </c>
      <c r="D1265" s="79">
        <v>0</v>
      </c>
      <c r="E1265" s="79">
        <v>0</v>
      </c>
      <c r="F1265" s="79">
        <v>0</v>
      </c>
      <c r="G1265" s="79">
        <v>0</v>
      </c>
      <c r="H1265" s="79">
        <v>0</v>
      </c>
      <c r="I1265" s="79">
        <v>0</v>
      </c>
      <c r="J1265" s="79">
        <v>0</v>
      </c>
    </row>
    <row r="1266" spans="2:10">
      <c r="B1266" s="81" t="s">
        <v>118</v>
      </c>
      <c r="C1266" s="79">
        <v>0</v>
      </c>
      <c r="D1266" s="79">
        <v>0</v>
      </c>
      <c r="E1266" s="79">
        <v>0</v>
      </c>
      <c r="F1266" s="79">
        <v>0</v>
      </c>
      <c r="G1266" s="79">
        <v>0</v>
      </c>
      <c r="H1266" s="79">
        <v>0</v>
      </c>
      <c r="I1266" s="79">
        <v>0</v>
      </c>
      <c r="J1266" s="79">
        <v>0</v>
      </c>
    </row>
    <row r="1267" spans="2:10">
      <c r="B1267" s="81" t="s">
        <v>117</v>
      </c>
      <c r="C1267" s="79">
        <v>0</v>
      </c>
      <c r="D1267" s="79">
        <v>0</v>
      </c>
      <c r="E1267" s="79">
        <v>0</v>
      </c>
      <c r="F1267" s="79">
        <v>0</v>
      </c>
      <c r="G1267" s="79">
        <v>0</v>
      </c>
      <c r="H1267" s="79">
        <v>0</v>
      </c>
      <c r="I1267" s="79">
        <v>0</v>
      </c>
      <c r="J1267" s="79">
        <v>0</v>
      </c>
    </row>
    <row r="1268" spans="2:10">
      <c r="B1268" s="81"/>
      <c r="C1268" s="79">
        <v>0</v>
      </c>
      <c r="D1268" s="79"/>
      <c r="E1268" s="79"/>
      <c r="F1268" s="79"/>
      <c r="G1268" s="79"/>
      <c r="H1268" s="79"/>
      <c r="I1268" s="79"/>
      <c r="J1268" s="79"/>
    </row>
    <row r="1269" spans="2:10" ht="25">
      <c r="B1269" s="71" t="s">
        <v>203</v>
      </c>
      <c r="C1269" s="79"/>
      <c r="D1269" s="79">
        <v>0</v>
      </c>
      <c r="E1269" s="79">
        <v>0</v>
      </c>
      <c r="F1269" s="79">
        <v>0</v>
      </c>
      <c r="G1269" s="79">
        <v>0</v>
      </c>
      <c r="H1269" s="79">
        <v>0</v>
      </c>
      <c r="I1269" s="79">
        <v>0</v>
      </c>
      <c r="J1269" s="79">
        <v>0</v>
      </c>
    </row>
    <row r="1270" spans="2:10">
      <c r="B1270" s="52" t="s">
        <v>169</v>
      </c>
      <c r="C1270" s="79">
        <v>0</v>
      </c>
      <c r="D1270" s="79">
        <v>0</v>
      </c>
      <c r="E1270" s="79">
        <v>0</v>
      </c>
      <c r="F1270" s="79">
        <v>0</v>
      </c>
      <c r="G1270" s="79">
        <v>0</v>
      </c>
      <c r="H1270" s="79">
        <v>0</v>
      </c>
      <c r="I1270" s="79">
        <v>0</v>
      </c>
      <c r="J1270" s="79">
        <v>0</v>
      </c>
    </row>
    <row r="1271" spans="2:10">
      <c r="B1271" s="52" t="s">
        <v>168</v>
      </c>
      <c r="C1271" s="79">
        <v>0</v>
      </c>
      <c r="D1271" s="79">
        <v>0</v>
      </c>
      <c r="E1271" s="79">
        <v>0</v>
      </c>
      <c r="F1271" s="79">
        <v>0</v>
      </c>
      <c r="G1271" s="79">
        <v>0</v>
      </c>
      <c r="H1271" s="79">
        <v>0</v>
      </c>
      <c r="I1271" s="79">
        <v>0</v>
      </c>
      <c r="J1271" s="79">
        <v>0</v>
      </c>
    </row>
    <row r="1272" spans="2:10">
      <c r="B1272" s="52" t="s">
        <v>167</v>
      </c>
      <c r="C1272" s="79">
        <v>0</v>
      </c>
      <c r="D1272" s="79">
        <v>0</v>
      </c>
      <c r="E1272" s="79">
        <v>0</v>
      </c>
      <c r="F1272" s="79">
        <v>0</v>
      </c>
      <c r="G1272" s="79">
        <v>0</v>
      </c>
      <c r="H1272" s="79">
        <v>0</v>
      </c>
      <c r="I1272" s="79">
        <v>0</v>
      </c>
      <c r="J1272" s="79">
        <v>0</v>
      </c>
    </row>
    <row r="1273" spans="2:10">
      <c r="B1273" s="52" t="s">
        <v>166</v>
      </c>
      <c r="C1273" s="79">
        <v>0</v>
      </c>
      <c r="D1273" s="79">
        <v>0</v>
      </c>
      <c r="E1273" s="79">
        <v>0</v>
      </c>
      <c r="F1273" s="79">
        <v>0</v>
      </c>
      <c r="G1273" s="79">
        <v>0</v>
      </c>
      <c r="H1273" s="79">
        <v>0</v>
      </c>
      <c r="I1273" s="79">
        <v>0</v>
      </c>
      <c r="J1273" s="79">
        <v>0</v>
      </c>
    </row>
    <row r="1274" spans="2:10">
      <c r="B1274" s="52" t="s">
        <v>165</v>
      </c>
      <c r="C1274" s="79">
        <v>0</v>
      </c>
      <c r="D1274" s="79">
        <v>0</v>
      </c>
      <c r="E1274" s="79">
        <v>0</v>
      </c>
      <c r="F1274" s="79">
        <v>0</v>
      </c>
      <c r="G1274" s="79">
        <v>0</v>
      </c>
      <c r="H1274" s="79">
        <v>0</v>
      </c>
      <c r="I1274" s="79">
        <v>0</v>
      </c>
      <c r="J1274" s="79">
        <v>0</v>
      </c>
    </row>
    <row r="1275" spans="2:10">
      <c r="B1275" s="52" t="s">
        <v>164</v>
      </c>
      <c r="C1275" s="79">
        <v>0</v>
      </c>
      <c r="D1275" s="79">
        <v>0</v>
      </c>
      <c r="E1275" s="79">
        <v>0</v>
      </c>
      <c r="F1275" s="79">
        <v>0</v>
      </c>
      <c r="G1275" s="79">
        <v>0</v>
      </c>
      <c r="H1275" s="79">
        <v>0</v>
      </c>
      <c r="I1275" s="79">
        <v>0</v>
      </c>
      <c r="J1275" s="79">
        <v>0</v>
      </c>
    </row>
    <row r="1276" spans="2:10">
      <c r="B1276" s="52"/>
      <c r="C1276" s="79">
        <v>0</v>
      </c>
      <c r="D1276" s="79"/>
      <c r="E1276" s="79"/>
      <c r="F1276" s="79"/>
      <c r="G1276" s="79"/>
      <c r="H1276" s="79"/>
      <c r="I1276" s="79"/>
      <c r="J1276" s="79"/>
    </row>
    <row r="1277" spans="2:10">
      <c r="B1277" s="80" t="s">
        <v>202</v>
      </c>
      <c r="C1277" s="87"/>
      <c r="D1277" s="87">
        <v>0</v>
      </c>
      <c r="E1277" s="87">
        <v>0</v>
      </c>
      <c r="F1277" s="87">
        <v>0</v>
      </c>
      <c r="G1277" s="87">
        <v>0</v>
      </c>
      <c r="H1277" s="87">
        <v>0</v>
      </c>
      <c r="I1277" s="87">
        <v>0</v>
      </c>
      <c r="J1277" s="87">
        <v>0</v>
      </c>
    </row>
    <row r="1278" spans="2:10">
      <c r="B1278" s="52" t="s">
        <v>169</v>
      </c>
      <c r="C1278" s="79">
        <v>0</v>
      </c>
      <c r="D1278" s="79">
        <v>0</v>
      </c>
      <c r="E1278" s="79">
        <v>0</v>
      </c>
      <c r="F1278" s="79">
        <v>0</v>
      </c>
      <c r="G1278" s="79">
        <v>0</v>
      </c>
      <c r="H1278" s="79">
        <v>0</v>
      </c>
      <c r="I1278" s="79">
        <v>0</v>
      </c>
      <c r="J1278" s="79">
        <v>0</v>
      </c>
    </row>
    <row r="1279" spans="2:10">
      <c r="B1279" s="52" t="s">
        <v>168</v>
      </c>
      <c r="C1279" s="79">
        <v>0</v>
      </c>
      <c r="D1279" s="79">
        <v>0</v>
      </c>
      <c r="E1279" s="79">
        <v>0</v>
      </c>
      <c r="F1279" s="79">
        <v>0</v>
      </c>
      <c r="G1279" s="79">
        <v>0</v>
      </c>
      <c r="H1279" s="79">
        <v>0</v>
      </c>
      <c r="I1279" s="79">
        <v>0</v>
      </c>
      <c r="J1279" s="79">
        <v>0</v>
      </c>
    </row>
    <row r="1280" spans="2:10">
      <c r="B1280" s="52" t="s">
        <v>167</v>
      </c>
      <c r="C1280" s="79">
        <v>0</v>
      </c>
      <c r="D1280" s="79">
        <v>0</v>
      </c>
      <c r="E1280" s="79">
        <v>0</v>
      </c>
      <c r="F1280" s="79">
        <v>0</v>
      </c>
      <c r="G1280" s="79">
        <v>0</v>
      </c>
      <c r="H1280" s="79">
        <v>0</v>
      </c>
      <c r="I1280" s="79">
        <v>0</v>
      </c>
      <c r="J1280" s="79">
        <v>0</v>
      </c>
    </row>
    <row r="1281" spans="2:10">
      <c r="B1281" s="52" t="s">
        <v>166</v>
      </c>
      <c r="C1281" s="79">
        <v>0</v>
      </c>
      <c r="D1281" s="79">
        <v>0</v>
      </c>
      <c r="E1281" s="79">
        <v>0</v>
      </c>
      <c r="F1281" s="79">
        <v>0</v>
      </c>
      <c r="G1281" s="79">
        <v>0</v>
      </c>
      <c r="H1281" s="79">
        <v>0</v>
      </c>
      <c r="I1281" s="79">
        <v>0</v>
      </c>
      <c r="J1281" s="79">
        <v>0</v>
      </c>
    </row>
    <row r="1282" spans="2:10">
      <c r="B1282" s="52" t="s">
        <v>165</v>
      </c>
      <c r="C1282" s="79">
        <v>0</v>
      </c>
      <c r="D1282" s="79">
        <v>0</v>
      </c>
      <c r="E1282" s="79">
        <v>0</v>
      </c>
      <c r="F1282" s="79">
        <v>0</v>
      </c>
      <c r="G1282" s="79">
        <v>0</v>
      </c>
      <c r="H1282" s="79">
        <v>0</v>
      </c>
      <c r="I1282" s="79">
        <v>0</v>
      </c>
      <c r="J1282" s="79">
        <v>0</v>
      </c>
    </row>
    <row r="1283" spans="2:10">
      <c r="B1283" s="52" t="s">
        <v>164</v>
      </c>
      <c r="C1283" s="79">
        <v>0</v>
      </c>
      <c r="D1283" s="79">
        <v>0</v>
      </c>
      <c r="E1283" s="79">
        <v>0</v>
      </c>
      <c r="F1283" s="79">
        <v>0</v>
      </c>
      <c r="G1283" s="79">
        <v>0</v>
      </c>
      <c r="H1283" s="79">
        <v>0</v>
      </c>
      <c r="I1283" s="79">
        <v>0</v>
      </c>
      <c r="J1283" s="79">
        <v>0</v>
      </c>
    </row>
    <row r="1284" spans="2:10">
      <c r="B1284" s="64"/>
      <c r="C1284" s="79"/>
      <c r="D1284" s="79"/>
      <c r="E1284" s="79"/>
      <c r="F1284" s="79"/>
      <c r="G1284" s="79"/>
      <c r="H1284" s="79"/>
      <c r="I1284" s="79"/>
      <c r="J1284" s="79"/>
    </row>
    <row r="1285" spans="2:10">
      <c r="B1285" s="59" t="s">
        <v>33</v>
      </c>
      <c r="C1285" s="79"/>
      <c r="D1285" s="79"/>
      <c r="E1285" s="79"/>
      <c r="F1285" s="79"/>
      <c r="G1285" s="79"/>
      <c r="H1285" s="79"/>
      <c r="I1285" s="79"/>
      <c r="J1285" s="79"/>
    </row>
    <row r="1286" spans="2:10" ht="25">
      <c r="B1286" s="71" t="s">
        <v>209</v>
      </c>
      <c r="C1286" s="55">
        <v>2620.3129999999996</v>
      </c>
      <c r="D1286" s="55">
        <v>3559.2220000000002</v>
      </c>
      <c r="E1286" s="55">
        <v>4081.1590000000006</v>
      </c>
      <c r="F1286" s="55">
        <v>5296.5</v>
      </c>
      <c r="G1286" s="55">
        <v>6222.8609999999999</v>
      </c>
      <c r="H1286" s="95">
        <f>+H1288+H1314</f>
        <v>43365.955000000002</v>
      </c>
      <c r="I1286" s="95">
        <f>+I1288+I1314</f>
        <v>17439.567999999999</v>
      </c>
      <c r="J1286" s="95">
        <f>+J1288+J1314</f>
        <v>27066.152000000002</v>
      </c>
    </row>
    <row r="1287" spans="2:10">
      <c r="B1287" s="71"/>
      <c r="C1287" s="89"/>
      <c r="D1287" s="89"/>
      <c r="E1287" s="89"/>
      <c r="F1287" s="89"/>
      <c r="G1287" s="89"/>
      <c r="H1287" s="89"/>
      <c r="I1287" s="95"/>
      <c r="J1287" s="95"/>
    </row>
    <row r="1288" spans="2:10">
      <c r="B1288" s="71" t="s">
        <v>208</v>
      </c>
      <c r="C1288" s="55">
        <v>2085.1729999999998</v>
      </c>
      <c r="D1288" s="55">
        <v>2952.0770000000002</v>
      </c>
      <c r="E1288" s="55">
        <v>3487.4980000000005</v>
      </c>
      <c r="F1288" s="55">
        <v>4638.3</v>
      </c>
      <c r="G1288" s="55">
        <v>5425.39</v>
      </c>
      <c r="H1288" s="55">
        <v>6913.75</v>
      </c>
      <c r="I1288" s="95">
        <v>16895.091</v>
      </c>
      <c r="J1288" s="95">
        <f>+J1289+J1293+J1294</f>
        <v>23134.982</v>
      </c>
    </row>
    <row r="1289" spans="2:10">
      <c r="B1289" s="52" t="s">
        <v>121</v>
      </c>
      <c r="C1289" s="98">
        <v>778.995</v>
      </c>
      <c r="D1289" s="98">
        <v>1107.348</v>
      </c>
      <c r="E1289" s="98">
        <v>1057.249</v>
      </c>
      <c r="F1289" s="98">
        <v>1338.4</v>
      </c>
      <c r="G1289" s="98">
        <v>2061.8530000000001</v>
      </c>
      <c r="H1289" s="98">
        <v>3752.8115000000003</v>
      </c>
      <c r="I1289" s="95">
        <v>6841.241</v>
      </c>
      <c r="J1289" s="95">
        <f>+J1290+J1291</f>
        <v>9154.2890000000007</v>
      </c>
    </row>
    <row r="1290" spans="2:10">
      <c r="B1290" s="53" t="s">
        <v>120</v>
      </c>
      <c r="C1290" s="79">
        <v>0</v>
      </c>
      <c r="D1290" s="55">
        <v>0</v>
      </c>
      <c r="E1290" s="55">
        <v>0</v>
      </c>
      <c r="F1290" s="55">
        <v>0</v>
      </c>
      <c r="G1290" s="55">
        <v>2061.8530000000001</v>
      </c>
      <c r="H1290" s="55">
        <v>314.79050000000001</v>
      </c>
      <c r="I1290" s="95">
        <v>143.95699999999999</v>
      </c>
      <c r="J1290" s="94">
        <v>485.375</v>
      </c>
    </row>
    <row r="1291" spans="2:10">
      <c r="B1291" s="53" t="s">
        <v>207</v>
      </c>
      <c r="C1291" s="79">
        <v>9.0939999999999994</v>
      </c>
      <c r="D1291" s="55">
        <v>9.4049999999999994</v>
      </c>
      <c r="E1291" s="55">
        <v>9.1170000000000009</v>
      </c>
      <c r="F1291" s="55">
        <v>13.4</v>
      </c>
      <c r="G1291" s="55">
        <v>18.184000000000001</v>
      </c>
      <c r="H1291" s="55">
        <v>3438.0210000000002</v>
      </c>
      <c r="I1291" s="95">
        <v>6697.2839999999997</v>
      </c>
      <c r="J1291" s="94">
        <v>8668.9140000000007</v>
      </c>
    </row>
    <row r="1292" spans="2:10">
      <c r="B1292" s="53" t="s">
        <v>172</v>
      </c>
      <c r="C1292" s="79">
        <v>769.90099999999995</v>
      </c>
      <c r="D1292" s="55">
        <v>1097.943</v>
      </c>
      <c r="E1292" s="55">
        <v>1048.1320000000001</v>
      </c>
      <c r="F1292" s="55">
        <v>1311.6</v>
      </c>
      <c r="G1292" s="55">
        <v>2043.6690000000001</v>
      </c>
      <c r="H1292" s="55">
        <v>0</v>
      </c>
      <c r="I1292" s="95">
        <v>0</v>
      </c>
      <c r="J1292" s="95">
        <v>0</v>
      </c>
    </row>
    <row r="1293" spans="2:10">
      <c r="B1293" s="52" t="s">
        <v>118</v>
      </c>
      <c r="C1293" s="79">
        <v>936.34799999999996</v>
      </c>
      <c r="D1293" s="55">
        <v>1412.3440000000001</v>
      </c>
      <c r="E1293" s="55">
        <v>1942.172</v>
      </c>
      <c r="F1293" s="55">
        <v>2842.7</v>
      </c>
      <c r="G1293" s="55">
        <v>3363.5369999999998</v>
      </c>
      <c r="H1293" s="55">
        <v>3160.94</v>
      </c>
      <c r="I1293" s="95">
        <v>10052.049999999999</v>
      </c>
      <c r="J1293" s="94">
        <v>11475.847</v>
      </c>
    </row>
    <row r="1294" spans="2:10">
      <c r="B1294" s="52" t="s">
        <v>176</v>
      </c>
      <c r="C1294" s="79">
        <v>0</v>
      </c>
      <c r="D1294" s="55">
        <v>0</v>
      </c>
      <c r="E1294" s="55">
        <v>0</v>
      </c>
      <c r="F1294" s="55">
        <v>0</v>
      </c>
      <c r="G1294" s="55">
        <v>0</v>
      </c>
      <c r="H1294" s="55">
        <v>0</v>
      </c>
      <c r="I1294" s="95">
        <v>1.8</v>
      </c>
      <c r="J1294" s="94">
        <v>2504.846</v>
      </c>
    </row>
    <row r="1295" spans="2:10">
      <c r="B1295" s="52" t="s">
        <v>206</v>
      </c>
      <c r="C1295" s="79">
        <v>369.83</v>
      </c>
      <c r="D1295" s="55">
        <v>432.38499999999999</v>
      </c>
      <c r="E1295" s="55">
        <v>488.077</v>
      </c>
      <c r="F1295" s="55">
        <v>0</v>
      </c>
      <c r="G1295" s="55">
        <v>0</v>
      </c>
      <c r="H1295" s="55">
        <v>0</v>
      </c>
      <c r="I1295" s="55">
        <v>0</v>
      </c>
      <c r="J1295" s="55">
        <v>0</v>
      </c>
    </row>
    <row r="1296" spans="2:10">
      <c r="B1296" s="52" t="s">
        <v>174</v>
      </c>
      <c r="C1296" s="79">
        <v>0</v>
      </c>
      <c r="D1296" s="55">
        <v>0</v>
      </c>
      <c r="E1296" s="55">
        <v>0</v>
      </c>
      <c r="F1296" s="55">
        <v>0</v>
      </c>
      <c r="G1296" s="55">
        <v>0</v>
      </c>
      <c r="H1296" s="55">
        <v>0</v>
      </c>
      <c r="I1296" s="55">
        <v>0</v>
      </c>
      <c r="J1296">
        <v>0</v>
      </c>
    </row>
    <row r="1297" spans="2:10">
      <c r="B1297" s="52"/>
      <c r="C1297" s="79"/>
      <c r="D1297" s="79"/>
      <c r="E1297" s="79"/>
      <c r="F1297" s="79"/>
      <c r="G1297" s="79"/>
      <c r="H1297" s="79"/>
    </row>
    <row r="1298" spans="2:10" ht="26">
      <c r="B1298" s="83" t="s">
        <v>205</v>
      </c>
      <c r="C1298" s="79"/>
      <c r="D1298" s="79"/>
      <c r="E1298" s="79"/>
      <c r="F1298" s="79"/>
      <c r="G1298" s="79"/>
      <c r="H1298" s="79"/>
    </row>
    <row r="1299" spans="2:10">
      <c r="B1299" s="81" t="s">
        <v>121</v>
      </c>
      <c r="C1299" s="79">
        <v>0</v>
      </c>
      <c r="D1299" s="79">
        <v>0</v>
      </c>
      <c r="E1299" s="79">
        <v>0</v>
      </c>
      <c r="F1299" s="79">
        <v>0</v>
      </c>
      <c r="G1299" s="79">
        <v>0</v>
      </c>
      <c r="H1299" s="79">
        <v>0</v>
      </c>
      <c r="I1299" s="79">
        <v>0</v>
      </c>
      <c r="J1299" s="79">
        <v>0</v>
      </c>
    </row>
    <row r="1300" spans="2:10">
      <c r="B1300" s="82" t="s">
        <v>120</v>
      </c>
      <c r="C1300" s="97">
        <v>0</v>
      </c>
      <c r="D1300" s="97">
        <v>0</v>
      </c>
      <c r="E1300" s="97">
        <v>0</v>
      </c>
      <c r="F1300" s="97">
        <v>0</v>
      </c>
      <c r="G1300" s="97">
        <v>0</v>
      </c>
      <c r="H1300" s="79">
        <v>0</v>
      </c>
      <c r="I1300" s="79">
        <v>0</v>
      </c>
      <c r="J1300" s="79">
        <v>0</v>
      </c>
    </row>
    <row r="1301" spans="2:10">
      <c r="B1301" s="82" t="s">
        <v>119</v>
      </c>
      <c r="C1301" s="79">
        <v>0</v>
      </c>
      <c r="D1301" s="79">
        <v>0</v>
      </c>
      <c r="E1301" s="79">
        <v>0</v>
      </c>
      <c r="F1301" s="79">
        <v>0</v>
      </c>
      <c r="G1301" s="79">
        <v>0</v>
      </c>
      <c r="H1301" s="79">
        <v>0</v>
      </c>
      <c r="I1301" s="79">
        <v>0</v>
      </c>
      <c r="J1301" s="79">
        <v>0</v>
      </c>
    </row>
    <row r="1302" spans="2:10">
      <c r="B1302" s="82" t="s">
        <v>172</v>
      </c>
      <c r="C1302" s="79">
        <v>0</v>
      </c>
      <c r="D1302" s="79">
        <v>0</v>
      </c>
      <c r="E1302" s="79">
        <v>0</v>
      </c>
      <c r="F1302" s="79">
        <v>0</v>
      </c>
      <c r="G1302" s="79">
        <v>0</v>
      </c>
      <c r="H1302" s="79">
        <v>0</v>
      </c>
      <c r="I1302" s="79">
        <v>0</v>
      </c>
      <c r="J1302" s="79">
        <v>0</v>
      </c>
    </row>
    <row r="1303" spans="2:10">
      <c r="B1303" s="81" t="s">
        <v>118</v>
      </c>
      <c r="C1303" s="79">
        <v>0</v>
      </c>
      <c r="D1303" s="79">
        <v>0</v>
      </c>
      <c r="E1303" s="79">
        <v>0</v>
      </c>
      <c r="F1303" s="79">
        <v>0</v>
      </c>
      <c r="G1303" s="79">
        <v>0</v>
      </c>
      <c r="H1303" s="79">
        <v>0</v>
      </c>
      <c r="I1303" s="79">
        <v>0</v>
      </c>
      <c r="J1303" s="79">
        <v>0</v>
      </c>
    </row>
    <row r="1304" spans="2:10">
      <c r="B1304" s="81" t="s">
        <v>117</v>
      </c>
      <c r="C1304" s="79">
        <v>0</v>
      </c>
      <c r="D1304" s="79">
        <v>0</v>
      </c>
      <c r="E1304" s="79">
        <v>0</v>
      </c>
      <c r="F1304" s="79">
        <v>0</v>
      </c>
      <c r="G1304" s="79">
        <v>0</v>
      </c>
      <c r="H1304" s="79">
        <v>0</v>
      </c>
      <c r="I1304" s="79">
        <v>0</v>
      </c>
      <c r="J1304" s="79">
        <v>0</v>
      </c>
    </row>
    <row r="1305" spans="2:10">
      <c r="B1305" s="81"/>
      <c r="C1305" s="79"/>
      <c r="D1305" s="79"/>
      <c r="E1305" s="79"/>
      <c r="F1305" s="79"/>
      <c r="G1305" s="79"/>
      <c r="H1305" s="79"/>
      <c r="I1305" s="79"/>
      <c r="J1305" s="79"/>
    </row>
    <row r="1306" spans="2:10" ht="26">
      <c r="B1306" s="83" t="s">
        <v>204</v>
      </c>
      <c r="C1306" s="79"/>
      <c r="D1306" s="79"/>
      <c r="E1306" s="79"/>
      <c r="F1306" s="79"/>
      <c r="G1306" s="79"/>
      <c r="H1306" s="79">
        <v>0</v>
      </c>
      <c r="I1306" s="79">
        <v>0</v>
      </c>
      <c r="J1306" s="79">
        <v>0</v>
      </c>
    </row>
    <row r="1307" spans="2:10">
      <c r="B1307" s="81" t="s">
        <v>121</v>
      </c>
      <c r="C1307" s="79">
        <v>0</v>
      </c>
      <c r="D1307" s="79">
        <v>0</v>
      </c>
      <c r="E1307" s="79">
        <v>0</v>
      </c>
      <c r="F1307" s="79">
        <v>0</v>
      </c>
      <c r="G1307" s="79">
        <v>0</v>
      </c>
      <c r="H1307" s="79">
        <v>0</v>
      </c>
      <c r="I1307" s="79">
        <v>0</v>
      </c>
      <c r="J1307" s="79">
        <v>0</v>
      </c>
    </row>
    <row r="1308" spans="2:10">
      <c r="B1308" s="82" t="s">
        <v>120</v>
      </c>
      <c r="C1308" s="79">
        <v>0</v>
      </c>
      <c r="D1308" s="79">
        <v>0</v>
      </c>
      <c r="E1308" s="79">
        <v>0</v>
      </c>
      <c r="F1308" s="79">
        <v>0</v>
      </c>
      <c r="G1308" s="79">
        <v>0</v>
      </c>
      <c r="H1308" s="79">
        <v>0</v>
      </c>
      <c r="I1308" s="79">
        <v>0</v>
      </c>
      <c r="J1308" s="79">
        <v>0</v>
      </c>
    </row>
    <row r="1309" spans="2:10">
      <c r="B1309" s="82" t="s">
        <v>119</v>
      </c>
      <c r="C1309" s="79">
        <v>0</v>
      </c>
      <c r="D1309" s="79">
        <v>0</v>
      </c>
      <c r="E1309" s="79">
        <v>0</v>
      </c>
      <c r="F1309" s="79">
        <v>0</v>
      </c>
      <c r="G1309" s="79">
        <v>0</v>
      </c>
      <c r="H1309" s="79">
        <v>0</v>
      </c>
      <c r="I1309" s="79">
        <v>0</v>
      </c>
      <c r="J1309" s="79">
        <v>0</v>
      </c>
    </row>
    <row r="1310" spans="2:10">
      <c r="B1310" s="82" t="s">
        <v>172</v>
      </c>
      <c r="C1310" s="79">
        <v>0</v>
      </c>
      <c r="D1310" s="79">
        <v>0</v>
      </c>
      <c r="E1310" s="79">
        <v>0</v>
      </c>
      <c r="F1310" s="79">
        <v>0</v>
      </c>
      <c r="G1310" s="79">
        <v>0</v>
      </c>
      <c r="H1310" s="79">
        <v>0</v>
      </c>
      <c r="I1310" s="79">
        <v>0</v>
      </c>
      <c r="J1310" s="79">
        <v>0</v>
      </c>
    </row>
    <row r="1311" spans="2:10">
      <c r="B1311" s="81" t="s">
        <v>118</v>
      </c>
      <c r="C1311" s="79">
        <v>0</v>
      </c>
      <c r="D1311" s="79">
        <v>0</v>
      </c>
      <c r="E1311" s="79">
        <v>0</v>
      </c>
      <c r="F1311" s="79">
        <v>0</v>
      </c>
      <c r="G1311" s="79">
        <v>0</v>
      </c>
      <c r="H1311" s="79">
        <v>0</v>
      </c>
      <c r="I1311" s="79">
        <v>0</v>
      </c>
      <c r="J1311" s="79">
        <v>0</v>
      </c>
    </row>
    <row r="1312" spans="2:10">
      <c r="B1312" s="81" t="s">
        <v>117</v>
      </c>
      <c r="C1312" s="79">
        <v>0</v>
      </c>
      <c r="D1312" s="79">
        <v>0</v>
      </c>
      <c r="E1312" s="79">
        <v>0</v>
      </c>
      <c r="F1312" s="79">
        <v>0</v>
      </c>
      <c r="G1312" s="79">
        <v>0</v>
      </c>
      <c r="H1312" s="79">
        <v>0</v>
      </c>
      <c r="I1312" s="79">
        <v>0</v>
      </c>
      <c r="J1312" s="79">
        <v>0</v>
      </c>
    </row>
    <row r="1313" spans="2:10">
      <c r="B1313" s="81"/>
      <c r="C1313" s="79"/>
      <c r="D1313" s="79"/>
      <c r="E1313" s="79"/>
      <c r="F1313" s="79"/>
      <c r="G1313" s="79"/>
      <c r="H1313" s="79"/>
    </row>
    <row r="1314" spans="2:10" ht="25">
      <c r="B1314" s="71" t="s">
        <v>203</v>
      </c>
      <c r="C1314" s="79">
        <v>535.14</v>
      </c>
      <c r="D1314" s="79">
        <v>607.14499999999998</v>
      </c>
      <c r="E1314" s="79">
        <v>593.66099999999994</v>
      </c>
      <c r="F1314" s="79">
        <v>658.2</v>
      </c>
      <c r="G1314" s="79">
        <v>797.471</v>
      </c>
      <c r="H1314" s="55">
        <v>36452.205000000002</v>
      </c>
      <c r="I1314" s="95">
        <v>544.47699999999998</v>
      </c>
      <c r="J1314" s="96">
        <f>SUM(J1316,J1317,J1318,J1319,J1320,J1321)</f>
        <v>3931.17</v>
      </c>
    </row>
    <row r="1315" spans="2:10">
      <c r="B1315" s="52" t="s">
        <v>169</v>
      </c>
      <c r="C1315" s="79">
        <v>0</v>
      </c>
      <c r="D1315" s="79">
        <v>0</v>
      </c>
      <c r="E1315" s="79">
        <v>0</v>
      </c>
      <c r="F1315" s="79">
        <v>0</v>
      </c>
      <c r="G1315" s="79">
        <v>8.1890000000000001</v>
      </c>
      <c r="H1315" s="55">
        <v>6434.308</v>
      </c>
      <c r="I1315" s="95">
        <v>360</v>
      </c>
      <c r="J1315" s="94">
        <v>3.9350000000000001</v>
      </c>
    </row>
    <row r="1316" spans="2:10">
      <c r="B1316" s="52" t="s">
        <v>168</v>
      </c>
      <c r="C1316" s="79">
        <v>535.14</v>
      </c>
      <c r="D1316" s="79">
        <v>607.14499999999998</v>
      </c>
      <c r="E1316" s="79">
        <v>593.66099999999994</v>
      </c>
      <c r="F1316" s="79">
        <v>658.2</v>
      </c>
      <c r="G1316" s="79">
        <v>789.28200000000004</v>
      </c>
      <c r="H1316" s="55">
        <v>30017.897000000001</v>
      </c>
      <c r="I1316" s="95">
        <v>184.477</v>
      </c>
      <c r="J1316" s="94">
        <v>3931.17</v>
      </c>
    </row>
    <row r="1317" spans="2:10">
      <c r="B1317" s="52" t="s">
        <v>167</v>
      </c>
      <c r="C1317" s="79">
        <v>0</v>
      </c>
      <c r="D1317" s="79">
        <v>0</v>
      </c>
      <c r="E1317" s="79">
        <v>0</v>
      </c>
      <c r="F1317" s="79">
        <v>0</v>
      </c>
      <c r="G1317" s="79">
        <v>0</v>
      </c>
      <c r="H1317" s="79">
        <v>0</v>
      </c>
      <c r="I1317" s="55">
        <v>0</v>
      </c>
      <c r="J1317" s="55">
        <v>0</v>
      </c>
    </row>
    <row r="1318" spans="2:10">
      <c r="B1318" s="52" t="s">
        <v>166</v>
      </c>
      <c r="C1318" s="79">
        <v>0</v>
      </c>
      <c r="D1318" s="79">
        <v>0</v>
      </c>
      <c r="E1318" s="79">
        <v>0</v>
      </c>
      <c r="F1318" s="79">
        <v>0</v>
      </c>
      <c r="G1318" s="79">
        <v>0</v>
      </c>
      <c r="H1318" s="79">
        <v>0</v>
      </c>
      <c r="I1318" s="55">
        <v>0</v>
      </c>
      <c r="J1318" s="55">
        <v>0</v>
      </c>
    </row>
    <row r="1319" spans="2:10">
      <c r="B1319" s="52" t="s">
        <v>165</v>
      </c>
      <c r="C1319" s="79">
        <v>0</v>
      </c>
      <c r="D1319" s="79">
        <v>0</v>
      </c>
      <c r="E1319" s="79">
        <v>0</v>
      </c>
      <c r="F1319" s="79">
        <v>0</v>
      </c>
      <c r="G1319" s="79">
        <v>0</v>
      </c>
      <c r="H1319" s="79">
        <v>0</v>
      </c>
      <c r="I1319" s="55">
        <v>0</v>
      </c>
      <c r="J1319" s="55">
        <v>0</v>
      </c>
    </row>
    <row r="1320" spans="2:10">
      <c r="B1320" s="52" t="s">
        <v>164</v>
      </c>
      <c r="C1320" s="79">
        <v>0</v>
      </c>
      <c r="D1320" s="79">
        <v>0</v>
      </c>
      <c r="E1320" s="79">
        <v>0</v>
      </c>
      <c r="F1320" s="79">
        <v>0</v>
      </c>
      <c r="G1320" s="79">
        <v>0</v>
      </c>
      <c r="H1320" s="79">
        <v>0</v>
      </c>
      <c r="I1320" s="55">
        <v>0</v>
      </c>
      <c r="J1320" s="55">
        <v>0</v>
      </c>
    </row>
    <row r="1321" spans="2:10">
      <c r="B1321" s="52"/>
      <c r="C1321" s="79"/>
      <c r="D1321" s="79"/>
      <c r="E1321" s="79"/>
      <c r="F1321" s="79"/>
      <c r="G1321" s="79"/>
      <c r="H1321" s="79"/>
      <c r="I1321" s="79"/>
      <c r="J1321" s="79"/>
    </row>
    <row r="1322" spans="2:10">
      <c r="B1322" s="80" t="s">
        <v>202</v>
      </c>
      <c r="C1322" s="79">
        <v>0</v>
      </c>
      <c r="D1322" s="79">
        <v>0</v>
      </c>
      <c r="E1322" s="79">
        <v>0</v>
      </c>
      <c r="F1322" s="79">
        <v>0</v>
      </c>
      <c r="G1322" s="79">
        <v>0</v>
      </c>
      <c r="H1322" s="55">
        <v>0</v>
      </c>
      <c r="I1322" s="55">
        <v>0</v>
      </c>
      <c r="J1322" s="55">
        <v>0</v>
      </c>
    </row>
    <row r="1323" spans="2:10">
      <c r="B1323" s="52" t="s">
        <v>169</v>
      </c>
      <c r="C1323" s="79">
        <v>0</v>
      </c>
      <c r="D1323" s="79">
        <v>0</v>
      </c>
      <c r="E1323" s="79">
        <v>0</v>
      </c>
      <c r="F1323" s="79">
        <v>0</v>
      </c>
      <c r="G1323" s="79">
        <v>0</v>
      </c>
      <c r="H1323" s="55">
        <v>0</v>
      </c>
      <c r="I1323" s="55">
        <v>0</v>
      </c>
      <c r="J1323" s="55">
        <v>0</v>
      </c>
    </row>
    <row r="1324" spans="2:10">
      <c r="B1324" s="52" t="s">
        <v>168</v>
      </c>
      <c r="C1324" s="79">
        <v>0</v>
      </c>
      <c r="D1324" s="79">
        <v>0</v>
      </c>
      <c r="E1324" s="79">
        <v>0</v>
      </c>
      <c r="F1324" s="79">
        <v>0</v>
      </c>
      <c r="G1324" s="79">
        <v>0</v>
      </c>
      <c r="H1324" s="55">
        <v>0</v>
      </c>
      <c r="I1324" s="55">
        <v>0</v>
      </c>
      <c r="J1324" s="55">
        <v>0</v>
      </c>
    </row>
    <row r="1325" spans="2:10">
      <c r="B1325" s="52" t="s">
        <v>167</v>
      </c>
      <c r="C1325" s="79">
        <v>0</v>
      </c>
      <c r="D1325" s="79">
        <v>0</v>
      </c>
      <c r="E1325" s="79">
        <v>0</v>
      </c>
      <c r="F1325" s="79">
        <v>0</v>
      </c>
      <c r="G1325" s="79">
        <v>0</v>
      </c>
      <c r="H1325" s="79">
        <v>0</v>
      </c>
      <c r="I1325" s="79">
        <v>0</v>
      </c>
      <c r="J1325" s="55">
        <v>0</v>
      </c>
    </row>
    <row r="1326" spans="2:10">
      <c r="B1326" s="52" t="s">
        <v>166</v>
      </c>
      <c r="C1326" s="79">
        <v>0</v>
      </c>
      <c r="D1326" s="79">
        <v>0</v>
      </c>
      <c r="E1326" s="79">
        <v>0</v>
      </c>
      <c r="F1326" s="79">
        <v>0</v>
      </c>
      <c r="G1326" s="79">
        <v>0</v>
      </c>
      <c r="H1326" s="79">
        <v>0</v>
      </c>
      <c r="I1326" s="79">
        <v>0</v>
      </c>
      <c r="J1326" s="55">
        <v>0</v>
      </c>
    </row>
    <row r="1327" spans="2:10">
      <c r="B1327" s="52" t="s">
        <v>165</v>
      </c>
      <c r="C1327" s="79">
        <v>0</v>
      </c>
      <c r="D1327" s="79">
        <v>0</v>
      </c>
      <c r="E1327" s="79">
        <v>0</v>
      </c>
      <c r="F1327" s="79">
        <v>0</v>
      </c>
      <c r="G1327" s="79">
        <v>0</v>
      </c>
      <c r="H1327" s="79">
        <v>0</v>
      </c>
      <c r="I1327" s="79">
        <v>0</v>
      </c>
      <c r="J1327" s="55">
        <v>0</v>
      </c>
    </row>
    <row r="1328" spans="2:10">
      <c r="B1328" s="52" t="s">
        <v>164</v>
      </c>
      <c r="C1328" s="79">
        <v>0</v>
      </c>
      <c r="D1328" s="79">
        <v>0</v>
      </c>
      <c r="E1328" s="79">
        <v>0</v>
      </c>
      <c r="F1328" s="79">
        <v>0</v>
      </c>
      <c r="G1328" s="79">
        <v>0</v>
      </c>
      <c r="H1328" s="79">
        <v>0</v>
      </c>
      <c r="I1328" s="79">
        <v>0</v>
      </c>
      <c r="J1328" s="55">
        <v>0</v>
      </c>
    </row>
    <row r="1329" spans="2:10" ht="14.5" customHeight="1">
      <c r="B1329" s="2017" t="s">
        <v>201</v>
      </c>
      <c r="C1329" s="2017"/>
      <c r="D1329" s="2017"/>
      <c r="E1329" s="2017"/>
      <c r="F1329" s="2017"/>
      <c r="G1329" s="2017"/>
      <c r="H1329" s="2017"/>
      <c r="I1329" s="2017"/>
      <c r="J1329" s="2017"/>
    </row>
    <row r="1330" spans="2:10" ht="14.5" customHeight="1">
      <c r="B1330" s="2017" t="s">
        <v>200</v>
      </c>
      <c r="C1330" s="2017"/>
      <c r="D1330" s="2017"/>
      <c r="E1330" s="2017"/>
      <c r="F1330" s="2017"/>
      <c r="G1330" s="2017"/>
      <c r="H1330" s="2017"/>
    </row>
    <row r="1331" spans="2:10">
      <c r="B1331" s="64"/>
      <c r="C1331" s="87"/>
      <c r="D1331" s="87"/>
      <c r="E1331" s="87"/>
      <c r="F1331" s="87"/>
      <c r="G1331" s="87"/>
      <c r="H1331" s="87"/>
      <c r="I1331" s="87"/>
      <c r="J1331" s="87"/>
    </row>
    <row r="1332" spans="2:10">
      <c r="B1332" s="14" t="s">
        <v>199</v>
      </c>
      <c r="C1332" s="93"/>
      <c r="D1332" s="93"/>
      <c r="E1332" s="93"/>
      <c r="F1332" s="93"/>
      <c r="G1332" s="93"/>
      <c r="H1332" s="93"/>
      <c r="I1332" s="93"/>
      <c r="J1332" s="93"/>
    </row>
    <row r="1333" spans="2:10">
      <c r="B1333" s="12" t="s">
        <v>198</v>
      </c>
      <c r="C1333" s="87"/>
      <c r="D1333" s="87"/>
      <c r="E1333" s="87"/>
      <c r="F1333" s="87"/>
      <c r="G1333" s="87"/>
      <c r="H1333" s="87"/>
      <c r="I1333" s="87"/>
      <c r="J1333" s="87"/>
    </row>
    <row r="1334" spans="2:10">
      <c r="B1334" s="62" t="s">
        <v>127</v>
      </c>
      <c r="C1334" s="87"/>
      <c r="D1334" s="87"/>
      <c r="E1334" s="87"/>
      <c r="F1334" s="87"/>
      <c r="G1334" s="87"/>
      <c r="H1334" s="87"/>
      <c r="I1334" s="87"/>
      <c r="J1334" s="87"/>
    </row>
    <row r="1335" spans="2:10">
      <c r="B1335" s="62"/>
      <c r="C1335" s="87"/>
      <c r="D1335" s="87"/>
      <c r="E1335" s="87"/>
      <c r="F1335" s="87"/>
      <c r="G1335" s="87"/>
      <c r="H1335" s="87"/>
      <c r="I1335" s="87"/>
      <c r="J1335" s="87"/>
    </row>
    <row r="1336" spans="2:10">
      <c r="B1336" s="61"/>
      <c r="C1336" s="92">
        <v>2014</v>
      </c>
      <c r="D1336" s="92">
        <v>2015</v>
      </c>
      <c r="E1336" s="92">
        <v>2016</v>
      </c>
      <c r="F1336" s="92">
        <v>2017</v>
      </c>
      <c r="G1336" s="92">
        <v>2018</v>
      </c>
      <c r="H1336" s="92">
        <v>2019</v>
      </c>
      <c r="I1336" s="92">
        <v>2020</v>
      </c>
      <c r="J1336" s="92">
        <v>2021</v>
      </c>
    </row>
    <row r="1337" spans="2:10">
      <c r="B1337" s="59" t="s">
        <v>30</v>
      </c>
      <c r="C1337" s="87"/>
      <c r="D1337" s="87"/>
      <c r="E1337" s="87"/>
      <c r="F1337" s="87"/>
      <c r="G1337" s="87"/>
      <c r="H1337" s="87"/>
      <c r="I1337" s="87"/>
      <c r="J1337" s="87"/>
    </row>
    <row r="1338" spans="2:10" ht="25">
      <c r="B1338" s="71" t="s">
        <v>186</v>
      </c>
      <c r="C1338" s="55">
        <v>22062.58414309478</v>
      </c>
      <c r="D1338" s="55">
        <v>17589.319405613216</v>
      </c>
      <c r="E1338" s="55">
        <v>17682.786091639238</v>
      </c>
      <c r="F1338" s="55">
        <v>9996.3698586357878</v>
      </c>
      <c r="G1338" s="55">
        <v>11587.429215278125</v>
      </c>
      <c r="H1338" s="55">
        <v>716243.50056350313</v>
      </c>
      <c r="I1338" s="55">
        <v>128896.77332000565</v>
      </c>
      <c r="J1338" s="55">
        <v>273495.37329283537</v>
      </c>
    </row>
    <row r="1339" spans="2:10">
      <c r="B1339" s="71"/>
      <c r="C1339" s="55"/>
      <c r="D1339" s="55"/>
      <c r="E1339" s="55"/>
      <c r="F1339" s="55"/>
      <c r="G1339" s="55"/>
      <c r="H1339" s="55"/>
      <c r="I1339" s="55"/>
      <c r="J1339" s="55"/>
    </row>
    <row r="1340" spans="2:10">
      <c r="B1340" s="71" t="s">
        <v>190</v>
      </c>
      <c r="C1340" s="55">
        <v>22062.58414309478</v>
      </c>
      <c r="D1340" s="55">
        <v>17589.319405613216</v>
      </c>
      <c r="E1340" s="55">
        <v>17682.786091639238</v>
      </c>
      <c r="F1340" s="55">
        <v>9996.3698586357878</v>
      </c>
      <c r="G1340" s="55">
        <v>11587.429215278125</v>
      </c>
      <c r="H1340" s="55">
        <v>713950.28245786403</v>
      </c>
      <c r="I1340" s="55">
        <v>116352.47875678889</v>
      </c>
      <c r="J1340" s="55">
        <v>260779.54926030917</v>
      </c>
    </row>
    <row r="1341" spans="2:10">
      <c r="B1341" s="52" t="s">
        <v>121</v>
      </c>
      <c r="C1341" s="55">
        <v>0</v>
      </c>
      <c r="D1341" s="55">
        <v>0</v>
      </c>
      <c r="E1341" s="55">
        <v>0</v>
      </c>
      <c r="F1341" s="55">
        <v>0</v>
      </c>
      <c r="G1341" s="55">
        <v>0</v>
      </c>
      <c r="H1341" s="55">
        <v>713945.94510731171</v>
      </c>
      <c r="I1341" s="55">
        <v>65157.388103601865</v>
      </c>
      <c r="J1341" s="55">
        <v>140820.95660046689</v>
      </c>
    </row>
    <row r="1342" spans="2:10">
      <c r="B1342" s="53" t="s">
        <v>120</v>
      </c>
      <c r="C1342" s="55">
        <v>0</v>
      </c>
      <c r="D1342" s="55">
        <v>0</v>
      </c>
      <c r="E1342" s="55">
        <v>0</v>
      </c>
      <c r="F1342" s="55">
        <v>0</v>
      </c>
      <c r="G1342" s="55">
        <v>0</v>
      </c>
      <c r="H1342" s="55">
        <v>545772.18861025467</v>
      </c>
      <c r="I1342" s="55">
        <v>51195.090653187028</v>
      </c>
      <c r="J1342" s="55">
        <v>119958.59265984228</v>
      </c>
    </row>
    <row r="1343" spans="2:10">
      <c r="B1343" s="53" t="s">
        <v>119</v>
      </c>
      <c r="C1343" s="55">
        <v>0</v>
      </c>
      <c r="D1343" s="55">
        <v>0</v>
      </c>
      <c r="E1343" s="55">
        <v>0</v>
      </c>
      <c r="F1343" s="55">
        <v>0</v>
      </c>
      <c r="G1343" s="55">
        <v>0</v>
      </c>
      <c r="H1343" s="55">
        <v>84695.171848803482</v>
      </c>
      <c r="I1343" s="55">
        <v>0</v>
      </c>
      <c r="J1343" s="55">
        <v>0</v>
      </c>
    </row>
    <row r="1344" spans="2:10">
      <c r="B1344" s="53" t="s">
        <v>197</v>
      </c>
      <c r="C1344" s="55">
        <v>0</v>
      </c>
      <c r="D1344" s="55">
        <v>0</v>
      </c>
      <c r="E1344" s="55">
        <v>0</v>
      </c>
      <c r="F1344" s="55">
        <v>0</v>
      </c>
      <c r="G1344" s="55">
        <v>0</v>
      </c>
      <c r="H1344" s="55">
        <v>83478.584648253658</v>
      </c>
      <c r="I1344" s="55">
        <v>0</v>
      </c>
      <c r="J1344" s="55">
        <v>0</v>
      </c>
    </row>
    <row r="1345" spans="2:10">
      <c r="B1345" s="52" t="s">
        <v>118</v>
      </c>
      <c r="C1345" s="55">
        <v>0</v>
      </c>
      <c r="D1345" s="55">
        <v>0</v>
      </c>
      <c r="E1345" s="55">
        <v>0</v>
      </c>
      <c r="F1345" s="55">
        <v>0</v>
      </c>
      <c r="G1345" s="55">
        <v>0</v>
      </c>
      <c r="H1345" s="55">
        <v>4.3373505522898386</v>
      </c>
      <c r="I1345" s="55">
        <v>0</v>
      </c>
      <c r="J1345" s="55">
        <v>0</v>
      </c>
    </row>
    <row r="1346" spans="2:10">
      <c r="B1346" s="52" t="s">
        <v>176</v>
      </c>
      <c r="C1346" s="55">
        <v>22062.58414309478</v>
      </c>
      <c r="D1346" s="55">
        <v>17589.319405613216</v>
      </c>
      <c r="E1346" s="55">
        <v>17682.786091639238</v>
      </c>
      <c r="F1346" s="55">
        <v>9996.3698586357878</v>
      </c>
      <c r="G1346" s="55">
        <v>11587.429215278125</v>
      </c>
      <c r="H1346" s="55">
        <v>0</v>
      </c>
      <c r="I1346" s="55">
        <v>0</v>
      </c>
      <c r="J1346" s="55">
        <v>0</v>
      </c>
    </row>
    <row r="1347" spans="2:10">
      <c r="B1347" s="52" t="s">
        <v>175</v>
      </c>
      <c r="C1347" s="55">
        <v>0</v>
      </c>
      <c r="D1347" s="55">
        <v>0</v>
      </c>
      <c r="E1347" s="55">
        <v>0</v>
      </c>
      <c r="F1347" s="55">
        <v>0</v>
      </c>
      <c r="G1347" s="55">
        <v>0</v>
      </c>
      <c r="H1347" s="55">
        <v>0</v>
      </c>
      <c r="I1347" s="55">
        <v>0</v>
      </c>
      <c r="J1347" s="55">
        <v>0</v>
      </c>
    </row>
    <row r="1348" spans="2:10">
      <c r="B1348" s="52" t="s">
        <v>174</v>
      </c>
      <c r="C1348" s="55">
        <v>1.2317066746540968</v>
      </c>
      <c r="D1348" s="55">
        <v>16.506752527248274</v>
      </c>
      <c r="E1348" s="55">
        <v>13.194005294859924</v>
      </c>
      <c r="F1348" s="55">
        <v>3.0784928066301891</v>
      </c>
      <c r="G1348" s="55">
        <v>0</v>
      </c>
      <c r="H1348" s="55">
        <v>0</v>
      </c>
      <c r="I1348" s="55">
        <v>0</v>
      </c>
      <c r="J1348" s="55">
        <v>0</v>
      </c>
    </row>
    <row r="1349" spans="2:10">
      <c r="B1349" s="52"/>
      <c r="C1349" s="55"/>
      <c r="D1349" s="55"/>
      <c r="E1349" s="55"/>
      <c r="F1349" s="55"/>
      <c r="G1349" s="55"/>
      <c r="H1349" s="55"/>
      <c r="I1349" s="55"/>
      <c r="J1349" s="55"/>
    </row>
    <row r="1350" spans="2:10" ht="26">
      <c r="B1350" s="83" t="s">
        <v>187</v>
      </c>
      <c r="C1350" s="55">
        <v>0</v>
      </c>
      <c r="D1350" s="55">
        <v>0</v>
      </c>
      <c r="E1350" s="55">
        <v>0</v>
      </c>
      <c r="F1350" s="55">
        <v>0</v>
      </c>
      <c r="G1350" s="55">
        <v>0</v>
      </c>
      <c r="H1350" s="55">
        <v>0</v>
      </c>
      <c r="I1350" s="55">
        <v>0</v>
      </c>
      <c r="J1350" s="55">
        <v>0</v>
      </c>
    </row>
    <row r="1351" spans="2:10">
      <c r="B1351" s="81" t="s">
        <v>121</v>
      </c>
      <c r="C1351" s="55">
        <v>0</v>
      </c>
      <c r="D1351" s="55">
        <v>0</v>
      </c>
      <c r="E1351" s="55">
        <v>0</v>
      </c>
      <c r="F1351" s="55">
        <v>0</v>
      </c>
      <c r="G1351" s="55">
        <v>0</v>
      </c>
      <c r="H1351" s="55">
        <v>0</v>
      </c>
      <c r="I1351" s="55">
        <v>0</v>
      </c>
      <c r="J1351" s="55">
        <v>0</v>
      </c>
    </row>
    <row r="1352" spans="2:10">
      <c r="B1352" s="82" t="s">
        <v>120</v>
      </c>
      <c r="C1352" s="55">
        <v>0</v>
      </c>
      <c r="D1352" s="55">
        <v>0</v>
      </c>
      <c r="E1352" s="55">
        <v>0</v>
      </c>
      <c r="F1352" s="55">
        <v>0</v>
      </c>
      <c r="G1352" s="55">
        <v>0</v>
      </c>
      <c r="H1352" s="55">
        <v>0</v>
      </c>
      <c r="I1352" s="55">
        <v>0</v>
      </c>
      <c r="J1352" s="55">
        <v>0</v>
      </c>
    </row>
    <row r="1353" spans="2:10">
      <c r="B1353" s="82" t="s">
        <v>119</v>
      </c>
      <c r="C1353" s="55">
        <v>0</v>
      </c>
      <c r="D1353" s="55">
        <v>0</v>
      </c>
      <c r="E1353" s="55">
        <v>0</v>
      </c>
      <c r="F1353" s="55">
        <v>0</v>
      </c>
      <c r="G1353" s="55">
        <v>0</v>
      </c>
      <c r="H1353" s="55">
        <v>0</v>
      </c>
      <c r="I1353" s="55">
        <v>0</v>
      </c>
      <c r="J1353" s="55">
        <v>0</v>
      </c>
    </row>
    <row r="1354" spans="2:10">
      <c r="B1354" s="82" t="s">
        <v>172</v>
      </c>
      <c r="C1354" s="55">
        <v>0</v>
      </c>
      <c r="D1354" s="55">
        <v>0</v>
      </c>
      <c r="E1354" s="55">
        <v>0</v>
      </c>
      <c r="F1354" s="55">
        <v>0</v>
      </c>
      <c r="G1354" s="55">
        <v>0</v>
      </c>
      <c r="H1354" s="55">
        <v>0</v>
      </c>
      <c r="I1354" s="55">
        <v>0</v>
      </c>
      <c r="J1354" s="55">
        <v>0</v>
      </c>
    </row>
    <row r="1355" spans="2:10">
      <c r="B1355" s="81" t="s">
        <v>118</v>
      </c>
      <c r="C1355" s="55">
        <v>0</v>
      </c>
      <c r="D1355" s="55">
        <v>0</v>
      </c>
      <c r="E1355" s="55">
        <v>0</v>
      </c>
      <c r="F1355" s="55">
        <v>0</v>
      </c>
      <c r="G1355" s="55">
        <v>0</v>
      </c>
      <c r="H1355" s="55">
        <v>0</v>
      </c>
      <c r="I1355" s="55">
        <v>0</v>
      </c>
      <c r="J1355" s="55">
        <v>0</v>
      </c>
    </row>
    <row r="1356" spans="2:10">
      <c r="B1356" s="81" t="s">
        <v>117</v>
      </c>
      <c r="C1356" s="55"/>
      <c r="D1356" s="55"/>
      <c r="E1356" s="55"/>
      <c r="F1356" s="55"/>
      <c r="G1356" s="55"/>
      <c r="H1356" s="55"/>
      <c r="I1356" s="55"/>
      <c r="J1356" s="55"/>
    </row>
    <row r="1357" spans="2:10">
      <c r="B1357" s="81"/>
      <c r="C1357" s="55"/>
      <c r="D1357" s="55"/>
      <c r="E1357" s="55"/>
      <c r="F1357" s="55"/>
      <c r="G1357" s="55"/>
      <c r="H1357" s="55"/>
      <c r="I1357" s="55"/>
      <c r="J1357" s="55"/>
    </row>
    <row r="1358" spans="2:10" ht="26">
      <c r="B1358" s="83" t="s">
        <v>173</v>
      </c>
      <c r="C1358" s="88">
        <v>0</v>
      </c>
      <c r="D1358" s="88">
        <v>0</v>
      </c>
      <c r="E1358" s="88">
        <v>0</v>
      </c>
      <c r="F1358" s="88">
        <v>0</v>
      </c>
      <c r="G1358" s="88">
        <v>0</v>
      </c>
      <c r="H1358" s="55">
        <v>0</v>
      </c>
      <c r="I1358" s="55">
        <v>0</v>
      </c>
      <c r="J1358" s="55">
        <v>0</v>
      </c>
    </row>
    <row r="1359" spans="2:10">
      <c r="B1359" s="81" t="s">
        <v>121</v>
      </c>
      <c r="C1359" s="55">
        <v>0</v>
      </c>
      <c r="D1359" s="55">
        <v>0</v>
      </c>
      <c r="E1359" s="55">
        <v>0</v>
      </c>
      <c r="F1359" s="55">
        <v>0</v>
      </c>
      <c r="G1359" s="55">
        <v>0</v>
      </c>
      <c r="H1359" s="55">
        <v>0</v>
      </c>
      <c r="I1359" s="55">
        <v>0</v>
      </c>
      <c r="J1359" s="55">
        <v>0</v>
      </c>
    </row>
    <row r="1360" spans="2:10">
      <c r="B1360" s="82" t="s">
        <v>120</v>
      </c>
      <c r="C1360" s="55">
        <v>0</v>
      </c>
      <c r="D1360" s="55">
        <v>0</v>
      </c>
      <c r="E1360" s="55">
        <v>0</v>
      </c>
      <c r="F1360" s="55">
        <v>0</v>
      </c>
      <c r="G1360" s="55">
        <v>0</v>
      </c>
      <c r="H1360" s="55">
        <v>0</v>
      </c>
      <c r="I1360" s="55">
        <v>0</v>
      </c>
      <c r="J1360" s="55">
        <v>0</v>
      </c>
    </row>
    <row r="1361" spans="2:10">
      <c r="B1361" s="82" t="s">
        <v>119</v>
      </c>
      <c r="C1361" s="55">
        <v>0</v>
      </c>
      <c r="D1361" s="55">
        <v>0</v>
      </c>
      <c r="E1361" s="55">
        <v>0</v>
      </c>
      <c r="F1361" s="55">
        <v>0</v>
      </c>
      <c r="G1361" s="55">
        <v>0</v>
      </c>
      <c r="H1361" s="55">
        <v>0</v>
      </c>
      <c r="I1361" s="55">
        <v>0</v>
      </c>
      <c r="J1361" s="55">
        <v>0</v>
      </c>
    </row>
    <row r="1362" spans="2:10">
      <c r="B1362" s="82" t="s">
        <v>197</v>
      </c>
      <c r="C1362" s="55">
        <v>0</v>
      </c>
      <c r="D1362" s="55">
        <v>0</v>
      </c>
      <c r="E1362" s="55">
        <v>0</v>
      </c>
      <c r="F1362" s="55">
        <v>0</v>
      </c>
      <c r="G1362" s="55">
        <v>0</v>
      </c>
      <c r="H1362" s="55">
        <v>0</v>
      </c>
      <c r="I1362" s="55">
        <v>0</v>
      </c>
      <c r="J1362" s="55">
        <v>0</v>
      </c>
    </row>
    <row r="1363" spans="2:10">
      <c r="B1363" s="81" t="s">
        <v>118</v>
      </c>
      <c r="C1363" s="55">
        <v>0</v>
      </c>
      <c r="D1363" s="55">
        <v>0</v>
      </c>
      <c r="E1363" s="55">
        <v>0</v>
      </c>
      <c r="F1363" s="55">
        <v>0</v>
      </c>
      <c r="G1363" s="55">
        <v>0</v>
      </c>
      <c r="H1363" s="55">
        <v>0</v>
      </c>
      <c r="I1363" s="55">
        <v>0</v>
      </c>
      <c r="J1363" s="55">
        <v>0</v>
      </c>
    </row>
    <row r="1364" spans="2:10">
      <c r="B1364" s="81" t="s">
        <v>117</v>
      </c>
      <c r="C1364" s="55"/>
      <c r="D1364" s="55"/>
      <c r="E1364" s="55"/>
      <c r="F1364" s="55"/>
      <c r="G1364" s="55"/>
      <c r="H1364" s="55"/>
      <c r="I1364" s="55"/>
      <c r="J1364" s="55"/>
    </row>
    <row r="1365" spans="2:10">
      <c r="B1365" s="81"/>
      <c r="C1365" s="55"/>
      <c r="D1365" s="55"/>
      <c r="E1365" s="55"/>
      <c r="F1365" s="55"/>
      <c r="G1365" s="55"/>
      <c r="H1365" s="55"/>
      <c r="I1365" s="55"/>
      <c r="J1365" s="55"/>
    </row>
    <row r="1366" spans="2:10" ht="25">
      <c r="B1366" s="71" t="s">
        <v>171</v>
      </c>
      <c r="C1366" s="55">
        <v>0</v>
      </c>
      <c r="D1366" s="55">
        <v>0</v>
      </c>
      <c r="E1366" s="55">
        <v>0</v>
      </c>
      <c r="F1366" s="55">
        <v>0</v>
      </c>
      <c r="G1366" s="55">
        <v>0</v>
      </c>
      <c r="H1366" s="91">
        <v>2293.2181056391191</v>
      </c>
      <c r="I1366" s="55">
        <v>12544.294563216763</v>
      </c>
      <c r="J1366" s="55">
        <v>12715.824032526185</v>
      </c>
    </row>
    <row r="1367" spans="2:10">
      <c r="B1367" s="52" t="s">
        <v>169</v>
      </c>
      <c r="C1367" s="55">
        <v>0</v>
      </c>
      <c r="D1367" s="55">
        <v>0</v>
      </c>
      <c r="E1367" s="55">
        <v>0</v>
      </c>
      <c r="F1367" s="55">
        <v>0</v>
      </c>
      <c r="G1367" s="55">
        <v>0</v>
      </c>
      <c r="H1367" s="91">
        <v>2293.2181056391191</v>
      </c>
      <c r="I1367" s="55">
        <v>12544.294563216763</v>
      </c>
      <c r="J1367" s="55">
        <v>12715.824032526185</v>
      </c>
    </row>
    <row r="1368" spans="2:10">
      <c r="B1368" s="52" t="s">
        <v>168</v>
      </c>
      <c r="C1368" s="55">
        <v>0</v>
      </c>
      <c r="D1368" s="55">
        <v>0</v>
      </c>
      <c r="E1368" s="55">
        <v>0</v>
      </c>
      <c r="F1368" s="55">
        <v>0</v>
      </c>
      <c r="G1368" s="55">
        <v>0</v>
      </c>
      <c r="H1368" s="55">
        <v>0</v>
      </c>
      <c r="I1368" s="55">
        <v>0</v>
      </c>
      <c r="J1368" s="55">
        <v>0</v>
      </c>
    </row>
    <row r="1369" spans="2:10">
      <c r="B1369" s="52" t="s">
        <v>167</v>
      </c>
      <c r="C1369" s="55">
        <v>0</v>
      </c>
      <c r="D1369" s="55">
        <v>0</v>
      </c>
      <c r="E1369" s="55">
        <v>0</v>
      </c>
      <c r="F1369" s="55">
        <v>0</v>
      </c>
      <c r="G1369" s="55">
        <v>0</v>
      </c>
      <c r="H1369" s="55">
        <v>0</v>
      </c>
      <c r="I1369" s="55">
        <v>0</v>
      </c>
      <c r="J1369" s="55">
        <v>0</v>
      </c>
    </row>
    <row r="1370" spans="2:10">
      <c r="B1370" s="52" t="s">
        <v>166</v>
      </c>
      <c r="C1370" s="55">
        <v>0</v>
      </c>
      <c r="D1370" s="55">
        <v>0</v>
      </c>
      <c r="E1370" s="55">
        <v>0</v>
      </c>
      <c r="F1370" s="55">
        <v>0</v>
      </c>
      <c r="G1370" s="55">
        <v>0</v>
      </c>
      <c r="H1370" s="55">
        <v>0</v>
      </c>
      <c r="I1370" s="55">
        <v>0</v>
      </c>
      <c r="J1370" s="55">
        <v>0</v>
      </c>
    </row>
    <row r="1371" spans="2:10">
      <c r="B1371" s="52" t="s">
        <v>165</v>
      </c>
      <c r="C1371" s="55">
        <v>0</v>
      </c>
      <c r="D1371" s="55">
        <v>0</v>
      </c>
      <c r="E1371" s="55">
        <v>0</v>
      </c>
      <c r="F1371" s="55">
        <v>0</v>
      </c>
      <c r="G1371" s="55">
        <v>0</v>
      </c>
      <c r="H1371" s="55">
        <v>0</v>
      </c>
      <c r="I1371" s="55">
        <v>0</v>
      </c>
      <c r="J1371" s="55">
        <v>0</v>
      </c>
    </row>
    <row r="1372" spans="2:10">
      <c r="B1372" s="52" t="s">
        <v>164</v>
      </c>
      <c r="C1372" s="55"/>
      <c r="D1372" s="55"/>
      <c r="E1372" s="55"/>
      <c r="F1372" s="55"/>
      <c r="G1372" s="55"/>
      <c r="H1372" s="55">
        <v>0</v>
      </c>
      <c r="I1372" s="55">
        <v>0</v>
      </c>
      <c r="J1372" s="55">
        <v>0</v>
      </c>
    </row>
    <row r="1373" spans="2:10">
      <c r="B1373" s="52"/>
      <c r="C1373" s="55"/>
      <c r="D1373" s="55"/>
      <c r="E1373" s="55"/>
      <c r="F1373" s="55"/>
      <c r="G1373" s="55"/>
      <c r="H1373" s="55">
        <v>0</v>
      </c>
      <c r="I1373" s="55">
        <v>0</v>
      </c>
      <c r="J1373" s="55">
        <v>0</v>
      </c>
    </row>
    <row r="1374" spans="2:10">
      <c r="B1374" s="80" t="s">
        <v>170</v>
      </c>
      <c r="C1374" s="55">
        <v>0</v>
      </c>
      <c r="D1374" s="55">
        <v>0</v>
      </c>
      <c r="E1374" s="55">
        <v>0</v>
      </c>
      <c r="F1374" s="55">
        <v>0</v>
      </c>
      <c r="G1374" s="55">
        <v>0</v>
      </c>
      <c r="H1374" s="55">
        <v>0</v>
      </c>
      <c r="I1374" s="55">
        <v>0</v>
      </c>
      <c r="J1374" s="55">
        <v>0</v>
      </c>
    </row>
    <row r="1375" spans="2:10">
      <c r="B1375" s="52" t="s">
        <v>169</v>
      </c>
      <c r="C1375" s="55">
        <v>0</v>
      </c>
      <c r="D1375" s="55">
        <v>0</v>
      </c>
      <c r="E1375" s="55">
        <v>0</v>
      </c>
      <c r="F1375" s="55">
        <v>0</v>
      </c>
      <c r="G1375" s="55">
        <v>0</v>
      </c>
      <c r="H1375" s="55">
        <v>0</v>
      </c>
      <c r="I1375" s="55">
        <v>0</v>
      </c>
      <c r="J1375" s="55">
        <v>0</v>
      </c>
    </row>
    <row r="1376" spans="2:10">
      <c r="B1376" s="52" t="s">
        <v>168</v>
      </c>
      <c r="C1376" s="55">
        <v>0</v>
      </c>
      <c r="D1376" s="55">
        <v>0</v>
      </c>
      <c r="E1376" s="55">
        <v>0</v>
      </c>
      <c r="F1376" s="55">
        <v>0</v>
      </c>
      <c r="G1376" s="55">
        <v>0</v>
      </c>
      <c r="H1376" s="55">
        <v>0</v>
      </c>
      <c r="I1376" s="55">
        <v>0</v>
      </c>
      <c r="J1376" s="55">
        <v>0</v>
      </c>
    </row>
    <row r="1377" spans="2:10">
      <c r="B1377" s="52" t="s">
        <v>167</v>
      </c>
      <c r="C1377" s="55">
        <v>0</v>
      </c>
      <c r="D1377" s="55">
        <v>0</v>
      </c>
      <c r="E1377" s="55">
        <v>0</v>
      </c>
      <c r="F1377" s="55">
        <v>0</v>
      </c>
      <c r="G1377" s="55">
        <v>0</v>
      </c>
      <c r="H1377" s="55">
        <v>0</v>
      </c>
      <c r="I1377" s="55">
        <v>0</v>
      </c>
      <c r="J1377" s="55">
        <v>0</v>
      </c>
    </row>
    <row r="1378" spans="2:10">
      <c r="B1378" s="52" t="s">
        <v>166</v>
      </c>
      <c r="C1378" s="55">
        <v>0</v>
      </c>
      <c r="D1378" s="55">
        <v>0</v>
      </c>
      <c r="E1378" s="55">
        <v>0</v>
      </c>
      <c r="F1378" s="55">
        <v>0</v>
      </c>
      <c r="G1378" s="55">
        <v>0</v>
      </c>
      <c r="H1378" s="55">
        <v>0</v>
      </c>
      <c r="I1378" s="55">
        <v>0</v>
      </c>
      <c r="J1378" s="55">
        <v>0</v>
      </c>
    </row>
    <row r="1379" spans="2:10">
      <c r="B1379" s="52" t="s">
        <v>165</v>
      </c>
      <c r="C1379" s="55">
        <v>0</v>
      </c>
      <c r="D1379" s="55">
        <v>0</v>
      </c>
      <c r="E1379" s="55">
        <v>0</v>
      </c>
      <c r="F1379" s="55">
        <v>0</v>
      </c>
      <c r="G1379" s="55">
        <v>0</v>
      </c>
      <c r="H1379" s="55">
        <v>0</v>
      </c>
      <c r="I1379" s="55">
        <v>0</v>
      </c>
      <c r="J1379" s="55">
        <v>0</v>
      </c>
    </row>
    <row r="1380" spans="2:10">
      <c r="B1380" s="52" t="s">
        <v>164</v>
      </c>
      <c r="C1380" s="79">
        <v>0</v>
      </c>
      <c r="D1380" s="79">
        <v>0</v>
      </c>
      <c r="E1380" s="79">
        <v>0</v>
      </c>
      <c r="F1380" s="79">
        <v>0</v>
      </c>
      <c r="G1380" s="79">
        <v>0</v>
      </c>
      <c r="H1380" s="79">
        <v>0</v>
      </c>
      <c r="I1380" s="55">
        <v>0</v>
      </c>
      <c r="J1380" s="55">
        <v>0</v>
      </c>
    </row>
    <row r="1381" spans="2:10">
      <c r="B1381" s="52"/>
      <c r="C1381" s="79"/>
      <c r="D1381" s="79"/>
      <c r="E1381" s="79"/>
      <c r="F1381" s="79"/>
      <c r="G1381" s="79"/>
      <c r="H1381" s="79"/>
      <c r="I1381" s="79"/>
      <c r="J1381" s="79"/>
    </row>
    <row r="1382" spans="2:10" ht="26">
      <c r="B1382" s="59" t="s">
        <v>196</v>
      </c>
      <c r="C1382" s="87"/>
      <c r="D1382" s="87"/>
      <c r="E1382" s="87"/>
      <c r="F1382" s="87"/>
      <c r="G1382" s="87"/>
      <c r="H1382" s="87"/>
      <c r="I1382" s="87"/>
      <c r="J1382" s="87"/>
    </row>
    <row r="1383" spans="2:10">
      <c r="B1383" s="90" t="s">
        <v>186</v>
      </c>
      <c r="C1383" s="55">
        <v>6754.2068875601399</v>
      </c>
      <c r="D1383" s="55">
        <v>3505.2235644653588</v>
      </c>
      <c r="E1383" s="55">
        <v>6147.8144021763128</v>
      </c>
      <c r="F1383" s="55">
        <v>5932.0523377827012</v>
      </c>
      <c r="G1383" s="55">
        <v>7814963.0107674766</v>
      </c>
      <c r="H1383" s="55">
        <v>177651.76725294421</v>
      </c>
      <c r="I1383" s="55">
        <v>117072.86577611408</v>
      </c>
      <c r="J1383" s="55">
        <v>134349.92944269191</v>
      </c>
    </row>
    <row r="1384" spans="2:10">
      <c r="B1384" s="71"/>
      <c r="C1384" s="55"/>
      <c r="D1384" s="55"/>
      <c r="E1384" s="55"/>
      <c r="F1384" s="55"/>
      <c r="G1384" s="55"/>
      <c r="H1384" s="55"/>
      <c r="I1384" s="55"/>
      <c r="J1384" s="55"/>
    </row>
    <row r="1385" spans="2:10">
      <c r="B1385" s="71" t="s">
        <v>190</v>
      </c>
      <c r="C1385" s="55">
        <v>0</v>
      </c>
      <c r="D1385" s="55">
        <v>0</v>
      </c>
      <c r="E1385" s="55">
        <v>0</v>
      </c>
      <c r="F1385" s="55">
        <v>0</v>
      </c>
      <c r="G1385" s="55">
        <v>0</v>
      </c>
      <c r="H1385" s="55">
        <v>0</v>
      </c>
      <c r="I1385" s="55">
        <v>0</v>
      </c>
      <c r="J1385" s="55">
        <v>0</v>
      </c>
    </row>
    <row r="1386" spans="2:10">
      <c r="B1386" s="52" t="s">
        <v>121</v>
      </c>
      <c r="C1386" s="55">
        <v>0</v>
      </c>
      <c r="D1386" s="55">
        <v>0</v>
      </c>
      <c r="E1386" s="55">
        <v>0</v>
      </c>
      <c r="F1386" s="55">
        <v>0</v>
      </c>
      <c r="G1386" s="55">
        <v>0</v>
      </c>
      <c r="H1386" s="55">
        <v>0</v>
      </c>
      <c r="I1386" s="55">
        <v>0</v>
      </c>
      <c r="J1386" s="55">
        <v>0</v>
      </c>
    </row>
    <row r="1387" spans="2:10">
      <c r="B1387" s="53" t="s">
        <v>120</v>
      </c>
      <c r="C1387" s="55">
        <v>0</v>
      </c>
      <c r="D1387" s="55">
        <v>0</v>
      </c>
      <c r="E1387" s="55">
        <v>0</v>
      </c>
      <c r="F1387" s="55">
        <v>0</v>
      </c>
      <c r="G1387" s="55">
        <v>0</v>
      </c>
      <c r="H1387" s="55">
        <v>0</v>
      </c>
      <c r="I1387" s="55">
        <v>0</v>
      </c>
      <c r="J1387" s="55">
        <v>0</v>
      </c>
    </row>
    <row r="1388" spans="2:10">
      <c r="B1388" s="53" t="s">
        <v>119</v>
      </c>
      <c r="C1388" s="55">
        <v>0</v>
      </c>
      <c r="D1388" s="55">
        <v>0</v>
      </c>
      <c r="E1388" s="55">
        <v>0</v>
      </c>
      <c r="F1388" s="55">
        <v>0</v>
      </c>
      <c r="G1388" s="55">
        <v>0</v>
      </c>
      <c r="H1388" s="55">
        <v>0</v>
      </c>
      <c r="I1388" s="55">
        <v>0</v>
      </c>
      <c r="J1388" s="55">
        <v>0</v>
      </c>
    </row>
    <row r="1389" spans="2:10">
      <c r="B1389" s="53" t="s">
        <v>172</v>
      </c>
      <c r="C1389" s="55">
        <v>0</v>
      </c>
      <c r="D1389" s="55">
        <v>0</v>
      </c>
      <c r="E1389" s="55">
        <v>0</v>
      </c>
      <c r="F1389" s="55">
        <v>0</v>
      </c>
      <c r="G1389" s="55">
        <v>0</v>
      </c>
      <c r="H1389" s="55">
        <v>0</v>
      </c>
      <c r="I1389" s="55">
        <v>0</v>
      </c>
      <c r="J1389" s="55">
        <v>0</v>
      </c>
    </row>
    <row r="1390" spans="2:10">
      <c r="B1390" s="52" t="s">
        <v>118</v>
      </c>
      <c r="C1390" s="55">
        <v>0</v>
      </c>
      <c r="D1390" s="55">
        <v>0</v>
      </c>
      <c r="E1390" s="55">
        <v>0</v>
      </c>
      <c r="F1390" s="55">
        <v>0</v>
      </c>
      <c r="G1390" s="55">
        <v>0</v>
      </c>
      <c r="H1390" s="55">
        <v>0</v>
      </c>
      <c r="I1390" s="55">
        <v>0</v>
      </c>
      <c r="J1390" s="55">
        <v>0</v>
      </c>
    </row>
    <row r="1391" spans="2:10">
      <c r="B1391" s="52" t="s">
        <v>117</v>
      </c>
      <c r="C1391" s="55">
        <v>0</v>
      </c>
      <c r="D1391" s="55">
        <v>0</v>
      </c>
      <c r="E1391" s="55">
        <v>0</v>
      </c>
      <c r="F1391" s="55">
        <v>0</v>
      </c>
      <c r="G1391" s="55">
        <v>0</v>
      </c>
      <c r="H1391" s="55">
        <v>0</v>
      </c>
      <c r="I1391" s="55">
        <v>0</v>
      </c>
      <c r="J1391" s="55">
        <v>0</v>
      </c>
    </row>
    <row r="1392" spans="2:10">
      <c r="B1392" s="52"/>
      <c r="C1392" s="88"/>
      <c r="D1392" s="88"/>
      <c r="E1392" s="88"/>
      <c r="F1392" s="88"/>
      <c r="G1392" s="88"/>
      <c r="H1392" s="88"/>
      <c r="I1392" s="88"/>
      <c r="J1392" s="88"/>
    </row>
    <row r="1393" spans="2:10" ht="26">
      <c r="B1393" s="83" t="s">
        <v>187</v>
      </c>
      <c r="C1393" s="55">
        <v>0</v>
      </c>
      <c r="D1393" s="55">
        <v>0</v>
      </c>
      <c r="E1393" s="55">
        <v>0</v>
      </c>
      <c r="F1393" s="55">
        <v>0</v>
      </c>
      <c r="G1393" s="55">
        <v>0</v>
      </c>
      <c r="H1393" s="55">
        <v>0</v>
      </c>
      <c r="I1393" s="55">
        <v>0</v>
      </c>
      <c r="J1393" s="55">
        <v>0</v>
      </c>
    </row>
    <row r="1394" spans="2:10">
      <c r="B1394" s="81" t="s">
        <v>121</v>
      </c>
      <c r="C1394" s="55">
        <v>0</v>
      </c>
      <c r="D1394" s="55">
        <v>0</v>
      </c>
      <c r="E1394" s="55">
        <v>0</v>
      </c>
      <c r="F1394" s="55">
        <v>0</v>
      </c>
      <c r="G1394" s="55">
        <v>0</v>
      </c>
      <c r="H1394" s="55">
        <v>0</v>
      </c>
      <c r="I1394" s="55">
        <v>0</v>
      </c>
      <c r="J1394" s="55">
        <v>0</v>
      </c>
    </row>
    <row r="1395" spans="2:10">
      <c r="B1395" s="82" t="s">
        <v>120</v>
      </c>
      <c r="C1395" s="55">
        <v>0</v>
      </c>
      <c r="D1395" s="55">
        <v>0</v>
      </c>
      <c r="E1395" s="55">
        <v>0</v>
      </c>
      <c r="F1395" s="55">
        <v>0</v>
      </c>
      <c r="G1395" s="55">
        <v>0</v>
      </c>
      <c r="H1395" s="55">
        <v>0</v>
      </c>
      <c r="I1395" s="55">
        <v>0</v>
      </c>
      <c r="J1395" s="55">
        <v>0</v>
      </c>
    </row>
    <row r="1396" spans="2:10">
      <c r="B1396" s="82" t="s">
        <v>119</v>
      </c>
      <c r="C1396" s="55">
        <v>0</v>
      </c>
      <c r="D1396" s="55">
        <v>0</v>
      </c>
      <c r="E1396" s="55">
        <v>0</v>
      </c>
      <c r="F1396" s="55">
        <v>0</v>
      </c>
      <c r="G1396" s="55">
        <v>0</v>
      </c>
      <c r="H1396" s="55">
        <v>0</v>
      </c>
      <c r="I1396" s="55">
        <v>0</v>
      </c>
      <c r="J1396" s="55">
        <v>0</v>
      </c>
    </row>
    <row r="1397" spans="2:10">
      <c r="B1397" s="82" t="s">
        <v>172</v>
      </c>
      <c r="C1397" s="55">
        <v>0</v>
      </c>
      <c r="D1397" s="55">
        <v>0</v>
      </c>
      <c r="E1397" s="55">
        <v>0</v>
      </c>
      <c r="F1397" s="55">
        <v>0</v>
      </c>
      <c r="G1397" s="55">
        <v>0</v>
      </c>
      <c r="H1397" s="55">
        <v>0</v>
      </c>
      <c r="I1397" s="55">
        <v>0</v>
      </c>
      <c r="J1397" s="55">
        <v>0</v>
      </c>
    </row>
    <row r="1398" spans="2:10">
      <c r="B1398" s="81" t="s">
        <v>118</v>
      </c>
      <c r="C1398" s="55">
        <v>0</v>
      </c>
      <c r="D1398" s="55">
        <v>0</v>
      </c>
      <c r="E1398" s="55">
        <v>0</v>
      </c>
      <c r="F1398" s="55">
        <v>0</v>
      </c>
      <c r="G1398" s="55">
        <v>0</v>
      </c>
      <c r="H1398" s="55">
        <v>0</v>
      </c>
      <c r="I1398" s="55">
        <v>0</v>
      </c>
      <c r="J1398" s="55">
        <v>0</v>
      </c>
    </row>
    <row r="1399" spans="2:10">
      <c r="B1399" s="81" t="s">
        <v>117</v>
      </c>
      <c r="C1399" s="55">
        <v>0</v>
      </c>
      <c r="D1399" s="55">
        <v>0</v>
      </c>
      <c r="E1399" s="55">
        <v>0</v>
      </c>
      <c r="F1399" s="55">
        <v>0</v>
      </c>
      <c r="G1399" s="55">
        <v>0</v>
      </c>
      <c r="H1399" s="55">
        <v>0</v>
      </c>
      <c r="I1399" s="55">
        <v>0</v>
      </c>
      <c r="J1399" s="55">
        <v>0</v>
      </c>
    </row>
    <row r="1400" spans="2:10">
      <c r="B1400" s="81"/>
      <c r="C1400" s="55"/>
      <c r="D1400" s="55"/>
      <c r="E1400" s="55"/>
      <c r="F1400" s="55"/>
      <c r="G1400" s="55"/>
      <c r="H1400" s="55"/>
      <c r="I1400" s="55"/>
      <c r="J1400" s="55"/>
    </row>
    <row r="1401" spans="2:10" ht="26">
      <c r="B1401" s="83" t="s">
        <v>173</v>
      </c>
      <c r="C1401" s="55">
        <v>0</v>
      </c>
      <c r="D1401" s="55">
        <v>0</v>
      </c>
      <c r="E1401" s="55">
        <v>0</v>
      </c>
      <c r="F1401" s="55">
        <v>0</v>
      </c>
      <c r="G1401" s="55">
        <v>0</v>
      </c>
      <c r="H1401" s="55">
        <v>0</v>
      </c>
      <c r="I1401" s="55">
        <v>0</v>
      </c>
      <c r="J1401" s="55">
        <v>0</v>
      </c>
    </row>
    <row r="1402" spans="2:10">
      <c r="B1402" s="81" t="s">
        <v>121</v>
      </c>
      <c r="C1402" s="55">
        <v>0</v>
      </c>
      <c r="D1402" s="55">
        <v>0</v>
      </c>
      <c r="E1402" s="55">
        <v>0</v>
      </c>
      <c r="F1402" s="55">
        <v>0</v>
      </c>
      <c r="G1402" s="55">
        <v>0</v>
      </c>
      <c r="H1402" s="55">
        <v>0</v>
      </c>
      <c r="I1402" s="55">
        <v>0</v>
      </c>
      <c r="J1402" s="55">
        <v>0</v>
      </c>
    </row>
    <row r="1403" spans="2:10">
      <c r="B1403" s="82" t="s">
        <v>120</v>
      </c>
      <c r="C1403" s="55">
        <v>0</v>
      </c>
      <c r="D1403" s="55">
        <v>0</v>
      </c>
      <c r="E1403" s="55">
        <v>0</v>
      </c>
      <c r="F1403" s="55">
        <v>0</v>
      </c>
      <c r="G1403" s="55">
        <v>0</v>
      </c>
      <c r="H1403" s="55">
        <v>0</v>
      </c>
      <c r="I1403" s="55">
        <v>0</v>
      </c>
      <c r="J1403" s="55">
        <v>0</v>
      </c>
    </row>
    <row r="1404" spans="2:10">
      <c r="B1404" s="82" t="s">
        <v>119</v>
      </c>
      <c r="C1404" s="55">
        <v>0</v>
      </c>
      <c r="D1404" s="55">
        <v>0</v>
      </c>
      <c r="E1404" s="55">
        <v>0</v>
      </c>
      <c r="F1404" s="55">
        <v>0</v>
      </c>
      <c r="G1404" s="55">
        <v>0</v>
      </c>
      <c r="H1404" s="55">
        <v>0</v>
      </c>
      <c r="I1404" s="55">
        <v>0</v>
      </c>
      <c r="J1404" s="55">
        <v>0</v>
      </c>
    </row>
    <row r="1405" spans="2:10">
      <c r="B1405" s="82" t="s">
        <v>172</v>
      </c>
      <c r="C1405" s="55">
        <v>0</v>
      </c>
      <c r="D1405" s="55">
        <v>0</v>
      </c>
      <c r="E1405" s="55">
        <v>0</v>
      </c>
      <c r="F1405" s="55">
        <v>0</v>
      </c>
      <c r="G1405" s="55">
        <v>0</v>
      </c>
      <c r="H1405" s="55">
        <v>0</v>
      </c>
      <c r="I1405" s="55">
        <v>0</v>
      </c>
      <c r="J1405" s="55">
        <v>0</v>
      </c>
    </row>
    <row r="1406" spans="2:10">
      <c r="B1406" s="81" t="s">
        <v>118</v>
      </c>
      <c r="C1406" s="55">
        <v>0</v>
      </c>
      <c r="D1406" s="55">
        <v>0</v>
      </c>
      <c r="E1406" s="55">
        <v>0</v>
      </c>
      <c r="F1406" s="55">
        <v>0</v>
      </c>
      <c r="G1406" s="55">
        <v>0</v>
      </c>
      <c r="H1406" s="55">
        <v>0</v>
      </c>
      <c r="I1406" s="55">
        <v>0</v>
      </c>
      <c r="J1406" s="55">
        <v>0</v>
      </c>
    </row>
    <row r="1407" spans="2:10">
      <c r="B1407" s="81" t="s">
        <v>117</v>
      </c>
      <c r="C1407" s="55">
        <v>0</v>
      </c>
      <c r="D1407" s="55">
        <v>0</v>
      </c>
      <c r="E1407" s="55">
        <v>0</v>
      </c>
      <c r="F1407" s="55">
        <v>0</v>
      </c>
      <c r="G1407" s="55">
        <v>0</v>
      </c>
      <c r="H1407" s="55">
        <v>0</v>
      </c>
      <c r="I1407" s="55">
        <v>514.96020623900642</v>
      </c>
      <c r="J1407" s="55">
        <v>719.62386961093591</v>
      </c>
    </row>
    <row r="1408" spans="2:10">
      <c r="B1408" s="81"/>
      <c r="C1408" s="55"/>
      <c r="D1408" s="55"/>
      <c r="E1408" s="55"/>
      <c r="F1408" s="55"/>
      <c r="G1408" s="55"/>
      <c r="H1408" s="55"/>
      <c r="I1408" s="55"/>
      <c r="J1408" s="55"/>
    </row>
    <row r="1409" spans="2:10" ht="25">
      <c r="B1409" s="71" t="s">
        <v>171</v>
      </c>
      <c r="C1409" s="55">
        <v>6754.2068875601399</v>
      </c>
      <c r="D1409" s="55">
        <v>3505.2235644653588</v>
      </c>
      <c r="E1409" s="55">
        <v>6147.8144021763128</v>
      </c>
      <c r="F1409" s="55">
        <v>5932.0523377827012</v>
      </c>
      <c r="G1409" s="55">
        <v>7814963.0107674766</v>
      </c>
      <c r="H1409" s="55">
        <v>177651.76725294421</v>
      </c>
      <c r="I1409" s="55">
        <v>116557.90556987507</v>
      </c>
      <c r="J1409" s="55">
        <v>133630.30557308099</v>
      </c>
    </row>
    <row r="1410" spans="2:10">
      <c r="B1410" s="52" t="s">
        <v>195</v>
      </c>
      <c r="C1410" s="55">
        <v>41.965965867982888</v>
      </c>
      <c r="D1410" s="55">
        <v>37.160506728181467</v>
      </c>
      <c r="E1410" s="55">
        <v>34.469524674767506</v>
      </c>
      <c r="F1410" s="55">
        <v>12.401593676428289</v>
      </c>
      <c r="G1410" s="55">
        <v>8307.8847766231211</v>
      </c>
      <c r="H1410" s="55">
        <v>170217.44075397111</v>
      </c>
      <c r="I1410" s="55">
        <v>107416.54984417958</v>
      </c>
      <c r="J1410" s="55">
        <v>120189.61767613041</v>
      </c>
    </row>
    <row r="1411" spans="2:10">
      <c r="B1411" s="52" t="s">
        <v>194</v>
      </c>
      <c r="C1411" s="55">
        <v>0</v>
      </c>
      <c r="D1411" s="55">
        <v>0</v>
      </c>
      <c r="E1411" s="55">
        <v>0</v>
      </c>
      <c r="F1411" s="55">
        <v>0</v>
      </c>
      <c r="G1411" s="55">
        <v>359.15394238831152</v>
      </c>
      <c r="H1411" s="55">
        <v>1.1898682278928121</v>
      </c>
      <c r="I1411" s="55">
        <v>0.51380797230805797</v>
      </c>
      <c r="J1411" s="55">
        <v>0.41773922187171397</v>
      </c>
    </row>
    <row r="1412" spans="2:10">
      <c r="B1412" s="52" t="s">
        <v>167</v>
      </c>
      <c r="C1412" s="55">
        <v>0</v>
      </c>
      <c r="D1412" s="55">
        <v>0</v>
      </c>
      <c r="E1412" s="55">
        <v>0</v>
      </c>
      <c r="F1412" s="55">
        <v>0</v>
      </c>
      <c r="G1412" s="55">
        <v>0</v>
      </c>
      <c r="H1412" s="55">
        <v>0</v>
      </c>
      <c r="I1412" s="55">
        <v>0.13533804195388638</v>
      </c>
      <c r="J1412" s="55">
        <v>0.63930599369085184</v>
      </c>
    </row>
    <row r="1413" spans="2:10">
      <c r="B1413" s="52" t="s">
        <v>193</v>
      </c>
      <c r="C1413" s="55">
        <v>5791.1414307532687</v>
      </c>
      <c r="D1413" s="55">
        <v>3033.668935968627</v>
      </c>
      <c r="E1413" s="55">
        <v>5032.0336218076109</v>
      </c>
      <c r="F1413" s="55">
        <v>4922.9446261358671</v>
      </c>
      <c r="G1413" s="55">
        <v>6218302.4626867641</v>
      </c>
      <c r="H1413" s="55">
        <v>7383.6496470183401</v>
      </c>
      <c r="I1413" s="55">
        <v>9026.9119854049204</v>
      </c>
      <c r="J1413" s="55">
        <v>13335.775152471084</v>
      </c>
    </row>
    <row r="1414" spans="2:10">
      <c r="B1414" s="52" t="s">
        <v>192</v>
      </c>
      <c r="C1414" s="55">
        <v>921.09949093888793</v>
      </c>
      <c r="D1414" s="55">
        <v>434.39412176855046</v>
      </c>
      <c r="E1414" s="55">
        <v>1081.3112556939345</v>
      </c>
      <c r="F1414" s="55">
        <v>996.70611797040624</v>
      </c>
      <c r="G1414" s="55">
        <v>1587993.5093617009</v>
      </c>
      <c r="H1414" s="55">
        <v>49.486983726858661</v>
      </c>
      <c r="I1414" s="55">
        <v>113.79459427632517</v>
      </c>
      <c r="J1414" s="55">
        <v>103.85565720294429</v>
      </c>
    </row>
    <row r="1415" spans="2:10">
      <c r="B1415" s="52" t="s">
        <v>164</v>
      </c>
      <c r="C1415" s="55">
        <v>0</v>
      </c>
      <c r="D1415" s="55">
        <v>0</v>
      </c>
      <c r="E1415" s="55">
        <v>0</v>
      </c>
      <c r="F1415" s="55">
        <v>0</v>
      </c>
      <c r="G1415" s="55">
        <v>0</v>
      </c>
      <c r="H1415" s="55">
        <v>0</v>
      </c>
      <c r="I1415" s="55">
        <v>0</v>
      </c>
      <c r="J1415" s="55">
        <v>0</v>
      </c>
    </row>
    <row r="1416" spans="2:10">
      <c r="B1416" s="52"/>
      <c r="C1416" s="55"/>
      <c r="D1416" s="55"/>
      <c r="E1416" s="55"/>
      <c r="F1416" s="55"/>
      <c r="G1416" s="55"/>
      <c r="H1416" s="55">
        <v>0</v>
      </c>
      <c r="I1416" s="55">
        <v>0</v>
      </c>
      <c r="J1416" s="55">
        <v>0</v>
      </c>
    </row>
    <row r="1417" spans="2:10">
      <c r="B1417" s="80" t="s">
        <v>170</v>
      </c>
      <c r="C1417" s="55">
        <v>0</v>
      </c>
      <c r="D1417" s="55">
        <v>0</v>
      </c>
      <c r="E1417" s="55">
        <v>0</v>
      </c>
      <c r="F1417" s="55">
        <v>0</v>
      </c>
      <c r="G1417" s="55">
        <v>0</v>
      </c>
      <c r="H1417" s="55" t="s">
        <v>191</v>
      </c>
      <c r="I1417" s="55">
        <v>0</v>
      </c>
      <c r="J1417" s="55">
        <v>0</v>
      </c>
    </row>
    <row r="1418" spans="2:10">
      <c r="B1418" s="52" t="s">
        <v>169</v>
      </c>
      <c r="C1418" s="55">
        <v>0</v>
      </c>
      <c r="D1418" s="55">
        <v>0</v>
      </c>
      <c r="E1418" s="55">
        <v>0</v>
      </c>
      <c r="F1418" s="55">
        <v>0</v>
      </c>
      <c r="G1418" s="55">
        <v>0</v>
      </c>
      <c r="H1418" s="55">
        <v>0</v>
      </c>
      <c r="I1418" s="55">
        <v>0</v>
      </c>
      <c r="J1418" s="55">
        <v>0</v>
      </c>
    </row>
    <row r="1419" spans="2:10">
      <c r="B1419" s="52" t="s">
        <v>168</v>
      </c>
      <c r="C1419" s="55">
        <v>0</v>
      </c>
      <c r="D1419" s="55">
        <v>0</v>
      </c>
      <c r="E1419" s="55">
        <v>0</v>
      </c>
      <c r="F1419" s="55">
        <v>0</v>
      </c>
      <c r="G1419" s="55">
        <v>0</v>
      </c>
      <c r="H1419" s="55" t="s">
        <v>191</v>
      </c>
      <c r="I1419" s="55">
        <v>0</v>
      </c>
      <c r="J1419" s="55">
        <v>0</v>
      </c>
    </row>
    <row r="1420" spans="2:10">
      <c r="B1420" s="52" t="s">
        <v>167</v>
      </c>
      <c r="C1420" s="55">
        <v>0</v>
      </c>
      <c r="D1420" s="55">
        <v>0</v>
      </c>
      <c r="E1420" s="55">
        <v>0</v>
      </c>
      <c r="F1420" s="55">
        <v>0</v>
      </c>
      <c r="G1420" s="55">
        <v>0</v>
      </c>
      <c r="H1420" s="55">
        <v>0</v>
      </c>
      <c r="I1420" s="55">
        <v>0</v>
      </c>
      <c r="J1420" s="55">
        <v>0</v>
      </c>
    </row>
    <row r="1421" spans="2:10">
      <c r="B1421" s="52" t="s">
        <v>166</v>
      </c>
      <c r="C1421" s="55">
        <v>0</v>
      </c>
      <c r="D1421" s="55">
        <v>0</v>
      </c>
      <c r="E1421" s="55">
        <v>0</v>
      </c>
      <c r="F1421" s="55">
        <v>0</v>
      </c>
      <c r="G1421" s="55">
        <v>0</v>
      </c>
      <c r="H1421" s="55">
        <v>0</v>
      </c>
      <c r="I1421" s="55">
        <v>0</v>
      </c>
      <c r="J1421" s="55">
        <v>0</v>
      </c>
    </row>
    <row r="1422" spans="2:10">
      <c r="B1422" s="52" t="s">
        <v>165</v>
      </c>
      <c r="C1422" s="55">
        <v>0</v>
      </c>
      <c r="D1422" s="55">
        <v>0</v>
      </c>
      <c r="E1422" s="55">
        <v>0</v>
      </c>
      <c r="F1422" s="55">
        <v>0</v>
      </c>
      <c r="G1422" s="55">
        <v>0</v>
      </c>
      <c r="H1422" s="55">
        <v>0</v>
      </c>
      <c r="I1422" s="55">
        <v>0</v>
      </c>
      <c r="J1422" s="55">
        <v>0</v>
      </c>
    </row>
    <row r="1423" spans="2:10">
      <c r="B1423" s="52" t="s">
        <v>164</v>
      </c>
      <c r="C1423" s="55">
        <v>0</v>
      </c>
      <c r="D1423" s="55">
        <v>0</v>
      </c>
      <c r="E1423" s="55">
        <v>0</v>
      </c>
      <c r="F1423" s="55">
        <v>0</v>
      </c>
      <c r="G1423" s="55">
        <v>0</v>
      </c>
      <c r="H1423" s="55">
        <v>0</v>
      </c>
      <c r="I1423" s="55">
        <v>0</v>
      </c>
      <c r="J1423" s="55">
        <v>0</v>
      </c>
    </row>
    <row r="1424" spans="2:10">
      <c r="B1424" s="52"/>
      <c r="C1424" s="79"/>
      <c r="D1424" s="79"/>
      <c r="E1424" s="79"/>
      <c r="F1424" s="79"/>
      <c r="G1424" s="79"/>
      <c r="H1424" s="79"/>
      <c r="I1424" s="79"/>
      <c r="J1424" s="79"/>
    </row>
    <row r="1425" spans="2:10">
      <c r="B1425" s="59" t="s">
        <v>33</v>
      </c>
      <c r="C1425" s="87"/>
      <c r="D1425" s="87"/>
      <c r="E1425" s="87"/>
      <c r="F1425" s="87"/>
      <c r="G1425" s="87"/>
      <c r="H1425" s="87"/>
      <c r="I1425" s="87"/>
      <c r="J1425" s="87"/>
    </row>
    <row r="1426" spans="2:10" ht="25">
      <c r="B1426" s="71" t="s">
        <v>186</v>
      </c>
      <c r="C1426" s="55">
        <v>76280.685139530819</v>
      </c>
      <c r="D1426" s="55">
        <v>57477.418375590154</v>
      </c>
      <c r="E1426" s="55">
        <v>83516.955123503794</v>
      </c>
      <c r="F1426" s="55">
        <v>136025.21279202309</v>
      </c>
      <c r="G1426" s="55">
        <v>97839.80795545131</v>
      </c>
      <c r="H1426" s="55">
        <v>99839.137700350606</v>
      </c>
      <c r="I1426" s="55">
        <v>71075.427970073695</v>
      </c>
      <c r="J1426" s="55">
        <v>488716.07423860533</v>
      </c>
    </row>
    <row r="1427" spans="2:10">
      <c r="B1427" s="71"/>
      <c r="C1427" s="55"/>
      <c r="D1427" s="55">
        <v>0</v>
      </c>
      <c r="E1427" s="55">
        <v>0</v>
      </c>
      <c r="F1427" s="55">
        <v>0</v>
      </c>
      <c r="G1427" s="55">
        <v>0</v>
      </c>
      <c r="H1427" s="55">
        <v>0</v>
      </c>
      <c r="I1427" s="55">
        <v>0</v>
      </c>
      <c r="J1427" s="55">
        <v>0</v>
      </c>
    </row>
    <row r="1428" spans="2:10">
      <c r="B1428" s="71" t="s">
        <v>190</v>
      </c>
      <c r="C1428" s="55">
        <v>76002.901223192559</v>
      </c>
      <c r="D1428" s="55">
        <v>57249.234554817369</v>
      </c>
      <c r="E1428" s="55">
        <v>83300.44313897047</v>
      </c>
      <c r="F1428" s="55">
        <v>135782.19045285552</v>
      </c>
      <c r="G1428" s="55">
        <v>97298.707460031001</v>
      </c>
      <c r="H1428" s="55">
        <v>94400.401284589694</v>
      </c>
      <c r="I1428" s="55">
        <v>69677.713252709771</v>
      </c>
      <c r="J1428" s="55">
        <v>477120.65958035085</v>
      </c>
    </row>
    <row r="1429" spans="2:10">
      <c r="B1429" s="52" t="s">
        <v>121</v>
      </c>
      <c r="C1429" s="55">
        <v>60941.169786267477</v>
      </c>
      <c r="D1429" s="55">
        <v>41535.99093138946</v>
      </c>
      <c r="E1429" s="55">
        <v>67548.803262205518</v>
      </c>
      <c r="F1429" s="55">
        <v>115240.22328514664</v>
      </c>
      <c r="G1429" s="55">
        <v>91654.095468451909</v>
      </c>
      <c r="H1429" s="55">
        <v>90208.38151879955</v>
      </c>
      <c r="I1429" s="55">
        <v>69595.70950822439</v>
      </c>
      <c r="J1429" s="55">
        <v>284785.27522319811</v>
      </c>
    </row>
    <row r="1430" spans="2:10">
      <c r="B1430" s="53" t="s">
        <v>120</v>
      </c>
      <c r="C1430" s="55">
        <v>0</v>
      </c>
      <c r="D1430" s="55">
        <v>0</v>
      </c>
      <c r="E1430" s="55">
        <v>0</v>
      </c>
      <c r="F1430" s="55">
        <v>0</v>
      </c>
      <c r="G1430" s="55">
        <v>0</v>
      </c>
      <c r="H1430" s="55">
        <v>0</v>
      </c>
      <c r="I1430" s="55">
        <v>0</v>
      </c>
      <c r="J1430" s="55">
        <v>0</v>
      </c>
    </row>
    <row r="1431" spans="2:10">
      <c r="B1431" s="53" t="s">
        <v>189</v>
      </c>
      <c r="C1431" s="55">
        <v>2910.6512888640846</v>
      </c>
      <c r="D1431" s="55">
        <v>1334.2533028573625</v>
      </c>
      <c r="E1431" s="55">
        <v>1886.7251261220676</v>
      </c>
      <c r="F1431" s="55">
        <v>3961.5003568727293</v>
      </c>
      <c r="G1431" s="55">
        <v>2695.1531348373242</v>
      </c>
      <c r="H1431" s="55">
        <v>14855.874042081976</v>
      </c>
      <c r="I1431" s="55">
        <v>6336.1626146066083</v>
      </c>
      <c r="J1431" s="55">
        <v>70087.677775468357</v>
      </c>
    </row>
    <row r="1432" spans="2:10">
      <c r="B1432" s="53" t="s">
        <v>172</v>
      </c>
      <c r="C1432" s="55">
        <v>58030.518497403398</v>
      </c>
      <c r="D1432" s="55">
        <v>40201.737628532101</v>
      </c>
      <c r="E1432" s="55">
        <v>65662.078136083452</v>
      </c>
      <c r="F1432" s="55">
        <v>111278.7229282739</v>
      </c>
      <c r="G1432" s="55">
        <v>88958.94233361457</v>
      </c>
      <c r="H1432" s="55">
        <v>75352.507476717583</v>
      </c>
      <c r="I1432" s="55">
        <v>63259.546893617779</v>
      </c>
      <c r="J1432" s="55">
        <v>214697.59744772982</v>
      </c>
    </row>
    <row r="1433" spans="2:10">
      <c r="B1433" s="52" t="s">
        <v>118</v>
      </c>
      <c r="C1433" s="55">
        <v>4904.7064990182389</v>
      </c>
      <c r="D1433" s="55">
        <v>3664.3733792364469</v>
      </c>
      <c r="E1433" s="55">
        <v>4370.6390742192534</v>
      </c>
      <c r="F1433" s="55">
        <v>6520.3843572562346</v>
      </c>
      <c r="G1433" s="55">
        <v>5644.6119915790978</v>
      </c>
      <c r="H1433" s="55">
        <v>4192.0197657901326</v>
      </c>
      <c r="I1433" s="55">
        <v>69.962266947943903</v>
      </c>
      <c r="J1433" s="55">
        <v>9065.5016453440603</v>
      </c>
    </row>
    <row r="1434" spans="2:10">
      <c r="B1434" s="52" t="s">
        <v>176</v>
      </c>
      <c r="C1434" s="55">
        <v>0</v>
      </c>
      <c r="D1434" s="55">
        <v>12048.870244191465</v>
      </c>
      <c r="E1434" s="55">
        <v>11381.00080254571</v>
      </c>
      <c r="F1434" s="55">
        <v>14021.582810452643</v>
      </c>
      <c r="G1434" s="55">
        <v>0</v>
      </c>
      <c r="H1434" s="55">
        <v>0</v>
      </c>
      <c r="I1434" s="55">
        <v>12.041477537437604</v>
      </c>
      <c r="J1434" s="55">
        <v>183269.88271180863</v>
      </c>
    </row>
    <row r="1435" spans="2:10">
      <c r="B1435" s="52" t="s">
        <v>188</v>
      </c>
      <c r="C1435" s="55">
        <v>10157.024937906828</v>
      </c>
      <c r="D1435" s="55">
        <v>0</v>
      </c>
      <c r="E1435" s="55">
        <v>0</v>
      </c>
      <c r="F1435" s="55">
        <v>0</v>
      </c>
      <c r="G1435" s="55">
        <v>0</v>
      </c>
      <c r="H1435" s="55">
        <v>0</v>
      </c>
      <c r="I1435" s="55">
        <v>0</v>
      </c>
      <c r="J1435" s="55">
        <v>0</v>
      </c>
    </row>
    <row r="1436" spans="2:10">
      <c r="B1436" s="52" t="s">
        <v>174</v>
      </c>
      <c r="C1436" s="55">
        <v>0</v>
      </c>
      <c r="D1436" s="55">
        <v>0</v>
      </c>
      <c r="E1436" s="55">
        <v>0</v>
      </c>
      <c r="F1436" s="55">
        <v>0</v>
      </c>
      <c r="G1436" s="55">
        <v>0</v>
      </c>
      <c r="H1436" s="55">
        <v>0</v>
      </c>
      <c r="I1436" s="55">
        <v>0</v>
      </c>
      <c r="J1436" s="55">
        <v>0</v>
      </c>
    </row>
    <row r="1437" spans="2:10">
      <c r="B1437" s="52"/>
      <c r="C1437" s="55"/>
      <c r="D1437" s="55"/>
      <c r="E1437" s="55"/>
      <c r="F1437" s="55"/>
      <c r="G1437" s="55"/>
      <c r="H1437" s="55"/>
      <c r="I1437" s="55"/>
      <c r="J1437" s="55"/>
    </row>
    <row r="1438" spans="2:10" ht="26">
      <c r="B1438" s="83" t="s">
        <v>187</v>
      </c>
      <c r="C1438" s="89">
        <v>0</v>
      </c>
      <c r="D1438" s="88">
        <v>0</v>
      </c>
      <c r="E1438" s="88">
        <v>0</v>
      </c>
      <c r="F1438" s="88">
        <v>0</v>
      </c>
      <c r="G1438" s="88">
        <v>0</v>
      </c>
      <c r="H1438" s="88">
        <v>0</v>
      </c>
      <c r="I1438" s="88">
        <v>0</v>
      </c>
      <c r="J1438" s="88">
        <v>0</v>
      </c>
    </row>
    <row r="1439" spans="2:10">
      <c r="B1439" s="81" t="s">
        <v>121</v>
      </c>
      <c r="C1439" s="88">
        <v>0</v>
      </c>
      <c r="D1439" s="88">
        <v>0</v>
      </c>
      <c r="E1439" s="88">
        <v>0</v>
      </c>
      <c r="F1439" s="88">
        <v>0</v>
      </c>
      <c r="G1439" s="88">
        <v>0</v>
      </c>
      <c r="H1439" s="88">
        <v>0</v>
      </c>
      <c r="I1439" s="88">
        <v>0</v>
      </c>
      <c r="J1439" s="88">
        <v>0</v>
      </c>
    </row>
    <row r="1440" spans="2:10">
      <c r="B1440" s="82" t="s">
        <v>120</v>
      </c>
      <c r="C1440" s="55">
        <v>0</v>
      </c>
      <c r="D1440" s="55">
        <v>0</v>
      </c>
      <c r="E1440" s="55">
        <v>0</v>
      </c>
      <c r="F1440" s="55">
        <v>0</v>
      </c>
      <c r="G1440" s="55">
        <v>0</v>
      </c>
      <c r="H1440" s="55">
        <v>0</v>
      </c>
      <c r="I1440" s="55">
        <v>0</v>
      </c>
      <c r="J1440" s="55">
        <v>0</v>
      </c>
    </row>
    <row r="1441" spans="2:10">
      <c r="B1441" s="82" t="s">
        <v>119</v>
      </c>
      <c r="C1441" s="55">
        <v>0</v>
      </c>
      <c r="D1441" s="55">
        <v>0</v>
      </c>
      <c r="E1441" s="55">
        <v>0</v>
      </c>
      <c r="F1441" s="55">
        <v>0</v>
      </c>
      <c r="G1441" s="55">
        <v>0</v>
      </c>
      <c r="H1441" s="55">
        <v>0</v>
      </c>
      <c r="I1441" s="55">
        <v>0</v>
      </c>
      <c r="J1441" s="55">
        <v>0</v>
      </c>
    </row>
    <row r="1442" spans="2:10">
      <c r="B1442" s="82" t="s">
        <v>172</v>
      </c>
      <c r="C1442" s="55">
        <v>0</v>
      </c>
      <c r="D1442" s="55">
        <v>0</v>
      </c>
      <c r="E1442" s="55">
        <v>0</v>
      </c>
      <c r="F1442" s="55">
        <v>0</v>
      </c>
      <c r="G1442" s="55">
        <v>0</v>
      </c>
      <c r="H1442" s="55">
        <v>0</v>
      </c>
      <c r="I1442" s="55">
        <v>0</v>
      </c>
      <c r="J1442" s="55">
        <v>0</v>
      </c>
    </row>
    <row r="1443" spans="2:10">
      <c r="B1443" s="81" t="s">
        <v>118</v>
      </c>
      <c r="C1443" s="55">
        <v>0</v>
      </c>
      <c r="D1443" s="55">
        <v>0</v>
      </c>
      <c r="E1443" s="55">
        <v>0</v>
      </c>
      <c r="F1443" s="55">
        <v>0</v>
      </c>
      <c r="G1443" s="55">
        <v>0</v>
      </c>
      <c r="H1443" s="55">
        <v>0</v>
      </c>
      <c r="I1443" s="55">
        <v>0</v>
      </c>
      <c r="J1443" s="55">
        <v>0</v>
      </c>
    </row>
    <row r="1444" spans="2:10">
      <c r="B1444" s="81" t="s">
        <v>117</v>
      </c>
      <c r="C1444" s="55">
        <v>0</v>
      </c>
      <c r="D1444" s="55">
        <v>0</v>
      </c>
      <c r="E1444" s="55">
        <v>0</v>
      </c>
      <c r="F1444" s="55">
        <v>0</v>
      </c>
      <c r="G1444" s="55">
        <v>0</v>
      </c>
      <c r="H1444" s="55">
        <v>0</v>
      </c>
      <c r="I1444" s="55">
        <v>0</v>
      </c>
      <c r="J1444" s="55">
        <v>0</v>
      </c>
    </row>
    <row r="1445" spans="2:10">
      <c r="B1445" s="81"/>
      <c r="C1445" s="55"/>
      <c r="D1445" s="55"/>
      <c r="E1445" s="55"/>
      <c r="F1445" s="55"/>
      <c r="G1445" s="55"/>
      <c r="H1445" s="55"/>
      <c r="I1445" s="55"/>
      <c r="J1445" s="55"/>
    </row>
    <row r="1446" spans="2:10" ht="26">
      <c r="B1446" s="83" t="s">
        <v>173</v>
      </c>
      <c r="C1446" s="89">
        <v>0</v>
      </c>
      <c r="D1446" s="88">
        <v>0</v>
      </c>
      <c r="E1446" s="88">
        <v>0</v>
      </c>
      <c r="F1446" s="88">
        <v>0</v>
      </c>
      <c r="G1446" s="88">
        <v>0</v>
      </c>
      <c r="H1446" s="88">
        <v>0</v>
      </c>
      <c r="I1446" s="88">
        <v>0</v>
      </c>
      <c r="J1446" s="88">
        <v>0</v>
      </c>
    </row>
    <row r="1447" spans="2:10">
      <c r="B1447" s="81" t="s">
        <v>121</v>
      </c>
      <c r="C1447" s="55">
        <v>0</v>
      </c>
      <c r="D1447" s="55">
        <v>0</v>
      </c>
      <c r="E1447" s="55">
        <v>0</v>
      </c>
      <c r="F1447" s="55">
        <v>0</v>
      </c>
      <c r="G1447" s="55">
        <v>0</v>
      </c>
      <c r="H1447" s="55">
        <v>0</v>
      </c>
      <c r="I1447" s="55">
        <v>0</v>
      </c>
      <c r="J1447" s="55">
        <v>0</v>
      </c>
    </row>
    <row r="1448" spans="2:10">
      <c r="B1448" s="82" t="s">
        <v>120</v>
      </c>
      <c r="C1448" s="55">
        <v>0</v>
      </c>
      <c r="D1448" s="55">
        <v>0</v>
      </c>
      <c r="E1448" s="55">
        <v>0</v>
      </c>
      <c r="F1448" s="55">
        <v>0</v>
      </c>
      <c r="G1448" s="55">
        <v>0</v>
      </c>
      <c r="H1448" s="55">
        <v>0</v>
      </c>
      <c r="I1448" s="55">
        <v>0</v>
      </c>
      <c r="J1448" s="55">
        <v>0</v>
      </c>
    </row>
    <row r="1449" spans="2:10">
      <c r="B1449" s="82" t="s">
        <v>119</v>
      </c>
      <c r="C1449" s="55">
        <v>0</v>
      </c>
      <c r="D1449" s="55">
        <v>0</v>
      </c>
      <c r="E1449" s="55">
        <v>0</v>
      </c>
      <c r="F1449" s="55">
        <v>0</v>
      </c>
      <c r="G1449" s="55">
        <v>0</v>
      </c>
      <c r="H1449" s="55">
        <v>0</v>
      </c>
      <c r="I1449" s="55">
        <v>0</v>
      </c>
      <c r="J1449" s="55">
        <v>0</v>
      </c>
    </row>
    <row r="1450" spans="2:10">
      <c r="B1450" s="82" t="s">
        <v>172</v>
      </c>
      <c r="C1450" s="55">
        <v>0</v>
      </c>
      <c r="D1450" s="55">
        <v>0</v>
      </c>
      <c r="E1450" s="55">
        <v>0</v>
      </c>
      <c r="F1450" s="55">
        <v>0</v>
      </c>
      <c r="G1450" s="55">
        <v>0</v>
      </c>
      <c r="H1450" s="55">
        <v>0</v>
      </c>
      <c r="I1450" s="55">
        <v>0</v>
      </c>
      <c r="J1450" s="55">
        <v>0</v>
      </c>
    </row>
    <row r="1451" spans="2:10">
      <c r="B1451" s="81" t="s">
        <v>118</v>
      </c>
      <c r="C1451" s="55">
        <v>0</v>
      </c>
      <c r="D1451" s="55">
        <v>0</v>
      </c>
      <c r="E1451" s="55">
        <v>0</v>
      </c>
      <c r="F1451" s="55">
        <v>0</v>
      </c>
      <c r="G1451" s="55">
        <v>0</v>
      </c>
      <c r="H1451" s="55">
        <v>0</v>
      </c>
      <c r="I1451" s="55">
        <v>0</v>
      </c>
      <c r="J1451" s="55">
        <v>0</v>
      </c>
    </row>
    <row r="1452" spans="2:10">
      <c r="B1452" s="81" t="s">
        <v>117</v>
      </c>
      <c r="C1452" s="55">
        <v>0</v>
      </c>
      <c r="D1452" s="55">
        <v>0</v>
      </c>
      <c r="E1452" s="55">
        <v>0</v>
      </c>
      <c r="F1452" s="55">
        <v>0</v>
      </c>
      <c r="G1452" s="55">
        <v>0</v>
      </c>
      <c r="H1452" s="55">
        <v>0</v>
      </c>
      <c r="I1452" s="55">
        <v>0</v>
      </c>
      <c r="J1452" s="55">
        <v>0</v>
      </c>
    </row>
    <row r="1453" spans="2:10">
      <c r="B1453" s="81"/>
      <c r="C1453" s="55"/>
      <c r="D1453" s="55"/>
      <c r="E1453" s="55"/>
      <c r="F1453" s="55"/>
      <c r="G1453" s="55"/>
      <c r="H1453" s="55"/>
      <c r="I1453" s="55"/>
      <c r="J1453" s="55"/>
    </row>
    <row r="1454" spans="2:10" ht="25">
      <c r="B1454" s="71" t="s">
        <v>171</v>
      </c>
      <c r="C1454" s="55">
        <v>277.783916338258</v>
      </c>
      <c r="D1454" s="55">
        <v>228.18382077277971</v>
      </c>
      <c r="E1454" s="55">
        <v>216.51198453331824</v>
      </c>
      <c r="F1454" s="55">
        <v>243.02233916758104</v>
      </c>
      <c r="G1454" s="55">
        <v>541.10049542031777</v>
      </c>
      <c r="H1454" s="55">
        <v>5438.7364157609145</v>
      </c>
      <c r="I1454" s="55">
        <v>1397.7147173639173</v>
      </c>
      <c r="J1454" s="55">
        <v>11595.414658254469</v>
      </c>
    </row>
    <row r="1455" spans="2:10">
      <c r="B1455" s="52" t="s">
        <v>169</v>
      </c>
      <c r="C1455" s="55">
        <v>0</v>
      </c>
      <c r="D1455" s="55">
        <v>0</v>
      </c>
      <c r="E1455" s="55">
        <v>0</v>
      </c>
      <c r="F1455" s="55">
        <v>0</v>
      </c>
      <c r="G1455" s="55">
        <v>317.82351494248616</v>
      </c>
      <c r="H1455" s="55">
        <v>5260.3919067701809</v>
      </c>
      <c r="I1455" s="55">
        <v>1385.8573068576181</v>
      </c>
      <c r="J1455" s="55">
        <v>11298.292776025237</v>
      </c>
    </row>
    <row r="1456" spans="2:10">
      <c r="B1456" s="52" t="s">
        <v>168</v>
      </c>
      <c r="C1456" s="55">
        <v>277.783916338258</v>
      </c>
      <c r="D1456" s="55">
        <v>228.18382077277971</v>
      </c>
      <c r="E1456" s="55">
        <v>216.51198453331824</v>
      </c>
      <c r="F1456" s="55">
        <v>243.02233916758104</v>
      </c>
      <c r="G1456" s="55">
        <v>223.27698047783159</v>
      </c>
      <c r="H1456" s="55">
        <v>178.34450899073377</v>
      </c>
      <c r="I1456" s="55">
        <v>11.857410506299026</v>
      </c>
      <c r="J1456" s="55">
        <v>297.12188222923243</v>
      </c>
    </row>
    <row r="1457" spans="2:10">
      <c r="B1457" s="52" t="s">
        <v>167</v>
      </c>
      <c r="C1457" s="55">
        <v>0</v>
      </c>
      <c r="D1457" s="55">
        <v>0</v>
      </c>
      <c r="E1457" s="55">
        <v>0</v>
      </c>
      <c r="F1457" s="55">
        <v>0</v>
      </c>
      <c r="G1457" s="55">
        <v>0</v>
      </c>
      <c r="H1457" s="55">
        <v>0</v>
      </c>
      <c r="I1457" s="55">
        <v>0</v>
      </c>
      <c r="J1457" s="55">
        <v>0</v>
      </c>
    </row>
    <row r="1458" spans="2:10">
      <c r="B1458" s="52" t="s">
        <v>166</v>
      </c>
      <c r="C1458" s="55">
        <v>0</v>
      </c>
      <c r="D1458" s="55">
        <v>0</v>
      </c>
      <c r="E1458" s="55">
        <v>0</v>
      </c>
      <c r="F1458" s="55">
        <v>0</v>
      </c>
      <c r="G1458" s="55">
        <v>0</v>
      </c>
      <c r="H1458" s="55">
        <v>0</v>
      </c>
      <c r="I1458" s="55">
        <v>0</v>
      </c>
      <c r="J1458" s="55">
        <v>0</v>
      </c>
    </row>
    <row r="1459" spans="2:10">
      <c r="B1459" s="52" t="s">
        <v>165</v>
      </c>
      <c r="C1459" s="55">
        <v>0</v>
      </c>
      <c r="D1459" s="55">
        <v>0</v>
      </c>
      <c r="E1459" s="55">
        <v>0</v>
      </c>
      <c r="F1459" s="55">
        <v>0</v>
      </c>
      <c r="G1459" s="55">
        <v>0</v>
      </c>
      <c r="H1459" s="55">
        <v>0</v>
      </c>
      <c r="I1459" s="55">
        <v>0</v>
      </c>
      <c r="J1459" s="55">
        <v>0</v>
      </c>
    </row>
    <row r="1460" spans="2:10">
      <c r="B1460" s="52" t="s">
        <v>164</v>
      </c>
      <c r="C1460" s="55">
        <v>0</v>
      </c>
      <c r="D1460" s="55">
        <v>0</v>
      </c>
      <c r="E1460" s="55">
        <v>0</v>
      </c>
      <c r="F1460" s="55">
        <v>0</v>
      </c>
      <c r="G1460" s="55">
        <v>0</v>
      </c>
      <c r="H1460" s="55">
        <v>0</v>
      </c>
      <c r="I1460" s="55">
        <v>0</v>
      </c>
      <c r="J1460" s="55">
        <v>0</v>
      </c>
    </row>
    <row r="1461" spans="2:10">
      <c r="B1461" s="52"/>
      <c r="C1461" s="55"/>
      <c r="D1461" s="55"/>
      <c r="E1461" s="55"/>
      <c r="F1461" s="55"/>
      <c r="G1461" s="55"/>
      <c r="H1461" s="55"/>
      <c r="I1461" s="55"/>
      <c r="J1461" s="55"/>
    </row>
    <row r="1462" spans="2:10">
      <c r="B1462" s="80" t="s">
        <v>170</v>
      </c>
      <c r="C1462" s="55">
        <v>0</v>
      </c>
      <c r="D1462" s="55">
        <v>0</v>
      </c>
      <c r="E1462" s="55">
        <v>0</v>
      </c>
      <c r="F1462" s="55">
        <v>0</v>
      </c>
      <c r="G1462" s="55">
        <v>0</v>
      </c>
      <c r="H1462" s="55">
        <v>0</v>
      </c>
      <c r="I1462" s="55">
        <v>0</v>
      </c>
      <c r="J1462" s="55">
        <v>0</v>
      </c>
    </row>
    <row r="1463" spans="2:10">
      <c r="B1463" s="52" t="s">
        <v>169</v>
      </c>
      <c r="C1463" s="55">
        <v>0</v>
      </c>
      <c r="D1463" s="55">
        <v>0</v>
      </c>
      <c r="E1463" s="55">
        <v>0</v>
      </c>
      <c r="F1463" s="55">
        <v>0</v>
      </c>
      <c r="G1463" s="55">
        <v>0</v>
      </c>
      <c r="H1463" s="55">
        <v>0</v>
      </c>
      <c r="I1463" s="55">
        <v>0</v>
      </c>
      <c r="J1463" s="55">
        <v>0</v>
      </c>
    </row>
    <row r="1464" spans="2:10">
      <c r="B1464" s="52" t="s">
        <v>168</v>
      </c>
      <c r="C1464" s="55">
        <v>0</v>
      </c>
      <c r="D1464" s="55">
        <v>0</v>
      </c>
      <c r="E1464" s="55">
        <v>0</v>
      </c>
      <c r="F1464" s="55">
        <v>0</v>
      </c>
      <c r="G1464" s="55">
        <v>0</v>
      </c>
      <c r="H1464" s="55">
        <v>0</v>
      </c>
      <c r="I1464" s="55">
        <v>0</v>
      </c>
      <c r="J1464" s="55">
        <v>0</v>
      </c>
    </row>
    <row r="1465" spans="2:10">
      <c r="B1465" s="52" t="s">
        <v>167</v>
      </c>
      <c r="C1465" s="55">
        <v>0</v>
      </c>
      <c r="D1465" s="55">
        <v>0</v>
      </c>
      <c r="E1465" s="55">
        <v>0</v>
      </c>
      <c r="F1465" s="55">
        <v>0</v>
      </c>
      <c r="G1465" s="55">
        <v>0</v>
      </c>
      <c r="H1465" s="55">
        <v>0</v>
      </c>
      <c r="I1465" s="55">
        <v>0</v>
      </c>
      <c r="J1465" s="55">
        <v>0</v>
      </c>
    </row>
    <row r="1466" spans="2:10">
      <c r="B1466" s="52" t="s">
        <v>166</v>
      </c>
      <c r="C1466" s="55">
        <v>0</v>
      </c>
      <c r="D1466" s="55">
        <v>0</v>
      </c>
      <c r="E1466" s="55">
        <v>0</v>
      </c>
      <c r="F1466" s="55">
        <v>0</v>
      </c>
      <c r="G1466" s="55">
        <v>0</v>
      </c>
      <c r="H1466" s="55">
        <v>0</v>
      </c>
      <c r="I1466" s="55">
        <v>0</v>
      </c>
      <c r="J1466" s="55">
        <v>0</v>
      </c>
    </row>
    <row r="1467" spans="2:10">
      <c r="B1467" s="52" t="s">
        <v>165</v>
      </c>
      <c r="C1467" s="55">
        <v>0</v>
      </c>
      <c r="D1467" s="55">
        <v>0</v>
      </c>
      <c r="E1467" s="55">
        <v>0</v>
      </c>
      <c r="F1467" s="55">
        <v>0</v>
      </c>
      <c r="G1467" s="55">
        <v>0</v>
      </c>
      <c r="H1467" s="55">
        <v>0</v>
      </c>
      <c r="I1467" s="55">
        <v>0</v>
      </c>
      <c r="J1467" s="55">
        <v>0</v>
      </c>
    </row>
    <row r="1468" spans="2:10">
      <c r="B1468" s="52" t="s">
        <v>164</v>
      </c>
      <c r="C1468" s="55">
        <v>0</v>
      </c>
      <c r="D1468" s="55">
        <v>0</v>
      </c>
      <c r="E1468" s="55">
        <v>0</v>
      </c>
      <c r="F1468" s="55">
        <v>0</v>
      </c>
      <c r="G1468" s="55">
        <v>0</v>
      </c>
      <c r="H1468" s="55">
        <v>0</v>
      </c>
      <c r="I1468" s="55">
        <v>0</v>
      </c>
      <c r="J1468" s="55">
        <v>0</v>
      </c>
    </row>
    <row r="1469" spans="2:10">
      <c r="B1469" s="52"/>
      <c r="C1469" s="79"/>
      <c r="D1469" s="79"/>
      <c r="E1469" s="79"/>
      <c r="F1469" s="79"/>
      <c r="G1469" s="79"/>
      <c r="H1469" s="79"/>
      <c r="I1469" s="79"/>
      <c r="J1469" s="79"/>
    </row>
    <row r="1470" spans="2:10">
      <c r="B1470" s="59" t="s">
        <v>32</v>
      </c>
      <c r="C1470" s="87"/>
      <c r="D1470" s="87"/>
      <c r="E1470" s="87"/>
      <c r="F1470" s="87"/>
      <c r="G1470" s="87"/>
      <c r="H1470" s="87"/>
      <c r="I1470" s="87"/>
      <c r="J1470" s="87"/>
    </row>
    <row r="1471" spans="2:10" ht="25">
      <c r="B1471" s="71" t="s">
        <v>186</v>
      </c>
      <c r="C1471" s="79">
        <v>1213.4212081532764</v>
      </c>
      <c r="D1471" s="55">
        <v>1407.1133713679353</v>
      </c>
      <c r="E1471" s="55">
        <v>1705.50902801804</v>
      </c>
      <c r="F1471" s="55">
        <v>9707.5387237019986</v>
      </c>
      <c r="G1471" s="55">
        <v>1993.9140750261176</v>
      </c>
      <c r="H1471" s="55">
        <v>3276.2130434456858</v>
      </c>
      <c r="I1471" s="55">
        <v>10634.524839553125</v>
      </c>
      <c r="J1471" s="55">
        <v>26690.003259726607</v>
      </c>
    </row>
    <row r="1472" spans="2:10">
      <c r="B1472" s="71"/>
      <c r="C1472" s="79"/>
      <c r="D1472" s="55"/>
      <c r="E1472" s="55"/>
      <c r="F1472" s="55"/>
      <c r="G1472" s="55"/>
      <c r="H1472" s="55"/>
      <c r="I1472" s="55"/>
      <c r="J1472" s="55"/>
    </row>
    <row r="1473" spans="2:10">
      <c r="B1473" s="86" t="s">
        <v>185</v>
      </c>
      <c r="C1473" s="79">
        <v>1213.4212081532764</v>
      </c>
      <c r="D1473" s="55">
        <v>1407.1133713679353</v>
      </c>
      <c r="E1473" s="55">
        <v>1705.50902801804</v>
      </c>
      <c r="F1473" s="55">
        <v>9707.5387237019986</v>
      </c>
      <c r="G1473" s="55">
        <v>1993.9140750261176</v>
      </c>
      <c r="H1473" s="55">
        <v>3276.2130434456858</v>
      </c>
      <c r="I1473" s="55">
        <v>10634.524839553125</v>
      </c>
      <c r="J1473" s="55">
        <v>26690.003259726607</v>
      </c>
    </row>
    <row r="1474" spans="2:10">
      <c r="B1474" s="84" t="s">
        <v>121</v>
      </c>
      <c r="C1474" s="79">
        <v>21.271653777942099</v>
      </c>
      <c r="D1474" s="55">
        <v>28.848644136870433</v>
      </c>
      <c r="E1474" s="55">
        <v>34.464540762892582</v>
      </c>
      <c r="F1474" s="55">
        <v>11.16566788465021</v>
      </c>
      <c r="G1474" s="55">
        <v>4.1849876482148094</v>
      </c>
      <c r="H1474" s="55">
        <v>2.3172491511812336</v>
      </c>
      <c r="I1474" s="55">
        <v>22.808889945329213</v>
      </c>
      <c r="J1474" s="55">
        <v>21.251314405888539</v>
      </c>
    </row>
    <row r="1475" spans="2:10">
      <c r="B1475" s="85" t="s">
        <v>184</v>
      </c>
      <c r="C1475" s="79">
        <v>0</v>
      </c>
      <c r="D1475" s="55">
        <v>0</v>
      </c>
      <c r="E1475" s="55">
        <v>0</v>
      </c>
      <c r="F1475" s="55">
        <v>0</v>
      </c>
      <c r="G1475" s="55">
        <v>0</v>
      </c>
      <c r="H1475" s="55">
        <v>0</v>
      </c>
      <c r="I1475" s="55">
        <v>0</v>
      </c>
      <c r="J1475" s="55">
        <v>0</v>
      </c>
    </row>
    <row r="1476" spans="2:10">
      <c r="B1476" s="85" t="s">
        <v>183</v>
      </c>
      <c r="C1476" s="79">
        <v>20.296339718952005</v>
      </c>
      <c r="D1476" s="55">
        <v>25.360543944636678</v>
      </c>
      <c r="E1476" s="55">
        <v>32.939555273750486</v>
      </c>
      <c r="F1476" s="55">
        <v>9.095026099647388</v>
      </c>
      <c r="G1476" s="55">
        <v>8.7874884615282874E-4</v>
      </c>
      <c r="H1476" s="55">
        <v>0.17738709408130893</v>
      </c>
      <c r="I1476" s="55">
        <v>22.022106013786548</v>
      </c>
      <c r="J1476" s="55">
        <v>15.765089379600422</v>
      </c>
    </row>
    <row r="1477" spans="2:10">
      <c r="B1477" s="85" t="s">
        <v>182</v>
      </c>
      <c r="C1477" s="79">
        <v>0.97531405899009638</v>
      </c>
      <c r="D1477" s="55">
        <v>3.4881001922337562</v>
      </c>
      <c r="E1477" s="55">
        <v>1.5249854891420929</v>
      </c>
      <c r="F1477" s="55">
        <v>2.0706417850028229</v>
      </c>
      <c r="G1477" s="55">
        <v>4.1841088993686562</v>
      </c>
      <c r="H1477" s="55">
        <v>2.1398620570999247</v>
      </c>
      <c r="I1477" s="55">
        <v>0.78678393154266701</v>
      </c>
      <c r="J1477" s="55">
        <v>2.1802313354363827</v>
      </c>
    </row>
    <row r="1478" spans="2:10">
      <c r="B1478" s="84" t="s">
        <v>118</v>
      </c>
      <c r="C1478" s="79">
        <v>0.79831023484625363</v>
      </c>
      <c r="D1478" s="55">
        <v>0.2053365628604383</v>
      </c>
      <c r="E1478" s="55">
        <v>0.61778567462871137</v>
      </c>
      <c r="F1478" s="55">
        <v>1.2459923725112123</v>
      </c>
      <c r="G1478" s="55">
        <v>0.79651769584985299</v>
      </c>
      <c r="H1478" s="55">
        <v>1.2991239335503797</v>
      </c>
      <c r="I1478" s="55">
        <v>9.8288566674589961E-2</v>
      </c>
      <c r="J1478" s="55">
        <v>0.16782334384858047</v>
      </c>
    </row>
    <row r="1479" spans="2:10">
      <c r="B1479" s="84" t="s">
        <v>181</v>
      </c>
      <c r="C1479" s="79">
        <v>40.784118802689463</v>
      </c>
      <c r="D1479" s="55">
        <v>1378.0593906682045</v>
      </c>
      <c r="E1479" s="55">
        <v>1670.4267015805187</v>
      </c>
      <c r="F1479" s="55">
        <v>9695.1270634448374</v>
      </c>
      <c r="G1479" s="55">
        <v>1988.9325696820529</v>
      </c>
      <c r="H1479" s="55">
        <v>3272.5966703609542</v>
      </c>
      <c r="I1479" s="55">
        <v>10611.617661041122</v>
      </c>
      <c r="J1479" s="55">
        <v>26671.89011566772</v>
      </c>
    </row>
    <row r="1480" spans="2:10">
      <c r="B1480" s="84" t="s">
        <v>180</v>
      </c>
      <c r="C1480" s="79">
        <v>1049.2871107800536</v>
      </c>
      <c r="D1480" s="55">
        <v>1607.4206318815993</v>
      </c>
      <c r="E1480" s="55">
        <v>1137.9270694802099</v>
      </c>
      <c r="F1480" s="55">
        <v>1159.7446798677881</v>
      </c>
      <c r="G1480" s="55">
        <v>1045.8914180441118</v>
      </c>
      <c r="H1480" s="55">
        <v>1847.0885247382789</v>
      </c>
      <c r="I1480" s="55">
        <v>0</v>
      </c>
      <c r="J1480" s="55">
        <v>0</v>
      </c>
    </row>
    <row r="1481" spans="2:10">
      <c r="B1481" s="84" t="s">
        <v>179</v>
      </c>
      <c r="C1481" s="79">
        <v>101.28001455774469</v>
      </c>
      <c r="D1481" s="55">
        <v>235.64677909853901</v>
      </c>
      <c r="E1481" s="55">
        <v>579.63767884020149</v>
      </c>
      <c r="F1481" s="55">
        <v>1148.0429118794466</v>
      </c>
      <c r="G1481" s="55">
        <v>1389.5833765231946</v>
      </c>
      <c r="H1481" s="55">
        <v>1998.633183481561</v>
      </c>
      <c r="I1481" s="55">
        <v>0</v>
      </c>
      <c r="J1481" s="55">
        <v>0</v>
      </c>
    </row>
    <row r="1482" spans="2:10">
      <c r="B1482" s="84" t="s">
        <v>178</v>
      </c>
      <c r="C1482" s="79">
        <v>0</v>
      </c>
      <c r="D1482" s="55">
        <v>0</v>
      </c>
      <c r="E1482" s="55">
        <v>10.72388882505102</v>
      </c>
      <c r="F1482" s="55">
        <v>142.27250059930984</v>
      </c>
      <c r="G1482" s="55">
        <v>194.00176916707596</v>
      </c>
      <c r="H1482" s="55">
        <v>185.55809166986108</v>
      </c>
      <c r="I1482" s="55">
        <v>0</v>
      </c>
      <c r="J1482" s="55">
        <v>0</v>
      </c>
    </row>
    <row r="1483" spans="2:10">
      <c r="B1483" s="84" t="s">
        <v>177</v>
      </c>
      <c r="C1483" s="79">
        <v>0</v>
      </c>
      <c r="D1483" s="55">
        <v>0</v>
      </c>
      <c r="E1483" s="55">
        <v>0</v>
      </c>
      <c r="F1483" s="55">
        <v>0</v>
      </c>
      <c r="G1483" s="55">
        <v>0</v>
      </c>
      <c r="H1483" s="55">
        <v>17.811288028673761</v>
      </c>
      <c r="I1483" s="55">
        <v>0</v>
      </c>
      <c r="J1483" s="55">
        <v>0</v>
      </c>
    </row>
    <row r="1484" spans="2:10">
      <c r="B1484" s="52" t="s">
        <v>176</v>
      </c>
      <c r="C1484" s="79">
        <v>0</v>
      </c>
      <c r="D1484" s="79">
        <v>0</v>
      </c>
      <c r="E1484" s="79">
        <v>0</v>
      </c>
      <c r="F1484" s="79">
        <v>0</v>
      </c>
      <c r="G1484" s="79">
        <v>0</v>
      </c>
      <c r="H1484" s="79">
        <v>0</v>
      </c>
      <c r="I1484" s="55">
        <v>0</v>
      </c>
      <c r="J1484" s="55">
        <v>0</v>
      </c>
    </row>
    <row r="1485" spans="2:10">
      <c r="B1485" s="52" t="s">
        <v>175</v>
      </c>
      <c r="C1485" s="79">
        <v>0</v>
      </c>
      <c r="D1485" s="79">
        <v>0</v>
      </c>
      <c r="E1485" s="79">
        <v>0</v>
      </c>
      <c r="F1485" s="79">
        <v>0</v>
      </c>
      <c r="G1485" s="79">
        <v>0</v>
      </c>
      <c r="H1485" s="79">
        <v>0</v>
      </c>
      <c r="I1485" s="55">
        <v>0</v>
      </c>
      <c r="J1485" s="55">
        <v>0</v>
      </c>
    </row>
    <row r="1486" spans="2:10">
      <c r="B1486" s="52" t="s">
        <v>174</v>
      </c>
      <c r="C1486" s="79">
        <v>0</v>
      </c>
      <c r="D1486" s="79">
        <v>0</v>
      </c>
      <c r="E1486" s="79">
        <v>0</v>
      </c>
      <c r="F1486" s="79">
        <v>0</v>
      </c>
      <c r="G1486" s="79">
        <v>0</v>
      </c>
      <c r="H1486" s="79">
        <v>0</v>
      </c>
      <c r="I1486" s="55">
        <v>0</v>
      </c>
      <c r="J1486" s="55">
        <v>0</v>
      </c>
    </row>
    <row r="1487" spans="2:10">
      <c r="B1487" s="52"/>
      <c r="C1487" s="79"/>
      <c r="D1487" s="79"/>
      <c r="E1487" s="79"/>
      <c r="F1487" s="79"/>
      <c r="G1487" s="79"/>
      <c r="H1487" s="79"/>
      <c r="I1487" s="79"/>
      <c r="J1487" s="79"/>
    </row>
    <row r="1488" spans="2:10" ht="26">
      <c r="B1488" s="83" t="s">
        <v>173</v>
      </c>
      <c r="C1488" s="79">
        <v>0</v>
      </c>
      <c r="D1488" s="79">
        <v>0</v>
      </c>
      <c r="E1488" s="79">
        <v>0</v>
      </c>
      <c r="F1488" s="79">
        <v>0</v>
      </c>
      <c r="G1488" s="79">
        <v>0</v>
      </c>
      <c r="H1488" s="79">
        <v>0</v>
      </c>
      <c r="I1488" s="55">
        <v>0</v>
      </c>
      <c r="J1488" s="55">
        <v>0</v>
      </c>
    </row>
    <row r="1489" spans="2:10">
      <c r="B1489" s="81" t="s">
        <v>121</v>
      </c>
      <c r="C1489" s="79">
        <v>0</v>
      </c>
      <c r="D1489" s="79">
        <v>0</v>
      </c>
      <c r="E1489" s="79">
        <v>0</v>
      </c>
      <c r="F1489" s="79">
        <v>0</v>
      </c>
      <c r="G1489" s="79">
        <v>0</v>
      </c>
      <c r="H1489" s="79">
        <v>0</v>
      </c>
      <c r="I1489" s="55">
        <v>0</v>
      </c>
      <c r="J1489" s="55">
        <v>0</v>
      </c>
    </row>
    <row r="1490" spans="2:10">
      <c r="B1490" s="82" t="s">
        <v>120</v>
      </c>
      <c r="C1490" s="79">
        <v>0</v>
      </c>
      <c r="D1490" s="79">
        <v>0</v>
      </c>
      <c r="E1490" s="79">
        <v>0</v>
      </c>
      <c r="F1490" s="79">
        <v>0</v>
      </c>
      <c r="G1490" s="79">
        <v>0</v>
      </c>
      <c r="H1490" s="79">
        <v>0</v>
      </c>
      <c r="I1490" s="55">
        <v>0</v>
      </c>
      <c r="J1490" s="55">
        <v>0</v>
      </c>
    </row>
    <row r="1491" spans="2:10">
      <c r="B1491" s="82" t="s">
        <v>119</v>
      </c>
      <c r="C1491" s="79">
        <v>0</v>
      </c>
      <c r="D1491" s="79">
        <v>0</v>
      </c>
      <c r="E1491" s="79">
        <v>0</v>
      </c>
      <c r="F1491" s="79">
        <v>0</v>
      </c>
      <c r="G1491" s="79">
        <v>0</v>
      </c>
      <c r="H1491" s="79">
        <v>0</v>
      </c>
      <c r="I1491" s="55">
        <v>0</v>
      </c>
      <c r="J1491" s="55">
        <v>0</v>
      </c>
    </row>
    <row r="1492" spans="2:10">
      <c r="B1492" s="82" t="s">
        <v>172</v>
      </c>
      <c r="C1492" s="79">
        <v>0</v>
      </c>
      <c r="D1492" s="79">
        <v>0</v>
      </c>
      <c r="E1492" s="79">
        <v>0</v>
      </c>
      <c r="F1492" s="79">
        <v>0</v>
      </c>
      <c r="G1492" s="79">
        <v>0</v>
      </c>
      <c r="H1492" s="79">
        <v>0</v>
      </c>
      <c r="I1492" s="55">
        <v>0</v>
      </c>
      <c r="J1492" s="55">
        <v>0</v>
      </c>
    </row>
    <row r="1493" spans="2:10">
      <c r="B1493" s="81" t="s">
        <v>118</v>
      </c>
      <c r="C1493" s="79">
        <v>0</v>
      </c>
      <c r="D1493" s="79">
        <v>0</v>
      </c>
      <c r="E1493" s="79">
        <v>0</v>
      </c>
      <c r="F1493" s="79">
        <v>0</v>
      </c>
      <c r="G1493" s="79">
        <v>0</v>
      </c>
      <c r="H1493" s="79">
        <v>0</v>
      </c>
      <c r="I1493" s="55">
        <v>0</v>
      </c>
      <c r="J1493" s="55">
        <v>0</v>
      </c>
    </row>
    <row r="1494" spans="2:10">
      <c r="B1494" s="81" t="s">
        <v>117</v>
      </c>
      <c r="C1494" s="79">
        <v>0</v>
      </c>
      <c r="D1494" s="79">
        <v>0</v>
      </c>
      <c r="E1494" s="79">
        <v>0</v>
      </c>
      <c r="F1494" s="79">
        <v>0</v>
      </c>
      <c r="G1494" s="79">
        <v>0</v>
      </c>
      <c r="H1494" s="79">
        <v>0</v>
      </c>
      <c r="I1494" s="55">
        <v>0</v>
      </c>
      <c r="J1494" s="55">
        <v>0</v>
      </c>
    </row>
    <row r="1495" spans="2:10">
      <c r="B1495" s="81"/>
      <c r="C1495" s="79"/>
      <c r="D1495" s="79"/>
      <c r="E1495" s="79"/>
      <c r="F1495" s="79"/>
      <c r="G1495" s="79"/>
      <c r="H1495" s="79"/>
      <c r="I1495" s="55"/>
      <c r="J1495" s="55"/>
    </row>
    <row r="1496" spans="2:10" ht="25">
      <c r="B1496" s="71" t="s">
        <v>171</v>
      </c>
      <c r="C1496" s="79">
        <v>0</v>
      </c>
      <c r="D1496" s="79">
        <v>0</v>
      </c>
      <c r="E1496" s="79">
        <v>0</v>
      </c>
      <c r="F1496" s="79">
        <v>0</v>
      </c>
      <c r="G1496" s="79">
        <v>0</v>
      </c>
      <c r="H1496" s="79">
        <v>0</v>
      </c>
      <c r="I1496" s="55">
        <v>0</v>
      </c>
      <c r="J1496" s="55">
        <v>0</v>
      </c>
    </row>
    <row r="1497" spans="2:10">
      <c r="B1497" s="52" t="s">
        <v>169</v>
      </c>
      <c r="C1497" s="79">
        <v>0</v>
      </c>
      <c r="D1497" s="79">
        <v>0</v>
      </c>
      <c r="E1497" s="79">
        <v>0</v>
      </c>
      <c r="F1497" s="79">
        <v>0</v>
      </c>
      <c r="G1497" s="79">
        <v>0</v>
      </c>
      <c r="H1497" s="79">
        <v>0</v>
      </c>
      <c r="I1497" s="55">
        <v>0</v>
      </c>
      <c r="J1497" s="55">
        <v>0</v>
      </c>
    </row>
    <row r="1498" spans="2:10">
      <c r="B1498" s="52" t="s">
        <v>168</v>
      </c>
      <c r="C1498" s="79">
        <v>0</v>
      </c>
      <c r="D1498" s="79">
        <v>0</v>
      </c>
      <c r="E1498" s="79">
        <v>0</v>
      </c>
      <c r="F1498" s="79">
        <v>0</v>
      </c>
      <c r="G1498" s="79">
        <v>0</v>
      </c>
      <c r="H1498" s="79">
        <v>0</v>
      </c>
      <c r="I1498" s="55">
        <v>0</v>
      </c>
      <c r="J1498" s="55">
        <v>0</v>
      </c>
    </row>
    <row r="1499" spans="2:10">
      <c r="B1499" s="52" t="s">
        <v>167</v>
      </c>
      <c r="C1499" s="79">
        <v>0</v>
      </c>
      <c r="D1499" s="79">
        <v>0</v>
      </c>
      <c r="E1499" s="79">
        <v>0</v>
      </c>
      <c r="F1499" s="79">
        <v>0</v>
      </c>
      <c r="G1499" s="79">
        <v>0</v>
      </c>
      <c r="H1499" s="79">
        <v>0</v>
      </c>
      <c r="I1499" s="55">
        <v>0</v>
      </c>
      <c r="J1499" s="55">
        <v>0</v>
      </c>
    </row>
    <row r="1500" spans="2:10">
      <c r="B1500" s="52" t="s">
        <v>166</v>
      </c>
      <c r="C1500" s="79">
        <v>0</v>
      </c>
      <c r="D1500" s="79">
        <v>0</v>
      </c>
      <c r="E1500" s="79">
        <v>0</v>
      </c>
      <c r="F1500" s="79">
        <v>0</v>
      </c>
      <c r="G1500" s="79">
        <v>0</v>
      </c>
      <c r="H1500" s="79">
        <v>0</v>
      </c>
      <c r="I1500" s="55">
        <v>0</v>
      </c>
      <c r="J1500" s="55">
        <v>0</v>
      </c>
    </row>
    <row r="1501" spans="2:10">
      <c r="B1501" s="52" t="s">
        <v>165</v>
      </c>
      <c r="C1501" s="79">
        <v>0</v>
      </c>
      <c r="D1501" s="79">
        <v>0</v>
      </c>
      <c r="E1501" s="79">
        <v>0</v>
      </c>
      <c r="F1501" s="79">
        <v>0</v>
      </c>
      <c r="G1501" s="79">
        <v>0</v>
      </c>
      <c r="H1501" s="79">
        <v>0</v>
      </c>
      <c r="I1501" s="55">
        <v>0</v>
      </c>
      <c r="J1501" s="55">
        <v>0</v>
      </c>
    </row>
    <row r="1502" spans="2:10">
      <c r="B1502" s="52" t="s">
        <v>164</v>
      </c>
      <c r="C1502" s="79">
        <v>0</v>
      </c>
      <c r="D1502" s="79">
        <v>0</v>
      </c>
      <c r="E1502" s="79">
        <v>0</v>
      </c>
      <c r="F1502" s="79">
        <v>0</v>
      </c>
      <c r="G1502" s="79">
        <v>0</v>
      </c>
      <c r="H1502" s="79">
        <v>0</v>
      </c>
      <c r="I1502" s="55">
        <v>0</v>
      </c>
      <c r="J1502" s="55">
        <v>0</v>
      </c>
    </row>
    <row r="1503" spans="2:10">
      <c r="B1503" s="52"/>
      <c r="C1503" s="79"/>
      <c r="D1503" s="79"/>
      <c r="E1503" s="79"/>
      <c r="F1503" s="79"/>
      <c r="G1503" s="79"/>
      <c r="H1503" s="79"/>
      <c r="I1503" s="55"/>
      <c r="J1503" s="55"/>
    </row>
    <row r="1504" spans="2:10">
      <c r="B1504" s="80" t="s">
        <v>170</v>
      </c>
      <c r="C1504" s="79">
        <v>0</v>
      </c>
      <c r="D1504" s="79">
        <v>0</v>
      </c>
      <c r="E1504" s="79">
        <v>0</v>
      </c>
      <c r="F1504" s="79">
        <v>0</v>
      </c>
      <c r="G1504" s="79">
        <v>0</v>
      </c>
      <c r="H1504" s="79">
        <v>0</v>
      </c>
      <c r="I1504" s="55">
        <v>0</v>
      </c>
      <c r="J1504" s="55">
        <v>0</v>
      </c>
    </row>
    <row r="1505" spans="2:10">
      <c r="B1505" s="52" t="s">
        <v>169</v>
      </c>
      <c r="C1505" s="79">
        <v>0</v>
      </c>
      <c r="D1505" s="79">
        <v>0</v>
      </c>
      <c r="E1505" s="79">
        <v>0</v>
      </c>
      <c r="F1505" s="79">
        <v>0</v>
      </c>
      <c r="G1505" s="79">
        <v>0</v>
      </c>
      <c r="H1505" s="79">
        <v>0</v>
      </c>
      <c r="I1505" s="55">
        <v>0</v>
      </c>
      <c r="J1505" s="55">
        <v>0</v>
      </c>
    </row>
    <row r="1506" spans="2:10">
      <c r="B1506" s="52" t="s">
        <v>168</v>
      </c>
      <c r="C1506" s="79">
        <v>0</v>
      </c>
      <c r="D1506" s="79">
        <v>0</v>
      </c>
      <c r="E1506" s="79">
        <v>0</v>
      </c>
      <c r="F1506" s="79">
        <v>0</v>
      </c>
      <c r="G1506" s="79">
        <v>0</v>
      </c>
      <c r="H1506" s="79">
        <v>0</v>
      </c>
      <c r="I1506" s="55">
        <v>0</v>
      </c>
      <c r="J1506" s="55">
        <v>0</v>
      </c>
    </row>
    <row r="1507" spans="2:10">
      <c r="B1507" s="52" t="s">
        <v>167</v>
      </c>
      <c r="C1507" s="79">
        <v>0</v>
      </c>
      <c r="D1507" s="79">
        <v>0</v>
      </c>
      <c r="E1507" s="79">
        <v>0</v>
      </c>
      <c r="F1507" s="79">
        <v>0</v>
      </c>
      <c r="G1507" s="79">
        <v>0</v>
      </c>
      <c r="H1507" s="79">
        <v>0</v>
      </c>
      <c r="I1507" s="55">
        <v>0</v>
      </c>
      <c r="J1507" s="55">
        <v>0</v>
      </c>
    </row>
    <row r="1508" spans="2:10">
      <c r="B1508" s="52" t="s">
        <v>166</v>
      </c>
      <c r="C1508" s="79">
        <v>0</v>
      </c>
      <c r="D1508" s="79">
        <v>0</v>
      </c>
      <c r="E1508" s="79">
        <v>0</v>
      </c>
      <c r="F1508" s="79">
        <v>0</v>
      </c>
      <c r="G1508" s="79">
        <v>0</v>
      </c>
      <c r="H1508" s="79">
        <v>0</v>
      </c>
      <c r="I1508" s="55">
        <v>0</v>
      </c>
      <c r="J1508" s="55">
        <v>0</v>
      </c>
    </row>
    <row r="1509" spans="2:10">
      <c r="B1509" s="52" t="s">
        <v>165</v>
      </c>
      <c r="C1509" s="79">
        <v>0</v>
      </c>
      <c r="D1509" s="79">
        <v>0</v>
      </c>
      <c r="E1509" s="79">
        <v>0</v>
      </c>
      <c r="F1509" s="79">
        <v>0</v>
      </c>
      <c r="G1509" s="79">
        <v>0</v>
      </c>
      <c r="H1509" s="79">
        <v>0</v>
      </c>
      <c r="I1509" s="55">
        <v>0</v>
      </c>
      <c r="J1509" s="55">
        <v>0</v>
      </c>
    </row>
    <row r="1510" spans="2:10" ht="15" thickBot="1">
      <c r="B1510" s="50" t="s">
        <v>164</v>
      </c>
      <c r="C1510" s="78">
        <v>0</v>
      </c>
      <c r="D1510" s="78">
        <v>0</v>
      </c>
      <c r="E1510" s="78">
        <v>0</v>
      </c>
      <c r="F1510" s="78">
        <v>0</v>
      </c>
      <c r="G1510" s="78">
        <v>0</v>
      </c>
      <c r="H1510" s="78">
        <v>0</v>
      </c>
      <c r="I1510" s="55">
        <v>0</v>
      </c>
      <c r="J1510" s="55">
        <v>0</v>
      </c>
    </row>
    <row r="1511" spans="2:10" ht="15" thickTop="1">
      <c r="B1511" s="2023" t="s">
        <v>163</v>
      </c>
      <c r="C1511" s="2023"/>
      <c r="D1511" s="2023"/>
      <c r="E1511" s="2023"/>
      <c r="F1511" s="2023"/>
      <c r="G1511" s="2023"/>
      <c r="H1511" s="2023"/>
      <c r="I1511" s="2023"/>
      <c r="J1511" s="2023"/>
    </row>
    <row r="1512" spans="2:10">
      <c r="B1512" s="2017" t="s">
        <v>162</v>
      </c>
      <c r="C1512" s="2017"/>
      <c r="D1512" s="2017"/>
      <c r="E1512" s="2017"/>
      <c r="F1512" s="2017"/>
      <c r="G1512" s="2017"/>
      <c r="H1512" s="2017"/>
      <c r="I1512" s="2017"/>
      <c r="J1512" s="2017"/>
    </row>
    <row r="1513" spans="2:10">
      <c r="B1513" s="64"/>
      <c r="C1513" s="1"/>
      <c r="D1513" s="1"/>
      <c r="E1513" s="1"/>
      <c r="F1513" s="1"/>
      <c r="G1513" s="1"/>
      <c r="H1513" s="1"/>
      <c r="I1513" s="1"/>
      <c r="J1513" s="1"/>
    </row>
    <row r="1514" spans="2:10">
      <c r="B1514" s="14" t="s">
        <v>161</v>
      </c>
      <c r="C1514" s="14"/>
      <c r="D1514" s="14"/>
      <c r="E1514" s="14"/>
      <c r="F1514" s="14"/>
      <c r="G1514" s="14"/>
      <c r="H1514" s="14"/>
      <c r="I1514" s="14"/>
      <c r="J1514" s="14"/>
    </row>
    <row r="1515" spans="2:10">
      <c r="B1515" s="12" t="s">
        <v>160</v>
      </c>
      <c r="C1515" s="1"/>
      <c r="D1515" s="1"/>
      <c r="E1515" s="1"/>
      <c r="F1515" s="1"/>
      <c r="G1515" s="1"/>
      <c r="H1515" s="1"/>
      <c r="I1515" s="1"/>
      <c r="J1515" s="1"/>
    </row>
    <row r="1516" spans="2:10">
      <c r="B1516" s="77" t="s">
        <v>159</v>
      </c>
      <c r="C1516" s="1"/>
      <c r="D1516" s="1"/>
      <c r="E1516" s="1"/>
      <c r="F1516" s="1"/>
      <c r="G1516" s="1"/>
      <c r="H1516" s="1"/>
      <c r="I1516" s="1"/>
      <c r="J1516" s="1"/>
    </row>
    <row r="1517" spans="2:10">
      <c r="B1517" s="76"/>
      <c r="C1517" s="1"/>
      <c r="D1517" s="1"/>
      <c r="E1517" s="1"/>
      <c r="F1517" s="1"/>
      <c r="G1517" s="1"/>
      <c r="H1517" s="1"/>
      <c r="I1517" s="1"/>
      <c r="J1517" s="1"/>
    </row>
    <row r="1518" spans="2:10">
      <c r="B1518" s="61"/>
      <c r="C1518" s="60">
        <v>2014</v>
      </c>
      <c r="D1518" s="60">
        <v>2015</v>
      </c>
      <c r="E1518" s="60">
        <v>2016</v>
      </c>
      <c r="F1518" s="60">
        <v>2017</v>
      </c>
      <c r="G1518" s="60">
        <v>2018</v>
      </c>
      <c r="H1518" s="60">
        <v>2019</v>
      </c>
      <c r="I1518" s="60">
        <v>2020</v>
      </c>
      <c r="J1518" s="60">
        <v>2021</v>
      </c>
    </row>
    <row r="1519" spans="2:10">
      <c r="B1519" s="59" t="s">
        <v>158</v>
      </c>
      <c r="C1519" s="1"/>
      <c r="D1519" s="1"/>
      <c r="E1519" s="1"/>
      <c r="F1519" s="1"/>
      <c r="G1519" s="1"/>
      <c r="H1519" s="1"/>
      <c r="I1519" s="1"/>
      <c r="J1519" s="1"/>
    </row>
    <row r="1520" spans="2:10">
      <c r="B1520" s="71" t="s">
        <v>157</v>
      </c>
      <c r="C1520" s="67">
        <v>619</v>
      </c>
      <c r="D1520" s="67">
        <v>615</v>
      </c>
      <c r="E1520" s="67">
        <v>625</v>
      </c>
      <c r="F1520" s="67">
        <v>709</v>
      </c>
      <c r="G1520" s="67">
        <v>719</v>
      </c>
      <c r="H1520" s="67">
        <v>379</v>
      </c>
      <c r="I1520" s="67">
        <v>665</v>
      </c>
      <c r="J1520" s="67">
        <v>666</v>
      </c>
    </row>
    <row r="1521" spans="2:10">
      <c r="B1521" s="52" t="s">
        <v>156</v>
      </c>
      <c r="C1521" s="67">
        <v>3</v>
      </c>
      <c r="D1521" s="67">
        <v>3</v>
      </c>
      <c r="E1521" s="67">
        <v>3</v>
      </c>
      <c r="F1521" s="67">
        <v>3</v>
      </c>
      <c r="G1521" s="67">
        <v>3</v>
      </c>
      <c r="H1521" s="67">
        <v>1</v>
      </c>
      <c r="I1521" s="67">
        <v>1</v>
      </c>
      <c r="J1521" s="67">
        <v>1</v>
      </c>
    </row>
    <row r="1522" spans="2:10">
      <c r="B1522" s="52" t="s">
        <v>155</v>
      </c>
      <c r="C1522" s="67">
        <v>3</v>
      </c>
      <c r="D1522" s="67">
        <v>9</v>
      </c>
      <c r="E1522" s="67">
        <v>9</v>
      </c>
      <c r="F1522" s="67">
        <v>9</v>
      </c>
      <c r="G1522" s="67">
        <v>9</v>
      </c>
      <c r="H1522" s="67">
        <v>3</v>
      </c>
      <c r="I1522" s="67">
        <v>5</v>
      </c>
      <c r="J1522" s="67">
        <v>5</v>
      </c>
    </row>
    <row r="1523" spans="2:10">
      <c r="B1523" s="52" t="s">
        <v>154</v>
      </c>
      <c r="C1523" s="67">
        <v>1</v>
      </c>
      <c r="D1523" s="67">
        <v>3</v>
      </c>
      <c r="E1523" s="67">
        <v>3</v>
      </c>
      <c r="F1523" s="67">
        <v>2</v>
      </c>
      <c r="G1523" s="67">
        <v>2</v>
      </c>
      <c r="H1523" s="67">
        <v>3</v>
      </c>
      <c r="I1523" s="67">
        <v>3</v>
      </c>
      <c r="J1523" s="67">
        <v>3</v>
      </c>
    </row>
    <row r="1524" spans="2:10">
      <c r="B1524" s="52" t="s">
        <v>147</v>
      </c>
      <c r="C1524" s="67">
        <v>130</v>
      </c>
      <c r="D1524" s="67">
        <v>133</v>
      </c>
      <c r="E1524" s="67">
        <v>131</v>
      </c>
      <c r="F1524" s="67">
        <v>131</v>
      </c>
      <c r="G1524" s="67">
        <v>129</v>
      </c>
      <c r="H1524" s="67">
        <v>60</v>
      </c>
      <c r="I1524" s="67">
        <v>65</v>
      </c>
      <c r="J1524" s="67">
        <v>59</v>
      </c>
    </row>
    <row r="1525" spans="2:10">
      <c r="B1525" s="52" t="s">
        <v>153</v>
      </c>
      <c r="C1525" s="67">
        <v>482</v>
      </c>
      <c r="D1525" s="67">
        <v>467</v>
      </c>
      <c r="E1525" s="67">
        <v>479</v>
      </c>
      <c r="F1525" s="67">
        <v>564</v>
      </c>
      <c r="G1525" s="67">
        <v>576</v>
      </c>
      <c r="H1525" s="67">
        <v>312</v>
      </c>
      <c r="I1525" s="67">
        <v>591</v>
      </c>
      <c r="J1525" s="67">
        <v>598</v>
      </c>
    </row>
    <row r="1526" spans="2:10">
      <c r="B1526" s="52"/>
      <c r="C1526" s="3"/>
      <c r="D1526" s="3"/>
      <c r="E1526" s="3"/>
      <c r="F1526" s="3"/>
      <c r="G1526" s="3"/>
      <c r="H1526" s="3"/>
      <c r="I1526" s="3"/>
      <c r="J1526" s="3"/>
    </row>
    <row r="1527" spans="2:10" ht="25">
      <c r="B1527" s="71" t="s">
        <v>152</v>
      </c>
      <c r="C1527" s="75">
        <v>618</v>
      </c>
      <c r="D1527" s="75">
        <v>612</v>
      </c>
      <c r="E1527" s="75">
        <v>622</v>
      </c>
      <c r="F1527" s="75">
        <v>701</v>
      </c>
      <c r="G1527" s="75">
        <v>709</v>
      </c>
      <c r="H1527" s="75">
        <v>379</v>
      </c>
      <c r="I1527" s="75">
        <v>656</v>
      </c>
      <c r="J1527" s="75">
        <v>657</v>
      </c>
    </row>
    <row r="1528" spans="2:10">
      <c r="B1528" s="52" t="s">
        <v>150</v>
      </c>
      <c r="C1528" s="75">
        <v>3</v>
      </c>
      <c r="D1528" s="75">
        <v>3</v>
      </c>
      <c r="E1528" s="75">
        <v>3</v>
      </c>
      <c r="F1528" s="75">
        <v>3</v>
      </c>
      <c r="G1528" s="75">
        <v>3</v>
      </c>
      <c r="H1528" s="75">
        <v>1</v>
      </c>
      <c r="I1528" s="75">
        <v>1</v>
      </c>
      <c r="J1528" s="75">
        <v>1</v>
      </c>
    </row>
    <row r="1529" spans="2:10">
      <c r="B1529" s="52" t="s">
        <v>149</v>
      </c>
      <c r="C1529" s="75">
        <v>3</v>
      </c>
      <c r="D1529" s="75">
        <v>9</v>
      </c>
      <c r="E1529" s="75">
        <v>9</v>
      </c>
      <c r="F1529" s="75">
        <v>9</v>
      </c>
      <c r="G1529" s="75">
        <v>9</v>
      </c>
      <c r="H1529" s="75">
        <v>3</v>
      </c>
      <c r="I1529" s="75">
        <v>5</v>
      </c>
      <c r="J1529" s="75">
        <v>5</v>
      </c>
    </row>
    <row r="1530" spans="2:10">
      <c r="B1530" s="52" t="s">
        <v>148</v>
      </c>
      <c r="C1530" s="75">
        <v>0</v>
      </c>
      <c r="D1530" s="75">
        <v>0</v>
      </c>
      <c r="E1530" s="75">
        <v>0</v>
      </c>
      <c r="F1530" s="75">
        <v>0</v>
      </c>
      <c r="G1530" s="75">
        <v>0</v>
      </c>
      <c r="H1530" s="75">
        <v>3</v>
      </c>
      <c r="I1530" s="75">
        <v>0</v>
      </c>
      <c r="J1530" s="75">
        <v>0</v>
      </c>
    </row>
    <row r="1531" spans="2:10">
      <c r="B1531" s="52" t="s">
        <v>147</v>
      </c>
      <c r="C1531" s="75">
        <v>130</v>
      </c>
      <c r="D1531" s="75">
        <v>133</v>
      </c>
      <c r="E1531" s="75">
        <v>131</v>
      </c>
      <c r="F1531" s="75">
        <v>131</v>
      </c>
      <c r="G1531" s="75">
        <v>129</v>
      </c>
      <c r="H1531" s="75">
        <v>60</v>
      </c>
      <c r="I1531" s="75">
        <v>65</v>
      </c>
      <c r="J1531" s="75">
        <v>59</v>
      </c>
    </row>
    <row r="1532" spans="2:10">
      <c r="B1532" s="52" t="s">
        <v>146</v>
      </c>
      <c r="C1532" s="75">
        <v>482</v>
      </c>
      <c r="D1532" s="75">
        <v>467</v>
      </c>
      <c r="E1532" s="75">
        <v>479</v>
      </c>
      <c r="F1532" s="75">
        <v>558</v>
      </c>
      <c r="G1532" s="75">
        <v>568</v>
      </c>
      <c r="H1532" s="75">
        <v>312</v>
      </c>
      <c r="I1532" s="75">
        <v>585</v>
      </c>
      <c r="J1532" s="75">
        <v>592</v>
      </c>
    </row>
    <row r="1533" spans="2:10">
      <c r="B1533" s="52"/>
      <c r="C1533" s="75"/>
      <c r="D1533" s="75"/>
      <c r="E1533" s="75"/>
      <c r="F1533" s="75"/>
      <c r="G1533" s="75"/>
      <c r="H1533" s="75"/>
      <c r="I1533" s="75"/>
      <c r="J1533" s="75"/>
    </row>
    <row r="1534" spans="2:10">
      <c r="B1534" s="71" t="s">
        <v>151</v>
      </c>
      <c r="C1534" s="75">
        <v>1</v>
      </c>
      <c r="D1534" s="75">
        <v>3</v>
      </c>
      <c r="E1534" s="75">
        <v>3</v>
      </c>
      <c r="F1534" s="75">
        <v>8</v>
      </c>
      <c r="G1534" s="75">
        <v>8</v>
      </c>
      <c r="H1534" s="75">
        <v>0</v>
      </c>
      <c r="I1534" s="75">
        <v>9</v>
      </c>
      <c r="J1534" s="75">
        <v>9</v>
      </c>
    </row>
    <row r="1535" spans="2:10">
      <c r="B1535" s="52" t="s">
        <v>150</v>
      </c>
      <c r="C1535" s="75">
        <v>0</v>
      </c>
      <c r="D1535" s="75">
        <v>0</v>
      </c>
      <c r="E1535" s="75">
        <v>0</v>
      </c>
      <c r="F1535" s="75">
        <v>0</v>
      </c>
      <c r="G1535" s="75">
        <v>0</v>
      </c>
      <c r="H1535" s="75">
        <v>0</v>
      </c>
      <c r="I1535" s="75">
        <v>0</v>
      </c>
      <c r="J1535" s="75">
        <v>0</v>
      </c>
    </row>
    <row r="1536" spans="2:10">
      <c r="B1536" s="52" t="s">
        <v>149</v>
      </c>
      <c r="C1536" s="75">
        <v>0</v>
      </c>
      <c r="D1536" s="75">
        <v>0</v>
      </c>
      <c r="E1536" s="75">
        <v>0</v>
      </c>
      <c r="F1536" s="75">
        <v>0</v>
      </c>
      <c r="G1536" s="75">
        <v>0</v>
      </c>
      <c r="H1536" s="75">
        <v>0</v>
      </c>
      <c r="I1536" s="75">
        <v>0</v>
      </c>
      <c r="J1536" s="75">
        <v>0</v>
      </c>
    </row>
    <row r="1537" spans="2:10">
      <c r="B1537" s="52" t="s">
        <v>148</v>
      </c>
      <c r="C1537" s="75">
        <v>1</v>
      </c>
      <c r="D1537" s="75">
        <v>3</v>
      </c>
      <c r="E1537" s="75">
        <v>3</v>
      </c>
      <c r="F1537" s="75">
        <v>2</v>
      </c>
      <c r="G1537" s="75">
        <v>2</v>
      </c>
      <c r="H1537" s="75">
        <v>0</v>
      </c>
      <c r="I1537" s="75">
        <v>3</v>
      </c>
      <c r="J1537" s="75">
        <v>3</v>
      </c>
    </row>
    <row r="1538" spans="2:10">
      <c r="B1538" s="52" t="s">
        <v>147</v>
      </c>
      <c r="C1538" s="75">
        <v>0</v>
      </c>
      <c r="D1538" s="75">
        <v>0</v>
      </c>
      <c r="E1538" s="75">
        <v>0</v>
      </c>
      <c r="F1538" s="75">
        <v>0</v>
      </c>
      <c r="G1538" s="75">
        <v>0</v>
      </c>
      <c r="H1538" s="75">
        <v>0</v>
      </c>
      <c r="I1538" s="75">
        <v>0</v>
      </c>
      <c r="J1538" s="75">
        <v>0</v>
      </c>
    </row>
    <row r="1539" spans="2:10">
      <c r="B1539" s="52" t="s">
        <v>146</v>
      </c>
      <c r="C1539" s="75">
        <v>0</v>
      </c>
      <c r="D1539" s="75">
        <v>0</v>
      </c>
      <c r="E1539" s="75">
        <v>0</v>
      </c>
      <c r="F1539" s="75">
        <v>6</v>
      </c>
      <c r="G1539" s="75">
        <v>6</v>
      </c>
      <c r="H1539" s="75">
        <v>0</v>
      </c>
      <c r="I1539" s="75">
        <v>6</v>
      </c>
      <c r="J1539" s="75">
        <v>6</v>
      </c>
    </row>
    <row r="1540" spans="2:10">
      <c r="B1540" s="52"/>
      <c r="C1540" s="75"/>
      <c r="D1540" s="75"/>
      <c r="E1540" s="75"/>
      <c r="F1540" s="75"/>
      <c r="G1540" s="75"/>
      <c r="H1540" s="75"/>
      <c r="I1540" s="75"/>
      <c r="J1540" s="75"/>
    </row>
    <row r="1541" spans="2:10">
      <c r="B1541" s="58" t="s">
        <v>125</v>
      </c>
      <c r="C1541" s="57"/>
      <c r="D1541" s="57"/>
      <c r="E1541" s="57"/>
      <c r="F1541" s="57"/>
      <c r="G1541" s="57"/>
      <c r="H1541" s="57"/>
      <c r="I1541" s="57"/>
      <c r="J1541" s="57"/>
    </row>
    <row r="1542" spans="2:10">
      <c r="B1542" s="71" t="s">
        <v>157</v>
      </c>
      <c r="C1542" s="57">
        <v>0</v>
      </c>
      <c r="D1542" s="57">
        <v>162</v>
      </c>
      <c r="E1542" s="57">
        <v>337</v>
      </c>
      <c r="F1542" s="57">
        <v>327</v>
      </c>
      <c r="G1542" s="57">
        <v>332</v>
      </c>
      <c r="H1542" s="57">
        <v>340</v>
      </c>
      <c r="I1542" s="57">
        <v>281</v>
      </c>
      <c r="J1542" s="57">
        <v>325</v>
      </c>
    </row>
    <row r="1543" spans="2:10">
      <c r="B1543" s="52" t="s">
        <v>156</v>
      </c>
      <c r="C1543" s="57">
        <v>0</v>
      </c>
      <c r="D1543" s="57">
        <v>0</v>
      </c>
      <c r="E1543" s="57">
        <v>0</v>
      </c>
      <c r="F1543" s="57">
        <v>0</v>
      </c>
      <c r="G1543" s="57">
        <v>0</v>
      </c>
      <c r="H1543" s="57">
        <v>0</v>
      </c>
      <c r="I1543" s="57">
        <v>0</v>
      </c>
      <c r="J1543" s="57">
        <v>0</v>
      </c>
    </row>
    <row r="1544" spans="2:10">
      <c r="B1544" s="52" t="s">
        <v>155</v>
      </c>
      <c r="C1544" s="57">
        <v>0</v>
      </c>
      <c r="D1544" s="57">
        <v>0</v>
      </c>
      <c r="E1544" s="57">
        <v>0</v>
      </c>
      <c r="F1544" s="57">
        <v>0</v>
      </c>
      <c r="G1544" s="57">
        <v>0</v>
      </c>
      <c r="H1544" s="57">
        <v>0</v>
      </c>
      <c r="I1544" s="57">
        <v>0</v>
      </c>
      <c r="J1544" s="57">
        <v>0</v>
      </c>
    </row>
    <row r="1545" spans="2:10">
      <c r="B1545" s="52" t="s">
        <v>154</v>
      </c>
      <c r="C1545" s="57">
        <v>0</v>
      </c>
      <c r="D1545" s="57">
        <v>0</v>
      </c>
      <c r="E1545" s="57">
        <v>0</v>
      </c>
      <c r="F1545" s="57">
        <v>0</v>
      </c>
      <c r="G1545" s="57">
        <v>0</v>
      </c>
      <c r="H1545" s="57">
        <v>0</v>
      </c>
      <c r="I1545" s="57">
        <v>0</v>
      </c>
      <c r="J1545" s="57">
        <v>0</v>
      </c>
    </row>
    <row r="1546" spans="2:10">
      <c r="B1546" s="52" t="s">
        <v>147</v>
      </c>
      <c r="C1546" s="57">
        <v>0</v>
      </c>
      <c r="D1546" s="57">
        <v>60</v>
      </c>
      <c r="E1546" s="57">
        <v>62</v>
      </c>
      <c r="F1546" s="57">
        <v>61</v>
      </c>
      <c r="G1546" s="57">
        <v>64</v>
      </c>
      <c r="H1546" s="57">
        <v>78</v>
      </c>
      <c r="I1546" s="57">
        <v>78</v>
      </c>
      <c r="J1546" s="57">
        <v>78</v>
      </c>
    </row>
    <row r="1547" spans="2:10">
      <c r="B1547" s="52" t="s">
        <v>153</v>
      </c>
      <c r="C1547" s="57">
        <v>0</v>
      </c>
      <c r="D1547" s="57">
        <v>102</v>
      </c>
      <c r="E1547" s="57">
        <v>275</v>
      </c>
      <c r="F1547" s="57">
        <v>266</v>
      </c>
      <c r="G1547" s="57">
        <v>268</v>
      </c>
      <c r="H1547" s="57">
        <v>262</v>
      </c>
      <c r="I1547" s="57">
        <v>203</v>
      </c>
      <c r="J1547" s="57">
        <v>247</v>
      </c>
    </row>
    <row r="1548" spans="2:10">
      <c r="B1548" s="52"/>
      <c r="C1548" s="57"/>
      <c r="D1548" s="57"/>
      <c r="E1548" s="57"/>
      <c r="F1548" s="57"/>
      <c r="G1548" s="57"/>
      <c r="H1548" s="57"/>
      <c r="I1548" s="57"/>
      <c r="J1548" s="57"/>
    </row>
    <row r="1549" spans="2:10" ht="25">
      <c r="B1549" s="71" t="s">
        <v>152</v>
      </c>
      <c r="C1549" s="57">
        <v>0</v>
      </c>
      <c r="D1549" s="57">
        <v>162</v>
      </c>
      <c r="E1549" s="57">
        <v>337</v>
      </c>
      <c r="F1549" s="57">
        <v>327</v>
      </c>
      <c r="G1549" s="57">
        <v>332</v>
      </c>
      <c r="H1549" s="57">
        <v>340</v>
      </c>
      <c r="I1549" s="57">
        <v>281</v>
      </c>
      <c r="J1549" s="57">
        <v>325</v>
      </c>
    </row>
    <row r="1550" spans="2:10">
      <c r="B1550" s="52" t="s">
        <v>150</v>
      </c>
      <c r="C1550" s="57">
        <v>0</v>
      </c>
      <c r="D1550" s="57">
        <v>0</v>
      </c>
      <c r="E1550" s="57">
        <v>0</v>
      </c>
      <c r="F1550" s="57">
        <v>0</v>
      </c>
      <c r="G1550" s="57">
        <v>0</v>
      </c>
      <c r="H1550" s="57">
        <v>0</v>
      </c>
      <c r="I1550" s="57">
        <v>0</v>
      </c>
      <c r="J1550" s="57">
        <v>0</v>
      </c>
    </row>
    <row r="1551" spans="2:10">
      <c r="B1551" s="52" t="s">
        <v>149</v>
      </c>
      <c r="C1551" s="57">
        <v>0</v>
      </c>
      <c r="D1551" s="57">
        <v>0</v>
      </c>
      <c r="E1551" s="57">
        <v>0</v>
      </c>
      <c r="F1551" s="57">
        <v>0</v>
      </c>
      <c r="G1551" s="57">
        <v>0</v>
      </c>
      <c r="H1551" s="57">
        <v>0</v>
      </c>
      <c r="I1551" s="57">
        <v>0</v>
      </c>
      <c r="J1551" s="57">
        <v>0</v>
      </c>
    </row>
    <row r="1552" spans="2:10">
      <c r="B1552" s="52" t="s">
        <v>148</v>
      </c>
      <c r="C1552" s="57">
        <v>0</v>
      </c>
      <c r="D1552" s="57">
        <v>0</v>
      </c>
      <c r="E1552" s="57">
        <v>0</v>
      </c>
      <c r="F1552" s="57">
        <v>0</v>
      </c>
      <c r="G1552" s="57">
        <v>0</v>
      </c>
      <c r="H1552" s="57">
        <v>0</v>
      </c>
      <c r="I1552" s="57">
        <v>0</v>
      </c>
      <c r="J1552" s="57">
        <v>0</v>
      </c>
    </row>
    <row r="1553" spans="2:10">
      <c r="B1553" s="52" t="s">
        <v>147</v>
      </c>
      <c r="C1553" s="57">
        <v>0</v>
      </c>
      <c r="D1553" s="57">
        <v>60</v>
      </c>
      <c r="E1553" s="57">
        <v>62</v>
      </c>
      <c r="F1553" s="57">
        <v>61</v>
      </c>
      <c r="G1553" s="57">
        <v>64</v>
      </c>
      <c r="H1553" s="57">
        <v>78</v>
      </c>
      <c r="I1553" s="57">
        <v>78</v>
      </c>
      <c r="J1553" s="57">
        <v>78</v>
      </c>
    </row>
    <row r="1554" spans="2:10">
      <c r="B1554" s="52" t="s">
        <v>146</v>
      </c>
      <c r="C1554" s="57">
        <v>0</v>
      </c>
      <c r="D1554" s="57">
        <v>102</v>
      </c>
      <c r="E1554" s="57">
        <v>275</v>
      </c>
      <c r="F1554" s="57">
        <v>266</v>
      </c>
      <c r="G1554" s="57">
        <v>268</v>
      </c>
      <c r="H1554" s="57">
        <v>262</v>
      </c>
      <c r="I1554" s="57">
        <v>203</v>
      </c>
      <c r="J1554" s="57">
        <v>247</v>
      </c>
    </row>
    <row r="1555" spans="2:10">
      <c r="B1555" s="52"/>
      <c r="C1555" s="57"/>
      <c r="D1555" s="57"/>
      <c r="E1555" s="57"/>
      <c r="F1555" s="57"/>
      <c r="G1555" s="57"/>
      <c r="H1555" s="57"/>
      <c r="I1555" s="57"/>
      <c r="J1555" s="57"/>
    </row>
    <row r="1556" spans="2:10">
      <c r="B1556" s="71" t="s">
        <v>151</v>
      </c>
      <c r="C1556" s="57">
        <v>0</v>
      </c>
      <c r="D1556" s="57">
        <v>0</v>
      </c>
      <c r="E1556" s="57">
        <v>0</v>
      </c>
      <c r="F1556" s="57">
        <v>0</v>
      </c>
      <c r="G1556" s="57">
        <v>0</v>
      </c>
      <c r="H1556" s="75">
        <v>0</v>
      </c>
      <c r="I1556" s="75">
        <v>0</v>
      </c>
      <c r="J1556" s="75">
        <v>0</v>
      </c>
    </row>
    <row r="1557" spans="2:10">
      <c r="B1557" s="52" t="s">
        <v>150</v>
      </c>
      <c r="C1557" s="57">
        <v>0</v>
      </c>
      <c r="D1557" s="57">
        <v>0</v>
      </c>
      <c r="E1557" s="57">
        <v>0</v>
      </c>
      <c r="F1557" s="57">
        <v>0</v>
      </c>
      <c r="G1557" s="57">
        <v>0</v>
      </c>
      <c r="H1557" s="75">
        <v>0</v>
      </c>
      <c r="I1557" s="75">
        <v>0</v>
      </c>
      <c r="J1557" s="75">
        <v>0</v>
      </c>
    </row>
    <row r="1558" spans="2:10">
      <c r="B1558" s="52" t="s">
        <v>149</v>
      </c>
      <c r="C1558" s="57">
        <v>0</v>
      </c>
      <c r="D1558" s="57">
        <v>0</v>
      </c>
      <c r="E1558" s="57">
        <v>0</v>
      </c>
      <c r="F1558" s="57">
        <v>0</v>
      </c>
      <c r="G1558" s="57">
        <v>0</v>
      </c>
      <c r="H1558" s="75">
        <v>0</v>
      </c>
      <c r="I1558" s="75">
        <v>0</v>
      </c>
      <c r="J1558" s="75">
        <v>0</v>
      </c>
    </row>
    <row r="1559" spans="2:10">
      <c r="B1559" s="52" t="s">
        <v>148</v>
      </c>
      <c r="C1559" s="57">
        <v>0</v>
      </c>
      <c r="D1559" s="57">
        <v>0</v>
      </c>
      <c r="E1559" s="57">
        <v>0</v>
      </c>
      <c r="F1559" s="57">
        <v>0</v>
      </c>
      <c r="G1559" s="57">
        <v>0</v>
      </c>
      <c r="H1559" s="75">
        <v>0</v>
      </c>
      <c r="I1559" s="75">
        <v>0</v>
      </c>
      <c r="J1559" s="75">
        <v>0</v>
      </c>
    </row>
    <row r="1560" spans="2:10">
      <c r="B1560" s="52" t="s">
        <v>147</v>
      </c>
      <c r="C1560" s="57">
        <v>0</v>
      </c>
      <c r="D1560" s="57">
        <v>0</v>
      </c>
      <c r="E1560" s="57">
        <v>0</v>
      </c>
      <c r="F1560" s="57">
        <v>0</v>
      </c>
      <c r="G1560" s="57">
        <v>0</v>
      </c>
      <c r="H1560" s="75">
        <v>0</v>
      </c>
      <c r="I1560" s="75">
        <v>0</v>
      </c>
      <c r="J1560" s="75">
        <v>0</v>
      </c>
    </row>
    <row r="1561" spans="2:10" ht="15" thickBot="1">
      <c r="B1561" s="50" t="s">
        <v>146</v>
      </c>
      <c r="C1561" s="57">
        <v>0</v>
      </c>
      <c r="D1561" s="57">
        <v>0</v>
      </c>
      <c r="E1561" s="57">
        <v>0</v>
      </c>
      <c r="F1561" s="57">
        <v>0</v>
      </c>
      <c r="G1561" s="57">
        <v>0</v>
      </c>
      <c r="H1561" s="75">
        <v>0</v>
      </c>
      <c r="I1561" s="75">
        <v>0</v>
      </c>
      <c r="J1561" s="75">
        <v>0</v>
      </c>
    </row>
    <row r="1562" spans="2:10" ht="15" thickTop="1">
      <c r="B1562" s="2023" t="s">
        <v>116</v>
      </c>
      <c r="C1562" s="2023"/>
      <c r="D1562" s="2023"/>
      <c r="E1562" s="2023"/>
      <c r="F1562" s="2023"/>
      <c r="G1562" s="2023"/>
      <c r="H1562" s="2023"/>
      <c r="I1562" s="2023"/>
      <c r="J1562" s="2023"/>
    </row>
    <row r="1563" spans="2:10" ht="75.75" customHeight="1">
      <c r="B1563" s="2017" t="s">
        <v>145</v>
      </c>
      <c r="C1563" s="2017"/>
      <c r="D1563" s="2017"/>
      <c r="E1563" s="2017"/>
      <c r="F1563" s="2017"/>
      <c r="G1563" s="2017"/>
      <c r="H1563" s="2017"/>
      <c r="I1563" s="2017"/>
      <c r="J1563" s="2017"/>
    </row>
    <row r="1564" spans="2:10">
      <c r="B1564" s="62"/>
      <c r="C1564" s="1"/>
      <c r="D1564" s="1"/>
      <c r="E1564" s="1"/>
      <c r="F1564" s="1"/>
      <c r="G1564" s="1"/>
      <c r="H1564" s="1"/>
      <c r="I1564" s="1"/>
      <c r="J1564" s="1"/>
    </row>
    <row r="1565" spans="2:10">
      <c r="B1565" s="14" t="s">
        <v>144</v>
      </c>
      <c r="C1565" s="14"/>
      <c r="D1565" s="14"/>
      <c r="E1565" s="14"/>
      <c r="F1565" s="14"/>
      <c r="G1565" s="14"/>
      <c r="H1565" s="14"/>
      <c r="I1565" s="14"/>
      <c r="J1565" s="14"/>
    </row>
    <row r="1566" spans="2:10">
      <c r="B1566" s="12" t="s">
        <v>143</v>
      </c>
      <c r="C1566" s="1"/>
      <c r="D1566" s="1"/>
      <c r="E1566" s="1"/>
      <c r="F1566" s="1"/>
      <c r="G1566" s="1"/>
      <c r="H1566" s="1"/>
      <c r="I1566" s="1"/>
      <c r="J1566" s="1"/>
    </row>
    <row r="1567" spans="2:10">
      <c r="B1567" s="62" t="s">
        <v>142</v>
      </c>
      <c r="C1567" s="1"/>
      <c r="D1567" s="1"/>
      <c r="E1567" s="1"/>
      <c r="F1567" s="1"/>
      <c r="G1567" s="1"/>
      <c r="H1567" s="1"/>
      <c r="I1567" s="1"/>
      <c r="J1567" s="1"/>
    </row>
    <row r="1568" spans="2:10">
      <c r="B1568" s="62"/>
      <c r="C1568" s="1"/>
      <c r="D1568" s="1"/>
      <c r="E1568" s="1"/>
      <c r="F1568" s="1"/>
      <c r="G1568" s="1"/>
      <c r="H1568" s="1"/>
      <c r="I1568" s="1"/>
      <c r="J1568" s="1"/>
    </row>
    <row r="1569" spans="2:10">
      <c r="B1569" s="61"/>
      <c r="C1569" s="60">
        <v>2014</v>
      </c>
      <c r="D1569" s="60">
        <v>2015</v>
      </c>
      <c r="E1569" s="60">
        <v>2016</v>
      </c>
      <c r="F1569" s="60">
        <v>2017</v>
      </c>
      <c r="G1569" s="60">
        <v>2018</v>
      </c>
      <c r="H1569" s="60">
        <v>2019</v>
      </c>
      <c r="I1569" s="60">
        <v>2020</v>
      </c>
      <c r="J1569" s="60">
        <v>2021</v>
      </c>
    </row>
    <row r="1570" spans="2:10">
      <c r="B1570" s="59" t="s">
        <v>126</v>
      </c>
      <c r="C1570" s="1"/>
      <c r="D1570" s="1"/>
      <c r="E1570" s="1"/>
      <c r="F1570" s="1"/>
      <c r="G1570" s="1"/>
      <c r="H1570" s="1"/>
      <c r="I1570" s="1"/>
      <c r="J1570" s="1"/>
    </row>
    <row r="1571" spans="2:10">
      <c r="B1571" s="71" t="s">
        <v>141</v>
      </c>
      <c r="C1571" s="74">
        <v>4428</v>
      </c>
      <c r="D1571" s="55">
        <v>4380</v>
      </c>
      <c r="E1571" s="55">
        <v>4620</v>
      </c>
      <c r="F1571" s="55">
        <v>9922</v>
      </c>
      <c r="G1571" s="55">
        <v>5070</v>
      </c>
      <c r="H1571" s="55">
        <v>5484</v>
      </c>
      <c r="I1571" s="55">
        <v>4665</v>
      </c>
      <c r="J1571" s="55">
        <v>5965</v>
      </c>
    </row>
    <row r="1572" spans="2:10">
      <c r="B1572" s="52" t="s">
        <v>121</v>
      </c>
      <c r="C1572" s="74">
        <v>4428</v>
      </c>
      <c r="D1572" s="55">
        <v>4380</v>
      </c>
      <c r="E1572" s="55">
        <v>4620</v>
      </c>
      <c r="F1572" s="55">
        <v>9922</v>
      </c>
      <c r="G1572" s="55">
        <v>5070</v>
      </c>
      <c r="H1572" s="55">
        <v>1535</v>
      </c>
      <c r="I1572" s="55">
        <v>1094</v>
      </c>
      <c r="J1572" s="55">
        <v>1555</v>
      </c>
    </row>
    <row r="1573" spans="2:10">
      <c r="B1573" s="53" t="s">
        <v>120</v>
      </c>
      <c r="C1573" s="74">
        <v>0</v>
      </c>
      <c r="D1573" s="55">
        <v>0</v>
      </c>
      <c r="E1573" s="55">
        <v>0</v>
      </c>
      <c r="F1573" s="55">
        <v>0</v>
      </c>
      <c r="G1573" s="55">
        <v>0</v>
      </c>
      <c r="H1573" s="55">
        <v>153</v>
      </c>
      <c r="I1573" s="55">
        <v>131</v>
      </c>
      <c r="J1573" s="55">
        <v>145</v>
      </c>
    </row>
    <row r="1574" spans="2:10">
      <c r="B1574" s="53" t="s">
        <v>119</v>
      </c>
      <c r="C1574" s="74">
        <v>0</v>
      </c>
      <c r="D1574" s="55">
        <v>0</v>
      </c>
      <c r="E1574" s="55">
        <v>0</v>
      </c>
      <c r="F1574" s="55">
        <v>0</v>
      </c>
      <c r="G1574" s="55">
        <v>0</v>
      </c>
      <c r="H1574" s="55">
        <v>1382</v>
      </c>
      <c r="I1574" s="55">
        <v>963</v>
      </c>
      <c r="J1574" s="55">
        <v>1410</v>
      </c>
    </row>
    <row r="1575" spans="2:10">
      <c r="B1575" s="52" t="s">
        <v>118</v>
      </c>
      <c r="C1575" s="74">
        <v>0</v>
      </c>
      <c r="D1575" s="55">
        <v>0</v>
      </c>
      <c r="E1575" s="55">
        <v>0</v>
      </c>
      <c r="F1575" s="55">
        <v>0</v>
      </c>
      <c r="G1575" s="55">
        <v>0</v>
      </c>
      <c r="H1575" s="55">
        <v>1406</v>
      </c>
      <c r="I1575" s="55">
        <v>1337</v>
      </c>
      <c r="J1575" s="55">
        <v>1585</v>
      </c>
    </row>
    <row r="1576" spans="2:10">
      <c r="B1576" s="52" t="s">
        <v>117</v>
      </c>
      <c r="C1576" s="74">
        <v>0</v>
      </c>
      <c r="D1576" s="55">
        <v>0</v>
      </c>
      <c r="E1576" s="55">
        <v>0</v>
      </c>
      <c r="F1576" s="55">
        <v>0</v>
      </c>
      <c r="G1576" s="55">
        <v>0</v>
      </c>
      <c r="H1576" s="55">
        <v>2543</v>
      </c>
      <c r="I1576" s="55">
        <v>2234</v>
      </c>
      <c r="J1576" s="55">
        <v>2825</v>
      </c>
    </row>
    <row r="1577" spans="2:10">
      <c r="B1577" s="52"/>
      <c r="C1577" s="74"/>
      <c r="D1577" s="55"/>
      <c r="E1577" s="55"/>
      <c r="F1577" s="55"/>
      <c r="G1577" s="55"/>
      <c r="H1577" s="55"/>
      <c r="I1577" s="55"/>
      <c r="J1577" s="55"/>
    </row>
    <row r="1578" spans="2:10">
      <c r="B1578" s="58" t="s">
        <v>125</v>
      </c>
      <c r="C1578" s="57"/>
      <c r="D1578" s="56"/>
      <c r="E1578" s="56"/>
      <c r="F1578" s="56"/>
      <c r="G1578" s="56"/>
      <c r="H1578" s="56"/>
      <c r="I1578" s="56"/>
      <c r="J1578" s="56"/>
    </row>
    <row r="1579" spans="2:10">
      <c r="B1579" s="71" t="s">
        <v>141</v>
      </c>
      <c r="C1579" s="57">
        <v>0</v>
      </c>
      <c r="D1579" s="55">
        <v>192</v>
      </c>
      <c r="E1579" s="55">
        <v>155</v>
      </c>
      <c r="F1579" s="55">
        <v>1538</v>
      </c>
      <c r="G1579" s="55">
        <v>3266</v>
      </c>
      <c r="H1579" s="55">
        <v>3653</v>
      </c>
      <c r="I1579" s="55">
        <v>3294</v>
      </c>
      <c r="J1579" s="55">
        <v>3041</v>
      </c>
    </row>
    <row r="1580" spans="2:10">
      <c r="B1580" s="52" t="s">
        <v>121</v>
      </c>
      <c r="C1580" s="57">
        <v>0</v>
      </c>
      <c r="D1580" s="55">
        <v>192</v>
      </c>
      <c r="E1580" s="55">
        <v>155</v>
      </c>
      <c r="F1580" s="55">
        <v>1538</v>
      </c>
      <c r="G1580" s="55">
        <v>3266</v>
      </c>
      <c r="H1580" s="55">
        <v>3653</v>
      </c>
      <c r="I1580" s="55">
        <v>3294</v>
      </c>
      <c r="J1580" s="55">
        <v>3041</v>
      </c>
    </row>
    <row r="1581" spans="2:10">
      <c r="B1581" s="53" t="s">
        <v>120</v>
      </c>
      <c r="C1581" s="57">
        <v>0</v>
      </c>
      <c r="D1581" s="56">
        <v>127</v>
      </c>
      <c r="E1581" s="56">
        <v>36</v>
      </c>
      <c r="F1581" s="56">
        <v>9</v>
      </c>
      <c r="G1581" s="56">
        <v>8</v>
      </c>
      <c r="H1581" s="56">
        <v>5</v>
      </c>
      <c r="I1581" s="56">
        <v>9</v>
      </c>
      <c r="J1581" s="56">
        <v>20</v>
      </c>
    </row>
    <row r="1582" spans="2:10">
      <c r="B1582" s="53" t="s">
        <v>119</v>
      </c>
      <c r="C1582" s="57">
        <v>0</v>
      </c>
      <c r="D1582" s="56">
        <v>65</v>
      </c>
      <c r="E1582" s="56">
        <v>119</v>
      </c>
      <c r="F1582" s="56">
        <v>1529</v>
      </c>
      <c r="G1582" s="56">
        <v>3258</v>
      </c>
      <c r="H1582" s="56">
        <v>3648</v>
      </c>
      <c r="I1582" s="56">
        <v>3285</v>
      </c>
      <c r="J1582" s="56">
        <v>3021</v>
      </c>
    </row>
    <row r="1583" spans="2:10">
      <c r="B1583" s="52" t="s">
        <v>118</v>
      </c>
      <c r="C1583" s="57">
        <v>0</v>
      </c>
      <c r="D1583" s="56">
        <v>0</v>
      </c>
      <c r="E1583" s="56">
        <v>0</v>
      </c>
      <c r="F1583" s="56">
        <v>0</v>
      </c>
      <c r="G1583" s="56">
        <v>0</v>
      </c>
      <c r="H1583" s="56">
        <v>0</v>
      </c>
      <c r="I1583" s="56">
        <v>0</v>
      </c>
      <c r="J1583" s="56">
        <v>0</v>
      </c>
    </row>
    <row r="1584" spans="2:10" ht="15" thickBot="1">
      <c r="B1584" s="50" t="s">
        <v>117</v>
      </c>
      <c r="C1584" s="70">
        <v>0</v>
      </c>
      <c r="D1584" s="73">
        <v>0</v>
      </c>
      <c r="E1584" s="73">
        <v>0</v>
      </c>
      <c r="F1584" s="73">
        <v>0</v>
      </c>
      <c r="G1584" s="73">
        <v>0</v>
      </c>
      <c r="H1584" s="73">
        <v>0</v>
      </c>
      <c r="I1584" s="73">
        <v>0</v>
      </c>
      <c r="J1584" s="73">
        <v>0</v>
      </c>
    </row>
    <row r="1585" spans="2:10" ht="15" thickTop="1">
      <c r="B1585" s="2023" t="s">
        <v>116</v>
      </c>
      <c r="C1585" s="2023"/>
      <c r="D1585" s="2023"/>
      <c r="E1585" s="2023"/>
      <c r="F1585" s="2023"/>
      <c r="G1585" s="2023"/>
      <c r="H1585" s="2023"/>
      <c r="I1585" s="1"/>
      <c r="J1585" s="1"/>
    </row>
    <row r="1586" spans="2:10">
      <c r="B1586" s="64"/>
      <c r="C1586" s="1"/>
      <c r="D1586" s="1"/>
      <c r="E1586" s="1"/>
      <c r="F1586" s="1"/>
      <c r="G1586" s="1"/>
      <c r="H1586" s="1"/>
      <c r="I1586" s="1"/>
      <c r="J1586" s="1"/>
    </row>
    <row r="1587" spans="2:10">
      <c r="B1587" s="14" t="s">
        <v>140</v>
      </c>
      <c r="C1587" s="14"/>
      <c r="D1587" s="14"/>
      <c r="E1587" s="14"/>
      <c r="F1587" s="14"/>
      <c r="G1587" s="14"/>
      <c r="H1587" s="14"/>
      <c r="I1587" s="14"/>
      <c r="J1587" s="14"/>
    </row>
    <row r="1588" spans="2:10">
      <c r="B1588" s="12" t="s">
        <v>139</v>
      </c>
      <c r="C1588" s="1"/>
      <c r="D1588" s="1"/>
      <c r="E1588" s="1"/>
      <c r="F1588" s="1"/>
      <c r="G1588" s="1"/>
      <c r="H1588" s="1"/>
      <c r="I1588" s="1"/>
      <c r="J1588" s="1"/>
    </row>
    <row r="1589" spans="2:10">
      <c r="B1589" s="62" t="s">
        <v>138</v>
      </c>
      <c r="C1589" s="1"/>
      <c r="D1589" s="1"/>
      <c r="E1589" s="1"/>
      <c r="F1589" s="1"/>
      <c r="G1589" s="1"/>
      <c r="H1589" s="1"/>
      <c r="I1589" s="1"/>
      <c r="J1589" s="1"/>
    </row>
    <row r="1590" spans="2:10">
      <c r="B1590" s="64"/>
      <c r="C1590" s="1"/>
      <c r="D1590" s="1"/>
      <c r="E1590" s="1"/>
      <c r="F1590" s="1"/>
      <c r="G1590" s="1"/>
      <c r="H1590" s="1"/>
      <c r="I1590" s="1"/>
      <c r="J1590" s="1"/>
    </row>
    <row r="1591" spans="2:10">
      <c r="B1591" s="61"/>
      <c r="C1591" s="60">
        <v>2014</v>
      </c>
      <c r="D1591" s="60">
        <v>2015</v>
      </c>
      <c r="E1591" s="60">
        <v>2016</v>
      </c>
      <c r="F1591" s="60">
        <v>2017</v>
      </c>
      <c r="G1591" s="60">
        <v>2018</v>
      </c>
      <c r="H1591" s="60">
        <v>2019</v>
      </c>
      <c r="I1591" s="60">
        <v>2020</v>
      </c>
      <c r="J1591" s="60">
        <v>2021</v>
      </c>
    </row>
    <row r="1592" spans="2:10">
      <c r="B1592" s="59" t="s">
        <v>126</v>
      </c>
      <c r="C1592" s="1"/>
      <c r="D1592" s="1"/>
      <c r="E1592" s="1"/>
      <c r="F1592" s="1"/>
      <c r="G1592" s="1"/>
      <c r="H1592" s="1"/>
      <c r="I1592" s="1"/>
      <c r="J1592" s="1"/>
    </row>
    <row r="1593" spans="2:10">
      <c r="B1593" s="71" t="s">
        <v>137</v>
      </c>
      <c r="C1593" s="55">
        <v>69577.682522511808</v>
      </c>
      <c r="D1593" s="56">
        <v>58833.373417681563</v>
      </c>
      <c r="E1593" s="56">
        <v>68086.098598124954</v>
      </c>
      <c r="F1593" s="56">
        <v>95211.285167943235</v>
      </c>
      <c r="G1593" s="56">
        <v>36869.523358627601</v>
      </c>
      <c r="H1593" s="56">
        <v>25423.108861958426</v>
      </c>
      <c r="I1593" s="56">
        <v>21996.657395424292</v>
      </c>
      <c r="J1593" s="55">
        <v>29672.257045215563</v>
      </c>
    </row>
    <row r="1594" spans="2:10">
      <c r="B1594" s="52" t="s">
        <v>121</v>
      </c>
      <c r="C1594" s="55">
        <v>46273.412419255612</v>
      </c>
      <c r="D1594" s="56">
        <v>37179.202467253359</v>
      </c>
      <c r="E1594" s="56">
        <v>61295.063153777242</v>
      </c>
      <c r="F1594" s="56">
        <v>88674.48626306314</v>
      </c>
      <c r="G1594" s="56">
        <v>33524.702247919107</v>
      </c>
      <c r="H1594" s="56">
        <v>20877.640216562319</v>
      </c>
      <c r="I1594" s="56">
        <v>18619.312648466839</v>
      </c>
      <c r="J1594" s="55">
        <v>26283.013606729761</v>
      </c>
    </row>
    <row r="1595" spans="2:10">
      <c r="B1595" s="53" t="s">
        <v>136</v>
      </c>
      <c r="C1595" s="55">
        <v>5491.2101668092155</v>
      </c>
      <c r="D1595" s="56">
        <v>4820.2469151095729</v>
      </c>
      <c r="E1595" s="56">
        <v>4927.6583260779043</v>
      </c>
      <c r="F1595" s="56">
        <v>5224.3520363051421</v>
      </c>
      <c r="G1595" s="72">
        <v>0</v>
      </c>
      <c r="H1595" s="56">
        <v>6173.875223374238</v>
      </c>
      <c r="I1595" s="56">
        <v>4567.7409870097454</v>
      </c>
      <c r="J1595" s="55">
        <v>13275.304532071503</v>
      </c>
    </row>
    <row r="1596" spans="2:10">
      <c r="B1596" s="53" t="s">
        <v>119</v>
      </c>
      <c r="C1596" s="55">
        <v>40782.20225244639</v>
      </c>
      <c r="D1596" s="56">
        <v>32358.955552143787</v>
      </c>
      <c r="E1596" s="56">
        <v>56367.404827699342</v>
      </c>
      <c r="F1596" s="56">
        <v>83450.134226757989</v>
      </c>
      <c r="G1596" s="56">
        <v>33524.702247919107</v>
      </c>
      <c r="H1596" s="56">
        <v>14703.764993188079</v>
      </c>
      <c r="I1596" s="56">
        <v>14051.571661457094</v>
      </c>
      <c r="J1596" s="55">
        <v>13007.709074658254</v>
      </c>
    </row>
    <row r="1597" spans="2:10">
      <c r="B1597" s="52" t="s">
        <v>118</v>
      </c>
      <c r="C1597" s="55">
        <v>13518.883170628771</v>
      </c>
      <c r="D1597" s="56">
        <v>14902.831666483913</v>
      </c>
      <c r="E1597" s="56">
        <v>740.32441231025484</v>
      </c>
      <c r="F1597" s="56">
        <v>851.02001683160927</v>
      </c>
      <c r="G1597" s="56">
        <v>389.6498916904489</v>
      </c>
      <c r="H1597" s="56">
        <v>259.12380113532015</v>
      </c>
      <c r="I1597" s="56">
        <v>185.48400639410508</v>
      </c>
      <c r="J1597" s="55">
        <v>183.13919032597266</v>
      </c>
    </row>
    <row r="1598" spans="2:10">
      <c r="B1598" s="52" t="s">
        <v>135</v>
      </c>
      <c r="C1598" s="55">
        <v>9785.3869326274162</v>
      </c>
      <c r="D1598" s="56">
        <v>6751.3392839442895</v>
      </c>
      <c r="E1598" s="56">
        <v>6050.7110320374504</v>
      </c>
      <c r="F1598" s="56">
        <v>5685.7788880484914</v>
      </c>
      <c r="G1598" s="56">
        <v>2955.171219018046</v>
      </c>
      <c r="H1598" s="56">
        <v>4286.3448442607896</v>
      </c>
      <c r="I1598" s="56">
        <v>3191.8607405514617</v>
      </c>
      <c r="J1598" s="55">
        <v>3206.1042481598324</v>
      </c>
    </row>
    <row r="1599" spans="2:10">
      <c r="B1599" s="52"/>
      <c r="C1599" s="55"/>
      <c r="D1599" s="55"/>
      <c r="E1599" s="55"/>
      <c r="F1599" s="55"/>
      <c r="G1599" s="55"/>
      <c r="H1599" s="55"/>
      <c r="I1599" s="55"/>
      <c r="J1599" s="55"/>
    </row>
    <row r="1600" spans="2:10">
      <c r="B1600" s="58" t="s">
        <v>125</v>
      </c>
      <c r="C1600" s="57"/>
      <c r="D1600" s="57"/>
      <c r="E1600" s="57"/>
      <c r="F1600" s="57"/>
      <c r="G1600" s="57"/>
      <c r="H1600" s="56"/>
      <c r="I1600" s="56"/>
      <c r="J1600" s="55"/>
    </row>
    <row r="1601" spans="2:10">
      <c r="B1601" s="71" t="s">
        <v>137</v>
      </c>
      <c r="C1601" s="51">
        <v>0</v>
      </c>
      <c r="D1601" s="57">
        <v>0</v>
      </c>
      <c r="E1601" s="57">
        <v>0</v>
      </c>
      <c r="F1601" s="57">
        <v>0</v>
      </c>
      <c r="G1601" s="57">
        <v>0</v>
      </c>
      <c r="H1601" s="56">
        <v>139517.99686885381</v>
      </c>
      <c r="I1601" s="56">
        <v>94122.753235131924</v>
      </c>
      <c r="J1601" s="55">
        <v>104720.93532071503</v>
      </c>
    </row>
    <row r="1602" spans="2:10">
      <c r="B1602" s="52" t="s">
        <v>121</v>
      </c>
      <c r="C1602" s="51">
        <v>0</v>
      </c>
      <c r="D1602" s="57">
        <v>0</v>
      </c>
      <c r="E1602" s="57">
        <v>0</v>
      </c>
      <c r="F1602" s="57">
        <v>0</v>
      </c>
      <c r="G1602" s="57">
        <v>0</v>
      </c>
      <c r="H1602" s="56">
        <v>139517.99686885381</v>
      </c>
      <c r="I1602" s="56">
        <v>94122.753235131924</v>
      </c>
      <c r="J1602" s="55">
        <v>104720.93532071503</v>
      </c>
    </row>
    <row r="1603" spans="2:10">
      <c r="B1603" s="53" t="s">
        <v>136</v>
      </c>
      <c r="C1603" s="51">
        <v>0</v>
      </c>
      <c r="D1603" s="57">
        <v>0</v>
      </c>
      <c r="E1603" s="57">
        <v>0</v>
      </c>
      <c r="F1603" s="57">
        <v>0</v>
      </c>
      <c r="G1603" s="57">
        <v>0</v>
      </c>
      <c r="H1603" s="51">
        <v>0</v>
      </c>
      <c r="I1603" s="51">
        <v>0</v>
      </c>
      <c r="J1603" s="51">
        <v>0</v>
      </c>
    </row>
    <row r="1604" spans="2:10">
      <c r="B1604" s="53" t="s">
        <v>119</v>
      </c>
      <c r="C1604" s="51">
        <v>0</v>
      </c>
      <c r="D1604" s="57">
        <v>0</v>
      </c>
      <c r="E1604" s="57">
        <v>0</v>
      </c>
      <c r="F1604" s="57">
        <v>0</v>
      </c>
      <c r="G1604" s="57">
        <v>0</v>
      </c>
      <c r="H1604" s="51">
        <v>0</v>
      </c>
      <c r="I1604" s="51">
        <v>0</v>
      </c>
      <c r="J1604" s="51">
        <v>0</v>
      </c>
    </row>
    <row r="1605" spans="2:10">
      <c r="B1605" s="52" t="s">
        <v>118</v>
      </c>
      <c r="C1605" s="51">
        <v>0</v>
      </c>
      <c r="D1605" s="57">
        <v>0</v>
      </c>
      <c r="E1605" s="57">
        <v>0</v>
      </c>
      <c r="F1605" s="57">
        <v>0</v>
      </c>
      <c r="G1605" s="57">
        <v>0</v>
      </c>
      <c r="H1605" s="51">
        <v>0</v>
      </c>
      <c r="I1605" s="51">
        <v>0</v>
      </c>
      <c r="J1605" s="51">
        <v>0</v>
      </c>
    </row>
    <row r="1606" spans="2:10" ht="15" thickBot="1">
      <c r="B1606" s="50" t="s">
        <v>135</v>
      </c>
      <c r="C1606" s="49">
        <v>0</v>
      </c>
      <c r="D1606" s="70">
        <v>0</v>
      </c>
      <c r="E1606" s="70">
        <v>0</v>
      </c>
      <c r="F1606" s="70">
        <v>0</v>
      </c>
      <c r="G1606" s="70">
        <v>0</v>
      </c>
      <c r="H1606" s="49">
        <v>0</v>
      </c>
      <c r="I1606" s="49">
        <v>0</v>
      </c>
      <c r="J1606" s="49">
        <v>0</v>
      </c>
    </row>
    <row r="1607" spans="2:10" ht="15" thickTop="1">
      <c r="B1607" s="2023" t="s">
        <v>116</v>
      </c>
      <c r="C1607" s="2023"/>
      <c r="D1607" s="2023"/>
      <c r="E1607" s="2023"/>
      <c r="F1607" s="2023"/>
      <c r="G1607" s="2023"/>
      <c r="H1607" s="2023"/>
      <c r="I1607" s="1"/>
      <c r="J1607" s="1"/>
    </row>
    <row r="1608" spans="2:10" ht="47">
      <c r="B1608" s="69" t="s">
        <v>134</v>
      </c>
      <c r="C1608" s="68"/>
      <c r="D1608" s="68"/>
      <c r="E1608" s="68"/>
      <c r="F1608" s="68"/>
      <c r="G1608" s="68"/>
      <c r="H1608" s="68"/>
      <c r="I1608" s="68"/>
      <c r="J1608" s="68"/>
    </row>
    <row r="1609" spans="2:10">
      <c r="B1609" s="64"/>
      <c r="C1609" s="1"/>
      <c r="D1609" s="1"/>
      <c r="E1609" s="1"/>
      <c r="F1609" s="1"/>
      <c r="G1609" s="1"/>
      <c r="H1609" s="1"/>
      <c r="I1609" s="1"/>
      <c r="J1609" s="1"/>
    </row>
    <row r="1610" spans="2:10">
      <c r="B1610" s="14" t="s">
        <v>133</v>
      </c>
      <c r="C1610" s="14"/>
      <c r="D1610" s="14"/>
      <c r="E1610" s="14"/>
      <c r="F1610" s="14"/>
      <c r="G1610" s="14"/>
      <c r="H1610" s="14"/>
      <c r="I1610" s="14"/>
      <c r="J1610" s="14"/>
    </row>
    <row r="1611" spans="2:10">
      <c r="B1611" s="12" t="s">
        <v>132</v>
      </c>
      <c r="C1611" s="1"/>
      <c r="D1611" s="1"/>
      <c r="E1611" s="1"/>
      <c r="F1611" s="1"/>
      <c r="G1611" s="1"/>
      <c r="H1611" s="1"/>
      <c r="I1611" s="1"/>
      <c r="J1611" s="1"/>
    </row>
    <row r="1612" spans="2:10">
      <c r="B1612" s="62" t="s">
        <v>131</v>
      </c>
      <c r="C1612" s="1"/>
      <c r="D1612" s="1"/>
      <c r="E1612" s="1"/>
      <c r="F1612" s="1"/>
      <c r="G1612" s="1"/>
      <c r="H1612" s="1"/>
      <c r="I1612" s="1"/>
      <c r="J1612" s="1"/>
    </row>
    <row r="1613" spans="2:10">
      <c r="B1613" s="62"/>
      <c r="C1613" s="1"/>
      <c r="D1613" s="1"/>
      <c r="E1613" s="1"/>
      <c r="F1613" s="1"/>
      <c r="G1613" s="1"/>
      <c r="H1613" s="1"/>
      <c r="I1613" s="1"/>
      <c r="J1613" s="1"/>
    </row>
    <row r="1614" spans="2:10">
      <c r="B1614" s="61"/>
      <c r="C1614" s="60">
        <v>2014</v>
      </c>
      <c r="D1614" s="60">
        <v>2015</v>
      </c>
      <c r="E1614" s="60">
        <v>2016</v>
      </c>
      <c r="F1614" s="60">
        <v>2017</v>
      </c>
      <c r="G1614" s="60">
        <v>2018</v>
      </c>
      <c r="H1614" s="60">
        <v>2019</v>
      </c>
      <c r="I1614" s="60">
        <v>2020</v>
      </c>
      <c r="J1614" s="60">
        <v>2021</v>
      </c>
    </row>
    <row r="1615" spans="2:10">
      <c r="B1615" s="59" t="s">
        <v>126</v>
      </c>
      <c r="C1615" s="1"/>
      <c r="D1615" s="1"/>
      <c r="E1615" s="1"/>
      <c r="F1615" s="1"/>
      <c r="G1615" s="1"/>
      <c r="H1615" s="1"/>
      <c r="I1615" s="1"/>
      <c r="J1615" s="1"/>
    </row>
    <row r="1616" spans="2:10">
      <c r="B1616" s="65" t="s">
        <v>130</v>
      </c>
      <c r="C1616" s="3">
        <v>0</v>
      </c>
      <c r="D1616" s="3">
        <v>0</v>
      </c>
      <c r="E1616" s="3">
        <v>0</v>
      </c>
      <c r="F1616" s="3">
        <v>0</v>
      </c>
      <c r="G1616" s="3">
        <v>8431</v>
      </c>
      <c r="H1616" s="67">
        <v>54</v>
      </c>
      <c r="I1616" s="67">
        <v>42.52</v>
      </c>
      <c r="J1616" s="67">
        <v>96.126999999999995</v>
      </c>
    </row>
    <row r="1617" spans="2:10">
      <c r="B1617" s="54" t="s">
        <v>123</v>
      </c>
      <c r="C1617" s="3">
        <v>0</v>
      </c>
      <c r="D1617" s="3">
        <v>0</v>
      </c>
      <c r="E1617" s="3">
        <v>0</v>
      </c>
      <c r="F1617" s="3">
        <v>0</v>
      </c>
      <c r="G1617" s="3">
        <v>8431</v>
      </c>
      <c r="H1617" s="67">
        <v>54</v>
      </c>
      <c r="I1617" s="67">
        <v>42.52</v>
      </c>
      <c r="J1617" s="67">
        <v>83.224999999999994</v>
      </c>
    </row>
    <row r="1618" spans="2:10">
      <c r="B1618" s="52" t="s">
        <v>121</v>
      </c>
      <c r="C1618" s="3">
        <v>0</v>
      </c>
      <c r="D1618" s="3">
        <v>0</v>
      </c>
      <c r="E1618" s="3">
        <v>0</v>
      </c>
      <c r="F1618" s="3">
        <v>0</v>
      </c>
      <c r="G1618" s="3">
        <v>7009</v>
      </c>
      <c r="H1618" s="67">
        <v>0</v>
      </c>
      <c r="I1618" s="67">
        <v>0</v>
      </c>
      <c r="J1618" s="67">
        <v>0</v>
      </c>
    </row>
    <row r="1619" spans="2:10">
      <c r="B1619" s="53" t="s">
        <v>120</v>
      </c>
      <c r="C1619" s="3">
        <v>0</v>
      </c>
      <c r="D1619" s="3">
        <v>0</v>
      </c>
      <c r="E1619" s="3">
        <v>0</v>
      </c>
      <c r="F1619" s="3">
        <v>0</v>
      </c>
      <c r="G1619" s="3">
        <v>231</v>
      </c>
      <c r="H1619" s="67">
        <v>0</v>
      </c>
      <c r="I1619" s="67">
        <v>0</v>
      </c>
      <c r="J1619" s="67">
        <v>0</v>
      </c>
    </row>
    <row r="1620" spans="2:10">
      <c r="B1620" s="53" t="s">
        <v>119</v>
      </c>
      <c r="C1620" s="3">
        <v>0</v>
      </c>
      <c r="D1620" s="3">
        <v>0</v>
      </c>
      <c r="E1620" s="3">
        <v>0</v>
      </c>
      <c r="F1620" s="3">
        <v>0</v>
      </c>
      <c r="G1620" s="3">
        <v>6778</v>
      </c>
      <c r="H1620" s="67">
        <v>0</v>
      </c>
      <c r="I1620" s="67">
        <v>0</v>
      </c>
      <c r="J1620" s="67">
        <v>0</v>
      </c>
    </row>
    <row r="1621" spans="2:10">
      <c r="B1621" s="52" t="s">
        <v>118</v>
      </c>
      <c r="C1621" s="3">
        <v>0</v>
      </c>
      <c r="D1621" s="3">
        <v>0</v>
      </c>
      <c r="E1621" s="3">
        <v>0</v>
      </c>
      <c r="F1621" s="3">
        <v>0</v>
      </c>
      <c r="G1621" s="3">
        <v>1422</v>
      </c>
      <c r="H1621" s="67">
        <v>0</v>
      </c>
      <c r="I1621" s="67">
        <v>0</v>
      </c>
      <c r="J1621" s="67">
        <v>0</v>
      </c>
    </row>
    <row r="1622" spans="2:10">
      <c r="B1622" s="52" t="s">
        <v>117</v>
      </c>
      <c r="C1622" s="3">
        <v>0</v>
      </c>
      <c r="D1622" s="3">
        <v>0</v>
      </c>
      <c r="E1622" s="3">
        <v>0</v>
      </c>
      <c r="F1622" s="3">
        <v>0</v>
      </c>
      <c r="G1622" s="3">
        <v>0</v>
      </c>
      <c r="H1622" s="67">
        <v>0</v>
      </c>
      <c r="I1622" s="67">
        <v>0</v>
      </c>
      <c r="J1622" s="67">
        <v>0</v>
      </c>
    </row>
    <row r="1623" spans="2:10">
      <c r="B1623" s="52"/>
      <c r="C1623" s="1"/>
      <c r="D1623" s="1"/>
      <c r="E1623" s="1"/>
      <c r="F1623" s="1"/>
      <c r="G1623" s="1"/>
      <c r="H1623" s="1"/>
      <c r="I1623" s="1"/>
      <c r="J1623" s="1"/>
    </row>
    <row r="1624" spans="2:10">
      <c r="B1624" s="54" t="s">
        <v>122</v>
      </c>
      <c r="C1624" s="3">
        <v>0</v>
      </c>
      <c r="D1624" s="3">
        <v>0</v>
      </c>
      <c r="E1624" s="3">
        <v>0</v>
      </c>
      <c r="F1624" s="3">
        <v>0</v>
      </c>
      <c r="G1624" s="3">
        <v>0</v>
      </c>
      <c r="H1624" s="3">
        <v>0</v>
      </c>
      <c r="I1624" s="3">
        <v>0</v>
      </c>
      <c r="J1624" s="3">
        <v>12.901999999999999</v>
      </c>
    </row>
    <row r="1625" spans="2:10">
      <c r="B1625" s="52" t="s">
        <v>121</v>
      </c>
      <c r="C1625" s="3">
        <v>0</v>
      </c>
      <c r="D1625" s="3">
        <v>0</v>
      </c>
      <c r="E1625" s="3">
        <v>0</v>
      </c>
      <c r="F1625" s="3">
        <v>0</v>
      </c>
      <c r="G1625" s="3">
        <v>0</v>
      </c>
      <c r="H1625" s="3">
        <v>0</v>
      </c>
      <c r="I1625" s="3">
        <v>0</v>
      </c>
      <c r="J1625" s="3">
        <v>0</v>
      </c>
    </row>
    <row r="1626" spans="2:10">
      <c r="B1626" s="53" t="s">
        <v>120</v>
      </c>
      <c r="C1626" s="3">
        <v>0</v>
      </c>
      <c r="D1626" s="3">
        <v>0</v>
      </c>
      <c r="E1626" s="3">
        <v>0</v>
      </c>
      <c r="F1626" s="3">
        <v>0</v>
      </c>
      <c r="G1626" s="3">
        <v>0</v>
      </c>
      <c r="H1626" s="3">
        <v>0</v>
      </c>
      <c r="I1626" s="3">
        <v>0</v>
      </c>
      <c r="J1626" s="3">
        <v>0</v>
      </c>
    </row>
    <row r="1627" spans="2:10">
      <c r="B1627" s="53" t="s">
        <v>119</v>
      </c>
      <c r="C1627" s="3">
        <v>0</v>
      </c>
      <c r="D1627" s="3">
        <v>0</v>
      </c>
      <c r="E1627" s="3">
        <v>0</v>
      </c>
      <c r="F1627" s="3">
        <v>0</v>
      </c>
      <c r="G1627" s="3">
        <v>0</v>
      </c>
      <c r="H1627" s="3">
        <v>0</v>
      </c>
      <c r="I1627" s="3">
        <v>0</v>
      </c>
      <c r="J1627" s="3">
        <v>0</v>
      </c>
    </row>
    <row r="1628" spans="2:10">
      <c r="B1628" s="52" t="s">
        <v>118</v>
      </c>
      <c r="C1628" s="3">
        <v>0</v>
      </c>
      <c r="D1628" s="3">
        <v>0</v>
      </c>
      <c r="E1628" s="3">
        <v>0</v>
      </c>
      <c r="F1628" s="3">
        <v>0</v>
      </c>
      <c r="G1628" s="3">
        <v>0</v>
      </c>
      <c r="H1628" s="3">
        <v>0</v>
      </c>
      <c r="I1628" s="3">
        <v>0</v>
      </c>
      <c r="J1628" s="3">
        <v>0</v>
      </c>
    </row>
    <row r="1629" spans="2:10">
      <c r="B1629" s="52" t="s">
        <v>117</v>
      </c>
      <c r="C1629" s="66">
        <v>0</v>
      </c>
      <c r="D1629" s="66">
        <v>0</v>
      </c>
      <c r="E1629" s="66">
        <v>0</v>
      </c>
      <c r="F1629" s="66">
        <v>0</v>
      </c>
      <c r="G1629" s="66">
        <v>0</v>
      </c>
      <c r="H1629" s="66">
        <v>0</v>
      </c>
      <c r="I1629" s="66">
        <v>0</v>
      </c>
      <c r="J1629" s="66">
        <v>0</v>
      </c>
    </row>
    <row r="1630" spans="2:10">
      <c r="B1630" s="52"/>
      <c r="C1630" s="66"/>
      <c r="D1630" s="66"/>
      <c r="E1630" s="66"/>
      <c r="F1630" s="66"/>
      <c r="G1630" s="66"/>
      <c r="H1630" s="66"/>
      <c r="I1630" s="66"/>
      <c r="J1630" s="66"/>
    </row>
    <row r="1631" spans="2:10">
      <c r="B1631" s="58" t="s">
        <v>125</v>
      </c>
      <c r="C1631" s="57"/>
      <c r="D1631" s="57"/>
      <c r="E1631" s="57"/>
      <c r="F1631" s="57"/>
      <c r="G1631" s="57"/>
      <c r="H1631" s="57"/>
      <c r="I1631" s="57"/>
      <c r="J1631" s="57"/>
    </row>
    <row r="1632" spans="2:10">
      <c r="B1632" s="65" t="s">
        <v>130</v>
      </c>
      <c r="C1632" s="51">
        <v>0</v>
      </c>
      <c r="D1632" s="51">
        <v>0</v>
      </c>
      <c r="E1632" s="51">
        <v>0</v>
      </c>
      <c r="F1632" s="51">
        <v>0</v>
      </c>
      <c r="G1632" s="51">
        <v>0</v>
      </c>
      <c r="H1632" s="51">
        <v>261734</v>
      </c>
      <c r="I1632" s="51">
        <v>147550</v>
      </c>
      <c r="J1632" s="51">
        <v>141577</v>
      </c>
    </row>
    <row r="1633" spans="2:10">
      <c r="B1633" s="54" t="s">
        <v>123</v>
      </c>
      <c r="C1633" s="51">
        <v>0</v>
      </c>
      <c r="D1633" s="51">
        <v>0</v>
      </c>
      <c r="E1633" s="51">
        <v>0</v>
      </c>
      <c r="F1633" s="51">
        <v>0</v>
      </c>
      <c r="G1633" s="51">
        <v>0</v>
      </c>
      <c r="H1633" s="51">
        <v>0</v>
      </c>
      <c r="I1633" s="51">
        <v>0</v>
      </c>
      <c r="J1633" s="51">
        <v>0</v>
      </c>
    </row>
    <row r="1634" spans="2:10">
      <c r="B1634" s="52" t="s">
        <v>121</v>
      </c>
      <c r="C1634" s="51">
        <v>0</v>
      </c>
      <c r="D1634" s="51">
        <v>0</v>
      </c>
      <c r="E1634" s="51">
        <v>0</v>
      </c>
      <c r="F1634" s="51">
        <v>0</v>
      </c>
      <c r="G1634" s="51">
        <v>0</v>
      </c>
      <c r="H1634" s="51">
        <v>0</v>
      </c>
      <c r="I1634" s="51">
        <v>0</v>
      </c>
      <c r="J1634" s="51">
        <v>0</v>
      </c>
    </row>
    <row r="1635" spans="2:10">
      <c r="B1635" s="53" t="s">
        <v>120</v>
      </c>
      <c r="C1635" s="51">
        <v>0</v>
      </c>
      <c r="D1635" s="51">
        <v>0</v>
      </c>
      <c r="E1635" s="51">
        <v>0</v>
      </c>
      <c r="F1635" s="51">
        <v>0</v>
      </c>
      <c r="G1635" s="51">
        <v>0</v>
      </c>
      <c r="H1635" s="51">
        <v>0</v>
      </c>
      <c r="I1635" s="51">
        <v>0</v>
      </c>
      <c r="J1635" s="51">
        <v>0</v>
      </c>
    </row>
    <row r="1636" spans="2:10">
      <c r="B1636" s="53" t="s">
        <v>119</v>
      </c>
      <c r="C1636" s="51">
        <v>0</v>
      </c>
      <c r="D1636" s="51">
        <v>0</v>
      </c>
      <c r="E1636" s="51">
        <v>0</v>
      </c>
      <c r="F1636" s="51">
        <v>0</v>
      </c>
      <c r="G1636" s="51">
        <v>0</v>
      </c>
      <c r="H1636" s="51">
        <v>0</v>
      </c>
      <c r="I1636" s="51">
        <v>0</v>
      </c>
      <c r="J1636" s="51">
        <v>0</v>
      </c>
    </row>
    <row r="1637" spans="2:10">
      <c r="B1637" s="52" t="s">
        <v>118</v>
      </c>
      <c r="C1637" s="51">
        <v>0</v>
      </c>
      <c r="D1637" s="51">
        <v>0</v>
      </c>
      <c r="E1637" s="51">
        <v>0</v>
      </c>
      <c r="F1637" s="51">
        <v>0</v>
      </c>
      <c r="G1637" s="51">
        <v>0</v>
      </c>
      <c r="H1637" s="51">
        <v>0</v>
      </c>
      <c r="I1637" s="51">
        <v>0</v>
      </c>
      <c r="J1637" s="51">
        <v>0</v>
      </c>
    </row>
    <row r="1638" spans="2:10">
      <c r="B1638" s="52" t="s">
        <v>117</v>
      </c>
      <c r="C1638" s="51">
        <v>0</v>
      </c>
      <c r="D1638" s="51">
        <v>0</v>
      </c>
      <c r="E1638" s="51">
        <v>0</v>
      </c>
      <c r="F1638" s="51">
        <v>0</v>
      </c>
      <c r="G1638" s="51">
        <v>0</v>
      </c>
      <c r="H1638" s="51">
        <v>0</v>
      </c>
      <c r="I1638" s="51">
        <v>0</v>
      </c>
      <c r="J1638" s="51">
        <v>0</v>
      </c>
    </row>
    <row r="1639" spans="2:10">
      <c r="B1639" s="52"/>
      <c r="C1639" s="51"/>
      <c r="D1639" s="51"/>
      <c r="E1639" s="51"/>
      <c r="F1639" s="51"/>
      <c r="G1639" s="51"/>
      <c r="H1639" s="51"/>
      <c r="I1639" s="51"/>
      <c r="J1639" s="51"/>
    </row>
    <row r="1640" spans="2:10">
      <c r="B1640" s="54" t="s">
        <v>122</v>
      </c>
      <c r="C1640" s="51">
        <v>0</v>
      </c>
      <c r="D1640" s="51">
        <v>0</v>
      </c>
      <c r="E1640" s="51">
        <v>0</v>
      </c>
      <c r="F1640" s="51">
        <v>0</v>
      </c>
      <c r="G1640" s="51">
        <v>0</v>
      </c>
      <c r="H1640" s="51">
        <v>0</v>
      </c>
      <c r="I1640" s="51">
        <v>0</v>
      </c>
      <c r="J1640" s="51">
        <v>0</v>
      </c>
    </row>
    <row r="1641" spans="2:10">
      <c r="B1641" s="52" t="s">
        <v>121</v>
      </c>
      <c r="C1641" s="51">
        <v>0</v>
      </c>
      <c r="D1641" s="51">
        <v>0</v>
      </c>
      <c r="E1641" s="51">
        <v>0</v>
      </c>
      <c r="F1641" s="51">
        <v>0</v>
      </c>
      <c r="G1641" s="51">
        <v>0</v>
      </c>
      <c r="H1641" s="51">
        <v>0</v>
      </c>
      <c r="I1641" s="51">
        <v>0</v>
      </c>
      <c r="J1641" s="51">
        <v>0</v>
      </c>
    </row>
    <row r="1642" spans="2:10">
      <c r="B1642" s="53" t="s">
        <v>120</v>
      </c>
      <c r="C1642" s="51">
        <v>0</v>
      </c>
      <c r="D1642" s="51">
        <v>0</v>
      </c>
      <c r="E1642" s="51">
        <v>0</v>
      </c>
      <c r="F1642" s="51">
        <v>0</v>
      </c>
      <c r="G1642" s="51">
        <v>0</v>
      </c>
      <c r="H1642" s="51">
        <v>0</v>
      </c>
      <c r="I1642" s="51">
        <v>0</v>
      </c>
      <c r="J1642" s="51">
        <v>0</v>
      </c>
    </row>
    <row r="1643" spans="2:10">
      <c r="B1643" s="53" t="s">
        <v>119</v>
      </c>
      <c r="C1643" s="51">
        <v>0</v>
      </c>
      <c r="D1643" s="51">
        <v>0</v>
      </c>
      <c r="E1643" s="51">
        <v>0</v>
      </c>
      <c r="F1643" s="51">
        <v>0</v>
      </c>
      <c r="G1643" s="51">
        <v>0</v>
      </c>
      <c r="H1643" s="51">
        <v>0</v>
      </c>
      <c r="I1643" s="51">
        <v>0</v>
      </c>
      <c r="J1643" s="51">
        <v>0</v>
      </c>
    </row>
    <row r="1644" spans="2:10">
      <c r="B1644" s="52" t="s">
        <v>118</v>
      </c>
      <c r="C1644" s="51">
        <v>0</v>
      </c>
      <c r="D1644" s="51">
        <v>0</v>
      </c>
      <c r="E1644" s="51">
        <v>0</v>
      </c>
      <c r="F1644" s="51">
        <v>0</v>
      </c>
      <c r="G1644" s="51">
        <v>0</v>
      </c>
      <c r="H1644" s="51">
        <v>0</v>
      </c>
      <c r="I1644" s="51">
        <v>0</v>
      </c>
      <c r="J1644" s="51">
        <v>0</v>
      </c>
    </row>
    <row r="1645" spans="2:10" ht="15" thickBot="1">
      <c r="B1645" s="50" t="s">
        <v>117</v>
      </c>
      <c r="C1645" s="49">
        <v>0</v>
      </c>
      <c r="D1645" s="49">
        <v>0</v>
      </c>
      <c r="E1645" s="49">
        <v>0</v>
      </c>
      <c r="F1645" s="49">
        <v>0</v>
      </c>
      <c r="G1645" s="49">
        <v>0</v>
      </c>
      <c r="H1645" s="49">
        <v>0</v>
      </c>
      <c r="I1645" s="49">
        <v>0</v>
      </c>
      <c r="J1645" s="49">
        <v>0</v>
      </c>
    </row>
    <row r="1646" spans="2:10" ht="15" thickTop="1">
      <c r="B1646" s="2023" t="s">
        <v>116</v>
      </c>
      <c r="C1646" s="2023"/>
      <c r="D1646" s="2023"/>
      <c r="E1646" s="2023"/>
      <c r="F1646" s="2023"/>
      <c r="G1646" s="2023"/>
      <c r="H1646" s="2023"/>
      <c r="I1646" s="1"/>
      <c r="J1646" s="1"/>
    </row>
    <row r="1647" spans="2:10">
      <c r="B1647" s="64"/>
      <c r="C1647" s="1"/>
      <c r="D1647" s="1"/>
      <c r="E1647" s="1"/>
      <c r="F1647" s="1"/>
      <c r="G1647" s="1"/>
      <c r="H1647" s="1"/>
      <c r="I1647" s="1"/>
      <c r="J1647" s="1"/>
    </row>
    <row r="1648" spans="2:10">
      <c r="B1648" s="63" t="s">
        <v>129</v>
      </c>
      <c r="C1648" s="63"/>
      <c r="D1648" s="63"/>
      <c r="E1648" s="63"/>
      <c r="F1648" s="63"/>
      <c r="G1648" s="63"/>
      <c r="H1648" s="63"/>
      <c r="I1648" s="63"/>
      <c r="J1648" s="63"/>
    </row>
    <row r="1649" spans="2:10">
      <c r="B1649" s="12" t="s">
        <v>128</v>
      </c>
      <c r="C1649" s="1"/>
      <c r="D1649" s="1"/>
      <c r="E1649" s="1"/>
      <c r="F1649" s="1"/>
      <c r="G1649" s="1"/>
      <c r="H1649" s="1"/>
      <c r="I1649" s="1"/>
      <c r="J1649" s="1"/>
    </row>
    <row r="1650" spans="2:10">
      <c r="B1650" s="62" t="s">
        <v>127</v>
      </c>
      <c r="C1650" s="1"/>
      <c r="D1650" s="1"/>
      <c r="E1650" s="1"/>
      <c r="F1650" s="1"/>
      <c r="G1650" s="1"/>
      <c r="H1650" s="1"/>
      <c r="I1650" s="1"/>
      <c r="J1650" s="1"/>
    </row>
    <row r="1651" spans="2:10">
      <c r="B1651" s="62"/>
      <c r="C1651" s="1"/>
      <c r="D1651" s="1"/>
      <c r="E1651" s="1"/>
      <c r="F1651" s="1"/>
      <c r="G1651" s="1"/>
      <c r="H1651" s="1"/>
      <c r="I1651" s="1"/>
      <c r="J1651" s="1"/>
    </row>
    <row r="1652" spans="2:10">
      <c r="B1652" s="61"/>
      <c r="C1652" s="60">
        <v>2014</v>
      </c>
      <c r="D1652" s="60">
        <v>2015</v>
      </c>
      <c r="E1652" s="60">
        <v>2016</v>
      </c>
      <c r="F1652" s="60">
        <v>2017</v>
      </c>
      <c r="G1652" s="60">
        <v>2018</v>
      </c>
      <c r="H1652" s="60">
        <v>2019</v>
      </c>
      <c r="I1652" s="60">
        <v>2020</v>
      </c>
      <c r="J1652" s="60">
        <v>2021</v>
      </c>
    </row>
    <row r="1653" spans="2:10">
      <c r="B1653" s="59" t="s">
        <v>126</v>
      </c>
      <c r="C1653" s="1"/>
      <c r="D1653" s="1"/>
      <c r="E1653" s="1"/>
      <c r="F1653" s="1"/>
      <c r="G1653" s="1"/>
      <c r="H1653" s="1"/>
      <c r="I1653" s="1"/>
      <c r="J1653" s="1"/>
    </row>
    <row r="1654" spans="2:10">
      <c r="B1654" s="54" t="s">
        <v>124</v>
      </c>
      <c r="C1654" s="3">
        <v>0</v>
      </c>
      <c r="D1654" s="3">
        <v>0</v>
      </c>
      <c r="E1654" s="3">
        <v>0</v>
      </c>
      <c r="F1654" s="3">
        <v>0</v>
      </c>
      <c r="G1654" s="55">
        <v>0</v>
      </c>
      <c r="H1654" s="3">
        <v>0</v>
      </c>
      <c r="I1654" s="3">
        <v>0</v>
      </c>
      <c r="J1654" s="3">
        <v>0</v>
      </c>
    </row>
    <row r="1655" spans="2:10">
      <c r="B1655" s="54" t="s">
        <v>123</v>
      </c>
      <c r="C1655" s="3">
        <v>0</v>
      </c>
      <c r="D1655" s="3">
        <v>0</v>
      </c>
      <c r="E1655" s="3">
        <v>0</v>
      </c>
      <c r="F1655" s="3">
        <v>0</v>
      </c>
      <c r="G1655" s="55">
        <v>83161197.858671233</v>
      </c>
      <c r="H1655" s="55">
        <v>0</v>
      </c>
      <c r="I1655" s="55">
        <v>0</v>
      </c>
      <c r="J1655" s="55">
        <v>0</v>
      </c>
    </row>
    <row r="1656" spans="2:10">
      <c r="B1656" s="52" t="s">
        <v>121</v>
      </c>
      <c r="C1656" s="3">
        <v>0</v>
      </c>
      <c r="D1656" s="3">
        <v>0</v>
      </c>
      <c r="E1656" s="3">
        <v>0</v>
      </c>
      <c r="F1656" s="3">
        <v>0</v>
      </c>
      <c r="G1656" s="55">
        <v>80032134.293263644</v>
      </c>
      <c r="H1656" s="55">
        <v>0</v>
      </c>
      <c r="I1656" s="55">
        <v>0</v>
      </c>
      <c r="J1656" s="55">
        <v>0</v>
      </c>
    </row>
    <row r="1657" spans="2:10">
      <c r="B1657" s="53" t="s">
        <v>120</v>
      </c>
      <c r="C1657" s="3">
        <v>0</v>
      </c>
      <c r="D1657" s="3">
        <v>0</v>
      </c>
      <c r="E1657" s="3">
        <v>0</v>
      </c>
      <c r="F1657" s="3">
        <v>0</v>
      </c>
      <c r="G1657" s="55">
        <v>3502785.6052771481</v>
      </c>
      <c r="H1657" s="55">
        <v>0</v>
      </c>
      <c r="I1657" s="55">
        <v>0</v>
      </c>
      <c r="J1657" s="55">
        <v>0</v>
      </c>
    </row>
    <row r="1658" spans="2:10">
      <c r="B1658" s="53" t="s">
        <v>119</v>
      </c>
      <c r="C1658" s="3">
        <v>0</v>
      </c>
      <c r="D1658" s="3">
        <v>0</v>
      </c>
      <c r="E1658" s="3">
        <v>0</v>
      </c>
      <c r="F1658" s="3">
        <v>0</v>
      </c>
      <c r="G1658" s="55">
        <v>76529348.687986493</v>
      </c>
      <c r="H1658" s="55">
        <v>0</v>
      </c>
      <c r="I1658" s="55">
        <v>0</v>
      </c>
      <c r="J1658" s="55">
        <v>0</v>
      </c>
    </row>
    <row r="1659" spans="2:10">
      <c r="B1659" s="52" t="s">
        <v>118</v>
      </c>
      <c r="C1659" s="3">
        <v>0</v>
      </c>
      <c r="D1659" s="3">
        <v>0</v>
      </c>
      <c r="E1659" s="3">
        <v>0</v>
      </c>
      <c r="F1659" s="3">
        <v>0</v>
      </c>
      <c r="G1659" s="55">
        <v>3129063.5654075956</v>
      </c>
      <c r="H1659" s="55">
        <v>0</v>
      </c>
      <c r="I1659" s="55">
        <v>0</v>
      </c>
      <c r="J1659" s="55">
        <v>0</v>
      </c>
    </row>
    <row r="1660" spans="2:10">
      <c r="B1660" s="52" t="s">
        <v>117</v>
      </c>
      <c r="C1660" s="3">
        <v>0</v>
      </c>
      <c r="D1660" s="3">
        <v>0</v>
      </c>
      <c r="E1660" s="3">
        <v>0</v>
      </c>
      <c r="F1660" s="3">
        <v>0</v>
      </c>
      <c r="G1660" s="3">
        <v>0</v>
      </c>
      <c r="H1660" s="3">
        <v>0</v>
      </c>
      <c r="I1660" s="3">
        <v>0</v>
      </c>
      <c r="J1660" s="3">
        <v>0</v>
      </c>
    </row>
    <row r="1661" spans="2:10">
      <c r="B1661" s="52"/>
      <c r="C1661" s="1"/>
      <c r="D1661" s="1"/>
      <c r="E1661" s="1"/>
      <c r="F1661" s="1"/>
      <c r="G1661" s="1"/>
      <c r="H1661" s="1"/>
      <c r="I1661" s="1"/>
      <c r="J1661" s="1"/>
    </row>
    <row r="1662" spans="2:10">
      <c r="B1662" s="54" t="s">
        <v>122</v>
      </c>
      <c r="C1662" s="3">
        <v>0</v>
      </c>
      <c r="D1662" s="3">
        <v>0</v>
      </c>
      <c r="E1662" s="3">
        <v>0</v>
      </c>
      <c r="F1662" s="3">
        <v>0</v>
      </c>
      <c r="G1662" s="3">
        <v>0</v>
      </c>
      <c r="H1662" s="3">
        <v>0</v>
      </c>
      <c r="I1662" s="3">
        <v>0</v>
      </c>
      <c r="J1662" s="3">
        <v>0</v>
      </c>
    </row>
    <row r="1663" spans="2:10">
      <c r="B1663" s="52" t="s">
        <v>121</v>
      </c>
      <c r="C1663" s="3">
        <v>0</v>
      </c>
      <c r="D1663" s="3">
        <v>0</v>
      </c>
      <c r="E1663" s="3">
        <v>0</v>
      </c>
      <c r="F1663" s="3">
        <v>0</v>
      </c>
      <c r="G1663" s="3">
        <v>0</v>
      </c>
      <c r="H1663" s="3">
        <v>0</v>
      </c>
      <c r="I1663" s="3">
        <v>0</v>
      </c>
      <c r="J1663" s="3">
        <v>0</v>
      </c>
    </row>
    <row r="1664" spans="2:10">
      <c r="B1664" s="53" t="s">
        <v>120</v>
      </c>
      <c r="C1664" s="3">
        <v>0</v>
      </c>
      <c r="D1664" s="3">
        <v>0</v>
      </c>
      <c r="E1664" s="3">
        <v>0</v>
      </c>
      <c r="F1664" s="3">
        <v>0</v>
      </c>
      <c r="G1664" s="3">
        <v>0</v>
      </c>
      <c r="H1664" s="3">
        <v>0</v>
      </c>
      <c r="I1664" s="3">
        <v>0</v>
      </c>
      <c r="J1664" s="3">
        <v>0</v>
      </c>
    </row>
    <row r="1665" spans="2:10">
      <c r="B1665" s="53" t="s">
        <v>119</v>
      </c>
      <c r="C1665" s="3">
        <v>0</v>
      </c>
      <c r="D1665" s="3">
        <v>0</v>
      </c>
      <c r="E1665" s="3">
        <v>0</v>
      </c>
      <c r="F1665" s="3">
        <v>0</v>
      </c>
      <c r="G1665" s="3">
        <v>0</v>
      </c>
      <c r="H1665" s="3">
        <v>0</v>
      </c>
      <c r="I1665" s="3">
        <v>0</v>
      </c>
      <c r="J1665" s="3">
        <v>0</v>
      </c>
    </row>
    <row r="1666" spans="2:10">
      <c r="B1666" s="52" t="s">
        <v>118</v>
      </c>
      <c r="C1666" s="3">
        <v>0</v>
      </c>
      <c r="D1666" s="3">
        <v>0</v>
      </c>
      <c r="E1666" s="3">
        <v>0</v>
      </c>
      <c r="F1666" s="3">
        <v>0</v>
      </c>
      <c r="G1666" s="3">
        <v>0</v>
      </c>
      <c r="H1666" s="3">
        <v>0</v>
      </c>
      <c r="I1666" s="3">
        <v>0</v>
      </c>
      <c r="J1666" s="3">
        <v>0</v>
      </c>
    </row>
    <row r="1667" spans="2:10">
      <c r="B1667" s="52" t="s">
        <v>117</v>
      </c>
      <c r="C1667" s="3">
        <v>0</v>
      </c>
      <c r="D1667" s="3">
        <v>0</v>
      </c>
      <c r="E1667" s="3">
        <v>0</v>
      </c>
      <c r="F1667" s="3">
        <v>0</v>
      </c>
      <c r="G1667" s="3">
        <v>0</v>
      </c>
      <c r="H1667" s="3">
        <v>0</v>
      </c>
      <c r="I1667" s="3">
        <v>0</v>
      </c>
      <c r="J1667" s="3">
        <v>0</v>
      </c>
    </row>
    <row r="1668" spans="2:10">
      <c r="B1668" s="52"/>
      <c r="C1668" s="3"/>
      <c r="D1668" s="3"/>
      <c r="E1668" s="3"/>
      <c r="F1668" s="3"/>
      <c r="G1668" s="3"/>
      <c r="H1668" s="3"/>
      <c r="I1668" s="3"/>
      <c r="J1668" s="3"/>
    </row>
    <row r="1669" spans="2:10">
      <c r="B1669" s="58" t="s">
        <v>125</v>
      </c>
      <c r="C1669" s="57"/>
      <c r="D1669" s="57"/>
      <c r="E1669" s="57"/>
      <c r="F1669" s="57"/>
      <c r="G1669" s="57"/>
      <c r="H1669" s="57"/>
      <c r="I1669" s="57"/>
      <c r="J1669" s="57"/>
    </row>
    <row r="1670" spans="2:10">
      <c r="B1670" s="54" t="s">
        <v>124</v>
      </c>
      <c r="C1670" s="51">
        <v>0</v>
      </c>
      <c r="D1670" s="51">
        <v>0</v>
      </c>
      <c r="E1670" s="51">
        <v>0</v>
      </c>
      <c r="F1670" s="51">
        <v>0</v>
      </c>
      <c r="G1670" s="51">
        <v>0</v>
      </c>
      <c r="H1670" s="56">
        <v>3109234.877702646</v>
      </c>
      <c r="I1670" s="56">
        <v>4428665.7119087232</v>
      </c>
      <c r="J1670" s="55">
        <v>4483788.4647739222</v>
      </c>
    </row>
    <row r="1671" spans="2:10">
      <c r="B1671" s="54" t="s">
        <v>123</v>
      </c>
      <c r="C1671" s="51">
        <v>0</v>
      </c>
      <c r="D1671" s="51">
        <v>0</v>
      </c>
      <c r="E1671" s="51">
        <v>0</v>
      </c>
      <c r="F1671" s="51">
        <v>0</v>
      </c>
      <c r="G1671" s="51">
        <v>0</v>
      </c>
      <c r="H1671" s="56">
        <v>3109234.877702646</v>
      </c>
      <c r="I1671" s="56">
        <v>4428665.7119087232</v>
      </c>
      <c r="J1671" s="55">
        <v>4483788.4647739222</v>
      </c>
    </row>
    <row r="1672" spans="2:10" ht="15.75" customHeight="1">
      <c r="B1672" s="52" t="s">
        <v>121</v>
      </c>
      <c r="C1672" s="51">
        <v>0</v>
      </c>
      <c r="D1672" s="51">
        <v>0</v>
      </c>
      <c r="E1672" s="51">
        <v>0</v>
      </c>
      <c r="F1672" s="51">
        <v>0</v>
      </c>
      <c r="G1672" s="51">
        <v>0</v>
      </c>
      <c r="H1672" s="56">
        <v>3109234.877702646</v>
      </c>
      <c r="I1672" s="56">
        <v>4428665.7119087232</v>
      </c>
      <c r="J1672" s="55">
        <v>4483788.4647739222</v>
      </c>
    </row>
    <row r="1673" spans="2:10" ht="15" customHeight="1">
      <c r="B1673" s="53" t="s">
        <v>120</v>
      </c>
      <c r="C1673" s="51">
        <v>0</v>
      </c>
      <c r="D1673" s="51">
        <v>0</v>
      </c>
      <c r="E1673" s="51">
        <v>0</v>
      </c>
      <c r="F1673" s="51">
        <v>0</v>
      </c>
      <c r="G1673" s="51">
        <v>0</v>
      </c>
      <c r="H1673" s="56">
        <v>3010510.4098839634</v>
      </c>
      <c r="I1673" s="56">
        <v>4267919.431899216</v>
      </c>
      <c r="J1673" s="55">
        <v>4339476.3617245005</v>
      </c>
    </row>
    <row r="1674" spans="2:10">
      <c r="B1674" s="53" t="s">
        <v>119</v>
      </c>
      <c r="C1674" s="51">
        <v>0</v>
      </c>
      <c r="D1674" s="51">
        <v>0</v>
      </c>
      <c r="E1674" s="51">
        <v>0</v>
      </c>
      <c r="F1674" s="51">
        <v>0</v>
      </c>
      <c r="G1674" s="51">
        <v>0</v>
      </c>
      <c r="H1674" s="56">
        <v>98724.467818682693</v>
      </c>
      <c r="I1674" s="56">
        <v>160746.28000950796</v>
      </c>
      <c r="J1674" s="55">
        <v>144312.10304942168</v>
      </c>
    </row>
    <row r="1675" spans="2:10">
      <c r="B1675" s="52" t="s">
        <v>118</v>
      </c>
      <c r="C1675" s="51">
        <v>0</v>
      </c>
      <c r="D1675" s="51">
        <v>0</v>
      </c>
      <c r="E1675" s="51">
        <v>0</v>
      </c>
      <c r="F1675" s="51">
        <v>0</v>
      </c>
      <c r="G1675" s="51">
        <v>0</v>
      </c>
      <c r="H1675" s="51">
        <v>0</v>
      </c>
      <c r="I1675" s="51">
        <v>0</v>
      </c>
      <c r="J1675" s="51">
        <v>0</v>
      </c>
    </row>
    <row r="1676" spans="2:10">
      <c r="B1676" s="52" t="s">
        <v>117</v>
      </c>
      <c r="C1676" s="51">
        <v>0</v>
      </c>
      <c r="D1676" s="51">
        <v>0</v>
      </c>
      <c r="E1676" s="51">
        <v>0</v>
      </c>
      <c r="F1676" s="51">
        <v>0</v>
      </c>
      <c r="G1676" s="51">
        <v>0</v>
      </c>
      <c r="H1676" s="51">
        <v>0</v>
      </c>
      <c r="I1676" s="51">
        <v>0</v>
      </c>
      <c r="J1676" s="51">
        <v>0</v>
      </c>
    </row>
    <row r="1677" spans="2:10">
      <c r="B1677" s="52"/>
      <c r="C1677" s="51"/>
      <c r="D1677" s="51"/>
      <c r="E1677" s="51"/>
      <c r="F1677" s="51"/>
      <c r="G1677" s="51"/>
      <c r="H1677" s="51"/>
      <c r="I1677" s="51">
        <v>0</v>
      </c>
      <c r="J1677" s="51">
        <v>0</v>
      </c>
    </row>
    <row r="1678" spans="2:10">
      <c r="B1678" s="54" t="s">
        <v>122</v>
      </c>
      <c r="C1678" s="51">
        <v>0</v>
      </c>
      <c r="D1678" s="51">
        <v>0</v>
      </c>
      <c r="E1678" s="51">
        <v>0</v>
      </c>
      <c r="F1678" s="51">
        <v>0</v>
      </c>
      <c r="G1678" s="51">
        <v>0</v>
      </c>
      <c r="H1678" s="51">
        <v>0</v>
      </c>
      <c r="I1678" s="51">
        <v>0</v>
      </c>
      <c r="J1678" s="51">
        <v>0</v>
      </c>
    </row>
    <row r="1679" spans="2:10">
      <c r="B1679" s="52" t="s">
        <v>121</v>
      </c>
      <c r="C1679" s="51">
        <v>0</v>
      </c>
      <c r="D1679" s="51">
        <v>0</v>
      </c>
      <c r="E1679" s="51">
        <v>0</v>
      </c>
      <c r="F1679" s="51">
        <v>0</v>
      </c>
      <c r="G1679" s="51">
        <v>0</v>
      </c>
      <c r="H1679" s="51">
        <v>0</v>
      </c>
      <c r="I1679" s="51">
        <v>0</v>
      </c>
      <c r="J1679" s="51">
        <v>0</v>
      </c>
    </row>
    <row r="1680" spans="2:10">
      <c r="B1680" s="53" t="s">
        <v>120</v>
      </c>
      <c r="C1680" s="51">
        <v>0</v>
      </c>
      <c r="D1680" s="51">
        <v>0</v>
      </c>
      <c r="E1680" s="51">
        <v>0</v>
      </c>
      <c r="F1680" s="51">
        <v>0</v>
      </c>
      <c r="G1680" s="51">
        <v>0</v>
      </c>
      <c r="H1680" s="51">
        <v>0</v>
      </c>
      <c r="I1680" s="51">
        <v>0</v>
      </c>
      <c r="J1680" s="51">
        <v>0</v>
      </c>
    </row>
    <row r="1681" spans="2:10">
      <c r="B1681" s="53" t="s">
        <v>119</v>
      </c>
      <c r="C1681" s="51">
        <v>0</v>
      </c>
      <c r="D1681" s="51">
        <v>0</v>
      </c>
      <c r="E1681" s="51">
        <v>0</v>
      </c>
      <c r="F1681" s="51">
        <v>0</v>
      </c>
      <c r="G1681" s="51">
        <v>0</v>
      </c>
      <c r="H1681" s="51">
        <v>0</v>
      </c>
      <c r="I1681" s="51">
        <v>0</v>
      </c>
      <c r="J1681" s="51">
        <v>0</v>
      </c>
    </row>
    <row r="1682" spans="2:10">
      <c r="B1682" s="52" t="s">
        <v>118</v>
      </c>
      <c r="C1682" s="51">
        <v>0</v>
      </c>
      <c r="D1682" s="51">
        <v>0</v>
      </c>
      <c r="E1682" s="51">
        <v>0</v>
      </c>
      <c r="F1682" s="51">
        <v>0</v>
      </c>
      <c r="G1682" s="51">
        <v>0</v>
      </c>
      <c r="H1682" s="51">
        <v>0</v>
      </c>
      <c r="I1682" s="51">
        <v>0</v>
      </c>
      <c r="J1682" s="51">
        <v>0</v>
      </c>
    </row>
    <row r="1683" spans="2:10" ht="15" thickBot="1">
      <c r="B1683" s="50" t="s">
        <v>117</v>
      </c>
      <c r="C1683" s="49">
        <v>0</v>
      </c>
      <c r="D1683" s="49">
        <v>0</v>
      </c>
      <c r="E1683" s="49">
        <v>0</v>
      </c>
      <c r="F1683" s="49">
        <v>0</v>
      </c>
      <c r="G1683" s="49">
        <v>0</v>
      </c>
      <c r="H1683" s="49">
        <v>0</v>
      </c>
      <c r="I1683" s="49">
        <v>0</v>
      </c>
      <c r="J1683" s="49">
        <v>0</v>
      </c>
    </row>
    <row r="1684" spans="2:10" ht="15" thickTop="1">
      <c r="B1684" s="2023" t="s">
        <v>116</v>
      </c>
      <c r="C1684" s="2023"/>
      <c r="D1684" s="2023"/>
      <c r="E1684" s="2023"/>
      <c r="F1684" s="2023"/>
      <c r="G1684" s="2023"/>
      <c r="H1684" s="2023"/>
      <c r="I1684" s="1"/>
      <c r="J1684" s="1"/>
    </row>
    <row r="1685" spans="2:10">
      <c r="B1685" s="1"/>
      <c r="C1685" s="1"/>
      <c r="D1685" s="1"/>
      <c r="E1685" s="1"/>
      <c r="F1685" s="1"/>
      <c r="G1685" s="1"/>
      <c r="H1685" s="1"/>
      <c r="I1685" s="1"/>
      <c r="J1685" s="1"/>
    </row>
    <row r="1686" spans="2:10">
      <c r="B1686" s="1"/>
      <c r="C1686" s="1"/>
      <c r="D1686" s="1"/>
      <c r="E1686" s="1"/>
      <c r="F1686" s="1"/>
      <c r="G1686" s="1"/>
      <c r="H1686" s="1"/>
      <c r="I1686" s="1"/>
      <c r="J1686" s="1"/>
    </row>
    <row r="1687" spans="2:10" ht="15" customHeight="1">
      <c r="B1687" s="14" t="s">
        <v>742</v>
      </c>
      <c r="C1687" s="13"/>
      <c r="D1687" s="13"/>
      <c r="E1687" s="13"/>
      <c r="F1687" s="13"/>
      <c r="G1687" s="13"/>
      <c r="H1687" s="13"/>
      <c r="I1687" s="13"/>
      <c r="J1687" s="13"/>
    </row>
    <row r="1688" spans="2:10">
      <c r="B1688" s="12" t="s">
        <v>114</v>
      </c>
      <c r="C1688" s="1"/>
      <c r="D1688" s="1"/>
      <c r="E1688" s="1"/>
      <c r="F1688" s="1"/>
      <c r="G1688" s="1"/>
      <c r="H1688" s="1"/>
      <c r="I1688" s="1"/>
      <c r="J1688" s="1"/>
    </row>
    <row r="1689" spans="2:10">
      <c r="B1689" s="1"/>
      <c r="C1689" s="1"/>
      <c r="D1689" s="1"/>
      <c r="E1689" s="1"/>
      <c r="F1689" s="1"/>
      <c r="G1689" s="1"/>
      <c r="H1689" s="1"/>
      <c r="I1689" s="1"/>
      <c r="J1689" s="1"/>
    </row>
    <row r="1690" spans="2:10">
      <c r="B1690" s="2019" t="s">
        <v>11</v>
      </c>
      <c r="C1690" s="2019" t="s">
        <v>113</v>
      </c>
      <c r="D1690" s="2021" t="s">
        <v>24</v>
      </c>
      <c r="E1690" s="2019" t="s">
        <v>112</v>
      </c>
      <c r="F1690" s="2019" t="s">
        <v>111</v>
      </c>
      <c r="G1690" s="2021" t="s">
        <v>110</v>
      </c>
      <c r="I1690" s="48"/>
      <c r="J1690" s="48"/>
    </row>
    <row r="1691" spans="2:10">
      <c r="B1691" s="2020"/>
      <c r="C1691" s="2020"/>
      <c r="D1691" s="2022"/>
      <c r="E1691" s="2020"/>
      <c r="F1691" s="2020"/>
      <c r="G1691" s="2022"/>
      <c r="I1691" s="48"/>
      <c r="J1691" s="48"/>
    </row>
    <row r="1692" spans="2:10">
      <c r="B1692" s="23" t="s">
        <v>95</v>
      </c>
      <c r="C1692" s="40" t="s">
        <v>94</v>
      </c>
      <c r="D1692" s="40" t="s">
        <v>1</v>
      </c>
      <c r="E1692" s="40" t="s">
        <v>106</v>
      </c>
      <c r="F1692" s="40" t="s">
        <v>103</v>
      </c>
      <c r="G1692" s="40" t="s">
        <v>102</v>
      </c>
      <c r="H1692" s="40"/>
      <c r="I1692" s="40"/>
      <c r="J1692" s="40"/>
    </row>
    <row r="1693" spans="2:10">
      <c r="B1693" s="20" t="s">
        <v>93</v>
      </c>
      <c r="C1693" s="40" t="s">
        <v>105</v>
      </c>
      <c r="D1693" s="40" t="s">
        <v>5</v>
      </c>
      <c r="E1693" s="40" t="s">
        <v>104</v>
      </c>
      <c r="F1693" s="40" t="s">
        <v>103</v>
      </c>
      <c r="G1693" s="40" t="s">
        <v>102</v>
      </c>
      <c r="H1693" s="40"/>
      <c r="I1693" s="40"/>
      <c r="J1693" s="40"/>
    </row>
    <row r="1694" spans="2:10">
      <c r="B1694" s="20" t="s">
        <v>92</v>
      </c>
      <c r="C1694" s="40" t="s">
        <v>109</v>
      </c>
      <c r="D1694" s="40" t="s">
        <v>108</v>
      </c>
      <c r="E1694" s="40" t="s">
        <v>106</v>
      </c>
      <c r="F1694" s="40" t="s">
        <v>103</v>
      </c>
      <c r="G1694" s="40" t="s">
        <v>102</v>
      </c>
      <c r="H1694" s="40"/>
      <c r="I1694" s="40"/>
      <c r="J1694" s="40"/>
    </row>
    <row r="1695" spans="2:10">
      <c r="B1695" s="43" t="s">
        <v>89</v>
      </c>
      <c r="C1695" s="40" t="s">
        <v>107</v>
      </c>
      <c r="D1695" s="40" t="s">
        <v>1</v>
      </c>
      <c r="E1695" s="40" t="s">
        <v>106</v>
      </c>
      <c r="F1695" s="40" t="s">
        <v>103</v>
      </c>
      <c r="G1695" s="40" t="s">
        <v>102</v>
      </c>
      <c r="H1695" s="40"/>
      <c r="I1695" s="40"/>
      <c r="J1695" s="40"/>
    </row>
    <row r="1696" spans="2:10">
      <c r="B1696" s="21" t="s">
        <v>85</v>
      </c>
      <c r="C1696" s="40" t="s">
        <v>105</v>
      </c>
      <c r="D1696" s="40" t="s">
        <v>5</v>
      </c>
      <c r="E1696" s="40" t="s">
        <v>104</v>
      </c>
      <c r="F1696" s="40" t="s">
        <v>103</v>
      </c>
      <c r="G1696" s="40" t="s">
        <v>102</v>
      </c>
      <c r="H1696" s="40"/>
      <c r="I1696" s="40"/>
      <c r="J1696" s="40"/>
    </row>
    <row r="1697" spans="2:10">
      <c r="B1697" s="21" t="s">
        <v>83</v>
      </c>
      <c r="C1697" s="40" t="s">
        <v>105</v>
      </c>
      <c r="D1697" s="40" t="s">
        <v>5</v>
      </c>
      <c r="E1697" s="40" t="s">
        <v>104</v>
      </c>
      <c r="F1697" s="40" t="s">
        <v>103</v>
      </c>
      <c r="G1697" s="40" t="s">
        <v>102</v>
      </c>
      <c r="H1697" s="40"/>
      <c r="I1697" s="40"/>
      <c r="J1697" s="40"/>
    </row>
    <row r="1698" spans="2:10" ht="15" thickBot="1">
      <c r="B1698" s="25" t="s">
        <v>82</v>
      </c>
      <c r="C1698" s="40" t="s">
        <v>105</v>
      </c>
      <c r="D1698" s="38" t="s">
        <v>5</v>
      </c>
      <c r="E1698" s="38" t="s">
        <v>104</v>
      </c>
      <c r="F1698" s="38" t="s">
        <v>103</v>
      </c>
      <c r="G1698" s="38" t="s">
        <v>102</v>
      </c>
      <c r="H1698" s="40"/>
      <c r="I1698" s="40"/>
      <c r="J1698" s="40"/>
    </row>
    <row r="1699" spans="2:10" ht="15" thickTop="1">
      <c r="B1699" s="47"/>
      <c r="C1699" s="47"/>
      <c r="D1699" s="47"/>
      <c r="E1699" s="47"/>
      <c r="F1699" s="47"/>
      <c r="G1699" s="47"/>
      <c r="H1699" s="47"/>
      <c r="I1699" s="47"/>
      <c r="J1699" s="47"/>
    </row>
    <row r="1700" spans="2:10" ht="14.5" customHeight="1">
      <c r="B1700" s="2019" t="s">
        <v>11</v>
      </c>
      <c r="C1700" s="2021" t="s">
        <v>101</v>
      </c>
      <c r="D1700" s="2021" t="s">
        <v>100</v>
      </c>
      <c r="E1700" s="2021" t="s">
        <v>99</v>
      </c>
      <c r="F1700" s="2019" t="s">
        <v>98</v>
      </c>
      <c r="G1700" s="2019"/>
      <c r="H1700" s="46"/>
      <c r="I1700" s="46"/>
      <c r="J1700" s="46"/>
    </row>
    <row r="1701" spans="2:10">
      <c r="B1701" s="2020"/>
      <c r="C1701" s="2022"/>
      <c r="D1701" s="2022"/>
      <c r="E1701" s="2022"/>
      <c r="F1701" s="45" t="s">
        <v>97</v>
      </c>
      <c r="G1701" s="45" t="s">
        <v>96</v>
      </c>
      <c r="H1701" s="44"/>
      <c r="I1701" s="44"/>
      <c r="J1701" s="44"/>
    </row>
    <row r="1702" spans="2:10">
      <c r="B1702" s="23" t="s">
        <v>95</v>
      </c>
      <c r="C1702" s="34">
        <v>0.8125</v>
      </c>
      <c r="D1702" s="40" t="s">
        <v>94</v>
      </c>
      <c r="E1702" s="34">
        <v>0</v>
      </c>
      <c r="F1702" s="34">
        <v>0.33333333333333331</v>
      </c>
      <c r="G1702" s="34">
        <v>0.83333333333333337</v>
      </c>
      <c r="H1702" s="34"/>
      <c r="I1702" s="34"/>
      <c r="J1702" s="34"/>
    </row>
    <row r="1703" spans="2:10">
      <c r="B1703" s="20" t="s">
        <v>93</v>
      </c>
      <c r="C1703" s="41">
        <v>0.80208333333333337</v>
      </c>
      <c r="D1703" s="40" t="s">
        <v>84</v>
      </c>
      <c r="E1703" s="34">
        <v>0</v>
      </c>
      <c r="F1703" s="34">
        <v>0.33333333333333331</v>
      </c>
      <c r="G1703" s="35">
        <v>0.75</v>
      </c>
      <c r="H1703" s="42"/>
      <c r="I1703" s="41"/>
      <c r="J1703" s="41"/>
    </row>
    <row r="1704" spans="2:10">
      <c r="B1704" s="20" t="s">
        <v>92</v>
      </c>
      <c r="C1704" s="41" t="s">
        <v>91</v>
      </c>
      <c r="D1704" s="40" t="s">
        <v>84</v>
      </c>
      <c r="E1704" s="34">
        <v>0</v>
      </c>
      <c r="F1704" s="34" t="s">
        <v>87</v>
      </c>
      <c r="G1704" s="42" t="s">
        <v>90</v>
      </c>
      <c r="H1704" s="42"/>
      <c r="I1704" s="41"/>
      <c r="J1704" s="41"/>
    </row>
    <row r="1705" spans="2:10">
      <c r="B1705" s="43" t="s">
        <v>89</v>
      </c>
      <c r="C1705" s="41" t="s">
        <v>88</v>
      </c>
      <c r="D1705" s="40" t="s">
        <v>84</v>
      </c>
      <c r="E1705" s="34">
        <v>0</v>
      </c>
      <c r="F1705" s="34" t="s">
        <v>87</v>
      </c>
      <c r="G1705" s="42" t="s">
        <v>86</v>
      </c>
      <c r="H1705" s="42"/>
      <c r="I1705" s="41"/>
      <c r="J1705" s="41"/>
    </row>
    <row r="1706" spans="2:10">
      <c r="B1706" s="21" t="s">
        <v>85</v>
      </c>
      <c r="C1706" s="34">
        <v>0.75</v>
      </c>
      <c r="D1706" s="40" t="s">
        <v>84</v>
      </c>
      <c r="E1706" s="34">
        <v>0</v>
      </c>
      <c r="F1706" s="34">
        <v>0.375</v>
      </c>
      <c r="G1706" s="35">
        <v>0.75</v>
      </c>
      <c r="H1706" s="35"/>
      <c r="I1706" s="34"/>
      <c r="J1706" s="34"/>
    </row>
    <row r="1707" spans="2:10">
      <c r="B1707" s="21" t="s">
        <v>83</v>
      </c>
      <c r="C1707" s="34">
        <v>0.70833333333333337</v>
      </c>
      <c r="D1707" s="40" t="s">
        <v>81</v>
      </c>
      <c r="E1707" s="34">
        <v>0</v>
      </c>
      <c r="F1707" s="34">
        <v>0</v>
      </c>
      <c r="G1707" s="35" t="s">
        <v>79</v>
      </c>
      <c r="H1707" s="35"/>
      <c r="I1707" s="34"/>
      <c r="J1707" s="34"/>
    </row>
    <row r="1708" spans="2:10" ht="15" thickBot="1">
      <c r="B1708" s="25" t="s">
        <v>82</v>
      </c>
      <c r="C1708" s="39">
        <v>0.70833333333333337</v>
      </c>
      <c r="D1708" s="38" t="s">
        <v>81</v>
      </c>
      <c r="E1708" s="37">
        <v>0</v>
      </c>
      <c r="F1708" s="37">
        <v>0</v>
      </c>
      <c r="G1708" s="36" t="s">
        <v>79</v>
      </c>
      <c r="H1708" s="35"/>
      <c r="I1708" s="34"/>
      <c r="J1708" s="34"/>
    </row>
    <row r="1709" spans="2:10" ht="15" customHeight="1" thickTop="1">
      <c r="B1709" s="2017" t="s">
        <v>78</v>
      </c>
      <c r="C1709" s="2017"/>
      <c r="D1709" s="2017"/>
      <c r="E1709" s="2017"/>
      <c r="F1709" s="2017"/>
      <c r="G1709" s="2017"/>
      <c r="H1709" s="2017"/>
      <c r="I1709" s="2017"/>
      <c r="J1709" s="2017"/>
    </row>
    <row r="1710" spans="2:10">
      <c r="B1710" s="2017" t="s">
        <v>77</v>
      </c>
      <c r="C1710" s="2017"/>
      <c r="D1710" s="2017"/>
      <c r="E1710" s="2017"/>
      <c r="F1710" s="2017"/>
      <c r="G1710" s="2017"/>
      <c r="H1710" s="2017"/>
      <c r="I1710" s="2017"/>
      <c r="J1710" s="2017"/>
    </row>
    <row r="1711" spans="2:10">
      <c r="B1711" s="1"/>
      <c r="C1711" s="1"/>
      <c r="D1711" s="1"/>
      <c r="E1711" s="1"/>
      <c r="F1711" s="1"/>
      <c r="G1711" s="1"/>
      <c r="H1711" s="1"/>
      <c r="I1711" s="1"/>
      <c r="J1711" s="1"/>
    </row>
    <row r="1712" spans="2:10">
      <c r="B1712" s="14" t="s">
        <v>76</v>
      </c>
      <c r="C1712" s="14"/>
      <c r="D1712" s="14"/>
      <c r="E1712" s="14"/>
      <c r="F1712" s="14"/>
      <c r="G1712" s="14"/>
      <c r="H1712" s="14"/>
      <c r="I1712" s="14"/>
      <c r="J1712" s="14"/>
    </row>
    <row r="1713" spans="2:10">
      <c r="B1713" s="12" t="s">
        <v>75</v>
      </c>
      <c r="C1713" s="1"/>
      <c r="D1713" s="1"/>
      <c r="E1713" s="1"/>
      <c r="F1713" s="1"/>
      <c r="G1713" s="1"/>
      <c r="H1713" s="1"/>
      <c r="I1713" s="1"/>
      <c r="J1713" s="1"/>
    </row>
    <row r="1714" spans="2:10">
      <c r="B1714" s="1"/>
      <c r="C1714" s="1"/>
      <c r="D1714" s="1"/>
      <c r="E1714" s="1"/>
      <c r="F1714" s="1"/>
      <c r="G1714" s="1"/>
      <c r="H1714" s="1"/>
      <c r="I1714" s="1"/>
      <c r="J1714" s="1"/>
    </row>
    <row r="1715" spans="2:10" ht="25">
      <c r="B1715" s="33" t="s">
        <v>11</v>
      </c>
      <c r="C1715" s="32" t="s">
        <v>74</v>
      </c>
      <c r="D1715" s="32" t="s">
        <v>73</v>
      </c>
      <c r="E1715" s="32" t="s">
        <v>72</v>
      </c>
      <c r="F1715" s="32" t="s">
        <v>71</v>
      </c>
      <c r="H1715" s="1"/>
      <c r="I1715" s="1"/>
      <c r="J1715" s="1"/>
    </row>
    <row r="1716" spans="2:10" ht="21.75" customHeight="1">
      <c r="B1716" s="31" t="s">
        <v>70</v>
      </c>
      <c r="C1716" s="28" t="s">
        <v>69</v>
      </c>
      <c r="D1716" s="28" t="s">
        <v>56</v>
      </c>
      <c r="E1716" s="30" t="s">
        <v>68</v>
      </c>
      <c r="F1716" s="27" t="s">
        <v>42</v>
      </c>
      <c r="G1716" s="1"/>
      <c r="H1716" s="1"/>
      <c r="I1716" s="1"/>
      <c r="J1716" s="1"/>
    </row>
    <row r="1717" spans="2:10" ht="30" customHeight="1">
      <c r="B1717" s="31" t="s">
        <v>67</v>
      </c>
      <c r="C1717" s="28" t="s">
        <v>66</v>
      </c>
      <c r="D1717" s="28" t="s">
        <v>56</v>
      </c>
      <c r="E1717" s="30" t="s">
        <v>65</v>
      </c>
      <c r="F1717" s="27" t="s">
        <v>42</v>
      </c>
      <c r="G1717" s="1"/>
      <c r="H1717" s="1"/>
      <c r="I1717" s="1"/>
      <c r="J1717" s="1"/>
    </row>
    <row r="1718" spans="2:10" ht="30" customHeight="1">
      <c r="B1718" s="31" t="s">
        <v>64</v>
      </c>
      <c r="C1718" s="28" t="s">
        <v>63</v>
      </c>
      <c r="D1718" s="28" t="s">
        <v>56</v>
      </c>
      <c r="E1718" s="30" t="s">
        <v>62</v>
      </c>
      <c r="F1718" s="27" t="s">
        <v>42</v>
      </c>
      <c r="G1718" s="1"/>
      <c r="H1718" s="1"/>
      <c r="I1718" s="1"/>
      <c r="J1718" s="1"/>
    </row>
    <row r="1719" spans="2:10" ht="30" customHeight="1">
      <c r="B1719" s="29" t="s">
        <v>61</v>
      </c>
      <c r="C1719" s="28" t="s">
        <v>60</v>
      </c>
      <c r="D1719" s="28" t="s">
        <v>56</v>
      </c>
      <c r="E1719" s="30" t="s">
        <v>59</v>
      </c>
      <c r="F1719" s="27" t="s">
        <v>42</v>
      </c>
      <c r="G1719" s="1"/>
      <c r="H1719" s="1"/>
      <c r="I1719" s="1"/>
      <c r="J1719" s="1"/>
    </row>
    <row r="1720" spans="2:10" ht="30" customHeight="1">
      <c r="B1720" s="29" t="s">
        <v>58</v>
      </c>
      <c r="C1720" s="28" t="s">
        <v>57</v>
      </c>
      <c r="D1720" s="28" t="s">
        <v>56</v>
      </c>
      <c r="E1720" s="28" t="s">
        <v>55</v>
      </c>
      <c r="F1720" s="27" t="s">
        <v>42</v>
      </c>
      <c r="G1720" s="1"/>
      <c r="H1720" s="1"/>
      <c r="I1720" s="1"/>
      <c r="J1720" s="1"/>
    </row>
    <row r="1721" spans="2:10">
      <c r="B1721" s="9" t="s">
        <v>54</v>
      </c>
      <c r="C1721" s="1"/>
      <c r="D1721" s="1"/>
      <c r="E1721" s="1"/>
      <c r="F1721" s="1"/>
      <c r="G1721" s="1"/>
      <c r="H1721" s="1"/>
      <c r="I1721" s="1"/>
      <c r="J1721" s="1"/>
    </row>
    <row r="1722" spans="2:10">
      <c r="B1722" s="2018" t="s">
        <v>53</v>
      </c>
      <c r="C1722" s="2018"/>
      <c r="D1722" s="2018"/>
      <c r="E1722" s="2018"/>
      <c r="F1722" s="2018"/>
      <c r="G1722" s="2018"/>
      <c r="H1722" s="2018"/>
      <c r="I1722" s="2018"/>
      <c r="J1722" s="2018"/>
    </row>
    <row r="1723" spans="2:10">
      <c r="B1723" s="1"/>
      <c r="C1723" s="1"/>
      <c r="D1723" s="1"/>
      <c r="E1723" s="1"/>
      <c r="F1723" s="1"/>
      <c r="G1723" s="1"/>
      <c r="H1723" s="1"/>
      <c r="I1723" s="1"/>
      <c r="J1723" s="1"/>
    </row>
    <row r="1724" spans="2:10">
      <c r="B1724" s="14" t="s">
        <v>52</v>
      </c>
      <c r="C1724" s="13"/>
      <c r="D1724" s="13"/>
      <c r="E1724" s="13"/>
      <c r="F1724" s="13"/>
      <c r="G1724" s="13"/>
      <c r="H1724" s="13"/>
      <c r="I1724" s="13"/>
      <c r="J1724" s="13"/>
    </row>
    <row r="1725" spans="2:10">
      <c r="B1725" s="12" t="s">
        <v>51</v>
      </c>
      <c r="C1725" s="1"/>
      <c r="D1725" s="1"/>
      <c r="E1725" s="1"/>
      <c r="F1725" s="1"/>
      <c r="G1725" s="1"/>
      <c r="H1725" s="1"/>
      <c r="I1725" s="1"/>
      <c r="J1725" s="1"/>
    </row>
    <row r="1726" spans="2:10">
      <c r="B1726" s="1"/>
      <c r="C1726" s="1"/>
      <c r="D1726" s="1"/>
      <c r="E1726" s="1"/>
      <c r="F1726" s="1"/>
      <c r="G1726" s="1"/>
      <c r="H1726" s="1"/>
      <c r="I1726" s="1"/>
      <c r="J1726" s="1"/>
    </row>
    <row r="1727" spans="2:10" ht="14.5" customHeight="1">
      <c r="B1727" s="2019" t="s">
        <v>38</v>
      </c>
      <c r="C1727" s="2021" t="s">
        <v>24</v>
      </c>
      <c r="D1727" s="2021" t="s">
        <v>50</v>
      </c>
      <c r="E1727" s="2021" t="s">
        <v>49</v>
      </c>
      <c r="F1727" s="2021" t="s">
        <v>48</v>
      </c>
      <c r="G1727" s="2021" t="s">
        <v>47</v>
      </c>
      <c r="I1727" s="2016"/>
      <c r="J1727" s="2016"/>
    </row>
    <row r="1728" spans="2:10" ht="14.5" customHeight="1">
      <c r="B1728" s="2020"/>
      <c r="C1728" s="2022"/>
      <c r="D1728" s="2022"/>
      <c r="E1728" s="2022"/>
      <c r="F1728" s="2022"/>
      <c r="G1728" s="2022"/>
      <c r="I1728" s="2016"/>
      <c r="J1728" s="2016"/>
    </row>
    <row r="1729" spans="2:10">
      <c r="B1729" s="23" t="s">
        <v>35</v>
      </c>
      <c r="C1729" s="16" t="s">
        <v>46</v>
      </c>
      <c r="D1729" s="16" t="s">
        <v>42</v>
      </c>
      <c r="E1729" s="22" t="s">
        <v>42</v>
      </c>
      <c r="F1729" s="22">
        <v>0</v>
      </c>
      <c r="G1729" s="22" t="s">
        <v>44</v>
      </c>
      <c r="H1729" s="16"/>
      <c r="I1729" s="16"/>
      <c r="J1729" s="16"/>
    </row>
    <row r="1730" spans="2:10" ht="40.5" customHeight="1">
      <c r="B1730" s="21" t="s">
        <v>33</v>
      </c>
      <c r="C1730" s="26" t="s">
        <v>45</v>
      </c>
      <c r="D1730" s="16" t="s">
        <v>42</v>
      </c>
      <c r="E1730" s="16" t="s">
        <v>42</v>
      </c>
      <c r="F1730" s="16" t="s">
        <v>40</v>
      </c>
      <c r="G1730" s="16" t="s">
        <v>44</v>
      </c>
      <c r="H1730" s="16"/>
      <c r="I1730" s="16"/>
      <c r="J1730" s="16"/>
    </row>
    <row r="1731" spans="2:10">
      <c r="B1731" s="21" t="s">
        <v>32</v>
      </c>
      <c r="C1731" s="16" t="s">
        <v>19</v>
      </c>
      <c r="D1731" s="16" t="s">
        <v>42</v>
      </c>
      <c r="E1731" s="16" t="s">
        <v>41</v>
      </c>
      <c r="F1731" s="16">
        <v>0</v>
      </c>
      <c r="G1731" s="16" t="s">
        <v>43</v>
      </c>
      <c r="H1731" s="16"/>
      <c r="I1731" s="16"/>
      <c r="J1731" s="16"/>
    </row>
    <row r="1732" spans="2:10" ht="15" thickBot="1">
      <c r="B1732" s="25" t="s">
        <v>30</v>
      </c>
      <c r="C1732" s="17" t="s">
        <v>19</v>
      </c>
      <c r="D1732" s="17" t="s">
        <v>42</v>
      </c>
      <c r="E1732" s="17" t="s">
        <v>41</v>
      </c>
      <c r="F1732" s="17" t="s">
        <v>40</v>
      </c>
      <c r="G1732" s="17" t="s">
        <v>39</v>
      </c>
      <c r="H1732" s="16"/>
      <c r="I1732" s="16"/>
      <c r="J1732" s="16"/>
    </row>
    <row r="1733" spans="2:10" ht="15" thickTop="1">
      <c r="B1733" s="24"/>
      <c r="C1733" s="16"/>
      <c r="D1733" s="16"/>
      <c r="E1733" s="16"/>
      <c r="F1733" s="16"/>
      <c r="G1733" s="16"/>
      <c r="H1733" s="16"/>
      <c r="I1733" s="16"/>
      <c r="J1733" s="16"/>
    </row>
    <row r="1734" spans="2:10">
      <c r="B1734" s="2019" t="s">
        <v>38</v>
      </c>
      <c r="C1734" s="2021" t="s">
        <v>37</v>
      </c>
      <c r="D1734" s="2021" t="s">
        <v>8</v>
      </c>
      <c r="E1734" s="2021" t="s">
        <v>36</v>
      </c>
      <c r="G1734" s="8"/>
      <c r="H1734" s="8"/>
      <c r="I1734" s="8"/>
      <c r="J1734" s="8"/>
    </row>
    <row r="1735" spans="2:10">
      <c r="B1735" s="2020"/>
      <c r="C1735" s="2022"/>
      <c r="D1735" s="2022"/>
      <c r="E1735" s="2022"/>
      <c r="G1735" s="7"/>
      <c r="H1735" s="7"/>
      <c r="I1735" s="7"/>
      <c r="J1735" s="7"/>
    </row>
    <row r="1736" spans="2:10">
      <c r="B1736" s="23" t="s">
        <v>35</v>
      </c>
      <c r="C1736" s="22" t="s">
        <v>29</v>
      </c>
      <c r="D1736" s="22" t="s">
        <v>34</v>
      </c>
      <c r="E1736" s="16">
        <v>2</v>
      </c>
      <c r="F1736" s="16"/>
      <c r="G1736" s="16"/>
      <c r="H1736" s="16"/>
      <c r="I1736" s="16"/>
      <c r="J1736" s="16"/>
    </row>
    <row r="1737" spans="2:10">
      <c r="B1737" s="21" t="s">
        <v>33</v>
      </c>
      <c r="C1737" s="16" t="s">
        <v>31</v>
      </c>
      <c r="D1737" s="16" t="s">
        <v>5</v>
      </c>
      <c r="E1737" s="16">
        <v>2</v>
      </c>
      <c r="F1737" s="16"/>
      <c r="G1737" s="16"/>
      <c r="H1737" s="16"/>
      <c r="I1737" s="16"/>
      <c r="J1737" s="16"/>
    </row>
    <row r="1738" spans="2:10">
      <c r="B1738" s="20" t="s">
        <v>32</v>
      </c>
      <c r="C1738" s="16" t="s">
        <v>31</v>
      </c>
      <c r="D1738" s="16" t="s">
        <v>1</v>
      </c>
      <c r="E1738" s="16">
        <v>1</v>
      </c>
      <c r="F1738" s="19"/>
      <c r="G1738" s="16"/>
      <c r="H1738" s="16"/>
      <c r="I1738" s="16"/>
      <c r="J1738" s="16"/>
    </row>
    <row r="1739" spans="2:10" ht="15" thickBot="1">
      <c r="B1739" s="18" t="s">
        <v>30</v>
      </c>
      <c r="C1739" s="17" t="s">
        <v>29</v>
      </c>
      <c r="D1739" s="17" t="s">
        <v>1</v>
      </c>
      <c r="E1739" s="17">
        <v>1</v>
      </c>
      <c r="F1739" s="16"/>
      <c r="G1739" s="16"/>
      <c r="H1739" s="16"/>
      <c r="I1739" s="16"/>
      <c r="J1739" s="16"/>
    </row>
    <row r="1740" spans="2:10" ht="15" thickTop="1">
      <c r="B1740" s="9" t="s">
        <v>28</v>
      </c>
      <c r="C1740" s="1"/>
      <c r="D1740" s="1"/>
      <c r="E1740" s="1"/>
      <c r="F1740" s="1"/>
      <c r="G1740" s="1"/>
      <c r="H1740" s="1"/>
      <c r="I1740" s="1"/>
      <c r="J1740" s="1"/>
    </row>
    <row r="1741" spans="2:10" ht="40">
      <c r="B1741" s="15" t="s">
        <v>27</v>
      </c>
      <c r="C1741" s="15"/>
      <c r="D1741" s="15"/>
      <c r="E1741" s="15"/>
      <c r="F1741" s="15"/>
      <c r="G1741" s="15"/>
      <c r="H1741" s="15"/>
      <c r="I1741" s="15"/>
      <c r="J1741" s="15"/>
    </row>
    <row r="1742" spans="2:10">
      <c r="B1742" s="1"/>
      <c r="C1742" s="1"/>
      <c r="D1742" s="1"/>
      <c r="E1742" s="1"/>
      <c r="F1742" s="1"/>
      <c r="G1742" s="1"/>
      <c r="H1742" s="1"/>
      <c r="I1742" s="1"/>
      <c r="J1742" s="1"/>
    </row>
    <row r="1743" spans="2:10">
      <c r="B1743" s="14" t="s">
        <v>26</v>
      </c>
      <c r="C1743" s="13"/>
      <c r="D1743" s="13"/>
      <c r="E1743" s="13"/>
      <c r="F1743" s="13"/>
      <c r="G1743" s="13"/>
      <c r="H1743" s="13"/>
      <c r="I1743" s="13"/>
      <c r="J1743" s="13"/>
    </row>
    <row r="1744" spans="2:10">
      <c r="B1744" s="12" t="s">
        <v>25</v>
      </c>
      <c r="C1744" s="1"/>
      <c r="D1744" s="1"/>
      <c r="E1744" s="1"/>
      <c r="F1744" s="1"/>
      <c r="G1744" s="1"/>
      <c r="H1744" s="1"/>
      <c r="I1744" s="1"/>
      <c r="J1744" s="1"/>
    </row>
    <row r="1745" spans="2:10">
      <c r="B1745" s="1"/>
      <c r="C1745" s="1"/>
      <c r="D1745" s="1"/>
      <c r="E1745" s="1"/>
      <c r="F1745" s="1"/>
      <c r="G1745" s="1"/>
      <c r="H1745" s="1"/>
      <c r="I1745" s="1"/>
      <c r="J1745" s="1"/>
    </row>
    <row r="1746" spans="2:10" ht="14.5" customHeight="1">
      <c r="B1746" s="2019" t="s">
        <v>11</v>
      </c>
      <c r="C1746" s="2021" t="s">
        <v>24</v>
      </c>
      <c r="D1746" s="2021" t="s">
        <v>23</v>
      </c>
      <c r="E1746" s="2021" t="s">
        <v>22</v>
      </c>
      <c r="F1746" s="2021" t="s">
        <v>21</v>
      </c>
      <c r="G1746" s="2021" t="s">
        <v>20</v>
      </c>
      <c r="I1746" s="2016"/>
      <c r="J1746" s="2016"/>
    </row>
    <row r="1747" spans="2:10" ht="26.25" customHeight="1">
      <c r="B1747" s="2020"/>
      <c r="C1747" s="2022"/>
      <c r="D1747" s="2022"/>
      <c r="E1747" s="2022"/>
      <c r="F1747" s="2022"/>
      <c r="G1747" s="2022"/>
      <c r="I1747" s="2016"/>
      <c r="J1747" s="2016"/>
    </row>
    <row r="1748" spans="2:10" ht="75">
      <c r="B1748" s="6" t="s">
        <v>7</v>
      </c>
      <c r="C1748" s="5" t="s">
        <v>19</v>
      </c>
      <c r="D1748" s="5" t="s">
        <v>18</v>
      </c>
      <c r="E1748" s="11" t="s">
        <v>17</v>
      </c>
      <c r="F1748" s="10" t="s">
        <v>16</v>
      </c>
      <c r="G1748" s="5" t="s">
        <v>15</v>
      </c>
      <c r="H1748" s="4"/>
      <c r="I1748" s="4"/>
      <c r="J1748" s="4"/>
    </row>
    <row r="1749" spans="2:10" ht="25">
      <c r="B1749" s="6" t="s">
        <v>4</v>
      </c>
      <c r="C1749" s="5" t="s">
        <v>1</v>
      </c>
      <c r="D1749" s="5" t="s">
        <v>14</v>
      </c>
      <c r="E1749" s="11" t="s">
        <v>13</v>
      </c>
      <c r="F1749" s="10" t="s">
        <v>7</v>
      </c>
      <c r="G1749" s="5" t="s">
        <v>12</v>
      </c>
      <c r="H1749" s="4"/>
      <c r="I1749" s="4"/>
      <c r="J1749" s="4"/>
    </row>
    <row r="1750" spans="2:10">
      <c r="B1750" s="9"/>
      <c r="C1750" s="1"/>
      <c r="D1750" s="1"/>
      <c r="E1750" s="1"/>
      <c r="F1750" s="1"/>
      <c r="G1750" s="1"/>
      <c r="H1750" s="1"/>
      <c r="I1750" s="1"/>
      <c r="J1750" s="1"/>
    </row>
    <row r="1751" spans="2:10">
      <c r="B1751" s="2019" t="s">
        <v>11</v>
      </c>
      <c r="C1751" s="2021" t="s">
        <v>10</v>
      </c>
      <c r="D1751" s="2021" t="s">
        <v>9</v>
      </c>
      <c r="E1751" s="2021" t="s">
        <v>8</v>
      </c>
      <c r="F1751" s="2016"/>
      <c r="G1751" s="8"/>
      <c r="H1751" s="8"/>
      <c r="I1751" s="8"/>
      <c r="J1751" s="8"/>
    </row>
    <row r="1752" spans="2:10" ht="24.75" customHeight="1">
      <c r="B1752" s="2020"/>
      <c r="C1752" s="2022"/>
      <c r="D1752" s="2022"/>
      <c r="E1752" s="2022"/>
      <c r="F1752" s="2016"/>
      <c r="G1752" s="7"/>
      <c r="H1752" s="7"/>
      <c r="I1752" s="7"/>
      <c r="J1752" s="7"/>
    </row>
    <row r="1753" spans="2:10">
      <c r="B1753" s="6" t="s">
        <v>7</v>
      </c>
      <c r="C1753" s="5">
        <v>0</v>
      </c>
      <c r="D1753" s="5" t="s">
        <v>2</v>
      </c>
      <c r="E1753" s="5" t="s">
        <v>5</v>
      </c>
      <c r="F1753" s="4"/>
      <c r="G1753" s="3"/>
      <c r="H1753" s="3"/>
      <c r="I1753" s="3"/>
      <c r="J1753" s="3"/>
    </row>
    <row r="1754" spans="2:10">
      <c r="B1754" s="6" t="s">
        <v>4</v>
      </c>
      <c r="C1754" s="5" t="s">
        <v>3</v>
      </c>
      <c r="D1754" s="5" t="s">
        <v>2</v>
      </c>
      <c r="E1754" s="5" t="s">
        <v>1</v>
      </c>
      <c r="F1754" s="4"/>
      <c r="G1754" s="3"/>
      <c r="H1754" s="3"/>
      <c r="I1754" s="3"/>
      <c r="J1754" s="3"/>
    </row>
    <row r="1755" spans="2:10">
      <c r="B1755" s="2" t="s">
        <v>0</v>
      </c>
      <c r="C1755" s="1"/>
      <c r="D1755" s="1"/>
      <c r="E1755" s="1"/>
      <c r="F1755" s="1"/>
      <c r="G1755" s="1"/>
      <c r="H1755" s="1"/>
      <c r="I1755" s="1"/>
      <c r="J1755" s="1"/>
    </row>
    <row r="1756" spans="2:10">
      <c r="B1756" s="1"/>
      <c r="C1756" s="1"/>
      <c r="D1756" s="1"/>
      <c r="E1756" s="1"/>
      <c r="F1756" s="1"/>
      <c r="G1756" s="1"/>
      <c r="H1756" s="1"/>
      <c r="I1756" s="1"/>
      <c r="J1756" s="1"/>
    </row>
  </sheetData>
  <mergeCells count="72">
    <mergeCell ref="B55:J55"/>
    <mergeCell ref="B89:J89"/>
    <mergeCell ref="B91:J91"/>
    <mergeCell ref="B152:J152"/>
    <mergeCell ref="B218:J218"/>
    <mergeCell ref="B285:J285"/>
    <mergeCell ref="B386:J386"/>
    <mergeCell ref="B539:J539"/>
    <mergeCell ref="B889:J890"/>
    <mergeCell ref="B1061:J1062"/>
    <mergeCell ref="B1512:J1512"/>
    <mergeCell ref="B692:J692"/>
    <mergeCell ref="B826:J826"/>
    <mergeCell ref="B827:J827"/>
    <mergeCell ref="B873:J873"/>
    <mergeCell ref="B874:J874"/>
    <mergeCell ref="B1146:J1146"/>
    <mergeCell ref="B1147:J1147"/>
    <mergeCell ref="B1329:J1329"/>
    <mergeCell ref="B1511:J1511"/>
    <mergeCell ref="B1330:H1330"/>
    <mergeCell ref="B976:J976"/>
    <mergeCell ref="B1:J1"/>
    <mergeCell ref="B13:J13"/>
    <mergeCell ref="B15:J15"/>
    <mergeCell ref="B32:J32"/>
    <mergeCell ref="B34:J34"/>
    <mergeCell ref="B1562:J1562"/>
    <mergeCell ref="B1563:J1563"/>
    <mergeCell ref="B1690:B1691"/>
    <mergeCell ref="C1690:C1691"/>
    <mergeCell ref="D1690:D1691"/>
    <mergeCell ref="E1690:E1691"/>
    <mergeCell ref="F1690:F1691"/>
    <mergeCell ref="B1607:H1607"/>
    <mergeCell ref="B1585:H1585"/>
    <mergeCell ref="B1646:H1646"/>
    <mergeCell ref="B1684:H1684"/>
    <mergeCell ref="B1700:B1701"/>
    <mergeCell ref="C1700:C1701"/>
    <mergeCell ref="D1700:D1701"/>
    <mergeCell ref="E1700:E1701"/>
    <mergeCell ref="G1690:G1691"/>
    <mergeCell ref="F1700:G1700"/>
    <mergeCell ref="F1751:F1752"/>
    <mergeCell ref="D1746:D1747"/>
    <mergeCell ref="E1746:E1747"/>
    <mergeCell ref="B1734:B1735"/>
    <mergeCell ref="C1734:C1735"/>
    <mergeCell ref="D1734:D1735"/>
    <mergeCell ref="E1734:E1735"/>
    <mergeCell ref="F1746:F1747"/>
    <mergeCell ref="B1746:B1747"/>
    <mergeCell ref="C1746:C1747"/>
    <mergeCell ref="B1751:B1752"/>
    <mergeCell ref="C1751:C1752"/>
    <mergeCell ref="D1751:D1752"/>
    <mergeCell ref="E1751:E1752"/>
    <mergeCell ref="J1746:J1747"/>
    <mergeCell ref="I1727:I1728"/>
    <mergeCell ref="I1746:I1747"/>
    <mergeCell ref="B1709:J1709"/>
    <mergeCell ref="B1710:J1710"/>
    <mergeCell ref="B1722:J1722"/>
    <mergeCell ref="B1727:B1728"/>
    <mergeCell ref="C1727:C1728"/>
    <mergeCell ref="D1727:D1728"/>
    <mergeCell ref="E1727:E1728"/>
    <mergeCell ref="F1727:F1728"/>
    <mergeCell ref="G1727:G1728"/>
    <mergeCell ref="J1727:J1728"/>
    <mergeCell ref="G1746:G1747"/>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FDBCB-04C8-4794-9A16-E36D52990C3E}">
  <dimension ref="B1:L1258"/>
  <sheetViews>
    <sheetView topLeftCell="A623" zoomScale="90" zoomScaleNormal="90" zoomScaleSheetLayoutView="50" workbookViewId="0">
      <selection activeCell="A633" sqref="A633:XFD633"/>
    </sheetView>
  </sheetViews>
  <sheetFormatPr baseColWidth="10" defaultColWidth="11.54296875" defaultRowHeight="14.5"/>
  <cols>
    <col min="1" max="1" width="5.7265625" customWidth="1"/>
    <col min="2" max="2" width="47.54296875" customWidth="1"/>
    <col min="3" max="10" width="19.81640625" customWidth="1"/>
  </cols>
  <sheetData>
    <row r="1" spans="2:10">
      <c r="B1" s="1"/>
      <c r="C1" s="121"/>
      <c r="D1" s="121"/>
      <c r="E1" s="121"/>
      <c r="F1" s="121"/>
      <c r="G1" s="121"/>
      <c r="H1" s="121"/>
      <c r="I1" s="121"/>
      <c r="J1" s="121"/>
    </row>
    <row r="2" spans="2:10">
      <c r="B2" s="2024" t="s">
        <v>464</v>
      </c>
      <c r="C2" s="2024"/>
      <c r="D2" s="2024"/>
      <c r="E2" s="2024"/>
      <c r="F2" s="2024"/>
      <c r="G2" s="2024"/>
      <c r="H2" s="2024"/>
      <c r="I2" s="2024"/>
      <c r="J2" s="2024"/>
    </row>
    <row r="3" spans="2:10">
      <c r="B3" s="12" t="s">
        <v>463</v>
      </c>
      <c r="C3" s="1"/>
      <c r="D3" s="1"/>
      <c r="E3" s="1"/>
      <c r="F3" s="1"/>
      <c r="G3" s="1"/>
      <c r="H3" s="1"/>
      <c r="I3" s="1"/>
      <c r="J3" s="1"/>
    </row>
    <row r="4" spans="2:10">
      <c r="B4" s="76"/>
      <c r="C4" s="121"/>
      <c r="D4" s="121"/>
      <c r="E4" s="121"/>
      <c r="F4" s="121"/>
      <c r="G4" s="121"/>
      <c r="H4" s="121"/>
      <c r="I4" s="121"/>
      <c r="J4" s="121"/>
    </row>
    <row r="5" spans="2:10">
      <c r="B5" s="61"/>
      <c r="C5" s="60">
        <v>2014</v>
      </c>
      <c r="D5" s="60">
        <v>2015</v>
      </c>
      <c r="E5" s="60">
        <v>2016</v>
      </c>
      <c r="F5" s="60">
        <v>2017</v>
      </c>
      <c r="G5" s="60">
        <v>2018</v>
      </c>
      <c r="H5" s="60">
        <v>2019</v>
      </c>
      <c r="I5" s="60">
        <v>2020</v>
      </c>
      <c r="J5" s="60">
        <v>2021</v>
      </c>
    </row>
    <row r="6" spans="2:10">
      <c r="B6" s="64" t="s">
        <v>465</v>
      </c>
      <c r="C6" s="1371">
        <v>365.92</v>
      </c>
      <c r="D6" s="1371">
        <v>369.67</v>
      </c>
      <c r="E6" s="1371">
        <v>373.48</v>
      </c>
      <c r="F6" s="1371">
        <v>377.36</v>
      </c>
      <c r="G6" s="1371">
        <v>381.32</v>
      </c>
      <c r="H6" s="1371">
        <v>385.34</v>
      </c>
      <c r="I6" s="1371">
        <v>389.41</v>
      </c>
      <c r="J6" s="1371">
        <v>393.5</v>
      </c>
    </row>
    <row r="7" spans="2:10">
      <c r="B7" s="64" t="s">
        <v>461</v>
      </c>
      <c r="C7" s="1372">
        <v>11111.6</v>
      </c>
      <c r="D7" s="1373">
        <v>11861.9</v>
      </c>
      <c r="E7" s="1373">
        <v>11834.6</v>
      </c>
      <c r="F7" s="1373">
        <v>12357.6</v>
      </c>
      <c r="G7" s="1373">
        <v>12755.8</v>
      </c>
      <c r="H7" s="1373">
        <v>13192.8</v>
      </c>
      <c r="I7" s="1373">
        <v>9699.5</v>
      </c>
      <c r="J7" s="1373">
        <v>11208.6</v>
      </c>
    </row>
    <row r="8" spans="2:10">
      <c r="B8" s="64" t="s">
        <v>460</v>
      </c>
      <c r="C8" s="1372">
        <v>29980.06</v>
      </c>
      <c r="D8" s="1374">
        <v>32088</v>
      </c>
      <c r="E8" s="1374">
        <v>31687</v>
      </c>
      <c r="F8" s="1374">
        <v>32748</v>
      </c>
      <c r="G8" s="1374">
        <v>33452</v>
      </c>
      <c r="H8" s="1374">
        <v>34237</v>
      </c>
      <c r="I8" s="1374">
        <v>24908</v>
      </c>
      <c r="J8" s="1374">
        <v>28488</v>
      </c>
    </row>
    <row r="9" spans="2:10">
      <c r="B9" s="64" t="s">
        <v>466</v>
      </c>
      <c r="C9" s="1375">
        <v>100.13</v>
      </c>
      <c r="D9" s="1373">
        <v>102.01</v>
      </c>
      <c r="E9" s="1373">
        <v>101.66</v>
      </c>
      <c r="F9" s="1373">
        <v>103.2</v>
      </c>
      <c r="G9" s="1373">
        <v>105.54</v>
      </c>
      <c r="H9" s="1373">
        <v>108.17</v>
      </c>
      <c r="I9" s="1373">
        <v>108.21</v>
      </c>
      <c r="J9" s="1373">
        <v>111.35</v>
      </c>
    </row>
    <row r="10" spans="2:10">
      <c r="B10" s="64" t="s">
        <v>467</v>
      </c>
      <c r="C10" s="1376"/>
      <c r="D10" s="1376"/>
      <c r="E10" s="1376"/>
      <c r="F10" s="1376"/>
      <c r="G10" s="65"/>
      <c r="H10" s="203"/>
    </row>
    <row r="11" spans="2:10">
      <c r="B11" s="190" t="s">
        <v>468</v>
      </c>
      <c r="C11" s="1377">
        <v>1</v>
      </c>
      <c r="D11" s="1377">
        <v>1</v>
      </c>
      <c r="E11" s="1377">
        <v>1</v>
      </c>
      <c r="F11" s="1377">
        <v>1</v>
      </c>
      <c r="G11" s="1377">
        <v>1</v>
      </c>
      <c r="H11" s="1377">
        <v>1</v>
      </c>
      <c r="I11" s="1377">
        <v>1</v>
      </c>
      <c r="J11" s="1377">
        <v>1</v>
      </c>
    </row>
    <row r="12" spans="2:10" ht="15" thickBot="1">
      <c r="B12" s="196" t="s">
        <v>456</v>
      </c>
      <c r="C12" s="1378">
        <v>1</v>
      </c>
      <c r="D12" s="1378">
        <v>1</v>
      </c>
      <c r="E12" s="1378">
        <v>1</v>
      </c>
      <c r="F12" s="1378">
        <v>1</v>
      </c>
      <c r="G12" s="1378">
        <v>1</v>
      </c>
      <c r="H12" s="1378">
        <v>1</v>
      </c>
      <c r="I12" s="1378">
        <v>1</v>
      </c>
      <c r="J12" s="1378">
        <v>1</v>
      </c>
    </row>
    <row r="13" spans="2:10" ht="15" thickTop="1">
      <c r="B13" s="2025" t="s">
        <v>1870</v>
      </c>
      <c r="C13" s="2025"/>
      <c r="D13" s="2025"/>
      <c r="E13" s="2025"/>
      <c r="F13" s="2025"/>
      <c r="G13" s="2025"/>
      <c r="H13" s="2025"/>
      <c r="I13" s="2025"/>
      <c r="J13" s="2025"/>
    </row>
    <row r="14" spans="2:10">
      <c r="B14" s="64"/>
      <c r="C14" s="121"/>
      <c r="D14" s="121"/>
      <c r="E14" s="121"/>
      <c r="F14" s="121"/>
      <c r="G14" s="121"/>
      <c r="H14" s="121"/>
      <c r="I14" s="121"/>
      <c r="J14" s="121"/>
    </row>
    <row r="15" spans="2:10">
      <c r="B15" s="2024" t="s">
        <v>454</v>
      </c>
      <c r="C15" s="2024"/>
      <c r="D15" s="2024"/>
      <c r="E15" s="2024"/>
      <c r="F15" s="2024"/>
      <c r="G15" s="2024"/>
      <c r="H15" s="2024"/>
      <c r="I15" s="2024"/>
      <c r="J15" s="2024"/>
    </row>
    <row r="16" spans="2:10">
      <c r="B16" s="12" t="s">
        <v>453</v>
      </c>
      <c r="C16" s="121"/>
      <c r="D16" s="121"/>
      <c r="E16" s="121"/>
      <c r="F16" s="121"/>
      <c r="G16" s="121"/>
      <c r="H16" s="121"/>
      <c r="I16" s="121"/>
      <c r="J16" s="121"/>
    </row>
    <row r="17" spans="2:10">
      <c r="B17" s="62" t="s">
        <v>242</v>
      </c>
      <c r="C17" s="121"/>
      <c r="D17" s="121"/>
      <c r="E17" s="121"/>
      <c r="F17" s="121"/>
      <c r="G17" s="121"/>
      <c r="H17" s="121"/>
      <c r="I17" s="121"/>
      <c r="J17" s="121"/>
    </row>
    <row r="18" spans="2:10">
      <c r="B18" s="64"/>
      <c r="C18" s="121"/>
      <c r="D18" s="121"/>
      <c r="E18" s="121"/>
      <c r="F18" s="121"/>
      <c r="G18" s="121"/>
      <c r="H18" s="121"/>
      <c r="I18" s="121"/>
      <c r="J18" s="121"/>
    </row>
    <row r="19" spans="2:10">
      <c r="B19" s="61"/>
      <c r="C19" s="60">
        <v>2014</v>
      </c>
      <c r="D19" s="60">
        <v>2015</v>
      </c>
      <c r="E19" s="60">
        <v>2016</v>
      </c>
      <c r="F19" s="60">
        <v>2017</v>
      </c>
      <c r="G19" s="60">
        <v>2018</v>
      </c>
      <c r="H19" s="60">
        <v>2019</v>
      </c>
      <c r="I19" s="60">
        <v>2020</v>
      </c>
      <c r="J19" s="60">
        <v>2021</v>
      </c>
    </row>
    <row r="20" spans="2:10">
      <c r="B20" s="188" t="s">
        <v>413</v>
      </c>
      <c r="C20" s="98"/>
      <c r="D20" s="98"/>
      <c r="E20" s="98"/>
      <c r="F20" s="98"/>
      <c r="G20" s="98"/>
      <c r="H20" s="98"/>
      <c r="I20" s="98"/>
      <c r="J20" s="98"/>
    </row>
    <row r="21" spans="2:10">
      <c r="B21" s="197" t="s">
        <v>452</v>
      </c>
      <c r="C21" s="55"/>
      <c r="D21" s="55"/>
      <c r="E21" s="55"/>
      <c r="F21" s="55"/>
      <c r="G21" s="55"/>
      <c r="H21" s="55"/>
      <c r="I21" s="55"/>
      <c r="J21" s="55"/>
    </row>
    <row r="22" spans="2:10">
      <c r="B22" s="194" t="s">
        <v>379</v>
      </c>
      <c r="C22" s="98"/>
      <c r="D22" s="98"/>
      <c r="E22" s="98"/>
      <c r="F22" s="98"/>
      <c r="G22" s="98"/>
      <c r="H22" s="98"/>
      <c r="I22" s="98"/>
      <c r="J22" s="98"/>
    </row>
    <row r="23" spans="2:10">
      <c r="B23" s="198" t="s">
        <v>451</v>
      </c>
      <c r="C23" s="55"/>
      <c r="D23" s="55"/>
      <c r="E23" s="55"/>
      <c r="F23" s="55"/>
      <c r="G23" s="55"/>
      <c r="H23" s="55"/>
      <c r="I23" s="55"/>
      <c r="J23" s="55"/>
    </row>
    <row r="24" spans="2:10">
      <c r="B24" s="198" t="s">
        <v>450</v>
      </c>
      <c r="C24" s="55"/>
      <c r="D24" s="55"/>
      <c r="E24" s="55"/>
      <c r="F24" s="55"/>
      <c r="G24" s="55"/>
      <c r="H24" s="55"/>
      <c r="I24" s="55"/>
      <c r="J24" s="55"/>
    </row>
    <row r="25" spans="2:10">
      <c r="B25" s="197" t="s">
        <v>449</v>
      </c>
      <c r="C25" s="98"/>
      <c r="D25" s="98"/>
      <c r="E25" s="98"/>
      <c r="F25" s="98"/>
      <c r="G25" s="98"/>
      <c r="H25" s="98"/>
      <c r="I25" s="98"/>
      <c r="J25" s="98"/>
    </row>
    <row r="26" spans="2:10">
      <c r="B26" s="197" t="s">
        <v>448</v>
      </c>
      <c r="C26" s="98"/>
      <c r="D26" s="98"/>
      <c r="E26" s="98"/>
      <c r="F26" s="98"/>
      <c r="G26" s="98"/>
      <c r="H26" s="98"/>
      <c r="I26" s="98"/>
      <c r="J26" s="98"/>
    </row>
    <row r="27" spans="2:10">
      <c r="B27" s="195" t="s">
        <v>447</v>
      </c>
      <c r="C27" s="55"/>
      <c r="D27" s="55"/>
      <c r="E27" s="55"/>
      <c r="F27" s="55"/>
      <c r="G27" s="55"/>
      <c r="H27" s="55"/>
      <c r="I27" s="55"/>
      <c r="J27" s="55"/>
    </row>
    <row r="28" spans="2:10">
      <c r="B28" s="195" t="s">
        <v>445</v>
      </c>
      <c r="C28" s="55"/>
      <c r="D28" s="55"/>
      <c r="E28" s="55"/>
      <c r="F28" s="55"/>
      <c r="G28" s="55"/>
      <c r="H28" s="55"/>
      <c r="I28" s="55"/>
      <c r="J28" s="55"/>
    </row>
    <row r="29" spans="2:10">
      <c r="B29" s="195" t="s">
        <v>444</v>
      </c>
      <c r="C29" s="55"/>
      <c r="D29" s="55"/>
      <c r="E29" s="55"/>
      <c r="F29" s="55"/>
      <c r="G29" s="55"/>
      <c r="H29" s="55"/>
      <c r="I29" s="55"/>
      <c r="J29" s="55"/>
    </row>
    <row r="30" spans="2:10" ht="15" thickBot="1">
      <c r="B30" s="196" t="s">
        <v>443</v>
      </c>
      <c r="C30" s="55"/>
      <c r="D30" s="55"/>
      <c r="E30" s="55"/>
      <c r="F30" s="55"/>
      <c r="G30" s="55"/>
      <c r="H30" s="55"/>
      <c r="I30" s="55"/>
      <c r="J30" s="55"/>
    </row>
    <row r="31" spans="2:10" ht="15" thickTop="1">
      <c r="B31" s="2025"/>
      <c r="C31" s="2025"/>
      <c r="D31" s="2025"/>
      <c r="E31" s="2025"/>
      <c r="F31" s="2025"/>
      <c r="G31" s="2025"/>
      <c r="H31" s="2025"/>
      <c r="I31" s="2025"/>
      <c r="J31" s="2025"/>
    </row>
    <row r="32" spans="2:10">
      <c r="B32" s="2017"/>
      <c r="C32" s="2017"/>
      <c r="D32" s="2017"/>
      <c r="E32" s="2017"/>
      <c r="F32" s="2017"/>
      <c r="G32" s="2017"/>
      <c r="H32" s="2017"/>
      <c r="I32" s="2017"/>
      <c r="J32" s="2017"/>
    </row>
    <row r="33" spans="2:10">
      <c r="B33" s="64"/>
      <c r="C33" s="121"/>
      <c r="D33" s="121"/>
      <c r="E33" s="121"/>
      <c r="F33" s="121"/>
      <c r="G33" s="121"/>
      <c r="H33" s="121"/>
      <c r="I33" s="121"/>
      <c r="J33" s="121"/>
    </row>
    <row r="34" spans="2:10">
      <c r="B34" s="2024" t="s">
        <v>442</v>
      </c>
      <c r="C34" s="2024"/>
      <c r="D34" s="2024"/>
      <c r="E34" s="2024"/>
      <c r="F34" s="2024"/>
      <c r="G34" s="2024"/>
      <c r="H34" s="2024"/>
      <c r="I34" s="2024"/>
      <c r="J34" s="2024"/>
    </row>
    <row r="35" spans="2:10">
      <c r="B35" s="12" t="s">
        <v>441</v>
      </c>
      <c r="C35" s="121"/>
      <c r="D35" s="121"/>
      <c r="E35" s="121"/>
      <c r="F35" s="121"/>
      <c r="G35" s="121"/>
      <c r="H35" s="121"/>
      <c r="I35" s="121"/>
      <c r="J35" s="121"/>
    </row>
    <row r="36" spans="2:10">
      <c r="B36" s="77" t="s">
        <v>242</v>
      </c>
      <c r="C36" s="121"/>
      <c r="D36" s="121"/>
      <c r="E36" s="121"/>
      <c r="F36" s="121"/>
      <c r="G36" s="121"/>
      <c r="H36" s="121"/>
      <c r="I36" s="121"/>
      <c r="J36" s="121"/>
    </row>
    <row r="37" spans="2:10">
      <c r="B37" s="64"/>
      <c r="C37" s="121"/>
      <c r="D37" s="121"/>
      <c r="E37" s="121"/>
      <c r="F37" s="121"/>
      <c r="G37" s="121"/>
      <c r="H37" s="121"/>
      <c r="I37" s="121"/>
      <c r="J37" s="121"/>
    </row>
    <row r="38" spans="2:10">
      <c r="B38" s="61"/>
      <c r="C38" s="60">
        <v>2014</v>
      </c>
      <c r="D38" s="60">
        <v>2015</v>
      </c>
      <c r="E38" s="60">
        <v>2016</v>
      </c>
      <c r="F38" s="60">
        <v>2017</v>
      </c>
      <c r="G38" s="60">
        <v>2018</v>
      </c>
      <c r="H38" s="60">
        <v>2019</v>
      </c>
      <c r="I38" s="60">
        <v>2020</v>
      </c>
      <c r="J38" s="60">
        <v>2021</v>
      </c>
    </row>
    <row r="39" spans="2:10">
      <c r="B39" s="188" t="s">
        <v>440</v>
      </c>
      <c r="C39" s="102">
        <f>C40+C43</f>
        <v>799.23900000000003</v>
      </c>
      <c r="D39" s="102">
        <f t="shared" ref="D39:I39" si="0">D40+D43</f>
        <v>721.76900000000001</v>
      </c>
      <c r="E39" s="102">
        <f t="shared" si="0"/>
        <v>1075.5630000000001</v>
      </c>
      <c r="F39" s="102">
        <f t="shared" si="0"/>
        <v>1156.0819999999999</v>
      </c>
      <c r="G39" s="102">
        <f t="shared" si="0"/>
        <v>933.54499999999996</v>
      </c>
      <c r="H39" s="102">
        <f t="shared" si="0"/>
        <v>1311.0719999999999</v>
      </c>
      <c r="I39" s="102">
        <f t="shared" si="0"/>
        <v>1725.4579999999999</v>
      </c>
      <c r="J39" s="102">
        <f>J40+J43</f>
        <v>1760.6709999999998</v>
      </c>
    </row>
    <row r="40" spans="2:10">
      <c r="B40" s="195" t="s">
        <v>470</v>
      </c>
      <c r="C40" s="1379">
        <f>C41+C42</f>
        <v>311.23</v>
      </c>
      <c r="D40" s="1379">
        <f t="shared" ref="D40:J40" si="1">D41+D42</f>
        <v>316.90699999999998</v>
      </c>
      <c r="E40" s="1379">
        <f t="shared" si="1"/>
        <v>325.09100000000001</v>
      </c>
      <c r="F40" s="1379">
        <f t="shared" si="1"/>
        <v>336.86</v>
      </c>
      <c r="G40" s="1379">
        <f t="shared" si="1"/>
        <v>331.08699999999999</v>
      </c>
      <c r="H40" s="1379">
        <f t="shared" si="1"/>
        <v>349.58</v>
      </c>
      <c r="I40" s="1379">
        <f t="shared" si="1"/>
        <v>371.262</v>
      </c>
      <c r="J40" s="1379">
        <f t="shared" si="1"/>
        <v>372.77499999999998</v>
      </c>
    </row>
    <row r="41" spans="2:10">
      <c r="B41" s="150" t="s">
        <v>352</v>
      </c>
      <c r="C41" s="1379">
        <v>311.23</v>
      </c>
      <c r="D41" s="1380">
        <v>316.90699999999998</v>
      </c>
      <c r="E41" s="1380">
        <v>325.09100000000001</v>
      </c>
      <c r="F41" s="1381">
        <v>336.86</v>
      </c>
      <c r="G41" s="1381">
        <v>331.08699999999999</v>
      </c>
      <c r="H41" s="1381">
        <v>349.58</v>
      </c>
      <c r="I41" s="1381">
        <v>371.262</v>
      </c>
      <c r="J41" s="1381">
        <v>372.77499999999998</v>
      </c>
    </row>
    <row r="42" spans="2:10">
      <c r="B42" s="150" t="s">
        <v>351</v>
      </c>
      <c r="C42" s="1382"/>
      <c r="D42" s="65"/>
      <c r="E42" s="65"/>
      <c r="F42" s="65"/>
      <c r="G42" s="65"/>
      <c r="H42" s="55"/>
    </row>
    <row r="43" spans="2:10">
      <c r="B43" s="195" t="s">
        <v>471</v>
      </c>
      <c r="C43" s="1379">
        <f t="shared" ref="C43:F43" si="2">C44+C45</f>
        <v>488.00900000000001</v>
      </c>
      <c r="D43" s="1379">
        <f>D44+D45</f>
        <v>404.86200000000002</v>
      </c>
      <c r="E43" s="1379">
        <f t="shared" si="2"/>
        <v>750.47199999999998</v>
      </c>
      <c r="F43" s="1379">
        <f t="shared" si="2"/>
        <v>819.22199999999998</v>
      </c>
      <c r="G43" s="1379">
        <f>G44+G45</f>
        <v>602.45799999999997</v>
      </c>
      <c r="H43" s="1379">
        <f>H44+H45</f>
        <v>961.49199999999996</v>
      </c>
      <c r="I43" s="1379">
        <f t="shared" ref="I43:J43" si="3">I44+I45</f>
        <v>1354.1959999999999</v>
      </c>
      <c r="J43" s="1379">
        <f t="shared" si="3"/>
        <v>1387.896</v>
      </c>
    </row>
    <row r="44" spans="2:10">
      <c r="B44" s="150" t="s">
        <v>352</v>
      </c>
      <c r="C44" s="1379">
        <v>488.00900000000001</v>
      </c>
      <c r="D44" s="1379">
        <v>404.86200000000002</v>
      </c>
      <c r="E44" s="1379">
        <v>750.47199999999998</v>
      </c>
      <c r="F44" s="1379">
        <v>819.22199999999998</v>
      </c>
      <c r="G44" s="1379">
        <v>602.45799999999997</v>
      </c>
      <c r="H44" s="1379">
        <v>961.49199999999996</v>
      </c>
      <c r="I44" s="1379">
        <v>1354.1959999999999</v>
      </c>
      <c r="J44" s="1379">
        <v>1387.896</v>
      </c>
    </row>
    <row r="45" spans="2:10">
      <c r="B45" s="150" t="s">
        <v>351</v>
      </c>
      <c r="C45" s="55"/>
      <c r="D45" s="55"/>
      <c r="E45" s="55"/>
      <c r="F45" s="55"/>
      <c r="G45" s="55"/>
      <c r="H45" s="55"/>
      <c r="I45" s="55"/>
      <c r="J45" s="55"/>
    </row>
    <row r="46" spans="2:10">
      <c r="B46" s="150"/>
      <c r="C46" s="55"/>
      <c r="D46" s="55"/>
      <c r="E46" s="55"/>
      <c r="F46" s="55"/>
      <c r="G46" s="55"/>
      <c r="H46" s="55"/>
      <c r="I46" s="55"/>
      <c r="J46" s="55"/>
    </row>
    <row r="47" spans="2:10">
      <c r="B47" s="188" t="s">
        <v>437</v>
      </c>
      <c r="C47" s="200"/>
      <c r="D47" s="55"/>
      <c r="E47" s="55"/>
      <c r="F47" s="55"/>
      <c r="G47" s="55"/>
      <c r="H47" s="55"/>
      <c r="I47" s="55"/>
      <c r="J47" s="55"/>
    </row>
    <row r="48" spans="2:10" ht="15" thickBot="1">
      <c r="B48" s="193" t="s">
        <v>436</v>
      </c>
      <c r="C48" s="192"/>
      <c r="D48" s="192"/>
      <c r="E48" s="192"/>
      <c r="F48" s="192"/>
      <c r="G48" s="192"/>
      <c r="H48" s="192"/>
      <c r="I48" s="192"/>
      <c r="J48" s="192"/>
    </row>
    <row r="49" spans="2:10" ht="15" thickTop="1">
      <c r="B49" s="2025" t="s">
        <v>1870</v>
      </c>
      <c r="C49" s="2025"/>
      <c r="D49" s="2025"/>
      <c r="E49" s="2025"/>
      <c r="F49" s="2025"/>
      <c r="G49" s="2025"/>
      <c r="H49" s="2025"/>
      <c r="I49" s="2025"/>
      <c r="J49" s="2025"/>
    </row>
    <row r="50" spans="2:10">
      <c r="B50" s="64"/>
      <c r="C50" s="121"/>
      <c r="D50" s="121"/>
      <c r="E50" s="121"/>
      <c r="F50" s="121"/>
      <c r="G50" s="121"/>
      <c r="H50" s="121"/>
      <c r="I50" s="121"/>
      <c r="J50" s="121"/>
    </row>
    <row r="51" spans="2:10">
      <c r="B51" s="2024" t="s">
        <v>434</v>
      </c>
      <c r="C51" s="2024"/>
      <c r="D51" s="2024"/>
      <c r="E51" s="2024"/>
      <c r="F51" s="2024"/>
      <c r="G51" s="2024"/>
      <c r="H51" s="2024"/>
      <c r="I51" s="2024"/>
      <c r="J51" s="2024"/>
    </row>
    <row r="52" spans="2:10">
      <c r="B52" s="12" t="s">
        <v>433</v>
      </c>
      <c r="C52" s="121"/>
      <c r="D52" s="121"/>
      <c r="E52" s="121"/>
      <c r="F52" s="121"/>
      <c r="G52" s="121"/>
      <c r="H52" s="121"/>
      <c r="I52" s="121"/>
      <c r="J52" s="121"/>
    </row>
    <row r="53" spans="2:10">
      <c r="B53" s="62" t="s">
        <v>242</v>
      </c>
      <c r="C53" s="121"/>
      <c r="D53" s="121"/>
      <c r="E53" s="121"/>
      <c r="F53" s="121"/>
      <c r="G53" s="121"/>
      <c r="H53" s="121"/>
      <c r="I53" s="121"/>
      <c r="J53" s="121"/>
    </row>
    <row r="54" spans="2:10">
      <c r="B54" s="64"/>
      <c r="C54" s="121"/>
      <c r="D54" s="121"/>
      <c r="E54" s="121"/>
      <c r="F54" s="121"/>
      <c r="G54" s="121"/>
      <c r="H54" s="121"/>
      <c r="I54" s="121"/>
      <c r="J54" s="121"/>
    </row>
    <row r="55" spans="2:10">
      <c r="B55" s="61"/>
      <c r="C55" s="60">
        <v>2014</v>
      </c>
      <c r="D55" s="60">
        <v>2015</v>
      </c>
      <c r="E55" s="60">
        <v>2016</v>
      </c>
      <c r="F55" s="60">
        <v>2017</v>
      </c>
      <c r="G55" s="60">
        <v>2018</v>
      </c>
      <c r="H55" s="60">
        <v>2019</v>
      </c>
      <c r="I55" s="60">
        <v>2020</v>
      </c>
      <c r="J55" s="60">
        <v>2021</v>
      </c>
    </row>
    <row r="56" spans="2:10">
      <c r="B56" s="64" t="s">
        <v>432</v>
      </c>
      <c r="C56" s="55"/>
      <c r="D56" s="55"/>
      <c r="E56" s="55"/>
      <c r="F56" s="55"/>
      <c r="G56" s="55"/>
      <c r="H56" s="55"/>
      <c r="I56" s="55"/>
      <c r="J56" s="55"/>
    </row>
    <row r="57" spans="2:10">
      <c r="B57" s="62"/>
      <c r="C57" s="55"/>
      <c r="D57" s="55"/>
      <c r="E57" s="55"/>
      <c r="F57" s="55"/>
      <c r="G57" s="55"/>
      <c r="H57" s="55"/>
      <c r="I57" s="55"/>
      <c r="J57" s="55"/>
    </row>
    <row r="58" spans="2:10">
      <c r="B58" s="204" t="s">
        <v>431</v>
      </c>
      <c r="C58" s="55"/>
      <c r="D58" s="55"/>
      <c r="E58" s="55"/>
      <c r="F58" s="55"/>
      <c r="G58" s="55"/>
      <c r="H58" s="55"/>
      <c r="I58" s="55"/>
      <c r="J58" s="55"/>
    </row>
    <row r="59" spans="2:10">
      <c r="B59" s="205" t="s">
        <v>472</v>
      </c>
      <c r="C59" s="55"/>
      <c r="D59" s="55"/>
      <c r="E59" s="55"/>
      <c r="F59" s="55"/>
      <c r="G59" s="55"/>
      <c r="H59" s="55"/>
      <c r="I59" s="55"/>
      <c r="J59" s="55"/>
    </row>
    <row r="60" spans="2:10">
      <c r="B60" s="1383" t="s">
        <v>1871</v>
      </c>
      <c r="C60" s="1384">
        <v>142.78299999999999</v>
      </c>
      <c r="D60" s="1285">
        <v>147.495</v>
      </c>
      <c r="E60" s="1285">
        <v>167.89500000000001</v>
      </c>
      <c r="F60" s="1285">
        <v>168.47</v>
      </c>
      <c r="G60" s="1285">
        <v>176.572</v>
      </c>
      <c r="H60" s="66">
        <v>184.756</v>
      </c>
      <c r="I60" s="1373">
        <v>232.80699999999999</v>
      </c>
      <c r="J60" s="1373">
        <v>293.024</v>
      </c>
    </row>
    <row r="61" spans="2:10">
      <c r="B61" s="1383" t="s">
        <v>1872</v>
      </c>
      <c r="C61" s="1384">
        <v>102.994</v>
      </c>
      <c r="D61" s="1285">
        <v>108.69</v>
      </c>
      <c r="E61" s="1285">
        <v>116.723</v>
      </c>
      <c r="F61" s="1285">
        <v>123.7222</v>
      </c>
      <c r="G61" s="1285">
        <v>141.7022</v>
      </c>
      <c r="H61" s="66">
        <v>159.24</v>
      </c>
      <c r="I61" s="1373">
        <v>163.66200000000001</v>
      </c>
      <c r="J61" s="1373">
        <v>120.39400000000001</v>
      </c>
    </row>
    <row r="62" spans="2:10">
      <c r="B62" s="1383" t="s">
        <v>1873</v>
      </c>
      <c r="C62" s="1384">
        <v>57.06</v>
      </c>
      <c r="D62" s="1285">
        <v>57.298999999999999</v>
      </c>
      <c r="E62" s="1285">
        <v>59.9</v>
      </c>
      <c r="F62" s="1285">
        <v>61.348799999999997</v>
      </c>
      <c r="G62" s="1285">
        <v>54.216000000000001</v>
      </c>
      <c r="H62" s="66">
        <v>54.402000000000001</v>
      </c>
      <c r="I62" s="1373">
        <v>57.279000000000003</v>
      </c>
      <c r="J62" s="1373">
        <v>56.616</v>
      </c>
    </row>
    <row r="63" spans="2:10">
      <c r="B63" s="1383" t="s">
        <v>1874</v>
      </c>
      <c r="C63" s="1384">
        <v>15.794</v>
      </c>
      <c r="D63" s="1285">
        <v>15.997</v>
      </c>
      <c r="E63" s="1285">
        <v>17.753</v>
      </c>
      <c r="F63" s="1285">
        <v>18.510169999999999</v>
      </c>
      <c r="G63" s="1285">
        <v>18.872</v>
      </c>
      <c r="H63" s="66">
        <v>19.359000000000002</v>
      </c>
      <c r="I63" s="1373">
        <v>20.437000000000001</v>
      </c>
      <c r="J63" s="1373">
        <v>20.856000000000002</v>
      </c>
    </row>
    <row r="64" spans="2:10">
      <c r="B64" s="1383" t="s">
        <v>1875</v>
      </c>
      <c r="C64" s="1384">
        <v>10.731</v>
      </c>
      <c r="D64" s="1285">
        <v>11.036</v>
      </c>
      <c r="E64" s="1285">
        <v>11.503</v>
      </c>
      <c r="F64" s="1285">
        <v>11.917775000000001</v>
      </c>
      <c r="G64" s="1285">
        <v>11.978</v>
      </c>
      <c r="H64" s="66">
        <v>12.164</v>
      </c>
      <c r="I64" s="1373">
        <v>12.98</v>
      </c>
      <c r="J64" s="1373">
        <v>13.1</v>
      </c>
    </row>
    <row r="65" spans="2:10">
      <c r="B65" s="1383" t="s">
        <v>1876</v>
      </c>
      <c r="C65" s="1384">
        <v>1.921</v>
      </c>
      <c r="D65" s="1285">
        <v>1.9430000000000001</v>
      </c>
      <c r="E65" s="1285">
        <v>1.972</v>
      </c>
      <c r="F65" s="1285">
        <v>2.0168010000000001</v>
      </c>
      <c r="G65" s="1285">
        <v>2.0259999999999998</v>
      </c>
      <c r="H65" s="66">
        <v>2.1190000000000002</v>
      </c>
      <c r="I65" s="1373">
        <v>2.14</v>
      </c>
      <c r="J65" s="1373">
        <v>2.1789999999999998</v>
      </c>
    </row>
    <row r="66" spans="2:10">
      <c r="B66" s="1383" t="s">
        <v>1877</v>
      </c>
      <c r="C66" s="1384">
        <v>22.114000000000001</v>
      </c>
      <c r="D66" s="65">
        <v>22.702000000000002</v>
      </c>
      <c r="E66" s="1285">
        <v>23.509</v>
      </c>
      <c r="F66" s="1285">
        <v>24.285</v>
      </c>
      <c r="G66" s="1285">
        <v>24.667000000000002</v>
      </c>
      <c r="H66" s="66">
        <v>25.231999999999999</v>
      </c>
      <c r="I66" s="1373">
        <v>25.954000000000001</v>
      </c>
      <c r="J66" s="1373">
        <v>26.375</v>
      </c>
    </row>
    <row r="67" spans="2:10">
      <c r="B67" s="1383" t="s">
        <v>1878</v>
      </c>
      <c r="C67" s="1384">
        <v>0.66900000000000004</v>
      </c>
      <c r="D67" s="1285">
        <v>0.67600000000000005</v>
      </c>
      <c r="E67" s="1285">
        <v>0.73699999999999999</v>
      </c>
      <c r="F67" s="1285">
        <v>0.76730449999999994</v>
      </c>
      <c r="G67" s="1285">
        <v>0.77300000000000002</v>
      </c>
      <c r="H67" s="66">
        <v>0.87</v>
      </c>
      <c r="I67" s="1373">
        <v>0.873</v>
      </c>
      <c r="J67" s="1373">
        <v>0.92800000000000005</v>
      </c>
    </row>
    <row r="68" spans="2:10">
      <c r="B68" s="1385"/>
      <c r="C68" s="55"/>
      <c r="D68" s="55"/>
      <c r="E68" s="55"/>
      <c r="F68" s="55"/>
      <c r="G68" s="55"/>
      <c r="H68" s="55"/>
      <c r="I68" s="1386"/>
      <c r="J68" s="1386"/>
    </row>
    <row r="69" spans="2:10">
      <c r="B69" s="204" t="s">
        <v>424</v>
      </c>
      <c r="C69" s="55"/>
      <c r="D69" s="55"/>
      <c r="E69" s="55"/>
      <c r="F69" s="55"/>
      <c r="G69" s="55"/>
      <c r="H69" s="55"/>
      <c r="I69" s="1386"/>
      <c r="J69" s="1386"/>
    </row>
    <row r="70" spans="2:10">
      <c r="B70" s="205" t="s">
        <v>472</v>
      </c>
      <c r="C70" s="55"/>
      <c r="D70" s="55"/>
      <c r="E70" s="55"/>
      <c r="F70" s="55"/>
      <c r="G70" s="55"/>
      <c r="H70" s="55"/>
      <c r="I70" s="1386"/>
      <c r="J70" s="1386"/>
    </row>
    <row r="71" spans="2:10">
      <c r="B71" s="1383" t="s">
        <v>1879</v>
      </c>
      <c r="C71" s="1384">
        <v>7.6909999999999998</v>
      </c>
      <c r="D71" s="1285">
        <v>8.5530000000000008</v>
      </c>
      <c r="E71" s="1285">
        <v>9.6980000000000004</v>
      </c>
      <c r="F71" s="1285">
        <v>10.436999999999999</v>
      </c>
      <c r="G71" s="1285">
        <v>11.147</v>
      </c>
      <c r="H71" s="66">
        <v>11.711</v>
      </c>
      <c r="I71" s="1373">
        <v>11.811999999999999</v>
      </c>
      <c r="J71" s="1373">
        <v>11.813000000000001</v>
      </c>
    </row>
    <row r="72" spans="2:10">
      <c r="B72" s="1383" t="s">
        <v>1880</v>
      </c>
      <c r="C72" s="1384">
        <v>0.39800000000000002</v>
      </c>
      <c r="D72" s="1285">
        <v>0.40100000000000002</v>
      </c>
      <c r="E72" s="1285">
        <v>0.40799999999999997</v>
      </c>
      <c r="F72" s="1285">
        <v>0.41399999999999998</v>
      </c>
      <c r="G72" s="1285">
        <v>0.41899999999999998</v>
      </c>
      <c r="H72" s="66">
        <v>0.42899999999999999</v>
      </c>
      <c r="I72" s="1373">
        <v>0.43099999999999999</v>
      </c>
      <c r="J72" s="1373">
        <v>0.432</v>
      </c>
    </row>
    <row r="73" spans="2:10">
      <c r="B73" s="1383" t="s">
        <v>1881</v>
      </c>
      <c r="C73" s="1384">
        <v>5.1159999999999997</v>
      </c>
      <c r="D73" s="1285">
        <v>5.5570000000000004</v>
      </c>
      <c r="E73" s="1285">
        <v>6.07</v>
      </c>
      <c r="F73" s="1285">
        <v>6.4480000000000004</v>
      </c>
      <c r="G73" s="1285">
        <v>6.7530000000000001</v>
      </c>
      <c r="H73" s="66">
        <v>7.0369999999999999</v>
      </c>
      <c r="I73" s="1373">
        <v>7.0819999999999999</v>
      </c>
      <c r="J73" s="1373">
        <v>7.21</v>
      </c>
    </row>
    <row r="74" spans="2:10">
      <c r="B74" s="1383" t="s">
        <v>1882</v>
      </c>
      <c r="C74" s="1384">
        <v>2.2000000000000002</v>
      </c>
      <c r="D74" s="1285">
        <v>2.4169999999999998</v>
      </c>
      <c r="E74" s="1285">
        <v>2.6819999999999999</v>
      </c>
      <c r="F74" s="1285">
        <v>2.8780000000000001</v>
      </c>
      <c r="G74" s="1285">
        <v>3.0110000000000001</v>
      </c>
      <c r="H74" s="66">
        <v>3.1819999999999999</v>
      </c>
      <c r="I74" s="1373">
        <v>3.226</v>
      </c>
      <c r="J74" s="1373">
        <v>3.2669999999999999</v>
      </c>
    </row>
    <row r="75" spans="2:10">
      <c r="B75" s="1383" t="s">
        <v>1883</v>
      </c>
      <c r="C75" s="1384">
        <v>5.1760000000000002</v>
      </c>
      <c r="D75" s="1285">
        <v>5.6120000000000001</v>
      </c>
      <c r="E75" s="1285">
        <v>6.07</v>
      </c>
      <c r="F75" s="1285">
        <v>6.4980000000000002</v>
      </c>
      <c r="G75" s="1285">
        <v>6.9219999999999997</v>
      </c>
      <c r="H75" s="66">
        <v>7.1989999999999998</v>
      </c>
      <c r="I75" s="1373">
        <v>7.0590000000000002</v>
      </c>
      <c r="J75" s="1373">
        <v>0</v>
      </c>
    </row>
    <row r="76" spans="2:10">
      <c r="B76" s="62"/>
      <c r="C76" s="98"/>
      <c r="D76" s="98"/>
      <c r="E76" s="98"/>
      <c r="F76" s="98"/>
      <c r="G76" s="98"/>
      <c r="H76" s="98"/>
      <c r="I76" s="98"/>
      <c r="J76" s="98"/>
    </row>
    <row r="77" spans="2:10">
      <c r="B77" s="197" t="s">
        <v>475</v>
      </c>
      <c r="C77" s="55"/>
      <c r="D77" s="55"/>
      <c r="E77" s="55"/>
      <c r="F77" s="55"/>
      <c r="G77" s="55"/>
      <c r="H77" s="55"/>
      <c r="I77" s="55"/>
      <c r="J77" s="55"/>
    </row>
    <row r="78" spans="2:10" ht="15" thickBot="1">
      <c r="B78" s="208" t="s">
        <v>476</v>
      </c>
      <c r="C78" s="101"/>
      <c r="D78" s="101"/>
      <c r="E78" s="101"/>
      <c r="F78" s="101"/>
      <c r="G78" s="101"/>
      <c r="H78" s="101"/>
      <c r="I78" s="101"/>
      <c r="J78" s="101"/>
    </row>
    <row r="79" spans="2:10" ht="15" thickTop="1">
      <c r="B79" s="2025" t="s">
        <v>1870</v>
      </c>
      <c r="C79" s="2025"/>
      <c r="D79" s="2025"/>
      <c r="E79" s="2025"/>
      <c r="F79" s="2025"/>
      <c r="G79" s="2025"/>
      <c r="H79" s="2025"/>
      <c r="I79" s="2025"/>
      <c r="J79" s="2025"/>
    </row>
    <row r="80" spans="2:10">
      <c r="B80" s="64"/>
      <c r="C80" s="121"/>
      <c r="D80" s="121"/>
      <c r="E80" s="121"/>
      <c r="F80" s="121"/>
      <c r="G80" s="121"/>
      <c r="H80" s="121"/>
      <c r="I80" s="121"/>
      <c r="J80" s="121"/>
    </row>
    <row r="81" spans="2:10">
      <c r="B81" s="2024" t="s">
        <v>411</v>
      </c>
      <c r="C81" s="2024"/>
      <c r="D81" s="2024"/>
      <c r="E81" s="2024"/>
      <c r="F81" s="2024"/>
      <c r="G81" s="2024"/>
      <c r="H81" s="2024"/>
      <c r="I81" s="2024"/>
      <c r="J81" s="2024"/>
    </row>
    <row r="82" spans="2:10">
      <c r="B82" s="12" t="s">
        <v>410</v>
      </c>
      <c r="C82" s="121"/>
      <c r="D82" s="121"/>
      <c r="E82" s="121"/>
      <c r="F82" s="121"/>
      <c r="G82" s="121"/>
      <c r="H82" s="121"/>
      <c r="I82" s="121"/>
      <c r="J82" s="121"/>
    </row>
    <row r="83" spans="2:10">
      <c r="B83" s="62" t="s">
        <v>409</v>
      </c>
      <c r="C83" s="121"/>
      <c r="D83" s="121"/>
      <c r="E83" s="121"/>
      <c r="F83" s="121"/>
      <c r="G83" s="121"/>
      <c r="H83" s="121"/>
      <c r="I83" s="121"/>
      <c r="J83" s="121"/>
    </row>
    <row r="84" spans="2:10">
      <c r="B84" s="64"/>
      <c r="C84" s="121"/>
      <c r="D84" s="121"/>
      <c r="E84" s="121"/>
      <c r="F84" s="121"/>
      <c r="G84" s="121"/>
      <c r="H84" s="121"/>
      <c r="I84" s="121"/>
      <c r="J84" s="121"/>
    </row>
    <row r="85" spans="2:10">
      <c r="B85" s="61"/>
      <c r="C85" s="60">
        <v>2014</v>
      </c>
      <c r="D85" s="60">
        <v>2015</v>
      </c>
      <c r="E85" s="60">
        <v>2016</v>
      </c>
      <c r="F85" s="60">
        <v>2017</v>
      </c>
      <c r="G85" s="60">
        <v>2018</v>
      </c>
      <c r="H85" s="60">
        <v>2019</v>
      </c>
      <c r="I85" s="60">
        <v>2020</v>
      </c>
      <c r="J85" s="60">
        <v>2021</v>
      </c>
    </row>
    <row r="86" spans="2:10">
      <c r="B86" s="114" t="s">
        <v>262</v>
      </c>
      <c r="C86" s="65">
        <v>1</v>
      </c>
      <c r="D86" s="65">
        <v>1</v>
      </c>
      <c r="E86" s="65">
        <v>1</v>
      </c>
      <c r="F86" s="65">
        <v>1</v>
      </c>
      <c r="G86" s="65">
        <v>1</v>
      </c>
      <c r="H86" s="121">
        <v>1</v>
      </c>
      <c r="I86" s="951">
        <v>1</v>
      </c>
      <c r="J86" s="951">
        <v>1</v>
      </c>
    </row>
    <row r="87" spans="2:10">
      <c r="B87" s="186" t="s">
        <v>408</v>
      </c>
      <c r="C87" s="65">
        <v>1</v>
      </c>
      <c r="D87" s="65">
        <v>1</v>
      </c>
      <c r="E87" s="65">
        <v>1</v>
      </c>
      <c r="F87" s="65">
        <v>1</v>
      </c>
      <c r="G87" s="65">
        <v>1</v>
      </c>
      <c r="H87" s="67">
        <v>1</v>
      </c>
      <c r="I87" s="951">
        <v>1</v>
      </c>
      <c r="J87" s="951">
        <v>1</v>
      </c>
    </row>
    <row r="88" spans="2:10">
      <c r="B88" s="65" t="s">
        <v>407</v>
      </c>
      <c r="C88" s="65"/>
      <c r="D88" s="65"/>
      <c r="E88" s="65"/>
      <c r="F88" s="65"/>
      <c r="G88" s="65"/>
      <c r="H88" s="67"/>
    </row>
    <row r="89" spans="2:10">
      <c r="B89" s="65" t="s">
        <v>406</v>
      </c>
      <c r="C89" s="65"/>
      <c r="D89" s="65"/>
      <c r="E89" s="65"/>
      <c r="F89" s="65"/>
      <c r="G89" s="65"/>
      <c r="H89" s="67"/>
    </row>
    <row r="90" spans="2:10">
      <c r="B90" s="186" t="s">
        <v>401</v>
      </c>
      <c r="C90" s="65"/>
      <c r="D90" s="65"/>
      <c r="E90" s="65"/>
      <c r="F90" s="65"/>
      <c r="G90" s="65"/>
      <c r="H90" s="66"/>
    </row>
    <row r="91" spans="2:10">
      <c r="B91" s="186"/>
      <c r="C91" s="65"/>
      <c r="D91" s="65"/>
      <c r="E91" s="65"/>
      <c r="F91" s="65"/>
      <c r="G91" s="65"/>
      <c r="H91" s="67"/>
    </row>
    <row r="92" spans="2:10">
      <c r="B92" s="114" t="s">
        <v>477</v>
      </c>
      <c r="C92" s="65"/>
      <c r="D92" s="65"/>
      <c r="E92" s="65"/>
      <c r="F92" s="65"/>
      <c r="G92" s="65"/>
      <c r="H92" s="67"/>
    </row>
    <row r="93" spans="2:10">
      <c r="B93" s="186" t="s">
        <v>399</v>
      </c>
      <c r="C93" s="65">
        <v>7</v>
      </c>
      <c r="D93" s="65">
        <v>7</v>
      </c>
      <c r="E93" s="65">
        <v>7</v>
      </c>
      <c r="F93" s="65">
        <v>7</v>
      </c>
      <c r="G93" s="65">
        <v>7</v>
      </c>
      <c r="H93" s="67">
        <v>7</v>
      </c>
      <c r="I93" s="67">
        <v>7</v>
      </c>
      <c r="J93" s="67">
        <v>7</v>
      </c>
    </row>
    <row r="94" spans="2:10">
      <c r="B94" s="186" t="s">
        <v>403</v>
      </c>
      <c r="C94" s="1387">
        <v>86</v>
      </c>
      <c r="D94" s="1387">
        <v>76</v>
      </c>
      <c r="E94" s="1387">
        <v>78</v>
      </c>
      <c r="F94" s="1387">
        <v>74</v>
      </c>
      <c r="G94" s="1387">
        <v>71</v>
      </c>
      <c r="H94" s="1387">
        <v>66</v>
      </c>
      <c r="I94" s="1387">
        <v>68</v>
      </c>
      <c r="J94" s="1387">
        <v>68</v>
      </c>
    </row>
    <row r="95" spans="2:10">
      <c r="B95" s="186" t="s">
        <v>402</v>
      </c>
      <c r="C95" s="1388">
        <v>388110</v>
      </c>
      <c r="D95" s="1388">
        <v>385421</v>
      </c>
      <c r="E95" s="1388">
        <v>393101</v>
      </c>
      <c r="F95" s="1388">
        <v>394225</v>
      </c>
      <c r="G95" s="1388">
        <v>408055</v>
      </c>
      <c r="H95" s="1388">
        <v>425379</v>
      </c>
      <c r="I95" s="1388">
        <v>426669</v>
      </c>
      <c r="J95" s="1388">
        <v>441439</v>
      </c>
    </row>
    <row r="96" spans="2:10">
      <c r="B96" s="186" t="s">
        <v>397</v>
      </c>
      <c r="C96" s="1285">
        <v>6.112393</v>
      </c>
      <c r="D96" s="1285">
        <v>6.1862599999999999</v>
      </c>
      <c r="E96" s="1285">
        <v>6.50807</v>
      </c>
      <c r="F96" s="1285">
        <v>6.6448660000000004</v>
      </c>
      <c r="G96" s="1285">
        <v>6.5077949999999998</v>
      </c>
      <c r="H96" s="1285">
        <v>7.1379999999999999</v>
      </c>
      <c r="I96" s="1285">
        <v>7.3708470000000004</v>
      </c>
      <c r="J96" s="1285">
        <v>7.5193589999999997</v>
      </c>
    </row>
    <row r="97" spans="2:10">
      <c r="B97" s="186"/>
      <c r="C97" s="3"/>
      <c r="D97" s="3"/>
      <c r="E97" s="3"/>
      <c r="F97" s="3"/>
      <c r="G97" s="3"/>
      <c r="H97" s="3"/>
      <c r="I97" s="3"/>
      <c r="J97" s="3"/>
    </row>
    <row r="98" spans="2:10" ht="26">
      <c r="B98" s="148" t="s">
        <v>404</v>
      </c>
      <c r="C98" s="3"/>
      <c r="D98" s="3"/>
      <c r="E98" s="3"/>
      <c r="F98" s="3"/>
      <c r="G98" s="3"/>
      <c r="H98" s="3"/>
      <c r="I98" s="3"/>
      <c r="J98" s="3"/>
    </row>
    <row r="99" spans="2:10">
      <c r="B99" s="186" t="s">
        <v>399</v>
      </c>
      <c r="C99" s="3"/>
      <c r="D99" s="3"/>
      <c r="E99" s="3"/>
      <c r="F99" s="3"/>
      <c r="G99" s="3"/>
      <c r="H99" s="3"/>
      <c r="I99" s="3"/>
      <c r="J99" s="3"/>
    </row>
    <row r="100" spans="2:10">
      <c r="B100" s="186" t="s">
        <v>408</v>
      </c>
      <c r="C100" s="3"/>
      <c r="D100" s="3"/>
      <c r="E100" s="3"/>
      <c r="F100" s="3"/>
      <c r="G100" s="3"/>
      <c r="H100" s="3"/>
      <c r="I100" s="3"/>
      <c r="J100" s="3"/>
    </row>
    <row r="101" spans="2:10">
      <c r="B101" s="186" t="s">
        <v>402</v>
      </c>
      <c r="C101" s="67"/>
      <c r="D101" s="67"/>
      <c r="E101" s="67"/>
      <c r="F101" s="67"/>
      <c r="G101" s="67"/>
      <c r="H101" s="67"/>
      <c r="I101" s="67"/>
      <c r="J101" s="67"/>
    </row>
    <row r="102" spans="2:10">
      <c r="B102" s="186" t="s">
        <v>401</v>
      </c>
      <c r="C102" s="79"/>
      <c r="D102" s="79"/>
      <c r="E102" s="79"/>
      <c r="F102" s="79"/>
      <c r="G102" s="79"/>
      <c r="H102" s="79"/>
      <c r="I102" s="79"/>
      <c r="J102" s="79"/>
    </row>
    <row r="103" spans="2:10">
      <c r="B103" s="186"/>
      <c r="C103" s="3"/>
      <c r="D103" s="3"/>
      <c r="E103" s="3"/>
      <c r="F103" s="3"/>
      <c r="G103" s="3"/>
      <c r="H103" s="3"/>
      <c r="I103" s="3"/>
      <c r="J103" s="3"/>
    </row>
    <row r="104" spans="2:10">
      <c r="B104" s="114" t="s">
        <v>400</v>
      </c>
      <c r="C104" s="3"/>
      <c r="D104" s="3"/>
      <c r="E104" s="3"/>
      <c r="F104" s="3"/>
      <c r="G104" s="3"/>
      <c r="H104" s="3"/>
      <c r="I104" s="3"/>
      <c r="J104" s="3"/>
    </row>
    <row r="105" spans="2:10">
      <c r="B105" s="186" t="s">
        <v>399</v>
      </c>
      <c r="C105" s="3"/>
      <c r="D105" s="3"/>
      <c r="E105" s="3"/>
      <c r="F105" s="3"/>
      <c r="G105" s="3"/>
      <c r="H105" s="3"/>
      <c r="I105" s="3">
        <v>7</v>
      </c>
      <c r="J105" s="3">
        <v>7</v>
      </c>
    </row>
    <row r="106" spans="2:10">
      <c r="B106" s="186" t="s">
        <v>401</v>
      </c>
      <c r="C106" s="79"/>
      <c r="D106" s="79"/>
      <c r="E106" s="79"/>
      <c r="F106" s="79"/>
      <c r="G106" s="79"/>
      <c r="H106" s="79"/>
      <c r="I106" s="79"/>
      <c r="J106" s="79"/>
    </row>
    <row r="107" spans="2:10" ht="15" thickBot="1">
      <c r="B107" s="183" t="s">
        <v>395</v>
      </c>
      <c r="C107" s="100"/>
      <c r="D107" s="100"/>
      <c r="E107" s="100"/>
      <c r="F107" s="100"/>
      <c r="G107" s="100"/>
      <c r="H107" s="100"/>
      <c r="I107" s="100"/>
      <c r="J107" s="100"/>
    </row>
    <row r="108" spans="2:10" ht="15" thickTop="1">
      <c r="B108" s="2025" t="s">
        <v>1870</v>
      </c>
      <c r="C108" s="2025"/>
      <c r="D108" s="2025"/>
      <c r="E108" s="2025"/>
      <c r="F108" s="2025"/>
      <c r="G108" s="2025"/>
      <c r="H108" s="2025"/>
      <c r="I108" s="2025"/>
      <c r="J108" s="2025"/>
    </row>
    <row r="109" spans="2:10">
      <c r="B109" s="64"/>
      <c r="C109" s="121"/>
      <c r="D109" s="121"/>
      <c r="E109" s="121"/>
      <c r="F109" s="121"/>
      <c r="G109" s="121"/>
      <c r="H109" s="121"/>
      <c r="I109" s="121"/>
      <c r="J109" s="121"/>
    </row>
    <row r="110" spans="2:10">
      <c r="B110" s="2024" t="s">
        <v>393</v>
      </c>
      <c r="C110" s="2024"/>
      <c r="D110" s="2024"/>
      <c r="E110" s="2024"/>
      <c r="F110" s="2024"/>
      <c r="G110" s="2024"/>
      <c r="H110" s="2024"/>
      <c r="I110" s="2024"/>
      <c r="J110" s="2024"/>
    </row>
    <row r="111" spans="2:10">
      <c r="B111" s="12" t="s">
        <v>392</v>
      </c>
      <c r="C111" s="121"/>
      <c r="D111" s="121"/>
      <c r="E111" s="121"/>
      <c r="F111" s="121"/>
      <c r="G111" s="121"/>
      <c r="H111" s="121"/>
      <c r="I111" s="121"/>
      <c r="J111" s="121"/>
    </row>
    <row r="112" spans="2:10">
      <c r="B112" s="62" t="s">
        <v>269</v>
      </c>
      <c r="C112" s="121"/>
      <c r="D112" s="121"/>
      <c r="E112" s="121"/>
      <c r="F112" s="121"/>
      <c r="G112" s="121"/>
      <c r="H112" s="121"/>
      <c r="I112" s="121"/>
      <c r="J112" s="121"/>
    </row>
    <row r="113" spans="2:10">
      <c r="B113" s="64"/>
      <c r="C113" s="121"/>
      <c r="D113" s="121"/>
      <c r="E113" s="121"/>
      <c r="F113" s="121"/>
      <c r="G113" s="121"/>
      <c r="H113" s="121"/>
      <c r="I113" s="121"/>
      <c r="J113" s="121"/>
    </row>
    <row r="114" spans="2:10">
      <c r="B114" s="61"/>
      <c r="C114" s="60">
        <v>2014</v>
      </c>
      <c r="D114" s="60">
        <v>2015</v>
      </c>
      <c r="E114" s="60">
        <v>2016</v>
      </c>
      <c r="F114" s="60">
        <v>2017</v>
      </c>
      <c r="G114" s="60">
        <v>2018</v>
      </c>
      <c r="H114" s="60">
        <v>2019</v>
      </c>
      <c r="I114" s="60">
        <v>2020</v>
      </c>
      <c r="J114" s="60">
        <v>2021</v>
      </c>
    </row>
    <row r="115" spans="2:10">
      <c r="B115" s="179" t="s">
        <v>391</v>
      </c>
      <c r="C115" s="67"/>
      <c r="D115" s="67"/>
      <c r="E115" s="67"/>
      <c r="F115" s="67"/>
      <c r="G115" s="67"/>
      <c r="H115" s="67"/>
      <c r="I115" s="67"/>
      <c r="J115" s="67"/>
    </row>
    <row r="116" spans="2:10">
      <c r="B116" s="149" t="s">
        <v>390</v>
      </c>
      <c r="C116" s="67"/>
      <c r="D116" s="67"/>
      <c r="E116" s="67"/>
      <c r="F116" s="67"/>
      <c r="G116" s="67"/>
      <c r="H116" s="67"/>
      <c r="I116" s="67"/>
      <c r="J116" s="67"/>
    </row>
    <row r="117" spans="2:10">
      <c r="B117" s="149" t="s">
        <v>389</v>
      </c>
      <c r="C117" s="67"/>
      <c r="D117" s="67"/>
      <c r="E117" s="67"/>
      <c r="F117" s="67"/>
      <c r="G117" s="67"/>
      <c r="H117" s="67"/>
      <c r="I117" s="67"/>
      <c r="J117" s="67"/>
    </row>
    <row r="118" spans="2:10">
      <c r="B118" s="149" t="s">
        <v>388</v>
      </c>
      <c r="C118" s="67"/>
      <c r="D118" s="67"/>
      <c r="E118" s="67"/>
      <c r="F118" s="67"/>
      <c r="G118" s="67"/>
      <c r="H118" s="67"/>
      <c r="I118" s="67"/>
      <c r="J118" s="67"/>
    </row>
    <row r="119" spans="2:10">
      <c r="B119" s="149" t="s">
        <v>387</v>
      </c>
      <c r="C119" s="67">
        <v>159239</v>
      </c>
      <c r="D119" s="67">
        <v>102130</v>
      </c>
      <c r="E119" s="67">
        <v>99416</v>
      </c>
      <c r="F119" s="67">
        <v>96153</v>
      </c>
      <c r="G119" s="67">
        <v>95779</v>
      </c>
      <c r="H119" s="67">
        <v>92566</v>
      </c>
      <c r="I119" s="67">
        <v>90103</v>
      </c>
      <c r="J119" s="67">
        <v>90628</v>
      </c>
    </row>
    <row r="120" spans="2:10">
      <c r="B120" s="149" t="s">
        <v>386</v>
      </c>
      <c r="C120" s="67"/>
      <c r="D120" s="67"/>
      <c r="E120" s="67"/>
      <c r="F120" s="67"/>
      <c r="G120" s="67"/>
      <c r="H120" s="67"/>
      <c r="I120" s="67"/>
      <c r="J120" s="67"/>
    </row>
    <row r="121" spans="2:10" ht="26">
      <c r="B121" s="147" t="s">
        <v>385</v>
      </c>
      <c r="C121" s="67"/>
      <c r="D121" s="67"/>
      <c r="E121" s="67"/>
      <c r="F121" s="67"/>
      <c r="G121" s="67"/>
      <c r="H121" s="67"/>
      <c r="I121" s="67"/>
      <c r="J121" s="67"/>
    </row>
    <row r="122" spans="2:10">
      <c r="B122" s="54" t="s">
        <v>384</v>
      </c>
      <c r="C122" s="67"/>
      <c r="D122" s="67"/>
      <c r="E122" s="67"/>
      <c r="F122" s="67"/>
      <c r="G122" s="67"/>
      <c r="H122" s="67"/>
      <c r="I122" s="67"/>
      <c r="J122" s="67"/>
    </row>
    <row r="123" spans="2:10" ht="26">
      <c r="B123" s="147" t="s">
        <v>383</v>
      </c>
      <c r="C123" s="67"/>
      <c r="D123" s="67"/>
      <c r="E123" s="67"/>
      <c r="F123" s="67"/>
      <c r="G123" s="67"/>
      <c r="H123" s="67"/>
      <c r="I123" s="67"/>
      <c r="J123" s="67"/>
    </row>
    <row r="124" spans="2:10">
      <c r="B124" s="149" t="s">
        <v>382</v>
      </c>
      <c r="C124" s="67"/>
      <c r="D124" s="67"/>
      <c r="E124" s="67"/>
      <c r="F124" s="67"/>
      <c r="G124" s="67"/>
      <c r="H124" s="67"/>
      <c r="I124" s="67"/>
      <c r="J124" s="67"/>
    </row>
    <row r="125" spans="2:10">
      <c r="B125" s="149"/>
      <c r="C125" s="67"/>
      <c r="D125" s="67"/>
      <c r="E125" s="67"/>
      <c r="F125" s="67"/>
      <c r="G125" s="67"/>
      <c r="H125" s="67"/>
      <c r="I125" s="67"/>
      <c r="J125" s="67"/>
    </row>
    <row r="126" spans="2:10">
      <c r="B126" s="175" t="s">
        <v>381</v>
      </c>
      <c r="C126" s="67"/>
      <c r="D126" s="67"/>
      <c r="E126" s="67"/>
      <c r="F126" s="67"/>
      <c r="G126" s="67"/>
      <c r="H126" s="67"/>
      <c r="I126" s="67"/>
      <c r="J126" s="67"/>
    </row>
    <row r="127" spans="2:10">
      <c r="B127" s="149" t="s">
        <v>380</v>
      </c>
      <c r="C127" s="67"/>
      <c r="D127" s="67"/>
      <c r="E127" s="67"/>
      <c r="F127" s="67"/>
      <c r="G127" s="67"/>
      <c r="H127" s="67"/>
      <c r="I127" s="67"/>
      <c r="J127" s="67"/>
    </row>
    <row r="128" spans="2:10">
      <c r="B128" s="172" t="s">
        <v>379</v>
      </c>
      <c r="C128" s="67"/>
      <c r="D128" s="67"/>
      <c r="E128" s="67"/>
      <c r="F128" s="67"/>
      <c r="G128" s="67"/>
      <c r="H128" s="67"/>
      <c r="I128" s="67"/>
      <c r="J128" s="67"/>
    </row>
    <row r="129" spans="2:10">
      <c r="B129" s="168" t="s">
        <v>378</v>
      </c>
      <c r="C129" s="67">
        <v>334</v>
      </c>
      <c r="D129" s="67">
        <v>345</v>
      </c>
      <c r="E129" s="67">
        <v>402</v>
      </c>
      <c r="F129" s="67">
        <v>362</v>
      </c>
      <c r="G129" s="67">
        <v>382</v>
      </c>
      <c r="H129" s="67">
        <v>385</v>
      </c>
      <c r="I129" s="67">
        <v>381</v>
      </c>
      <c r="J129" s="67">
        <v>388</v>
      </c>
    </row>
    <row r="130" spans="2:10">
      <c r="B130" s="168" t="s">
        <v>377</v>
      </c>
      <c r="C130" s="67"/>
      <c r="D130" s="67"/>
      <c r="E130" s="67"/>
      <c r="F130" s="67"/>
      <c r="G130" s="67"/>
      <c r="H130" s="67"/>
      <c r="I130" s="67"/>
      <c r="J130" s="67"/>
    </row>
    <row r="131" spans="2:10">
      <c r="B131" s="149" t="s">
        <v>376</v>
      </c>
      <c r="C131" s="67"/>
      <c r="D131" s="67"/>
      <c r="E131" s="67"/>
      <c r="F131" s="67"/>
      <c r="G131" s="67"/>
      <c r="H131" s="67"/>
      <c r="I131" s="67"/>
      <c r="J131" s="67"/>
    </row>
    <row r="132" spans="2:10">
      <c r="B132" s="149"/>
      <c r="C132" s="67"/>
      <c r="D132" s="67"/>
      <c r="E132" s="67"/>
      <c r="F132" s="67"/>
      <c r="G132" s="67"/>
      <c r="H132" s="67"/>
      <c r="I132" s="67"/>
      <c r="J132" s="67"/>
    </row>
    <row r="133" spans="2:10">
      <c r="B133" s="149" t="s">
        <v>375</v>
      </c>
      <c r="C133" s="67"/>
      <c r="D133" s="67"/>
      <c r="E133" s="67"/>
      <c r="F133" s="67"/>
      <c r="G133" s="67"/>
      <c r="H133" s="67"/>
      <c r="I133" s="67"/>
      <c r="J133" s="67"/>
    </row>
    <row r="134" spans="2:10">
      <c r="B134" s="168" t="s">
        <v>374</v>
      </c>
      <c r="C134" s="67">
        <v>4908</v>
      </c>
      <c r="D134" s="67">
        <v>8853</v>
      </c>
      <c r="E134" s="67">
        <v>9146</v>
      </c>
      <c r="F134" s="67">
        <v>11306</v>
      </c>
      <c r="G134" s="67">
        <v>10616</v>
      </c>
      <c r="H134" s="67">
        <v>14892</v>
      </c>
      <c r="I134" s="67">
        <v>15696</v>
      </c>
      <c r="J134" s="67">
        <v>16893</v>
      </c>
    </row>
    <row r="135" spans="2:10">
      <c r="B135" s="149" t="s">
        <v>478</v>
      </c>
      <c r="C135" s="67"/>
      <c r="D135" s="67"/>
      <c r="E135" s="67"/>
      <c r="F135" s="67"/>
      <c r="G135" s="67"/>
      <c r="H135" s="67"/>
      <c r="I135" s="67"/>
      <c r="J135" s="67"/>
    </row>
    <row r="136" spans="2:10">
      <c r="B136" s="165" t="s">
        <v>373</v>
      </c>
      <c r="C136" s="67"/>
      <c r="D136" s="67"/>
      <c r="E136" s="67"/>
      <c r="F136" s="67"/>
      <c r="G136" s="67"/>
      <c r="H136" s="67"/>
      <c r="I136" s="67"/>
      <c r="J136" s="67"/>
    </row>
    <row r="137" spans="2:10">
      <c r="B137" s="149" t="s">
        <v>372</v>
      </c>
      <c r="C137" s="67"/>
      <c r="D137" s="67"/>
      <c r="E137" s="67"/>
      <c r="F137" s="67"/>
      <c r="G137" s="67"/>
      <c r="H137" s="67"/>
      <c r="I137" s="67"/>
      <c r="J137" s="67"/>
    </row>
    <row r="138" spans="2:10">
      <c r="B138" s="149" t="s">
        <v>371</v>
      </c>
      <c r="C138" s="67"/>
      <c r="D138" s="67"/>
      <c r="E138" s="67"/>
      <c r="F138" s="67"/>
      <c r="G138" s="67"/>
      <c r="H138" s="67"/>
      <c r="I138" s="67"/>
      <c r="J138" s="67"/>
    </row>
    <row r="139" spans="2:10">
      <c r="B139" s="147" t="s">
        <v>370</v>
      </c>
      <c r="C139" s="67"/>
      <c r="D139" s="67"/>
      <c r="E139" s="67"/>
      <c r="F139" s="67"/>
      <c r="G139" s="67"/>
      <c r="H139" s="67"/>
      <c r="I139" s="67"/>
      <c r="J139" s="67"/>
    </row>
    <row r="140" spans="2:10" ht="15" thickBot="1">
      <c r="B140" s="209" t="s">
        <v>369</v>
      </c>
      <c r="C140" s="117"/>
      <c r="D140" s="117"/>
      <c r="E140" s="117"/>
      <c r="F140" s="117"/>
      <c r="G140" s="117"/>
      <c r="H140" s="117"/>
      <c r="I140" s="117"/>
      <c r="J140" s="117"/>
    </row>
    <row r="141" spans="2:10" ht="15" thickTop="1">
      <c r="B141" s="2031" t="s">
        <v>1870</v>
      </c>
      <c r="C141" s="2031"/>
      <c r="D141" s="2031"/>
      <c r="E141" s="2031"/>
      <c r="F141" s="2031"/>
      <c r="G141" s="2031"/>
      <c r="H141" s="2031"/>
      <c r="I141" s="2031"/>
      <c r="J141" s="2031"/>
    </row>
    <row r="142" spans="2:10">
      <c r="B142" s="64"/>
      <c r="C142" s="121"/>
      <c r="D142" s="121"/>
      <c r="E142" s="121"/>
      <c r="F142" s="121"/>
      <c r="G142" s="121"/>
      <c r="H142" s="121"/>
      <c r="I142" s="121"/>
      <c r="J142" s="121"/>
    </row>
    <row r="143" spans="2:10">
      <c r="B143" s="2024" t="s">
        <v>367</v>
      </c>
      <c r="C143" s="2024"/>
      <c r="D143" s="2024"/>
      <c r="E143" s="2024"/>
      <c r="F143" s="2024"/>
      <c r="G143" s="2024"/>
      <c r="H143" s="2024"/>
      <c r="I143" s="2024"/>
      <c r="J143" s="2024"/>
    </row>
    <row r="144" spans="2:10">
      <c r="B144" s="12" t="s">
        <v>366</v>
      </c>
      <c r="C144" s="121"/>
      <c r="D144" s="121"/>
      <c r="E144" s="121"/>
      <c r="F144" s="121"/>
      <c r="G144" s="121"/>
      <c r="H144" s="121"/>
      <c r="I144" s="121"/>
      <c r="J144" s="121"/>
    </row>
    <row r="145" spans="2:10">
      <c r="B145" s="62" t="s">
        <v>210</v>
      </c>
      <c r="C145" s="121"/>
      <c r="D145" s="121"/>
      <c r="E145" s="121"/>
      <c r="F145" s="121"/>
      <c r="G145" s="121"/>
      <c r="H145" s="121"/>
      <c r="I145" s="121"/>
      <c r="J145" s="121"/>
    </row>
    <row r="146" spans="2:10">
      <c r="B146" s="64"/>
      <c r="C146" s="121"/>
      <c r="D146" s="121"/>
      <c r="E146" s="121"/>
      <c r="F146" s="121"/>
      <c r="G146" s="121"/>
      <c r="H146" s="121"/>
      <c r="I146" s="121"/>
      <c r="J146" s="121"/>
    </row>
    <row r="147" spans="2:10">
      <c r="B147" s="61"/>
      <c r="C147" s="60">
        <v>2014</v>
      </c>
      <c r="D147" s="60">
        <v>2015</v>
      </c>
      <c r="E147" s="60">
        <v>2016</v>
      </c>
      <c r="F147" s="60">
        <v>2017</v>
      </c>
      <c r="G147" s="60">
        <v>2018</v>
      </c>
      <c r="H147" s="60">
        <v>2019</v>
      </c>
      <c r="I147" s="60">
        <v>2020</v>
      </c>
      <c r="J147" s="60">
        <v>2021</v>
      </c>
    </row>
    <row r="148" spans="2:10">
      <c r="B148" s="114" t="s">
        <v>362</v>
      </c>
      <c r="C148" s="66"/>
      <c r="D148" s="66"/>
      <c r="E148" s="66"/>
      <c r="F148" s="66"/>
      <c r="G148" s="66"/>
      <c r="H148" s="66"/>
      <c r="I148" s="66"/>
      <c r="J148" s="66"/>
    </row>
    <row r="149" spans="2:10">
      <c r="B149" s="54" t="s">
        <v>361</v>
      </c>
      <c r="C149" s="55">
        <v>1455.5440000000001</v>
      </c>
      <c r="D149" s="55">
        <v>1627.614</v>
      </c>
      <c r="E149" s="55">
        <v>2002.357</v>
      </c>
      <c r="F149" s="55">
        <v>2218.4229999999998</v>
      </c>
      <c r="G149" s="55">
        <v>2394.92</v>
      </c>
      <c r="H149" s="55">
        <v>2594.4540000000002</v>
      </c>
      <c r="I149" s="55">
        <v>2259.0279999999998</v>
      </c>
      <c r="J149" s="55">
        <v>3152.846</v>
      </c>
    </row>
    <row r="150" spans="2:10">
      <c r="B150" s="151" t="s">
        <v>360</v>
      </c>
      <c r="C150" s="66"/>
      <c r="D150" s="66"/>
      <c r="E150" s="66"/>
      <c r="F150" s="66"/>
      <c r="G150" s="66"/>
      <c r="H150" s="66"/>
      <c r="I150" s="66"/>
      <c r="J150" s="66"/>
    </row>
    <row r="151" spans="2:10">
      <c r="B151" s="151" t="s">
        <v>359</v>
      </c>
      <c r="C151" s="66"/>
      <c r="D151" s="66"/>
      <c r="E151" s="66"/>
      <c r="F151" s="66"/>
      <c r="G151" s="66"/>
      <c r="H151" s="66"/>
      <c r="I151" s="66"/>
      <c r="J151" s="66"/>
    </row>
    <row r="152" spans="2:10">
      <c r="B152" s="152" t="s">
        <v>358</v>
      </c>
      <c r="C152" s="55">
        <v>38.564</v>
      </c>
      <c r="D152" s="55">
        <v>66.034999999999997</v>
      </c>
      <c r="E152" s="55">
        <v>102.717</v>
      </c>
      <c r="F152" s="55">
        <v>97.475999999999999</v>
      </c>
      <c r="G152" s="55">
        <v>67.64</v>
      </c>
      <c r="H152" s="55">
        <v>51.424999999999997</v>
      </c>
      <c r="I152" s="55">
        <v>51.031999999999996</v>
      </c>
      <c r="J152" s="55">
        <v>66.671999999999997</v>
      </c>
    </row>
    <row r="153" spans="2:10">
      <c r="B153" s="71" t="s">
        <v>357</v>
      </c>
      <c r="C153" s="55">
        <f>SUM(C154,C156)</f>
        <v>6259.34</v>
      </c>
      <c r="D153" s="55">
        <f t="shared" ref="D153:J153" si="4">SUM(D154,D156)</f>
        <v>9717.4260000000013</v>
      </c>
      <c r="E153" s="55">
        <f t="shared" si="4"/>
        <v>12226.932999999999</v>
      </c>
      <c r="F153" s="55">
        <f t="shared" si="4"/>
        <v>14513.338</v>
      </c>
      <c r="G153" s="55">
        <f t="shared" si="4"/>
        <v>17183.496999999999</v>
      </c>
      <c r="H153" s="55">
        <f t="shared" si="4"/>
        <v>18306.847999999998</v>
      </c>
      <c r="I153" s="55">
        <f t="shared" si="4"/>
        <v>14871.073</v>
      </c>
      <c r="J153" s="55">
        <f t="shared" si="4"/>
        <v>21122.838</v>
      </c>
    </row>
    <row r="154" spans="2:10">
      <c r="B154" s="151" t="s">
        <v>356</v>
      </c>
      <c r="C154" s="55">
        <v>5348.1980000000003</v>
      </c>
      <c r="D154" s="55">
        <v>8319.6830000000009</v>
      </c>
      <c r="E154" s="55">
        <v>9556.4079999999994</v>
      </c>
      <c r="F154" s="55">
        <v>11358.813</v>
      </c>
      <c r="G154" s="55">
        <v>14005.29</v>
      </c>
      <c r="H154" s="55">
        <v>14998.677</v>
      </c>
      <c r="I154" s="55">
        <v>12437.2</v>
      </c>
      <c r="J154" s="55">
        <v>17603.004000000001</v>
      </c>
    </row>
    <row r="155" spans="2:10">
      <c r="B155" s="151" t="s">
        <v>355</v>
      </c>
      <c r="C155" s="55"/>
      <c r="D155" s="55"/>
      <c r="E155" s="55"/>
      <c r="F155" s="66"/>
      <c r="G155" s="66"/>
      <c r="H155" s="55"/>
      <c r="I155" s="55"/>
      <c r="J155" s="55"/>
    </row>
    <row r="156" spans="2:10">
      <c r="B156" s="151" t="s">
        <v>354</v>
      </c>
      <c r="C156" s="55">
        <v>911.14200000000005</v>
      </c>
      <c r="D156" s="55">
        <v>1397.7429999999999</v>
      </c>
      <c r="E156" s="55">
        <v>2670.5250000000001</v>
      </c>
      <c r="F156" s="55">
        <v>3154.5250000000001</v>
      </c>
      <c r="G156" s="55">
        <v>3178.2069999999999</v>
      </c>
      <c r="H156" s="55">
        <v>3308.1709999999998</v>
      </c>
      <c r="I156" s="55">
        <v>2433.873</v>
      </c>
      <c r="J156" s="55">
        <v>3519.8339999999998</v>
      </c>
    </row>
    <row r="157" spans="2:10">
      <c r="B157" s="71" t="s">
        <v>480</v>
      </c>
      <c r="C157" s="55"/>
      <c r="D157" s="55"/>
      <c r="E157" s="55"/>
      <c r="F157" s="55"/>
      <c r="G157" s="55"/>
      <c r="H157" s="55"/>
      <c r="I157" s="55"/>
      <c r="J157" s="55"/>
    </row>
    <row r="158" spans="2:10">
      <c r="B158" s="71" t="s">
        <v>481</v>
      </c>
      <c r="C158" s="55">
        <f>SUM(C159:C160)</f>
        <v>4940.3539999999994</v>
      </c>
      <c r="D158" s="55">
        <f t="shared" ref="D158:J158" si="5">SUM(D159:D160)</f>
        <v>4846.5770000000002</v>
      </c>
      <c r="E158" s="55">
        <f t="shared" si="5"/>
        <v>7809.26</v>
      </c>
      <c r="F158" s="55">
        <f t="shared" si="5"/>
        <v>5893.3329999999996</v>
      </c>
      <c r="G158" s="55">
        <f t="shared" si="5"/>
        <v>5346.0070000000005</v>
      </c>
      <c r="H158" s="55">
        <f t="shared" si="5"/>
        <v>5549.2620000000006</v>
      </c>
      <c r="I158" s="55">
        <f t="shared" si="5"/>
        <v>3471.5769999999998</v>
      </c>
      <c r="J158" s="55">
        <f t="shared" si="5"/>
        <v>3007.442</v>
      </c>
    </row>
    <row r="159" spans="2:10">
      <c r="B159" s="150" t="s">
        <v>352</v>
      </c>
      <c r="C159" s="55">
        <v>4905.6719999999996</v>
      </c>
      <c r="D159" s="55">
        <v>4804.9260000000004</v>
      </c>
      <c r="E159" s="55">
        <v>7772.2740000000003</v>
      </c>
      <c r="F159" s="55">
        <v>5862.5659999999998</v>
      </c>
      <c r="G159" s="55">
        <v>5316.6260000000002</v>
      </c>
      <c r="H159" s="55">
        <v>5514.1170000000002</v>
      </c>
      <c r="I159" s="55">
        <v>3454.8339999999998</v>
      </c>
      <c r="J159" s="55">
        <v>2990.2759999999998</v>
      </c>
    </row>
    <row r="160" spans="2:10">
      <c r="B160" s="150" t="s">
        <v>351</v>
      </c>
      <c r="C160" s="66">
        <v>34.682000000000002</v>
      </c>
      <c r="D160" s="66">
        <v>41.651000000000003</v>
      </c>
      <c r="E160" s="66">
        <v>36.985999999999997</v>
      </c>
      <c r="F160" s="66">
        <v>30.766999999999999</v>
      </c>
      <c r="G160" s="55">
        <v>29.381</v>
      </c>
      <c r="H160" s="55">
        <v>35.145000000000003</v>
      </c>
      <c r="I160" s="55">
        <v>16.742999999999999</v>
      </c>
      <c r="J160" s="55">
        <v>17.166</v>
      </c>
    </row>
    <row r="161" spans="2:10">
      <c r="B161" s="54" t="s">
        <v>350</v>
      </c>
      <c r="C161" s="55"/>
      <c r="D161" s="55"/>
      <c r="E161" s="55"/>
      <c r="F161" s="55"/>
      <c r="G161" s="55"/>
      <c r="H161" s="55"/>
      <c r="I161" s="55"/>
      <c r="J161" s="55"/>
    </row>
    <row r="162" spans="2:10">
      <c r="B162" s="54"/>
      <c r="C162" s="55"/>
      <c r="D162" s="55"/>
      <c r="E162" s="55"/>
      <c r="F162" s="55"/>
      <c r="G162" s="55"/>
      <c r="H162" s="55"/>
      <c r="I162" s="55"/>
      <c r="J162" s="55"/>
    </row>
    <row r="163" spans="2:10">
      <c r="B163" s="54" t="s">
        <v>365</v>
      </c>
      <c r="C163" s="55">
        <f>C149+C152+C153+C158</f>
        <v>12693.802</v>
      </c>
      <c r="D163" s="55">
        <f t="shared" ref="D163:I163" si="6">D149+D152+D153+D158</f>
        <v>16257.652000000002</v>
      </c>
      <c r="E163" s="55">
        <f t="shared" si="6"/>
        <v>22141.267</v>
      </c>
      <c r="F163" s="55">
        <f t="shared" si="6"/>
        <v>22722.57</v>
      </c>
      <c r="G163" s="55">
        <f t="shared" si="6"/>
        <v>24992.064000000002</v>
      </c>
      <c r="H163" s="55">
        <f t="shared" si="6"/>
        <v>26501.989000000001</v>
      </c>
      <c r="I163" s="55">
        <f t="shared" si="6"/>
        <v>20652.710000000003</v>
      </c>
      <c r="J163" s="55">
        <f>J149+J152+J153+J158</f>
        <v>27349.797999999999</v>
      </c>
    </row>
    <row r="164" spans="2:10">
      <c r="B164" s="147" t="s">
        <v>348</v>
      </c>
      <c r="C164" s="210"/>
      <c r="D164" s="210"/>
      <c r="E164" s="210"/>
      <c r="F164" s="210"/>
      <c r="G164" s="210"/>
      <c r="H164" s="210"/>
      <c r="I164" s="210"/>
      <c r="J164" s="210"/>
    </row>
    <row r="165" spans="2:10">
      <c r="B165" s="147"/>
      <c r="C165" s="98"/>
      <c r="D165" s="98"/>
      <c r="E165" s="98"/>
      <c r="F165" s="98"/>
      <c r="G165" s="98"/>
      <c r="H165" s="98"/>
      <c r="I165" s="98"/>
      <c r="J165" s="98"/>
    </row>
    <row r="166" spans="2:10">
      <c r="B166" s="54" t="s">
        <v>347</v>
      </c>
      <c r="C166" s="102"/>
      <c r="D166" s="102"/>
      <c r="E166" s="102"/>
      <c r="F166" s="55"/>
      <c r="G166" s="55"/>
      <c r="H166" s="55"/>
      <c r="I166" s="55"/>
      <c r="J166" s="55"/>
    </row>
    <row r="167" spans="2:10">
      <c r="B167" s="54"/>
      <c r="C167" s="55"/>
      <c r="D167" s="55"/>
      <c r="E167" s="55"/>
      <c r="F167" s="55"/>
      <c r="G167" s="55"/>
      <c r="H167" s="55"/>
      <c r="I167" s="55"/>
      <c r="J167" s="55"/>
    </row>
    <row r="168" spans="2:10">
      <c r="B168" s="114" t="s">
        <v>346</v>
      </c>
      <c r="C168" s="55"/>
      <c r="D168" s="55"/>
      <c r="E168" s="55"/>
      <c r="F168" s="55"/>
      <c r="G168" s="55"/>
      <c r="H168" s="55"/>
      <c r="I168" s="55"/>
      <c r="J168" s="55"/>
    </row>
    <row r="169" spans="2:10">
      <c r="B169" s="54" t="s">
        <v>342</v>
      </c>
      <c r="C169" s="1389">
        <v>12892.829</v>
      </c>
      <c r="D169" s="1389">
        <v>11299.321</v>
      </c>
      <c r="E169" s="1389">
        <v>11371.596</v>
      </c>
      <c r="F169" s="1389">
        <v>10192.508</v>
      </c>
      <c r="G169" s="1389">
        <v>11549.869000000001</v>
      </c>
      <c r="H169" s="1390">
        <v>11052.514999999999</v>
      </c>
      <c r="I169" s="55">
        <v>7954.0110000000004</v>
      </c>
      <c r="J169" s="55">
        <v>8101.5469999999996</v>
      </c>
    </row>
    <row r="170" spans="2:10">
      <c r="B170" s="147" t="s">
        <v>341</v>
      </c>
      <c r="C170" s="55"/>
      <c r="D170" s="55"/>
      <c r="E170" s="55"/>
      <c r="F170" s="55"/>
      <c r="G170" s="55"/>
      <c r="H170" s="55"/>
      <c r="I170" s="55"/>
      <c r="J170" s="55"/>
    </row>
    <row r="171" spans="2:10">
      <c r="B171" s="147" t="s">
        <v>340</v>
      </c>
      <c r="C171" s="55"/>
      <c r="D171" s="55"/>
      <c r="E171" s="55"/>
      <c r="F171" s="55"/>
      <c r="G171" s="55"/>
      <c r="H171" s="55"/>
      <c r="I171" s="55"/>
      <c r="J171" s="55"/>
    </row>
    <row r="172" spans="2:10">
      <c r="B172" s="54" t="s">
        <v>339</v>
      </c>
      <c r="C172" s="102"/>
      <c r="D172" s="102"/>
      <c r="E172" s="102"/>
      <c r="F172" s="55"/>
      <c r="G172" s="55"/>
      <c r="H172" s="55"/>
      <c r="I172" s="55"/>
      <c r="J172" s="55"/>
    </row>
    <row r="173" spans="2:10">
      <c r="B173" s="54" t="s">
        <v>482</v>
      </c>
      <c r="C173" s="102"/>
      <c r="D173" s="102"/>
      <c r="E173" s="102"/>
      <c r="F173" s="55"/>
      <c r="G173" s="55"/>
      <c r="H173" s="55"/>
      <c r="I173" s="55">
        <v>423.53</v>
      </c>
      <c r="J173" s="55">
        <v>22.222999999999999</v>
      </c>
    </row>
    <row r="174" spans="2:10">
      <c r="B174" s="147" t="s">
        <v>337</v>
      </c>
      <c r="C174" s="102"/>
      <c r="D174" s="102"/>
      <c r="E174" s="102"/>
      <c r="F174" s="55"/>
      <c r="G174" s="55"/>
      <c r="H174" s="55"/>
      <c r="I174" s="55"/>
      <c r="J174" s="55"/>
    </row>
    <row r="175" spans="2:10">
      <c r="B175" s="147" t="s">
        <v>336</v>
      </c>
      <c r="C175" s="102"/>
      <c r="D175" s="102"/>
      <c r="E175" s="102"/>
      <c r="F175" s="55"/>
      <c r="G175" s="55"/>
      <c r="H175" s="55"/>
      <c r="I175" s="55"/>
      <c r="J175" s="55"/>
    </row>
    <row r="176" spans="2:10">
      <c r="B176" s="147" t="s">
        <v>335</v>
      </c>
      <c r="C176" s="102"/>
      <c r="D176" s="102"/>
      <c r="E176" s="102"/>
      <c r="F176" s="55"/>
      <c r="G176" s="55"/>
      <c r="H176" s="55"/>
      <c r="I176" s="55"/>
      <c r="J176" s="55"/>
    </row>
    <row r="177" spans="2:10">
      <c r="B177" s="147"/>
      <c r="C177" s="66"/>
      <c r="D177" s="66"/>
      <c r="E177" s="66"/>
      <c r="F177" s="66"/>
      <c r="G177" s="66"/>
      <c r="H177" s="66"/>
      <c r="I177" s="66"/>
      <c r="J177" s="66"/>
    </row>
    <row r="178" spans="2:10" ht="26">
      <c r="B178" s="148" t="s">
        <v>345</v>
      </c>
      <c r="C178" s="66"/>
      <c r="D178" s="66"/>
      <c r="E178" s="66"/>
      <c r="F178" s="66"/>
      <c r="G178" s="66"/>
      <c r="H178" s="66"/>
      <c r="I178" s="66"/>
      <c r="J178" s="66"/>
    </row>
    <row r="179" spans="2:10">
      <c r="B179" s="54" t="s">
        <v>342</v>
      </c>
      <c r="C179" s="102"/>
      <c r="D179" s="102"/>
      <c r="E179" s="102"/>
      <c r="F179" s="55"/>
      <c r="G179" s="55"/>
      <c r="H179" s="55"/>
      <c r="I179" s="55"/>
      <c r="J179" s="55"/>
    </row>
    <row r="180" spans="2:10">
      <c r="B180" s="147" t="s">
        <v>341</v>
      </c>
      <c r="C180" s="102"/>
      <c r="D180" s="102"/>
      <c r="E180" s="102"/>
      <c r="F180" s="55"/>
      <c r="G180" s="55"/>
      <c r="H180" s="55"/>
      <c r="I180" s="55"/>
      <c r="J180" s="55"/>
    </row>
    <row r="181" spans="2:10">
      <c r="B181" s="147" t="s">
        <v>340</v>
      </c>
      <c r="C181" s="102"/>
      <c r="D181" s="102"/>
      <c r="E181" s="102"/>
      <c r="F181" s="55"/>
      <c r="G181" s="55"/>
      <c r="H181" s="55"/>
      <c r="I181" s="55"/>
      <c r="J181" s="55"/>
    </row>
    <row r="182" spans="2:10">
      <c r="B182" s="54" t="s">
        <v>339</v>
      </c>
      <c r="C182" s="102"/>
      <c r="D182" s="102"/>
      <c r="E182" s="102"/>
      <c r="F182" s="55"/>
      <c r="G182" s="55"/>
      <c r="H182" s="55"/>
      <c r="I182" s="55"/>
      <c r="J182" s="55"/>
    </row>
    <row r="183" spans="2:10">
      <c r="B183" s="54" t="s">
        <v>480</v>
      </c>
      <c r="C183" s="102"/>
      <c r="D183" s="102"/>
      <c r="E183" s="102"/>
      <c r="F183" s="55"/>
      <c r="G183" s="55"/>
      <c r="H183" s="55"/>
      <c r="I183" s="55"/>
      <c r="J183" s="55"/>
    </row>
    <row r="184" spans="2:10">
      <c r="B184" s="147" t="s">
        <v>337</v>
      </c>
      <c r="C184" s="102"/>
      <c r="D184" s="102"/>
      <c r="E184" s="102"/>
      <c r="F184" s="55"/>
      <c r="G184" s="55"/>
      <c r="H184" s="55"/>
      <c r="I184" s="55"/>
      <c r="J184" s="55"/>
    </row>
    <row r="185" spans="2:10">
      <c r="B185" s="147" t="s">
        <v>336</v>
      </c>
      <c r="C185" s="102"/>
      <c r="D185" s="102"/>
      <c r="E185" s="102"/>
      <c r="F185" s="55"/>
      <c r="G185" s="55"/>
      <c r="H185" s="55"/>
      <c r="I185" s="55"/>
      <c r="J185" s="55"/>
    </row>
    <row r="186" spans="2:10">
      <c r="B186" s="147" t="s">
        <v>335</v>
      </c>
      <c r="C186" s="102"/>
      <c r="D186" s="102"/>
      <c r="E186" s="102"/>
      <c r="F186" s="55"/>
      <c r="G186" s="55"/>
      <c r="H186" s="55"/>
      <c r="I186" s="55"/>
      <c r="J186" s="55"/>
    </row>
    <row r="187" spans="2:10">
      <c r="B187" s="147"/>
      <c r="C187" s="66"/>
      <c r="D187" s="66"/>
      <c r="E187" s="66"/>
      <c r="F187" s="66"/>
      <c r="G187" s="66"/>
      <c r="H187" s="66"/>
      <c r="I187" s="66"/>
      <c r="J187" s="66"/>
    </row>
    <row r="188" spans="2:10" ht="26">
      <c r="B188" s="148" t="s">
        <v>344</v>
      </c>
      <c r="C188" s="66"/>
      <c r="D188" s="66"/>
      <c r="E188" s="66"/>
      <c r="F188" s="66"/>
      <c r="G188" s="66"/>
      <c r="H188" s="66"/>
      <c r="I188" s="66"/>
      <c r="J188" s="66"/>
    </row>
    <row r="189" spans="2:10">
      <c r="B189" s="54" t="s">
        <v>342</v>
      </c>
      <c r="C189" s="129"/>
      <c r="D189" s="129"/>
      <c r="E189" s="129"/>
      <c r="F189" s="66"/>
      <c r="G189" s="66"/>
      <c r="H189" s="66"/>
      <c r="I189" s="66"/>
      <c r="J189" s="66"/>
    </row>
    <row r="190" spans="2:10">
      <c r="B190" s="147" t="s">
        <v>341</v>
      </c>
      <c r="C190" s="129"/>
      <c r="D190" s="129"/>
      <c r="E190" s="129"/>
      <c r="F190" s="66"/>
      <c r="G190" s="66"/>
      <c r="H190" s="66"/>
      <c r="I190" s="66"/>
      <c r="J190" s="66"/>
    </row>
    <row r="191" spans="2:10">
      <c r="B191" s="147" t="s">
        <v>340</v>
      </c>
      <c r="C191" s="129"/>
      <c r="D191" s="129"/>
      <c r="E191" s="129"/>
      <c r="F191" s="66"/>
      <c r="G191" s="66"/>
      <c r="H191" s="66"/>
      <c r="I191" s="66"/>
      <c r="J191" s="66"/>
    </row>
    <row r="192" spans="2:10">
      <c r="B192" s="54" t="s">
        <v>339</v>
      </c>
      <c r="C192" s="129"/>
      <c r="D192" s="129"/>
      <c r="E192" s="129"/>
      <c r="F192" s="66"/>
      <c r="G192" s="66"/>
      <c r="H192" s="66"/>
      <c r="I192" s="66"/>
      <c r="J192" s="66"/>
    </row>
    <row r="193" spans="2:10">
      <c r="B193" s="54" t="s">
        <v>338</v>
      </c>
      <c r="C193" s="129"/>
      <c r="D193" s="129"/>
      <c r="E193" s="129"/>
      <c r="F193" s="66"/>
      <c r="G193" s="66"/>
      <c r="H193" s="66"/>
      <c r="I193" s="66"/>
      <c r="J193" s="66"/>
    </row>
    <row r="194" spans="2:10">
      <c r="B194" s="147" t="s">
        <v>337</v>
      </c>
      <c r="C194" s="129"/>
      <c r="D194" s="129"/>
      <c r="E194" s="129"/>
      <c r="F194" s="66"/>
      <c r="G194" s="66"/>
      <c r="H194" s="66"/>
      <c r="I194" s="66"/>
      <c r="J194" s="66"/>
    </row>
    <row r="195" spans="2:10">
      <c r="B195" s="147" t="s">
        <v>336</v>
      </c>
      <c r="C195" s="129"/>
      <c r="D195" s="129"/>
      <c r="E195" s="129"/>
      <c r="F195" s="66"/>
      <c r="G195" s="66"/>
      <c r="H195" s="66"/>
      <c r="I195" s="66"/>
      <c r="J195" s="66"/>
    </row>
    <row r="196" spans="2:10">
      <c r="B196" s="147" t="s">
        <v>335</v>
      </c>
      <c r="C196" s="129"/>
      <c r="D196" s="129"/>
      <c r="E196" s="129"/>
      <c r="F196" s="66"/>
      <c r="G196" s="66"/>
      <c r="H196" s="66"/>
      <c r="I196" s="66"/>
      <c r="J196" s="66"/>
    </row>
    <row r="197" spans="2:10">
      <c r="B197" s="147"/>
      <c r="C197" s="66"/>
      <c r="D197" s="66"/>
      <c r="E197" s="66"/>
      <c r="F197" s="66"/>
      <c r="G197" s="66"/>
      <c r="H197" s="66"/>
      <c r="I197" s="66"/>
      <c r="J197" s="66"/>
    </row>
    <row r="198" spans="2:10" ht="26">
      <c r="B198" s="148" t="s">
        <v>343</v>
      </c>
      <c r="C198" s="66"/>
      <c r="D198" s="66"/>
      <c r="E198" s="66"/>
      <c r="F198" s="66"/>
      <c r="G198" s="66"/>
      <c r="H198" s="66"/>
      <c r="I198" s="66"/>
      <c r="J198" s="66"/>
    </row>
    <row r="199" spans="2:10">
      <c r="B199" s="54" t="s">
        <v>342</v>
      </c>
      <c r="C199" s="129"/>
      <c r="D199" s="129"/>
      <c r="E199" s="129"/>
      <c r="F199" s="66"/>
      <c r="G199" s="66"/>
      <c r="H199" s="66"/>
      <c r="I199" s="66"/>
      <c r="J199" s="66"/>
    </row>
    <row r="200" spans="2:10">
      <c r="B200" s="147" t="s">
        <v>341</v>
      </c>
      <c r="C200" s="129"/>
      <c r="D200" s="129"/>
      <c r="E200" s="129"/>
      <c r="F200" s="66"/>
      <c r="G200" s="66"/>
      <c r="H200" s="66"/>
      <c r="I200" s="66"/>
      <c r="J200" s="66"/>
    </row>
    <row r="201" spans="2:10">
      <c r="B201" s="147" t="s">
        <v>340</v>
      </c>
      <c r="C201" s="129"/>
      <c r="D201" s="129"/>
      <c r="E201" s="129"/>
      <c r="F201" s="66"/>
      <c r="G201" s="66"/>
      <c r="H201" s="66"/>
      <c r="I201" s="66"/>
      <c r="J201" s="66"/>
    </row>
    <row r="202" spans="2:10">
      <c r="B202" s="54" t="s">
        <v>339</v>
      </c>
      <c r="C202" s="129"/>
      <c r="D202" s="129"/>
      <c r="E202" s="129"/>
      <c r="F202" s="66"/>
      <c r="G202" s="66"/>
      <c r="H202" s="66"/>
      <c r="I202" s="66"/>
      <c r="J202" s="66"/>
    </row>
    <row r="203" spans="2:10">
      <c r="B203" s="54" t="s">
        <v>338</v>
      </c>
      <c r="C203" s="129"/>
      <c r="D203" s="129"/>
      <c r="E203" s="129"/>
      <c r="F203" s="66"/>
      <c r="G203" s="66"/>
      <c r="H203" s="66"/>
      <c r="I203" s="66"/>
      <c r="J203" s="66"/>
    </row>
    <row r="204" spans="2:10">
      <c r="B204" s="147" t="s">
        <v>337</v>
      </c>
      <c r="C204" s="129"/>
      <c r="D204" s="129"/>
      <c r="E204" s="129"/>
      <c r="F204" s="66"/>
      <c r="G204" s="66"/>
      <c r="H204" s="66"/>
      <c r="I204" s="66"/>
      <c r="J204" s="66"/>
    </row>
    <row r="205" spans="2:10">
      <c r="B205" s="147" t="s">
        <v>336</v>
      </c>
      <c r="C205" s="129"/>
      <c r="D205" s="129"/>
      <c r="E205" s="129"/>
      <c r="F205" s="66"/>
      <c r="G205" s="66"/>
      <c r="H205" s="66"/>
      <c r="I205" s="66"/>
      <c r="J205" s="66"/>
    </row>
    <row r="206" spans="2:10" ht="15" thickBot="1">
      <c r="B206" s="146" t="s">
        <v>335</v>
      </c>
      <c r="C206" s="129"/>
      <c r="D206" s="129"/>
      <c r="E206" s="129"/>
      <c r="F206" s="66"/>
      <c r="G206" s="66"/>
      <c r="H206" s="66"/>
      <c r="I206" s="66"/>
      <c r="J206" s="66"/>
    </row>
    <row r="207" spans="2:10" ht="15" thickTop="1">
      <c r="B207" s="2031" t="s">
        <v>1870</v>
      </c>
      <c r="C207" s="2031"/>
      <c r="D207" s="2031"/>
      <c r="E207" s="2031"/>
      <c r="F207" s="2031"/>
      <c r="G207" s="2031"/>
      <c r="H207" s="2031"/>
      <c r="I207" s="2031"/>
      <c r="J207" s="2031"/>
    </row>
    <row r="208" spans="2:10">
      <c r="B208" s="64"/>
      <c r="C208" s="121"/>
      <c r="D208" s="121"/>
      <c r="E208" s="121"/>
      <c r="F208" s="121"/>
      <c r="G208" s="121"/>
      <c r="H208" s="121"/>
      <c r="I208" s="121"/>
      <c r="J208" s="121"/>
    </row>
    <row r="209" spans="2:10">
      <c r="B209" s="2024" t="s">
        <v>364</v>
      </c>
      <c r="C209" s="2024"/>
      <c r="D209" s="2024"/>
      <c r="E209" s="2024"/>
      <c r="F209" s="2024"/>
      <c r="G209" s="2024"/>
      <c r="H209" s="2024"/>
      <c r="I209" s="2024"/>
      <c r="J209" s="2024"/>
    </row>
    <row r="210" spans="2:10">
      <c r="B210" s="12" t="s">
        <v>363</v>
      </c>
      <c r="C210" s="121"/>
      <c r="D210" s="121"/>
      <c r="E210" s="121"/>
      <c r="F210" s="121"/>
      <c r="G210" s="121"/>
      <c r="H210" s="121"/>
      <c r="I210" s="121"/>
      <c r="J210" s="121"/>
    </row>
    <row r="211" spans="2:10">
      <c r="B211" s="62" t="s">
        <v>311</v>
      </c>
      <c r="C211" s="121"/>
      <c r="D211" s="121"/>
      <c r="E211" s="121"/>
      <c r="F211" s="121"/>
      <c r="G211" s="121"/>
      <c r="H211" s="121"/>
      <c r="I211" s="121"/>
      <c r="J211" s="121"/>
    </row>
    <row r="212" spans="2:10">
      <c r="B212" s="64"/>
      <c r="C212" s="121"/>
      <c r="D212" s="121"/>
      <c r="E212" s="121"/>
      <c r="F212" s="121"/>
      <c r="G212" s="121"/>
      <c r="H212" s="121"/>
      <c r="I212" s="121"/>
      <c r="J212" s="121"/>
    </row>
    <row r="213" spans="2:10">
      <c r="B213" s="61"/>
      <c r="C213" s="60">
        <v>2014</v>
      </c>
      <c r="D213" s="60">
        <v>2015</v>
      </c>
      <c r="E213" s="60">
        <v>2016</v>
      </c>
      <c r="F213" s="60">
        <v>2017</v>
      </c>
      <c r="G213" s="60">
        <v>2018</v>
      </c>
      <c r="H213" s="60">
        <v>2019</v>
      </c>
      <c r="I213" s="60">
        <v>2020</v>
      </c>
      <c r="J213" s="60">
        <v>2021</v>
      </c>
    </row>
    <row r="214" spans="2:10">
      <c r="B214" s="114" t="s">
        <v>362</v>
      </c>
      <c r="C214" s="66"/>
      <c r="D214" s="66"/>
      <c r="E214" s="66"/>
      <c r="F214" s="66"/>
      <c r="G214" s="66"/>
      <c r="H214" s="66"/>
      <c r="I214" s="66"/>
      <c r="J214" s="66"/>
    </row>
    <row r="215" spans="2:10">
      <c r="B215" s="54" t="s">
        <v>361</v>
      </c>
      <c r="C215" s="858">
        <v>6392.857</v>
      </c>
      <c r="D215" s="858">
        <v>6722.9250000000002</v>
      </c>
      <c r="E215" s="858">
        <v>8658.3529999999992</v>
      </c>
      <c r="F215" s="858">
        <v>12384.528</v>
      </c>
      <c r="G215" s="858">
        <v>14370.718999999999</v>
      </c>
      <c r="H215" s="66">
        <v>13837.616</v>
      </c>
      <c r="I215" s="55">
        <v>13063.120999999999</v>
      </c>
      <c r="J215" s="55">
        <v>16274.450999999999</v>
      </c>
    </row>
    <row r="216" spans="2:10">
      <c r="B216" s="151" t="s">
        <v>360</v>
      </c>
      <c r="C216" s="55"/>
      <c r="D216" s="55"/>
      <c r="E216" s="55"/>
      <c r="F216" s="55"/>
      <c r="G216" s="55"/>
      <c r="H216" s="55"/>
      <c r="I216" s="55"/>
      <c r="J216" s="55"/>
    </row>
    <row r="217" spans="2:10">
      <c r="B217" s="151" t="s">
        <v>359</v>
      </c>
      <c r="C217" s="55"/>
      <c r="D217" s="55"/>
      <c r="E217" s="55"/>
      <c r="F217" s="55"/>
      <c r="G217" s="55"/>
      <c r="H217" s="55"/>
      <c r="I217" s="55"/>
      <c r="J217" s="55"/>
    </row>
    <row r="218" spans="2:10">
      <c r="B218" s="152" t="s">
        <v>358</v>
      </c>
      <c r="C218" s="1391">
        <v>30.882000000000001</v>
      </c>
      <c r="D218" s="1392">
        <v>335.952</v>
      </c>
      <c r="E218" s="1392">
        <v>342.483</v>
      </c>
      <c r="F218" s="1392">
        <v>368.23</v>
      </c>
      <c r="G218" s="1392">
        <v>531.98199999999997</v>
      </c>
      <c r="H218" s="66">
        <v>550.46299999999997</v>
      </c>
      <c r="I218" s="55">
        <v>450.95299999999997</v>
      </c>
      <c r="J218" s="55">
        <v>510.88900000000001</v>
      </c>
    </row>
    <row r="219" spans="2:10">
      <c r="B219" s="71" t="s">
        <v>357</v>
      </c>
      <c r="C219" s="55">
        <f>C220</f>
        <v>5975.308</v>
      </c>
      <c r="D219" s="55">
        <f t="shared" ref="D219:J219" si="7">D220</f>
        <v>1209.7049999999999</v>
      </c>
      <c r="E219" s="55">
        <f t="shared" si="7"/>
        <v>1454.828</v>
      </c>
      <c r="F219" s="55">
        <f t="shared" si="7"/>
        <v>1634.798</v>
      </c>
      <c r="G219" s="55">
        <f t="shared" si="7"/>
        <v>1676.7850000000001</v>
      </c>
      <c r="H219" s="55">
        <f t="shared" si="7"/>
        <v>1898.183</v>
      </c>
      <c r="I219" s="55">
        <f t="shared" si="7"/>
        <v>1750.7190000000001</v>
      </c>
      <c r="J219" s="55">
        <f t="shared" si="7"/>
        <v>2000.51</v>
      </c>
    </row>
    <row r="220" spans="2:10">
      <c r="B220" s="151" t="s">
        <v>356</v>
      </c>
      <c r="C220" s="858">
        <v>5975.308</v>
      </c>
      <c r="D220" s="858">
        <v>1209.7049999999999</v>
      </c>
      <c r="E220" s="858">
        <v>1454.828</v>
      </c>
      <c r="F220" s="858">
        <v>1634.798</v>
      </c>
      <c r="G220" s="858">
        <v>1676.7850000000001</v>
      </c>
      <c r="H220" s="66">
        <v>1898.183</v>
      </c>
      <c r="I220" s="55">
        <v>1750.7190000000001</v>
      </c>
      <c r="J220" s="55">
        <v>2000.51</v>
      </c>
    </row>
    <row r="221" spans="2:10">
      <c r="B221" s="151" t="s">
        <v>355</v>
      </c>
      <c r="C221" s="55"/>
      <c r="D221" s="55"/>
      <c r="E221" s="55"/>
      <c r="F221" s="55"/>
      <c r="G221" s="55"/>
      <c r="H221" s="55"/>
      <c r="I221" s="55"/>
      <c r="J221" s="55"/>
    </row>
    <row r="222" spans="2:10">
      <c r="B222" s="151" t="s">
        <v>354</v>
      </c>
      <c r="C222" s="232">
        <v>434.274</v>
      </c>
      <c r="D222" s="232">
        <v>584.90499999999997</v>
      </c>
      <c r="E222" s="232">
        <v>615.54300000000001</v>
      </c>
      <c r="F222" s="232">
        <v>791.78499999999997</v>
      </c>
      <c r="G222" s="232">
        <v>824.78899999999999</v>
      </c>
      <c r="H222" s="67">
        <v>888.327</v>
      </c>
      <c r="I222" s="55">
        <v>614.17600000000004</v>
      </c>
      <c r="J222" s="55">
        <v>950.00699999999995</v>
      </c>
    </row>
    <row r="223" spans="2:10">
      <c r="B223" s="71" t="s">
        <v>480</v>
      </c>
      <c r="C223" s="55"/>
      <c r="D223" s="55"/>
      <c r="E223" s="55"/>
      <c r="F223" s="55"/>
      <c r="G223" s="55"/>
      <c r="H223" s="55"/>
      <c r="I223" s="55"/>
      <c r="J223" s="55"/>
    </row>
    <row r="224" spans="2:10">
      <c r="B224" s="71" t="s">
        <v>483</v>
      </c>
      <c r="C224" s="55">
        <f>C225+C226</f>
        <v>14954.624</v>
      </c>
      <c r="D224" s="55">
        <f t="shared" ref="D224:J224" si="8">D225+D226</f>
        <v>15010.151</v>
      </c>
      <c r="E224" s="55">
        <f t="shared" si="8"/>
        <v>14383.895</v>
      </c>
      <c r="F224" s="55">
        <f t="shared" si="8"/>
        <v>17104.094000000001</v>
      </c>
      <c r="G224" s="55">
        <f t="shared" si="8"/>
        <v>23941.233</v>
      </c>
      <c r="H224" s="55">
        <f t="shared" si="8"/>
        <v>23127.304999999997</v>
      </c>
      <c r="I224" s="55">
        <f t="shared" si="8"/>
        <v>16682.66</v>
      </c>
      <c r="J224" s="55">
        <f t="shared" si="8"/>
        <v>9196.6630000000005</v>
      </c>
    </row>
    <row r="225" spans="2:10">
      <c r="B225" s="150" t="s">
        <v>352</v>
      </c>
      <c r="C225" s="1391">
        <v>14381.871999999999</v>
      </c>
      <c r="D225" s="1391">
        <v>14264.797</v>
      </c>
      <c r="E225" s="1391">
        <v>13693.834000000001</v>
      </c>
      <c r="F225" s="1391">
        <v>16495.007000000001</v>
      </c>
      <c r="G225" s="1391">
        <v>23239.35</v>
      </c>
      <c r="H225" s="66">
        <v>22371.812999999998</v>
      </c>
      <c r="I225" s="55">
        <v>16278.858</v>
      </c>
      <c r="J225" s="55">
        <v>8556.1360000000004</v>
      </c>
    </row>
    <row r="226" spans="2:10">
      <c r="B226" s="150" t="s">
        <v>351</v>
      </c>
      <c r="C226" s="1391">
        <v>572.75199999999995</v>
      </c>
      <c r="D226" s="1391">
        <v>745.35400000000004</v>
      </c>
      <c r="E226" s="1391">
        <v>690.06100000000004</v>
      </c>
      <c r="F226" s="1391">
        <v>609.08699999999999</v>
      </c>
      <c r="G226" s="232">
        <v>701.88300000000004</v>
      </c>
      <c r="H226" s="67">
        <v>755.49199999999996</v>
      </c>
      <c r="I226" s="55">
        <v>403.80200000000002</v>
      </c>
      <c r="J226" s="55">
        <v>640.52700000000004</v>
      </c>
    </row>
    <row r="227" spans="2:10">
      <c r="B227" s="54" t="s">
        <v>350</v>
      </c>
      <c r="C227" s="55"/>
      <c r="D227" s="55"/>
      <c r="E227" s="55"/>
      <c r="F227" s="55"/>
      <c r="G227" s="55"/>
      <c r="H227" s="55"/>
      <c r="I227" s="55"/>
      <c r="J227" s="55"/>
    </row>
    <row r="228" spans="2:10">
      <c r="B228" s="54"/>
      <c r="C228" s="55"/>
      <c r="D228" s="55"/>
      <c r="E228" s="55"/>
      <c r="F228" s="55"/>
      <c r="G228" s="55"/>
      <c r="H228" s="55"/>
      <c r="I228" s="55"/>
      <c r="J228" s="55"/>
    </row>
    <row r="229" spans="2:10">
      <c r="B229" s="54" t="s">
        <v>349</v>
      </c>
      <c r="C229" s="55">
        <f>C215+C218+C220+C222+C224</f>
        <v>27787.945</v>
      </c>
      <c r="D229" s="55">
        <f t="shared" ref="D229:I229" si="9">D215+D218+D220+D222+D224</f>
        <v>23863.637999999999</v>
      </c>
      <c r="E229" s="55">
        <f t="shared" si="9"/>
        <v>25455.101999999999</v>
      </c>
      <c r="F229" s="55">
        <f t="shared" si="9"/>
        <v>32283.435000000001</v>
      </c>
      <c r="G229" s="55">
        <f t="shared" si="9"/>
        <v>41345.508000000002</v>
      </c>
      <c r="H229" s="55">
        <f t="shared" si="9"/>
        <v>40301.894</v>
      </c>
      <c r="I229" s="55">
        <f t="shared" si="9"/>
        <v>32561.628999999997</v>
      </c>
      <c r="J229" s="55">
        <f>J215+J218+J220+J222+J224</f>
        <v>28932.52</v>
      </c>
    </row>
    <row r="230" spans="2:10">
      <c r="B230" s="147" t="s">
        <v>348</v>
      </c>
      <c r="C230" s="55"/>
      <c r="D230" s="55"/>
      <c r="E230" s="55"/>
      <c r="F230" s="55"/>
      <c r="G230" s="55"/>
      <c r="H230" s="55"/>
      <c r="I230" s="55"/>
      <c r="J230" s="55"/>
    </row>
    <row r="231" spans="2:10">
      <c r="B231" s="147"/>
      <c r="C231" s="55"/>
      <c r="D231" s="55"/>
      <c r="E231" s="55"/>
      <c r="F231" s="55"/>
      <c r="G231" s="55"/>
      <c r="H231" s="55"/>
      <c r="I231" s="55"/>
      <c r="J231" s="55"/>
    </row>
    <row r="232" spans="2:10">
      <c r="B232" s="54" t="s">
        <v>347</v>
      </c>
      <c r="C232" s="55"/>
      <c r="D232" s="55"/>
      <c r="E232" s="55"/>
      <c r="F232" s="55"/>
      <c r="G232" s="55"/>
      <c r="H232" s="55"/>
      <c r="I232" s="55"/>
      <c r="J232" s="55"/>
    </row>
    <row r="233" spans="2:10">
      <c r="B233" s="54"/>
      <c r="C233" s="55"/>
      <c r="D233" s="55"/>
      <c r="E233" s="55"/>
      <c r="F233" s="55"/>
      <c r="G233" s="55"/>
      <c r="H233" s="55"/>
      <c r="I233" s="55"/>
      <c r="J233" s="55"/>
    </row>
    <row r="234" spans="2:10">
      <c r="B234" s="114" t="s">
        <v>346</v>
      </c>
      <c r="C234" s="55"/>
      <c r="D234" s="55"/>
      <c r="E234" s="55"/>
      <c r="F234" s="55"/>
      <c r="G234" s="55"/>
      <c r="H234" s="55"/>
      <c r="I234" s="55"/>
      <c r="J234" s="55"/>
    </row>
    <row r="235" spans="2:10">
      <c r="B235" s="54" t="s">
        <v>342</v>
      </c>
      <c r="C235" s="232">
        <v>6624.7790000000005</v>
      </c>
      <c r="D235" s="232">
        <v>2823.7060000000001</v>
      </c>
      <c r="E235" s="232">
        <v>2689.223</v>
      </c>
      <c r="F235" s="232">
        <v>2078.6489999999999</v>
      </c>
      <c r="G235" s="232">
        <v>1917.011</v>
      </c>
      <c r="H235" s="66">
        <v>2085.84</v>
      </c>
      <c r="I235" s="55">
        <v>2026.2370000000001</v>
      </c>
      <c r="J235" s="55">
        <v>1884.152</v>
      </c>
    </row>
    <row r="236" spans="2:10">
      <c r="B236" s="147" t="s">
        <v>341</v>
      </c>
      <c r="C236" s="55"/>
      <c r="D236" s="55"/>
      <c r="E236" s="55"/>
      <c r="F236" s="55"/>
      <c r="G236" s="55"/>
      <c r="H236" s="55"/>
      <c r="I236" s="55"/>
      <c r="J236" s="55"/>
    </row>
    <row r="237" spans="2:10">
      <c r="B237" s="147" t="s">
        <v>340</v>
      </c>
      <c r="C237" s="55"/>
      <c r="D237" s="55"/>
      <c r="E237" s="55"/>
      <c r="F237" s="55"/>
      <c r="G237" s="55"/>
      <c r="H237" s="55"/>
      <c r="I237" s="55"/>
      <c r="J237" s="55"/>
    </row>
    <row r="238" spans="2:10">
      <c r="B238" s="54" t="s">
        <v>339</v>
      </c>
      <c r="C238" s="102"/>
      <c r="D238" s="102"/>
      <c r="E238" s="102"/>
      <c r="F238" s="55"/>
      <c r="G238" s="55"/>
      <c r="H238" s="55"/>
      <c r="I238" s="55"/>
      <c r="J238" s="55"/>
    </row>
    <row r="239" spans="2:10">
      <c r="B239" s="54" t="s">
        <v>480</v>
      </c>
      <c r="C239" s="102"/>
      <c r="D239" s="102"/>
      <c r="E239" s="102"/>
      <c r="F239" s="55"/>
      <c r="G239" s="55"/>
      <c r="H239" s="55"/>
      <c r="I239" s="55">
        <v>22.09395</v>
      </c>
      <c r="J239" s="55">
        <v>8.3104300000000002</v>
      </c>
    </row>
    <row r="240" spans="2:10">
      <c r="B240" s="147" t="s">
        <v>337</v>
      </c>
      <c r="C240" s="102"/>
      <c r="D240" s="102"/>
      <c r="E240" s="102"/>
      <c r="F240" s="55"/>
      <c r="G240" s="55"/>
      <c r="H240" s="55"/>
      <c r="I240" s="55"/>
      <c r="J240" s="55"/>
    </row>
    <row r="241" spans="2:10">
      <c r="B241" s="147" t="s">
        <v>336</v>
      </c>
      <c r="C241" s="102"/>
      <c r="D241" s="102"/>
      <c r="E241" s="102"/>
      <c r="F241" s="55"/>
      <c r="G241" s="55"/>
      <c r="H241" s="55"/>
      <c r="I241" s="55"/>
      <c r="J241" s="55"/>
    </row>
    <row r="242" spans="2:10">
      <c r="B242" s="147" t="s">
        <v>335</v>
      </c>
      <c r="C242" s="102"/>
      <c r="D242" s="102"/>
      <c r="E242" s="102"/>
      <c r="F242" s="55"/>
      <c r="G242" s="55"/>
      <c r="H242" s="55"/>
      <c r="I242" s="55"/>
      <c r="J242" s="55"/>
    </row>
    <row r="243" spans="2:10">
      <c r="B243" s="147"/>
      <c r="C243" s="55"/>
      <c r="D243" s="55"/>
      <c r="E243" s="55"/>
      <c r="F243" s="55"/>
      <c r="G243" s="55"/>
      <c r="H243" s="55"/>
      <c r="I243" s="55"/>
      <c r="J243" s="55"/>
    </row>
    <row r="244" spans="2:10" ht="26">
      <c r="B244" s="148" t="s">
        <v>345</v>
      </c>
      <c r="C244" s="55"/>
      <c r="D244" s="55"/>
      <c r="E244" s="55"/>
      <c r="F244" s="55"/>
      <c r="G244" s="55"/>
      <c r="H244" s="55"/>
      <c r="I244" s="55"/>
      <c r="J244" s="55"/>
    </row>
    <row r="245" spans="2:10">
      <c r="B245" s="54" t="s">
        <v>342</v>
      </c>
      <c r="C245" s="102"/>
      <c r="D245" s="102"/>
      <c r="E245" s="102"/>
      <c r="F245" s="55"/>
      <c r="G245" s="55"/>
      <c r="H245" s="55"/>
      <c r="I245" s="55"/>
      <c r="J245" s="55"/>
    </row>
    <row r="246" spans="2:10">
      <c r="B246" s="147" t="s">
        <v>341</v>
      </c>
      <c r="C246" s="102"/>
      <c r="D246" s="102"/>
      <c r="E246" s="102"/>
      <c r="F246" s="55"/>
      <c r="G246" s="55"/>
      <c r="H246" s="55"/>
      <c r="I246" s="55"/>
      <c r="J246" s="55"/>
    </row>
    <row r="247" spans="2:10">
      <c r="B247" s="147" t="s">
        <v>340</v>
      </c>
      <c r="C247" s="102"/>
      <c r="D247" s="102"/>
      <c r="E247" s="102"/>
      <c r="F247" s="55"/>
      <c r="G247" s="55"/>
      <c r="H247" s="55"/>
      <c r="I247" s="55"/>
      <c r="J247" s="55"/>
    </row>
    <row r="248" spans="2:10">
      <c r="B248" s="54" t="s">
        <v>339</v>
      </c>
      <c r="C248" s="102"/>
      <c r="D248" s="102"/>
      <c r="E248" s="102"/>
      <c r="F248" s="55"/>
      <c r="G248" s="55"/>
      <c r="H248" s="55"/>
      <c r="I248" s="55"/>
      <c r="J248" s="55"/>
    </row>
    <row r="249" spans="2:10">
      <c r="B249" s="54" t="s">
        <v>338</v>
      </c>
      <c r="C249" s="102"/>
      <c r="D249" s="102"/>
      <c r="E249" s="102"/>
      <c r="F249" s="55"/>
      <c r="G249" s="55"/>
      <c r="H249" s="55"/>
      <c r="I249" s="55"/>
      <c r="J249" s="55"/>
    </row>
    <row r="250" spans="2:10">
      <c r="B250" s="147" t="s">
        <v>337</v>
      </c>
      <c r="C250" s="102"/>
      <c r="D250" s="102"/>
      <c r="E250" s="102"/>
      <c r="F250" s="55"/>
      <c r="G250" s="55"/>
      <c r="H250" s="55"/>
      <c r="I250" s="55"/>
      <c r="J250" s="55"/>
    </row>
    <row r="251" spans="2:10">
      <c r="B251" s="147" t="s">
        <v>336</v>
      </c>
      <c r="C251" s="102"/>
      <c r="D251" s="102"/>
      <c r="E251" s="102"/>
      <c r="F251" s="55"/>
      <c r="G251" s="55"/>
      <c r="H251" s="55"/>
      <c r="I251" s="55"/>
      <c r="J251" s="55"/>
    </row>
    <row r="252" spans="2:10">
      <c r="B252" s="147" t="s">
        <v>335</v>
      </c>
      <c r="C252" s="102"/>
      <c r="D252" s="102"/>
      <c r="E252" s="102"/>
      <c r="F252" s="55"/>
      <c r="G252" s="55"/>
      <c r="H252" s="55"/>
      <c r="I252" s="55"/>
      <c r="J252" s="55"/>
    </row>
    <row r="253" spans="2:10">
      <c r="B253" s="147"/>
      <c r="C253" s="55"/>
      <c r="D253" s="55"/>
      <c r="E253" s="55"/>
      <c r="F253" s="55"/>
      <c r="G253" s="55"/>
      <c r="H253" s="55"/>
      <c r="I253" s="55"/>
      <c r="J253" s="55"/>
    </row>
    <row r="254" spans="2:10" ht="26">
      <c r="B254" s="148" t="s">
        <v>344</v>
      </c>
      <c r="C254" s="55"/>
      <c r="D254" s="55"/>
      <c r="E254" s="55"/>
      <c r="F254" s="55"/>
      <c r="G254" s="55"/>
      <c r="H254" s="55"/>
      <c r="I254" s="55"/>
      <c r="J254" s="55"/>
    </row>
    <row r="255" spans="2:10">
      <c r="B255" s="54" t="s">
        <v>342</v>
      </c>
      <c r="C255" s="102"/>
      <c r="D255" s="102"/>
      <c r="E255" s="102"/>
      <c r="F255" s="55"/>
      <c r="G255" s="55"/>
      <c r="H255" s="55"/>
      <c r="I255" s="55"/>
      <c r="J255" s="55"/>
    </row>
    <row r="256" spans="2:10">
      <c r="B256" s="147" t="s">
        <v>341</v>
      </c>
      <c r="C256" s="102"/>
      <c r="D256" s="102"/>
      <c r="E256" s="102"/>
      <c r="F256" s="55"/>
      <c r="G256" s="55"/>
      <c r="H256" s="55"/>
      <c r="I256" s="55"/>
      <c r="J256" s="55"/>
    </row>
    <row r="257" spans="2:10">
      <c r="B257" s="147" t="s">
        <v>340</v>
      </c>
      <c r="C257" s="102"/>
      <c r="D257" s="102"/>
      <c r="E257" s="102"/>
      <c r="F257" s="55"/>
      <c r="G257" s="55"/>
      <c r="H257" s="55"/>
      <c r="I257" s="55"/>
      <c r="J257" s="55"/>
    </row>
    <row r="258" spans="2:10">
      <c r="B258" s="54" t="s">
        <v>339</v>
      </c>
      <c r="C258" s="102"/>
      <c r="D258" s="102"/>
      <c r="E258" s="102"/>
      <c r="F258" s="55"/>
      <c r="G258" s="55"/>
      <c r="H258" s="55"/>
      <c r="I258" s="55"/>
      <c r="J258" s="55"/>
    </row>
    <row r="259" spans="2:10">
      <c r="B259" s="54" t="s">
        <v>338</v>
      </c>
      <c r="C259" s="102"/>
      <c r="D259" s="102"/>
      <c r="E259" s="102"/>
      <c r="F259" s="55"/>
      <c r="G259" s="55"/>
      <c r="H259" s="55"/>
      <c r="I259" s="55"/>
      <c r="J259" s="55"/>
    </row>
    <row r="260" spans="2:10">
      <c r="B260" s="147" t="s">
        <v>337</v>
      </c>
      <c r="C260" s="102"/>
      <c r="D260" s="102"/>
      <c r="E260" s="102"/>
      <c r="F260" s="55"/>
      <c r="G260" s="55"/>
      <c r="H260" s="55"/>
      <c r="I260" s="55"/>
      <c r="J260" s="55"/>
    </row>
    <row r="261" spans="2:10">
      <c r="B261" s="147" t="s">
        <v>336</v>
      </c>
      <c r="C261" s="102"/>
      <c r="D261" s="102"/>
      <c r="E261" s="102"/>
      <c r="F261" s="55"/>
      <c r="G261" s="55"/>
      <c r="H261" s="55"/>
      <c r="I261" s="55"/>
      <c r="J261" s="55"/>
    </row>
    <row r="262" spans="2:10">
      <c r="B262" s="147" t="s">
        <v>335</v>
      </c>
      <c r="C262" s="102"/>
      <c r="D262" s="102"/>
      <c r="E262" s="102"/>
      <c r="F262" s="55"/>
      <c r="G262" s="55"/>
      <c r="H262" s="55"/>
      <c r="I262" s="55"/>
      <c r="J262" s="55"/>
    </row>
    <row r="263" spans="2:10">
      <c r="B263" s="147"/>
      <c r="C263" s="55"/>
      <c r="D263" s="55"/>
      <c r="E263" s="55"/>
      <c r="F263" s="55"/>
      <c r="G263" s="55"/>
      <c r="H263" s="55"/>
      <c r="I263" s="55"/>
      <c r="J263" s="55"/>
    </row>
    <row r="264" spans="2:10" ht="26">
      <c r="B264" s="148" t="s">
        <v>343</v>
      </c>
      <c r="C264" s="55"/>
      <c r="D264" s="55"/>
      <c r="E264" s="55"/>
      <c r="F264" s="55"/>
      <c r="G264" s="55"/>
      <c r="H264" s="55"/>
      <c r="I264" s="55"/>
      <c r="J264" s="55"/>
    </row>
    <row r="265" spans="2:10">
      <c r="B265" s="54" t="s">
        <v>342</v>
      </c>
      <c r="C265" s="102"/>
      <c r="D265" s="102"/>
      <c r="E265" s="102"/>
      <c r="F265" s="55"/>
      <c r="G265" s="55"/>
      <c r="H265" s="55"/>
      <c r="I265" s="55"/>
      <c r="J265" s="55"/>
    </row>
    <row r="266" spans="2:10">
      <c r="B266" s="147" t="s">
        <v>341</v>
      </c>
      <c r="C266" s="102"/>
      <c r="D266" s="102"/>
      <c r="E266" s="102"/>
      <c r="F266" s="55"/>
      <c r="G266" s="55"/>
      <c r="H266" s="55"/>
      <c r="I266" s="55"/>
      <c r="J266" s="55"/>
    </row>
    <row r="267" spans="2:10">
      <c r="B267" s="147" t="s">
        <v>340</v>
      </c>
      <c r="C267" s="102"/>
      <c r="D267" s="102"/>
      <c r="E267" s="102"/>
      <c r="F267" s="55"/>
      <c r="G267" s="55"/>
      <c r="H267" s="55"/>
      <c r="I267" s="55"/>
      <c r="J267" s="55"/>
    </row>
    <row r="268" spans="2:10">
      <c r="B268" s="54" t="s">
        <v>339</v>
      </c>
      <c r="C268" s="102"/>
      <c r="D268" s="102"/>
      <c r="E268" s="102"/>
      <c r="F268" s="55"/>
      <c r="G268" s="55"/>
      <c r="H268" s="55"/>
      <c r="I268" s="55"/>
      <c r="J268" s="55"/>
    </row>
    <row r="269" spans="2:10">
      <c r="B269" s="54" t="s">
        <v>338</v>
      </c>
      <c r="C269" s="102"/>
      <c r="D269" s="102"/>
      <c r="E269" s="102"/>
      <c r="F269" s="55"/>
      <c r="G269" s="55"/>
      <c r="H269" s="55"/>
      <c r="I269" s="55"/>
      <c r="J269" s="55"/>
    </row>
    <row r="270" spans="2:10">
      <c r="B270" s="147" t="s">
        <v>337</v>
      </c>
      <c r="C270" s="102"/>
      <c r="D270" s="102"/>
      <c r="E270" s="102"/>
      <c r="F270" s="55"/>
      <c r="G270" s="55"/>
      <c r="H270" s="55"/>
      <c r="I270" s="55"/>
      <c r="J270" s="55"/>
    </row>
    <row r="271" spans="2:10">
      <c r="B271" s="147" t="s">
        <v>336</v>
      </c>
      <c r="C271" s="102"/>
      <c r="D271" s="102"/>
      <c r="E271" s="102"/>
      <c r="F271" s="55"/>
      <c r="G271" s="55"/>
      <c r="H271" s="55"/>
      <c r="I271" s="55"/>
      <c r="J271" s="55"/>
    </row>
    <row r="272" spans="2:10" ht="15" thickBot="1">
      <c r="B272" s="146" t="s">
        <v>335</v>
      </c>
      <c r="C272" s="102"/>
      <c r="D272" s="102"/>
      <c r="E272" s="102"/>
      <c r="F272" s="55"/>
      <c r="G272" s="55"/>
      <c r="H272" s="55"/>
      <c r="I272" s="55"/>
      <c r="J272" s="55"/>
    </row>
    <row r="273" spans="2:10" ht="15" thickTop="1">
      <c r="B273" s="2031" t="s">
        <v>1870</v>
      </c>
      <c r="C273" s="2031"/>
      <c r="D273" s="2031"/>
      <c r="E273" s="2031"/>
      <c r="F273" s="2031"/>
      <c r="G273" s="2031"/>
      <c r="H273" s="2031"/>
      <c r="I273" s="2031"/>
      <c r="J273" s="2031"/>
    </row>
    <row r="274" spans="2:10">
      <c r="B274" s="64"/>
      <c r="C274" s="121"/>
      <c r="D274" s="121"/>
      <c r="E274" s="121"/>
      <c r="F274" s="121"/>
      <c r="G274" s="121"/>
      <c r="H274" s="121"/>
      <c r="I274" s="121"/>
      <c r="J274" s="121"/>
    </row>
    <row r="275" spans="2:10">
      <c r="B275" s="2024" t="s">
        <v>333</v>
      </c>
      <c r="C275" s="2024"/>
      <c r="D275" s="2024"/>
      <c r="E275" s="2024"/>
      <c r="F275" s="2024"/>
      <c r="G275" s="2024"/>
      <c r="H275" s="2024"/>
      <c r="I275" s="2024"/>
      <c r="J275" s="2024"/>
    </row>
    <row r="276" spans="2:10">
      <c r="B276" s="12" t="s">
        <v>332</v>
      </c>
      <c r="C276" s="121"/>
      <c r="D276" s="121"/>
      <c r="E276" s="121"/>
      <c r="F276" s="121"/>
      <c r="G276" s="121"/>
      <c r="H276" s="121"/>
      <c r="I276" s="121"/>
      <c r="J276" s="121"/>
    </row>
    <row r="277" spans="2:10">
      <c r="B277" s="62" t="s">
        <v>269</v>
      </c>
      <c r="C277" s="121"/>
      <c r="D277" s="121"/>
      <c r="E277" s="121"/>
      <c r="F277" s="121"/>
      <c r="G277" s="121"/>
      <c r="H277" s="121"/>
      <c r="I277" s="121"/>
      <c r="J277" s="121"/>
    </row>
    <row r="278" spans="2:10">
      <c r="B278" s="64"/>
      <c r="C278" s="121"/>
      <c r="D278" s="121"/>
      <c r="E278" s="121"/>
      <c r="F278" s="121"/>
      <c r="G278" s="121"/>
      <c r="H278" s="121"/>
      <c r="I278" s="121"/>
      <c r="J278" s="121"/>
    </row>
    <row r="279" spans="2:10">
      <c r="B279" s="61"/>
      <c r="C279" s="60">
        <v>2014</v>
      </c>
      <c r="D279" s="60">
        <v>2015</v>
      </c>
      <c r="E279" s="60">
        <v>2016</v>
      </c>
      <c r="F279" s="60">
        <v>2017</v>
      </c>
      <c r="G279" s="60">
        <v>2018</v>
      </c>
      <c r="H279" s="60">
        <v>2019</v>
      </c>
      <c r="I279" s="60">
        <v>2020</v>
      </c>
      <c r="J279" s="60">
        <v>2021</v>
      </c>
    </row>
    <row r="280" spans="2:10">
      <c r="B280" s="114" t="s">
        <v>310</v>
      </c>
      <c r="C280" s="121"/>
      <c r="D280" s="121"/>
      <c r="E280" s="121"/>
      <c r="F280" s="121"/>
      <c r="G280" s="121"/>
      <c r="H280" s="121"/>
      <c r="I280" s="121"/>
      <c r="J280" s="121"/>
    </row>
    <row r="281" spans="2:10">
      <c r="B281" s="114"/>
      <c r="C281" s="121"/>
      <c r="D281" s="121"/>
      <c r="E281" s="121"/>
      <c r="F281" s="121"/>
      <c r="G281" s="121"/>
      <c r="H281" s="121"/>
      <c r="I281" s="121"/>
      <c r="J281" s="121"/>
    </row>
    <row r="282" spans="2:10">
      <c r="B282" s="211" t="s">
        <v>1294</v>
      </c>
      <c r="C282" s="121"/>
      <c r="D282" s="121"/>
      <c r="E282" s="121"/>
      <c r="F282" s="121"/>
      <c r="G282" s="121"/>
      <c r="H282" s="121"/>
      <c r="I282" s="121"/>
      <c r="J282" s="121"/>
    </row>
    <row r="283" spans="2:10" ht="20.25" customHeight="1">
      <c r="B283" s="71" t="s">
        <v>331</v>
      </c>
      <c r="C283" s="75">
        <f>C285+C286+C288+C290+C293</f>
        <v>14</v>
      </c>
      <c r="D283" s="75">
        <f t="shared" ref="D283:J283" si="10">D285+D286+D288+D290+D293</f>
        <v>14</v>
      </c>
      <c r="E283" s="75">
        <f t="shared" si="10"/>
        <v>14</v>
      </c>
      <c r="F283" s="75">
        <f t="shared" si="10"/>
        <v>14</v>
      </c>
      <c r="G283" s="75">
        <f t="shared" si="10"/>
        <v>14</v>
      </c>
      <c r="H283" s="75">
        <f t="shared" si="10"/>
        <v>14</v>
      </c>
      <c r="I283" s="75">
        <f t="shared" si="10"/>
        <v>14</v>
      </c>
      <c r="J283" s="75">
        <f t="shared" si="10"/>
        <v>14</v>
      </c>
    </row>
    <row r="284" spans="2:10">
      <c r="B284" s="133" t="s">
        <v>330</v>
      </c>
      <c r="C284" s="75"/>
      <c r="D284" s="75"/>
      <c r="E284" s="75"/>
      <c r="F284" s="75"/>
      <c r="G284" s="75"/>
      <c r="H284" s="75"/>
      <c r="I284" s="75"/>
      <c r="J284" s="75"/>
    </row>
    <row r="285" spans="2:10">
      <c r="B285" s="52" t="s">
        <v>260</v>
      </c>
      <c r="C285" s="1393">
        <v>7</v>
      </c>
      <c r="D285" s="1393">
        <v>7</v>
      </c>
      <c r="E285" s="1393">
        <v>7</v>
      </c>
      <c r="F285" s="1393">
        <v>7</v>
      </c>
      <c r="G285" s="1393">
        <v>7</v>
      </c>
      <c r="H285" s="1393">
        <v>7</v>
      </c>
      <c r="I285" s="75">
        <v>7</v>
      </c>
      <c r="J285" s="75">
        <v>7</v>
      </c>
    </row>
    <row r="286" spans="2:10">
      <c r="B286" s="52" t="s">
        <v>329</v>
      </c>
      <c r="C286" s="1393">
        <v>1</v>
      </c>
      <c r="D286" s="1393">
        <v>1</v>
      </c>
      <c r="E286" s="1393">
        <v>1</v>
      </c>
      <c r="F286" s="1393">
        <v>1</v>
      </c>
      <c r="G286" s="1393">
        <v>1</v>
      </c>
      <c r="H286" s="1393">
        <v>1</v>
      </c>
      <c r="I286" s="75">
        <v>1</v>
      </c>
      <c r="J286" s="75">
        <v>1</v>
      </c>
    </row>
    <row r="287" spans="2:10">
      <c r="B287" s="52" t="s">
        <v>328</v>
      </c>
      <c r="C287" s="1393"/>
      <c r="D287" s="1393"/>
      <c r="E287" s="1393"/>
      <c r="F287" s="1393"/>
      <c r="G287" s="1393"/>
      <c r="H287" s="1393"/>
      <c r="I287" s="75"/>
      <c r="J287" s="75"/>
    </row>
    <row r="288" spans="2:10">
      <c r="B288" s="136" t="s">
        <v>327</v>
      </c>
      <c r="C288" s="1393">
        <v>1</v>
      </c>
      <c r="D288" s="1393">
        <v>1</v>
      </c>
      <c r="E288" s="1393">
        <v>1</v>
      </c>
      <c r="F288" s="1393">
        <v>1</v>
      </c>
      <c r="G288" s="1393">
        <v>1</v>
      </c>
      <c r="H288" s="1393">
        <v>1</v>
      </c>
      <c r="I288" s="75">
        <v>1</v>
      </c>
      <c r="J288" s="75">
        <v>1</v>
      </c>
    </row>
    <row r="289" spans="2:10">
      <c r="B289" s="136" t="s">
        <v>326</v>
      </c>
      <c r="C289" s="1393"/>
      <c r="D289" s="1393"/>
      <c r="E289" s="1393"/>
      <c r="F289" s="1393"/>
      <c r="G289" s="1393"/>
      <c r="H289" s="1393"/>
      <c r="I289" s="75"/>
      <c r="J289" s="75"/>
    </row>
    <row r="290" spans="2:10">
      <c r="B290" s="136" t="s">
        <v>325</v>
      </c>
      <c r="C290" s="1393">
        <v>1</v>
      </c>
      <c r="D290" s="1393">
        <v>1</v>
      </c>
      <c r="E290" s="1393">
        <v>1</v>
      </c>
      <c r="F290" s="1393">
        <v>1</v>
      </c>
      <c r="G290" s="1393">
        <v>1</v>
      </c>
      <c r="H290" s="1393">
        <v>1</v>
      </c>
      <c r="I290" s="75">
        <v>1</v>
      </c>
      <c r="J290" s="75">
        <v>1</v>
      </c>
    </row>
    <row r="291" spans="2:10">
      <c r="B291" s="136" t="s">
        <v>323</v>
      </c>
      <c r="C291" s="1393"/>
      <c r="D291" s="1393"/>
      <c r="E291" s="1393"/>
      <c r="F291" s="1393"/>
      <c r="G291" s="1393"/>
      <c r="H291" s="1393"/>
      <c r="I291" s="75"/>
      <c r="J291" s="75"/>
    </row>
    <row r="292" spans="2:10">
      <c r="B292" s="136" t="s">
        <v>117</v>
      </c>
      <c r="C292" s="1393"/>
      <c r="D292" s="1393"/>
      <c r="E292" s="1393"/>
      <c r="F292" s="1393"/>
      <c r="G292" s="1393"/>
      <c r="H292" s="1393"/>
      <c r="I292" s="75"/>
      <c r="J292" s="75"/>
    </row>
    <row r="293" spans="2:10">
      <c r="B293" s="133" t="s">
        <v>322</v>
      </c>
      <c r="C293" s="1393">
        <v>4</v>
      </c>
      <c r="D293" s="1393">
        <v>4</v>
      </c>
      <c r="E293" s="1393">
        <v>4</v>
      </c>
      <c r="F293" s="1393">
        <v>4</v>
      </c>
      <c r="G293" s="1393">
        <v>4</v>
      </c>
      <c r="H293" s="1393">
        <v>4</v>
      </c>
      <c r="I293" s="75">
        <v>4</v>
      </c>
      <c r="J293" s="75">
        <v>4</v>
      </c>
    </row>
    <row r="294" spans="2:10" ht="15" thickBot="1">
      <c r="B294" s="133"/>
      <c r="C294" s="3"/>
      <c r="D294" s="3"/>
      <c r="E294" s="3"/>
      <c r="F294" s="3"/>
      <c r="G294" s="3"/>
      <c r="H294" s="3"/>
      <c r="I294" s="3"/>
      <c r="J294" s="3"/>
    </row>
    <row r="295" spans="2:10" ht="15" thickTop="1">
      <c r="B295" s="2025"/>
      <c r="C295" s="2025"/>
      <c r="D295" s="2025"/>
      <c r="E295" s="2025"/>
      <c r="F295" s="2025"/>
      <c r="G295" s="2025"/>
      <c r="H295" s="2025"/>
      <c r="I295" s="2025"/>
      <c r="J295" s="2025"/>
    </row>
    <row r="296" spans="2:10">
      <c r="B296" s="64"/>
      <c r="C296" s="121"/>
      <c r="D296" s="121"/>
      <c r="E296" s="121"/>
      <c r="F296" s="121"/>
      <c r="G296" s="121"/>
      <c r="H296" s="121"/>
      <c r="I296" s="121"/>
      <c r="J296" s="121"/>
    </row>
    <row r="297" spans="2:10">
      <c r="B297" s="2024" t="s">
        <v>320</v>
      </c>
      <c r="C297" s="2024"/>
      <c r="D297" s="2024"/>
      <c r="E297" s="2024"/>
      <c r="F297" s="2024"/>
      <c r="G297" s="2024"/>
      <c r="H297" s="2024"/>
      <c r="I297" s="2024"/>
      <c r="J297" s="2024"/>
    </row>
    <row r="298" spans="2:10">
      <c r="B298" s="12" t="s">
        <v>319</v>
      </c>
      <c r="C298" s="121"/>
      <c r="D298" s="121"/>
      <c r="E298" s="121"/>
      <c r="F298" s="121"/>
      <c r="G298" s="121"/>
      <c r="H298" s="121"/>
      <c r="I298" s="121"/>
      <c r="J298" s="121"/>
    </row>
    <row r="299" spans="2:10">
      <c r="B299" s="62" t="s">
        <v>242</v>
      </c>
      <c r="C299" s="121"/>
      <c r="D299" s="121"/>
      <c r="E299" s="121"/>
      <c r="F299" s="121"/>
      <c r="G299" s="121"/>
      <c r="H299" s="121"/>
      <c r="I299" s="121"/>
      <c r="J299" s="121"/>
    </row>
    <row r="300" spans="2:10">
      <c r="B300" s="64"/>
      <c r="C300" s="121"/>
      <c r="D300" s="121"/>
      <c r="E300" s="121"/>
      <c r="F300" s="121"/>
      <c r="G300" s="121"/>
      <c r="H300" s="121"/>
      <c r="I300" s="121"/>
      <c r="J300" s="121"/>
    </row>
    <row r="301" spans="2:10">
      <c r="B301" s="61"/>
      <c r="C301" s="60">
        <v>2014</v>
      </c>
      <c r="D301" s="60">
        <v>2015</v>
      </c>
      <c r="E301" s="60">
        <v>2016</v>
      </c>
      <c r="F301" s="60">
        <v>2017</v>
      </c>
      <c r="G301" s="60">
        <v>2018</v>
      </c>
      <c r="H301" s="60">
        <v>2019</v>
      </c>
      <c r="I301" s="60">
        <v>2020</v>
      </c>
      <c r="J301" s="60">
        <v>2021</v>
      </c>
    </row>
    <row r="302" spans="2:10">
      <c r="B302" s="114" t="s">
        <v>310</v>
      </c>
      <c r="C302" s="213"/>
      <c r="D302" s="213"/>
      <c r="E302" s="213"/>
      <c r="F302" s="213"/>
      <c r="G302" s="213"/>
      <c r="H302" s="213"/>
      <c r="I302" s="213"/>
      <c r="J302" s="213"/>
    </row>
    <row r="303" spans="2:10">
      <c r="B303" s="114"/>
      <c r="C303" s="217"/>
      <c r="D303" s="217"/>
      <c r="E303" s="217"/>
      <c r="F303" s="217"/>
      <c r="G303" s="217"/>
      <c r="H303" s="217"/>
      <c r="I303" s="217"/>
      <c r="J303" s="217"/>
    </row>
    <row r="304" spans="2:10">
      <c r="B304" s="211" t="s">
        <v>94</v>
      </c>
      <c r="C304" s="217"/>
      <c r="D304" s="217"/>
      <c r="E304" s="217"/>
      <c r="F304" s="217"/>
      <c r="G304" s="217"/>
      <c r="H304" s="217"/>
      <c r="I304" s="217"/>
      <c r="J304" s="217"/>
    </row>
    <row r="305" spans="2:10">
      <c r="B305" s="71" t="s">
        <v>297</v>
      </c>
      <c r="C305" s="98"/>
      <c r="D305" s="98"/>
      <c r="E305" s="98"/>
      <c r="F305" s="98"/>
      <c r="G305" s="98"/>
      <c r="H305" s="98"/>
      <c r="I305" s="98"/>
      <c r="J305" s="98"/>
    </row>
    <row r="306" spans="2:10">
      <c r="B306" s="133" t="s">
        <v>296</v>
      </c>
      <c r="C306" s="1023">
        <v>0.65254000000000001</v>
      </c>
      <c r="D306" s="1023">
        <v>0.75653999999999999</v>
      </c>
      <c r="E306" s="1023">
        <v>0.85504000000000002</v>
      </c>
      <c r="F306" s="1023">
        <v>0.94157000000000002</v>
      </c>
      <c r="G306" s="1023">
        <v>0.115068</v>
      </c>
      <c r="H306" s="98">
        <v>0.13681499999999999</v>
      </c>
      <c r="I306" s="216">
        <v>0.21302499999999999</v>
      </c>
      <c r="J306" s="216">
        <v>0.273115</v>
      </c>
    </row>
    <row r="307" spans="2:10">
      <c r="B307" s="132" t="s">
        <v>295</v>
      </c>
      <c r="C307" s="232"/>
      <c r="D307" s="232"/>
      <c r="E307" s="232"/>
      <c r="F307" s="232"/>
      <c r="G307" s="232"/>
      <c r="H307" s="385"/>
      <c r="I307" s="216"/>
      <c r="J307" s="216"/>
    </row>
    <row r="308" spans="2:10">
      <c r="B308" s="132" t="s">
        <v>303</v>
      </c>
      <c r="C308" s="232"/>
      <c r="D308" s="232"/>
      <c r="E308" s="232"/>
      <c r="F308" s="232"/>
      <c r="G308" s="232"/>
      <c r="H308" s="214"/>
      <c r="I308" s="102"/>
      <c r="J308" s="102"/>
    </row>
    <row r="309" spans="2:10">
      <c r="B309" s="65" t="s">
        <v>287</v>
      </c>
      <c r="C309" s="102"/>
      <c r="D309" s="102"/>
      <c r="E309" s="102"/>
      <c r="F309" s="102"/>
      <c r="G309" s="102"/>
      <c r="H309" s="102"/>
      <c r="I309" s="102"/>
      <c r="J309" s="102"/>
    </row>
    <row r="310" spans="2:10">
      <c r="B310" s="136"/>
      <c r="C310" s="241"/>
      <c r="D310" s="241"/>
      <c r="E310" s="241"/>
      <c r="F310" s="241"/>
      <c r="G310" s="241"/>
      <c r="H310" s="217"/>
      <c r="I310" s="217"/>
      <c r="J310" s="217"/>
    </row>
    <row r="311" spans="2:10">
      <c r="B311" s="136"/>
      <c r="C311" s="241"/>
      <c r="D311" s="241"/>
      <c r="E311" s="241"/>
      <c r="F311" s="241"/>
      <c r="G311" s="241"/>
      <c r="H311" s="217"/>
      <c r="I311" s="217"/>
      <c r="J311" s="217"/>
    </row>
    <row r="312" spans="2:10">
      <c r="B312" s="114" t="s">
        <v>302</v>
      </c>
      <c r="C312" s="241"/>
      <c r="D312" s="241"/>
      <c r="E312" s="241"/>
      <c r="F312" s="241"/>
      <c r="G312" s="241"/>
      <c r="H312" s="217"/>
      <c r="I312" s="217"/>
      <c r="J312" s="217"/>
    </row>
    <row r="313" spans="2:10">
      <c r="B313" s="114"/>
      <c r="C313" s="241"/>
      <c r="D313" s="241"/>
      <c r="E313" s="241"/>
      <c r="F313" s="241"/>
      <c r="G313" s="241"/>
      <c r="H313" s="217"/>
      <c r="I313" s="217"/>
      <c r="J313" s="217"/>
    </row>
    <row r="314" spans="2:10">
      <c r="B314" s="59" t="s">
        <v>489</v>
      </c>
      <c r="C314" s="241"/>
      <c r="D314" s="241"/>
      <c r="E314" s="241"/>
      <c r="F314" s="241"/>
      <c r="G314" s="241"/>
      <c r="H314" s="217"/>
      <c r="I314" s="217"/>
      <c r="J314" s="217"/>
    </row>
    <row r="315" spans="2:10">
      <c r="B315" s="71" t="s">
        <v>297</v>
      </c>
      <c r="C315" s="219"/>
      <c r="D315" s="219"/>
      <c r="E315" s="219"/>
      <c r="F315" s="219"/>
      <c r="G315" s="219"/>
      <c r="H315" s="219"/>
      <c r="I315" s="219"/>
      <c r="J315" s="219"/>
    </row>
    <row r="316" spans="2:10">
      <c r="B316" s="133" t="s">
        <v>296</v>
      </c>
      <c r="C316" s="1394">
        <v>2.8084120000000001</v>
      </c>
      <c r="D316" s="1395">
        <v>2.7431839999999998</v>
      </c>
      <c r="E316" s="1395">
        <v>2.6111019999999998</v>
      </c>
      <c r="F316" s="1395">
        <v>2.521096</v>
      </c>
      <c r="G316" s="1395">
        <v>2.4140999999999999</v>
      </c>
      <c r="H316" s="102">
        <v>2.1773159999999998</v>
      </c>
      <c r="I316" s="102">
        <v>1.395346</v>
      </c>
      <c r="J316" s="102">
        <v>1.2887789999999999</v>
      </c>
    </row>
    <row r="317" spans="2:10">
      <c r="B317" s="131" t="s">
        <v>294</v>
      </c>
      <c r="C317" s="102"/>
      <c r="D317" s="102"/>
      <c r="E317" s="102"/>
      <c r="F317" s="102"/>
      <c r="G317" s="102"/>
      <c r="H317" s="102"/>
      <c r="I317" s="102"/>
      <c r="J317" s="102"/>
    </row>
    <row r="318" spans="2:10">
      <c r="B318" s="131" t="s">
        <v>293</v>
      </c>
      <c r="C318" s="102"/>
      <c r="D318" s="102"/>
      <c r="E318" s="102"/>
      <c r="F318" s="102"/>
      <c r="G318" s="102"/>
      <c r="H318" s="102"/>
      <c r="I318" s="102"/>
      <c r="J318" s="102"/>
    </row>
    <row r="319" spans="2:10">
      <c r="B319" s="131" t="s">
        <v>292</v>
      </c>
      <c r="C319" s="102"/>
      <c r="D319" s="102"/>
      <c r="E319" s="102"/>
      <c r="F319" s="102"/>
      <c r="G319" s="102"/>
      <c r="H319" s="102"/>
      <c r="I319" s="102"/>
      <c r="J319" s="102"/>
    </row>
    <row r="320" spans="2:10">
      <c r="B320" s="131" t="s">
        <v>291</v>
      </c>
      <c r="C320" s="102"/>
      <c r="D320" s="102"/>
      <c r="E320" s="102"/>
      <c r="F320" s="102"/>
      <c r="G320" s="102"/>
      <c r="H320" s="102"/>
      <c r="I320" s="102"/>
      <c r="J320" s="102"/>
    </row>
    <row r="321" spans="2:10">
      <c r="B321" s="131" t="s">
        <v>290</v>
      </c>
      <c r="C321" s="102"/>
      <c r="D321" s="102"/>
      <c r="E321" s="102"/>
      <c r="F321" s="102"/>
      <c r="G321" s="102"/>
      <c r="H321" s="102"/>
      <c r="I321" s="102"/>
      <c r="J321" s="102"/>
    </row>
    <row r="322" spans="2:10">
      <c r="B322" s="131" t="s">
        <v>289</v>
      </c>
      <c r="C322" s="102"/>
      <c r="D322" s="102"/>
      <c r="E322" s="102"/>
      <c r="F322" s="102"/>
      <c r="G322" s="102"/>
      <c r="H322" s="102"/>
      <c r="I322" s="102"/>
      <c r="J322" s="102"/>
    </row>
    <row r="323" spans="2:10">
      <c r="B323" s="131" t="s">
        <v>288</v>
      </c>
      <c r="C323" s="102"/>
      <c r="D323" s="102"/>
      <c r="E323" s="102"/>
      <c r="F323" s="102"/>
      <c r="G323" s="102"/>
      <c r="H323" s="102"/>
      <c r="I323" s="102"/>
      <c r="J323" s="102"/>
    </row>
    <row r="324" spans="2:10">
      <c r="B324" s="132" t="s">
        <v>295</v>
      </c>
      <c r="C324" s="102"/>
      <c r="D324" s="102"/>
      <c r="E324" s="102"/>
      <c r="F324" s="102"/>
      <c r="G324" s="102"/>
      <c r="H324" s="102"/>
      <c r="I324" s="102"/>
      <c r="J324" s="102"/>
    </row>
    <row r="325" spans="2:10">
      <c r="B325" s="131" t="s">
        <v>294</v>
      </c>
      <c r="C325" s="102"/>
      <c r="D325" s="102"/>
      <c r="E325" s="102"/>
      <c r="F325" s="102"/>
      <c r="G325" s="102"/>
      <c r="H325" s="102"/>
      <c r="I325" s="102"/>
      <c r="J325" s="102"/>
    </row>
    <row r="326" spans="2:10">
      <c r="B326" s="131" t="s">
        <v>293</v>
      </c>
      <c r="C326" s="102"/>
      <c r="D326" s="102"/>
      <c r="E326" s="102"/>
      <c r="F326" s="102"/>
      <c r="G326" s="102"/>
      <c r="H326" s="102"/>
      <c r="I326" s="102"/>
      <c r="J326" s="102"/>
    </row>
    <row r="327" spans="2:10">
      <c r="B327" s="131" t="s">
        <v>292</v>
      </c>
      <c r="C327" s="102"/>
      <c r="D327" s="102"/>
      <c r="E327" s="102"/>
      <c r="F327" s="102"/>
      <c r="G327" s="102"/>
      <c r="H327" s="102"/>
      <c r="I327" s="102"/>
      <c r="J327" s="102"/>
    </row>
    <row r="328" spans="2:10">
      <c r="B328" s="131" t="s">
        <v>291</v>
      </c>
      <c r="C328" s="102"/>
      <c r="D328" s="102"/>
      <c r="E328" s="102"/>
      <c r="F328" s="102"/>
      <c r="G328" s="102"/>
      <c r="H328" s="102"/>
      <c r="I328" s="102"/>
      <c r="J328" s="102"/>
    </row>
    <row r="329" spans="2:10">
      <c r="B329" s="131" t="s">
        <v>290</v>
      </c>
      <c r="C329" s="102"/>
      <c r="D329" s="102"/>
      <c r="E329" s="102"/>
      <c r="F329" s="102"/>
      <c r="G329" s="102"/>
      <c r="H329" s="102"/>
      <c r="I329" s="102"/>
      <c r="J329" s="102"/>
    </row>
    <row r="330" spans="2:10">
      <c r="B330" s="131" t="s">
        <v>289</v>
      </c>
      <c r="C330" s="102"/>
      <c r="D330" s="102"/>
      <c r="E330" s="102"/>
      <c r="F330" s="102"/>
      <c r="G330" s="102"/>
      <c r="H330" s="102"/>
      <c r="I330" s="102"/>
      <c r="J330" s="102"/>
    </row>
    <row r="331" spans="2:10">
      <c r="B331" s="131" t="s">
        <v>288</v>
      </c>
      <c r="C331" s="102"/>
      <c r="D331" s="102"/>
      <c r="E331" s="102"/>
      <c r="F331" s="102"/>
      <c r="G331" s="102"/>
      <c r="H331" s="102"/>
      <c r="I331" s="102"/>
      <c r="J331" s="102"/>
    </row>
    <row r="332" spans="2:10">
      <c r="B332" s="65" t="s">
        <v>287</v>
      </c>
      <c r="C332" s="102"/>
      <c r="D332" s="102"/>
      <c r="E332" s="102"/>
      <c r="F332" s="102"/>
      <c r="G332" s="102"/>
      <c r="H332" s="102"/>
      <c r="I332" s="102"/>
      <c r="J332" s="102"/>
    </row>
    <row r="333" spans="2:10" ht="15" thickBot="1">
      <c r="B333" s="65"/>
      <c r="C333" s="214"/>
      <c r="D333" s="214"/>
      <c r="E333" s="214"/>
      <c r="F333" s="214"/>
      <c r="G333" s="214"/>
      <c r="H333" s="214"/>
      <c r="I333" s="214"/>
      <c r="J333" s="214"/>
    </row>
    <row r="334" spans="2:10" ht="15" thickTop="1">
      <c r="B334" s="2025" t="s">
        <v>1884</v>
      </c>
      <c r="C334" s="2025"/>
      <c r="D334" s="2025"/>
      <c r="E334" s="2025"/>
      <c r="F334" s="2025"/>
      <c r="G334" s="2025"/>
      <c r="H334" s="2025"/>
      <c r="I334" s="2025"/>
      <c r="J334" s="2025"/>
    </row>
    <row r="335" spans="2:10">
      <c r="B335" s="64"/>
      <c r="C335" s="121"/>
      <c r="D335" s="121"/>
      <c r="E335" s="121"/>
      <c r="F335" s="121"/>
      <c r="G335" s="121"/>
      <c r="H335" s="121"/>
      <c r="I335" s="121"/>
      <c r="J335" s="121"/>
    </row>
    <row r="336" spans="2:10">
      <c r="B336" s="2024" t="s">
        <v>313</v>
      </c>
      <c r="C336" s="2024"/>
      <c r="D336" s="2024"/>
      <c r="E336" s="2024"/>
      <c r="F336" s="2024"/>
      <c r="G336" s="2024"/>
      <c r="H336" s="2024"/>
      <c r="I336" s="2024"/>
      <c r="J336" s="2024"/>
    </row>
    <row r="337" spans="2:10">
      <c r="B337" s="12" t="s">
        <v>312</v>
      </c>
      <c r="C337" s="121"/>
      <c r="D337" s="121"/>
      <c r="E337" s="121"/>
      <c r="F337" s="121"/>
      <c r="G337" s="121"/>
      <c r="H337" s="121"/>
      <c r="I337" s="121"/>
      <c r="J337" s="121"/>
    </row>
    <row r="338" spans="2:10">
      <c r="B338" s="62" t="s">
        <v>311</v>
      </c>
      <c r="C338" s="121"/>
      <c r="D338" s="121"/>
      <c r="E338" s="121"/>
      <c r="F338" s="121"/>
      <c r="G338" s="121"/>
      <c r="H338" s="121"/>
      <c r="I338" s="121"/>
      <c r="J338" s="121"/>
    </row>
    <row r="339" spans="2:10">
      <c r="B339" s="64"/>
      <c r="C339" s="121"/>
      <c r="D339" s="121"/>
      <c r="E339" s="121"/>
      <c r="F339" s="121"/>
      <c r="G339" s="121"/>
      <c r="H339" s="121"/>
      <c r="I339" s="121"/>
      <c r="J339" s="121"/>
    </row>
    <row r="340" spans="2:10">
      <c r="B340" s="61"/>
      <c r="C340" s="60">
        <v>2014</v>
      </c>
      <c r="D340" s="60">
        <v>2015</v>
      </c>
      <c r="E340" s="60">
        <v>2016</v>
      </c>
      <c r="F340" s="60">
        <v>2017</v>
      </c>
      <c r="G340" s="60">
        <v>2018</v>
      </c>
      <c r="H340" s="60">
        <v>2019</v>
      </c>
      <c r="I340" s="60">
        <v>2020</v>
      </c>
      <c r="J340" s="60">
        <v>2021</v>
      </c>
    </row>
    <row r="341" spans="2:10">
      <c r="B341" s="114" t="s">
        <v>310</v>
      </c>
      <c r="C341" s="221"/>
      <c r="D341" s="221"/>
      <c r="E341" s="221"/>
      <c r="F341" s="221"/>
      <c r="G341" s="221"/>
      <c r="H341" s="221"/>
      <c r="I341" s="221"/>
      <c r="J341" s="221"/>
    </row>
    <row r="342" spans="2:10">
      <c r="B342" s="114"/>
      <c r="C342" s="221"/>
      <c r="D342" s="221"/>
      <c r="E342" s="221"/>
      <c r="F342" s="221"/>
      <c r="G342" s="221"/>
      <c r="H342" s="221"/>
      <c r="I342" s="221"/>
      <c r="J342" s="221"/>
    </row>
    <row r="343" spans="2:10">
      <c r="B343" s="211" t="s">
        <v>94</v>
      </c>
      <c r="C343" s="221"/>
      <c r="D343" s="221"/>
      <c r="E343" s="221"/>
      <c r="F343" s="221"/>
      <c r="G343" s="221"/>
      <c r="H343" s="221"/>
      <c r="I343" s="221"/>
      <c r="J343" s="221"/>
    </row>
    <row r="344" spans="2:10">
      <c r="B344" s="71" t="s">
        <v>297</v>
      </c>
      <c r="C344" s="102"/>
      <c r="D344" s="102"/>
      <c r="E344" s="102"/>
      <c r="F344" s="102"/>
      <c r="G344" s="102"/>
      <c r="H344" s="102"/>
      <c r="I344" s="102"/>
      <c r="J344" s="102"/>
    </row>
    <row r="345" spans="2:10">
      <c r="B345" s="133" t="s">
        <v>296</v>
      </c>
      <c r="C345" s="1023">
        <v>17965.851999999999</v>
      </c>
      <c r="D345" s="1023">
        <v>22161.963</v>
      </c>
      <c r="E345" s="1023">
        <v>25454.531999999999</v>
      </c>
      <c r="F345" s="1023">
        <v>29288.666000000001</v>
      </c>
      <c r="G345" s="1023">
        <v>30005.722000000002</v>
      </c>
      <c r="H345" s="216">
        <v>32153.38</v>
      </c>
      <c r="I345" s="102">
        <v>42246.222000000002</v>
      </c>
      <c r="J345" s="102">
        <v>36000.192000000003</v>
      </c>
    </row>
    <row r="346" spans="2:10">
      <c r="B346" s="132" t="s">
        <v>295</v>
      </c>
      <c r="C346" s="232"/>
      <c r="D346" s="232"/>
      <c r="E346" s="232"/>
      <c r="F346" s="232"/>
      <c r="G346" s="232"/>
      <c r="H346" s="129"/>
      <c r="I346" s="129"/>
      <c r="J346" s="129"/>
    </row>
    <row r="347" spans="2:10">
      <c r="B347" s="132" t="s">
        <v>303</v>
      </c>
      <c r="C347" s="232"/>
      <c r="D347" s="232"/>
      <c r="E347" s="232"/>
      <c r="F347" s="232"/>
      <c r="G347" s="232"/>
      <c r="H347" s="129"/>
      <c r="I347" s="129"/>
      <c r="J347" s="129"/>
    </row>
    <row r="348" spans="2:10">
      <c r="B348" s="65" t="s">
        <v>301</v>
      </c>
      <c r="C348" s="129"/>
      <c r="D348" s="129"/>
      <c r="E348" s="129"/>
      <c r="F348" s="129"/>
      <c r="G348" s="129"/>
      <c r="H348" s="129"/>
      <c r="I348" s="129"/>
      <c r="J348" s="129"/>
    </row>
    <row r="349" spans="2:10">
      <c r="B349" s="1"/>
      <c r="C349" s="129"/>
      <c r="D349" s="129"/>
      <c r="E349" s="129"/>
      <c r="F349" s="129"/>
      <c r="G349" s="129"/>
      <c r="H349" s="129"/>
      <c r="I349" s="129"/>
      <c r="J349" s="129"/>
    </row>
    <row r="350" spans="2:10">
      <c r="B350" s="1"/>
      <c r="C350" s="129"/>
      <c r="D350" s="129"/>
      <c r="E350" s="129"/>
      <c r="F350" s="129"/>
      <c r="G350" s="129"/>
      <c r="H350" s="221"/>
      <c r="I350" s="221"/>
      <c r="J350" s="221"/>
    </row>
    <row r="351" spans="2:10">
      <c r="B351" s="114" t="s">
        <v>302</v>
      </c>
      <c r="C351" s="129"/>
      <c r="D351" s="129"/>
      <c r="E351" s="129"/>
      <c r="F351" s="129"/>
      <c r="G351" s="129"/>
      <c r="H351" s="221"/>
      <c r="I351" s="221"/>
      <c r="J351" s="221"/>
    </row>
    <row r="352" spans="2:10">
      <c r="B352" s="114"/>
      <c r="C352" s="129"/>
      <c r="D352" s="129"/>
      <c r="E352" s="129"/>
      <c r="F352" s="129"/>
      <c r="G352" s="129"/>
      <c r="H352" s="221"/>
      <c r="I352" s="221"/>
      <c r="J352" s="221"/>
    </row>
    <row r="353" spans="2:10">
      <c r="B353" s="59" t="s">
        <v>489</v>
      </c>
      <c r="C353" s="129"/>
      <c r="D353" s="129"/>
      <c r="E353" s="129"/>
      <c r="F353" s="129"/>
      <c r="G353" s="129"/>
      <c r="H353" s="129"/>
      <c r="I353" s="129"/>
      <c r="J353" s="129"/>
    </row>
    <row r="354" spans="2:10">
      <c r="B354" s="71" t="s">
        <v>297</v>
      </c>
      <c r="C354" s="102"/>
      <c r="D354" s="102"/>
      <c r="E354" s="102"/>
      <c r="F354" s="102"/>
      <c r="G354" s="102"/>
      <c r="H354" s="102"/>
      <c r="I354" s="102"/>
      <c r="J354" s="102"/>
    </row>
    <row r="355" spans="2:10">
      <c r="B355" s="133" t="s">
        <v>296</v>
      </c>
      <c r="C355" s="1392">
        <v>6.9308820000000004</v>
      </c>
      <c r="D355" s="1392">
        <v>7.122776</v>
      </c>
      <c r="E355" s="1392">
        <v>7.0335840000000003</v>
      </c>
      <c r="F355" s="1392">
        <v>7.157368</v>
      </c>
      <c r="G355" s="1392">
        <v>7.1493820000000001</v>
      </c>
      <c r="H355" s="1396">
        <v>7.1510569999999998</v>
      </c>
      <c r="I355" s="102">
        <v>4.5642250000000004</v>
      </c>
      <c r="J355" s="102">
        <v>4.2461640000000003</v>
      </c>
    </row>
    <row r="356" spans="2:10">
      <c r="B356" s="131" t="s">
        <v>294</v>
      </c>
      <c r="C356" s="102"/>
      <c r="D356" s="102"/>
      <c r="E356" s="102"/>
      <c r="F356" s="102"/>
      <c r="G356" s="102"/>
      <c r="H356" s="102"/>
      <c r="I356" s="102"/>
      <c r="J356" s="102"/>
    </row>
    <row r="357" spans="2:10">
      <c r="B357" s="131" t="s">
        <v>293</v>
      </c>
      <c r="C357" s="102"/>
      <c r="D357" s="102"/>
      <c r="E357" s="102"/>
      <c r="F357" s="102"/>
      <c r="G357" s="102"/>
      <c r="H357" s="102"/>
      <c r="I357" s="102"/>
      <c r="J357" s="102"/>
    </row>
    <row r="358" spans="2:10">
      <c r="B358" s="131" t="s">
        <v>292</v>
      </c>
      <c r="C358" s="102"/>
      <c r="D358" s="102"/>
      <c r="E358" s="102"/>
      <c r="F358" s="102"/>
      <c r="G358" s="102"/>
      <c r="H358" s="102"/>
      <c r="I358" s="102"/>
      <c r="J358" s="102"/>
    </row>
    <row r="359" spans="2:10">
      <c r="B359" s="131" t="s">
        <v>291</v>
      </c>
      <c r="C359" s="102"/>
      <c r="D359" s="102"/>
      <c r="E359" s="102"/>
      <c r="F359" s="102"/>
      <c r="G359" s="102"/>
      <c r="H359" s="102"/>
      <c r="I359" s="102"/>
      <c r="J359" s="102"/>
    </row>
    <row r="360" spans="2:10">
      <c r="B360" s="131" t="s">
        <v>290</v>
      </c>
      <c r="C360" s="102"/>
      <c r="D360" s="102"/>
      <c r="E360" s="102"/>
      <c r="F360" s="102"/>
      <c r="G360" s="102"/>
      <c r="H360" s="102"/>
      <c r="I360" s="102"/>
      <c r="J360" s="102"/>
    </row>
    <row r="361" spans="2:10">
      <c r="B361" s="131" t="s">
        <v>289</v>
      </c>
      <c r="C361" s="214"/>
      <c r="D361" s="214"/>
      <c r="E361" s="214"/>
      <c r="F361" s="214"/>
      <c r="G361" s="214"/>
      <c r="H361" s="214"/>
      <c r="I361" s="214"/>
      <c r="J361" s="214"/>
    </row>
    <row r="362" spans="2:10">
      <c r="B362" s="131" t="s">
        <v>288</v>
      </c>
      <c r="C362" s="214"/>
      <c r="D362" s="214"/>
      <c r="E362" s="214"/>
      <c r="F362" s="214"/>
      <c r="G362" s="214"/>
      <c r="H362" s="214"/>
      <c r="I362" s="214"/>
      <c r="J362" s="214"/>
    </row>
    <row r="363" spans="2:10">
      <c r="B363" s="132" t="s">
        <v>295</v>
      </c>
      <c r="C363" s="214"/>
      <c r="D363" s="214"/>
      <c r="E363" s="214"/>
      <c r="F363" s="214"/>
      <c r="G363" s="214"/>
      <c r="H363" s="214"/>
      <c r="I363" s="214"/>
      <c r="J363" s="214"/>
    </row>
    <row r="364" spans="2:10">
      <c r="B364" s="131" t="s">
        <v>294</v>
      </c>
      <c r="C364" s="214"/>
      <c r="D364" s="214"/>
      <c r="E364" s="214"/>
      <c r="F364" s="214"/>
      <c r="G364" s="214"/>
      <c r="H364" s="214"/>
      <c r="I364" s="214"/>
      <c r="J364" s="214"/>
    </row>
    <row r="365" spans="2:10">
      <c r="B365" s="131" t="s">
        <v>293</v>
      </c>
      <c r="C365" s="214"/>
      <c r="D365" s="214"/>
      <c r="E365" s="214"/>
      <c r="F365" s="214"/>
      <c r="G365" s="214"/>
      <c r="H365" s="214"/>
      <c r="I365" s="214"/>
      <c r="J365" s="214"/>
    </row>
    <row r="366" spans="2:10">
      <c r="B366" s="131" t="s">
        <v>292</v>
      </c>
      <c r="C366" s="214"/>
      <c r="D366" s="214"/>
      <c r="E366" s="214"/>
      <c r="F366" s="214"/>
      <c r="G366" s="214"/>
      <c r="H366" s="214"/>
      <c r="I366" s="214"/>
      <c r="J366" s="214"/>
    </row>
    <row r="367" spans="2:10">
      <c r="B367" s="131" t="s">
        <v>291</v>
      </c>
      <c r="C367" s="214"/>
      <c r="D367" s="214"/>
      <c r="E367" s="214"/>
      <c r="F367" s="214"/>
      <c r="G367" s="214"/>
      <c r="H367" s="214"/>
      <c r="I367" s="214"/>
      <c r="J367" s="214"/>
    </row>
    <row r="368" spans="2:10">
      <c r="B368" s="131" t="s">
        <v>290</v>
      </c>
      <c r="C368" s="214"/>
      <c r="D368" s="214"/>
      <c r="E368" s="214"/>
      <c r="F368" s="214"/>
      <c r="G368" s="214"/>
      <c r="H368" s="214"/>
      <c r="I368" s="214"/>
      <c r="J368" s="214"/>
    </row>
    <row r="369" spans="2:10">
      <c r="B369" s="131" t="s">
        <v>289</v>
      </c>
      <c r="C369" s="214"/>
      <c r="D369" s="214"/>
      <c r="E369" s="214"/>
      <c r="F369" s="214"/>
      <c r="G369" s="214"/>
      <c r="H369" s="214"/>
      <c r="I369" s="214"/>
      <c r="J369" s="214"/>
    </row>
    <row r="370" spans="2:10">
      <c r="B370" s="131" t="s">
        <v>288</v>
      </c>
      <c r="C370" s="214"/>
      <c r="D370" s="214"/>
      <c r="E370" s="214"/>
      <c r="F370" s="214"/>
      <c r="G370" s="214"/>
      <c r="H370" s="214"/>
      <c r="I370" s="214"/>
      <c r="J370" s="214"/>
    </row>
    <row r="371" spans="2:10">
      <c r="B371" s="65" t="s">
        <v>301</v>
      </c>
      <c r="C371" s="214"/>
      <c r="D371" s="214"/>
      <c r="E371" s="214"/>
      <c r="F371" s="214"/>
      <c r="G371" s="214"/>
      <c r="H371" s="214"/>
      <c r="I371" s="214"/>
      <c r="J371" s="214"/>
    </row>
    <row r="372" spans="2:10">
      <c r="B372" s="114"/>
      <c r="C372" s="221"/>
      <c r="D372" s="221"/>
      <c r="E372" s="221"/>
      <c r="F372" s="221"/>
      <c r="G372" s="221"/>
      <c r="H372" s="221"/>
      <c r="I372" s="221"/>
      <c r="J372" s="221"/>
    </row>
    <row r="373" spans="2:10" ht="15" thickBot="1">
      <c r="B373" s="114"/>
      <c r="C373" s="221"/>
      <c r="D373" s="221"/>
      <c r="E373" s="221"/>
      <c r="F373" s="221"/>
      <c r="G373" s="221"/>
      <c r="H373" s="221"/>
      <c r="I373" s="221"/>
      <c r="J373" s="221"/>
    </row>
    <row r="374" spans="2:10" ht="15" thickTop="1">
      <c r="B374" s="2025" t="s">
        <v>1884</v>
      </c>
      <c r="C374" s="2025"/>
      <c r="D374" s="2025"/>
      <c r="E374" s="2025"/>
      <c r="F374" s="2025"/>
      <c r="G374" s="2025"/>
      <c r="H374" s="2025"/>
      <c r="I374" s="2025"/>
      <c r="J374" s="2025"/>
    </row>
    <row r="375" spans="2:10">
      <c r="B375" s="64"/>
      <c r="C375" s="121"/>
      <c r="D375" s="121"/>
      <c r="E375" s="121"/>
      <c r="F375" s="121"/>
      <c r="G375" s="121"/>
      <c r="H375" s="121"/>
      <c r="I375" s="121"/>
      <c r="J375" s="121"/>
    </row>
    <row r="376" spans="2:10">
      <c r="B376" s="2024" t="s">
        <v>271</v>
      </c>
      <c r="C376" s="2024"/>
      <c r="D376" s="2024"/>
      <c r="E376" s="2024"/>
      <c r="F376" s="2024"/>
      <c r="G376" s="2024"/>
      <c r="H376" s="2024"/>
      <c r="I376" s="2024"/>
      <c r="J376" s="2024"/>
    </row>
    <row r="377" spans="2:10">
      <c r="B377" s="12" t="s">
        <v>270</v>
      </c>
      <c r="C377" s="121"/>
      <c r="D377" s="121"/>
      <c r="E377" s="121"/>
      <c r="F377" s="121"/>
      <c r="G377" s="121"/>
      <c r="H377" s="121"/>
      <c r="I377" s="121"/>
      <c r="J377" s="121"/>
    </row>
    <row r="378" spans="2:10">
      <c r="B378" s="77" t="s">
        <v>269</v>
      </c>
      <c r="C378" s="121"/>
      <c r="D378" s="121"/>
      <c r="E378" s="121"/>
      <c r="F378" s="121"/>
      <c r="G378" s="121"/>
      <c r="H378" s="121"/>
      <c r="I378" s="121"/>
      <c r="J378" s="121"/>
    </row>
    <row r="379" spans="2:10">
      <c r="B379" s="76"/>
      <c r="C379" s="121"/>
      <c r="D379" s="121"/>
      <c r="E379" s="121"/>
      <c r="F379" s="121"/>
      <c r="G379" s="121"/>
      <c r="H379" s="121"/>
      <c r="I379" s="121"/>
      <c r="J379" s="121"/>
    </row>
    <row r="380" spans="2:10">
      <c r="B380" s="61"/>
      <c r="C380" s="60">
        <v>2014</v>
      </c>
      <c r="D380" s="60">
        <v>2015</v>
      </c>
      <c r="E380" s="60">
        <v>2016</v>
      </c>
      <c r="F380" s="60">
        <v>2017</v>
      </c>
      <c r="G380" s="60">
        <v>2018</v>
      </c>
      <c r="H380" s="60">
        <v>2019</v>
      </c>
      <c r="I380" s="60">
        <v>2020</v>
      </c>
      <c r="J380" s="60">
        <v>2021</v>
      </c>
    </row>
    <row r="381" spans="2:10">
      <c r="B381" s="76"/>
      <c r="C381" s="214"/>
      <c r="D381" s="214"/>
      <c r="E381" s="214"/>
      <c r="F381" s="214"/>
      <c r="G381" s="214"/>
      <c r="H381" s="214"/>
      <c r="I381" s="214"/>
      <c r="J381" s="214"/>
    </row>
    <row r="382" spans="2:10">
      <c r="B382" s="71" t="s">
        <v>265</v>
      </c>
      <c r="C382" s="234">
        <f>C388+C394</f>
        <v>6</v>
      </c>
      <c r="D382" s="234">
        <f t="shared" ref="D382:I382" si="11">D388+D394</f>
        <v>5</v>
      </c>
      <c r="E382" s="234">
        <f t="shared" si="11"/>
        <v>5</v>
      </c>
      <c r="F382" s="234">
        <f t="shared" si="11"/>
        <v>5</v>
      </c>
      <c r="G382" s="234">
        <f t="shared" si="11"/>
        <v>6</v>
      </c>
      <c r="H382" s="234">
        <f t="shared" si="11"/>
        <v>5</v>
      </c>
      <c r="I382" s="234">
        <f t="shared" si="11"/>
        <v>6</v>
      </c>
      <c r="J382" s="214">
        <v>6</v>
      </c>
    </row>
    <row r="383" spans="2:10">
      <c r="B383" s="52" t="s">
        <v>262</v>
      </c>
      <c r="C383" s="234">
        <v>0</v>
      </c>
      <c r="D383" s="234">
        <v>0</v>
      </c>
      <c r="E383" s="234">
        <v>0</v>
      </c>
      <c r="F383" s="234">
        <v>0</v>
      </c>
      <c r="G383" s="234">
        <v>0</v>
      </c>
      <c r="H383" s="214">
        <v>0</v>
      </c>
      <c r="I383" s="214">
        <v>1</v>
      </c>
      <c r="J383" s="214">
        <v>1</v>
      </c>
    </row>
    <row r="384" spans="2:10">
      <c r="B384" s="52" t="s">
        <v>261</v>
      </c>
      <c r="C384" s="234">
        <v>0</v>
      </c>
      <c r="D384" s="234">
        <v>0</v>
      </c>
      <c r="E384" s="234">
        <v>0</v>
      </c>
      <c r="F384" s="234">
        <v>0</v>
      </c>
      <c r="G384" s="234">
        <v>0</v>
      </c>
      <c r="H384" s="234">
        <v>0</v>
      </c>
      <c r="I384" s="234">
        <v>0</v>
      </c>
      <c r="J384" s="234">
        <v>0</v>
      </c>
    </row>
    <row r="385" spans="2:10">
      <c r="B385" s="52" t="s">
        <v>260</v>
      </c>
      <c r="C385" s="231"/>
      <c r="D385" s="231"/>
      <c r="E385" s="231"/>
      <c r="F385" s="231"/>
      <c r="G385" s="231"/>
      <c r="H385" s="214"/>
      <c r="I385" s="214"/>
      <c r="J385" s="214"/>
    </row>
    <row r="386" spans="2:10">
      <c r="B386" s="52" t="s">
        <v>492</v>
      </c>
      <c r="C386" s="234">
        <v>6</v>
      </c>
      <c r="D386" s="234">
        <v>5</v>
      </c>
      <c r="E386" s="234">
        <v>5</v>
      </c>
      <c r="F386" s="234">
        <v>5</v>
      </c>
      <c r="G386" s="234">
        <v>6</v>
      </c>
      <c r="H386" s="214">
        <v>5</v>
      </c>
      <c r="I386" s="214">
        <v>5</v>
      </c>
      <c r="J386" s="214">
        <v>5</v>
      </c>
    </row>
    <row r="387" spans="2:10">
      <c r="B387" s="1"/>
      <c r="C387" s="234"/>
      <c r="D387" s="234"/>
      <c r="E387" s="234"/>
      <c r="F387" s="234"/>
      <c r="G387" s="234"/>
      <c r="H387" s="363"/>
      <c r="I387" s="363"/>
      <c r="J387" s="107"/>
    </row>
    <row r="388" spans="2:10">
      <c r="B388" s="64" t="s">
        <v>264</v>
      </c>
      <c r="C388" s="234">
        <f>SUM(C389:C392)</f>
        <v>5</v>
      </c>
      <c r="D388" s="234">
        <f t="shared" ref="D388:J388" si="12">SUM(D389:D392)</f>
        <v>4</v>
      </c>
      <c r="E388" s="234">
        <f t="shared" si="12"/>
        <v>5</v>
      </c>
      <c r="F388" s="234">
        <f t="shared" si="12"/>
        <v>5</v>
      </c>
      <c r="G388" s="234">
        <f t="shared" si="12"/>
        <v>6</v>
      </c>
      <c r="H388" s="234">
        <f t="shared" si="12"/>
        <v>5</v>
      </c>
      <c r="I388" s="234">
        <f t="shared" si="12"/>
        <v>6</v>
      </c>
      <c r="J388" s="234">
        <f t="shared" si="12"/>
        <v>6</v>
      </c>
    </row>
    <row r="389" spans="2:10">
      <c r="B389" s="52" t="s">
        <v>262</v>
      </c>
      <c r="C389" s="234">
        <v>0</v>
      </c>
      <c r="D389" s="234">
        <v>0</v>
      </c>
      <c r="E389" s="234">
        <v>0</v>
      </c>
      <c r="F389" s="234">
        <v>0</v>
      </c>
      <c r="G389" s="234">
        <v>0</v>
      </c>
      <c r="H389" s="138">
        <v>0</v>
      </c>
      <c r="I389" s="138">
        <v>1</v>
      </c>
      <c r="J389" s="138">
        <v>1</v>
      </c>
    </row>
    <row r="390" spans="2:10">
      <c r="B390" s="52" t="s">
        <v>261</v>
      </c>
      <c r="C390" s="234">
        <v>0</v>
      </c>
      <c r="D390" s="234">
        <v>0</v>
      </c>
      <c r="E390" s="234">
        <v>0</v>
      </c>
      <c r="F390" s="234">
        <v>0</v>
      </c>
      <c r="G390" s="234">
        <v>0</v>
      </c>
      <c r="H390" s="234">
        <v>0</v>
      </c>
      <c r="I390" s="234">
        <v>0</v>
      </c>
      <c r="J390" s="234">
        <v>0</v>
      </c>
    </row>
    <row r="391" spans="2:10">
      <c r="B391" s="52" t="s">
        <v>260</v>
      </c>
      <c r="C391" s="231"/>
      <c r="D391" s="231"/>
      <c r="E391" s="231"/>
      <c r="F391" s="231"/>
      <c r="G391" s="231"/>
      <c r="H391" s="138"/>
      <c r="I391" s="138"/>
      <c r="J391" s="138"/>
    </row>
    <row r="392" spans="2:10">
      <c r="B392" s="52" t="s">
        <v>494</v>
      </c>
      <c r="C392" s="234">
        <v>5</v>
      </c>
      <c r="D392" s="234">
        <v>4</v>
      </c>
      <c r="E392" s="234">
        <v>5</v>
      </c>
      <c r="F392" s="234">
        <v>5</v>
      </c>
      <c r="G392" s="234">
        <v>6</v>
      </c>
      <c r="H392" s="138">
        <v>5</v>
      </c>
      <c r="I392" s="138">
        <v>5</v>
      </c>
      <c r="J392" s="138">
        <v>5</v>
      </c>
    </row>
    <row r="393" spans="2:10">
      <c r="B393" s="52"/>
      <c r="C393" s="234"/>
      <c r="D393" s="234"/>
      <c r="E393" s="234"/>
      <c r="F393" s="234"/>
      <c r="G393" s="234"/>
      <c r="H393" s="3"/>
      <c r="I393" s="3"/>
      <c r="J393" s="16"/>
    </row>
    <row r="394" spans="2:10">
      <c r="B394" s="52" t="s">
        <v>495</v>
      </c>
      <c r="C394" s="234">
        <f>SUM(C395:C397)</f>
        <v>1</v>
      </c>
      <c r="D394" s="234">
        <f t="shared" ref="D394:J394" si="13">SUM(D395:D397)</f>
        <v>1</v>
      </c>
      <c r="E394" s="234">
        <f t="shared" si="13"/>
        <v>0</v>
      </c>
      <c r="F394" s="234">
        <f t="shared" si="13"/>
        <v>0</v>
      </c>
      <c r="G394" s="234">
        <f t="shared" si="13"/>
        <v>0</v>
      </c>
      <c r="H394" s="234">
        <f t="shared" si="13"/>
        <v>0</v>
      </c>
      <c r="I394" s="234">
        <f t="shared" si="13"/>
        <v>0</v>
      </c>
      <c r="J394" s="234">
        <f t="shared" si="13"/>
        <v>0</v>
      </c>
    </row>
    <row r="395" spans="2:10">
      <c r="B395" s="52" t="s">
        <v>262</v>
      </c>
      <c r="C395" s="234">
        <v>0</v>
      </c>
      <c r="D395" s="234">
        <v>0</v>
      </c>
      <c r="E395" s="234">
        <v>0</v>
      </c>
      <c r="F395" s="234">
        <v>0</v>
      </c>
      <c r="G395" s="234">
        <v>0</v>
      </c>
      <c r="H395" s="234">
        <v>0</v>
      </c>
      <c r="I395" s="234">
        <v>0</v>
      </c>
      <c r="J395" s="234">
        <v>0</v>
      </c>
    </row>
    <row r="396" spans="2:10">
      <c r="B396" s="52" t="s">
        <v>261</v>
      </c>
      <c r="C396" s="234">
        <v>0</v>
      </c>
      <c r="D396" s="234">
        <v>0</v>
      </c>
      <c r="E396" s="234">
        <v>0</v>
      </c>
      <c r="F396" s="234">
        <v>0</v>
      </c>
      <c r="G396" s="234">
        <v>0</v>
      </c>
      <c r="H396" s="234">
        <v>0</v>
      </c>
      <c r="I396" s="234">
        <v>0</v>
      </c>
      <c r="J396" s="234">
        <v>0</v>
      </c>
    </row>
    <row r="397" spans="2:10">
      <c r="B397" s="52" t="s">
        <v>260</v>
      </c>
      <c r="C397" s="234">
        <v>1</v>
      </c>
      <c r="D397" s="234">
        <v>1</v>
      </c>
      <c r="E397" s="234">
        <v>0</v>
      </c>
      <c r="F397" s="234">
        <v>0</v>
      </c>
      <c r="G397" s="234">
        <v>0</v>
      </c>
      <c r="H397" s="234">
        <v>0</v>
      </c>
      <c r="I397" s="234">
        <v>0</v>
      </c>
      <c r="J397" s="234">
        <v>0</v>
      </c>
    </row>
    <row r="398" spans="2:10" ht="15" thickBot="1">
      <c r="B398" s="52" t="s">
        <v>496</v>
      </c>
      <c r="C398" s="3"/>
      <c r="D398" s="3"/>
      <c r="E398" s="3"/>
      <c r="F398" s="3"/>
      <c r="G398" s="3"/>
      <c r="H398" s="3"/>
      <c r="I398" s="3">
        <v>0</v>
      </c>
      <c r="J398" s="3">
        <v>0</v>
      </c>
    </row>
    <row r="399" spans="2:10" ht="15" thickTop="1">
      <c r="B399" s="2025"/>
      <c r="C399" s="2025"/>
      <c r="D399" s="2025"/>
      <c r="E399" s="2025"/>
      <c r="F399" s="2025"/>
      <c r="G399" s="2025"/>
      <c r="H399" s="2025"/>
      <c r="I399" s="2025"/>
      <c r="J399" s="2025"/>
    </row>
    <row r="400" spans="2:10">
      <c r="B400" s="62"/>
      <c r="C400" s="121"/>
      <c r="D400" s="121"/>
      <c r="E400" s="121"/>
      <c r="F400" s="121"/>
      <c r="G400" s="121"/>
      <c r="H400" s="121"/>
      <c r="I400" s="121"/>
      <c r="J400" s="121"/>
    </row>
    <row r="401" spans="2:10">
      <c r="B401" s="2024" t="s">
        <v>258</v>
      </c>
      <c r="C401" s="2024"/>
      <c r="D401" s="2024"/>
      <c r="E401" s="2024"/>
      <c r="F401" s="2024"/>
      <c r="G401" s="2024"/>
      <c r="H401" s="2024"/>
      <c r="I401" s="2024"/>
      <c r="J401" s="2024"/>
    </row>
    <row r="402" spans="2:10">
      <c r="B402" s="12" t="s">
        <v>257</v>
      </c>
      <c r="C402" s="121"/>
      <c r="D402" s="121"/>
      <c r="E402" s="121"/>
      <c r="F402" s="121"/>
      <c r="G402" s="121"/>
      <c r="H402" s="121"/>
      <c r="I402" s="121"/>
      <c r="J402" s="121"/>
    </row>
    <row r="403" spans="2:10">
      <c r="B403" s="77" t="s">
        <v>256</v>
      </c>
      <c r="C403" s="121"/>
      <c r="D403" s="121"/>
      <c r="E403" s="121"/>
      <c r="F403" s="121"/>
      <c r="G403" s="121"/>
      <c r="H403" s="121"/>
      <c r="I403" s="121"/>
      <c r="J403" s="121"/>
    </row>
    <row r="404" spans="2:10">
      <c r="B404" s="62"/>
      <c r="C404" s="121"/>
      <c r="D404" s="121"/>
      <c r="E404" s="121"/>
      <c r="F404" s="121"/>
      <c r="G404" s="121"/>
      <c r="H404" s="121"/>
      <c r="I404" s="121"/>
      <c r="J404" s="121"/>
    </row>
    <row r="405" spans="2:10">
      <c r="B405" s="61"/>
      <c r="C405" s="60">
        <v>2014</v>
      </c>
      <c r="D405" s="60">
        <v>2015</v>
      </c>
      <c r="E405" s="60">
        <v>2016</v>
      </c>
      <c r="F405" s="60">
        <v>2017</v>
      </c>
      <c r="G405" s="60">
        <v>2018</v>
      </c>
      <c r="H405" s="60">
        <v>2019</v>
      </c>
      <c r="I405" s="60">
        <v>2020</v>
      </c>
      <c r="J405" s="60">
        <v>2021</v>
      </c>
    </row>
    <row r="406" spans="2:10">
      <c r="B406" s="76" t="s">
        <v>1885</v>
      </c>
      <c r="C406" s="121"/>
      <c r="D406" s="121"/>
      <c r="E406" s="121"/>
      <c r="F406" s="121"/>
      <c r="G406" s="121"/>
      <c r="H406" s="121"/>
      <c r="I406" s="121"/>
      <c r="J406" s="121"/>
    </row>
    <row r="407" spans="2:10">
      <c r="B407" s="71" t="s">
        <v>247</v>
      </c>
      <c r="C407" s="55">
        <v>28</v>
      </c>
      <c r="D407" s="55">
        <v>45</v>
      </c>
      <c r="E407" s="55">
        <v>53</v>
      </c>
      <c r="F407" s="55">
        <v>53</v>
      </c>
      <c r="G407" s="55">
        <v>49</v>
      </c>
      <c r="H407" s="55">
        <v>44</v>
      </c>
      <c r="I407" s="55">
        <v>47</v>
      </c>
      <c r="J407" s="55">
        <v>47</v>
      </c>
    </row>
    <row r="408" spans="2:10">
      <c r="B408" s="52" t="s">
        <v>121</v>
      </c>
      <c r="C408" s="55"/>
      <c r="D408" s="55"/>
      <c r="E408" s="55"/>
      <c r="F408" s="55"/>
      <c r="G408" s="55"/>
      <c r="H408" s="55"/>
      <c r="I408" s="55"/>
      <c r="J408" s="55"/>
    </row>
    <row r="409" spans="2:10">
      <c r="B409" s="53" t="s">
        <v>497</v>
      </c>
      <c r="C409" s="55"/>
      <c r="D409" s="55"/>
      <c r="E409" s="55"/>
      <c r="F409" s="55"/>
      <c r="G409" s="55"/>
      <c r="H409" s="55"/>
      <c r="I409" s="55"/>
      <c r="J409" s="55"/>
    </row>
    <row r="410" spans="2:10">
      <c r="B410" s="53" t="s">
        <v>498</v>
      </c>
      <c r="C410" s="55">
        <v>4</v>
      </c>
      <c r="D410" s="55">
        <v>16</v>
      </c>
      <c r="E410" s="55">
        <v>19</v>
      </c>
      <c r="F410" s="55">
        <v>19</v>
      </c>
      <c r="G410" s="55">
        <v>19</v>
      </c>
      <c r="H410" s="55">
        <v>12</v>
      </c>
      <c r="I410" s="55">
        <f>10+210</f>
        <v>220</v>
      </c>
      <c r="J410" s="55">
        <f>9+231</f>
        <v>240</v>
      </c>
    </row>
    <row r="411" spans="2:10">
      <c r="B411" s="52" t="s">
        <v>499</v>
      </c>
      <c r="C411" s="55">
        <v>20</v>
      </c>
      <c r="D411" s="55">
        <v>20</v>
      </c>
      <c r="E411" s="55">
        <v>20</v>
      </c>
      <c r="F411" s="55">
        <v>20</v>
      </c>
      <c r="G411" s="55">
        <v>19</v>
      </c>
      <c r="H411" s="55">
        <v>19</v>
      </c>
      <c r="I411" s="55">
        <v>20</v>
      </c>
      <c r="J411" s="55">
        <v>20</v>
      </c>
    </row>
    <row r="412" spans="2:10" ht="15" thickBot="1">
      <c r="B412" s="50" t="s">
        <v>500</v>
      </c>
      <c r="C412" s="101">
        <v>5</v>
      </c>
      <c r="D412" s="101">
        <v>13</v>
      </c>
      <c r="E412" s="101">
        <v>13</v>
      </c>
      <c r="F412" s="101">
        <v>13</v>
      </c>
      <c r="G412" s="101">
        <v>13</v>
      </c>
      <c r="H412" s="101">
        <v>7</v>
      </c>
      <c r="I412" s="101">
        <v>7</v>
      </c>
      <c r="J412" s="101">
        <v>8</v>
      </c>
    </row>
    <row r="413" spans="2:10" ht="15" thickTop="1">
      <c r="B413" s="2025" t="s">
        <v>1886</v>
      </c>
      <c r="C413" s="2025"/>
      <c r="D413" s="2025"/>
      <c r="E413" s="2025"/>
      <c r="F413" s="2025"/>
      <c r="G413" s="2025"/>
      <c r="H413" s="2025"/>
      <c r="I413" s="2025"/>
      <c r="J413" s="2025"/>
    </row>
    <row r="414" spans="2:10">
      <c r="B414" s="1397"/>
      <c r="C414" s="121"/>
      <c r="D414" s="121"/>
      <c r="E414" s="121"/>
      <c r="F414" s="121"/>
      <c r="G414" s="121"/>
      <c r="H414" s="121"/>
      <c r="I414" s="121"/>
      <c r="J414" s="121"/>
    </row>
    <row r="415" spans="2:10">
      <c r="B415" s="2024" t="s">
        <v>244</v>
      </c>
      <c r="C415" s="2024"/>
      <c r="D415" s="2024"/>
      <c r="E415" s="2024"/>
      <c r="F415" s="2024"/>
      <c r="G415" s="2024"/>
      <c r="H415" s="2024"/>
      <c r="I415" s="2024"/>
      <c r="J415" s="2024"/>
    </row>
    <row r="416" spans="2:10">
      <c r="B416" s="12" t="s">
        <v>243</v>
      </c>
      <c r="C416" s="121"/>
      <c r="D416" s="121"/>
      <c r="E416" s="121"/>
      <c r="F416" s="121"/>
      <c r="G416" s="121"/>
      <c r="H416" s="121"/>
      <c r="I416" s="121"/>
      <c r="J416" s="121"/>
    </row>
    <row r="417" spans="2:10">
      <c r="B417" s="62" t="s">
        <v>242</v>
      </c>
      <c r="C417" s="121"/>
      <c r="D417" s="121"/>
      <c r="E417" s="121"/>
      <c r="F417" s="121"/>
      <c r="G417" s="121"/>
      <c r="H417" s="121"/>
      <c r="I417" s="121"/>
      <c r="J417" s="121"/>
    </row>
    <row r="418" spans="2:10">
      <c r="B418" s="64"/>
      <c r="C418" s="121"/>
      <c r="D418" s="121"/>
      <c r="E418" s="121"/>
      <c r="F418" s="121"/>
      <c r="G418" s="121"/>
      <c r="H418" s="121"/>
      <c r="I418" s="121"/>
      <c r="J418" s="121"/>
    </row>
    <row r="419" spans="2:10">
      <c r="B419" s="61"/>
      <c r="C419" s="60">
        <v>2014</v>
      </c>
      <c r="D419" s="60">
        <v>2015</v>
      </c>
      <c r="E419" s="60">
        <v>2016</v>
      </c>
      <c r="F419" s="60">
        <v>2017</v>
      </c>
      <c r="G419" s="60">
        <v>2018</v>
      </c>
      <c r="H419" s="60">
        <v>2019</v>
      </c>
      <c r="I419" s="60">
        <v>2020</v>
      </c>
      <c r="J419" s="60">
        <v>2021</v>
      </c>
    </row>
    <row r="420" spans="2:10">
      <c r="B420" s="76" t="s">
        <v>1885</v>
      </c>
      <c r="C420" s="121"/>
      <c r="D420" s="121"/>
      <c r="E420" s="121"/>
      <c r="F420" s="121"/>
      <c r="G420" s="121"/>
      <c r="H420" s="121"/>
      <c r="I420" s="121"/>
      <c r="J420" s="121"/>
    </row>
    <row r="421" spans="2:10" ht="15" thickBot="1">
      <c r="B421" s="71" t="s">
        <v>239</v>
      </c>
      <c r="C421" s="1398">
        <v>3820</v>
      </c>
      <c r="D421" s="1398">
        <v>4652</v>
      </c>
      <c r="E421" s="1398">
        <v>5016</v>
      </c>
      <c r="F421" s="1398">
        <v>5336</v>
      </c>
      <c r="G421" s="1398">
        <v>5386</v>
      </c>
      <c r="H421" s="1398">
        <v>5531.3965502000001</v>
      </c>
      <c r="I421" s="203">
        <v>8763.2995943599999</v>
      </c>
      <c r="J421" s="203">
        <v>9282.2837191399994</v>
      </c>
    </row>
    <row r="422" spans="2:10" ht="15" thickTop="1">
      <c r="B422" s="2025" t="s">
        <v>1887</v>
      </c>
      <c r="C422" s="2025"/>
      <c r="D422" s="2025"/>
      <c r="E422" s="2025"/>
      <c r="F422" s="2025"/>
      <c r="G422" s="2025"/>
      <c r="H422" s="2025"/>
      <c r="I422" s="2025"/>
      <c r="J422" s="2025"/>
    </row>
    <row r="423" spans="2:10">
      <c r="B423" s="2017"/>
      <c r="C423" s="2017"/>
      <c r="D423" s="2017"/>
      <c r="E423" s="2017"/>
      <c r="F423" s="2017"/>
      <c r="G423" s="2017"/>
      <c r="H423" s="2017"/>
      <c r="I423" s="2017"/>
      <c r="J423" s="2017"/>
    </row>
    <row r="424" spans="2:10">
      <c r="B424" s="64"/>
      <c r="C424" s="121"/>
      <c r="D424" s="121"/>
      <c r="E424" s="121"/>
      <c r="F424" s="121"/>
      <c r="G424" s="121"/>
      <c r="H424" s="121"/>
      <c r="I424" s="121"/>
      <c r="J424" s="121"/>
    </row>
    <row r="425" spans="2:10">
      <c r="B425" s="2024" t="s">
        <v>238</v>
      </c>
      <c r="C425" s="2024"/>
      <c r="D425" s="2024"/>
      <c r="E425" s="2024"/>
      <c r="F425" s="2024"/>
      <c r="G425" s="2024"/>
      <c r="H425" s="2024"/>
      <c r="I425" s="2024"/>
      <c r="J425" s="2024"/>
    </row>
    <row r="426" spans="2:10">
      <c r="B426" s="12" t="s">
        <v>237</v>
      </c>
      <c r="C426" s="121"/>
      <c r="D426" s="121"/>
      <c r="E426" s="121"/>
      <c r="F426" s="121"/>
      <c r="G426" s="121"/>
      <c r="H426" s="121"/>
      <c r="I426" s="121"/>
      <c r="J426" s="121"/>
    </row>
    <row r="427" spans="2:10">
      <c r="B427" s="62" t="s">
        <v>236</v>
      </c>
      <c r="C427" s="121"/>
      <c r="D427" s="121"/>
      <c r="E427" s="121"/>
      <c r="F427" s="121"/>
      <c r="G427" s="121"/>
      <c r="H427" s="121"/>
      <c r="I427" s="121"/>
      <c r="J427" s="121"/>
    </row>
    <row r="428" spans="2:10">
      <c r="B428" s="64"/>
      <c r="C428" s="121"/>
      <c r="D428" s="121"/>
      <c r="E428" s="121"/>
      <c r="F428" s="121"/>
      <c r="G428" s="121"/>
      <c r="H428" s="121"/>
      <c r="I428" s="121"/>
      <c r="J428" s="121"/>
    </row>
    <row r="429" spans="2:10">
      <c r="B429" s="61"/>
      <c r="C429" s="60">
        <v>2014</v>
      </c>
      <c r="D429" s="60">
        <v>2015</v>
      </c>
      <c r="E429" s="60">
        <v>2016</v>
      </c>
      <c r="F429" s="60">
        <v>2017</v>
      </c>
      <c r="G429" s="60">
        <v>2018</v>
      </c>
      <c r="H429" s="60">
        <v>2019</v>
      </c>
      <c r="I429" s="60">
        <v>2020</v>
      </c>
      <c r="J429" s="60">
        <v>2021</v>
      </c>
    </row>
    <row r="430" spans="2:10">
      <c r="B430" s="59" t="s">
        <v>1885</v>
      </c>
      <c r="C430" s="121"/>
      <c r="D430" s="121"/>
      <c r="E430" s="121"/>
      <c r="F430" s="121"/>
      <c r="G430" s="121"/>
      <c r="H430" s="121"/>
      <c r="I430" s="121"/>
      <c r="J430" s="121"/>
    </row>
    <row r="431" spans="2:10">
      <c r="B431" s="71" t="s">
        <v>231</v>
      </c>
      <c r="C431" s="1398">
        <v>4026.8580000000002</v>
      </c>
      <c r="D431" s="1398">
        <v>3223.433</v>
      </c>
      <c r="E431" s="1398">
        <v>5558.5929999999998</v>
      </c>
      <c r="F431" s="1398">
        <v>5128.5950000000003</v>
      </c>
      <c r="G431" s="1398">
        <v>8519.7109999999993</v>
      </c>
      <c r="H431" s="1398">
        <v>8853.3449999999993</v>
      </c>
      <c r="I431" s="66">
        <v>5558.4840000000004</v>
      </c>
      <c r="J431" s="66">
        <v>12044.767</v>
      </c>
    </row>
    <row r="432" spans="2:10">
      <c r="B432" s="52" t="s">
        <v>121</v>
      </c>
      <c r="C432" s="55"/>
      <c r="D432" s="55"/>
      <c r="E432" s="55"/>
      <c r="F432" s="55"/>
      <c r="G432" s="55"/>
      <c r="H432" s="55"/>
      <c r="I432" s="55"/>
      <c r="J432" s="55"/>
    </row>
    <row r="433" spans="2:10">
      <c r="B433" s="53" t="s">
        <v>504</v>
      </c>
      <c r="C433" s="55"/>
      <c r="D433" s="55"/>
      <c r="E433" s="55"/>
      <c r="F433" s="55"/>
      <c r="G433" s="55"/>
      <c r="H433" s="55"/>
      <c r="I433" s="55"/>
      <c r="J433" s="55"/>
    </row>
    <row r="434" spans="2:10">
      <c r="B434" s="53" t="s">
        <v>505</v>
      </c>
      <c r="C434" s="55"/>
      <c r="D434" s="55"/>
      <c r="E434" s="55"/>
      <c r="F434" s="55"/>
      <c r="G434" s="55"/>
      <c r="H434" s="55"/>
      <c r="I434" s="66">
        <f>820.26+42.423</f>
        <v>862.68299999999999</v>
      </c>
      <c r="J434" s="66">
        <f>409.58+622.939</f>
        <v>1032.519</v>
      </c>
    </row>
    <row r="435" spans="2:10">
      <c r="B435" s="52" t="s">
        <v>118</v>
      </c>
      <c r="C435" s="55"/>
      <c r="D435" s="55"/>
      <c r="E435" s="55"/>
      <c r="F435" s="55"/>
      <c r="G435" s="55"/>
      <c r="H435" s="55"/>
      <c r="I435" s="66">
        <v>4695.8010000000004</v>
      </c>
      <c r="J435" s="66">
        <v>11011.966</v>
      </c>
    </row>
    <row r="436" spans="2:10">
      <c r="B436" s="52" t="s">
        <v>506</v>
      </c>
      <c r="C436" s="55"/>
      <c r="D436" s="55"/>
      <c r="E436" s="55"/>
      <c r="F436" s="55"/>
      <c r="G436" s="55"/>
      <c r="H436" s="55"/>
      <c r="I436" s="55"/>
      <c r="J436" s="55"/>
    </row>
    <row r="437" spans="2:10">
      <c r="B437" s="52"/>
      <c r="C437" s="66"/>
      <c r="D437" s="66"/>
      <c r="E437" s="66"/>
      <c r="F437" s="66"/>
      <c r="G437" s="66"/>
      <c r="H437" s="66"/>
      <c r="I437" s="66"/>
      <c r="J437" s="66"/>
    </row>
    <row r="438" spans="2:10">
      <c r="B438" s="71" t="s">
        <v>230</v>
      </c>
      <c r="C438" s="66"/>
      <c r="D438" s="66"/>
      <c r="E438" s="66"/>
      <c r="F438" s="66"/>
      <c r="G438" s="66"/>
      <c r="H438" s="66"/>
      <c r="I438" s="66"/>
      <c r="J438" s="66"/>
    </row>
    <row r="439" spans="2:10">
      <c r="B439" s="52" t="s">
        <v>169</v>
      </c>
      <c r="C439" s="66"/>
      <c r="D439" s="66"/>
      <c r="E439" s="66"/>
      <c r="F439" s="66"/>
      <c r="G439" s="66"/>
      <c r="H439" s="66"/>
      <c r="I439" s="66"/>
      <c r="J439" s="66"/>
    </row>
    <row r="440" spans="2:10">
      <c r="B440" s="52" t="s">
        <v>168</v>
      </c>
      <c r="C440" s="66"/>
      <c r="D440" s="66"/>
      <c r="E440" s="66"/>
      <c r="F440" s="66"/>
      <c r="G440" s="66"/>
      <c r="H440" s="66"/>
      <c r="I440" s="66"/>
      <c r="J440" s="66"/>
    </row>
    <row r="441" spans="2:10">
      <c r="B441" s="52" t="s">
        <v>167</v>
      </c>
      <c r="C441" s="66"/>
      <c r="D441" s="66"/>
      <c r="E441" s="66"/>
      <c r="F441" s="66"/>
      <c r="G441" s="66"/>
      <c r="H441" s="66"/>
      <c r="I441" s="66"/>
      <c r="J441" s="66"/>
    </row>
    <row r="442" spans="2:10">
      <c r="B442" s="52" t="s">
        <v>166</v>
      </c>
      <c r="C442" s="66"/>
      <c r="D442" s="66"/>
      <c r="E442" s="66"/>
      <c r="F442" s="66"/>
      <c r="G442" s="66"/>
      <c r="H442" s="66"/>
      <c r="I442" s="66"/>
      <c r="J442" s="66"/>
    </row>
    <row r="443" spans="2:10">
      <c r="B443" s="52" t="s">
        <v>165</v>
      </c>
      <c r="C443" s="66"/>
      <c r="D443" s="66"/>
      <c r="E443" s="66"/>
      <c r="F443" s="66"/>
      <c r="G443" s="66"/>
      <c r="H443" s="66"/>
      <c r="I443" s="66"/>
      <c r="J443" s="66"/>
    </row>
    <row r="444" spans="2:10" ht="15" thickBot="1">
      <c r="B444" s="50" t="s">
        <v>164</v>
      </c>
      <c r="C444" s="66"/>
      <c r="D444" s="66"/>
      <c r="E444" s="66"/>
      <c r="F444" s="66"/>
      <c r="G444" s="66"/>
      <c r="H444" s="66"/>
      <c r="I444" s="66"/>
      <c r="J444" s="66"/>
    </row>
    <row r="445" spans="2:10" ht="15" thickTop="1">
      <c r="B445" s="2025" t="s">
        <v>1886</v>
      </c>
      <c r="C445" s="2025"/>
      <c r="D445" s="2025"/>
      <c r="E445" s="2025"/>
      <c r="F445" s="2025"/>
      <c r="G445" s="2025"/>
      <c r="H445" s="2025"/>
      <c r="I445" s="2025"/>
      <c r="J445" s="2025"/>
    </row>
    <row r="446" spans="2:10">
      <c r="B446" s="64"/>
      <c r="C446" s="121"/>
      <c r="D446" s="121"/>
      <c r="E446" s="121"/>
      <c r="F446" s="121"/>
      <c r="G446" s="121"/>
      <c r="H446" s="121"/>
      <c r="I446" s="121"/>
      <c r="J446" s="121"/>
    </row>
    <row r="447" spans="2:10">
      <c r="B447" s="2024" t="s">
        <v>228</v>
      </c>
      <c r="C447" s="2024"/>
      <c r="D447" s="2024"/>
      <c r="E447" s="2024"/>
      <c r="F447" s="2024"/>
      <c r="G447" s="2024"/>
      <c r="H447" s="2024"/>
      <c r="I447" s="2024"/>
      <c r="J447" s="2024"/>
    </row>
    <row r="448" spans="2:10">
      <c r="B448" s="12" t="s">
        <v>227</v>
      </c>
      <c r="C448" s="121"/>
      <c r="D448" s="121"/>
      <c r="E448" s="121"/>
      <c r="F448" s="121"/>
      <c r="G448" s="121"/>
      <c r="H448" s="121"/>
      <c r="I448" s="121"/>
      <c r="J448" s="121"/>
    </row>
    <row r="449" spans="2:12">
      <c r="B449" s="62" t="s">
        <v>127</v>
      </c>
      <c r="C449" s="121"/>
      <c r="D449" s="121"/>
      <c r="E449" s="121"/>
      <c r="F449" s="121"/>
      <c r="G449" s="121"/>
      <c r="H449" s="121"/>
      <c r="I449" s="121"/>
      <c r="J449" s="121"/>
    </row>
    <row r="450" spans="2:12">
      <c r="B450" s="62"/>
      <c r="C450" s="121"/>
      <c r="D450" s="121"/>
      <c r="E450" s="121"/>
      <c r="F450" s="121"/>
      <c r="G450" s="121"/>
      <c r="H450" s="121"/>
      <c r="I450" s="121"/>
      <c r="J450" s="121"/>
    </row>
    <row r="451" spans="2:12">
      <c r="B451" s="61"/>
      <c r="C451" s="60">
        <v>2014</v>
      </c>
      <c r="D451" s="60">
        <v>2015</v>
      </c>
      <c r="E451" s="60">
        <v>2016</v>
      </c>
      <c r="F451" s="60">
        <v>2017</v>
      </c>
      <c r="G451" s="60">
        <v>2018</v>
      </c>
      <c r="H451" s="60">
        <v>2019</v>
      </c>
      <c r="I451" s="60">
        <v>2020</v>
      </c>
      <c r="J451" s="60">
        <v>2021</v>
      </c>
    </row>
    <row r="452" spans="2:12">
      <c r="B452" s="59" t="s">
        <v>1885</v>
      </c>
      <c r="C452" s="121"/>
      <c r="D452" s="121"/>
      <c r="E452" s="121"/>
      <c r="F452" s="121"/>
      <c r="G452" s="121"/>
      <c r="H452" s="121"/>
      <c r="I452" s="121"/>
      <c r="J452" s="121"/>
    </row>
    <row r="453" spans="2:12">
      <c r="B453" s="71" t="s">
        <v>222</v>
      </c>
      <c r="C453" s="66">
        <v>17.883251000000001</v>
      </c>
      <c r="D453" s="66">
        <v>21.893252610000001</v>
      </c>
      <c r="E453" s="66">
        <v>40.070454820000002</v>
      </c>
      <c r="F453" s="66">
        <v>44.596767</v>
      </c>
      <c r="G453" s="66">
        <v>41.83286236</v>
      </c>
      <c r="H453" s="66">
        <v>42.745590470000003</v>
      </c>
      <c r="I453" s="66">
        <v>27.88566436</v>
      </c>
      <c r="J453" s="66">
        <v>108.435</v>
      </c>
    </row>
    <row r="454" spans="2:12">
      <c r="B454" s="52" t="s">
        <v>121</v>
      </c>
      <c r="C454" s="102"/>
      <c r="D454" s="102"/>
      <c r="E454" s="102"/>
      <c r="F454" s="102"/>
      <c r="G454" s="102"/>
      <c r="H454" s="129"/>
      <c r="I454" s="129">
        <v>6.5739924199999997</v>
      </c>
      <c r="J454" s="129">
        <f>42.50741748+3.2887</f>
        <v>45.796117479999999</v>
      </c>
    </row>
    <row r="455" spans="2:12">
      <c r="B455" s="53" t="s">
        <v>497</v>
      </c>
      <c r="C455" s="102"/>
      <c r="D455" s="102"/>
      <c r="E455" s="102"/>
      <c r="F455" s="102"/>
      <c r="G455" s="102"/>
      <c r="H455" s="129"/>
      <c r="I455" s="129"/>
      <c r="J455" s="129"/>
    </row>
    <row r="456" spans="2:12">
      <c r="B456" s="53" t="s">
        <v>498</v>
      </c>
      <c r="C456" s="102"/>
      <c r="D456" s="102"/>
      <c r="E456" s="102"/>
      <c r="F456" s="102"/>
      <c r="G456" s="102"/>
      <c r="H456" s="129"/>
      <c r="I456" s="129"/>
      <c r="J456" s="129"/>
    </row>
    <row r="457" spans="2:12">
      <c r="B457" s="52" t="s">
        <v>118</v>
      </c>
      <c r="C457" s="102"/>
      <c r="D457" s="102"/>
      <c r="E457" s="102"/>
      <c r="F457" s="102"/>
      <c r="G457" s="102"/>
      <c r="H457" s="129"/>
      <c r="I457" s="129">
        <v>21.311</v>
      </c>
      <c r="J457" s="129">
        <f>62.36175497+0.28</f>
        <v>62.641754970000001</v>
      </c>
    </row>
    <row r="458" spans="2:12">
      <c r="B458" s="52" t="s">
        <v>500</v>
      </c>
      <c r="C458" s="102"/>
      <c r="D458" s="102"/>
      <c r="E458" s="102"/>
      <c r="F458" s="102"/>
      <c r="G458" s="102"/>
      <c r="H458" s="102"/>
      <c r="I458" s="102"/>
      <c r="J458" s="102"/>
      <c r="L458" s="851"/>
    </row>
    <row r="459" spans="2:12">
      <c r="B459" s="52"/>
      <c r="C459" s="66"/>
      <c r="D459" s="66"/>
      <c r="E459" s="66"/>
      <c r="F459" s="66"/>
      <c r="G459" s="66"/>
      <c r="H459" s="66"/>
      <c r="I459" s="66"/>
      <c r="J459" s="66"/>
    </row>
    <row r="460" spans="2:12">
      <c r="B460" s="71" t="s">
        <v>221</v>
      </c>
      <c r="C460" s="66"/>
      <c r="D460" s="66"/>
      <c r="E460" s="66"/>
      <c r="F460" s="66"/>
      <c r="G460" s="66"/>
      <c r="H460" s="66"/>
      <c r="I460" s="66"/>
      <c r="J460" s="66"/>
    </row>
    <row r="461" spans="2:12">
      <c r="B461" s="52" t="s">
        <v>169</v>
      </c>
      <c r="C461" s="66"/>
      <c r="D461" s="66"/>
      <c r="E461" s="66"/>
      <c r="F461" s="66"/>
      <c r="G461" s="66"/>
      <c r="H461" s="66"/>
      <c r="I461" s="66"/>
      <c r="J461" s="66"/>
    </row>
    <row r="462" spans="2:12">
      <c r="B462" s="52" t="s">
        <v>168</v>
      </c>
      <c r="C462" s="66"/>
      <c r="D462" s="66"/>
      <c r="E462" s="66"/>
      <c r="F462" s="66"/>
      <c r="G462" s="66"/>
      <c r="H462" s="66"/>
      <c r="I462" s="66"/>
      <c r="J462" s="66"/>
    </row>
    <row r="463" spans="2:12">
      <c r="B463" s="52" t="s">
        <v>167</v>
      </c>
      <c r="C463" s="66"/>
      <c r="D463" s="66"/>
      <c r="E463" s="66"/>
      <c r="F463" s="66"/>
      <c r="G463" s="66"/>
      <c r="H463" s="66"/>
      <c r="I463" s="66"/>
      <c r="J463" s="66"/>
    </row>
    <row r="464" spans="2:12">
      <c r="B464" s="52" t="s">
        <v>166</v>
      </c>
      <c r="C464" s="66"/>
      <c r="D464" s="66"/>
      <c r="E464" s="66"/>
      <c r="F464" s="66"/>
      <c r="G464" s="66"/>
      <c r="H464" s="66"/>
      <c r="I464" s="66"/>
      <c r="J464" s="66"/>
    </row>
    <row r="465" spans="2:10">
      <c r="B465" s="52" t="s">
        <v>165</v>
      </c>
      <c r="C465" s="66"/>
      <c r="D465" s="66"/>
      <c r="E465" s="66"/>
      <c r="F465" s="66"/>
      <c r="G465" s="66"/>
      <c r="H465" s="66"/>
      <c r="I465" s="66"/>
      <c r="J465" s="66"/>
    </row>
    <row r="466" spans="2:10" ht="15" thickBot="1">
      <c r="B466" s="52" t="s">
        <v>164</v>
      </c>
      <c r="C466" s="66"/>
      <c r="D466" s="66"/>
      <c r="E466" s="66"/>
      <c r="F466" s="66"/>
      <c r="G466" s="66"/>
      <c r="H466" s="66"/>
      <c r="I466" s="66"/>
      <c r="J466" s="66"/>
    </row>
    <row r="467" spans="2:10" ht="15" thickTop="1">
      <c r="B467" s="2025" t="s">
        <v>1887</v>
      </c>
      <c r="C467" s="2025"/>
      <c r="D467" s="2025"/>
      <c r="E467" s="2025"/>
      <c r="F467" s="2025"/>
      <c r="G467" s="2025"/>
      <c r="H467" s="2025"/>
      <c r="I467" s="2025"/>
      <c r="J467" s="2025"/>
    </row>
    <row r="468" spans="2:10">
      <c r="B468" s="64"/>
      <c r="C468" s="121"/>
      <c r="D468" s="121"/>
      <c r="E468" s="121"/>
      <c r="F468" s="121"/>
      <c r="G468" s="121"/>
      <c r="H468" s="121"/>
      <c r="I468" s="121"/>
      <c r="J468" s="121"/>
    </row>
    <row r="469" spans="2:10">
      <c r="B469" s="2024" t="s">
        <v>219</v>
      </c>
      <c r="C469" s="2024"/>
      <c r="D469" s="2024"/>
      <c r="E469" s="2024"/>
      <c r="F469" s="2024"/>
      <c r="G469" s="2024"/>
      <c r="H469" s="2024"/>
      <c r="I469" s="2024"/>
      <c r="J469" s="2024"/>
    </row>
    <row r="470" spans="2:10">
      <c r="B470" s="12" t="s">
        <v>218</v>
      </c>
      <c r="C470" s="121"/>
      <c r="D470" s="121"/>
      <c r="E470" s="121"/>
      <c r="F470" s="121"/>
      <c r="G470" s="121"/>
      <c r="H470" s="121"/>
      <c r="I470" s="121"/>
      <c r="J470" s="121"/>
    </row>
    <row r="471" spans="2:10">
      <c r="B471" s="77" t="s">
        <v>269</v>
      </c>
      <c r="C471" s="121"/>
      <c r="D471" s="121"/>
      <c r="E471" s="121"/>
      <c r="F471" s="121"/>
      <c r="G471" s="121"/>
      <c r="H471" s="121"/>
      <c r="I471" s="121"/>
      <c r="J471" s="121"/>
    </row>
    <row r="472" spans="2:10">
      <c r="B472" s="61"/>
      <c r="C472" s="60">
        <v>2014</v>
      </c>
      <c r="D472" s="60">
        <v>2015</v>
      </c>
      <c r="E472" s="60">
        <v>2016</v>
      </c>
      <c r="F472" s="60">
        <v>2017</v>
      </c>
      <c r="G472" s="60">
        <v>2018</v>
      </c>
      <c r="H472" s="60">
        <v>2019</v>
      </c>
      <c r="I472" s="60">
        <v>2020</v>
      </c>
      <c r="J472" s="60">
        <v>2021</v>
      </c>
    </row>
    <row r="473" spans="2:10">
      <c r="B473" s="59" t="s">
        <v>1888</v>
      </c>
      <c r="C473" s="121"/>
      <c r="D473" s="121"/>
      <c r="E473" s="121"/>
      <c r="F473" s="121"/>
      <c r="G473" s="121"/>
      <c r="H473" s="121"/>
      <c r="I473" s="121"/>
      <c r="J473" s="121"/>
    </row>
    <row r="474" spans="2:10">
      <c r="B474" s="71" t="s">
        <v>217</v>
      </c>
      <c r="C474" s="226">
        <f>C475+C477</f>
        <v>8</v>
      </c>
      <c r="D474" s="226">
        <f t="shared" ref="D474:I474" si="14">D475+D477</f>
        <v>8</v>
      </c>
      <c r="E474" s="226">
        <f t="shared" si="14"/>
        <v>8</v>
      </c>
      <c r="F474" s="226">
        <f t="shared" si="14"/>
        <v>8</v>
      </c>
      <c r="G474" s="226">
        <f t="shared" si="14"/>
        <v>8</v>
      </c>
      <c r="H474" s="226">
        <f t="shared" si="14"/>
        <v>8</v>
      </c>
      <c r="I474" s="226">
        <f t="shared" si="14"/>
        <v>8</v>
      </c>
      <c r="J474" s="226">
        <f>J475+J477</f>
        <v>8</v>
      </c>
    </row>
    <row r="475" spans="2:10">
      <c r="B475" s="52" t="s">
        <v>150</v>
      </c>
      <c r="C475" s="337">
        <v>1</v>
      </c>
      <c r="D475" s="337">
        <v>1</v>
      </c>
      <c r="E475" s="337">
        <v>1</v>
      </c>
      <c r="F475" s="337">
        <v>1</v>
      </c>
      <c r="G475" s="337">
        <v>1</v>
      </c>
      <c r="H475" s="1399">
        <v>1</v>
      </c>
      <c r="I475" s="226">
        <v>1</v>
      </c>
      <c r="J475" s="226">
        <v>1</v>
      </c>
    </row>
    <row r="476" spans="2:10">
      <c r="B476" s="52" t="s">
        <v>214</v>
      </c>
      <c r="C476" s="337">
        <v>0</v>
      </c>
      <c r="D476" s="337">
        <v>0</v>
      </c>
      <c r="E476" s="337">
        <v>0</v>
      </c>
      <c r="F476" s="337">
        <v>0</v>
      </c>
      <c r="G476" s="337">
        <v>0</v>
      </c>
      <c r="H476" s="1399">
        <v>0</v>
      </c>
      <c r="I476" s="226">
        <v>0</v>
      </c>
      <c r="J476" s="226">
        <v>0</v>
      </c>
    </row>
    <row r="477" spans="2:10">
      <c r="B477" s="52" t="s">
        <v>147</v>
      </c>
      <c r="C477" s="337">
        <v>7</v>
      </c>
      <c r="D477" s="337">
        <v>7</v>
      </c>
      <c r="E477" s="337">
        <v>7</v>
      </c>
      <c r="F477" s="337">
        <v>7</v>
      </c>
      <c r="G477" s="337">
        <v>7</v>
      </c>
      <c r="H477" s="1399">
        <v>7</v>
      </c>
      <c r="I477" s="226">
        <v>7</v>
      </c>
      <c r="J477" s="226">
        <v>7</v>
      </c>
    </row>
    <row r="478" spans="2:10">
      <c r="B478" s="52" t="s">
        <v>509</v>
      </c>
      <c r="C478" s="337">
        <v>0</v>
      </c>
      <c r="D478" s="337">
        <v>0</v>
      </c>
      <c r="E478" s="337">
        <v>0</v>
      </c>
      <c r="F478" s="337">
        <v>0</v>
      </c>
      <c r="G478" s="337">
        <v>0</v>
      </c>
      <c r="H478" s="1399">
        <v>0</v>
      </c>
      <c r="I478" s="226">
        <v>0</v>
      </c>
      <c r="J478" s="226">
        <v>0</v>
      </c>
    </row>
    <row r="479" spans="2:10">
      <c r="B479" s="52"/>
      <c r="C479" s="226"/>
      <c r="D479" s="226"/>
      <c r="E479" s="226"/>
      <c r="F479" s="226"/>
      <c r="G479" s="226"/>
      <c r="H479" s="226"/>
      <c r="I479" s="226"/>
      <c r="J479" s="226"/>
    </row>
    <row r="480" spans="2:10" ht="15" thickBot="1"/>
    <row r="481" spans="2:10" ht="15.5" thickTop="1" thickBot="1">
      <c r="B481" s="2025"/>
      <c r="C481" s="2025"/>
      <c r="D481" s="2025"/>
      <c r="E481" s="2025"/>
      <c r="F481" s="2025"/>
      <c r="G481" s="2025"/>
      <c r="H481" s="2025"/>
      <c r="I481" s="2025"/>
      <c r="J481" s="2025"/>
    </row>
    <row r="482" spans="2:10" ht="15" thickTop="1">
      <c r="B482" s="2025"/>
      <c r="C482" s="2025"/>
      <c r="D482" s="2025"/>
      <c r="E482" s="2025"/>
      <c r="F482" s="2025"/>
      <c r="G482" s="2025"/>
      <c r="H482" s="2025"/>
      <c r="I482" s="2025"/>
      <c r="J482" s="2025"/>
    </row>
    <row r="483" spans="2:10">
      <c r="B483" s="62"/>
      <c r="C483" s="121"/>
      <c r="D483" s="121"/>
      <c r="E483" s="121"/>
      <c r="F483" s="121"/>
      <c r="G483" s="121"/>
      <c r="H483" s="121"/>
      <c r="I483" s="121"/>
      <c r="J483" s="121"/>
    </row>
    <row r="484" spans="2:10">
      <c r="B484" s="2024" t="s">
        <v>212</v>
      </c>
      <c r="C484" s="2024"/>
      <c r="D484" s="2024"/>
      <c r="E484" s="2024"/>
      <c r="F484" s="2024"/>
      <c r="G484" s="2024"/>
      <c r="H484" s="2024"/>
      <c r="I484" s="2024"/>
      <c r="J484" s="2024"/>
    </row>
    <row r="485" spans="2:10">
      <c r="B485" s="12" t="s">
        <v>211</v>
      </c>
      <c r="C485" s="121"/>
      <c r="D485" s="121"/>
      <c r="E485" s="121"/>
      <c r="F485" s="121"/>
      <c r="G485" s="121"/>
      <c r="H485" s="121"/>
      <c r="I485" s="121"/>
      <c r="J485" s="121"/>
    </row>
    <row r="486" spans="2:10">
      <c r="B486" s="64" t="s">
        <v>210</v>
      </c>
      <c r="C486" s="121"/>
      <c r="D486" s="121"/>
      <c r="E486" s="121"/>
      <c r="F486" s="121"/>
      <c r="G486" s="121"/>
      <c r="H486" s="121"/>
      <c r="I486" s="121"/>
      <c r="J486" s="121"/>
    </row>
    <row r="487" spans="2:10">
      <c r="B487" s="64"/>
      <c r="C487" s="121"/>
      <c r="D487" s="121"/>
      <c r="E487" s="121"/>
      <c r="F487" s="121"/>
      <c r="G487" s="121"/>
      <c r="H487" s="121"/>
      <c r="I487" s="121"/>
      <c r="J487" s="121"/>
    </row>
    <row r="488" spans="2:10">
      <c r="B488" s="61"/>
      <c r="C488" s="60">
        <v>2014</v>
      </c>
      <c r="D488" s="60">
        <v>2015</v>
      </c>
      <c r="E488" s="60">
        <v>2016</v>
      </c>
      <c r="F488" s="60">
        <v>2017</v>
      </c>
      <c r="G488" s="60">
        <v>2018</v>
      </c>
      <c r="H488" s="60">
        <v>2019</v>
      </c>
      <c r="I488" s="60">
        <v>2020</v>
      </c>
      <c r="J488" s="60">
        <v>2021</v>
      </c>
    </row>
    <row r="489" spans="2:10">
      <c r="B489" s="59" t="s">
        <v>1889</v>
      </c>
      <c r="C489" s="121"/>
      <c r="D489" s="121"/>
      <c r="E489" s="121"/>
      <c r="F489" s="121"/>
      <c r="G489" s="121"/>
      <c r="H489" s="121"/>
      <c r="I489" s="121"/>
      <c r="J489" s="121"/>
    </row>
    <row r="490" spans="2:10">
      <c r="B490" s="71" t="s">
        <v>209</v>
      </c>
      <c r="C490" s="227"/>
      <c r="D490" s="227"/>
      <c r="E490" s="228"/>
      <c r="F490" s="228"/>
      <c r="G490" s="228"/>
      <c r="H490" s="228"/>
      <c r="I490" s="228"/>
      <c r="J490" s="228"/>
    </row>
    <row r="491" spans="2:10">
      <c r="B491" s="71"/>
      <c r="C491" s="98"/>
      <c r="D491" s="98"/>
      <c r="E491" s="98"/>
      <c r="F491" s="98"/>
      <c r="G491" s="98"/>
      <c r="H491" s="98"/>
      <c r="I491" s="98"/>
      <c r="J491" s="98"/>
    </row>
    <row r="492" spans="2:10">
      <c r="B492" s="71" t="s">
        <v>208</v>
      </c>
      <c r="C492" s="227"/>
      <c r="D492" s="227"/>
      <c r="E492" s="227"/>
      <c r="F492" s="227"/>
      <c r="G492" s="227"/>
      <c r="H492" s="227"/>
      <c r="I492" s="227"/>
      <c r="J492" s="227"/>
    </row>
    <row r="493" spans="2:10">
      <c r="B493" s="52" t="s">
        <v>121</v>
      </c>
      <c r="C493" s="227"/>
      <c r="D493" s="227"/>
      <c r="E493" s="227"/>
      <c r="F493" s="227"/>
      <c r="G493" s="227"/>
      <c r="H493" s="227"/>
      <c r="I493" s="227"/>
      <c r="J493" s="227"/>
    </row>
    <row r="494" spans="2:10">
      <c r="B494" s="53" t="s">
        <v>120</v>
      </c>
      <c r="C494" s="227"/>
      <c r="D494" s="227"/>
      <c r="E494" s="227"/>
      <c r="F494" s="227"/>
      <c r="G494" s="227"/>
      <c r="H494" s="227"/>
      <c r="I494" s="227"/>
      <c r="J494" s="227"/>
    </row>
    <row r="495" spans="2:10">
      <c r="B495" s="53" t="s">
        <v>119</v>
      </c>
      <c r="C495" s="227"/>
      <c r="D495" s="227"/>
      <c r="E495" s="227"/>
      <c r="F495" s="227"/>
      <c r="G495" s="227"/>
      <c r="H495" s="227"/>
      <c r="I495" s="227"/>
      <c r="J495" s="227"/>
    </row>
    <row r="496" spans="2:10">
      <c r="B496" s="53" t="s">
        <v>512</v>
      </c>
      <c r="C496" s="227"/>
      <c r="D496" s="227"/>
      <c r="E496" s="227"/>
      <c r="F496" s="227"/>
      <c r="G496" s="227"/>
      <c r="H496" s="227"/>
      <c r="I496" s="227"/>
      <c r="J496" s="227"/>
    </row>
    <row r="497" spans="2:10">
      <c r="B497" s="52" t="s">
        <v>118</v>
      </c>
      <c r="C497" s="227"/>
      <c r="D497" s="227"/>
      <c r="E497" s="227"/>
      <c r="F497" s="227"/>
      <c r="G497" s="227"/>
      <c r="H497" s="227"/>
      <c r="I497" s="227"/>
      <c r="J497" s="227"/>
    </row>
    <row r="498" spans="2:10">
      <c r="B498" s="52" t="s">
        <v>117</v>
      </c>
      <c r="C498" s="227"/>
      <c r="D498" s="227"/>
      <c r="E498" s="227"/>
      <c r="F498" s="227"/>
      <c r="G498" s="227"/>
      <c r="H498" s="227"/>
      <c r="I498" s="227"/>
      <c r="J498" s="227"/>
    </row>
    <row r="499" spans="2:10">
      <c r="B499" s="52"/>
      <c r="C499" s="98"/>
      <c r="D499" s="98"/>
      <c r="E499" s="98"/>
      <c r="F499" s="98"/>
      <c r="G499" s="98"/>
      <c r="H499" s="98"/>
      <c r="I499" s="98"/>
      <c r="J499" s="98"/>
    </row>
    <row r="500" spans="2:10">
      <c r="B500" s="83" t="s">
        <v>205</v>
      </c>
      <c r="C500" s="227"/>
      <c r="D500" s="227"/>
      <c r="E500" s="227"/>
      <c r="F500" s="227"/>
      <c r="G500" s="227"/>
      <c r="H500" s="227"/>
      <c r="I500" s="227"/>
      <c r="J500" s="227"/>
    </row>
    <row r="501" spans="2:10">
      <c r="B501" s="81" t="s">
        <v>121</v>
      </c>
      <c r="C501" s="227"/>
      <c r="D501" s="227"/>
      <c r="E501" s="227"/>
      <c r="F501" s="227"/>
      <c r="G501" s="227"/>
      <c r="H501" s="227"/>
      <c r="I501" s="227"/>
      <c r="J501" s="227"/>
    </row>
    <row r="502" spans="2:10">
      <c r="B502" s="82" t="s">
        <v>120</v>
      </c>
      <c r="C502" s="227"/>
      <c r="D502" s="227"/>
      <c r="E502" s="227"/>
      <c r="F502" s="227"/>
      <c r="G502" s="227"/>
      <c r="H502" s="227"/>
      <c r="I502" s="227"/>
      <c r="J502" s="227"/>
    </row>
    <row r="503" spans="2:10">
      <c r="B503" s="82" t="s">
        <v>119</v>
      </c>
      <c r="C503" s="227"/>
      <c r="D503" s="227"/>
      <c r="E503" s="227"/>
      <c r="F503" s="227"/>
      <c r="G503" s="227"/>
      <c r="H503" s="227"/>
      <c r="I503" s="227"/>
      <c r="J503" s="227"/>
    </row>
    <row r="504" spans="2:10" ht="15">
      <c r="B504" s="82" t="s">
        <v>513</v>
      </c>
      <c r="C504" s="227"/>
      <c r="D504" s="227"/>
      <c r="E504" s="227"/>
      <c r="F504" s="227"/>
      <c r="G504" s="227"/>
      <c r="H504" s="227"/>
      <c r="I504" s="227"/>
      <c r="J504" s="227"/>
    </row>
    <row r="505" spans="2:10">
      <c r="B505" s="81" t="s">
        <v>118</v>
      </c>
      <c r="C505" s="227"/>
      <c r="D505" s="227"/>
      <c r="E505" s="227"/>
      <c r="F505" s="227"/>
      <c r="G505" s="227"/>
      <c r="H505" s="227"/>
      <c r="I505" s="227"/>
      <c r="J505" s="227"/>
    </row>
    <row r="506" spans="2:10">
      <c r="B506" s="81" t="s">
        <v>117</v>
      </c>
      <c r="C506" s="227"/>
      <c r="D506" s="227"/>
      <c r="E506" s="227"/>
      <c r="F506" s="227"/>
      <c r="G506" s="227"/>
      <c r="H506" s="227"/>
      <c r="I506" s="227"/>
      <c r="J506" s="227"/>
    </row>
    <row r="507" spans="2:10">
      <c r="B507" s="81"/>
      <c r="C507" s="98"/>
      <c r="D507" s="98"/>
      <c r="E507" s="98"/>
      <c r="F507" s="98"/>
      <c r="G507" s="98"/>
      <c r="H507" s="98"/>
      <c r="I507" s="98"/>
      <c r="J507" s="98"/>
    </row>
    <row r="508" spans="2:10">
      <c r="B508" s="83" t="s">
        <v>204</v>
      </c>
      <c r="C508" s="227"/>
      <c r="D508" s="227"/>
      <c r="E508" s="227"/>
      <c r="F508" s="227"/>
      <c r="G508" s="227"/>
      <c r="H508" s="227"/>
      <c r="I508" s="227"/>
      <c r="J508" s="227"/>
    </row>
    <row r="509" spans="2:10">
      <c r="B509" s="81" t="s">
        <v>121</v>
      </c>
      <c r="C509" s="227"/>
      <c r="D509" s="227"/>
      <c r="E509" s="227"/>
      <c r="F509" s="227"/>
      <c r="G509" s="227"/>
      <c r="H509" s="227"/>
      <c r="I509" s="227"/>
      <c r="J509" s="227"/>
    </row>
    <row r="510" spans="2:10">
      <c r="B510" s="82" t="s">
        <v>120</v>
      </c>
      <c r="C510" s="227"/>
      <c r="D510" s="227"/>
      <c r="E510" s="227"/>
      <c r="F510" s="227"/>
      <c r="G510" s="227"/>
      <c r="H510" s="227"/>
      <c r="I510" s="227"/>
      <c r="J510" s="227"/>
    </row>
    <row r="511" spans="2:10">
      <c r="B511" s="82" t="s">
        <v>119</v>
      </c>
      <c r="C511" s="227"/>
      <c r="D511" s="227"/>
      <c r="E511" s="227"/>
      <c r="F511" s="227"/>
      <c r="G511" s="227"/>
      <c r="H511" s="227"/>
      <c r="I511" s="227"/>
      <c r="J511" s="227"/>
    </row>
    <row r="512" spans="2:10" ht="15">
      <c r="B512" s="82" t="s">
        <v>514</v>
      </c>
      <c r="C512" s="227"/>
      <c r="D512" s="227"/>
      <c r="E512" s="227"/>
      <c r="F512" s="227"/>
      <c r="G512" s="227"/>
      <c r="H512" s="227"/>
      <c r="I512" s="227"/>
      <c r="J512" s="227"/>
    </row>
    <row r="513" spans="2:10">
      <c r="B513" s="81" t="s">
        <v>118</v>
      </c>
      <c r="C513" s="227"/>
      <c r="D513" s="227"/>
      <c r="E513" s="227"/>
      <c r="F513" s="227"/>
      <c r="G513" s="227"/>
      <c r="H513" s="227"/>
      <c r="I513" s="227"/>
      <c r="J513" s="227"/>
    </row>
    <row r="514" spans="2:10">
      <c r="B514" s="81" t="s">
        <v>117</v>
      </c>
      <c r="C514" s="227"/>
      <c r="D514" s="227"/>
      <c r="E514" s="227"/>
      <c r="F514" s="227"/>
      <c r="G514" s="227"/>
      <c r="H514" s="227"/>
      <c r="I514" s="227"/>
      <c r="J514" s="227"/>
    </row>
    <row r="515" spans="2:10">
      <c r="B515" s="81"/>
      <c r="C515" s="121"/>
      <c r="D515" s="121"/>
      <c r="E515" s="121"/>
      <c r="F515" s="121"/>
      <c r="G515" s="121"/>
      <c r="H515" s="121"/>
      <c r="I515" s="121"/>
      <c r="J515" s="121"/>
    </row>
    <row r="516" spans="2:10">
      <c r="B516" s="71" t="s">
        <v>203</v>
      </c>
      <c r="C516" s="229"/>
      <c r="D516" s="229"/>
      <c r="E516" s="229"/>
      <c r="F516" s="229"/>
      <c r="G516" s="229"/>
      <c r="H516" s="229"/>
      <c r="I516" s="229"/>
      <c r="J516" s="229"/>
    </row>
    <row r="517" spans="2:10">
      <c r="B517" s="52" t="s">
        <v>169</v>
      </c>
      <c r="C517" s="229"/>
      <c r="D517" s="229"/>
      <c r="E517" s="229"/>
      <c r="F517" s="229"/>
      <c r="G517" s="229"/>
      <c r="H517" s="229"/>
      <c r="I517" s="229"/>
      <c r="J517" s="229"/>
    </row>
    <row r="518" spans="2:10">
      <c r="B518" s="52" t="s">
        <v>168</v>
      </c>
      <c r="C518" s="229"/>
      <c r="D518" s="229"/>
      <c r="E518" s="229"/>
      <c r="F518" s="229"/>
      <c r="G518" s="229"/>
      <c r="H518" s="229"/>
      <c r="I518" s="229"/>
      <c r="J518" s="229"/>
    </row>
    <row r="519" spans="2:10">
      <c r="B519" s="52" t="s">
        <v>167</v>
      </c>
      <c r="C519" s="229"/>
      <c r="D519" s="229"/>
      <c r="E519" s="229"/>
      <c r="F519" s="229"/>
      <c r="G519" s="229"/>
      <c r="H519" s="229"/>
      <c r="I519" s="229"/>
      <c r="J519" s="229"/>
    </row>
    <row r="520" spans="2:10">
      <c r="B520" s="52" t="s">
        <v>166</v>
      </c>
      <c r="C520" s="229"/>
      <c r="D520" s="229"/>
      <c r="E520" s="229"/>
      <c r="F520" s="229"/>
      <c r="G520" s="229"/>
      <c r="H520" s="229"/>
      <c r="I520" s="229"/>
      <c r="J520" s="229"/>
    </row>
    <row r="521" spans="2:10">
      <c r="B521" s="52" t="s">
        <v>165</v>
      </c>
      <c r="C521" s="229"/>
      <c r="D521" s="229"/>
      <c r="E521" s="229"/>
      <c r="F521" s="229"/>
      <c r="G521" s="229"/>
      <c r="H521" s="229"/>
      <c r="I521" s="229"/>
      <c r="J521" s="229"/>
    </row>
    <row r="522" spans="2:10">
      <c r="B522" s="52" t="s">
        <v>164</v>
      </c>
      <c r="C522" s="229"/>
      <c r="D522" s="229"/>
      <c r="E522" s="229"/>
      <c r="F522" s="229"/>
      <c r="G522" s="229"/>
      <c r="H522" s="229"/>
      <c r="I522" s="229"/>
      <c r="J522" s="229"/>
    </row>
    <row r="523" spans="2:10">
      <c r="B523" s="52"/>
      <c r="C523" s="121"/>
      <c r="D523" s="121"/>
      <c r="E523" s="121"/>
      <c r="F523" s="121"/>
      <c r="G523" s="121"/>
      <c r="H523" s="121"/>
      <c r="I523" s="121"/>
      <c r="J523" s="121"/>
    </row>
    <row r="524" spans="2:10">
      <c r="B524" s="80" t="s">
        <v>202</v>
      </c>
      <c r="C524" s="229"/>
      <c r="D524" s="229"/>
      <c r="E524" s="229"/>
      <c r="F524" s="229"/>
      <c r="G524" s="229"/>
      <c r="H524" s="229"/>
      <c r="I524" s="229"/>
      <c r="J524" s="229"/>
    </row>
    <row r="525" spans="2:10">
      <c r="B525" s="52" t="s">
        <v>169</v>
      </c>
      <c r="C525" s="229"/>
      <c r="D525" s="229"/>
      <c r="E525" s="229"/>
      <c r="F525" s="229"/>
      <c r="G525" s="229"/>
      <c r="H525" s="229"/>
      <c r="I525" s="229"/>
      <c r="J525" s="229"/>
    </row>
    <row r="526" spans="2:10">
      <c r="B526" s="52" t="s">
        <v>168</v>
      </c>
      <c r="C526" s="229"/>
      <c r="D526" s="229"/>
      <c r="E526" s="229"/>
      <c r="F526" s="229"/>
      <c r="G526" s="229"/>
      <c r="H526" s="229"/>
      <c r="I526" s="229"/>
      <c r="J526" s="229"/>
    </row>
    <row r="527" spans="2:10">
      <c r="B527" s="52" t="s">
        <v>167</v>
      </c>
      <c r="C527" s="229"/>
      <c r="D527" s="229"/>
      <c r="E527" s="229"/>
      <c r="F527" s="229"/>
      <c r="G527" s="229"/>
      <c r="H527" s="229"/>
      <c r="I527" s="229"/>
      <c r="J527" s="229"/>
    </row>
    <row r="528" spans="2:10">
      <c r="B528" s="52" t="s">
        <v>166</v>
      </c>
      <c r="C528" s="229"/>
      <c r="D528" s="229"/>
      <c r="E528" s="229"/>
      <c r="F528" s="229"/>
      <c r="G528" s="229"/>
      <c r="H528" s="229"/>
      <c r="I528" s="229"/>
      <c r="J528" s="229"/>
    </row>
    <row r="529" spans="2:10">
      <c r="B529" s="52" t="s">
        <v>165</v>
      </c>
      <c r="C529" s="229"/>
      <c r="D529" s="229"/>
      <c r="E529" s="229"/>
      <c r="F529" s="229"/>
      <c r="G529" s="229"/>
      <c r="H529" s="229"/>
      <c r="I529" s="229"/>
      <c r="J529" s="229"/>
    </row>
    <row r="530" spans="2:10" ht="15" thickBot="1">
      <c r="B530" s="52" t="s">
        <v>164</v>
      </c>
      <c r="C530" s="229"/>
      <c r="D530" s="229"/>
      <c r="E530" s="229"/>
      <c r="F530" s="229"/>
      <c r="G530" s="229"/>
      <c r="H530" s="229"/>
      <c r="I530" s="229"/>
      <c r="J530" s="229"/>
    </row>
    <row r="531" spans="2:10" ht="15" thickTop="1">
      <c r="B531" s="2025"/>
      <c r="C531" s="2025"/>
      <c r="D531" s="2025"/>
      <c r="E531" s="2025"/>
      <c r="F531" s="2025"/>
      <c r="G531" s="2025"/>
      <c r="H531" s="2025"/>
      <c r="I531" s="2025"/>
      <c r="J531" s="2025"/>
    </row>
    <row r="532" spans="2:10">
      <c r="B532" s="2041"/>
      <c r="C532" s="2042"/>
      <c r="D532" s="2042"/>
      <c r="E532" s="2042"/>
      <c r="F532" s="2042"/>
      <c r="G532" s="2042"/>
      <c r="H532" s="2042"/>
      <c r="I532" s="2042"/>
      <c r="J532" s="2042"/>
    </row>
    <row r="533" spans="2:10">
      <c r="B533" s="64"/>
      <c r="C533" s="121"/>
      <c r="D533" s="121"/>
      <c r="E533" s="121"/>
      <c r="F533" s="121"/>
      <c r="G533" s="121"/>
      <c r="H533" s="121"/>
      <c r="I533" s="121"/>
      <c r="J533" s="121"/>
    </row>
    <row r="534" spans="2:10">
      <c r="B534" s="2024" t="s">
        <v>199</v>
      </c>
      <c r="C534" s="2024"/>
      <c r="D534" s="2024"/>
      <c r="E534" s="2024"/>
      <c r="F534" s="2024"/>
      <c r="G534" s="2024"/>
      <c r="H534" s="2024"/>
      <c r="I534" s="2024"/>
      <c r="J534" s="2024"/>
    </row>
    <row r="535" spans="2:10">
      <c r="B535" s="12" t="s">
        <v>198</v>
      </c>
      <c r="C535" s="121"/>
      <c r="D535" s="121"/>
      <c r="E535" s="121"/>
      <c r="F535" s="121"/>
      <c r="G535" s="121"/>
      <c r="H535" s="121"/>
      <c r="I535" s="121"/>
      <c r="J535" s="121"/>
    </row>
    <row r="536" spans="2:10">
      <c r="B536" s="62" t="s">
        <v>127</v>
      </c>
      <c r="C536" s="121"/>
      <c r="D536" s="121"/>
      <c r="E536" s="121"/>
      <c r="F536" s="121"/>
      <c r="G536" s="121"/>
      <c r="H536" s="121"/>
      <c r="I536" s="121"/>
      <c r="J536" s="121"/>
    </row>
    <row r="537" spans="2:10">
      <c r="B537" s="62"/>
      <c r="C537" s="121"/>
      <c r="D537" s="121"/>
      <c r="E537" s="121"/>
      <c r="F537" s="121"/>
      <c r="G537" s="121"/>
      <c r="H537" s="121"/>
      <c r="I537" s="121"/>
      <c r="J537" s="121"/>
    </row>
    <row r="538" spans="2:10">
      <c r="B538" s="61"/>
      <c r="C538" s="60">
        <v>2014</v>
      </c>
      <c r="D538" s="60">
        <v>2015</v>
      </c>
      <c r="E538" s="60">
        <v>2016</v>
      </c>
      <c r="F538" s="60">
        <v>2017</v>
      </c>
      <c r="G538" s="60">
        <v>2018</v>
      </c>
      <c r="H538" s="60">
        <v>2019</v>
      </c>
      <c r="I538" s="60">
        <v>2020</v>
      </c>
      <c r="J538" s="60">
        <v>2021</v>
      </c>
    </row>
    <row r="539" spans="2:10">
      <c r="B539" s="59" t="s">
        <v>1889</v>
      </c>
      <c r="C539" s="121"/>
      <c r="D539" s="121"/>
      <c r="E539" s="121"/>
      <c r="F539" s="121"/>
      <c r="G539" s="121"/>
      <c r="H539" s="121"/>
      <c r="I539" s="121"/>
      <c r="J539" s="121"/>
    </row>
    <row r="540" spans="2:10">
      <c r="B540" s="71" t="s">
        <v>186</v>
      </c>
      <c r="C540" s="98"/>
      <c r="D540" s="98"/>
      <c r="E540" s="98"/>
      <c r="F540" s="98"/>
      <c r="G540" s="98"/>
      <c r="H540" s="98"/>
      <c r="I540" s="98"/>
      <c r="J540" s="98"/>
    </row>
    <row r="541" spans="2:10">
      <c r="B541" s="71"/>
      <c r="C541" s="98"/>
      <c r="D541" s="98"/>
      <c r="E541" s="98"/>
      <c r="F541" s="98"/>
      <c r="G541" s="98"/>
      <c r="H541" s="98"/>
      <c r="I541" s="98"/>
      <c r="J541" s="98"/>
    </row>
    <row r="542" spans="2:10">
      <c r="B542" s="71" t="s">
        <v>190</v>
      </c>
      <c r="C542" s="230"/>
      <c r="D542" s="230"/>
      <c r="E542" s="230"/>
      <c r="F542" s="230"/>
      <c r="G542" s="230"/>
      <c r="H542" s="230"/>
      <c r="I542" s="230"/>
      <c r="J542" s="230"/>
    </row>
    <row r="543" spans="2:10">
      <c r="B543" s="52" t="s">
        <v>121</v>
      </c>
      <c r="C543" s="230"/>
      <c r="D543" s="230"/>
      <c r="E543" s="230"/>
      <c r="F543" s="230"/>
      <c r="G543" s="230"/>
      <c r="H543" s="230"/>
      <c r="I543" s="230"/>
      <c r="J543" s="230"/>
    </row>
    <row r="544" spans="2:10">
      <c r="B544" s="53" t="s">
        <v>120</v>
      </c>
      <c r="C544" s="230"/>
      <c r="D544" s="230"/>
      <c r="E544" s="230"/>
      <c r="F544" s="230"/>
      <c r="G544" s="230"/>
      <c r="H544" s="230"/>
      <c r="I544" s="230"/>
      <c r="J544" s="230"/>
    </row>
    <row r="545" spans="2:10">
      <c r="B545" s="53" t="s">
        <v>119</v>
      </c>
      <c r="C545" s="230"/>
      <c r="D545" s="230"/>
      <c r="E545" s="230"/>
      <c r="F545" s="230"/>
      <c r="G545" s="230"/>
      <c r="H545" s="230"/>
      <c r="I545" s="230"/>
      <c r="J545" s="230"/>
    </row>
    <row r="546" spans="2:10">
      <c r="B546" s="53" t="s">
        <v>1890</v>
      </c>
      <c r="C546" s="230"/>
      <c r="D546" s="230"/>
      <c r="E546" s="230"/>
      <c r="F546" s="230"/>
      <c r="G546" s="230"/>
      <c r="H546" s="230"/>
      <c r="I546" s="230"/>
      <c r="J546" s="230"/>
    </row>
    <row r="547" spans="2:10">
      <c r="B547" s="52" t="s">
        <v>118</v>
      </c>
      <c r="C547" s="230"/>
      <c r="D547" s="230"/>
      <c r="E547" s="230"/>
      <c r="F547" s="230"/>
      <c r="G547" s="230"/>
      <c r="H547" s="230"/>
      <c r="I547" s="230"/>
      <c r="J547" s="230"/>
    </row>
    <row r="548" spans="2:10">
      <c r="B548" s="52" t="s">
        <v>117</v>
      </c>
      <c r="C548" s="230"/>
      <c r="D548" s="230"/>
      <c r="E548" s="230"/>
      <c r="F548" s="230"/>
      <c r="G548" s="230"/>
      <c r="H548" s="230"/>
      <c r="I548" s="230"/>
      <c r="J548" s="230"/>
    </row>
    <row r="549" spans="2:10">
      <c r="B549" s="52"/>
      <c r="C549" s="98"/>
      <c r="D549" s="98"/>
      <c r="E549" s="98"/>
      <c r="F549" s="98"/>
      <c r="G549" s="98"/>
      <c r="H549" s="98"/>
      <c r="I549" s="98"/>
      <c r="J549" s="98"/>
    </row>
    <row r="550" spans="2:10">
      <c r="B550" s="83" t="s">
        <v>187</v>
      </c>
      <c r="C550" s="230"/>
      <c r="D550" s="230"/>
      <c r="E550" s="230"/>
      <c r="F550" s="230"/>
      <c r="G550" s="230"/>
      <c r="H550" s="230"/>
      <c r="I550" s="230"/>
      <c r="J550" s="230"/>
    </row>
    <row r="551" spans="2:10">
      <c r="B551" s="81" t="s">
        <v>121</v>
      </c>
      <c r="C551" s="230"/>
      <c r="D551" s="230"/>
      <c r="E551" s="230"/>
      <c r="F551" s="230"/>
      <c r="G551" s="230"/>
      <c r="H551" s="230"/>
      <c r="I551" s="230"/>
      <c r="J551" s="230"/>
    </row>
    <row r="552" spans="2:10">
      <c r="B552" s="82" t="s">
        <v>120</v>
      </c>
      <c r="C552" s="230"/>
      <c r="D552" s="230"/>
      <c r="E552" s="230"/>
      <c r="F552" s="230"/>
      <c r="G552" s="230"/>
      <c r="H552" s="230"/>
      <c r="I552" s="230"/>
      <c r="J552" s="230"/>
    </row>
    <row r="553" spans="2:10">
      <c r="B553" s="82" t="s">
        <v>119</v>
      </c>
      <c r="C553" s="230"/>
      <c r="D553" s="230"/>
      <c r="E553" s="230"/>
      <c r="F553" s="230"/>
      <c r="G553" s="230"/>
      <c r="H553" s="230"/>
      <c r="I553" s="230"/>
      <c r="J553" s="230"/>
    </row>
    <row r="554" spans="2:10" ht="15">
      <c r="B554" s="82" t="s">
        <v>514</v>
      </c>
      <c r="C554" s="230"/>
      <c r="D554" s="230"/>
      <c r="E554" s="230"/>
      <c r="F554" s="230"/>
      <c r="G554" s="230"/>
      <c r="H554" s="230"/>
      <c r="I554" s="230"/>
      <c r="J554" s="230"/>
    </row>
    <row r="555" spans="2:10">
      <c r="B555" s="81" t="s">
        <v>118</v>
      </c>
      <c r="C555" s="230"/>
      <c r="D555" s="230"/>
      <c r="E555" s="230"/>
      <c r="F555" s="230"/>
      <c r="G555" s="230"/>
      <c r="H555" s="230"/>
      <c r="I555" s="230"/>
      <c r="J555" s="230"/>
    </row>
    <row r="556" spans="2:10">
      <c r="B556" s="81" t="s">
        <v>117</v>
      </c>
      <c r="C556" s="230"/>
      <c r="D556" s="230"/>
      <c r="E556" s="230"/>
      <c r="F556" s="230"/>
      <c r="G556" s="230"/>
      <c r="H556" s="230"/>
      <c r="I556" s="230"/>
      <c r="J556" s="230"/>
    </row>
    <row r="557" spans="2:10">
      <c r="B557" s="81"/>
      <c r="C557" s="230"/>
      <c r="D557" s="230"/>
      <c r="E557" s="230"/>
      <c r="F557" s="230"/>
      <c r="G557" s="230"/>
      <c r="H557" s="230"/>
      <c r="I557" s="230"/>
      <c r="J557" s="230"/>
    </row>
    <row r="558" spans="2:10">
      <c r="B558" s="83" t="s">
        <v>173</v>
      </c>
      <c r="C558" s="230"/>
      <c r="D558" s="230"/>
      <c r="E558" s="230"/>
      <c r="F558" s="230"/>
      <c r="G558" s="230"/>
      <c r="H558" s="230"/>
      <c r="I558" s="230"/>
      <c r="J558" s="230"/>
    </row>
    <row r="559" spans="2:10">
      <c r="B559" s="81" t="s">
        <v>121</v>
      </c>
      <c r="C559" s="230"/>
      <c r="D559" s="230"/>
      <c r="E559" s="230"/>
      <c r="F559" s="230"/>
      <c r="G559" s="230"/>
      <c r="H559" s="230"/>
      <c r="I559" s="230"/>
      <c r="J559" s="230"/>
    </row>
    <row r="560" spans="2:10">
      <c r="B560" s="82" t="s">
        <v>120</v>
      </c>
      <c r="C560" s="230"/>
      <c r="D560" s="230"/>
      <c r="E560" s="230"/>
      <c r="F560" s="230"/>
      <c r="G560" s="230"/>
      <c r="H560" s="230"/>
      <c r="I560" s="230"/>
      <c r="J560" s="230"/>
    </row>
    <row r="561" spans="2:10">
      <c r="B561" s="82" t="s">
        <v>119</v>
      </c>
      <c r="C561" s="230"/>
      <c r="D561" s="230"/>
      <c r="E561" s="230"/>
      <c r="F561" s="230"/>
      <c r="G561" s="230"/>
      <c r="H561" s="230"/>
      <c r="I561" s="230"/>
      <c r="J561" s="230"/>
    </row>
    <row r="562" spans="2:10" ht="15">
      <c r="B562" s="82" t="s">
        <v>1891</v>
      </c>
      <c r="C562" s="230"/>
      <c r="D562" s="230"/>
      <c r="E562" s="230"/>
      <c r="F562" s="230"/>
      <c r="G562" s="230"/>
      <c r="H562" s="230"/>
      <c r="I562" s="230"/>
      <c r="J562" s="230"/>
    </row>
    <row r="563" spans="2:10">
      <c r="B563" s="81" t="s">
        <v>118</v>
      </c>
      <c r="C563" s="230"/>
      <c r="D563" s="230"/>
      <c r="E563" s="230"/>
      <c r="F563" s="230"/>
      <c r="G563" s="230"/>
      <c r="H563" s="230"/>
      <c r="I563" s="230"/>
      <c r="J563" s="230"/>
    </row>
    <row r="564" spans="2:10">
      <c r="B564" s="81" t="s">
        <v>117</v>
      </c>
      <c r="C564" s="230"/>
      <c r="D564" s="230"/>
      <c r="E564" s="230"/>
      <c r="F564" s="230"/>
      <c r="G564" s="230"/>
      <c r="H564" s="230"/>
      <c r="I564" s="230"/>
      <c r="J564" s="230"/>
    </row>
    <row r="565" spans="2:10">
      <c r="B565" s="81"/>
      <c r="C565" s="98"/>
      <c r="D565" s="98"/>
      <c r="E565" s="98"/>
      <c r="F565" s="98"/>
      <c r="G565" s="98"/>
      <c r="H565" s="98"/>
      <c r="I565" s="98"/>
      <c r="J565" s="98"/>
    </row>
    <row r="566" spans="2:10">
      <c r="B566" s="71" t="s">
        <v>171</v>
      </c>
      <c r="C566" s="230"/>
      <c r="D566" s="230"/>
      <c r="E566" s="230"/>
      <c r="F566" s="230"/>
      <c r="G566" s="230"/>
      <c r="H566" s="230"/>
      <c r="I566" s="230"/>
      <c r="J566" s="230"/>
    </row>
    <row r="567" spans="2:10">
      <c r="B567" s="52" t="s">
        <v>169</v>
      </c>
      <c r="C567" s="230"/>
      <c r="D567" s="230"/>
      <c r="E567" s="230"/>
      <c r="F567" s="230"/>
      <c r="G567" s="230"/>
      <c r="H567" s="230"/>
      <c r="I567" s="230"/>
      <c r="J567" s="230"/>
    </row>
    <row r="568" spans="2:10">
      <c r="B568" s="52" t="s">
        <v>168</v>
      </c>
      <c r="C568" s="230"/>
      <c r="D568" s="230"/>
      <c r="E568" s="230"/>
      <c r="F568" s="230"/>
      <c r="G568" s="230"/>
      <c r="H568" s="230"/>
      <c r="I568" s="230"/>
      <c r="J568" s="230"/>
    </row>
    <row r="569" spans="2:10">
      <c r="B569" s="52" t="s">
        <v>167</v>
      </c>
      <c r="C569" s="230"/>
      <c r="D569" s="230"/>
      <c r="E569" s="230"/>
      <c r="F569" s="230"/>
      <c r="G569" s="230"/>
      <c r="H569" s="230"/>
      <c r="I569" s="230"/>
      <c r="J569" s="230"/>
    </row>
    <row r="570" spans="2:10">
      <c r="B570" s="52" t="s">
        <v>166</v>
      </c>
      <c r="C570" s="230"/>
      <c r="D570" s="230"/>
      <c r="E570" s="230"/>
      <c r="F570" s="230"/>
      <c r="G570" s="230"/>
      <c r="H570" s="230"/>
      <c r="I570" s="230"/>
      <c r="J570" s="230"/>
    </row>
    <row r="571" spans="2:10">
      <c r="B571" s="52" t="s">
        <v>165</v>
      </c>
      <c r="C571" s="230"/>
      <c r="D571" s="230"/>
      <c r="E571" s="230"/>
      <c r="F571" s="230"/>
      <c r="G571" s="230"/>
      <c r="H571" s="230"/>
      <c r="I571" s="230"/>
      <c r="J571" s="230"/>
    </row>
    <row r="572" spans="2:10">
      <c r="B572" s="52" t="s">
        <v>164</v>
      </c>
      <c r="C572" s="230"/>
      <c r="D572" s="230"/>
      <c r="E572" s="230"/>
      <c r="F572" s="230"/>
      <c r="G572" s="230"/>
      <c r="H572" s="230"/>
      <c r="I572" s="230"/>
      <c r="J572" s="230"/>
    </row>
    <row r="573" spans="2:10">
      <c r="B573" s="52"/>
      <c r="C573" s="55"/>
      <c r="D573" s="55"/>
      <c r="E573" s="55"/>
      <c r="F573" s="55"/>
      <c r="G573" s="55"/>
      <c r="H573" s="55"/>
      <c r="I573" s="55"/>
      <c r="J573" s="55"/>
    </row>
    <row r="574" spans="2:10">
      <c r="B574" s="80" t="s">
        <v>170</v>
      </c>
      <c r="C574" s="230"/>
      <c r="D574" s="230"/>
      <c r="E574" s="230"/>
      <c r="F574" s="230"/>
      <c r="G574" s="230"/>
      <c r="H574" s="230"/>
      <c r="I574" s="230"/>
      <c r="J574" s="230"/>
    </row>
    <row r="575" spans="2:10">
      <c r="B575" s="52" t="s">
        <v>169</v>
      </c>
      <c r="C575" s="230"/>
      <c r="D575" s="230"/>
      <c r="E575" s="230"/>
      <c r="F575" s="230"/>
      <c r="G575" s="230"/>
      <c r="H575" s="230"/>
      <c r="I575" s="230"/>
      <c r="J575" s="230"/>
    </row>
    <row r="576" spans="2:10">
      <c r="B576" s="52" t="s">
        <v>168</v>
      </c>
      <c r="C576" s="230"/>
      <c r="D576" s="230"/>
      <c r="E576" s="230"/>
      <c r="F576" s="230"/>
      <c r="G576" s="230"/>
      <c r="H576" s="230"/>
      <c r="I576" s="230"/>
      <c r="J576" s="230"/>
    </row>
    <row r="577" spans="2:10">
      <c r="B577" s="52" t="s">
        <v>167</v>
      </c>
      <c r="C577" s="230"/>
      <c r="D577" s="230"/>
      <c r="E577" s="230"/>
      <c r="F577" s="230"/>
      <c r="G577" s="230"/>
      <c r="H577" s="230"/>
      <c r="I577" s="230"/>
      <c r="J577" s="230"/>
    </row>
    <row r="578" spans="2:10">
      <c r="B578" s="52" t="s">
        <v>166</v>
      </c>
      <c r="C578" s="230"/>
      <c r="D578" s="230"/>
      <c r="E578" s="230"/>
      <c r="F578" s="230"/>
      <c r="G578" s="230"/>
      <c r="H578" s="230"/>
      <c r="I578" s="230"/>
      <c r="J578" s="230"/>
    </row>
    <row r="579" spans="2:10">
      <c r="B579" s="52" t="s">
        <v>165</v>
      </c>
      <c r="C579" s="230"/>
      <c r="D579" s="230"/>
      <c r="E579" s="230"/>
      <c r="F579" s="230"/>
      <c r="G579" s="230"/>
      <c r="H579" s="230"/>
      <c r="I579" s="230"/>
      <c r="J579" s="230"/>
    </row>
    <row r="580" spans="2:10" ht="15" thickBot="1">
      <c r="B580" s="52" t="s">
        <v>164</v>
      </c>
      <c r="C580" s="230"/>
      <c r="D580" s="230"/>
      <c r="E580" s="230"/>
      <c r="F580" s="230"/>
      <c r="G580" s="230"/>
      <c r="H580" s="230"/>
      <c r="I580" s="230"/>
      <c r="J580" s="230"/>
    </row>
    <row r="581" spans="2:10" ht="15" thickTop="1">
      <c r="B581" s="2025"/>
      <c r="C581" s="2025"/>
      <c r="D581" s="2025"/>
      <c r="E581" s="2025"/>
      <c r="F581" s="2025"/>
      <c r="G581" s="2025"/>
      <c r="H581" s="2025"/>
      <c r="I581" s="2025"/>
      <c r="J581" s="2025"/>
    </row>
    <row r="582" spans="2:10">
      <c r="B582" s="2031"/>
      <c r="C582" s="2040"/>
      <c r="D582" s="2040"/>
      <c r="E582" s="2040"/>
      <c r="F582" s="2040"/>
      <c r="G582" s="2040"/>
      <c r="H582" s="2040"/>
      <c r="I582" s="2040"/>
      <c r="J582" s="2040"/>
    </row>
    <row r="583" spans="2:10">
      <c r="B583" s="64"/>
      <c r="C583" s="121"/>
      <c r="D583" s="121"/>
      <c r="E583" s="121"/>
      <c r="F583" s="121"/>
      <c r="G583" s="121"/>
      <c r="H583" s="121"/>
      <c r="I583" s="121"/>
      <c r="J583" s="121"/>
    </row>
    <row r="584" spans="2:10">
      <c r="B584" s="2024" t="s">
        <v>161</v>
      </c>
      <c r="C584" s="2024"/>
      <c r="D584" s="2024"/>
      <c r="E584" s="2024"/>
      <c r="F584" s="2024"/>
      <c r="G584" s="2024"/>
      <c r="H584" s="2024"/>
      <c r="I584" s="2024"/>
      <c r="J584" s="2024"/>
    </row>
    <row r="585" spans="2:10">
      <c r="B585" s="12" t="s">
        <v>160</v>
      </c>
      <c r="C585" s="121"/>
      <c r="D585" s="121"/>
      <c r="E585" s="121"/>
      <c r="F585" s="121"/>
      <c r="G585" s="121"/>
      <c r="H585" s="121"/>
      <c r="I585" s="121"/>
      <c r="J585" s="121"/>
    </row>
    <row r="586" spans="2:10">
      <c r="B586" s="77" t="s">
        <v>269</v>
      </c>
      <c r="C586" s="121"/>
      <c r="D586" s="121"/>
      <c r="E586" s="121"/>
      <c r="F586" s="121"/>
      <c r="G586" s="121"/>
      <c r="H586" s="121"/>
      <c r="I586" s="121"/>
      <c r="J586" s="121"/>
    </row>
    <row r="587" spans="2:10">
      <c r="B587" s="76"/>
      <c r="C587" s="121"/>
      <c r="D587" s="121"/>
      <c r="E587" s="121"/>
      <c r="F587" s="121"/>
      <c r="G587" s="121"/>
      <c r="H587" s="121"/>
      <c r="I587" s="121"/>
      <c r="J587" s="121"/>
    </row>
    <row r="588" spans="2:10">
      <c r="B588" s="61"/>
      <c r="C588" s="60">
        <v>2014</v>
      </c>
      <c r="D588" s="60">
        <v>2015</v>
      </c>
      <c r="E588" s="60">
        <v>2016</v>
      </c>
      <c r="F588" s="60">
        <v>2017</v>
      </c>
      <c r="G588" s="60">
        <v>2018</v>
      </c>
      <c r="H588" s="60">
        <v>2019</v>
      </c>
      <c r="I588" s="60">
        <v>2020</v>
      </c>
      <c r="J588" s="60">
        <v>2021</v>
      </c>
    </row>
    <row r="589" spans="2:10">
      <c r="B589" s="59" t="s">
        <v>1892</v>
      </c>
      <c r="C589" s="121"/>
      <c r="D589" s="121"/>
      <c r="E589" s="121"/>
      <c r="F589" s="121"/>
      <c r="G589" s="121"/>
      <c r="H589" s="121"/>
      <c r="I589" s="121"/>
      <c r="J589" s="121"/>
    </row>
    <row r="590" spans="2:10">
      <c r="B590" s="71" t="s">
        <v>516</v>
      </c>
      <c r="C590" s="232"/>
      <c r="D590" s="232"/>
      <c r="E590" s="232"/>
      <c r="F590" s="232"/>
      <c r="G590" s="232"/>
      <c r="H590" s="232"/>
      <c r="I590" s="232">
        <v>27</v>
      </c>
      <c r="J590" s="232"/>
    </row>
    <row r="591" spans="2:10">
      <c r="B591" s="52" t="s">
        <v>150</v>
      </c>
      <c r="C591" s="234"/>
      <c r="D591" s="234"/>
      <c r="E591" s="234"/>
      <c r="F591" s="234"/>
      <c r="G591" s="234"/>
      <c r="H591" s="234"/>
      <c r="I591" s="234">
        <v>1</v>
      </c>
      <c r="J591" s="234"/>
    </row>
    <row r="592" spans="2:10">
      <c r="B592" s="52" t="s">
        <v>149</v>
      </c>
      <c r="C592" s="234"/>
      <c r="D592" s="234"/>
      <c r="E592" s="234"/>
      <c r="F592" s="234"/>
      <c r="G592" s="234"/>
      <c r="H592" s="234"/>
      <c r="I592" s="234">
        <v>0</v>
      </c>
      <c r="J592" s="234"/>
    </row>
    <row r="593" spans="2:10">
      <c r="B593" s="52" t="s">
        <v>148</v>
      </c>
      <c r="C593" s="234"/>
      <c r="D593" s="234"/>
      <c r="E593" s="234"/>
      <c r="F593" s="234"/>
      <c r="G593" s="234"/>
      <c r="H593" s="234"/>
      <c r="I593" s="234">
        <v>1</v>
      </c>
      <c r="J593" s="234"/>
    </row>
    <row r="594" spans="2:10">
      <c r="B594" s="52" t="s">
        <v>147</v>
      </c>
      <c r="C594" s="234"/>
      <c r="D594" s="234"/>
      <c r="E594" s="234"/>
      <c r="F594" s="234"/>
      <c r="G594" s="234"/>
      <c r="H594" s="234"/>
      <c r="I594" s="234">
        <v>8</v>
      </c>
      <c r="J594" s="234"/>
    </row>
    <row r="595" spans="2:10">
      <c r="B595" s="52" t="s">
        <v>146</v>
      </c>
      <c r="C595" s="152"/>
      <c r="D595" s="152"/>
      <c r="E595" s="152"/>
      <c r="F595" s="152"/>
      <c r="G595" s="152"/>
      <c r="H595" s="152"/>
      <c r="I595" s="152">
        <v>17</v>
      </c>
      <c r="J595" s="152"/>
    </row>
    <row r="596" spans="2:10">
      <c r="B596" s="52"/>
      <c r="C596" s="152"/>
      <c r="D596" s="152"/>
      <c r="E596" s="152"/>
      <c r="F596" s="152"/>
      <c r="G596" s="152"/>
      <c r="H596" s="152"/>
      <c r="I596" s="152"/>
      <c r="J596" s="152"/>
    </row>
    <row r="597" spans="2:10">
      <c r="B597" s="71" t="s">
        <v>152</v>
      </c>
      <c r="C597" s="152"/>
      <c r="D597" s="152"/>
      <c r="E597" s="152"/>
      <c r="F597" s="152"/>
      <c r="G597" s="152"/>
      <c r="H597" s="152"/>
      <c r="I597" s="152">
        <v>27</v>
      </c>
      <c r="J597" s="152"/>
    </row>
    <row r="598" spans="2:10">
      <c r="B598" s="52" t="s">
        <v>150</v>
      </c>
      <c r="C598" s="234"/>
      <c r="D598" s="234"/>
      <c r="E598" s="234"/>
      <c r="F598" s="234"/>
      <c r="G598" s="234"/>
      <c r="H598" s="234"/>
      <c r="I598" s="234">
        <v>1</v>
      </c>
      <c r="J598" s="234"/>
    </row>
    <row r="599" spans="2:10">
      <c r="B599" s="52" t="s">
        <v>149</v>
      </c>
      <c r="C599" s="234"/>
      <c r="D599" s="234"/>
      <c r="E599" s="234"/>
      <c r="F599" s="234"/>
      <c r="G599" s="234"/>
      <c r="H599" s="234"/>
      <c r="I599" s="234">
        <v>0</v>
      </c>
      <c r="J599" s="234"/>
    </row>
    <row r="600" spans="2:10">
      <c r="B600" s="52" t="s">
        <v>148</v>
      </c>
      <c r="C600" s="234"/>
      <c r="D600" s="234"/>
      <c r="E600" s="234"/>
      <c r="F600" s="234"/>
      <c r="G600" s="234"/>
      <c r="H600" s="234"/>
      <c r="I600" s="234">
        <v>1</v>
      </c>
      <c r="J600" s="234"/>
    </row>
    <row r="601" spans="2:10">
      <c r="B601" s="52" t="s">
        <v>147</v>
      </c>
      <c r="C601" s="234"/>
      <c r="D601" s="234"/>
      <c r="E601" s="234"/>
      <c r="F601" s="234"/>
      <c r="G601" s="234"/>
      <c r="H601" s="234"/>
      <c r="I601" s="234">
        <v>8</v>
      </c>
      <c r="J601" s="234"/>
    </row>
    <row r="602" spans="2:10">
      <c r="B602" s="52" t="s">
        <v>146</v>
      </c>
      <c r="C602" s="152"/>
      <c r="D602" s="152"/>
      <c r="E602" s="152"/>
      <c r="F602" s="152"/>
      <c r="G602" s="152"/>
      <c r="H602" s="152"/>
      <c r="I602" s="152">
        <v>17</v>
      </c>
      <c r="J602" s="152"/>
    </row>
    <row r="603" spans="2:10">
      <c r="B603" s="52"/>
      <c r="C603" s="52"/>
      <c r="D603" s="52"/>
      <c r="E603" s="52"/>
      <c r="F603" s="52"/>
      <c r="G603" s="52"/>
      <c r="H603" s="52"/>
      <c r="I603" s="52"/>
      <c r="J603" s="52"/>
    </row>
    <row r="604" spans="2:10">
      <c r="B604" s="71" t="s">
        <v>151</v>
      </c>
      <c r="C604" s="234"/>
      <c r="D604" s="234"/>
      <c r="E604" s="234"/>
      <c r="F604" s="234"/>
      <c r="G604" s="234"/>
      <c r="H604" s="234"/>
      <c r="I604" s="234">
        <v>0</v>
      </c>
      <c r="J604" s="234"/>
    </row>
    <row r="605" spans="2:10">
      <c r="B605" s="52" t="s">
        <v>150</v>
      </c>
      <c r="C605" s="234"/>
      <c r="D605" s="234"/>
      <c r="E605" s="234"/>
      <c r="F605" s="234"/>
      <c r="G605" s="234"/>
      <c r="H605" s="234"/>
      <c r="I605" s="234">
        <v>0</v>
      </c>
      <c r="J605" s="234"/>
    </row>
    <row r="606" spans="2:10">
      <c r="B606" s="52" t="s">
        <v>149</v>
      </c>
      <c r="C606" s="234"/>
      <c r="D606" s="234"/>
      <c r="E606" s="234"/>
      <c r="F606" s="234"/>
      <c r="G606" s="234"/>
      <c r="H606" s="234"/>
      <c r="I606" s="234">
        <v>0</v>
      </c>
      <c r="J606" s="234"/>
    </row>
    <row r="607" spans="2:10">
      <c r="B607" s="52" t="s">
        <v>148</v>
      </c>
      <c r="C607" s="234"/>
      <c r="D607" s="234"/>
      <c r="E607" s="234"/>
      <c r="F607" s="234"/>
      <c r="G607" s="234"/>
      <c r="H607" s="234"/>
      <c r="I607" s="234">
        <v>0</v>
      </c>
      <c r="J607" s="234"/>
    </row>
    <row r="608" spans="2:10">
      <c r="B608" s="52" t="s">
        <v>147</v>
      </c>
      <c r="C608" s="234"/>
      <c r="D608" s="234"/>
      <c r="E608" s="234"/>
      <c r="F608" s="234"/>
      <c r="G608" s="234"/>
      <c r="H608" s="234"/>
      <c r="I608" s="234">
        <v>0</v>
      </c>
      <c r="J608" s="234"/>
    </row>
    <row r="609" spans="2:10" ht="15" thickBot="1">
      <c r="B609" s="52" t="s">
        <v>146</v>
      </c>
      <c r="C609" s="234"/>
      <c r="D609" s="234"/>
      <c r="E609" s="234"/>
      <c r="F609" s="234"/>
      <c r="G609" s="234"/>
      <c r="H609" s="234"/>
      <c r="I609" s="234">
        <v>0</v>
      </c>
      <c r="J609" s="234"/>
    </row>
    <row r="610" spans="2:10" ht="15" thickTop="1">
      <c r="B610" s="2025"/>
      <c r="C610" s="2025"/>
      <c r="D610" s="2025"/>
      <c r="E610" s="2025"/>
      <c r="F610" s="2025"/>
      <c r="G610" s="2025"/>
      <c r="H610" s="2025"/>
      <c r="I610" s="2025"/>
      <c r="J610" s="2025"/>
    </row>
    <row r="611" spans="2:10">
      <c r="B611" s="62"/>
      <c r="C611" s="121"/>
      <c r="D611" s="121"/>
      <c r="E611" s="121"/>
      <c r="F611" s="121"/>
      <c r="G611" s="121"/>
      <c r="H611" s="121"/>
      <c r="I611" s="121"/>
      <c r="J611" s="121"/>
    </row>
    <row r="612" spans="2:10">
      <c r="B612" s="2024" t="s">
        <v>144</v>
      </c>
      <c r="C612" s="2024"/>
      <c r="D612" s="2024"/>
      <c r="E612" s="2024"/>
      <c r="F612" s="2024"/>
      <c r="G612" s="2024"/>
      <c r="H612" s="2024"/>
      <c r="I612" s="2024"/>
      <c r="J612" s="2024"/>
    </row>
    <row r="613" spans="2:10">
      <c r="B613" s="12" t="s">
        <v>143</v>
      </c>
      <c r="C613" s="121"/>
      <c r="D613" s="121"/>
      <c r="E613" s="121"/>
      <c r="F613" s="121"/>
      <c r="G613" s="121"/>
      <c r="H613" s="121"/>
      <c r="I613" s="121"/>
      <c r="J613" s="121"/>
    </row>
    <row r="614" spans="2:10">
      <c r="B614" s="62" t="s">
        <v>142</v>
      </c>
      <c r="C614" s="121"/>
      <c r="D614" s="121"/>
      <c r="E614" s="121"/>
      <c r="F614" s="121"/>
      <c r="G614" s="121"/>
      <c r="H614" s="121"/>
      <c r="I614" s="121"/>
      <c r="J614" s="121"/>
    </row>
    <row r="615" spans="2:10">
      <c r="B615" s="62"/>
      <c r="C615" s="121"/>
      <c r="D615" s="121"/>
      <c r="E615" s="121"/>
      <c r="F615" s="121"/>
      <c r="G615" s="121"/>
      <c r="H615" s="121"/>
      <c r="I615" s="121"/>
      <c r="J615" s="121"/>
    </row>
    <row r="616" spans="2:10">
      <c r="B616" s="61"/>
      <c r="C616" s="60">
        <v>2014</v>
      </c>
      <c r="D616" s="60">
        <v>2015</v>
      </c>
      <c r="E616" s="60">
        <v>2016</v>
      </c>
      <c r="F616" s="60">
        <v>2017</v>
      </c>
      <c r="G616" s="60">
        <v>2018</v>
      </c>
      <c r="H616" s="60">
        <v>2019</v>
      </c>
      <c r="I616" s="60">
        <v>2020</v>
      </c>
      <c r="J616" s="60">
        <v>2021</v>
      </c>
    </row>
    <row r="617" spans="2:10">
      <c r="B617" s="59" t="s">
        <v>1892</v>
      </c>
      <c r="C617" s="121"/>
      <c r="D617" s="121"/>
      <c r="E617" s="121"/>
      <c r="F617" s="121"/>
      <c r="G617" s="121"/>
      <c r="H617" s="121"/>
      <c r="I617" s="121"/>
      <c r="J617" s="121"/>
    </row>
    <row r="618" spans="2:10">
      <c r="B618" s="71" t="s">
        <v>141</v>
      </c>
      <c r="C618" s="235"/>
      <c r="D618" s="235"/>
      <c r="E618" s="235"/>
      <c r="F618" s="235"/>
      <c r="G618" s="235"/>
      <c r="H618" s="235"/>
      <c r="I618" s="235">
        <v>0.22700000000000001</v>
      </c>
      <c r="J618" s="235"/>
    </row>
    <row r="619" spans="2:10">
      <c r="B619" s="52" t="s">
        <v>121</v>
      </c>
      <c r="C619" s="235"/>
      <c r="D619" s="235"/>
      <c r="E619" s="235"/>
      <c r="F619" s="235"/>
      <c r="G619" s="235"/>
      <c r="H619" s="235"/>
      <c r="I619" s="235"/>
      <c r="J619" s="235"/>
    </row>
    <row r="620" spans="2:10">
      <c r="B620" s="53" t="s">
        <v>504</v>
      </c>
      <c r="C620" s="235"/>
      <c r="D620" s="235"/>
      <c r="E620" s="235"/>
      <c r="F620" s="235"/>
      <c r="G620" s="235"/>
      <c r="H620" s="235"/>
      <c r="I620" s="235"/>
      <c r="J620" s="235"/>
    </row>
    <row r="621" spans="2:10">
      <c r="B621" s="53" t="s">
        <v>505</v>
      </c>
      <c r="C621" s="235"/>
      <c r="D621" s="235"/>
      <c r="E621" s="235"/>
      <c r="F621" s="235"/>
      <c r="G621" s="235"/>
      <c r="H621" s="235"/>
      <c r="I621" s="235">
        <v>0.22700000000000001</v>
      </c>
      <c r="J621" s="235"/>
    </row>
    <row r="622" spans="2:10">
      <c r="B622" s="52" t="s">
        <v>118</v>
      </c>
      <c r="C622" s="235"/>
      <c r="D622" s="235"/>
      <c r="E622" s="235"/>
      <c r="F622" s="235"/>
      <c r="G622" s="235"/>
      <c r="H622" s="235"/>
      <c r="I622" s="235"/>
      <c r="J622" s="235"/>
    </row>
    <row r="623" spans="2:10" ht="15" thickBot="1">
      <c r="B623" s="52" t="s">
        <v>506</v>
      </c>
      <c r="C623" s="235"/>
      <c r="D623" s="235"/>
      <c r="E623" s="235"/>
      <c r="F623" s="235"/>
      <c r="G623" s="235"/>
      <c r="H623" s="235"/>
      <c r="I623" s="235"/>
      <c r="J623" s="235"/>
    </row>
    <row r="624" spans="2:10" ht="15" thickTop="1">
      <c r="B624" s="2025"/>
      <c r="C624" s="2025"/>
      <c r="D624" s="2025"/>
      <c r="E624" s="2025"/>
      <c r="F624" s="2025"/>
      <c r="G624" s="2025"/>
      <c r="H624" s="2025"/>
      <c r="I624" s="2025"/>
      <c r="J624" s="2025"/>
    </row>
    <row r="625" spans="2:10">
      <c r="B625" s="2017"/>
      <c r="C625" s="2017"/>
      <c r="D625" s="2017"/>
      <c r="E625" s="2017"/>
      <c r="F625" s="2017"/>
      <c r="G625" s="2017"/>
      <c r="H625" s="2017"/>
      <c r="I625" s="2017"/>
      <c r="J625" s="2017"/>
    </row>
    <row r="626" spans="2:10">
      <c r="B626" s="64"/>
      <c r="C626" s="121"/>
      <c r="D626" s="121"/>
      <c r="E626" s="121"/>
      <c r="F626" s="121"/>
      <c r="G626" s="121"/>
      <c r="H626" s="121"/>
      <c r="I626" s="121"/>
      <c r="J626" s="121"/>
    </row>
    <row r="627" spans="2:10">
      <c r="B627" s="2024" t="s">
        <v>140</v>
      </c>
      <c r="C627" s="2024"/>
      <c r="D627" s="2024"/>
      <c r="E627" s="2024"/>
      <c r="F627" s="2024"/>
      <c r="G627" s="2024"/>
      <c r="H627" s="2024"/>
      <c r="I627" s="2024"/>
      <c r="J627" s="2024"/>
    </row>
    <row r="628" spans="2:10">
      <c r="B628" s="12" t="s">
        <v>139</v>
      </c>
      <c r="C628" s="121"/>
      <c r="D628" s="121"/>
      <c r="E628" s="121"/>
      <c r="F628" s="121"/>
      <c r="G628" s="121"/>
      <c r="H628" s="121"/>
      <c r="I628" s="121"/>
      <c r="J628" s="121"/>
    </row>
    <row r="629" spans="2:10">
      <c r="B629" s="62" t="s">
        <v>138</v>
      </c>
      <c r="C629" s="121"/>
      <c r="D629" s="121"/>
      <c r="E629" s="121"/>
      <c r="F629" s="121"/>
      <c r="G629" s="121"/>
      <c r="H629" s="121"/>
      <c r="I629" s="121"/>
      <c r="J629" s="121"/>
    </row>
    <row r="630" spans="2:10">
      <c r="B630" s="64"/>
      <c r="C630" s="121"/>
      <c r="D630" s="121"/>
      <c r="E630" s="121"/>
      <c r="F630" s="121"/>
      <c r="G630" s="121"/>
      <c r="H630" s="121"/>
      <c r="I630" s="121"/>
      <c r="J630" s="121"/>
    </row>
    <row r="631" spans="2:10">
      <c r="B631" s="61"/>
      <c r="C631" s="60">
        <v>2014</v>
      </c>
      <c r="D631" s="60">
        <v>2015</v>
      </c>
      <c r="E631" s="60">
        <v>2016</v>
      </c>
      <c r="F631" s="60">
        <v>2017</v>
      </c>
      <c r="G631" s="60">
        <v>2018</v>
      </c>
      <c r="H631" s="60">
        <v>2019</v>
      </c>
      <c r="I631" s="60">
        <v>2020</v>
      </c>
      <c r="J631" s="60">
        <v>2021</v>
      </c>
    </row>
    <row r="632" spans="2:10">
      <c r="B632" s="59" t="s">
        <v>1892</v>
      </c>
      <c r="C632" s="121"/>
      <c r="D632" s="121"/>
      <c r="E632" s="121"/>
      <c r="F632" s="121"/>
      <c r="G632" s="121"/>
      <c r="H632" s="121"/>
      <c r="I632" s="121"/>
      <c r="J632" s="121"/>
    </row>
    <row r="633" spans="2:10">
      <c r="B633" s="71" t="s">
        <v>137</v>
      </c>
      <c r="C633" s="55"/>
      <c r="D633" s="55"/>
      <c r="E633" s="55"/>
      <c r="F633" s="55"/>
      <c r="G633" s="55"/>
      <c r="H633" s="55"/>
      <c r="I633" s="55">
        <v>1681.316</v>
      </c>
      <c r="J633" s="55"/>
    </row>
    <row r="634" spans="2:10">
      <c r="B634" s="52" t="s">
        <v>121</v>
      </c>
      <c r="C634" s="55"/>
      <c r="D634" s="55"/>
      <c r="E634" s="55"/>
      <c r="F634" s="55"/>
      <c r="G634" s="55"/>
      <c r="H634" s="55"/>
      <c r="I634" s="55"/>
      <c r="J634" s="55"/>
    </row>
    <row r="635" spans="2:10">
      <c r="B635" s="53" t="s">
        <v>504</v>
      </c>
      <c r="C635" s="55"/>
      <c r="D635" s="55"/>
      <c r="E635" s="55"/>
      <c r="F635" s="55"/>
      <c r="G635" s="55"/>
      <c r="H635" s="55"/>
      <c r="I635" s="55"/>
      <c r="J635" s="55"/>
    </row>
    <row r="636" spans="2:10">
      <c r="B636" s="53" t="s">
        <v>505</v>
      </c>
      <c r="C636" s="55"/>
      <c r="D636" s="55"/>
      <c r="E636" s="55"/>
      <c r="F636" s="55"/>
      <c r="G636" s="55"/>
      <c r="H636" s="55"/>
      <c r="I636" s="55">
        <v>1681.316</v>
      </c>
      <c r="J636" s="55"/>
    </row>
    <row r="637" spans="2:10">
      <c r="B637" s="52" t="s">
        <v>118</v>
      </c>
      <c r="C637" s="55"/>
      <c r="D637" s="55"/>
      <c r="E637" s="55"/>
      <c r="F637" s="55"/>
      <c r="G637" s="55"/>
      <c r="H637" s="55"/>
      <c r="I637" s="55"/>
      <c r="J637" s="55"/>
    </row>
    <row r="638" spans="2:10" ht="15" thickBot="1">
      <c r="B638" s="52" t="s">
        <v>506</v>
      </c>
      <c r="C638" s="55"/>
      <c r="D638" s="55"/>
      <c r="E638" s="55"/>
      <c r="F638" s="55"/>
      <c r="G638" s="55"/>
      <c r="H638" s="55"/>
      <c r="I638" s="55"/>
      <c r="J638" s="55"/>
    </row>
    <row r="639" spans="2:10" ht="15.5" thickTop="1" thickBot="1">
      <c r="B639" s="2025"/>
      <c r="C639" s="2025"/>
      <c r="D639" s="2025"/>
      <c r="E639" s="2025"/>
      <c r="F639" s="2025"/>
      <c r="G639" s="2025"/>
      <c r="H639" s="2025"/>
      <c r="I639" s="2025"/>
      <c r="J639" s="2025"/>
    </row>
    <row r="640" spans="2:10" ht="15" thickTop="1">
      <c r="B640" s="2039"/>
      <c r="C640" s="2025"/>
      <c r="D640" s="2025"/>
      <c r="E640" s="2025"/>
      <c r="F640" s="2025"/>
      <c r="G640" s="2025"/>
      <c r="H640" s="2025"/>
      <c r="I640" s="2025"/>
      <c r="J640" s="2025"/>
    </row>
    <row r="641" spans="2:10">
      <c r="B641" s="64"/>
      <c r="C641" s="121"/>
      <c r="D641" s="121"/>
      <c r="E641" s="121"/>
      <c r="F641" s="121"/>
      <c r="G641" s="121"/>
      <c r="H641" s="121"/>
      <c r="I641" s="121"/>
      <c r="J641" s="121"/>
    </row>
    <row r="642" spans="2:10">
      <c r="B642" s="2024" t="s">
        <v>133</v>
      </c>
      <c r="C642" s="2024"/>
      <c r="D642" s="2024"/>
      <c r="E642" s="2024"/>
      <c r="F642" s="2024"/>
      <c r="G642" s="2024"/>
      <c r="H642" s="2024"/>
      <c r="I642" s="2024"/>
      <c r="J642" s="2024"/>
    </row>
    <row r="643" spans="2:10">
      <c r="B643" s="12" t="s">
        <v>132</v>
      </c>
      <c r="C643" s="121"/>
      <c r="D643" s="121"/>
      <c r="E643" s="121"/>
      <c r="F643" s="121"/>
      <c r="G643" s="121"/>
      <c r="H643" s="121"/>
      <c r="I643" s="121"/>
      <c r="J643" s="121"/>
    </row>
    <row r="644" spans="2:10">
      <c r="B644" s="62" t="s">
        <v>131</v>
      </c>
      <c r="C644" s="121"/>
      <c r="D644" s="121"/>
      <c r="E644" s="121"/>
      <c r="F644" s="121"/>
      <c r="G644" s="121"/>
      <c r="H644" s="121"/>
      <c r="I644" s="121"/>
      <c r="J644" s="121"/>
    </row>
    <row r="645" spans="2:10">
      <c r="B645" s="62"/>
      <c r="C645" s="121"/>
      <c r="D645" s="121"/>
      <c r="E645" s="121"/>
      <c r="F645" s="121"/>
      <c r="G645" s="121"/>
      <c r="H645" s="121"/>
      <c r="I645" s="121"/>
      <c r="J645" s="121"/>
    </row>
    <row r="646" spans="2:10">
      <c r="B646" s="61"/>
      <c r="C646" s="60">
        <v>2014</v>
      </c>
      <c r="D646" s="60">
        <v>2015</v>
      </c>
      <c r="E646" s="60">
        <v>2016</v>
      </c>
      <c r="F646" s="60">
        <v>2017</v>
      </c>
      <c r="G646" s="60">
        <v>2018</v>
      </c>
      <c r="H646" s="60">
        <v>2019</v>
      </c>
      <c r="I646" s="60">
        <v>2020</v>
      </c>
      <c r="J646" s="60">
        <v>2021</v>
      </c>
    </row>
    <row r="647" spans="2:10">
      <c r="B647" s="71" t="s">
        <v>130</v>
      </c>
      <c r="C647" s="235"/>
      <c r="D647" s="235"/>
      <c r="E647" s="235"/>
      <c r="F647" s="235"/>
      <c r="G647" s="235"/>
      <c r="H647" s="235"/>
      <c r="I647" s="235"/>
      <c r="J647" s="235"/>
    </row>
    <row r="648" spans="2:10">
      <c r="B648" s="71"/>
      <c r="C648" s="121"/>
      <c r="D648" s="121"/>
      <c r="E648" s="121"/>
      <c r="F648" s="121"/>
      <c r="G648" s="121"/>
      <c r="H648" s="121"/>
      <c r="I648" s="121"/>
      <c r="J648" s="121"/>
    </row>
    <row r="649" spans="2:10">
      <c r="B649" s="59" t="s">
        <v>1892</v>
      </c>
      <c r="C649" s="3"/>
      <c r="D649" s="3"/>
      <c r="E649" s="3"/>
      <c r="F649" s="3"/>
      <c r="G649" s="3"/>
      <c r="H649" s="3"/>
      <c r="I649" s="3"/>
      <c r="J649" s="3"/>
    </row>
    <row r="650" spans="2:10">
      <c r="B650" s="54" t="s">
        <v>123</v>
      </c>
      <c r="C650" s="235"/>
      <c r="D650" s="235"/>
      <c r="E650" s="235"/>
      <c r="F650" s="235"/>
      <c r="G650" s="235"/>
      <c r="H650" s="235"/>
      <c r="I650" s="235">
        <v>1.387</v>
      </c>
      <c r="J650" s="235"/>
    </row>
    <row r="651" spans="2:10">
      <c r="B651" s="52" t="s">
        <v>121</v>
      </c>
      <c r="C651" s="235"/>
      <c r="D651" s="235"/>
      <c r="E651" s="235"/>
      <c r="F651" s="235"/>
      <c r="G651" s="235"/>
      <c r="H651" s="235"/>
      <c r="I651" s="235">
        <v>0</v>
      </c>
      <c r="J651" s="235"/>
    </row>
    <row r="652" spans="2:10">
      <c r="B652" s="53" t="s">
        <v>120</v>
      </c>
      <c r="C652" s="235"/>
      <c r="D652" s="235"/>
      <c r="E652" s="235"/>
      <c r="F652" s="235"/>
      <c r="G652" s="235"/>
      <c r="H652" s="235"/>
      <c r="I652" s="235">
        <v>0</v>
      </c>
      <c r="J652" s="235"/>
    </row>
    <row r="653" spans="2:10">
      <c r="B653" s="53" t="s">
        <v>119</v>
      </c>
      <c r="C653" s="235"/>
      <c r="D653" s="235"/>
      <c r="E653" s="235"/>
      <c r="F653" s="235"/>
      <c r="G653" s="235"/>
      <c r="H653" s="235"/>
      <c r="I653" s="235">
        <v>1.387</v>
      </c>
      <c r="J653" s="235"/>
    </row>
    <row r="654" spans="2:10">
      <c r="B654" s="52" t="s">
        <v>118</v>
      </c>
      <c r="C654" s="235"/>
      <c r="D654" s="235"/>
      <c r="E654" s="235"/>
      <c r="F654" s="235"/>
      <c r="G654" s="235"/>
      <c r="H654" s="235"/>
      <c r="I654" s="235">
        <v>0</v>
      </c>
      <c r="J654" s="235"/>
    </row>
    <row r="655" spans="2:10">
      <c r="B655" s="52" t="s">
        <v>117</v>
      </c>
      <c r="C655" s="235"/>
      <c r="D655" s="235"/>
      <c r="E655" s="235"/>
      <c r="F655" s="235"/>
      <c r="G655" s="235"/>
      <c r="H655" s="235"/>
      <c r="I655" s="235">
        <v>0</v>
      </c>
      <c r="J655" s="235"/>
    </row>
    <row r="656" spans="2:10">
      <c r="B656" s="52"/>
      <c r="C656" s="121"/>
      <c r="D656" s="121"/>
      <c r="E656" s="121"/>
      <c r="F656" s="121"/>
      <c r="G656" s="121"/>
      <c r="H656" s="121"/>
      <c r="I656" s="121"/>
      <c r="J656" s="121"/>
    </row>
    <row r="657" spans="2:10">
      <c r="B657" s="54" t="s">
        <v>122</v>
      </c>
      <c r="C657" s="235"/>
      <c r="D657" s="235"/>
      <c r="E657" s="235"/>
      <c r="F657" s="235"/>
      <c r="G657" s="235"/>
      <c r="H657" s="235"/>
      <c r="I657" s="235">
        <v>0</v>
      </c>
      <c r="J657" s="235"/>
    </row>
    <row r="658" spans="2:10">
      <c r="B658" s="52" t="s">
        <v>121</v>
      </c>
      <c r="C658" s="235"/>
      <c r="D658" s="235"/>
      <c r="E658" s="235"/>
      <c r="F658" s="235"/>
      <c r="G658" s="235"/>
      <c r="H658" s="235"/>
      <c r="I658" s="235">
        <v>0</v>
      </c>
      <c r="J658" s="235"/>
    </row>
    <row r="659" spans="2:10">
      <c r="B659" s="53" t="s">
        <v>120</v>
      </c>
      <c r="C659" s="235"/>
      <c r="D659" s="235"/>
      <c r="E659" s="235"/>
      <c r="F659" s="235"/>
      <c r="G659" s="235"/>
      <c r="H659" s="235"/>
      <c r="I659" s="235">
        <v>0</v>
      </c>
      <c r="J659" s="235"/>
    </row>
    <row r="660" spans="2:10">
      <c r="B660" s="53" t="s">
        <v>119</v>
      </c>
      <c r="C660" s="235"/>
      <c r="D660" s="235"/>
      <c r="E660" s="235"/>
      <c r="F660" s="235"/>
      <c r="G660" s="235"/>
      <c r="H660" s="235"/>
      <c r="I660" s="235">
        <v>0</v>
      </c>
      <c r="J660" s="235"/>
    </row>
    <row r="661" spans="2:10">
      <c r="B661" s="52" t="s">
        <v>118</v>
      </c>
      <c r="C661" s="235"/>
      <c r="D661" s="235"/>
      <c r="E661" s="235"/>
      <c r="F661" s="235"/>
      <c r="G661" s="235"/>
      <c r="H661" s="235"/>
      <c r="I661" s="235">
        <v>0</v>
      </c>
      <c r="J661" s="235"/>
    </row>
    <row r="662" spans="2:10" ht="15" thickBot="1">
      <c r="B662" s="52" t="s">
        <v>117</v>
      </c>
      <c r="C662" s="235"/>
      <c r="D662" s="235"/>
      <c r="E662" s="235"/>
      <c r="F662" s="235"/>
      <c r="G662" s="235"/>
      <c r="H662" s="235"/>
      <c r="I662" s="235">
        <v>0</v>
      </c>
      <c r="J662" s="235"/>
    </row>
    <row r="663" spans="2:10" ht="15" thickTop="1">
      <c r="B663" s="2025"/>
      <c r="C663" s="2025"/>
      <c r="D663" s="2025"/>
      <c r="E663" s="2025"/>
      <c r="F663" s="2025"/>
      <c r="G663" s="2025"/>
      <c r="H663" s="2025"/>
      <c r="I663" s="2025"/>
      <c r="J663" s="2025"/>
    </row>
    <row r="664" spans="2:10">
      <c r="B664" s="64"/>
      <c r="C664" s="121"/>
      <c r="D664" s="121"/>
      <c r="E664" s="121"/>
      <c r="F664" s="121"/>
      <c r="G664" s="121"/>
      <c r="H664" s="121"/>
      <c r="I664" s="121"/>
      <c r="J664" s="121"/>
    </row>
    <row r="665" spans="2:10">
      <c r="B665" s="14" t="s">
        <v>129</v>
      </c>
      <c r="C665" s="236"/>
      <c r="D665" s="236"/>
      <c r="E665" s="236"/>
      <c r="F665" s="236"/>
      <c r="G665" s="236"/>
      <c r="H665" s="236"/>
      <c r="I665" s="236"/>
      <c r="J665" s="236"/>
    </row>
    <row r="666" spans="2:10">
      <c r="B666" s="12" t="s">
        <v>128</v>
      </c>
      <c r="C666" s="121"/>
      <c r="D666" s="121"/>
      <c r="E666" s="121"/>
      <c r="F666" s="121"/>
      <c r="G666" s="121"/>
      <c r="H666" s="121"/>
      <c r="I666" s="121"/>
      <c r="J666" s="121"/>
    </row>
    <row r="667" spans="2:10">
      <c r="B667" s="62" t="s">
        <v>127</v>
      </c>
      <c r="C667" s="121"/>
      <c r="D667" s="121"/>
      <c r="E667" s="121"/>
      <c r="F667" s="121"/>
      <c r="G667" s="121"/>
      <c r="H667" s="121"/>
      <c r="I667" s="121"/>
      <c r="J667" s="121"/>
    </row>
    <row r="668" spans="2:10">
      <c r="B668" s="62"/>
      <c r="C668" s="121"/>
      <c r="D668" s="121"/>
      <c r="E668" s="121"/>
      <c r="F668" s="121"/>
      <c r="G668" s="121"/>
      <c r="H668" s="121"/>
      <c r="I668" s="121"/>
      <c r="J668" s="121"/>
    </row>
    <row r="669" spans="2:10">
      <c r="B669" s="61"/>
      <c r="C669" s="60">
        <v>2014</v>
      </c>
      <c r="D669" s="60">
        <v>2015</v>
      </c>
      <c r="E669" s="60">
        <v>2016</v>
      </c>
      <c r="F669" s="60">
        <v>2017</v>
      </c>
      <c r="G669" s="60">
        <v>2018</v>
      </c>
      <c r="H669" s="60">
        <v>2019</v>
      </c>
      <c r="I669" s="60">
        <v>2020</v>
      </c>
      <c r="J669" s="60">
        <v>2021</v>
      </c>
    </row>
    <row r="670" spans="2:10">
      <c r="B670" s="71" t="s">
        <v>124</v>
      </c>
      <c r="C670" s="235"/>
      <c r="D670" s="235"/>
      <c r="E670" s="235"/>
      <c r="F670" s="235"/>
      <c r="G670" s="235"/>
      <c r="H670" s="235"/>
      <c r="I670" s="235"/>
      <c r="J670" s="235"/>
    </row>
    <row r="671" spans="2:10">
      <c r="B671" s="71"/>
      <c r="C671" s="3"/>
      <c r="D671" s="3"/>
      <c r="E671" s="3"/>
      <c r="F671" s="3"/>
      <c r="G671" s="3"/>
      <c r="H671" s="3"/>
      <c r="I671" s="3"/>
      <c r="J671" s="3"/>
    </row>
    <row r="672" spans="2:10">
      <c r="B672" s="59" t="s">
        <v>1892</v>
      </c>
      <c r="C672" s="3"/>
      <c r="D672" s="3"/>
      <c r="E672" s="3"/>
      <c r="F672" s="3"/>
      <c r="G672" s="3"/>
      <c r="H672" s="3"/>
      <c r="I672" s="3"/>
      <c r="J672" s="3"/>
    </row>
    <row r="673" spans="2:10">
      <c r="B673" s="54" t="s">
        <v>123</v>
      </c>
      <c r="C673" s="235"/>
      <c r="D673" s="235"/>
      <c r="E673" s="235"/>
      <c r="F673" s="235"/>
      <c r="G673" s="235"/>
      <c r="H673" s="235"/>
      <c r="I673" s="235"/>
      <c r="J673" s="235"/>
    </row>
    <row r="674" spans="2:10">
      <c r="B674" s="52" t="s">
        <v>121</v>
      </c>
      <c r="C674" s="235"/>
      <c r="D674" s="235"/>
      <c r="E674" s="235"/>
      <c r="F674" s="235"/>
      <c r="G674" s="235"/>
      <c r="H674" s="235"/>
      <c r="I674" s="235"/>
      <c r="J674" s="235"/>
    </row>
    <row r="675" spans="2:10">
      <c r="B675" s="53" t="s">
        <v>120</v>
      </c>
      <c r="C675" s="235"/>
      <c r="D675" s="235"/>
      <c r="E675" s="235"/>
      <c r="F675" s="235"/>
      <c r="G675" s="235"/>
      <c r="H675" s="235"/>
      <c r="I675" s="235"/>
      <c r="J675" s="235"/>
    </row>
    <row r="676" spans="2:10">
      <c r="B676" s="53" t="s">
        <v>119</v>
      </c>
      <c r="C676" s="235"/>
      <c r="D676" s="235"/>
      <c r="E676" s="235"/>
      <c r="F676" s="235"/>
      <c r="G676" s="235"/>
      <c r="H676" s="235"/>
      <c r="I676" s="235">
        <v>66.180999999999997</v>
      </c>
      <c r="J676" s="235"/>
    </row>
    <row r="677" spans="2:10">
      <c r="B677" s="52" t="s">
        <v>118</v>
      </c>
      <c r="C677" s="235"/>
      <c r="D677" s="235"/>
      <c r="E677" s="235"/>
      <c r="F677" s="235"/>
      <c r="G677" s="235"/>
      <c r="H677" s="235"/>
      <c r="I677" s="235"/>
      <c r="J677" s="235"/>
    </row>
    <row r="678" spans="2:10">
      <c r="B678" s="52" t="s">
        <v>117</v>
      </c>
      <c r="C678" s="235"/>
      <c r="D678" s="235"/>
      <c r="E678" s="235"/>
      <c r="F678" s="235"/>
      <c r="G678" s="235"/>
      <c r="H678" s="235"/>
      <c r="I678" s="235"/>
      <c r="J678" s="235"/>
    </row>
    <row r="679" spans="2:10">
      <c r="B679" s="52"/>
      <c r="C679" s="3"/>
      <c r="D679" s="3"/>
      <c r="E679" s="3"/>
      <c r="F679" s="3"/>
      <c r="G679" s="3"/>
      <c r="H679" s="3"/>
      <c r="I679" s="3"/>
      <c r="J679" s="3"/>
    </row>
    <row r="680" spans="2:10">
      <c r="B680" s="54" t="s">
        <v>122</v>
      </c>
      <c r="C680" s="235"/>
      <c r="D680" s="235"/>
      <c r="E680" s="235"/>
      <c r="F680" s="235"/>
      <c r="G680" s="235"/>
      <c r="H680" s="235"/>
      <c r="I680" s="235"/>
      <c r="J680" s="235"/>
    </row>
    <row r="681" spans="2:10">
      <c r="B681" s="52" t="s">
        <v>121</v>
      </c>
      <c r="C681" s="235"/>
      <c r="D681" s="235"/>
      <c r="E681" s="235"/>
      <c r="F681" s="235"/>
      <c r="G681" s="235"/>
      <c r="H681" s="235"/>
      <c r="I681" s="235"/>
      <c r="J681" s="235"/>
    </row>
    <row r="682" spans="2:10">
      <c r="B682" s="53" t="s">
        <v>120</v>
      </c>
      <c r="C682" s="235"/>
      <c r="D682" s="235"/>
      <c r="E682" s="235"/>
      <c r="F682" s="235"/>
      <c r="G682" s="235"/>
      <c r="H682" s="235"/>
      <c r="I682" s="235"/>
      <c r="J682" s="235"/>
    </row>
    <row r="683" spans="2:10">
      <c r="B683" s="53" t="s">
        <v>119</v>
      </c>
      <c r="C683" s="235"/>
      <c r="D683" s="235"/>
      <c r="E683" s="235"/>
      <c r="F683" s="235"/>
      <c r="G683" s="235"/>
      <c r="H683" s="235"/>
      <c r="I683" s="235"/>
      <c r="J683" s="235"/>
    </row>
    <row r="684" spans="2:10">
      <c r="B684" s="52" t="s">
        <v>118</v>
      </c>
      <c r="C684" s="235"/>
      <c r="D684" s="235"/>
      <c r="E684" s="235"/>
      <c r="F684" s="235"/>
      <c r="G684" s="235"/>
      <c r="H684" s="235"/>
      <c r="I684" s="235"/>
      <c r="J684" s="235"/>
    </row>
    <row r="685" spans="2:10" ht="15" thickBot="1">
      <c r="B685" s="52" t="s">
        <v>117</v>
      </c>
      <c r="C685" s="235"/>
      <c r="D685" s="235"/>
      <c r="E685" s="235"/>
      <c r="F685" s="235"/>
      <c r="G685" s="235"/>
      <c r="H685" s="235"/>
      <c r="I685" s="235"/>
      <c r="J685" s="235"/>
    </row>
    <row r="686" spans="2:10" ht="15" thickTop="1">
      <c r="B686" s="2025"/>
      <c r="C686" s="2025"/>
      <c r="D686" s="2025"/>
      <c r="E686" s="2025"/>
      <c r="F686" s="2025"/>
      <c r="G686" s="2025"/>
      <c r="H686" s="2025"/>
      <c r="I686" s="2025"/>
      <c r="J686" s="2025"/>
    </row>
    <row r="687" spans="2:10">
      <c r="B687" s="2017"/>
      <c r="C687" s="2017"/>
      <c r="D687" s="2017"/>
      <c r="E687" s="2017"/>
      <c r="F687" s="2017"/>
      <c r="G687" s="2017"/>
      <c r="H687" s="2017"/>
      <c r="I687" s="2017"/>
      <c r="J687" s="2017"/>
    </row>
    <row r="688" spans="2:10">
      <c r="B688" s="1"/>
      <c r="C688" s="121"/>
      <c r="D688" s="121"/>
      <c r="E688" s="121"/>
      <c r="F688" s="121"/>
      <c r="G688" s="121"/>
      <c r="H688" s="121"/>
      <c r="I688" s="121"/>
      <c r="J688" s="121"/>
    </row>
    <row r="689" spans="2:10">
      <c r="B689" s="14" t="s">
        <v>115</v>
      </c>
      <c r="C689" s="236"/>
      <c r="D689" s="236"/>
      <c r="E689" s="236"/>
      <c r="F689" s="236"/>
      <c r="G689" s="236"/>
      <c r="H689" s="236"/>
      <c r="I689" s="236"/>
      <c r="J689" s="236"/>
    </row>
    <row r="690" spans="2:10">
      <c r="B690" s="12" t="s">
        <v>114</v>
      </c>
      <c r="C690" s="121"/>
      <c r="D690" s="121"/>
      <c r="E690" s="121"/>
      <c r="F690" s="121"/>
      <c r="G690" s="121"/>
      <c r="H690" s="121"/>
      <c r="I690" s="121"/>
      <c r="J690" s="121"/>
    </row>
    <row r="691" spans="2:10">
      <c r="B691" s="1"/>
      <c r="C691" s="121"/>
      <c r="D691" s="121"/>
      <c r="E691" s="121"/>
      <c r="F691" s="121"/>
      <c r="G691" s="121"/>
      <c r="H691" s="121"/>
      <c r="I691" s="121"/>
      <c r="J691" s="121"/>
    </row>
    <row r="692" spans="2:10">
      <c r="B692" s="2019" t="s">
        <v>11</v>
      </c>
      <c r="C692" s="2028" t="s">
        <v>604</v>
      </c>
      <c r="D692" s="2028" t="s">
        <v>113</v>
      </c>
      <c r="E692" s="2030" t="s">
        <v>24</v>
      </c>
      <c r="F692" s="2028" t="s">
        <v>112</v>
      </c>
      <c r="G692" s="2028" t="s">
        <v>111</v>
      </c>
      <c r="H692" s="2030" t="s">
        <v>110</v>
      </c>
      <c r="I692" s="2034"/>
      <c r="J692" s="2034"/>
    </row>
    <row r="693" spans="2:10">
      <c r="B693" s="2020"/>
      <c r="C693" s="2029"/>
      <c r="D693" s="2029"/>
      <c r="E693" s="2029"/>
      <c r="F693" s="2029"/>
      <c r="G693" s="2029"/>
      <c r="H693" s="2029"/>
      <c r="I693" s="2035"/>
      <c r="J693" s="2035"/>
    </row>
    <row r="694" spans="2:10" ht="15" thickBot="1">
      <c r="B694" s="23"/>
      <c r="C694" s="973"/>
      <c r="D694" s="971"/>
      <c r="E694" s="971"/>
      <c r="F694" s="971"/>
      <c r="G694" s="971"/>
      <c r="H694" s="971"/>
      <c r="I694" s="4"/>
      <c r="J694" s="4"/>
    </row>
    <row r="695" spans="2:10" ht="15" thickTop="1">
      <c r="B695" s="2036"/>
      <c r="C695" s="2037"/>
      <c r="D695" s="2037"/>
      <c r="E695" s="121"/>
      <c r="F695" s="121"/>
      <c r="G695" s="121"/>
      <c r="H695" s="121"/>
      <c r="I695" s="121"/>
      <c r="J695" s="121"/>
    </row>
    <row r="696" spans="2:10">
      <c r="B696" s="2019" t="s">
        <v>11</v>
      </c>
      <c r="C696" s="2028" t="s">
        <v>610</v>
      </c>
      <c r="D696" s="2030" t="s">
        <v>101</v>
      </c>
      <c r="E696" s="2030" t="s">
        <v>100</v>
      </c>
      <c r="F696" s="2030" t="s">
        <v>99</v>
      </c>
      <c r="G696" s="2028" t="s">
        <v>98</v>
      </c>
      <c r="H696" s="2028"/>
      <c r="I696" s="248"/>
      <c r="J696" s="248"/>
    </row>
    <row r="697" spans="2:10">
      <c r="B697" s="2020"/>
      <c r="C697" s="2029"/>
      <c r="D697" s="2029"/>
      <c r="E697" s="2029"/>
      <c r="F697" s="2029"/>
      <c r="G697" s="1400" t="s">
        <v>97</v>
      </c>
      <c r="H697" s="1400" t="s">
        <v>96</v>
      </c>
      <c r="I697" s="1036"/>
      <c r="J697" s="1036"/>
    </row>
    <row r="698" spans="2:10" ht="15" thickBot="1">
      <c r="B698" s="23"/>
      <c r="C698" s="973"/>
      <c r="D698" s="1401"/>
      <c r="E698" s="1401"/>
      <c r="F698" s="1401"/>
      <c r="G698" s="1402"/>
      <c r="H698" s="1403"/>
      <c r="I698" s="1404"/>
      <c r="J698" s="1404"/>
    </row>
    <row r="699" spans="2:10" ht="15" thickTop="1">
      <c r="B699" s="2036"/>
      <c r="C699" s="2037"/>
      <c r="D699" s="2037"/>
      <c r="E699" s="121"/>
      <c r="F699" s="121"/>
      <c r="G699" s="121"/>
      <c r="H699" s="121"/>
      <c r="I699" s="121"/>
      <c r="J699" s="121"/>
    </row>
    <row r="700" spans="2:10">
      <c r="B700" s="2038"/>
      <c r="C700" s="2038"/>
      <c r="D700" s="2038"/>
      <c r="E700" s="121"/>
      <c r="F700" s="121"/>
      <c r="G700" s="121"/>
      <c r="H700" s="121"/>
      <c r="I700" s="121"/>
      <c r="J700" s="121"/>
    </row>
    <row r="701" spans="2:10">
      <c r="B701" s="14" t="s">
        <v>76</v>
      </c>
      <c r="C701" s="236"/>
      <c r="D701" s="236"/>
      <c r="E701" s="236"/>
      <c r="F701" s="236"/>
      <c r="G701" s="236"/>
      <c r="H701" s="236"/>
      <c r="I701" s="236"/>
      <c r="J701" s="236"/>
    </row>
    <row r="702" spans="2:10">
      <c r="B702" s="12" t="s">
        <v>75</v>
      </c>
      <c r="C702" s="121"/>
      <c r="D702" s="121"/>
      <c r="E702" s="121"/>
      <c r="F702" s="121"/>
      <c r="G702" s="121"/>
      <c r="H702" s="121"/>
      <c r="I702" s="121"/>
      <c r="J702" s="121"/>
    </row>
    <row r="703" spans="2:10">
      <c r="B703" s="1"/>
      <c r="C703" s="121"/>
      <c r="D703" s="121"/>
      <c r="E703" s="121"/>
      <c r="F703" s="121"/>
      <c r="G703" s="121"/>
      <c r="H703" s="121"/>
      <c r="I703" s="121"/>
      <c r="J703" s="121"/>
    </row>
    <row r="704" spans="2:10" ht="24">
      <c r="B704" s="33" t="s">
        <v>11</v>
      </c>
      <c r="C704" s="237" t="s">
        <v>24</v>
      </c>
      <c r="D704" s="237" t="s">
        <v>74</v>
      </c>
      <c r="E704" s="237" t="s">
        <v>73</v>
      </c>
      <c r="F704" s="237" t="s">
        <v>72</v>
      </c>
      <c r="G704" s="237" t="s">
        <v>71</v>
      </c>
      <c r="H704" s="121"/>
      <c r="I704" s="121"/>
      <c r="J704" s="121"/>
    </row>
    <row r="705" spans="2:10" ht="15" thickBot="1">
      <c r="B705" s="238" t="s">
        <v>1885</v>
      </c>
      <c r="C705" s="961" t="s">
        <v>19</v>
      </c>
      <c r="D705" s="251" t="s">
        <v>1288</v>
      </c>
      <c r="E705" s="251" t="s">
        <v>56</v>
      </c>
      <c r="F705" s="251" t="s">
        <v>1893</v>
      </c>
      <c r="G705" s="251" t="s">
        <v>1894</v>
      </c>
      <c r="H705" s="121"/>
      <c r="I705" s="121"/>
      <c r="J705" s="121"/>
    </row>
    <row r="706" spans="2:10" ht="15" thickTop="1">
      <c r="B706" s="2036"/>
      <c r="C706" s="2037"/>
      <c r="D706" s="2037"/>
      <c r="E706" s="121"/>
      <c r="F706" s="121"/>
      <c r="G706" s="121"/>
      <c r="H706" s="121"/>
      <c r="I706" s="121"/>
      <c r="J706" s="121"/>
    </row>
    <row r="707" spans="2:10">
      <c r="B707" s="253"/>
      <c r="C707" s="121"/>
      <c r="D707" s="121"/>
      <c r="E707" s="121"/>
      <c r="F707" s="121"/>
      <c r="G707" s="121"/>
      <c r="H707" s="121"/>
      <c r="I707" s="121"/>
      <c r="J707" s="121"/>
    </row>
    <row r="708" spans="2:10">
      <c r="B708" s="1"/>
      <c r="C708" s="121"/>
      <c r="D708" s="121"/>
      <c r="E708" s="121"/>
      <c r="F708" s="121"/>
      <c r="G708" s="121"/>
      <c r="H708" s="121"/>
      <c r="I708" s="121"/>
      <c r="J708" s="121"/>
    </row>
    <row r="709" spans="2:10">
      <c r="B709" s="14" t="s">
        <v>52</v>
      </c>
      <c r="C709" s="236"/>
      <c r="D709" s="236"/>
      <c r="E709" s="236"/>
      <c r="F709" s="236"/>
      <c r="G709" s="236"/>
      <c r="H709" s="236"/>
      <c r="I709" s="236"/>
      <c r="J709" s="236"/>
    </row>
    <row r="710" spans="2:10">
      <c r="B710" s="12" t="s">
        <v>51</v>
      </c>
      <c r="C710" s="121"/>
      <c r="D710" s="121"/>
      <c r="E710" s="121"/>
      <c r="F710" s="121"/>
      <c r="G710" s="121"/>
      <c r="H710" s="121"/>
      <c r="I710" s="121"/>
      <c r="J710" s="121"/>
    </row>
    <row r="711" spans="2:10">
      <c r="B711" s="1"/>
      <c r="C711" s="121"/>
      <c r="D711" s="121"/>
      <c r="E711" s="121"/>
      <c r="F711" s="121"/>
      <c r="G711" s="121"/>
      <c r="H711" s="121"/>
      <c r="I711" s="121"/>
      <c r="J711" s="121"/>
    </row>
    <row r="712" spans="2:10">
      <c r="B712" s="2019" t="s">
        <v>38</v>
      </c>
      <c r="C712" s="2030" t="s">
        <v>530</v>
      </c>
      <c r="D712" s="2030" t="s">
        <v>24</v>
      </c>
      <c r="E712" s="2030" t="s">
        <v>50</v>
      </c>
      <c r="F712" s="2030" t="s">
        <v>49</v>
      </c>
      <c r="G712" s="2030" t="s">
        <v>48</v>
      </c>
      <c r="H712" s="2030" t="s">
        <v>47</v>
      </c>
      <c r="I712" s="2034"/>
      <c r="J712" s="2034"/>
    </row>
    <row r="713" spans="2:10">
      <c r="B713" s="2020"/>
      <c r="C713" s="2029"/>
      <c r="D713" s="2029"/>
      <c r="E713" s="2029"/>
      <c r="F713" s="2029"/>
      <c r="G713" s="2029"/>
      <c r="H713" s="2029"/>
      <c r="I713" s="2035"/>
      <c r="J713" s="2035"/>
    </row>
    <row r="714" spans="2:10" ht="15" thickBot="1">
      <c r="B714" s="238" t="s">
        <v>1885</v>
      </c>
      <c r="C714" s="250" t="s">
        <v>1894</v>
      </c>
      <c r="D714" s="251"/>
      <c r="E714" s="251"/>
      <c r="F714" s="251"/>
      <c r="G714" s="251"/>
      <c r="H714" s="251"/>
      <c r="I714" s="240"/>
      <c r="J714" s="240"/>
    </row>
    <row r="715" spans="2:10" ht="15" thickTop="1">
      <c r="B715" s="246"/>
      <c r="C715" s="121"/>
      <c r="D715" s="121"/>
      <c r="E715" s="121"/>
      <c r="F715" s="121"/>
      <c r="G715" s="121"/>
      <c r="H715" s="121"/>
      <c r="I715" s="121"/>
      <c r="J715" s="121"/>
    </row>
    <row r="716" spans="2:10">
      <c r="B716" s="2019" t="s">
        <v>38</v>
      </c>
      <c r="C716" s="2028" t="s">
        <v>538</v>
      </c>
      <c r="D716" s="2030" t="s">
        <v>37</v>
      </c>
      <c r="E716" s="2030" t="s">
        <v>8</v>
      </c>
      <c r="F716" s="2030" t="s">
        <v>36</v>
      </c>
      <c r="G716" s="247"/>
      <c r="H716" s="247"/>
      <c r="I716" s="247"/>
      <c r="J716" s="247"/>
    </row>
    <row r="717" spans="2:10">
      <c r="B717" s="2020"/>
      <c r="C717" s="2029"/>
      <c r="D717" s="2029"/>
      <c r="E717" s="2029"/>
      <c r="F717" s="2029"/>
      <c r="G717" s="248"/>
      <c r="H717" s="248"/>
      <c r="I717" s="248"/>
      <c r="J717" s="248"/>
    </row>
    <row r="718" spans="2:10" ht="15" thickBot="1">
      <c r="B718" s="238"/>
      <c r="C718" s="251" t="s">
        <v>1895</v>
      </c>
      <c r="D718" s="251" t="s">
        <v>1312</v>
      </c>
      <c r="E718" s="251" t="s">
        <v>6</v>
      </c>
      <c r="F718" s="251" t="s">
        <v>6</v>
      </c>
      <c r="G718" s="250"/>
      <c r="H718" s="250"/>
      <c r="I718" s="250"/>
      <c r="J718" s="250"/>
    </row>
    <row r="719" spans="2:10" ht="15" thickTop="1">
      <c r="B719" s="243"/>
      <c r="C719" s="121"/>
      <c r="D719" s="121"/>
      <c r="E719" s="121"/>
      <c r="F719" s="121"/>
      <c r="G719" s="121"/>
      <c r="H719" s="121"/>
      <c r="I719" s="121"/>
      <c r="J719" s="121"/>
    </row>
    <row r="720" spans="2:10">
      <c r="B720" s="2032"/>
      <c r="C720" s="2033"/>
      <c r="D720" s="2033"/>
      <c r="E720" s="2033"/>
      <c r="F720" s="2033"/>
      <c r="G720" s="2033"/>
      <c r="H720" s="2033"/>
      <c r="I720" s="2033"/>
      <c r="J720" s="2033"/>
    </row>
    <row r="721" spans="2:10">
      <c r="B721" s="1"/>
      <c r="C721" s="121"/>
      <c r="D721" s="121"/>
      <c r="E721" s="121"/>
      <c r="F721" s="121"/>
      <c r="G721" s="121"/>
      <c r="H721" s="121"/>
      <c r="I721" s="121"/>
      <c r="J721" s="121"/>
    </row>
    <row r="722" spans="2:10">
      <c r="B722" s="14" t="s">
        <v>26</v>
      </c>
      <c r="C722" s="236"/>
      <c r="D722" s="236"/>
      <c r="E722" s="236"/>
      <c r="F722" s="236"/>
      <c r="G722" s="236"/>
      <c r="H722" s="236"/>
      <c r="I722" s="236"/>
      <c r="J722" s="236"/>
    </row>
    <row r="723" spans="2:10">
      <c r="B723" s="12" t="s">
        <v>25</v>
      </c>
      <c r="C723" s="121"/>
      <c r="D723" s="121"/>
      <c r="E723" s="121"/>
      <c r="F723" s="121"/>
      <c r="G723" s="121"/>
      <c r="H723" s="121"/>
      <c r="I723" s="121"/>
      <c r="J723" s="121"/>
    </row>
    <row r="724" spans="2:10">
      <c r="B724" s="1"/>
      <c r="C724" s="121"/>
      <c r="D724" s="121"/>
      <c r="E724" s="121"/>
      <c r="F724" s="121"/>
      <c r="G724" s="121"/>
      <c r="H724" s="121"/>
      <c r="I724" s="121"/>
      <c r="J724" s="121"/>
    </row>
    <row r="725" spans="2:10">
      <c r="B725" s="2019" t="s">
        <v>11</v>
      </c>
      <c r="C725" s="2030" t="s">
        <v>541</v>
      </c>
      <c r="D725" s="2030" t="s">
        <v>24</v>
      </c>
      <c r="E725" s="2030" t="s">
        <v>23</v>
      </c>
      <c r="F725" s="2030" t="s">
        <v>22</v>
      </c>
      <c r="G725" s="2030" t="s">
        <v>21</v>
      </c>
      <c r="H725" s="2030" t="s">
        <v>20</v>
      </c>
      <c r="I725" s="2034"/>
      <c r="J725" s="2034"/>
    </row>
    <row r="726" spans="2:10">
      <c r="B726" s="2020"/>
      <c r="C726" s="2029"/>
      <c r="D726" s="2029"/>
      <c r="E726" s="2029"/>
      <c r="F726" s="2029"/>
      <c r="G726" s="2029"/>
      <c r="H726" s="2029"/>
      <c r="I726" s="2035"/>
      <c r="J726" s="2035"/>
    </row>
    <row r="727" spans="2:10" ht="36.5" thickBot="1">
      <c r="B727" s="254" t="s">
        <v>1896</v>
      </c>
      <c r="C727" s="255" t="s">
        <v>1897</v>
      </c>
      <c r="D727" s="255" t="s">
        <v>1898</v>
      </c>
      <c r="E727" s="255" t="s">
        <v>1899</v>
      </c>
      <c r="F727" s="256" t="s">
        <v>1900</v>
      </c>
      <c r="G727" s="1405" t="s">
        <v>1901</v>
      </c>
      <c r="H727" s="1405" t="s">
        <v>15</v>
      </c>
    </row>
    <row r="728" spans="2:10" ht="15" thickTop="1">
      <c r="B728" s="246"/>
      <c r="C728" s="121"/>
      <c r="D728" s="121"/>
      <c r="E728" s="121"/>
      <c r="F728" s="121"/>
      <c r="G728" s="121"/>
      <c r="H728" s="121"/>
      <c r="I728" s="121"/>
      <c r="J728" s="121"/>
    </row>
    <row r="729" spans="2:10">
      <c r="B729" s="2019" t="s">
        <v>11</v>
      </c>
      <c r="C729" s="2028" t="s">
        <v>546</v>
      </c>
      <c r="D729" s="2030" t="s">
        <v>10</v>
      </c>
      <c r="E729" s="2030" t="s">
        <v>9</v>
      </c>
      <c r="F729" s="2030" t="s">
        <v>8</v>
      </c>
      <c r="G729" s="247"/>
      <c r="H729" s="247"/>
      <c r="I729" s="247"/>
      <c r="J729" s="247"/>
    </row>
    <row r="730" spans="2:10">
      <c r="B730" s="2020"/>
      <c r="C730" s="2029"/>
      <c r="D730" s="2029"/>
      <c r="E730" s="2029"/>
      <c r="F730" s="2029"/>
      <c r="G730" s="248"/>
      <c r="H730" s="248"/>
      <c r="I730" s="248"/>
      <c r="J730" s="248"/>
    </row>
    <row r="731" spans="2:10" ht="24.5" thickBot="1">
      <c r="B731" s="254" t="s">
        <v>1896</v>
      </c>
      <c r="C731" s="255" t="s">
        <v>1902</v>
      </c>
      <c r="D731" s="255"/>
      <c r="E731" s="255" t="s">
        <v>1903</v>
      </c>
      <c r="F731" s="257" t="s">
        <v>1904</v>
      </c>
      <c r="G731" s="258"/>
      <c r="H731" s="258"/>
      <c r="I731" s="258"/>
      <c r="J731" s="258"/>
    </row>
    <row r="732" spans="2:10" ht="15" thickTop="1">
      <c r="B732" s="2025"/>
      <c r="C732" s="2025"/>
      <c r="D732" s="2025"/>
      <c r="E732" s="2025"/>
      <c r="F732" s="2025"/>
      <c r="G732" s="2031"/>
      <c r="H732" s="2031"/>
      <c r="I732" s="2031"/>
      <c r="J732" s="2031"/>
    </row>
    <row r="733" spans="2:10">
      <c r="B733" s="246"/>
      <c r="C733" s="121"/>
      <c r="D733" s="121"/>
      <c r="E733" s="121"/>
      <c r="F733" s="121"/>
      <c r="G733" s="121"/>
      <c r="H733" s="121"/>
      <c r="I733" s="121"/>
      <c r="J733" s="121"/>
    </row>
    <row r="1053" spans="2:2">
      <c r="B1053" t="s">
        <v>181</v>
      </c>
    </row>
    <row r="1056" spans="2:2">
      <c r="B1056" t="s">
        <v>178</v>
      </c>
    </row>
    <row r="1057" spans="2:2">
      <c r="B1057" t="s">
        <v>177</v>
      </c>
    </row>
    <row r="1115" spans="2:10">
      <c r="B1115" s="1406" t="s">
        <v>125</v>
      </c>
      <c r="C1115" s="57"/>
      <c r="D1115" s="57"/>
      <c r="E1115" s="57"/>
      <c r="F1115" s="57"/>
      <c r="G1115" s="57"/>
      <c r="H1115" s="57"/>
      <c r="I1115" s="57"/>
      <c r="J1115" s="57"/>
    </row>
    <row r="1116" spans="2:10">
      <c r="B1116" s="57"/>
      <c r="C1116" s="57"/>
      <c r="D1116" s="57"/>
      <c r="E1116" s="57"/>
      <c r="F1116" s="57"/>
      <c r="G1116" s="57"/>
      <c r="H1116" s="57"/>
      <c r="I1116" s="57"/>
      <c r="J1116" s="57"/>
    </row>
    <row r="1117" spans="2:10">
      <c r="B1117" s="57"/>
      <c r="C1117" s="57"/>
      <c r="D1117" s="57"/>
      <c r="E1117" s="57"/>
      <c r="F1117" s="57"/>
      <c r="G1117" s="57"/>
      <c r="H1117" s="57"/>
      <c r="I1117" s="57"/>
      <c r="J1117" s="57"/>
    </row>
    <row r="1118" spans="2:10">
      <c r="B1118" s="57"/>
      <c r="C1118" s="57"/>
      <c r="D1118" s="57"/>
      <c r="E1118" s="57"/>
      <c r="F1118" s="57"/>
      <c r="G1118" s="57"/>
      <c r="H1118" s="57"/>
      <c r="I1118" s="57"/>
      <c r="J1118" s="57"/>
    </row>
    <row r="1119" spans="2:10">
      <c r="B1119" s="57"/>
      <c r="C1119" s="57"/>
      <c r="D1119" s="57"/>
      <c r="E1119" s="57"/>
      <c r="F1119" s="57"/>
      <c r="G1119" s="57"/>
      <c r="H1119" s="57"/>
      <c r="I1119" s="57"/>
      <c r="J1119" s="57"/>
    </row>
    <row r="1120" spans="2:10">
      <c r="B1120" s="57"/>
      <c r="C1120" s="57"/>
      <c r="D1120" s="57"/>
      <c r="E1120" s="57"/>
      <c r="F1120" s="57"/>
      <c r="G1120" s="57"/>
      <c r="H1120" s="57"/>
      <c r="I1120" s="57"/>
      <c r="J1120" s="57"/>
    </row>
    <row r="1121" spans="2:10">
      <c r="B1121" s="57"/>
      <c r="C1121" s="57"/>
      <c r="D1121" s="57"/>
      <c r="E1121" s="57"/>
      <c r="F1121" s="57"/>
      <c r="G1121" s="57"/>
      <c r="H1121" s="57"/>
      <c r="I1121" s="57"/>
      <c r="J1121" s="57"/>
    </row>
    <row r="1122" spans="2:10">
      <c r="B1122" s="57"/>
      <c r="C1122" s="57"/>
      <c r="D1122" s="57"/>
      <c r="E1122" s="57"/>
      <c r="F1122" s="57"/>
      <c r="G1122" s="57"/>
      <c r="H1122" s="57"/>
      <c r="I1122" s="57"/>
      <c r="J1122" s="57"/>
    </row>
    <row r="1123" spans="2:10">
      <c r="B1123" s="57"/>
      <c r="C1123" s="57"/>
      <c r="D1123" s="57"/>
      <c r="E1123" s="57"/>
      <c r="F1123" s="57"/>
      <c r="G1123" s="57"/>
      <c r="H1123" s="57"/>
      <c r="I1123" s="57"/>
      <c r="J1123" s="57"/>
    </row>
    <row r="1124" spans="2:10">
      <c r="B1124" s="57"/>
      <c r="C1124" s="57"/>
      <c r="D1124" s="57"/>
      <c r="E1124" s="57"/>
      <c r="F1124" s="57"/>
      <c r="G1124" s="57"/>
      <c r="H1124" s="57"/>
      <c r="I1124" s="57"/>
      <c r="J1124" s="57"/>
    </row>
    <row r="1125" spans="2:10">
      <c r="B1125" s="57"/>
      <c r="C1125" s="57"/>
      <c r="D1125" s="57"/>
      <c r="E1125" s="57"/>
      <c r="F1125" s="57"/>
      <c r="G1125" s="57"/>
      <c r="H1125" s="57"/>
      <c r="I1125" s="57"/>
      <c r="J1125" s="57"/>
    </row>
    <row r="1126" spans="2:10">
      <c r="B1126" s="57"/>
      <c r="C1126" s="57"/>
      <c r="D1126" s="57"/>
      <c r="E1126" s="57"/>
      <c r="F1126" s="57"/>
      <c r="G1126" s="57"/>
      <c r="H1126" s="57"/>
      <c r="I1126" s="57"/>
      <c r="J1126" s="57"/>
    </row>
    <row r="1127" spans="2:10">
      <c r="B1127" s="57"/>
      <c r="C1127" s="57"/>
      <c r="D1127" s="57"/>
      <c r="E1127" s="57"/>
      <c r="F1127" s="57"/>
      <c r="G1127" s="57"/>
      <c r="H1127" s="57"/>
      <c r="I1127" s="57"/>
      <c r="J1127" s="57"/>
    </row>
    <row r="1128" spans="2:10">
      <c r="B1128" s="57"/>
      <c r="C1128" s="57"/>
      <c r="D1128" s="57"/>
      <c r="E1128" s="57"/>
      <c r="F1128" s="57"/>
      <c r="G1128" s="57"/>
      <c r="H1128" s="57"/>
      <c r="I1128" s="57"/>
      <c r="J1128" s="57"/>
    </row>
    <row r="1129" spans="2:10">
      <c r="B1129" s="57"/>
      <c r="C1129" s="57"/>
      <c r="D1129" s="57"/>
      <c r="E1129" s="57"/>
      <c r="F1129" s="57"/>
      <c r="G1129" s="57"/>
      <c r="H1129" s="57"/>
      <c r="I1129" s="57"/>
      <c r="J1129" s="57"/>
    </row>
    <row r="1130" spans="2:10">
      <c r="B1130" s="57"/>
      <c r="C1130" s="57"/>
      <c r="D1130" s="57"/>
      <c r="E1130" s="57"/>
      <c r="F1130" s="57"/>
      <c r="G1130" s="57"/>
      <c r="H1130" s="57"/>
      <c r="I1130" s="57"/>
      <c r="J1130" s="57"/>
    </row>
    <row r="1131" spans="2:10">
      <c r="B1131" s="57"/>
      <c r="C1131" s="57"/>
      <c r="D1131" s="57"/>
      <c r="E1131" s="57"/>
      <c r="F1131" s="57"/>
      <c r="G1131" s="57"/>
      <c r="H1131" s="57"/>
      <c r="I1131" s="57"/>
      <c r="J1131" s="57"/>
    </row>
    <row r="1132" spans="2:10">
      <c r="B1132" s="57"/>
      <c r="C1132" s="57"/>
      <c r="D1132" s="57"/>
      <c r="E1132" s="57"/>
      <c r="F1132" s="57"/>
      <c r="G1132" s="57"/>
      <c r="H1132" s="57"/>
      <c r="I1132" s="57"/>
      <c r="J1132" s="57"/>
    </row>
    <row r="1133" spans="2:10">
      <c r="B1133" s="57"/>
      <c r="C1133" s="57"/>
      <c r="D1133" s="57"/>
      <c r="E1133" s="57"/>
      <c r="F1133" s="57"/>
      <c r="G1133" s="57"/>
      <c r="H1133" s="57"/>
      <c r="I1133" s="57"/>
      <c r="J1133" s="57"/>
    </row>
    <row r="1134" spans="2:10">
      <c r="B1134" s="57"/>
      <c r="C1134" s="57"/>
      <c r="D1134" s="57"/>
      <c r="E1134" s="57"/>
      <c r="F1134" s="57"/>
      <c r="G1134" s="57"/>
      <c r="H1134" s="57"/>
      <c r="I1134" s="57"/>
      <c r="J1134" s="57"/>
    </row>
    <row r="1135" spans="2:10">
      <c r="B1135" s="57"/>
      <c r="C1135" s="57"/>
      <c r="D1135" s="57"/>
      <c r="E1135" s="57"/>
      <c r="F1135" s="57"/>
      <c r="G1135" s="57"/>
      <c r="H1135" s="57"/>
      <c r="I1135" s="57"/>
      <c r="J1135" s="57"/>
    </row>
    <row r="1152" spans="2:10">
      <c r="B1152" s="1406" t="s">
        <v>125</v>
      </c>
      <c r="C1152" s="57"/>
      <c r="D1152" s="57"/>
      <c r="E1152" s="57"/>
      <c r="F1152" s="57"/>
      <c r="G1152" s="57"/>
      <c r="H1152" s="57"/>
      <c r="I1152" s="57"/>
      <c r="J1152" s="57"/>
    </row>
    <row r="1153" spans="2:10">
      <c r="C1153" s="57"/>
      <c r="D1153" s="57"/>
      <c r="E1153" s="57"/>
      <c r="F1153" s="57"/>
      <c r="G1153" s="57"/>
      <c r="H1153" s="57"/>
      <c r="I1153" s="57"/>
      <c r="J1153" s="57"/>
    </row>
    <row r="1154" spans="2:10">
      <c r="C1154" s="57"/>
      <c r="D1154" s="57"/>
      <c r="E1154" s="57"/>
      <c r="F1154" s="57"/>
      <c r="G1154" s="57"/>
      <c r="H1154" s="57"/>
      <c r="I1154" s="57"/>
      <c r="J1154" s="57"/>
    </row>
    <row r="1155" spans="2:10">
      <c r="C1155" s="57"/>
      <c r="D1155" s="57"/>
      <c r="E1155" s="57"/>
      <c r="F1155" s="57"/>
      <c r="G1155" s="57"/>
      <c r="H1155" s="57"/>
      <c r="I1155" s="57"/>
      <c r="J1155" s="57"/>
    </row>
    <row r="1156" spans="2:10">
      <c r="C1156" s="57"/>
      <c r="D1156" s="57"/>
      <c r="E1156" s="57"/>
      <c r="F1156" s="57"/>
      <c r="G1156" s="57"/>
      <c r="H1156" s="57"/>
      <c r="I1156" s="57"/>
      <c r="J1156" s="57"/>
    </row>
    <row r="1157" spans="2:10">
      <c r="C1157" s="57"/>
      <c r="D1157" s="57"/>
      <c r="E1157" s="57"/>
      <c r="F1157" s="57"/>
      <c r="G1157" s="57"/>
      <c r="H1157" s="57"/>
      <c r="I1157" s="57"/>
      <c r="J1157" s="57"/>
    </row>
    <row r="1158" spans="2:10" ht="15" thickBot="1">
      <c r="B1158" s="1407"/>
      <c r="C1158" s="70"/>
      <c r="D1158" s="70"/>
      <c r="E1158" s="70"/>
      <c r="F1158" s="70"/>
      <c r="G1158" s="70"/>
      <c r="H1158" s="70"/>
      <c r="I1158" s="70"/>
      <c r="J1158" s="70"/>
    </row>
    <row r="1159" spans="2:10" ht="15" thickTop="1"/>
    <row r="1174" spans="2:10">
      <c r="B1174" s="1406" t="s">
        <v>125</v>
      </c>
      <c r="C1174" s="57"/>
      <c r="D1174" s="57"/>
      <c r="E1174" s="57"/>
      <c r="F1174" s="57"/>
      <c r="G1174" s="57"/>
      <c r="H1174" s="57"/>
      <c r="I1174" s="57"/>
      <c r="J1174" s="57"/>
    </row>
    <row r="1175" spans="2:10">
      <c r="C1175" s="57"/>
      <c r="D1175" s="57"/>
      <c r="E1175" s="57"/>
      <c r="F1175" s="57"/>
      <c r="G1175" s="57"/>
      <c r="H1175" s="57"/>
      <c r="I1175" s="57"/>
      <c r="J1175" s="57"/>
    </row>
    <row r="1176" spans="2:10">
      <c r="C1176" s="57"/>
      <c r="D1176" s="57"/>
      <c r="E1176" s="57"/>
      <c r="F1176" s="57"/>
      <c r="G1176" s="57"/>
      <c r="H1176" s="57"/>
      <c r="I1176" s="57"/>
      <c r="J1176" s="57"/>
    </row>
    <row r="1177" spans="2:10">
      <c r="C1177" s="57"/>
      <c r="D1177" s="57"/>
      <c r="E1177" s="57"/>
      <c r="F1177" s="57"/>
      <c r="G1177" s="57"/>
      <c r="H1177" s="57"/>
      <c r="I1177" s="57"/>
      <c r="J1177" s="57"/>
    </row>
    <row r="1178" spans="2:10">
      <c r="C1178" s="57"/>
      <c r="D1178" s="57"/>
      <c r="E1178" s="57"/>
      <c r="F1178" s="57"/>
      <c r="G1178" s="57"/>
      <c r="H1178" s="57"/>
      <c r="I1178" s="57"/>
      <c r="J1178" s="57"/>
    </row>
    <row r="1179" spans="2:10">
      <c r="C1179" s="57"/>
      <c r="D1179" s="57"/>
      <c r="E1179" s="57"/>
      <c r="F1179" s="57"/>
      <c r="G1179" s="57"/>
      <c r="H1179" s="57"/>
      <c r="I1179" s="57"/>
      <c r="J1179" s="57"/>
    </row>
    <row r="1180" spans="2:10" ht="15" thickBot="1">
      <c r="B1180" s="1407"/>
      <c r="C1180" s="70"/>
      <c r="D1180" s="70"/>
      <c r="E1180" s="70"/>
      <c r="F1180" s="70"/>
      <c r="G1180" s="70"/>
      <c r="H1180" s="70"/>
      <c r="I1180" s="70"/>
      <c r="J1180" s="70"/>
    </row>
    <row r="1181" spans="2:10" ht="15" thickTop="1"/>
    <row r="1205" spans="2:10">
      <c r="B1205" s="1406" t="s">
        <v>125</v>
      </c>
      <c r="C1205" s="57"/>
      <c r="D1205" s="57"/>
      <c r="E1205" s="57"/>
      <c r="F1205" s="57"/>
      <c r="G1205" s="57"/>
      <c r="H1205" s="57"/>
      <c r="I1205" s="57"/>
      <c r="J1205" s="57"/>
    </row>
    <row r="1206" spans="2:10">
      <c r="C1206" s="57"/>
      <c r="D1206" s="57"/>
      <c r="E1206" s="57"/>
      <c r="F1206" s="57"/>
      <c r="G1206" s="57"/>
      <c r="H1206" s="57"/>
      <c r="I1206" s="57"/>
      <c r="J1206" s="57"/>
    </row>
    <row r="1207" spans="2:10">
      <c r="C1207" s="57"/>
      <c r="D1207" s="57"/>
      <c r="E1207" s="57"/>
      <c r="F1207" s="57"/>
      <c r="G1207" s="57"/>
      <c r="H1207" s="57"/>
      <c r="I1207" s="57"/>
      <c r="J1207" s="57"/>
    </row>
    <row r="1208" spans="2:10">
      <c r="C1208" s="57"/>
      <c r="D1208" s="57"/>
      <c r="E1208" s="57"/>
      <c r="F1208" s="57"/>
      <c r="G1208" s="57"/>
      <c r="H1208" s="57"/>
      <c r="I1208" s="57"/>
      <c r="J1208" s="57"/>
    </row>
    <row r="1209" spans="2:10">
      <c r="C1209" s="57"/>
      <c r="D1209" s="57"/>
      <c r="E1209" s="57"/>
      <c r="F1209" s="57"/>
      <c r="G1209" s="57"/>
      <c r="H1209" s="57"/>
      <c r="I1209" s="57"/>
      <c r="J1209" s="57"/>
    </row>
    <row r="1210" spans="2:10">
      <c r="C1210" s="57"/>
      <c r="D1210" s="57"/>
      <c r="E1210" s="57"/>
      <c r="F1210" s="57"/>
      <c r="G1210" s="57"/>
      <c r="H1210" s="57"/>
      <c r="I1210" s="57"/>
      <c r="J1210" s="57"/>
    </row>
    <row r="1211" spans="2:10">
      <c r="C1211" s="57"/>
      <c r="D1211" s="57"/>
      <c r="E1211" s="57"/>
      <c r="F1211" s="57"/>
      <c r="G1211" s="57"/>
      <c r="H1211" s="57"/>
      <c r="I1211" s="57"/>
      <c r="J1211" s="57"/>
    </row>
    <row r="1212" spans="2:10">
      <c r="C1212" s="57"/>
      <c r="D1212" s="57"/>
      <c r="E1212" s="57"/>
      <c r="F1212" s="57"/>
      <c r="G1212" s="57"/>
      <c r="H1212" s="57"/>
      <c r="I1212" s="57"/>
      <c r="J1212" s="57"/>
    </row>
    <row r="1213" spans="2:10">
      <c r="C1213" s="57"/>
      <c r="D1213" s="57"/>
      <c r="E1213" s="57"/>
      <c r="F1213" s="57"/>
      <c r="G1213" s="57"/>
      <c r="H1213" s="57"/>
      <c r="I1213" s="57"/>
      <c r="J1213" s="57"/>
    </row>
    <row r="1214" spans="2:10">
      <c r="C1214" s="57"/>
      <c r="D1214" s="57"/>
      <c r="E1214" s="57"/>
      <c r="F1214" s="57"/>
      <c r="G1214" s="57"/>
      <c r="H1214" s="57"/>
      <c r="I1214" s="57"/>
      <c r="J1214" s="57"/>
    </row>
    <row r="1215" spans="2:10">
      <c r="C1215" s="57"/>
      <c r="D1215" s="57"/>
      <c r="E1215" s="57"/>
      <c r="F1215" s="57"/>
      <c r="G1215" s="57"/>
      <c r="H1215" s="57"/>
      <c r="I1215" s="57"/>
      <c r="J1215" s="57"/>
    </row>
    <row r="1216" spans="2:10">
      <c r="C1216" s="57"/>
      <c r="D1216" s="57"/>
      <c r="E1216" s="57"/>
      <c r="F1216" s="57"/>
      <c r="G1216" s="57"/>
      <c r="H1216" s="57"/>
      <c r="I1216" s="57"/>
      <c r="J1216" s="57"/>
    </row>
    <row r="1217" spans="2:10">
      <c r="C1217" s="57"/>
      <c r="D1217" s="57"/>
      <c r="E1217" s="57"/>
      <c r="F1217" s="57"/>
      <c r="G1217" s="57"/>
      <c r="H1217" s="57"/>
      <c r="I1217" s="57"/>
      <c r="J1217" s="57"/>
    </row>
    <row r="1218" spans="2:10">
      <c r="C1218" s="57"/>
      <c r="D1218" s="57"/>
      <c r="E1218" s="57"/>
      <c r="F1218" s="57"/>
      <c r="G1218" s="57"/>
      <c r="H1218" s="57"/>
      <c r="I1218" s="57"/>
      <c r="J1218" s="57"/>
    </row>
    <row r="1219" spans="2:10" ht="15" thickBot="1">
      <c r="B1219" s="1407"/>
      <c r="C1219" s="70"/>
      <c r="D1219" s="70"/>
      <c r="E1219" s="70"/>
      <c r="F1219" s="70"/>
      <c r="G1219" s="70"/>
      <c r="H1219" s="70"/>
      <c r="I1219" s="70"/>
      <c r="J1219" s="70"/>
    </row>
    <row r="1220" spans="2:10" ht="15" thickTop="1"/>
    <row r="1243" spans="2:10">
      <c r="B1243" s="1406" t="s">
        <v>125</v>
      </c>
      <c r="C1243" s="57"/>
      <c r="D1243" s="57"/>
      <c r="E1243" s="57"/>
      <c r="F1243" s="57"/>
      <c r="G1243" s="57"/>
      <c r="H1243" s="57"/>
      <c r="I1243" s="57"/>
      <c r="J1243" s="57"/>
    </row>
    <row r="1244" spans="2:10">
      <c r="C1244" s="57"/>
      <c r="D1244" s="57"/>
      <c r="E1244" s="57"/>
      <c r="F1244" s="57"/>
      <c r="G1244" s="57"/>
      <c r="H1244" s="57"/>
      <c r="I1244" s="57"/>
      <c r="J1244" s="57"/>
    </row>
    <row r="1245" spans="2:10">
      <c r="C1245" s="57"/>
      <c r="D1245" s="57"/>
      <c r="E1245" s="57"/>
      <c r="F1245" s="57"/>
      <c r="G1245" s="57"/>
      <c r="H1245" s="57"/>
      <c r="I1245" s="57"/>
      <c r="J1245" s="57"/>
    </row>
    <row r="1246" spans="2:10">
      <c r="C1246" s="57"/>
      <c r="D1246" s="57"/>
      <c r="E1246" s="57"/>
      <c r="F1246" s="57"/>
      <c r="G1246" s="57"/>
      <c r="H1246" s="57"/>
      <c r="I1246" s="57"/>
      <c r="J1246" s="57"/>
    </row>
    <row r="1247" spans="2:10">
      <c r="C1247" s="57"/>
      <c r="D1247" s="57"/>
      <c r="E1247" s="57"/>
      <c r="F1247" s="57"/>
      <c r="G1247" s="57"/>
      <c r="H1247" s="57"/>
      <c r="I1247" s="57"/>
      <c r="J1247" s="57"/>
    </row>
    <row r="1248" spans="2:10">
      <c r="C1248" s="57"/>
      <c r="D1248" s="57"/>
      <c r="E1248" s="57"/>
      <c r="F1248" s="57"/>
      <c r="G1248" s="57"/>
      <c r="H1248" s="57"/>
      <c r="I1248" s="57"/>
      <c r="J1248" s="57"/>
    </row>
    <row r="1249" spans="2:10">
      <c r="C1249" s="57"/>
      <c r="D1249" s="57"/>
      <c r="E1249" s="57"/>
      <c r="F1249" s="57"/>
      <c r="G1249" s="57"/>
      <c r="H1249" s="57"/>
      <c r="I1249" s="57"/>
      <c r="J1249" s="57"/>
    </row>
    <row r="1250" spans="2:10">
      <c r="C1250" s="57"/>
      <c r="D1250" s="57"/>
      <c r="E1250" s="57"/>
      <c r="F1250" s="57"/>
      <c r="G1250" s="57"/>
      <c r="H1250" s="57"/>
      <c r="I1250" s="57"/>
      <c r="J1250" s="57"/>
    </row>
    <row r="1251" spans="2:10">
      <c r="C1251" s="57"/>
      <c r="D1251" s="57"/>
      <c r="E1251" s="57"/>
      <c r="F1251" s="57"/>
      <c r="G1251" s="57"/>
      <c r="H1251" s="57"/>
      <c r="I1251" s="57"/>
      <c r="J1251" s="57"/>
    </row>
    <row r="1252" spans="2:10">
      <c r="C1252" s="57"/>
      <c r="D1252" s="57"/>
      <c r="E1252" s="57"/>
      <c r="F1252" s="57"/>
      <c r="G1252" s="57"/>
      <c r="H1252" s="57"/>
      <c r="I1252" s="57"/>
      <c r="J1252" s="57"/>
    </row>
    <row r="1253" spans="2:10">
      <c r="C1253" s="57"/>
      <c r="D1253" s="57"/>
      <c r="E1253" s="57"/>
      <c r="F1253" s="57"/>
      <c r="G1253" s="57"/>
      <c r="H1253" s="57"/>
      <c r="I1253" s="57"/>
      <c r="J1253" s="57"/>
    </row>
    <row r="1254" spans="2:10">
      <c r="C1254" s="57"/>
      <c r="D1254" s="57"/>
      <c r="E1254" s="57"/>
      <c r="F1254" s="57"/>
      <c r="G1254" s="57"/>
      <c r="H1254" s="57"/>
      <c r="I1254" s="57"/>
      <c r="J1254" s="57"/>
    </row>
    <row r="1255" spans="2:10">
      <c r="C1255" s="57"/>
      <c r="D1255" s="57"/>
      <c r="E1255" s="57"/>
      <c r="F1255" s="57"/>
      <c r="G1255" s="57"/>
      <c r="H1255" s="57"/>
      <c r="I1255" s="57"/>
      <c r="J1255" s="57"/>
    </row>
    <row r="1256" spans="2:10">
      <c r="C1256" s="57"/>
      <c r="D1256" s="57"/>
      <c r="E1256" s="57"/>
      <c r="F1256" s="57"/>
      <c r="G1256" s="57"/>
      <c r="H1256" s="57"/>
      <c r="I1256" s="57"/>
      <c r="J1256" s="57"/>
    </row>
    <row r="1257" spans="2:10" ht="15" thickBot="1">
      <c r="B1257" s="1407"/>
      <c r="C1257" s="70"/>
      <c r="D1257" s="70"/>
      <c r="E1257" s="70"/>
      <c r="F1257" s="70"/>
      <c r="G1257" s="70"/>
      <c r="H1257" s="70"/>
      <c r="I1257" s="70"/>
      <c r="J1257" s="70"/>
    </row>
    <row r="1258" spans="2:10" ht="15" thickTop="1"/>
  </sheetData>
  <mergeCells count="104">
    <mergeCell ref="B2:J2"/>
    <mergeCell ref="B13:J13"/>
    <mergeCell ref="B15:J15"/>
    <mergeCell ref="B31:J31"/>
    <mergeCell ref="B32:J32"/>
    <mergeCell ref="B34:J34"/>
    <mergeCell ref="B141:J141"/>
    <mergeCell ref="B143:J143"/>
    <mergeCell ref="B207:J207"/>
    <mergeCell ref="B209:J209"/>
    <mergeCell ref="B273:J273"/>
    <mergeCell ref="B275:J275"/>
    <mergeCell ref="B49:J49"/>
    <mergeCell ref="B51:J51"/>
    <mergeCell ref="B79:J79"/>
    <mergeCell ref="B81:J81"/>
    <mergeCell ref="B108:J108"/>
    <mergeCell ref="B110:J110"/>
    <mergeCell ref="B399:J399"/>
    <mergeCell ref="B401:J401"/>
    <mergeCell ref="B413:J413"/>
    <mergeCell ref="B415:J415"/>
    <mergeCell ref="B422:J422"/>
    <mergeCell ref="B423:J423"/>
    <mergeCell ref="B295:J295"/>
    <mergeCell ref="B297:J297"/>
    <mergeCell ref="B334:J334"/>
    <mergeCell ref="B336:J336"/>
    <mergeCell ref="B374:J374"/>
    <mergeCell ref="B376:J376"/>
    <mergeCell ref="B482:J482"/>
    <mergeCell ref="B484:J484"/>
    <mergeCell ref="B531:J531"/>
    <mergeCell ref="B532:J532"/>
    <mergeCell ref="B534:J534"/>
    <mergeCell ref="B581:J581"/>
    <mergeCell ref="B425:J425"/>
    <mergeCell ref="B445:J445"/>
    <mergeCell ref="B447:J447"/>
    <mergeCell ref="B467:J467"/>
    <mergeCell ref="B469:J469"/>
    <mergeCell ref="B481:J481"/>
    <mergeCell ref="B627:J627"/>
    <mergeCell ref="B639:J639"/>
    <mergeCell ref="B640:J640"/>
    <mergeCell ref="B642:J642"/>
    <mergeCell ref="B663:J663"/>
    <mergeCell ref="B686:J686"/>
    <mergeCell ref="B582:J582"/>
    <mergeCell ref="B584:J584"/>
    <mergeCell ref="B610:J610"/>
    <mergeCell ref="B612:J612"/>
    <mergeCell ref="B624:J624"/>
    <mergeCell ref="B625:J625"/>
    <mergeCell ref="B695:D695"/>
    <mergeCell ref="B696:B697"/>
    <mergeCell ref="C696:C697"/>
    <mergeCell ref="D696:D697"/>
    <mergeCell ref="E696:E697"/>
    <mergeCell ref="F696:F697"/>
    <mergeCell ref="B687:J687"/>
    <mergeCell ref="B692:B693"/>
    <mergeCell ref="C692:C693"/>
    <mergeCell ref="D692:D693"/>
    <mergeCell ref="E692:E693"/>
    <mergeCell ref="F692:F693"/>
    <mergeCell ref="G692:G693"/>
    <mergeCell ref="H692:H693"/>
    <mergeCell ref="I692:I693"/>
    <mergeCell ref="J692:J693"/>
    <mergeCell ref="H712:H713"/>
    <mergeCell ref="I712:I713"/>
    <mergeCell ref="J712:J713"/>
    <mergeCell ref="B716:B717"/>
    <mergeCell ref="C716:C717"/>
    <mergeCell ref="D716:D717"/>
    <mergeCell ref="E716:E717"/>
    <mergeCell ref="F716:F717"/>
    <mergeCell ref="G696:H696"/>
    <mergeCell ref="B699:D699"/>
    <mergeCell ref="B700:D700"/>
    <mergeCell ref="B706:D706"/>
    <mergeCell ref="B712:B713"/>
    <mergeCell ref="C712:C713"/>
    <mergeCell ref="D712:D713"/>
    <mergeCell ref="E712:E713"/>
    <mergeCell ref="F712:F713"/>
    <mergeCell ref="G712:G713"/>
    <mergeCell ref="B729:B730"/>
    <mergeCell ref="C729:C730"/>
    <mergeCell ref="D729:D730"/>
    <mergeCell ref="E729:E730"/>
    <mergeCell ref="F729:F730"/>
    <mergeCell ref="B732:J732"/>
    <mergeCell ref="B720:J720"/>
    <mergeCell ref="B725:B726"/>
    <mergeCell ref="C725:C726"/>
    <mergeCell ref="D725:D726"/>
    <mergeCell ref="E725:E726"/>
    <mergeCell ref="F725:F726"/>
    <mergeCell ref="G725:G726"/>
    <mergeCell ref="H725:H726"/>
    <mergeCell ref="I725:I726"/>
    <mergeCell ref="J725:J72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7A0BE-5089-4DBD-9709-4C832955CFF8}">
  <dimension ref="B1:S1727"/>
  <sheetViews>
    <sheetView topLeftCell="A902" zoomScale="74" zoomScaleNormal="85" zoomScaleSheetLayoutView="80" workbookViewId="0">
      <selection activeCell="B919" sqref="B919"/>
    </sheetView>
  </sheetViews>
  <sheetFormatPr baseColWidth="10" defaultColWidth="11.453125" defaultRowHeight="14.5"/>
  <cols>
    <col min="1" max="1" width="5.7265625" customWidth="1"/>
    <col min="2" max="2" width="47.54296875" customWidth="1"/>
    <col min="3" max="9" width="19.81640625" customWidth="1"/>
    <col min="10" max="10" width="14" bestFit="1" customWidth="1"/>
    <col min="12" max="12" width="11.453125" style="1004"/>
    <col min="13" max="14" width="14" style="1004" bestFit="1" customWidth="1"/>
    <col min="15" max="15" width="11.453125" style="1004"/>
  </cols>
  <sheetData>
    <row r="1" spans="2:17">
      <c r="B1" s="1"/>
      <c r="C1" s="121"/>
      <c r="D1" s="121"/>
      <c r="E1" s="121"/>
      <c r="F1" s="121"/>
      <c r="G1" s="121"/>
      <c r="H1" s="121"/>
      <c r="I1" s="121"/>
    </row>
    <row r="2" spans="2:17">
      <c r="B2" s="2043" t="s">
        <v>464</v>
      </c>
      <c r="C2" s="2043"/>
      <c r="D2" s="2043"/>
      <c r="E2" s="2043"/>
      <c r="F2" s="2043"/>
      <c r="G2" s="2043"/>
      <c r="H2" s="2043"/>
      <c r="I2" s="2043"/>
      <c r="J2" s="2043"/>
    </row>
    <row r="3" spans="2:17">
      <c r="B3" s="12" t="s">
        <v>463</v>
      </c>
      <c r="C3" s="1"/>
      <c r="D3" s="1"/>
      <c r="E3" s="1"/>
      <c r="F3" s="1"/>
      <c r="G3" s="1"/>
      <c r="H3" s="1"/>
      <c r="I3" s="1"/>
      <c r="L3"/>
      <c r="M3"/>
      <c r="N3"/>
      <c r="O3"/>
    </row>
    <row r="4" spans="2:17">
      <c r="B4" s="76"/>
      <c r="C4" s="121"/>
      <c r="D4" s="121"/>
      <c r="E4" s="121"/>
      <c r="F4" s="121"/>
      <c r="G4" s="121"/>
      <c r="H4" s="121"/>
      <c r="I4" s="121"/>
      <c r="L4"/>
      <c r="M4"/>
      <c r="N4"/>
      <c r="O4"/>
    </row>
    <row r="5" spans="2:17">
      <c r="B5" s="61"/>
      <c r="C5" s="60">
        <v>2014</v>
      </c>
      <c r="D5" s="60">
        <v>2015</v>
      </c>
      <c r="E5" s="60">
        <v>2016</v>
      </c>
      <c r="F5" s="60">
        <v>2017</v>
      </c>
      <c r="G5" s="60">
        <v>2018</v>
      </c>
      <c r="H5" s="60">
        <v>2019</v>
      </c>
      <c r="I5" s="60">
        <v>2020</v>
      </c>
      <c r="J5" s="60">
        <v>2021</v>
      </c>
      <c r="L5"/>
      <c r="M5"/>
      <c r="N5"/>
      <c r="O5"/>
    </row>
    <row r="6" spans="2:17">
      <c r="B6" s="64" t="s">
        <v>465</v>
      </c>
      <c r="C6" s="95">
        <v>10383.760002361872</v>
      </c>
      <c r="D6" s="95">
        <v>10566.738372670285</v>
      </c>
      <c r="E6" s="95">
        <v>10752.94111295577</v>
      </c>
      <c r="F6" s="95">
        <v>10942.425041746827</v>
      </c>
      <c r="G6" s="95">
        <v>11135.247978804826</v>
      </c>
      <c r="H6" s="95">
        <v>11331.468762767314</v>
      </c>
      <c r="I6" s="95">
        <v>11677.406000000001</v>
      </c>
      <c r="J6" s="95">
        <v>11841.955</v>
      </c>
      <c r="L6"/>
      <c r="M6"/>
      <c r="N6"/>
      <c r="O6"/>
    </row>
    <row r="7" spans="2:17">
      <c r="B7" s="64" t="s">
        <v>461</v>
      </c>
      <c r="C7" s="95">
        <v>33236.685009735993</v>
      </c>
      <c r="D7" s="95">
        <v>33240.724474427552</v>
      </c>
      <c r="E7" s="95">
        <v>34188.510501810386</v>
      </c>
      <c r="F7" s="95">
        <v>37782.028770040197</v>
      </c>
      <c r="G7" s="95">
        <v>40581.289679240523</v>
      </c>
      <c r="H7" s="95">
        <v>41193.44023323615</v>
      </c>
      <c r="I7" s="95">
        <v>38350</v>
      </c>
      <c r="J7" s="95">
        <v>40702.728998481711</v>
      </c>
      <c r="L7"/>
      <c r="M7"/>
      <c r="N7"/>
      <c r="O7"/>
    </row>
    <row r="8" spans="2:17">
      <c r="B8" s="64" t="s">
        <v>460</v>
      </c>
      <c r="C8" s="95">
        <f t="shared" ref="C8:H8" si="0">C7*1000/C6</f>
        <v>3200.8333207023306</v>
      </c>
      <c r="D8" s="95">
        <f t="shared" si="0"/>
        <v>3145.7885396690672</v>
      </c>
      <c r="E8" s="95">
        <f t="shared" si="0"/>
        <v>3179.4566847035067</v>
      </c>
      <c r="F8" s="95">
        <f t="shared" si="0"/>
        <v>3452.8021554542679</v>
      </c>
      <c r="G8" s="95">
        <f t="shared" si="0"/>
        <v>3644.3992766469323</v>
      </c>
      <c r="H8" s="95">
        <f t="shared" si="0"/>
        <v>3635.3133998470375</v>
      </c>
      <c r="I8" s="95">
        <f>I7*1000/I6</f>
        <v>3284.1197779712375</v>
      </c>
      <c r="J8" s="95">
        <f>J7*1000/J6</f>
        <v>3437.1629514283504</v>
      </c>
      <c r="L8"/>
      <c r="M8"/>
      <c r="N8"/>
      <c r="O8"/>
    </row>
    <row r="9" spans="2:17">
      <c r="B9" s="64" t="s">
        <v>466</v>
      </c>
      <c r="C9" s="95">
        <v>5.764602</v>
      </c>
      <c r="D9" s="95">
        <v>2.9531461424908922</v>
      </c>
      <c r="E9" s="95">
        <v>4.0029393475671915</v>
      </c>
      <c r="F9" s="95">
        <v>2.7146683422835105</v>
      </c>
      <c r="G9" s="95">
        <v>1.5070667893564815</v>
      </c>
      <c r="H9" s="95">
        <v>1.469044085953386</v>
      </c>
      <c r="I9" s="95">
        <v>0.67047200829863929</v>
      </c>
      <c r="J9" s="95">
        <v>0.90095045869198476</v>
      </c>
      <c r="L9"/>
      <c r="M9"/>
      <c r="N9"/>
      <c r="O9"/>
    </row>
    <row r="10" spans="2:17">
      <c r="B10" s="64" t="s">
        <v>467</v>
      </c>
      <c r="C10" s="203"/>
      <c r="D10" s="203"/>
      <c r="E10" s="203"/>
      <c r="F10" s="203"/>
      <c r="G10" s="203"/>
      <c r="H10" s="203"/>
      <c r="I10" s="203"/>
      <c r="J10" s="203"/>
      <c r="L10"/>
      <c r="M10"/>
      <c r="N10"/>
      <c r="O10"/>
    </row>
    <row r="11" spans="2:17">
      <c r="B11" s="190" t="s">
        <v>468</v>
      </c>
      <c r="C11" s="98">
        <v>6.86</v>
      </c>
      <c r="D11" s="98">
        <v>6.86</v>
      </c>
      <c r="E11" s="98">
        <v>6.86</v>
      </c>
      <c r="F11" s="98">
        <v>6.86</v>
      </c>
      <c r="G11" s="98">
        <v>6.86</v>
      </c>
      <c r="H11" s="98">
        <v>6.86</v>
      </c>
      <c r="I11" s="98">
        <v>6.86</v>
      </c>
      <c r="J11" s="98">
        <v>6.86</v>
      </c>
      <c r="L11"/>
      <c r="M11"/>
      <c r="N11"/>
      <c r="O11"/>
    </row>
    <row r="12" spans="2:17" ht="15" thickBot="1">
      <c r="B12" s="196" t="s">
        <v>456</v>
      </c>
      <c r="C12" s="98">
        <v>6.86</v>
      </c>
      <c r="D12" s="98">
        <v>6.86</v>
      </c>
      <c r="E12" s="98">
        <v>6.86</v>
      </c>
      <c r="F12" s="98">
        <v>6.86</v>
      </c>
      <c r="G12" s="98">
        <v>6.86</v>
      </c>
      <c r="H12" s="98">
        <v>6.86</v>
      </c>
      <c r="I12" s="98">
        <v>6.86</v>
      </c>
      <c r="J12" s="98">
        <v>6.86</v>
      </c>
    </row>
    <row r="13" spans="2:17" ht="15" thickTop="1">
      <c r="B13" s="2025" t="s">
        <v>1905</v>
      </c>
      <c r="C13" s="2025"/>
      <c r="D13" s="2025"/>
      <c r="E13" s="2025"/>
      <c r="F13" s="2025"/>
      <c r="G13" s="2025"/>
      <c r="H13" s="2025"/>
      <c r="I13" s="2025"/>
      <c r="J13" s="2025"/>
    </row>
    <row r="14" spans="2:17">
      <c r="B14" s="64"/>
      <c r="C14" s="121"/>
      <c r="D14" s="121"/>
      <c r="E14" s="121"/>
      <c r="F14" s="121"/>
      <c r="G14" s="121"/>
      <c r="H14" s="121"/>
      <c r="I14" s="121"/>
    </row>
    <row r="15" spans="2:17">
      <c r="B15" s="2024" t="s">
        <v>454</v>
      </c>
      <c r="C15" s="2024"/>
      <c r="D15" s="2024"/>
      <c r="E15" s="2024"/>
      <c r="F15" s="2024"/>
      <c r="G15" s="2024"/>
      <c r="H15" s="2024"/>
      <c r="I15" s="2024"/>
      <c r="J15" s="2024"/>
      <c r="K15" s="1408"/>
      <c r="L15" s="1409"/>
      <c r="M15" s="1409"/>
      <c r="N15" s="1409"/>
      <c r="O15" s="1409"/>
      <c r="P15" s="1410"/>
      <c r="Q15" s="1411"/>
    </row>
    <row r="16" spans="2:17">
      <c r="B16" s="12" t="s">
        <v>453</v>
      </c>
      <c r="C16" s="121"/>
      <c r="D16" s="121"/>
      <c r="E16" s="121"/>
      <c r="F16" s="121"/>
      <c r="G16" s="121"/>
      <c r="H16" s="121"/>
      <c r="I16" s="121"/>
      <c r="K16" s="1412"/>
    </row>
    <row r="17" spans="2:10">
      <c r="B17" s="62" t="s">
        <v>242</v>
      </c>
      <c r="C17" s="121"/>
      <c r="D17" s="121"/>
      <c r="E17" s="121"/>
      <c r="F17" s="121"/>
      <c r="G17" s="121"/>
      <c r="H17" s="121"/>
      <c r="I17" s="121"/>
    </row>
    <row r="18" spans="2:10">
      <c r="B18" s="64"/>
      <c r="C18" s="121"/>
      <c r="D18" s="121"/>
      <c r="E18" s="121"/>
      <c r="F18" s="121"/>
      <c r="G18" s="121"/>
      <c r="H18" s="121"/>
      <c r="I18" s="121"/>
    </row>
    <row r="19" spans="2:10">
      <c r="B19" s="61"/>
      <c r="C19" s="60">
        <v>2014</v>
      </c>
      <c r="D19" s="60">
        <v>2015</v>
      </c>
      <c r="E19" s="60">
        <v>2016</v>
      </c>
      <c r="F19" s="60">
        <v>2017</v>
      </c>
      <c r="G19" s="60">
        <v>2018</v>
      </c>
      <c r="H19" s="60">
        <v>2019</v>
      </c>
      <c r="I19" s="60">
        <v>2020</v>
      </c>
      <c r="J19" s="60">
        <v>2021</v>
      </c>
    </row>
    <row r="20" spans="2:10">
      <c r="B20" s="188" t="s">
        <v>413</v>
      </c>
      <c r="C20" s="98">
        <v>5345.5679490364428</v>
      </c>
      <c r="D20" s="98">
        <v>5419.9084727142854</v>
      </c>
      <c r="E20" s="98">
        <v>5396.5147971064125</v>
      </c>
      <c r="F20" s="98">
        <v>5884.9597287638499</v>
      </c>
      <c r="G20" s="98">
        <v>6128.0530814927115</v>
      </c>
      <c r="H20" s="98">
        <v>6071.3892365830889</v>
      </c>
      <c r="I20" s="98">
        <v>6820.5517205043743</v>
      </c>
      <c r="J20" s="55">
        <v>7170.7520290758021</v>
      </c>
    </row>
    <row r="21" spans="2:10">
      <c r="B21" s="197" t="s">
        <v>452</v>
      </c>
      <c r="C21" s="55">
        <v>0</v>
      </c>
      <c r="D21" s="55">
        <v>0</v>
      </c>
      <c r="E21" s="55">
        <v>0</v>
      </c>
      <c r="F21" s="55">
        <v>0</v>
      </c>
      <c r="G21" s="55">
        <v>0</v>
      </c>
      <c r="H21" s="55">
        <v>0</v>
      </c>
      <c r="I21" s="55">
        <v>0</v>
      </c>
      <c r="J21" s="55">
        <v>0</v>
      </c>
    </row>
    <row r="22" spans="2:10">
      <c r="B22" s="194" t="s">
        <v>379</v>
      </c>
      <c r="C22" s="98"/>
      <c r="D22" s="98"/>
      <c r="E22" s="98"/>
      <c r="F22" s="98"/>
      <c r="G22" s="98"/>
      <c r="H22" s="98"/>
      <c r="I22" s="98"/>
      <c r="J22" s="55"/>
    </row>
    <row r="23" spans="2:10">
      <c r="B23" s="198" t="s">
        <v>451</v>
      </c>
      <c r="C23" s="55">
        <v>0</v>
      </c>
      <c r="D23" s="55">
        <v>0</v>
      </c>
      <c r="E23" s="55">
        <v>0</v>
      </c>
      <c r="F23" s="55">
        <v>0</v>
      </c>
      <c r="G23" s="55">
        <v>0</v>
      </c>
      <c r="H23" s="55">
        <v>0</v>
      </c>
      <c r="I23" s="55">
        <v>0</v>
      </c>
      <c r="J23" s="55">
        <v>0</v>
      </c>
    </row>
    <row r="24" spans="2:10">
      <c r="B24" s="198" t="s">
        <v>450</v>
      </c>
      <c r="C24" s="55">
        <v>0</v>
      </c>
      <c r="D24" s="55">
        <v>0</v>
      </c>
      <c r="E24" s="55">
        <v>0</v>
      </c>
      <c r="F24" s="55">
        <v>0</v>
      </c>
      <c r="G24" s="55">
        <v>0</v>
      </c>
      <c r="H24" s="55">
        <v>0</v>
      </c>
      <c r="I24" s="55">
        <v>0</v>
      </c>
      <c r="J24" s="55">
        <v>0</v>
      </c>
    </row>
    <row r="25" spans="2:10">
      <c r="B25" s="197" t="s">
        <v>449</v>
      </c>
      <c r="C25" s="98">
        <v>8447.0010603702613</v>
      </c>
      <c r="D25" s="98">
        <v>9010.9373989329433</v>
      </c>
      <c r="E25" s="98">
        <v>9156.2902219241969</v>
      </c>
      <c r="F25" s="98">
        <v>9685.7992099212825</v>
      </c>
      <c r="G25" s="98">
        <v>9974.5905606982469</v>
      </c>
      <c r="H25" s="98">
        <v>9587.5154708673454</v>
      </c>
      <c r="I25" s="98">
        <v>10803.183451577261</v>
      </c>
      <c r="J25" s="55">
        <v>11348.140717702623</v>
      </c>
    </row>
    <row r="26" spans="2:10">
      <c r="B26" s="197" t="s">
        <v>448</v>
      </c>
      <c r="C26" s="98"/>
      <c r="D26" s="98"/>
      <c r="E26" s="98"/>
      <c r="F26" s="98"/>
      <c r="G26" s="98"/>
      <c r="H26" s="98"/>
      <c r="I26" s="98"/>
      <c r="J26" s="55"/>
    </row>
    <row r="27" spans="2:10">
      <c r="B27" s="195" t="s">
        <v>447</v>
      </c>
      <c r="C27" s="55">
        <v>4.2734406020408162</v>
      </c>
      <c r="D27" s="55">
        <v>37.86036546065597</v>
      </c>
      <c r="E27" s="55">
        <v>93.089897338134037</v>
      </c>
      <c r="F27" s="55">
        <v>137.50080341051228</v>
      </c>
      <c r="G27" s="55">
        <v>183.30758673621028</v>
      </c>
      <c r="H27" s="55">
        <v>219.08479040182323</v>
      </c>
      <c r="I27" s="55">
        <v>330.78204253425673</v>
      </c>
      <c r="J27" s="55">
        <v>482.88577430377615</v>
      </c>
    </row>
    <row r="28" spans="2:10">
      <c r="B28" s="195" t="s">
        <v>445</v>
      </c>
      <c r="C28" s="55">
        <v>0</v>
      </c>
      <c r="D28" s="55">
        <v>0</v>
      </c>
      <c r="E28" s="55">
        <v>0</v>
      </c>
      <c r="F28" s="55">
        <v>0</v>
      </c>
      <c r="G28" s="55">
        <v>0</v>
      </c>
      <c r="H28" s="55">
        <v>0</v>
      </c>
      <c r="I28" s="55">
        <v>0</v>
      </c>
      <c r="J28" s="55">
        <v>0</v>
      </c>
    </row>
    <row r="29" spans="2:10">
      <c r="B29" s="195" t="s">
        <v>444</v>
      </c>
      <c r="C29" s="55">
        <v>0</v>
      </c>
      <c r="D29" s="55">
        <v>0</v>
      </c>
      <c r="E29" s="55">
        <v>0</v>
      </c>
      <c r="F29" s="55">
        <v>0</v>
      </c>
      <c r="G29" s="55">
        <v>0</v>
      </c>
      <c r="H29" s="55">
        <v>0</v>
      </c>
      <c r="I29" s="55">
        <v>0</v>
      </c>
      <c r="J29" s="55">
        <v>0</v>
      </c>
    </row>
    <row r="30" spans="2:10" ht="15" thickBot="1">
      <c r="B30" s="196" t="s">
        <v>443</v>
      </c>
      <c r="C30" s="101">
        <v>0</v>
      </c>
      <c r="D30" s="101">
        <v>0</v>
      </c>
      <c r="E30" s="101">
        <v>0</v>
      </c>
      <c r="F30" s="101">
        <v>0</v>
      </c>
      <c r="G30" s="101">
        <v>0</v>
      </c>
      <c r="H30" s="101">
        <v>0</v>
      </c>
      <c r="I30" s="101">
        <v>0</v>
      </c>
      <c r="J30" s="101">
        <v>0</v>
      </c>
    </row>
    <row r="31" spans="2:10" ht="15" thickTop="1">
      <c r="B31" s="2031" t="s">
        <v>1905</v>
      </c>
      <c r="C31" s="2031"/>
      <c r="D31" s="2031"/>
      <c r="E31" s="2031"/>
      <c r="F31" s="2031"/>
      <c r="G31" s="2031"/>
      <c r="H31" s="2031"/>
      <c r="I31" s="2031"/>
      <c r="J31" s="2031"/>
    </row>
    <row r="32" spans="2:10">
      <c r="B32" s="2017"/>
      <c r="C32" s="2017"/>
      <c r="D32" s="2017"/>
      <c r="E32" s="2017"/>
      <c r="F32" s="2017"/>
      <c r="G32" s="2017"/>
      <c r="H32" s="2017"/>
      <c r="I32" s="2017"/>
    </row>
    <row r="33" spans="2:10">
      <c r="B33" s="64"/>
      <c r="C33" s="121"/>
      <c r="D33" s="121"/>
      <c r="E33" s="121"/>
      <c r="F33" s="121"/>
      <c r="G33" s="121"/>
      <c r="H33" s="121"/>
      <c r="I33" s="121"/>
    </row>
    <row r="34" spans="2:10">
      <c r="B34" s="2024" t="s">
        <v>442</v>
      </c>
      <c r="C34" s="2024"/>
      <c r="D34" s="2024"/>
      <c r="E34" s="2024"/>
      <c r="F34" s="2024"/>
      <c r="G34" s="2024"/>
      <c r="H34" s="2024"/>
      <c r="I34" s="2024"/>
      <c r="J34" s="2024"/>
    </row>
    <row r="35" spans="2:10">
      <c r="B35" s="12" t="s">
        <v>441</v>
      </c>
      <c r="C35" s="121"/>
      <c r="D35" s="121"/>
      <c r="E35" s="121"/>
      <c r="F35" s="121"/>
      <c r="G35" s="121"/>
      <c r="H35" s="121"/>
      <c r="I35" s="121"/>
    </row>
    <row r="36" spans="2:10">
      <c r="B36" s="77" t="s">
        <v>242</v>
      </c>
      <c r="C36" s="121"/>
      <c r="D36" s="121"/>
      <c r="E36" s="121"/>
      <c r="F36" s="121"/>
      <c r="G36" s="121"/>
      <c r="H36" s="121"/>
      <c r="I36" s="121"/>
    </row>
    <row r="37" spans="2:10">
      <c r="B37" s="64"/>
      <c r="C37" s="121"/>
      <c r="D37" s="121"/>
      <c r="E37" s="121"/>
      <c r="F37" s="121"/>
      <c r="G37" s="121"/>
      <c r="H37" s="121"/>
      <c r="I37" s="121"/>
    </row>
    <row r="38" spans="2:10">
      <c r="B38" s="61"/>
      <c r="C38" s="60">
        <v>2014</v>
      </c>
      <c r="D38" s="60">
        <v>2015</v>
      </c>
      <c r="E38" s="60">
        <v>2016</v>
      </c>
      <c r="F38" s="60">
        <v>2017</v>
      </c>
      <c r="G38" s="60">
        <v>2018</v>
      </c>
      <c r="H38" s="60">
        <v>2019</v>
      </c>
      <c r="I38" s="60">
        <v>2020</v>
      </c>
      <c r="J38" s="60">
        <v>2021</v>
      </c>
    </row>
    <row r="39" spans="2:10">
      <c r="B39" s="188" t="s">
        <v>440</v>
      </c>
      <c r="C39" s="102">
        <v>2237.3372832262276</v>
      </c>
      <c r="D39" s="102">
        <v>4117.7442426672878</v>
      </c>
      <c r="E39" s="102">
        <v>2933.0539358600581</v>
      </c>
      <c r="F39" s="102">
        <v>3143.4589084340992</v>
      </c>
      <c r="G39" s="102">
        <v>2925.7452739742503</v>
      </c>
      <c r="H39" s="102">
        <v>2513.6774975903554</v>
      </c>
      <c r="I39" s="102">
        <v>3446.1035245935745</v>
      </c>
      <c r="J39" s="55">
        <v>3516.0452590610025</v>
      </c>
    </row>
    <row r="40" spans="2:10">
      <c r="B40" s="195" t="s">
        <v>470</v>
      </c>
      <c r="C40" s="55">
        <v>828.20173464113884</v>
      </c>
      <c r="D40" s="55">
        <v>1370.292347623556</v>
      </c>
      <c r="E40" s="55">
        <v>1406.9854227405247</v>
      </c>
      <c r="F40" s="55">
        <v>1398.3967605492016</v>
      </c>
      <c r="G40" s="55">
        <v>1416.5641296698618</v>
      </c>
      <c r="H40" s="55">
        <v>1377.534008036801</v>
      </c>
      <c r="I40" s="55">
        <v>1268.6192118895754</v>
      </c>
      <c r="J40" s="55">
        <v>1366.4460249545564</v>
      </c>
    </row>
    <row r="41" spans="2:10">
      <c r="B41" s="150" t="s">
        <v>352</v>
      </c>
      <c r="C41" s="55">
        <v>369.1012032111388</v>
      </c>
      <c r="D41" s="55">
        <v>854.02070514355614</v>
      </c>
      <c r="E41" s="55">
        <v>873.57725947521863</v>
      </c>
      <c r="F41" s="55">
        <v>910.82893061920174</v>
      </c>
      <c r="G41" s="55">
        <v>965.635320049862</v>
      </c>
      <c r="H41" s="55">
        <v>873.83825105680103</v>
      </c>
      <c r="I41" s="55">
        <v>867.2134449095754</v>
      </c>
      <c r="J41" s="55">
        <v>972.00106203455653</v>
      </c>
    </row>
    <row r="42" spans="2:10">
      <c r="B42" s="150" t="s">
        <v>351</v>
      </c>
      <c r="C42" s="55">
        <v>459.10053143000005</v>
      </c>
      <c r="D42" s="55">
        <v>516.27164247999985</v>
      </c>
      <c r="E42" s="55">
        <v>533.40816326530603</v>
      </c>
      <c r="F42" s="55">
        <v>487.5678299299999</v>
      </c>
      <c r="G42" s="55">
        <v>450.92880961999987</v>
      </c>
      <c r="H42" s="55">
        <v>503.69575698</v>
      </c>
      <c r="I42" s="55">
        <v>401.40576698000001</v>
      </c>
      <c r="J42" s="55">
        <v>394.44496292000002</v>
      </c>
    </row>
    <row r="43" spans="2:10">
      <c r="B43" s="195" t="s">
        <v>471</v>
      </c>
      <c r="C43" s="55">
        <v>1409.1355485850888</v>
      </c>
      <c r="D43" s="55">
        <v>2747.4518950437318</v>
      </c>
      <c r="E43" s="55">
        <v>1526.0685131195335</v>
      </c>
      <c r="F43" s="55">
        <v>1745.0621478848973</v>
      </c>
      <c r="G43" s="55">
        <v>1509.1811443043887</v>
      </c>
      <c r="H43" s="55">
        <v>1136.1434895535544</v>
      </c>
      <c r="I43" s="55">
        <v>2177.484312703999</v>
      </c>
      <c r="J43" s="55">
        <v>2149.5992341064466</v>
      </c>
    </row>
    <row r="44" spans="2:10">
      <c r="B44" s="150" t="s">
        <v>352</v>
      </c>
      <c r="C44" s="55">
        <v>1188.3376533993569</v>
      </c>
      <c r="D44" s="55">
        <v>2357.822157434402</v>
      </c>
      <c r="E44" s="55">
        <v>1146.0903790087464</v>
      </c>
      <c r="F44" s="55">
        <v>1431.4625344711772</v>
      </c>
      <c r="G44" s="55">
        <v>1294.2803042795838</v>
      </c>
      <c r="H44" s="55">
        <v>732.26215345340279</v>
      </c>
      <c r="I44" s="55">
        <v>1672.9647172717659</v>
      </c>
      <c r="J44" s="55">
        <v>1833.7686623234608</v>
      </c>
    </row>
    <row r="45" spans="2:10">
      <c r="B45" s="150" t="s">
        <v>351</v>
      </c>
      <c r="C45" s="55">
        <v>220.79789518573196</v>
      </c>
      <c r="D45" s="55">
        <v>389.62973760932942</v>
      </c>
      <c r="E45" s="55">
        <v>379.97813411078715</v>
      </c>
      <c r="F45" s="55">
        <v>313.59961341372002</v>
      </c>
      <c r="G45" s="55">
        <v>214.90084002480475</v>
      </c>
      <c r="H45" s="55">
        <v>403.8813361001516</v>
      </c>
      <c r="I45" s="55">
        <v>504.51959543223307</v>
      </c>
      <c r="J45" s="55">
        <v>315.83057178298549</v>
      </c>
    </row>
    <row r="46" spans="2:10">
      <c r="B46" s="150"/>
      <c r="C46" s="55"/>
      <c r="D46" s="55"/>
      <c r="E46" s="55"/>
      <c r="F46" s="55"/>
      <c r="G46" s="55"/>
      <c r="H46" s="55"/>
      <c r="I46" s="55"/>
      <c r="J46" s="55"/>
    </row>
    <row r="47" spans="2:10">
      <c r="B47" s="188" t="s">
        <v>437</v>
      </c>
      <c r="C47" s="200"/>
      <c r="D47" s="55"/>
      <c r="E47" s="55"/>
      <c r="F47" s="55"/>
      <c r="G47" s="55"/>
      <c r="H47" s="55"/>
      <c r="I47" s="55"/>
      <c r="J47" s="55"/>
    </row>
    <row r="48" spans="2:10">
      <c r="B48" s="193" t="s">
        <v>436</v>
      </c>
      <c r="C48" s="192">
        <v>190.57313214285713</v>
      </c>
      <c r="D48" s="192">
        <v>28.724110787172012</v>
      </c>
      <c r="E48" s="192">
        <v>168.34137101311953</v>
      </c>
      <c r="F48" s="192">
        <v>745.14854675218658</v>
      </c>
      <c r="G48" s="192">
        <v>901.37537727551023</v>
      </c>
      <c r="H48" s="192">
        <v>3213.1686943177842</v>
      </c>
      <c r="I48" s="192">
        <v>2997.5218658892127</v>
      </c>
      <c r="J48" s="55">
        <v>3358.0723807609334</v>
      </c>
    </row>
    <row r="49" spans="2:15">
      <c r="B49" s="2031" t="s">
        <v>1905</v>
      </c>
      <c r="C49" s="2031"/>
      <c r="D49" s="2031"/>
      <c r="E49" s="2031"/>
      <c r="F49" s="2031"/>
      <c r="G49" s="2031"/>
      <c r="H49" s="2031"/>
      <c r="I49" s="2031"/>
      <c r="J49" s="2031"/>
    </row>
    <row r="50" spans="2:15">
      <c r="B50" s="64"/>
      <c r="C50" s="121"/>
      <c r="D50" s="121"/>
      <c r="E50" s="121"/>
      <c r="F50" s="121"/>
      <c r="G50" s="121"/>
      <c r="H50" s="121"/>
      <c r="I50" s="121"/>
    </row>
    <row r="51" spans="2:15">
      <c r="B51" s="2024" t="s">
        <v>434</v>
      </c>
      <c r="C51" s="2024"/>
      <c r="D51" s="2024"/>
      <c r="E51" s="2024"/>
      <c r="F51" s="2024"/>
      <c r="G51" s="2024"/>
      <c r="H51" s="2024"/>
      <c r="I51" s="2024"/>
      <c r="J51" s="2024"/>
    </row>
    <row r="52" spans="2:15">
      <c r="B52" s="12" t="s">
        <v>433</v>
      </c>
      <c r="C52" s="121"/>
      <c r="D52" s="121"/>
      <c r="E52" s="121"/>
      <c r="F52" s="121"/>
      <c r="G52" s="121"/>
      <c r="H52" s="121"/>
      <c r="I52" s="121"/>
    </row>
    <row r="53" spans="2:15">
      <c r="B53" s="62" t="s">
        <v>242</v>
      </c>
      <c r="C53" s="121"/>
      <c r="D53" s="121"/>
      <c r="E53" s="121"/>
      <c r="F53" s="121"/>
      <c r="G53" s="121"/>
      <c r="H53" s="121"/>
      <c r="I53" s="121"/>
    </row>
    <row r="54" spans="2:15">
      <c r="B54" s="64"/>
      <c r="C54" s="121"/>
      <c r="D54" s="121"/>
      <c r="E54" s="121"/>
      <c r="F54" s="121"/>
      <c r="G54" s="121"/>
      <c r="H54" s="121"/>
      <c r="I54" s="121"/>
    </row>
    <row r="55" spans="2:15">
      <c r="B55" s="61"/>
      <c r="C55" s="60">
        <v>2014</v>
      </c>
      <c r="D55" s="60">
        <v>2015</v>
      </c>
      <c r="E55" s="60">
        <v>2016</v>
      </c>
      <c r="F55" s="60">
        <v>2017</v>
      </c>
      <c r="G55" s="60">
        <v>2018</v>
      </c>
      <c r="H55" s="60">
        <v>2019</v>
      </c>
      <c r="I55" s="60">
        <v>2020</v>
      </c>
      <c r="J55" s="60">
        <v>2021</v>
      </c>
      <c r="L55"/>
      <c r="M55"/>
      <c r="N55"/>
      <c r="O55"/>
    </row>
    <row r="56" spans="2:15">
      <c r="B56" s="64" t="s">
        <v>432</v>
      </c>
      <c r="C56" s="55">
        <v>6028.0430454956249</v>
      </c>
      <c r="D56" s="55">
        <v>6254.2131825947527</v>
      </c>
      <c r="E56" s="55">
        <v>6286.5305018513109</v>
      </c>
      <c r="F56" s="55">
        <v>6751.5149118075797</v>
      </c>
      <c r="G56" s="55">
        <v>7133.2277994606411</v>
      </c>
      <c r="H56" s="55">
        <v>7161.2539321137019</v>
      </c>
      <c r="I56" s="55">
        <v>7813.0181516472303</v>
      </c>
      <c r="J56" s="1004">
        <v>8177.7690841690955</v>
      </c>
      <c r="L56"/>
      <c r="M56"/>
      <c r="N56"/>
      <c r="O56"/>
    </row>
    <row r="57" spans="2:15">
      <c r="B57" s="62"/>
      <c r="C57" s="55"/>
      <c r="D57" s="55"/>
      <c r="E57" s="55"/>
      <c r="F57" s="55"/>
      <c r="G57" s="55"/>
      <c r="H57" s="55"/>
      <c r="I57" s="55"/>
      <c r="J57" s="1004"/>
      <c r="L57"/>
      <c r="M57"/>
      <c r="N57"/>
      <c r="O57"/>
    </row>
    <row r="58" spans="2:15">
      <c r="B58" s="204" t="s">
        <v>431</v>
      </c>
      <c r="C58" s="55"/>
      <c r="D58" s="55"/>
      <c r="E58" s="55"/>
      <c r="F58" s="55"/>
      <c r="G58" s="55"/>
      <c r="H58" s="55"/>
      <c r="I58" s="55"/>
      <c r="J58" s="1004"/>
      <c r="L58"/>
      <c r="M58"/>
      <c r="N58"/>
      <c r="O58"/>
    </row>
    <row r="59" spans="2:15">
      <c r="B59" s="205" t="s">
        <v>472</v>
      </c>
      <c r="C59" s="55"/>
      <c r="D59" s="55"/>
      <c r="E59" s="55"/>
      <c r="F59" s="55"/>
      <c r="G59" s="55"/>
      <c r="H59" s="55"/>
      <c r="I59" s="55"/>
      <c r="J59" s="1004"/>
      <c r="L59"/>
      <c r="M59"/>
      <c r="N59"/>
      <c r="O59"/>
    </row>
    <row r="60" spans="2:15">
      <c r="B60" s="1383" t="s">
        <v>1906</v>
      </c>
      <c r="C60" s="55">
        <v>1881.7801457725948</v>
      </c>
      <c r="D60" s="55">
        <v>1842.4016909620989</v>
      </c>
      <c r="E60" s="55">
        <v>1772.7265306122449</v>
      </c>
      <c r="F60" s="55">
        <v>1806.6110204081631</v>
      </c>
      <c r="G60" s="55">
        <v>1970.7375218658892</v>
      </c>
      <c r="H60" s="55">
        <v>1964.2703790087462</v>
      </c>
      <c r="I60" s="55">
        <v>2236.9876967930027</v>
      </c>
      <c r="J60" s="1004">
        <v>2518.4976384839647</v>
      </c>
      <c r="L60"/>
      <c r="M60"/>
      <c r="N60"/>
      <c r="O60"/>
    </row>
    <row r="61" spans="2:15">
      <c r="B61" s="1383" t="s">
        <v>1907</v>
      </c>
      <c r="C61" s="55">
        <v>3085.0450583090378</v>
      </c>
      <c r="D61" s="55">
        <v>3146.8632944606411</v>
      </c>
      <c r="E61" s="55">
        <v>3130.9316763848396</v>
      </c>
      <c r="F61" s="55">
        <v>3524.6901311953352</v>
      </c>
      <c r="G61" s="55">
        <v>3562.0091690962099</v>
      </c>
      <c r="H61" s="55">
        <v>3555.9553498542273</v>
      </c>
      <c r="I61" s="55">
        <v>3906.4054810495622</v>
      </c>
      <c r="J61" s="1004">
        <v>4049.8623177842569</v>
      </c>
      <c r="L61"/>
      <c r="M61"/>
      <c r="N61"/>
      <c r="O61"/>
    </row>
    <row r="62" spans="2:15">
      <c r="B62" s="1383" t="s">
        <v>1908</v>
      </c>
      <c r="C62" s="55">
        <v>512.34917638483967</v>
      </c>
      <c r="D62" s="55">
        <v>586.25055393586001</v>
      </c>
      <c r="E62" s="55">
        <v>627.54454810495611</v>
      </c>
      <c r="F62" s="55">
        <v>683.10378279883378</v>
      </c>
      <c r="G62" s="55">
        <v>699.12276239067046</v>
      </c>
      <c r="H62" s="55">
        <v>723.57761661807569</v>
      </c>
      <c r="I62" s="55">
        <v>777.78290087463552</v>
      </c>
      <c r="J62" s="1004">
        <v>781.29032798833816</v>
      </c>
      <c r="L62"/>
      <c r="M62"/>
      <c r="N62"/>
      <c r="O62"/>
    </row>
    <row r="63" spans="2:15">
      <c r="B63" s="1383" t="s">
        <v>1909</v>
      </c>
      <c r="C63" s="55">
        <v>231.20393877551018</v>
      </c>
      <c r="D63" s="55">
        <v>320.67976093294459</v>
      </c>
      <c r="E63" s="55">
        <v>376.85138483965011</v>
      </c>
      <c r="F63" s="55">
        <v>332.88204081632654</v>
      </c>
      <c r="G63" s="55">
        <v>439.86484548104954</v>
      </c>
      <c r="H63" s="55">
        <v>445.19933527696787</v>
      </c>
      <c r="I63" s="55">
        <v>413.45997959183666</v>
      </c>
      <c r="J63" s="1004">
        <v>364.11527405247813</v>
      </c>
      <c r="L63"/>
      <c r="M63"/>
      <c r="N63"/>
      <c r="O63"/>
    </row>
    <row r="64" spans="2:15">
      <c r="B64" s="1383" t="s">
        <v>1910</v>
      </c>
      <c r="C64" s="55">
        <v>141.69289212827988</v>
      </c>
      <c r="D64" s="55">
        <v>167.46017638483966</v>
      </c>
      <c r="E64" s="55">
        <v>179.92635714285714</v>
      </c>
      <c r="F64" s="55">
        <v>194.46460932944603</v>
      </c>
      <c r="G64" s="55">
        <v>241.17986734693875</v>
      </c>
      <c r="H64" s="55">
        <v>244.67688629737609</v>
      </c>
      <c r="I64" s="55">
        <v>238.10902040816325</v>
      </c>
      <c r="J64" s="1004">
        <v>212.40190962099123</v>
      </c>
      <c r="L64"/>
      <c r="M64"/>
      <c r="N64"/>
      <c r="O64"/>
    </row>
    <row r="65" spans="2:15">
      <c r="B65" s="1385"/>
      <c r="C65" s="55"/>
      <c r="D65" s="55"/>
      <c r="E65" s="55"/>
      <c r="F65" s="55"/>
      <c r="G65" s="55"/>
      <c r="H65" s="55"/>
      <c r="I65" s="55"/>
      <c r="J65" s="1004"/>
      <c r="L65"/>
      <c r="M65"/>
      <c r="N65"/>
      <c r="O65"/>
    </row>
    <row r="66" spans="2:15">
      <c r="B66" s="204" t="s">
        <v>424</v>
      </c>
      <c r="C66" s="55"/>
      <c r="D66" s="55"/>
      <c r="E66" s="55"/>
      <c r="F66" s="55"/>
      <c r="G66" s="55"/>
      <c r="H66" s="55"/>
      <c r="I66" s="55"/>
      <c r="J66" s="1004"/>
      <c r="L66"/>
      <c r="M66"/>
      <c r="N66"/>
      <c r="O66"/>
    </row>
    <row r="67" spans="2:15">
      <c r="B67" s="205" t="s">
        <v>472</v>
      </c>
      <c r="C67" s="55"/>
      <c r="D67" s="55"/>
      <c r="E67" s="55"/>
      <c r="F67" s="55"/>
      <c r="G67" s="55"/>
      <c r="H67" s="55"/>
      <c r="I67" s="55"/>
      <c r="J67" s="1004"/>
      <c r="L67"/>
      <c r="M67"/>
      <c r="N67"/>
      <c r="O67"/>
    </row>
    <row r="68" spans="2:15">
      <c r="B68" s="1383" t="s">
        <v>1911</v>
      </c>
      <c r="C68" s="55">
        <v>83.738763848396488</v>
      </c>
      <c r="D68" s="55">
        <v>91.046359329446062</v>
      </c>
      <c r="E68" s="55">
        <v>93.899763119533517</v>
      </c>
      <c r="F68" s="55">
        <v>99.378048104956264</v>
      </c>
      <c r="G68" s="55">
        <v>104.32904883381923</v>
      </c>
      <c r="H68" s="55">
        <v>109.36761588921283</v>
      </c>
      <c r="I68" s="55">
        <v>112.67574052478135</v>
      </c>
      <c r="J68" s="1004">
        <v>117.80750218658892</v>
      </c>
      <c r="L68"/>
      <c r="M68"/>
      <c r="N68"/>
      <c r="O68"/>
    </row>
    <row r="69" spans="2:15">
      <c r="B69" s="1383" t="s">
        <v>1912</v>
      </c>
      <c r="C69" s="55">
        <v>31.371468513119531</v>
      </c>
      <c r="D69" s="55">
        <v>34.797672303206994</v>
      </c>
      <c r="E69" s="55">
        <v>37.023042565597663</v>
      </c>
      <c r="F69" s="55">
        <v>39.770808746355684</v>
      </c>
      <c r="G69" s="55">
        <v>42.58325801749271</v>
      </c>
      <c r="H69" s="55">
        <v>46.122769096209908</v>
      </c>
      <c r="I69" s="55">
        <v>48.497962390670558</v>
      </c>
      <c r="J69" s="1004">
        <v>51.520301166180751</v>
      </c>
      <c r="L69"/>
      <c r="M69"/>
      <c r="N69"/>
      <c r="O69"/>
    </row>
    <row r="70" spans="2:15">
      <c r="B70" s="1383" t="s">
        <v>1913</v>
      </c>
      <c r="C70" s="55">
        <v>34.743993294460637</v>
      </c>
      <c r="D70" s="55">
        <v>36.957174198250726</v>
      </c>
      <c r="E70" s="55">
        <v>38.636372303206997</v>
      </c>
      <c r="F70" s="55">
        <v>40.360736588921284</v>
      </c>
      <c r="G70" s="55">
        <v>41.992987172011659</v>
      </c>
      <c r="H70" s="55">
        <v>44.038940379008743</v>
      </c>
      <c r="I70" s="55">
        <v>45.594989358600586</v>
      </c>
      <c r="J70" s="1004">
        <v>47.600973760932945</v>
      </c>
      <c r="L70"/>
      <c r="M70"/>
      <c r="N70"/>
      <c r="O70"/>
    </row>
    <row r="71" spans="2:15">
      <c r="B71" s="1383" t="s">
        <v>1914</v>
      </c>
      <c r="C71" s="55">
        <v>16.194174854227406</v>
      </c>
      <c r="D71" s="55">
        <v>17.185353790087461</v>
      </c>
      <c r="E71" s="55">
        <v>17.872971064139939</v>
      </c>
      <c r="F71" s="55">
        <v>18.566849708454811</v>
      </c>
      <c r="G71" s="55">
        <v>19.224558819241981</v>
      </c>
      <c r="H71" s="55">
        <v>19.95687864431487</v>
      </c>
      <c r="I71" s="55">
        <v>20.478437682215741</v>
      </c>
      <c r="J71" s="1004">
        <v>21.202907288629742</v>
      </c>
      <c r="L71"/>
      <c r="M71"/>
      <c r="N71"/>
      <c r="O71"/>
    </row>
    <row r="72" spans="2:15">
      <c r="B72" s="1383" t="s">
        <v>1915</v>
      </c>
      <c r="C72" s="55">
        <v>6.5028160641399406</v>
      </c>
      <c r="D72" s="55">
        <v>6.9100578717201158</v>
      </c>
      <c r="E72" s="55">
        <v>7.2088347521865872</v>
      </c>
      <c r="F72" s="55">
        <v>7.5334448979591828</v>
      </c>
      <c r="G72" s="55">
        <v>7.8084863556851314</v>
      </c>
      <c r="H72" s="55">
        <v>8.0881610495626823</v>
      </c>
      <c r="I72" s="55">
        <v>8.281177230320699</v>
      </c>
      <c r="J72" s="1004">
        <v>8.5565342565597664</v>
      </c>
      <c r="L72"/>
      <c r="M72"/>
      <c r="N72"/>
      <c r="O72"/>
    </row>
    <row r="73" spans="2:15">
      <c r="B73" s="1383" t="s">
        <v>1916</v>
      </c>
      <c r="C73" s="55">
        <v>3.4206175510204084</v>
      </c>
      <c r="D73" s="55">
        <v>3.6610884256559761</v>
      </c>
      <c r="E73" s="55">
        <v>3.9090209620991248</v>
      </c>
      <c r="F73" s="55">
        <v>4.1534392128279878</v>
      </c>
      <c r="G73" s="55">
        <v>4.3752940816326529</v>
      </c>
      <c r="H73" s="55">
        <v>0</v>
      </c>
      <c r="I73" s="55">
        <v>4.7447657434402331</v>
      </c>
      <c r="J73" s="1004">
        <v>4.9133975801749274</v>
      </c>
      <c r="L73"/>
      <c r="M73"/>
      <c r="N73"/>
      <c r="O73"/>
    </row>
    <row r="74" spans="2:15">
      <c r="B74" s="62"/>
      <c r="C74" s="98"/>
      <c r="D74" s="98"/>
      <c r="E74" s="98"/>
      <c r="F74" s="98"/>
      <c r="G74" s="98"/>
      <c r="H74" s="98"/>
      <c r="I74" s="98"/>
      <c r="J74" s="1004"/>
      <c r="L74"/>
      <c r="M74"/>
      <c r="N74"/>
      <c r="O74"/>
    </row>
    <row r="75" spans="2:15">
      <c r="B75" s="197" t="s">
        <v>475</v>
      </c>
      <c r="C75" s="55">
        <v>682.47509645918274</v>
      </c>
      <c r="D75" s="55">
        <v>834.30472778425758</v>
      </c>
      <c r="E75" s="55">
        <v>890.01570474489836</v>
      </c>
      <c r="F75" s="55">
        <v>866.56024708454822</v>
      </c>
      <c r="G75" s="55">
        <v>1005.1747179679301</v>
      </c>
      <c r="H75" s="55">
        <v>1089.8647192857136</v>
      </c>
      <c r="I75" s="55">
        <v>992.466431142857</v>
      </c>
      <c r="J75" s="1004">
        <v>1007.0170550932944</v>
      </c>
      <c r="L75"/>
      <c r="M75"/>
      <c r="N75"/>
      <c r="O75"/>
    </row>
    <row r="76" spans="2:15" ht="15" thickBot="1">
      <c r="B76" s="208" t="s">
        <v>476</v>
      </c>
      <c r="C76" s="101">
        <v>5345.5679490364428</v>
      </c>
      <c r="D76" s="101">
        <v>5419.9084548104956</v>
      </c>
      <c r="E76" s="101">
        <v>5396.5147971064125</v>
      </c>
      <c r="F76" s="101">
        <v>5884.9546647230318</v>
      </c>
      <c r="G76" s="101">
        <v>6128.0530814927115</v>
      </c>
      <c r="H76" s="101">
        <v>6071.3892128279886</v>
      </c>
      <c r="I76" s="101">
        <v>6820.5517205043734</v>
      </c>
      <c r="J76" s="1413">
        <v>7170.7520290758021</v>
      </c>
      <c r="L76"/>
      <c r="M76"/>
      <c r="N76"/>
      <c r="O76"/>
    </row>
    <row r="77" spans="2:15" ht="15" thickTop="1">
      <c r="B77" s="2025" t="s">
        <v>1905</v>
      </c>
      <c r="C77" s="2025"/>
      <c r="D77" s="2025"/>
      <c r="E77" s="2025"/>
      <c r="F77" s="2025"/>
      <c r="G77" s="2025"/>
      <c r="H77" s="2025"/>
      <c r="I77" s="2025"/>
      <c r="L77"/>
      <c r="M77"/>
      <c r="N77"/>
      <c r="O77"/>
    </row>
    <row r="78" spans="2:15">
      <c r="B78" s="64"/>
      <c r="C78" s="121"/>
      <c r="D78" s="121"/>
      <c r="E78" s="121"/>
      <c r="F78" s="121"/>
      <c r="G78" s="121"/>
      <c r="H78" s="121"/>
      <c r="I78" s="121"/>
      <c r="L78"/>
      <c r="M78"/>
      <c r="N78"/>
      <c r="O78"/>
    </row>
    <row r="79" spans="2:15">
      <c r="B79" s="2024" t="s">
        <v>411</v>
      </c>
      <c r="C79" s="2024"/>
      <c r="D79" s="2024"/>
      <c r="E79" s="2024"/>
      <c r="F79" s="2024"/>
      <c r="G79" s="2024"/>
      <c r="H79" s="2024"/>
      <c r="I79" s="2024"/>
      <c r="J79" s="2024"/>
      <c r="L79"/>
      <c r="M79"/>
      <c r="N79"/>
      <c r="O79"/>
    </row>
    <row r="80" spans="2:15">
      <c r="B80" s="12" t="s">
        <v>410</v>
      </c>
      <c r="C80" s="121"/>
      <c r="D80" s="121"/>
      <c r="E80" s="121"/>
      <c r="F80" s="121"/>
      <c r="G80" s="121"/>
      <c r="H80" s="121"/>
      <c r="I80" s="121"/>
      <c r="L80"/>
      <c r="M80"/>
      <c r="N80"/>
      <c r="O80"/>
    </row>
    <row r="81" spans="2:18">
      <c r="B81" s="62" t="s">
        <v>409</v>
      </c>
      <c r="C81" s="121"/>
      <c r="D81" s="121"/>
      <c r="E81" s="121"/>
      <c r="F81" s="121"/>
      <c r="G81" s="121"/>
      <c r="H81" s="121"/>
      <c r="I81" s="121"/>
      <c r="L81"/>
      <c r="M81"/>
      <c r="N81"/>
      <c r="O81"/>
    </row>
    <row r="82" spans="2:18">
      <c r="B82" s="64"/>
      <c r="C82" s="121"/>
      <c r="D82" s="121"/>
      <c r="E82" s="121"/>
      <c r="F82" s="121"/>
      <c r="G82" s="121"/>
      <c r="H82" s="121"/>
      <c r="I82" s="121"/>
      <c r="L82"/>
      <c r="M82"/>
      <c r="N82"/>
      <c r="O82"/>
    </row>
    <row r="83" spans="2:18">
      <c r="B83" s="61"/>
      <c r="C83" s="60">
        <v>2014</v>
      </c>
      <c r="D83" s="60">
        <v>2015</v>
      </c>
      <c r="E83" s="60">
        <v>2016</v>
      </c>
      <c r="F83" s="60">
        <v>2017</v>
      </c>
      <c r="G83" s="60">
        <v>2018</v>
      </c>
      <c r="H83" s="60">
        <v>2019</v>
      </c>
      <c r="I83" s="60">
        <v>2020</v>
      </c>
      <c r="J83" s="60">
        <v>2021</v>
      </c>
      <c r="L83"/>
      <c r="M83"/>
      <c r="N83"/>
      <c r="O83"/>
    </row>
    <row r="84" spans="2:18">
      <c r="B84" s="114" t="s">
        <v>262</v>
      </c>
      <c r="C84" s="121"/>
      <c r="D84" s="121"/>
      <c r="E84" s="121"/>
      <c r="F84" s="121"/>
      <c r="G84" s="121"/>
      <c r="H84" s="121"/>
      <c r="I84" s="121"/>
      <c r="L84"/>
      <c r="M84"/>
      <c r="N84"/>
      <c r="O84"/>
    </row>
    <row r="85" spans="2:18">
      <c r="B85" s="186" t="s">
        <v>408</v>
      </c>
      <c r="C85">
        <v>1</v>
      </c>
      <c r="D85">
        <v>1</v>
      </c>
      <c r="E85">
        <v>1</v>
      </c>
      <c r="F85">
        <v>1</v>
      </c>
      <c r="G85">
        <v>1</v>
      </c>
      <c r="H85">
        <v>1</v>
      </c>
      <c r="I85">
        <v>1</v>
      </c>
      <c r="J85">
        <v>1</v>
      </c>
      <c r="L85" s="1414"/>
      <c r="M85" s="1414"/>
      <c r="N85" s="1414"/>
      <c r="O85" s="1414"/>
      <c r="P85" s="1414"/>
      <c r="Q85" s="1415"/>
      <c r="R85" s="1415"/>
    </row>
    <row r="86" spans="2:18">
      <c r="B86" s="65" t="s">
        <v>407</v>
      </c>
      <c r="C86">
        <v>0</v>
      </c>
      <c r="D86">
        <v>18</v>
      </c>
      <c r="E86">
        <v>18</v>
      </c>
      <c r="F86">
        <v>17</v>
      </c>
      <c r="G86">
        <v>17</v>
      </c>
      <c r="H86">
        <v>17</v>
      </c>
      <c r="I86">
        <v>17</v>
      </c>
      <c r="J86">
        <v>15</v>
      </c>
      <c r="L86"/>
      <c r="M86"/>
      <c r="N86"/>
      <c r="O86"/>
    </row>
    <row r="87" spans="2:18">
      <c r="B87" s="65" t="s">
        <v>406</v>
      </c>
      <c r="C87">
        <v>0</v>
      </c>
      <c r="D87">
        <v>34</v>
      </c>
      <c r="E87">
        <v>73</v>
      </c>
      <c r="F87">
        <v>73</v>
      </c>
      <c r="G87">
        <v>72</v>
      </c>
      <c r="H87">
        <v>73</v>
      </c>
      <c r="I87">
        <v>73</v>
      </c>
      <c r="J87">
        <v>80</v>
      </c>
      <c r="L87" s="1412"/>
      <c r="M87"/>
      <c r="N87"/>
      <c r="O87"/>
    </row>
    <row r="88" spans="2:18">
      <c r="B88" s="186" t="s">
        <v>401</v>
      </c>
      <c r="C88">
        <v>0</v>
      </c>
      <c r="D88">
        <v>66.576631036977076</v>
      </c>
      <c r="E88">
        <v>81.287096753029843</v>
      </c>
      <c r="F88">
        <v>83.559522471082872</v>
      </c>
      <c r="G88">
        <v>92.526321536197472</v>
      </c>
      <c r="H88">
        <v>88.336172237468887</v>
      </c>
      <c r="I88">
        <v>83.767293207276182</v>
      </c>
      <c r="J88">
        <v>84.543480817980807</v>
      </c>
      <c r="L88"/>
      <c r="M88"/>
      <c r="N88"/>
      <c r="O88"/>
    </row>
    <row r="89" spans="2:18">
      <c r="B89" s="186"/>
      <c r="C89" s="67"/>
      <c r="D89" s="67"/>
      <c r="E89" s="67"/>
      <c r="F89" s="67"/>
      <c r="G89" s="67"/>
      <c r="H89" s="67"/>
      <c r="I89" s="67"/>
      <c r="L89"/>
      <c r="M89"/>
      <c r="N89"/>
      <c r="O89"/>
    </row>
    <row r="90" spans="2:18">
      <c r="B90" s="114" t="s">
        <v>477</v>
      </c>
      <c r="C90" s="67"/>
      <c r="D90" s="67"/>
      <c r="E90" s="67"/>
      <c r="F90" s="67"/>
      <c r="G90" s="67"/>
      <c r="H90" s="67"/>
      <c r="I90" s="67"/>
      <c r="L90"/>
      <c r="M90"/>
      <c r="N90"/>
      <c r="O90"/>
    </row>
    <row r="91" spans="2:18">
      <c r="B91" s="186" t="s">
        <v>399</v>
      </c>
      <c r="C91" s="67">
        <v>17</v>
      </c>
      <c r="D91" s="1416">
        <v>17</v>
      </c>
      <c r="E91" s="1416">
        <v>17</v>
      </c>
      <c r="F91" s="1416">
        <v>17</v>
      </c>
      <c r="G91" s="1416">
        <v>17</v>
      </c>
      <c r="H91" s="1416">
        <v>16</v>
      </c>
      <c r="I91" s="1417">
        <v>16</v>
      </c>
      <c r="J91" s="1417">
        <v>16</v>
      </c>
      <c r="L91"/>
      <c r="M91"/>
      <c r="N91"/>
      <c r="O91"/>
    </row>
    <row r="92" spans="2:18">
      <c r="B92" s="186" t="s">
        <v>403</v>
      </c>
      <c r="C92" s="67">
        <v>1894</v>
      </c>
      <c r="D92" s="1416">
        <v>1933</v>
      </c>
      <c r="E92" s="1416">
        <v>2223</v>
      </c>
      <c r="F92" s="1416">
        <v>2454</v>
      </c>
      <c r="G92" s="1416">
        <v>2539</v>
      </c>
      <c r="H92" s="1416">
        <v>3262</v>
      </c>
      <c r="I92" s="1418">
        <v>3210</v>
      </c>
      <c r="J92" s="1418">
        <v>3951</v>
      </c>
      <c r="L92"/>
      <c r="M92" s="1418"/>
      <c r="N92"/>
      <c r="O92"/>
    </row>
    <row r="93" spans="2:18">
      <c r="B93" s="186" t="s">
        <v>402</v>
      </c>
      <c r="C93" s="67">
        <v>5870456</v>
      </c>
      <c r="D93" s="1416">
        <v>7476802</v>
      </c>
      <c r="E93" s="1416">
        <v>8288193</v>
      </c>
      <c r="F93" s="1416">
        <v>9114866</v>
      </c>
      <c r="G93" s="1416">
        <v>9866169</v>
      </c>
      <c r="H93" s="1416">
        <v>10865517</v>
      </c>
      <c r="I93" s="1418">
        <v>11486132</v>
      </c>
      <c r="J93" s="1418">
        <v>12488577</v>
      </c>
      <c r="L93" s="1414"/>
      <c r="M93" s="1414"/>
      <c r="N93" s="1414"/>
      <c r="O93" s="1414"/>
      <c r="P93" s="1414"/>
      <c r="Q93" s="1415"/>
      <c r="R93" s="1415"/>
    </row>
    <row r="94" spans="2:18">
      <c r="B94" s="186" t="s">
        <v>397</v>
      </c>
      <c r="C94" s="55">
        <v>14.060349854227404</v>
      </c>
      <c r="D94" s="55">
        <v>20.332257817189504</v>
      </c>
      <c r="E94" s="55">
        <v>21.399570181395042</v>
      </c>
      <c r="F94" s="55">
        <v>23.964971574344023</v>
      </c>
      <c r="G94" s="55">
        <v>25.872216034985424</v>
      </c>
      <c r="H94" s="55">
        <v>25.98120620338921</v>
      </c>
      <c r="I94" s="55">
        <v>28.838734110787172</v>
      </c>
      <c r="J94" s="1004">
        <v>31.0633610787172</v>
      </c>
      <c r="L94"/>
      <c r="M94"/>
      <c r="N94"/>
      <c r="O94"/>
    </row>
    <row r="95" spans="2:18">
      <c r="B95" s="186"/>
      <c r="C95" s="3"/>
      <c r="D95" s="3"/>
      <c r="E95" s="3"/>
      <c r="F95" s="3"/>
      <c r="G95" s="3"/>
      <c r="H95" s="3"/>
      <c r="I95" s="3"/>
      <c r="L95" s="1412"/>
      <c r="M95"/>
      <c r="N95"/>
      <c r="O95"/>
    </row>
    <row r="96" spans="2:18" ht="26">
      <c r="B96" s="148" t="s">
        <v>404</v>
      </c>
      <c r="C96" s="3"/>
      <c r="D96" s="3"/>
      <c r="E96" s="3"/>
      <c r="F96" s="3"/>
      <c r="G96" s="3"/>
      <c r="H96" s="3"/>
      <c r="I96" s="3"/>
      <c r="L96"/>
      <c r="M96"/>
      <c r="N96"/>
      <c r="O96"/>
    </row>
    <row r="97" spans="2:19">
      <c r="B97" s="186" t="s">
        <v>399</v>
      </c>
      <c r="C97" s="3">
        <v>34</v>
      </c>
      <c r="D97" s="1417">
        <v>34</v>
      </c>
      <c r="E97" s="1417">
        <v>43</v>
      </c>
      <c r="F97" s="1417">
        <v>44</v>
      </c>
      <c r="G97" s="1417">
        <v>41</v>
      </c>
      <c r="H97" s="1417">
        <v>42</v>
      </c>
      <c r="I97" s="1418">
        <v>46</v>
      </c>
      <c r="J97" s="1418">
        <v>50</v>
      </c>
      <c r="L97"/>
      <c r="M97" s="1419"/>
      <c r="N97"/>
      <c r="O97"/>
    </row>
    <row r="98" spans="2:19">
      <c r="B98" s="186" t="s">
        <v>408</v>
      </c>
      <c r="C98" s="3">
        <v>208</v>
      </c>
      <c r="D98" s="1417">
        <v>238</v>
      </c>
      <c r="E98" s="1417">
        <v>480</v>
      </c>
      <c r="F98" s="1417">
        <v>531</v>
      </c>
      <c r="G98" s="1417">
        <v>860</v>
      </c>
      <c r="H98" s="1417">
        <v>684</v>
      </c>
      <c r="I98" s="1418">
        <v>910</v>
      </c>
      <c r="J98" s="1418">
        <v>627</v>
      </c>
      <c r="L98"/>
      <c r="M98" s="1419"/>
      <c r="N98"/>
      <c r="O98"/>
    </row>
    <row r="99" spans="2:19">
      <c r="B99" s="186" t="s">
        <v>402</v>
      </c>
      <c r="C99" s="67">
        <v>1977549</v>
      </c>
      <c r="D99" s="1416">
        <v>1192181</v>
      </c>
      <c r="E99" s="1416">
        <v>1163903</v>
      </c>
      <c r="F99" s="1416">
        <v>1180470</v>
      </c>
      <c r="G99" s="1416">
        <v>1187825</v>
      </c>
      <c r="H99" s="1416">
        <v>1198182</v>
      </c>
      <c r="I99" s="1418">
        <v>1186970</v>
      </c>
      <c r="J99" s="1418">
        <v>1231549</v>
      </c>
      <c r="L99"/>
      <c r="M99"/>
      <c r="N99"/>
      <c r="O99"/>
    </row>
    <row r="100" spans="2:19">
      <c r="B100" s="186" t="s">
        <v>401</v>
      </c>
      <c r="C100" s="79">
        <v>0</v>
      </c>
      <c r="D100" s="79">
        <v>1.2802027696793001</v>
      </c>
      <c r="E100" s="79">
        <v>1.245483504574344</v>
      </c>
      <c r="F100" s="79">
        <v>1.3237229387827991</v>
      </c>
      <c r="G100" s="79">
        <v>1.3805036773148689</v>
      </c>
      <c r="H100" s="79">
        <v>1.3307251447886301</v>
      </c>
      <c r="I100" s="79">
        <v>1.2985078717201166</v>
      </c>
      <c r="M100" s="1420"/>
      <c r="N100" s="1420"/>
      <c r="O100" s="1420"/>
      <c r="P100" s="1420"/>
      <c r="Q100" s="1420"/>
      <c r="R100" s="1415"/>
      <c r="S100" s="1415">
        <v>9.614573</v>
      </c>
    </row>
    <row r="101" spans="2:19">
      <c r="B101" s="186"/>
      <c r="C101" s="3"/>
      <c r="D101" s="3"/>
      <c r="E101" s="3"/>
      <c r="F101" s="3"/>
      <c r="G101" s="3"/>
      <c r="H101" s="3"/>
      <c r="I101" s="3"/>
      <c r="M101"/>
      <c r="N101"/>
      <c r="O101"/>
    </row>
    <row r="102" spans="2:19">
      <c r="B102" s="114" t="s">
        <v>400</v>
      </c>
      <c r="C102" s="3"/>
      <c r="D102" s="3"/>
      <c r="E102" s="3"/>
      <c r="F102" s="3"/>
      <c r="G102" s="3"/>
      <c r="H102" s="3"/>
      <c r="I102" s="3"/>
      <c r="L102" s="1421"/>
      <c r="M102" s="1421"/>
      <c r="N102" s="1421"/>
      <c r="O102" s="1421"/>
      <c r="P102" s="1421"/>
      <c r="Q102" s="1415"/>
      <c r="R102" s="1415"/>
    </row>
    <row r="103" spans="2:19">
      <c r="B103" s="186" t="s">
        <v>399</v>
      </c>
      <c r="C103" s="3">
        <v>1</v>
      </c>
      <c r="D103" s="3">
        <v>3</v>
      </c>
      <c r="E103" s="3">
        <v>3</v>
      </c>
      <c r="F103" s="3">
        <v>4</v>
      </c>
      <c r="G103" s="3">
        <v>4</v>
      </c>
      <c r="H103" s="3">
        <v>4</v>
      </c>
      <c r="I103" s="3">
        <v>3</v>
      </c>
      <c r="J103" s="3">
        <v>4</v>
      </c>
      <c r="M103"/>
      <c r="N103"/>
      <c r="O103"/>
    </row>
    <row r="104" spans="2:19">
      <c r="B104" s="186" t="s">
        <v>401</v>
      </c>
      <c r="C104" s="79">
        <v>4.2734406020408164E-3</v>
      </c>
      <c r="D104" s="79">
        <v>3.7860365460655972E-2</v>
      </c>
      <c r="E104" s="79">
        <v>9.3089897338134039E-2</v>
      </c>
      <c r="F104" s="79">
        <v>0.13750080341051227</v>
      </c>
      <c r="G104" s="79">
        <v>0.18330758673621028</v>
      </c>
      <c r="H104" s="79">
        <v>0.21908479040182322</v>
      </c>
      <c r="I104" s="79">
        <v>0.33078204253425675</v>
      </c>
      <c r="J104" s="1004">
        <v>6.5868557643042336E-2</v>
      </c>
      <c r="M104"/>
      <c r="N104"/>
      <c r="O104"/>
    </row>
    <row r="105" spans="2:19" ht="15" thickBot="1">
      <c r="B105" s="183" t="s">
        <v>395</v>
      </c>
      <c r="C105" s="100"/>
      <c r="D105" s="100"/>
      <c r="E105" s="100"/>
      <c r="F105" s="100"/>
      <c r="G105" s="100"/>
      <c r="H105" s="100"/>
      <c r="I105" s="100"/>
      <c r="J105" s="1407"/>
      <c r="M105"/>
      <c r="N105"/>
      <c r="O105"/>
    </row>
    <row r="106" spans="2:19" ht="15" thickTop="1">
      <c r="B106" s="2025" t="s">
        <v>1917</v>
      </c>
      <c r="C106" s="2025"/>
      <c r="D106" s="2025"/>
      <c r="E106" s="2025"/>
      <c r="F106" s="2025"/>
      <c r="G106" s="2025"/>
      <c r="H106" s="2025"/>
      <c r="I106" s="2031"/>
      <c r="M106"/>
      <c r="N106"/>
      <c r="O106"/>
    </row>
    <row r="107" spans="2:19">
      <c r="B107" s="64"/>
      <c r="C107" s="121"/>
      <c r="D107" s="121"/>
      <c r="E107" s="121"/>
      <c r="F107" s="121"/>
      <c r="G107" s="121"/>
      <c r="H107" s="121"/>
      <c r="I107" s="121"/>
    </row>
    <row r="108" spans="2:19">
      <c r="B108" s="2024" t="s">
        <v>393</v>
      </c>
      <c r="C108" s="2024"/>
      <c r="D108" s="2024"/>
      <c r="E108" s="2024"/>
      <c r="F108" s="2024"/>
      <c r="G108" s="2024"/>
      <c r="H108" s="2024"/>
      <c r="I108" s="2024"/>
      <c r="J108" s="2024"/>
      <c r="K108" s="1004"/>
    </row>
    <row r="109" spans="2:19">
      <c r="B109" s="12" t="s">
        <v>392</v>
      </c>
      <c r="C109" s="121"/>
      <c r="D109" s="121"/>
      <c r="E109" s="121"/>
      <c r="F109" s="121"/>
      <c r="G109" s="121"/>
      <c r="H109" s="121"/>
      <c r="I109" s="121"/>
    </row>
    <row r="110" spans="2:19">
      <c r="B110" s="62" t="s">
        <v>269</v>
      </c>
      <c r="C110" s="121"/>
      <c r="D110" s="121"/>
      <c r="E110" s="121"/>
      <c r="F110" s="121"/>
      <c r="G110" s="121"/>
      <c r="H110" s="121"/>
      <c r="I110" s="121"/>
    </row>
    <row r="111" spans="2:19">
      <c r="B111" s="64"/>
      <c r="C111" s="121"/>
      <c r="D111" s="121"/>
      <c r="E111" s="121"/>
      <c r="F111" s="121"/>
      <c r="G111" s="121"/>
      <c r="H111" s="121"/>
      <c r="I111" s="121"/>
    </row>
    <row r="112" spans="2:19">
      <c r="B112" s="61"/>
      <c r="C112" s="60">
        <v>2014</v>
      </c>
      <c r="D112" s="60">
        <v>2015</v>
      </c>
      <c r="E112" s="60">
        <v>2016</v>
      </c>
      <c r="F112" s="60">
        <v>2017</v>
      </c>
      <c r="G112" s="60">
        <v>2018</v>
      </c>
      <c r="H112" s="60">
        <v>2019</v>
      </c>
      <c r="I112" s="60">
        <v>2020</v>
      </c>
      <c r="J112" s="60">
        <v>2021</v>
      </c>
    </row>
    <row r="113" spans="2:10">
      <c r="B113" s="179" t="s">
        <v>391</v>
      </c>
      <c r="C113" s="67"/>
      <c r="D113" s="67"/>
      <c r="E113" s="67"/>
      <c r="F113" s="67"/>
      <c r="G113" s="67"/>
      <c r="H113" s="67"/>
      <c r="I113" s="67"/>
    </row>
    <row r="114" spans="2:10">
      <c r="B114" s="149" t="s">
        <v>390</v>
      </c>
      <c r="C114" s="67">
        <v>0</v>
      </c>
      <c r="D114" s="67">
        <v>0</v>
      </c>
      <c r="E114" s="67">
        <v>0</v>
      </c>
      <c r="F114" s="67">
        <v>0</v>
      </c>
      <c r="G114" s="67">
        <v>0</v>
      </c>
      <c r="H114" s="67">
        <v>0</v>
      </c>
      <c r="I114" s="67">
        <v>0</v>
      </c>
      <c r="J114">
        <v>0</v>
      </c>
    </row>
    <row r="115" spans="2:10">
      <c r="B115" s="149" t="s">
        <v>389</v>
      </c>
      <c r="C115" s="67">
        <v>2347861</v>
      </c>
      <c r="D115" s="67">
        <v>2691452</v>
      </c>
      <c r="E115" s="67">
        <v>3074779</v>
      </c>
      <c r="F115" s="67">
        <v>3632836</v>
      </c>
      <c r="G115" s="67">
        <v>4278515</v>
      </c>
      <c r="H115" s="67">
        <v>4259876</v>
      </c>
      <c r="I115" s="67">
        <v>5266838</v>
      </c>
      <c r="J115">
        <v>6294786</v>
      </c>
    </row>
    <row r="116" spans="2:10">
      <c r="B116" s="149" t="s">
        <v>388</v>
      </c>
      <c r="C116" s="67">
        <v>0</v>
      </c>
      <c r="D116" s="67">
        <v>0</v>
      </c>
      <c r="E116" s="67">
        <v>0</v>
      </c>
      <c r="F116" s="67">
        <v>0</v>
      </c>
      <c r="G116" s="67">
        <v>0</v>
      </c>
      <c r="H116" s="67">
        <v>0</v>
      </c>
      <c r="I116" s="67">
        <v>0</v>
      </c>
      <c r="J116">
        <v>0</v>
      </c>
    </row>
    <row r="117" spans="2:10">
      <c r="B117" s="149" t="s">
        <v>387</v>
      </c>
      <c r="C117" s="67">
        <v>107682</v>
      </c>
      <c r="D117" s="67">
        <v>120501</v>
      </c>
      <c r="E117" s="67">
        <v>136942</v>
      </c>
      <c r="F117" s="67">
        <v>177057</v>
      </c>
      <c r="G117" s="67">
        <v>209925</v>
      </c>
      <c r="H117" s="67">
        <v>245201</v>
      </c>
      <c r="I117" s="67">
        <v>251083</v>
      </c>
      <c r="J117">
        <v>249290</v>
      </c>
    </row>
    <row r="118" spans="2:10">
      <c r="B118" s="149" t="s">
        <v>386</v>
      </c>
      <c r="C118" s="67">
        <v>0</v>
      </c>
      <c r="D118" s="67">
        <v>0</v>
      </c>
      <c r="E118" s="67">
        <v>0</v>
      </c>
      <c r="F118" s="67">
        <v>0</v>
      </c>
      <c r="G118" s="67">
        <v>0</v>
      </c>
      <c r="H118" s="67">
        <v>0</v>
      </c>
      <c r="I118" s="67">
        <v>0</v>
      </c>
      <c r="J118">
        <v>0</v>
      </c>
    </row>
    <row r="119" spans="2:10" ht="26">
      <c r="B119" s="147" t="s">
        <v>385</v>
      </c>
      <c r="C119" s="67">
        <v>0</v>
      </c>
      <c r="D119" s="67">
        <v>0</v>
      </c>
      <c r="E119" s="67">
        <v>0</v>
      </c>
      <c r="F119" s="67">
        <v>0</v>
      </c>
      <c r="G119" s="67">
        <v>0</v>
      </c>
      <c r="H119" s="67">
        <v>0</v>
      </c>
      <c r="I119" s="67">
        <v>0</v>
      </c>
      <c r="J119">
        <v>0</v>
      </c>
    </row>
    <row r="120" spans="2:10">
      <c r="B120" s="54" t="s">
        <v>384</v>
      </c>
      <c r="C120" s="67">
        <v>2455543</v>
      </c>
      <c r="D120" s="67">
        <v>2811953</v>
      </c>
      <c r="E120" s="67">
        <v>3211721</v>
      </c>
      <c r="F120" s="67">
        <v>3809893</v>
      </c>
      <c r="G120" s="67">
        <v>4488440</v>
      </c>
      <c r="H120" s="67">
        <v>4505077</v>
      </c>
      <c r="I120" s="67">
        <v>5517921</v>
      </c>
      <c r="J120">
        <v>6544076</v>
      </c>
    </row>
    <row r="121" spans="2:10" ht="26">
      <c r="B121" s="147" t="s">
        <v>383</v>
      </c>
      <c r="C121" s="67">
        <v>0</v>
      </c>
      <c r="D121" s="67">
        <v>0</v>
      </c>
      <c r="E121" s="67">
        <v>0</v>
      </c>
      <c r="F121" s="67">
        <v>0</v>
      </c>
      <c r="G121" s="67">
        <v>0</v>
      </c>
      <c r="H121" s="67">
        <v>0</v>
      </c>
      <c r="I121" s="67">
        <v>0</v>
      </c>
      <c r="J121">
        <v>0</v>
      </c>
    </row>
    <row r="122" spans="2:10">
      <c r="B122" s="149" t="s">
        <v>382</v>
      </c>
      <c r="C122" s="67">
        <v>0</v>
      </c>
      <c r="D122" s="67">
        <v>0</v>
      </c>
      <c r="E122" s="67">
        <v>0</v>
      </c>
      <c r="F122" s="67">
        <v>0</v>
      </c>
      <c r="G122" s="67">
        <v>0</v>
      </c>
      <c r="H122" s="67">
        <v>0</v>
      </c>
      <c r="I122" s="67">
        <v>0</v>
      </c>
      <c r="J122">
        <v>0</v>
      </c>
    </row>
    <row r="123" spans="2:10">
      <c r="B123" s="149"/>
      <c r="C123" s="67"/>
      <c r="D123" s="67"/>
      <c r="E123" s="67"/>
      <c r="F123" s="67"/>
      <c r="G123" s="67"/>
      <c r="H123" s="67"/>
      <c r="I123" s="67"/>
    </row>
    <row r="124" spans="2:10">
      <c r="B124" s="175" t="s">
        <v>381</v>
      </c>
      <c r="C124" s="67"/>
      <c r="D124" s="67"/>
      <c r="E124" s="67"/>
      <c r="F124" s="67"/>
      <c r="G124" s="67"/>
      <c r="H124" s="67"/>
      <c r="I124" s="67"/>
    </row>
    <row r="125" spans="2:10">
      <c r="B125" s="149" t="s">
        <v>380</v>
      </c>
      <c r="C125" s="67">
        <v>2320</v>
      </c>
      <c r="D125" s="67">
        <v>2344</v>
      </c>
      <c r="E125" s="67">
        <v>2500</v>
      </c>
      <c r="F125" s="67">
        <v>2984</v>
      </c>
      <c r="G125" s="67">
        <v>3201</v>
      </c>
      <c r="H125" s="67">
        <v>3385</v>
      </c>
      <c r="I125" s="67">
        <v>3436</v>
      </c>
      <c r="J125">
        <v>3591</v>
      </c>
    </row>
    <row r="126" spans="2:10">
      <c r="B126" s="172" t="s">
        <v>379</v>
      </c>
      <c r="C126" s="67"/>
      <c r="D126" s="67"/>
      <c r="E126" s="67"/>
      <c r="F126" s="67"/>
      <c r="G126" s="67"/>
      <c r="H126" s="67"/>
      <c r="I126" s="67"/>
    </row>
    <row r="127" spans="2:10">
      <c r="B127" s="168" t="s">
        <v>378</v>
      </c>
      <c r="C127" s="67">
        <v>0</v>
      </c>
      <c r="D127" s="67">
        <v>0</v>
      </c>
      <c r="E127" s="67">
        <v>0</v>
      </c>
      <c r="F127" s="67">
        <v>0</v>
      </c>
      <c r="G127" s="67">
        <v>0</v>
      </c>
      <c r="H127" s="67">
        <v>0</v>
      </c>
      <c r="I127" s="67">
        <v>0</v>
      </c>
      <c r="J127">
        <v>0</v>
      </c>
    </row>
    <row r="128" spans="2:10">
      <c r="B128" s="168" t="s">
        <v>377</v>
      </c>
      <c r="C128" s="67">
        <v>0</v>
      </c>
      <c r="D128" s="67">
        <v>0</v>
      </c>
      <c r="E128" s="67">
        <v>0</v>
      </c>
      <c r="F128" s="67">
        <v>0</v>
      </c>
      <c r="G128" s="67">
        <v>0</v>
      </c>
      <c r="H128" s="67">
        <v>0</v>
      </c>
      <c r="I128" s="67">
        <v>0</v>
      </c>
      <c r="J128">
        <v>0</v>
      </c>
    </row>
    <row r="129" spans="2:11">
      <c r="B129" s="149" t="s">
        <v>376</v>
      </c>
      <c r="C129" s="67">
        <v>3</v>
      </c>
      <c r="D129" s="67">
        <v>3</v>
      </c>
      <c r="E129" s="67">
        <v>3</v>
      </c>
      <c r="F129" s="67">
        <v>3</v>
      </c>
      <c r="G129" s="67">
        <v>3</v>
      </c>
      <c r="H129" s="67">
        <v>3</v>
      </c>
      <c r="I129" s="67">
        <v>3</v>
      </c>
      <c r="J129">
        <v>3</v>
      </c>
    </row>
    <row r="130" spans="2:11">
      <c r="B130" s="149"/>
      <c r="C130" s="67"/>
      <c r="D130" s="67"/>
      <c r="E130" s="67"/>
      <c r="F130" s="67"/>
      <c r="G130" s="67"/>
      <c r="H130" s="67"/>
      <c r="I130" s="67"/>
    </row>
    <row r="131" spans="2:11">
      <c r="B131" s="149" t="s">
        <v>375</v>
      </c>
      <c r="C131" s="67">
        <v>9724</v>
      </c>
      <c r="D131" s="67">
        <v>10846</v>
      </c>
      <c r="E131" s="67">
        <v>9512</v>
      </c>
      <c r="F131" s="67">
        <v>11076</v>
      </c>
      <c r="G131" s="67">
        <v>17443</v>
      </c>
      <c r="H131" s="67">
        <v>28400</v>
      </c>
      <c r="I131" s="67">
        <v>35687</v>
      </c>
      <c r="J131">
        <v>42709</v>
      </c>
    </row>
    <row r="132" spans="2:11">
      <c r="B132" s="168" t="s">
        <v>374</v>
      </c>
      <c r="C132" s="67">
        <v>9724</v>
      </c>
      <c r="D132" s="67">
        <v>10846</v>
      </c>
      <c r="E132" s="67">
        <v>9512</v>
      </c>
      <c r="F132" s="67">
        <v>11076</v>
      </c>
      <c r="G132" s="67">
        <v>17443</v>
      </c>
      <c r="H132" s="67">
        <v>28400</v>
      </c>
      <c r="I132" s="67">
        <v>35687</v>
      </c>
      <c r="J132">
        <v>42709</v>
      </c>
    </row>
    <row r="133" spans="2:11">
      <c r="B133" s="149" t="s">
        <v>478</v>
      </c>
      <c r="C133" s="67">
        <v>0</v>
      </c>
      <c r="D133" s="67">
        <v>0</v>
      </c>
      <c r="E133" s="67">
        <v>0</v>
      </c>
      <c r="F133" s="67">
        <v>0</v>
      </c>
      <c r="G133" s="67">
        <v>0</v>
      </c>
      <c r="H133" s="67">
        <v>0</v>
      </c>
      <c r="I133" s="67">
        <v>0</v>
      </c>
      <c r="J133">
        <v>0</v>
      </c>
    </row>
    <row r="134" spans="2:11">
      <c r="B134" s="165" t="s">
        <v>373</v>
      </c>
      <c r="C134" s="67">
        <v>0</v>
      </c>
      <c r="D134" s="67">
        <v>0</v>
      </c>
      <c r="E134" s="67">
        <v>0</v>
      </c>
      <c r="F134" s="67">
        <v>0</v>
      </c>
      <c r="G134" s="67">
        <v>0</v>
      </c>
      <c r="H134" s="67">
        <v>0</v>
      </c>
      <c r="I134" s="67">
        <v>0</v>
      </c>
      <c r="J134">
        <v>0</v>
      </c>
    </row>
    <row r="135" spans="2:11">
      <c r="B135" s="149" t="s">
        <v>372</v>
      </c>
      <c r="C135" s="67">
        <v>0</v>
      </c>
      <c r="D135" s="67">
        <v>0</v>
      </c>
      <c r="E135" s="67">
        <v>0</v>
      </c>
      <c r="F135" s="67">
        <v>0</v>
      </c>
      <c r="G135" s="67">
        <v>0</v>
      </c>
      <c r="H135" s="67">
        <v>0</v>
      </c>
      <c r="I135" s="67">
        <v>0</v>
      </c>
      <c r="J135">
        <v>0</v>
      </c>
    </row>
    <row r="136" spans="2:11">
      <c r="B136" s="149" t="s">
        <v>371</v>
      </c>
      <c r="C136" s="67">
        <v>2</v>
      </c>
      <c r="D136" s="67">
        <v>2</v>
      </c>
      <c r="E136" s="67">
        <v>2</v>
      </c>
      <c r="F136" s="67">
        <v>2</v>
      </c>
      <c r="G136" s="67">
        <v>2</v>
      </c>
      <c r="H136" s="67">
        <v>2</v>
      </c>
      <c r="I136" s="67">
        <v>2</v>
      </c>
      <c r="J136">
        <v>2</v>
      </c>
    </row>
    <row r="137" spans="2:11">
      <c r="B137" s="147" t="s">
        <v>370</v>
      </c>
      <c r="C137" s="67">
        <v>2</v>
      </c>
      <c r="D137" s="67">
        <v>2</v>
      </c>
      <c r="E137" s="67">
        <v>2</v>
      </c>
      <c r="F137" s="67">
        <v>2</v>
      </c>
      <c r="G137" s="67">
        <v>2</v>
      </c>
      <c r="H137" s="67">
        <v>2</v>
      </c>
      <c r="I137" s="67">
        <v>2</v>
      </c>
      <c r="J137">
        <v>2</v>
      </c>
    </row>
    <row r="138" spans="2:11" ht="15" thickBot="1">
      <c r="B138" s="209" t="s">
        <v>369</v>
      </c>
      <c r="C138" s="117">
        <v>0</v>
      </c>
      <c r="D138" s="117">
        <v>0</v>
      </c>
      <c r="E138" s="117">
        <v>0</v>
      </c>
      <c r="F138" s="117">
        <v>0</v>
      </c>
      <c r="G138" s="117">
        <v>0</v>
      </c>
      <c r="H138" s="117">
        <v>0</v>
      </c>
      <c r="I138" s="117">
        <v>0</v>
      </c>
      <c r="J138">
        <v>0</v>
      </c>
    </row>
    <row r="139" spans="2:11" ht="15" thickTop="1">
      <c r="B139" s="2031" t="s">
        <v>1918</v>
      </c>
      <c r="C139" s="2031"/>
      <c r="D139" s="2031"/>
      <c r="E139" s="2031"/>
      <c r="F139" s="2031"/>
      <c r="G139" s="2031"/>
      <c r="H139" s="2031"/>
      <c r="I139" s="2031"/>
    </row>
    <row r="140" spans="2:11">
      <c r="B140" s="64"/>
      <c r="C140" s="121"/>
      <c r="D140" s="121"/>
      <c r="E140" s="121"/>
      <c r="F140" s="121"/>
      <c r="G140" s="121"/>
      <c r="H140" s="121"/>
      <c r="I140" s="121"/>
    </row>
    <row r="141" spans="2:11">
      <c r="B141" s="2043" t="s">
        <v>367</v>
      </c>
      <c r="C141" s="2043"/>
      <c r="D141" s="2043"/>
      <c r="E141" s="2043"/>
      <c r="F141" s="2043"/>
      <c r="G141" s="2043"/>
      <c r="H141" s="2043"/>
      <c r="I141" s="2043"/>
      <c r="J141" s="2043"/>
      <c r="K141" s="1004"/>
    </row>
    <row r="142" spans="2:11">
      <c r="B142" s="12" t="s">
        <v>366</v>
      </c>
      <c r="C142" s="121"/>
      <c r="D142" s="121"/>
      <c r="E142" s="121"/>
      <c r="F142" s="121"/>
      <c r="G142" s="121"/>
      <c r="H142" s="121"/>
      <c r="I142" s="121"/>
    </row>
    <row r="143" spans="2:11">
      <c r="B143" s="62" t="s">
        <v>210</v>
      </c>
      <c r="C143" s="121"/>
      <c r="D143" s="121"/>
      <c r="E143" s="121"/>
      <c r="F143" s="121"/>
      <c r="G143" s="121"/>
      <c r="H143" s="121"/>
      <c r="I143" s="121"/>
    </row>
    <row r="144" spans="2:11">
      <c r="B144" s="64"/>
      <c r="C144" s="121"/>
      <c r="D144" s="121"/>
      <c r="E144" s="121"/>
      <c r="F144" s="121"/>
      <c r="G144" s="121"/>
      <c r="H144" s="121"/>
      <c r="I144" s="121"/>
    </row>
    <row r="145" spans="2:10">
      <c r="B145" s="61"/>
      <c r="C145" s="60">
        <v>2014</v>
      </c>
      <c r="D145" s="60">
        <v>2015</v>
      </c>
      <c r="E145" s="60">
        <v>2016</v>
      </c>
      <c r="F145" s="60">
        <v>2017</v>
      </c>
      <c r="G145" s="60">
        <v>2018</v>
      </c>
      <c r="H145" s="60">
        <v>2019</v>
      </c>
      <c r="I145" s="60">
        <v>2020</v>
      </c>
      <c r="J145" s="60">
        <v>2021</v>
      </c>
    </row>
    <row r="146" spans="2:10">
      <c r="B146" s="114" t="s">
        <v>362</v>
      </c>
      <c r="C146" s="66"/>
      <c r="D146" s="66"/>
      <c r="E146" s="66"/>
      <c r="F146" s="66"/>
      <c r="G146" s="66"/>
      <c r="H146" s="66"/>
      <c r="I146" s="66"/>
    </row>
    <row r="147" spans="2:10">
      <c r="B147" s="54" t="s">
        <v>361</v>
      </c>
      <c r="C147" s="66">
        <v>0</v>
      </c>
      <c r="D147">
        <v>7699.5510000000004</v>
      </c>
      <c r="E147">
        <v>10508.282999999999</v>
      </c>
      <c r="F147">
        <v>15554.210999999999</v>
      </c>
      <c r="G147">
        <v>21794.576000000001</v>
      </c>
      <c r="H147">
        <v>31824.708999999999</v>
      </c>
      <c r="I147">
        <v>55211.512000000002</v>
      </c>
      <c r="J147">
        <v>93761.784</v>
      </c>
    </row>
    <row r="148" spans="2:10">
      <c r="B148" s="151" t="s">
        <v>360</v>
      </c>
      <c r="C148" s="66">
        <v>0</v>
      </c>
      <c r="D148">
        <v>0</v>
      </c>
      <c r="E148">
        <v>0</v>
      </c>
      <c r="F148">
        <v>0</v>
      </c>
      <c r="G148">
        <v>0</v>
      </c>
      <c r="H148">
        <v>0</v>
      </c>
      <c r="I148">
        <v>0</v>
      </c>
      <c r="J148">
        <v>0</v>
      </c>
    </row>
    <row r="149" spans="2:10">
      <c r="B149" s="151" t="s">
        <v>359</v>
      </c>
      <c r="C149" s="66">
        <v>0</v>
      </c>
      <c r="D149">
        <v>7699.5510000000004</v>
      </c>
      <c r="E149">
        <v>10508.282999999999</v>
      </c>
      <c r="F149">
        <v>15554.210999999999</v>
      </c>
      <c r="G149">
        <v>21794.576000000001</v>
      </c>
      <c r="H149">
        <v>31824.708999999999</v>
      </c>
      <c r="I149">
        <v>55211.512000000002</v>
      </c>
      <c r="J149">
        <v>93761.784</v>
      </c>
    </row>
    <row r="150" spans="2:10">
      <c r="B150" s="152" t="s">
        <v>358</v>
      </c>
      <c r="C150" s="66">
        <v>0</v>
      </c>
      <c r="D150" s="66">
        <v>0</v>
      </c>
      <c r="E150" s="66">
        <v>0</v>
      </c>
      <c r="F150" s="66">
        <v>0</v>
      </c>
      <c r="G150" s="66">
        <v>0</v>
      </c>
      <c r="H150" s="66">
        <v>0</v>
      </c>
      <c r="I150" s="66">
        <v>0</v>
      </c>
      <c r="J150" s="66">
        <v>0</v>
      </c>
    </row>
    <row r="151" spans="2:10">
      <c r="B151" s="71" t="s">
        <v>357</v>
      </c>
      <c r="C151" s="55">
        <v>9281.4339999999993</v>
      </c>
      <c r="D151" s="55">
        <v>10732.32361820076</v>
      </c>
      <c r="E151" s="55">
        <v>12157.577000000001</v>
      </c>
      <c r="F151" s="55">
        <v>16239.764999999999</v>
      </c>
      <c r="G151" s="55">
        <v>22437.49121</v>
      </c>
      <c r="H151" s="55">
        <v>32364.112999999998</v>
      </c>
      <c r="I151" s="55">
        <v>32132.206999999999</v>
      </c>
      <c r="J151" s="55">
        <v>49594.254000000001</v>
      </c>
    </row>
    <row r="152" spans="2:10">
      <c r="B152" s="151" t="s">
        <v>356</v>
      </c>
      <c r="C152" s="55">
        <v>5293.2979999999998</v>
      </c>
      <c r="D152" s="55">
        <v>6402.11</v>
      </c>
      <c r="E152" s="55">
        <v>7357.79</v>
      </c>
      <c r="F152" s="55">
        <v>10401.491</v>
      </c>
      <c r="G152" s="55">
        <v>14611.831</v>
      </c>
      <c r="H152" s="55">
        <v>20700.297999999999</v>
      </c>
      <c r="I152" s="55">
        <v>23785.038</v>
      </c>
      <c r="J152" s="55">
        <v>37059.404999999999</v>
      </c>
    </row>
    <row r="153" spans="2:10">
      <c r="B153" s="151" t="s">
        <v>355</v>
      </c>
      <c r="C153" s="55">
        <v>0</v>
      </c>
      <c r="D153" s="55">
        <v>0</v>
      </c>
      <c r="E153" s="55">
        <v>0</v>
      </c>
      <c r="F153" s="55">
        <v>0</v>
      </c>
      <c r="G153" s="55">
        <v>0</v>
      </c>
      <c r="H153" s="55">
        <v>0</v>
      </c>
      <c r="I153" s="55">
        <v>0</v>
      </c>
      <c r="J153" s="55">
        <v>0</v>
      </c>
    </row>
    <row r="154" spans="2:10">
      <c r="B154" s="151" t="s">
        <v>354</v>
      </c>
      <c r="C154" s="55">
        <v>3988.136</v>
      </c>
      <c r="D154" s="55">
        <v>4330.2136182007598</v>
      </c>
      <c r="E154" s="55">
        <v>4799.7870000000003</v>
      </c>
      <c r="F154" s="55">
        <v>5838.2740000000003</v>
      </c>
      <c r="G154" s="55">
        <v>7825.66021</v>
      </c>
      <c r="H154" s="55">
        <v>11663.815000000001</v>
      </c>
      <c r="I154" s="55">
        <v>8347.1689999999999</v>
      </c>
      <c r="J154" s="55">
        <v>12534.849</v>
      </c>
    </row>
    <row r="155" spans="2:10">
      <c r="B155" s="71" t="s">
        <v>480</v>
      </c>
      <c r="C155" s="55">
        <v>1247.4559999999999</v>
      </c>
      <c r="D155" s="55">
        <v>22837.474999999999</v>
      </c>
      <c r="E155" s="55">
        <v>57637.277999999998</v>
      </c>
      <c r="F155" s="55">
        <v>69187.107000000004</v>
      </c>
      <c r="G155" s="55">
        <v>71765.491999999998</v>
      </c>
      <c r="H155" s="55">
        <v>60226.188000000002</v>
      </c>
      <c r="I155" s="55">
        <v>46771.398000000001</v>
      </c>
      <c r="J155" s="55">
        <v>54037.845999999998</v>
      </c>
    </row>
    <row r="156" spans="2:10">
      <c r="B156" s="71" t="s">
        <v>481</v>
      </c>
      <c r="C156" s="55">
        <v>2116.4920000000002</v>
      </c>
      <c r="D156" s="55">
        <v>2034.64</v>
      </c>
      <c r="E156" s="55">
        <v>6077.1050000000005</v>
      </c>
      <c r="F156" s="55">
        <v>1857.4430000000002</v>
      </c>
      <c r="G156" s="55">
        <v>5601.3650000000007</v>
      </c>
      <c r="H156" s="55">
        <v>5213.9130000000005</v>
      </c>
      <c r="I156" s="55">
        <v>2919.049</v>
      </c>
      <c r="J156" s="55">
        <v>3105.1479999999997</v>
      </c>
    </row>
    <row r="157" spans="2:10">
      <c r="B157" s="150" t="s">
        <v>352</v>
      </c>
      <c r="C157" s="55">
        <v>5663.7629999999999</v>
      </c>
      <c r="D157" s="55">
        <v>5684.99</v>
      </c>
      <c r="E157" s="55">
        <v>5551.8310000000001</v>
      </c>
      <c r="F157" s="55">
        <v>5426.5439999999999</v>
      </c>
      <c r="G157" s="55">
        <v>5244.4080000000004</v>
      </c>
      <c r="H157" s="55">
        <v>4925.1260000000002</v>
      </c>
      <c r="I157" s="55">
        <v>2770.9430000000002</v>
      </c>
      <c r="J157" s="55">
        <v>2941.3069999999998</v>
      </c>
    </row>
    <row r="158" spans="2:10">
      <c r="B158" s="150" t="s">
        <v>351</v>
      </c>
      <c r="C158" s="55">
        <v>737.31700000000001</v>
      </c>
      <c r="D158" s="55">
        <v>636.41099999999994</v>
      </c>
      <c r="E158" s="55">
        <v>525.274</v>
      </c>
      <c r="F158" s="55">
        <v>434.56700000000001</v>
      </c>
      <c r="G158" s="55">
        <v>356.95699999999999</v>
      </c>
      <c r="H158" s="55">
        <v>288.78699999999998</v>
      </c>
      <c r="I158" s="55">
        <v>148.10599999999999</v>
      </c>
      <c r="J158" s="55">
        <v>163.84100000000001</v>
      </c>
    </row>
    <row r="159" spans="2:10">
      <c r="B159" s="54" t="s">
        <v>350</v>
      </c>
      <c r="C159" s="55">
        <v>0</v>
      </c>
      <c r="D159" s="55">
        <v>0</v>
      </c>
      <c r="E159" s="55">
        <v>0</v>
      </c>
      <c r="F159" s="55">
        <v>0</v>
      </c>
      <c r="G159" s="55">
        <v>0</v>
      </c>
      <c r="H159" s="55">
        <v>0</v>
      </c>
      <c r="I159" s="55">
        <v>0</v>
      </c>
      <c r="J159" s="55">
        <v>0</v>
      </c>
    </row>
    <row r="160" spans="2:10">
      <c r="B160" s="54"/>
      <c r="C160" s="55"/>
      <c r="D160" s="55"/>
      <c r="E160" s="55"/>
      <c r="F160" s="55"/>
      <c r="G160" s="55"/>
      <c r="H160" s="55"/>
      <c r="I160" s="55"/>
      <c r="J160" s="55"/>
    </row>
    <row r="161" spans="2:10">
      <c r="B161" s="54" t="s">
        <v>365</v>
      </c>
      <c r="C161" s="55">
        <v>12645.382</v>
      </c>
      <c r="D161" s="55">
        <v>35604.438618200758</v>
      </c>
      <c r="E161" s="55">
        <v>75871.959999999992</v>
      </c>
      <c r="F161" s="55">
        <v>87284.315000000002</v>
      </c>
      <c r="G161" s="55">
        <v>99804.348210000011</v>
      </c>
      <c r="H161" s="55">
        <v>97804.214000000007</v>
      </c>
      <c r="I161" s="55">
        <v>81822.653999999995</v>
      </c>
      <c r="J161" s="55">
        <v>106737.24800000001</v>
      </c>
    </row>
    <row r="162" spans="2:10">
      <c r="B162" s="147" t="s">
        <v>348</v>
      </c>
      <c r="C162" s="210">
        <v>0</v>
      </c>
      <c r="D162" s="210">
        <v>0</v>
      </c>
      <c r="E162" s="210">
        <v>0</v>
      </c>
      <c r="F162" s="210">
        <v>0</v>
      </c>
      <c r="G162" s="210">
        <v>0</v>
      </c>
      <c r="H162" s="210">
        <v>0</v>
      </c>
      <c r="I162" s="210">
        <v>0</v>
      </c>
      <c r="J162" s="210">
        <v>0</v>
      </c>
    </row>
    <row r="163" spans="2:10">
      <c r="B163" s="147"/>
      <c r="C163" s="98"/>
      <c r="D163" s="98"/>
      <c r="E163" s="98"/>
      <c r="F163" s="98"/>
      <c r="G163" s="98"/>
      <c r="H163" s="98"/>
      <c r="I163" s="98"/>
      <c r="J163" s="98"/>
    </row>
    <row r="164" spans="2:10">
      <c r="B164" s="54" t="s">
        <v>347</v>
      </c>
      <c r="C164" s="102">
        <v>0</v>
      </c>
      <c r="D164" s="102">
        <v>0</v>
      </c>
      <c r="E164" s="102">
        <v>0</v>
      </c>
      <c r="F164" s="55">
        <v>0</v>
      </c>
      <c r="G164" s="55">
        <v>0</v>
      </c>
      <c r="H164" s="55">
        <v>0</v>
      </c>
      <c r="I164" s="55">
        <v>0</v>
      </c>
      <c r="J164" s="55">
        <v>0</v>
      </c>
    </row>
    <row r="165" spans="2:10">
      <c r="B165" s="54"/>
      <c r="C165" s="55"/>
      <c r="D165" s="55"/>
      <c r="E165" s="55"/>
      <c r="F165" s="55"/>
      <c r="G165" s="55"/>
      <c r="H165" s="55"/>
      <c r="I165" s="55"/>
    </row>
    <row r="166" spans="2:10">
      <c r="B166" s="114" t="s">
        <v>346</v>
      </c>
      <c r="C166" s="55"/>
      <c r="D166" s="55"/>
      <c r="E166" s="55"/>
      <c r="F166" s="55"/>
      <c r="G166" s="55"/>
      <c r="H166" s="55"/>
      <c r="I166" s="55"/>
    </row>
    <row r="167" spans="2:10">
      <c r="B167" s="54" t="s">
        <v>342</v>
      </c>
      <c r="C167" s="55">
        <v>40230.190999999999</v>
      </c>
      <c r="D167" s="55">
        <v>48094.970999999998</v>
      </c>
      <c r="E167" s="55">
        <v>47457.431770000003</v>
      </c>
      <c r="F167" s="55">
        <v>50486.892999999996</v>
      </c>
      <c r="G167" s="55">
        <v>53467.974000000002</v>
      </c>
      <c r="H167" s="55">
        <v>57448.112999999998</v>
      </c>
      <c r="I167" s="55">
        <v>44543.923000000003</v>
      </c>
      <c r="J167" s="55">
        <v>56180.398000000001</v>
      </c>
    </row>
    <row r="168" spans="2:10">
      <c r="B168" s="147" t="s">
        <v>341</v>
      </c>
      <c r="C168" s="55">
        <v>40230.190999999999</v>
      </c>
      <c r="D168" s="55">
        <v>48094.970999999998</v>
      </c>
      <c r="E168" s="55">
        <v>47457.431770000003</v>
      </c>
      <c r="F168" s="55">
        <v>50486.892999999996</v>
      </c>
      <c r="G168" s="55">
        <v>53467.974000000002</v>
      </c>
      <c r="H168" s="55">
        <v>57448.112999999998</v>
      </c>
      <c r="I168" s="55">
        <v>44543.923000000003</v>
      </c>
      <c r="J168" s="55">
        <v>56180.398000000001</v>
      </c>
    </row>
    <row r="169" spans="2:10">
      <c r="B169" s="147" t="s">
        <v>340</v>
      </c>
      <c r="C169" s="55">
        <v>0</v>
      </c>
      <c r="D169" s="55">
        <v>0</v>
      </c>
      <c r="E169" s="55">
        <v>0</v>
      </c>
      <c r="F169" s="55">
        <v>0</v>
      </c>
      <c r="G169" s="55">
        <v>0</v>
      </c>
      <c r="H169" s="55">
        <v>0</v>
      </c>
      <c r="I169" s="55">
        <v>0</v>
      </c>
      <c r="J169" s="55">
        <v>0</v>
      </c>
    </row>
    <row r="170" spans="2:10">
      <c r="B170" s="54" t="s">
        <v>339</v>
      </c>
      <c r="C170" s="102">
        <v>8956.3909999999996</v>
      </c>
      <c r="D170" s="102">
        <v>10425.067000000001</v>
      </c>
      <c r="E170" s="102">
        <v>12096.582999999999</v>
      </c>
      <c r="F170" s="55">
        <v>14446.658999999998</v>
      </c>
      <c r="G170" s="55">
        <v>18742.228000000003</v>
      </c>
      <c r="H170" s="55">
        <v>24483.497000000003</v>
      </c>
      <c r="I170" s="55">
        <v>22198.143</v>
      </c>
      <c r="J170" s="55">
        <v>38016.807000000001</v>
      </c>
    </row>
    <row r="171" spans="2:10">
      <c r="B171" s="54" t="s">
        <v>482</v>
      </c>
      <c r="C171" s="102">
        <v>3835.0929999999998</v>
      </c>
      <c r="D171" s="102">
        <v>44879.900999999998</v>
      </c>
      <c r="E171" s="102">
        <v>109512.558</v>
      </c>
      <c r="F171" s="55">
        <v>138050.01800000001</v>
      </c>
      <c r="G171" s="55">
        <v>140429.53099999999</v>
      </c>
      <c r="H171" s="55">
        <v>117391.147</v>
      </c>
      <c r="I171" s="55">
        <v>89369.256999999998</v>
      </c>
      <c r="J171" s="55">
        <v>104345.08900000001</v>
      </c>
    </row>
    <row r="172" spans="2:10">
      <c r="B172" s="147" t="s">
        <v>337</v>
      </c>
      <c r="C172" s="102">
        <v>2636.5609999999997</v>
      </c>
      <c r="D172" s="102">
        <v>22201.786999999997</v>
      </c>
      <c r="E172" s="102">
        <v>52490.01</v>
      </c>
      <c r="F172" s="55">
        <v>70388.362000000008</v>
      </c>
      <c r="G172" s="55">
        <v>71011.794999999984</v>
      </c>
      <c r="H172" s="55">
        <v>60654.055</v>
      </c>
      <c r="I172" s="55">
        <v>48665.182000000001</v>
      </c>
      <c r="J172" s="55">
        <v>60030.120999999999</v>
      </c>
    </row>
    <row r="173" spans="2:10">
      <c r="B173" s="147" t="s">
        <v>336</v>
      </c>
      <c r="C173" s="102">
        <v>0</v>
      </c>
      <c r="D173" s="102">
        <v>0</v>
      </c>
      <c r="E173" s="102">
        <v>0</v>
      </c>
      <c r="F173" s="55">
        <v>0</v>
      </c>
      <c r="G173" s="55">
        <v>0</v>
      </c>
      <c r="H173" s="55">
        <v>0</v>
      </c>
      <c r="I173" s="55">
        <v>0</v>
      </c>
      <c r="J173" s="55">
        <v>0</v>
      </c>
    </row>
    <row r="174" spans="2:10">
      <c r="B174" s="147" t="s">
        <v>335</v>
      </c>
      <c r="C174" s="102">
        <v>1198.5319999999999</v>
      </c>
      <c r="D174" s="102">
        <v>22678.114000000001</v>
      </c>
      <c r="E174" s="102">
        <v>57022.548000000003</v>
      </c>
      <c r="F174" s="55">
        <v>67661.656000000003</v>
      </c>
      <c r="G174" s="55">
        <v>69417.736000000004</v>
      </c>
      <c r="H174" s="55">
        <v>56737.091999999997</v>
      </c>
      <c r="I174" s="55">
        <v>40704.074999999997</v>
      </c>
      <c r="J174" s="55">
        <v>44314.968000000001</v>
      </c>
    </row>
    <row r="175" spans="2:10">
      <c r="B175" s="147"/>
      <c r="C175" s="66"/>
      <c r="D175" s="66"/>
      <c r="E175" s="66"/>
      <c r="F175" s="66"/>
      <c r="G175" s="66"/>
      <c r="H175" s="66"/>
      <c r="I175" s="66"/>
    </row>
    <row r="176" spans="2:10" ht="26">
      <c r="B176" s="148" t="s">
        <v>345</v>
      </c>
      <c r="C176" s="66"/>
      <c r="D176" s="66"/>
      <c r="E176" s="66"/>
      <c r="F176" s="66"/>
      <c r="G176" s="66"/>
      <c r="H176" s="66"/>
      <c r="I176" s="66"/>
    </row>
    <row r="177" spans="2:10">
      <c r="B177" s="54" t="s">
        <v>342</v>
      </c>
      <c r="C177" s="102">
        <v>40230.190999999999</v>
      </c>
      <c r="D177" s="102">
        <v>48094.970999999998</v>
      </c>
      <c r="E177" s="102">
        <v>47457.431770000003</v>
      </c>
      <c r="F177" s="55">
        <v>50486.892999999996</v>
      </c>
      <c r="G177" s="55">
        <v>53467.974000000002</v>
      </c>
      <c r="H177" s="55">
        <v>57448.112999999998</v>
      </c>
      <c r="I177" s="55">
        <v>44543.923000000003</v>
      </c>
      <c r="J177" s="55">
        <v>56180.398000000001</v>
      </c>
    </row>
    <row r="178" spans="2:10">
      <c r="B178" s="147" t="s">
        <v>341</v>
      </c>
      <c r="C178" s="102">
        <v>40230.190999999999</v>
      </c>
      <c r="D178" s="102">
        <v>48094.970999999998</v>
      </c>
      <c r="E178" s="102">
        <v>47457.431770000003</v>
      </c>
      <c r="F178" s="55">
        <v>50486.892999999996</v>
      </c>
      <c r="G178" s="55">
        <v>53467.974000000002</v>
      </c>
      <c r="H178" s="55">
        <v>57448.112999999998</v>
      </c>
      <c r="I178" s="55">
        <v>44543.923000000003</v>
      </c>
      <c r="J178" s="55">
        <v>56180.398000000001</v>
      </c>
    </row>
    <row r="179" spans="2:10">
      <c r="B179" s="147" t="s">
        <v>340</v>
      </c>
      <c r="C179" s="102">
        <v>0</v>
      </c>
      <c r="D179" s="102">
        <v>0</v>
      </c>
      <c r="E179" s="102">
        <v>0</v>
      </c>
      <c r="F179" s="55">
        <v>0</v>
      </c>
      <c r="G179" s="55">
        <v>0</v>
      </c>
      <c r="H179" s="55">
        <v>0</v>
      </c>
      <c r="I179" s="55">
        <v>0</v>
      </c>
      <c r="J179" s="55">
        <v>0</v>
      </c>
    </row>
    <row r="180" spans="2:10">
      <c r="B180" s="54" t="s">
        <v>339</v>
      </c>
      <c r="C180" s="102">
        <v>8956.3909999999996</v>
      </c>
      <c r="D180" s="102">
        <v>10425.067000000001</v>
      </c>
      <c r="E180" s="102">
        <v>12096.582999999999</v>
      </c>
      <c r="F180" s="55">
        <v>14446.658999999998</v>
      </c>
      <c r="G180" s="55">
        <v>18742.228000000003</v>
      </c>
      <c r="H180" s="55">
        <v>24483.497000000003</v>
      </c>
      <c r="I180" s="55">
        <v>22198.143</v>
      </c>
      <c r="J180" s="55">
        <v>38016.807000000001</v>
      </c>
    </row>
    <row r="181" spans="2:10">
      <c r="B181" s="54" t="s">
        <v>480</v>
      </c>
      <c r="C181" s="102">
        <v>3835.0929999999998</v>
      </c>
      <c r="D181" s="102">
        <v>44879.900999999998</v>
      </c>
      <c r="E181" s="102">
        <v>109512.558</v>
      </c>
      <c r="F181" s="55">
        <v>138050.01800000001</v>
      </c>
      <c r="G181" s="55">
        <v>140429.53099999999</v>
      </c>
      <c r="H181" s="55">
        <v>117391.147</v>
      </c>
      <c r="I181" s="55">
        <v>89369.256999999998</v>
      </c>
      <c r="J181" s="55">
        <v>104345.08900000001</v>
      </c>
    </row>
    <row r="182" spans="2:10">
      <c r="B182" s="147" t="s">
        <v>337</v>
      </c>
      <c r="C182" s="102">
        <v>2636.5609999999997</v>
      </c>
      <c r="D182" s="102">
        <v>22201.786999999997</v>
      </c>
      <c r="E182" s="102">
        <v>52490.01</v>
      </c>
      <c r="F182" s="55">
        <v>70388.362000000008</v>
      </c>
      <c r="G182" s="55">
        <v>71011.794999999984</v>
      </c>
      <c r="H182" s="55">
        <v>60654.055</v>
      </c>
      <c r="I182" s="55">
        <v>48665.182000000001</v>
      </c>
      <c r="J182" s="55">
        <v>60030.120999999999</v>
      </c>
    </row>
    <row r="183" spans="2:10">
      <c r="B183" s="147" t="s">
        <v>336</v>
      </c>
      <c r="C183" s="102">
        <v>0</v>
      </c>
      <c r="D183" s="102">
        <v>0</v>
      </c>
      <c r="E183" s="102">
        <v>0</v>
      </c>
      <c r="F183" s="55">
        <v>0</v>
      </c>
      <c r="G183" s="55">
        <v>0</v>
      </c>
      <c r="H183" s="55">
        <v>0</v>
      </c>
      <c r="I183" s="55">
        <v>0</v>
      </c>
      <c r="J183" s="55">
        <v>0</v>
      </c>
    </row>
    <row r="184" spans="2:10">
      <c r="B184" s="147" t="s">
        <v>335</v>
      </c>
      <c r="C184" s="102">
        <v>1198.5319999999999</v>
      </c>
      <c r="D184" s="102">
        <v>22678.114000000001</v>
      </c>
      <c r="E184" s="102">
        <v>57022.548000000003</v>
      </c>
      <c r="F184" s="55">
        <v>67661.656000000003</v>
      </c>
      <c r="G184" s="55">
        <v>69417.736000000004</v>
      </c>
      <c r="H184" s="55">
        <v>56737.091999999997</v>
      </c>
      <c r="I184" s="55">
        <v>40704.074999999997</v>
      </c>
      <c r="J184" s="55">
        <v>44314.968000000001</v>
      </c>
    </row>
    <row r="185" spans="2:10">
      <c r="B185" s="147"/>
      <c r="C185" s="66"/>
      <c r="D185" s="66"/>
      <c r="E185" s="66"/>
      <c r="F185" s="66"/>
      <c r="G185" s="66"/>
      <c r="H185" s="66"/>
      <c r="I185" s="66"/>
    </row>
    <row r="186" spans="2:10" ht="26">
      <c r="B186" s="148" t="s">
        <v>344</v>
      </c>
      <c r="C186" s="66"/>
      <c r="D186" s="66"/>
      <c r="E186" s="66"/>
      <c r="F186" s="66"/>
      <c r="G186" s="66"/>
      <c r="H186" s="66"/>
      <c r="I186" s="66"/>
    </row>
    <row r="187" spans="2:10">
      <c r="B187" s="54" t="s">
        <v>342</v>
      </c>
      <c r="C187" s="129"/>
      <c r="D187" s="129"/>
      <c r="E187" s="129"/>
      <c r="F187" s="66"/>
      <c r="G187" s="66"/>
      <c r="H187" s="66"/>
      <c r="I187" s="66"/>
    </row>
    <row r="188" spans="2:10">
      <c r="B188" s="147" t="s">
        <v>341</v>
      </c>
      <c r="C188" s="129">
        <v>0</v>
      </c>
      <c r="D188" s="129">
        <v>0</v>
      </c>
      <c r="E188" s="129">
        <v>0</v>
      </c>
      <c r="F188" s="66">
        <v>0</v>
      </c>
      <c r="G188" s="66">
        <v>0</v>
      </c>
      <c r="H188" s="66">
        <v>0</v>
      </c>
      <c r="I188" s="66">
        <v>0</v>
      </c>
      <c r="J188" s="66">
        <v>0</v>
      </c>
    </row>
    <row r="189" spans="2:10">
      <c r="B189" s="147" t="s">
        <v>340</v>
      </c>
      <c r="C189" s="129">
        <v>0</v>
      </c>
      <c r="D189" s="129">
        <v>0</v>
      </c>
      <c r="E189" s="129">
        <v>0</v>
      </c>
      <c r="F189" s="66">
        <v>0</v>
      </c>
      <c r="G189" s="66">
        <v>0</v>
      </c>
      <c r="H189" s="66">
        <v>0</v>
      </c>
      <c r="I189" s="66">
        <v>0</v>
      </c>
      <c r="J189" s="66">
        <v>0</v>
      </c>
    </row>
    <row r="190" spans="2:10">
      <c r="B190" s="54" t="s">
        <v>339</v>
      </c>
      <c r="C190" s="129">
        <v>0</v>
      </c>
      <c r="D190" s="129">
        <v>0</v>
      </c>
      <c r="E190" s="129">
        <v>0</v>
      </c>
      <c r="F190" s="129">
        <v>0</v>
      </c>
      <c r="G190" s="129">
        <v>0</v>
      </c>
      <c r="H190" s="129">
        <v>0</v>
      </c>
      <c r="I190" s="129">
        <v>0</v>
      </c>
      <c r="J190" s="66">
        <v>0</v>
      </c>
    </row>
    <row r="191" spans="2:10">
      <c r="B191" s="54" t="s">
        <v>338</v>
      </c>
      <c r="C191" s="129">
        <v>0</v>
      </c>
      <c r="D191" s="129">
        <v>0</v>
      </c>
      <c r="E191" s="129">
        <v>0</v>
      </c>
      <c r="F191" s="66">
        <v>0</v>
      </c>
      <c r="G191" s="66">
        <v>0</v>
      </c>
      <c r="H191" s="66">
        <v>0</v>
      </c>
      <c r="I191" s="66">
        <v>0</v>
      </c>
      <c r="J191" s="66">
        <v>0</v>
      </c>
    </row>
    <row r="192" spans="2:10">
      <c r="B192" s="147" t="s">
        <v>337</v>
      </c>
      <c r="C192" s="129">
        <v>0</v>
      </c>
      <c r="D192" s="129">
        <v>0</v>
      </c>
      <c r="E192" s="129">
        <v>0</v>
      </c>
      <c r="F192" s="66">
        <v>0</v>
      </c>
      <c r="G192" s="66">
        <v>0</v>
      </c>
      <c r="H192" s="66">
        <v>0</v>
      </c>
      <c r="I192" s="66">
        <v>0</v>
      </c>
      <c r="J192" s="66">
        <v>0</v>
      </c>
    </row>
    <row r="193" spans="2:11">
      <c r="B193" s="147" t="s">
        <v>336</v>
      </c>
      <c r="C193" s="129">
        <v>0</v>
      </c>
      <c r="D193" s="129">
        <v>0</v>
      </c>
      <c r="E193" s="129">
        <v>0</v>
      </c>
      <c r="F193" s="66">
        <v>0</v>
      </c>
      <c r="G193" s="66">
        <v>0</v>
      </c>
      <c r="H193" s="66">
        <v>0</v>
      </c>
      <c r="I193" s="66">
        <v>0</v>
      </c>
      <c r="J193" s="66">
        <v>0</v>
      </c>
    </row>
    <row r="194" spans="2:11">
      <c r="B194" s="147" t="s">
        <v>335</v>
      </c>
      <c r="C194" s="129">
        <v>0</v>
      </c>
      <c r="D194" s="129">
        <v>0</v>
      </c>
      <c r="E194" s="129">
        <v>0</v>
      </c>
      <c r="F194" s="66">
        <v>0</v>
      </c>
      <c r="G194" s="66">
        <v>0</v>
      </c>
      <c r="H194" s="66">
        <v>0</v>
      </c>
      <c r="I194" s="66">
        <v>0</v>
      </c>
      <c r="J194" s="66">
        <v>0</v>
      </c>
    </row>
    <row r="195" spans="2:11">
      <c r="B195" s="147"/>
      <c r="C195" s="66"/>
      <c r="D195" s="66"/>
      <c r="E195" s="66"/>
      <c r="F195" s="66"/>
      <c r="G195" s="66"/>
      <c r="H195" s="66"/>
      <c r="I195" s="66"/>
    </row>
    <row r="196" spans="2:11" ht="26">
      <c r="B196" s="148" t="s">
        <v>343</v>
      </c>
      <c r="C196" s="66"/>
      <c r="D196" s="66"/>
      <c r="E196" s="66"/>
      <c r="F196" s="66"/>
      <c r="G196" s="66"/>
      <c r="H196" s="66"/>
      <c r="I196" s="66"/>
    </row>
    <row r="197" spans="2:11">
      <c r="B197" s="54" t="s">
        <v>342</v>
      </c>
      <c r="C197" s="129"/>
      <c r="D197" s="129"/>
      <c r="E197" s="129"/>
      <c r="F197" s="66"/>
      <c r="G197" s="66"/>
      <c r="H197" s="66"/>
      <c r="I197" s="66"/>
    </row>
    <row r="198" spans="2:11">
      <c r="B198" s="147" t="s">
        <v>341</v>
      </c>
      <c r="C198" s="129">
        <v>0</v>
      </c>
      <c r="D198" s="129">
        <v>0</v>
      </c>
      <c r="E198" s="129">
        <v>0</v>
      </c>
      <c r="F198" s="66">
        <v>0</v>
      </c>
      <c r="G198" s="66">
        <v>0</v>
      </c>
      <c r="H198" s="66">
        <v>0</v>
      </c>
      <c r="I198" s="66">
        <v>0</v>
      </c>
      <c r="J198" s="66">
        <v>0</v>
      </c>
    </row>
    <row r="199" spans="2:11">
      <c r="B199" s="147" t="s">
        <v>340</v>
      </c>
      <c r="C199" s="129">
        <v>0</v>
      </c>
      <c r="D199" s="129">
        <v>0</v>
      </c>
      <c r="E199" s="129">
        <v>0</v>
      </c>
      <c r="F199" s="66">
        <v>0</v>
      </c>
      <c r="G199" s="66">
        <v>0</v>
      </c>
      <c r="H199" s="66">
        <v>0</v>
      </c>
      <c r="I199" s="66">
        <v>0</v>
      </c>
      <c r="J199" s="66">
        <v>0</v>
      </c>
    </row>
    <row r="200" spans="2:11">
      <c r="B200" s="54" t="s">
        <v>339</v>
      </c>
      <c r="C200" s="129">
        <v>0</v>
      </c>
      <c r="D200" s="129">
        <v>0</v>
      </c>
      <c r="E200" s="129">
        <v>7314.7060000000001</v>
      </c>
      <c r="F200" s="66">
        <v>11276.752</v>
      </c>
      <c r="G200" s="66">
        <v>9182.9599999999991</v>
      </c>
      <c r="H200" s="66">
        <v>10678.725</v>
      </c>
      <c r="I200" s="66">
        <v>16333.462</v>
      </c>
      <c r="J200" s="66">
        <v>18785.61</v>
      </c>
    </row>
    <row r="201" spans="2:11">
      <c r="B201" s="54" t="s">
        <v>338</v>
      </c>
      <c r="C201" s="129">
        <v>0</v>
      </c>
      <c r="D201" s="129">
        <v>0</v>
      </c>
      <c r="E201" s="129">
        <v>0</v>
      </c>
      <c r="F201" s="66">
        <v>0</v>
      </c>
      <c r="G201" s="66">
        <v>0</v>
      </c>
      <c r="H201" s="66">
        <v>0</v>
      </c>
      <c r="I201" s="66">
        <v>0</v>
      </c>
      <c r="J201" s="66">
        <v>0</v>
      </c>
    </row>
    <row r="202" spans="2:11">
      <c r="B202" s="147" t="s">
        <v>337</v>
      </c>
      <c r="C202" s="129">
        <v>0</v>
      </c>
      <c r="D202" s="129">
        <v>0</v>
      </c>
      <c r="E202" s="129">
        <v>0</v>
      </c>
      <c r="F202" s="66">
        <v>0</v>
      </c>
      <c r="G202" s="66">
        <v>0</v>
      </c>
      <c r="H202" s="66">
        <v>0</v>
      </c>
      <c r="I202" s="66">
        <v>0</v>
      </c>
      <c r="J202" s="66">
        <v>0</v>
      </c>
    </row>
    <row r="203" spans="2:11">
      <c r="B203" s="147" t="s">
        <v>336</v>
      </c>
      <c r="C203" s="129">
        <v>0</v>
      </c>
      <c r="D203" s="129">
        <v>0</v>
      </c>
      <c r="E203" s="129">
        <v>0</v>
      </c>
      <c r="F203" s="66">
        <v>0</v>
      </c>
      <c r="G203" s="66">
        <v>0</v>
      </c>
      <c r="H203" s="66">
        <v>0</v>
      </c>
      <c r="I203" s="66">
        <v>0</v>
      </c>
      <c r="J203" s="66">
        <v>0</v>
      </c>
    </row>
    <row r="204" spans="2:11" ht="15" thickBot="1">
      <c r="B204" s="146" t="s">
        <v>335</v>
      </c>
      <c r="C204" s="129">
        <v>0</v>
      </c>
      <c r="D204" s="129">
        <v>0</v>
      </c>
      <c r="E204" s="129">
        <v>0</v>
      </c>
      <c r="F204" s="66">
        <v>0</v>
      </c>
      <c r="G204" s="66">
        <v>0</v>
      </c>
      <c r="H204" s="66">
        <v>0</v>
      </c>
      <c r="I204" s="66">
        <v>0</v>
      </c>
      <c r="J204" s="109">
        <v>0</v>
      </c>
    </row>
    <row r="205" spans="2:11" ht="15" thickTop="1">
      <c r="B205" s="2025" t="s">
        <v>1919</v>
      </c>
      <c r="C205" s="2025"/>
      <c r="D205" s="2025"/>
      <c r="E205" s="2025"/>
      <c r="F205" s="2025"/>
      <c r="G205" s="2025"/>
      <c r="H205" s="2025"/>
      <c r="I205" s="2025"/>
    </row>
    <row r="206" spans="2:11">
      <c r="B206" s="64"/>
      <c r="C206" s="121"/>
      <c r="D206" s="121"/>
      <c r="E206" s="121"/>
      <c r="F206" s="121"/>
      <c r="G206" s="121"/>
      <c r="H206" s="121"/>
      <c r="I206" s="121"/>
    </row>
    <row r="207" spans="2:11">
      <c r="B207" s="2024" t="s">
        <v>364</v>
      </c>
      <c r="C207" s="2024"/>
      <c r="D207" s="2024"/>
      <c r="E207" s="2024"/>
      <c r="F207" s="2024"/>
      <c r="G207" s="2024"/>
      <c r="H207" s="2024"/>
      <c r="I207" s="2024"/>
      <c r="J207" s="2024"/>
      <c r="K207" s="1422"/>
    </row>
    <row r="208" spans="2:11">
      <c r="B208" s="12" t="s">
        <v>363</v>
      </c>
      <c r="C208" s="121"/>
      <c r="D208" s="121"/>
      <c r="E208" s="121"/>
      <c r="F208" s="121"/>
      <c r="G208" s="121"/>
      <c r="H208" s="121"/>
      <c r="I208" s="121"/>
    </row>
    <row r="209" spans="2:13">
      <c r="B209" s="62" t="s">
        <v>311</v>
      </c>
      <c r="C209" s="121"/>
      <c r="D209" s="121"/>
      <c r="E209" s="121"/>
      <c r="F209" s="121"/>
      <c r="G209" s="121"/>
      <c r="H209" s="121"/>
      <c r="I209" s="121"/>
    </row>
    <row r="210" spans="2:13">
      <c r="B210" s="64"/>
      <c r="C210" s="121"/>
      <c r="D210" s="121"/>
      <c r="E210" s="121"/>
      <c r="F210" s="121"/>
      <c r="G210" s="121"/>
      <c r="H210" s="121"/>
      <c r="I210" s="121"/>
    </row>
    <row r="211" spans="2:13">
      <c r="B211" s="61"/>
      <c r="C211" s="60">
        <v>2014</v>
      </c>
      <c r="D211" s="60">
        <v>2015</v>
      </c>
      <c r="E211" s="60">
        <v>2016</v>
      </c>
      <c r="F211" s="60">
        <v>2017</v>
      </c>
      <c r="G211" s="60">
        <v>2018</v>
      </c>
      <c r="H211" s="60">
        <v>2019</v>
      </c>
      <c r="I211" s="60">
        <v>2020</v>
      </c>
      <c r="J211" s="60">
        <v>2021</v>
      </c>
    </row>
    <row r="212" spans="2:13">
      <c r="B212" s="114" t="s">
        <v>362</v>
      </c>
      <c r="C212" s="66"/>
      <c r="D212" s="66"/>
      <c r="E212" s="66"/>
      <c r="F212" s="66"/>
      <c r="G212" s="66"/>
      <c r="H212" s="66"/>
      <c r="I212" s="66"/>
      <c r="J212" s="55"/>
    </row>
    <row r="213" spans="2:13">
      <c r="B213" s="54" t="s">
        <v>361</v>
      </c>
      <c r="C213" s="95">
        <v>0</v>
      </c>
      <c r="D213" s="95">
        <v>34581.1720744259</v>
      </c>
      <c r="E213" s="95">
        <v>38970.889339334259</v>
      </c>
      <c r="F213" s="95">
        <v>43053.221197500658</v>
      </c>
      <c r="G213" s="95">
        <v>49649.867929712425</v>
      </c>
      <c r="H213" s="95">
        <v>56790.231545212519</v>
      </c>
      <c r="I213" s="95">
        <v>57694.738402383249</v>
      </c>
      <c r="J213" s="95">
        <v>73202.056974613195</v>
      </c>
      <c r="L213" s="1423"/>
    </row>
    <row r="214" spans="2:13">
      <c r="B214" s="151" t="s">
        <v>360</v>
      </c>
      <c r="C214" s="95">
        <v>0</v>
      </c>
      <c r="D214" s="95">
        <v>0</v>
      </c>
      <c r="E214" s="95">
        <v>0</v>
      </c>
      <c r="F214" s="95">
        <v>0</v>
      </c>
      <c r="G214" s="95">
        <v>0</v>
      </c>
      <c r="H214" s="95">
        <v>0</v>
      </c>
      <c r="I214" s="95">
        <v>0</v>
      </c>
      <c r="J214" s="95">
        <v>0</v>
      </c>
    </row>
    <row r="215" spans="2:13">
      <c r="B215" s="151" t="s">
        <v>359</v>
      </c>
      <c r="C215" s="95">
        <v>0</v>
      </c>
      <c r="D215" s="95">
        <v>34581.1720744259</v>
      </c>
      <c r="E215" s="95">
        <v>38970.889339334259</v>
      </c>
      <c r="F215" s="95">
        <v>43053.221197500658</v>
      </c>
      <c r="G215" s="95">
        <v>49649.867929712425</v>
      </c>
      <c r="H215" s="95">
        <v>56790.231545212519</v>
      </c>
      <c r="I215" s="95">
        <v>57694.738402383249</v>
      </c>
      <c r="J215" s="95">
        <v>73202.056974613195</v>
      </c>
    </row>
    <row r="216" spans="2:13">
      <c r="B216" s="152" t="s">
        <v>358</v>
      </c>
      <c r="C216" s="95">
        <v>0</v>
      </c>
      <c r="D216" s="95">
        <v>0</v>
      </c>
      <c r="E216" s="95">
        <v>0</v>
      </c>
      <c r="F216" s="95">
        <v>0</v>
      </c>
      <c r="G216" s="95">
        <v>0</v>
      </c>
      <c r="H216" s="95">
        <v>0</v>
      </c>
      <c r="I216" s="95">
        <v>0</v>
      </c>
      <c r="J216" s="95">
        <v>0</v>
      </c>
    </row>
    <row r="217" spans="2:13">
      <c r="B217" s="71" t="s">
        <v>357</v>
      </c>
      <c r="C217" s="95">
        <v>527.77252457453778</v>
      </c>
      <c r="D217" s="95">
        <v>577.04122411903666</v>
      </c>
      <c r="E217" s="95">
        <v>618.52277158716561</v>
      </c>
      <c r="F217" s="95">
        <v>755.21802695438566</v>
      </c>
      <c r="G217" s="95">
        <v>939.97893485338784</v>
      </c>
      <c r="H217" s="95">
        <v>1188.2934468112812</v>
      </c>
      <c r="I217" s="95">
        <v>1078.759919138254</v>
      </c>
      <c r="J217" s="95">
        <v>1495.50495968722</v>
      </c>
      <c r="K217" s="1424"/>
      <c r="L217" s="1424"/>
      <c r="M217" s="1425"/>
    </row>
    <row r="218" spans="2:13">
      <c r="B218" s="151" t="s">
        <v>356</v>
      </c>
      <c r="C218" s="95">
        <v>212.53398767972348</v>
      </c>
      <c r="D218" s="95">
        <v>246.47922072173031</v>
      </c>
      <c r="E218" s="95">
        <v>278.10946234115852</v>
      </c>
      <c r="F218" s="95">
        <v>378.5842806194463</v>
      </c>
      <c r="G218" s="95">
        <v>489.39726116183675</v>
      </c>
      <c r="H218" s="95">
        <v>610.08230143813626</v>
      </c>
      <c r="I218" s="95">
        <v>661.281454071398</v>
      </c>
      <c r="J218" s="95">
        <v>924.11144011729675</v>
      </c>
      <c r="K218" s="1426"/>
      <c r="L218" s="1426"/>
      <c r="M218" s="1427"/>
    </row>
    <row r="219" spans="2:13">
      <c r="B219" s="151" t="s">
        <v>355</v>
      </c>
      <c r="C219" s="95">
        <v>0</v>
      </c>
      <c r="D219" s="95">
        <v>0</v>
      </c>
      <c r="E219" s="95">
        <v>0</v>
      </c>
      <c r="F219" s="95">
        <v>0</v>
      </c>
      <c r="G219" s="95">
        <v>0</v>
      </c>
      <c r="H219" s="95">
        <v>0</v>
      </c>
      <c r="I219" s="95">
        <v>0</v>
      </c>
      <c r="J219" s="95">
        <v>0</v>
      </c>
      <c r="K219" s="1427"/>
      <c r="L219" s="1427"/>
      <c r="M219" s="1427"/>
    </row>
    <row r="220" spans="2:13">
      <c r="B220" s="151" t="s">
        <v>354</v>
      </c>
      <c r="C220" s="95">
        <v>315.23853689481422</v>
      </c>
      <c r="D220" s="95">
        <v>330.5620033973064</v>
      </c>
      <c r="E220" s="95">
        <v>340.41330924600715</v>
      </c>
      <c r="F220" s="95">
        <v>376.63374633493936</v>
      </c>
      <c r="G220" s="95">
        <v>450.58167369155098</v>
      </c>
      <c r="H220" s="95">
        <v>578.21114537314509</v>
      </c>
      <c r="I220" s="95">
        <v>417.4784650668559</v>
      </c>
      <c r="J220" s="95">
        <v>571.39351956992334</v>
      </c>
      <c r="K220" s="1426"/>
      <c r="L220" s="1426"/>
      <c r="M220" s="1427"/>
    </row>
    <row r="221" spans="2:13">
      <c r="B221" s="71" t="s">
        <v>480</v>
      </c>
      <c r="C221" s="95">
        <v>4.2734406020408162</v>
      </c>
      <c r="D221" s="95">
        <v>37.86036546065597</v>
      </c>
      <c r="E221" s="95">
        <v>93.089897338134037</v>
      </c>
      <c r="F221" s="95">
        <v>137.50080341051228</v>
      </c>
      <c r="G221" s="95">
        <v>183.30758673621025</v>
      </c>
      <c r="H221" s="95">
        <v>219.08479040182317</v>
      </c>
      <c r="I221" s="95">
        <v>330.78204253425673</v>
      </c>
      <c r="J221" s="95">
        <v>482.88577430377615</v>
      </c>
      <c r="K221" s="1424"/>
      <c r="L221" s="1424"/>
      <c r="M221" s="1427"/>
    </row>
    <row r="222" spans="2:13">
      <c r="B222" s="71" t="s">
        <v>483</v>
      </c>
      <c r="C222" s="95">
        <v>35770.808200984189</v>
      </c>
      <c r="D222" s="95">
        <v>33730.021456472088</v>
      </c>
      <c r="E222" s="95">
        <v>32080.273026430317</v>
      </c>
      <c r="F222" s="95">
        <v>34292.971425996155</v>
      </c>
      <c r="G222" s="95">
        <v>30132.884457448967</v>
      </c>
      <c r="H222" s="95">
        <v>31609.540561047867</v>
      </c>
      <c r="I222" s="95">
        <v>19672.036246069689</v>
      </c>
      <c r="J222" s="95">
        <v>20867.382921355598</v>
      </c>
      <c r="K222" s="1424"/>
      <c r="L222" s="1428"/>
      <c r="M222" s="1427"/>
    </row>
    <row r="223" spans="2:13">
      <c r="B223" s="150" t="s">
        <v>352</v>
      </c>
      <c r="C223" s="95">
        <v>29066.154036696786</v>
      </c>
      <c r="D223" s="95">
        <v>28395.529856962086</v>
      </c>
      <c r="E223" s="95">
        <v>28266.84418023032</v>
      </c>
      <c r="F223" s="95">
        <v>30558.470040236156</v>
      </c>
      <c r="G223" s="95">
        <v>27695.797215018963</v>
      </c>
      <c r="H223" s="95">
        <v>29562.330118362966</v>
      </c>
      <c r="I223" s="95">
        <v>18508.533074269686</v>
      </c>
      <c r="J223" s="95">
        <v>19169.768612565596</v>
      </c>
      <c r="K223" s="1424"/>
      <c r="L223" s="1428"/>
      <c r="M223" s="1427"/>
    </row>
    <row r="224" spans="2:13">
      <c r="B224" s="150" t="s">
        <v>351</v>
      </c>
      <c r="C224" s="95">
        <v>6704.6541642874026</v>
      </c>
      <c r="D224" s="95">
        <v>5334.4915995099973</v>
      </c>
      <c r="E224" s="95">
        <v>3813.4288461999986</v>
      </c>
      <c r="F224" s="95">
        <v>3734.5013857599988</v>
      </c>
      <c r="G224" s="95">
        <v>2437.0872424299996</v>
      </c>
      <c r="H224" s="95">
        <v>2047.210442684898</v>
      </c>
      <c r="I224" s="95">
        <v>1163.5031717999998</v>
      </c>
      <c r="J224" s="95">
        <v>1697.6143087899993</v>
      </c>
      <c r="K224" s="1424"/>
      <c r="L224" s="1424"/>
      <c r="M224" s="1427"/>
    </row>
    <row r="225" spans="2:18">
      <c r="B225" s="54" t="s">
        <v>350</v>
      </c>
      <c r="C225" s="95">
        <v>0</v>
      </c>
      <c r="D225" s="95">
        <v>0</v>
      </c>
      <c r="E225" s="95">
        <v>0</v>
      </c>
      <c r="F225" s="95">
        <v>0</v>
      </c>
      <c r="G225" s="95">
        <v>0</v>
      </c>
      <c r="H225" s="95">
        <v>0</v>
      </c>
      <c r="I225" s="95">
        <v>0</v>
      </c>
      <c r="J225" s="95">
        <v>0</v>
      </c>
    </row>
    <row r="226" spans="2:18">
      <c r="B226" s="54"/>
      <c r="C226" s="95"/>
      <c r="D226" s="95"/>
      <c r="E226" s="95"/>
      <c r="F226" s="95"/>
      <c r="G226" s="95"/>
      <c r="H226" s="95"/>
      <c r="I226" s="95"/>
      <c r="J226" s="95"/>
    </row>
    <row r="227" spans="2:18">
      <c r="B227" s="54" t="s">
        <v>349</v>
      </c>
      <c r="C227" s="95">
        <v>36302.854166160767</v>
      </c>
      <c r="D227" s="95">
        <v>34344.923046051787</v>
      </c>
      <c r="E227" s="95">
        <v>32791.885695355617</v>
      </c>
      <c r="F227" s="95">
        <v>35185.690256361049</v>
      </c>
      <c r="G227" s="95">
        <v>31256.170979038565</v>
      </c>
      <c r="H227" s="95">
        <v>33016.918798260973</v>
      </c>
      <c r="I227" s="95">
        <v>21081.578207742197</v>
      </c>
      <c r="J227" s="95">
        <v>22845.773655346595</v>
      </c>
      <c r="K227" s="1424"/>
      <c r="L227" s="1424"/>
      <c r="M227" s="1425"/>
    </row>
    <row r="228" spans="2:18">
      <c r="B228" s="147" t="s">
        <v>348</v>
      </c>
      <c r="C228" s="95">
        <v>0</v>
      </c>
      <c r="D228" s="95">
        <v>0</v>
      </c>
      <c r="E228" s="95">
        <v>0</v>
      </c>
      <c r="F228" s="95">
        <v>0</v>
      </c>
      <c r="G228" s="95">
        <v>0</v>
      </c>
      <c r="H228" s="95">
        <v>0</v>
      </c>
      <c r="I228" s="95">
        <v>0</v>
      </c>
      <c r="J228" s="95">
        <v>0</v>
      </c>
    </row>
    <row r="229" spans="2:18">
      <c r="B229" s="147"/>
      <c r="C229" s="95"/>
      <c r="D229" s="95"/>
      <c r="E229" s="95"/>
      <c r="F229" s="95"/>
      <c r="G229" s="95"/>
      <c r="H229" s="95"/>
      <c r="I229" s="95"/>
      <c r="J229" s="95"/>
    </row>
    <row r="230" spans="2:18">
      <c r="B230" s="54" t="s">
        <v>347</v>
      </c>
      <c r="C230" s="95">
        <v>0</v>
      </c>
      <c r="D230" s="1429">
        <v>1178.418195775675</v>
      </c>
      <c r="E230" s="1429">
        <v>1233.0380125261622</v>
      </c>
      <c r="F230" s="1429">
        <v>1392.2657124567399</v>
      </c>
      <c r="G230" s="1429">
        <v>1370.0571968386016</v>
      </c>
      <c r="H230" s="1429">
        <v>1318.217185794967</v>
      </c>
      <c r="I230" s="1429">
        <v>1115.6620488065196</v>
      </c>
      <c r="J230" s="1429">
        <v>1398.7061995054275</v>
      </c>
    </row>
    <row r="231" spans="2:18">
      <c r="B231" s="54"/>
      <c r="C231" s="55"/>
      <c r="D231" s="55"/>
      <c r="E231" s="55"/>
      <c r="F231" s="55"/>
      <c r="G231" s="55"/>
      <c r="H231" s="55"/>
      <c r="I231" s="55"/>
      <c r="J231" s="55"/>
      <c r="L231" s="1423"/>
      <c r="M231" s="1423"/>
      <c r="N231" s="1423"/>
      <c r="O231" s="1423"/>
      <c r="P231" s="1423"/>
      <c r="Q231" s="1423"/>
      <c r="R231" s="1423"/>
    </row>
    <row r="232" spans="2:18">
      <c r="B232" s="114" t="s">
        <v>346</v>
      </c>
      <c r="C232" s="55"/>
      <c r="D232" s="55"/>
      <c r="E232" s="55"/>
      <c r="F232" s="55"/>
      <c r="G232" s="55"/>
      <c r="H232" s="55"/>
      <c r="I232" s="55"/>
      <c r="J232" s="55"/>
    </row>
    <row r="233" spans="2:18">
      <c r="B233" s="54" t="s">
        <v>342</v>
      </c>
      <c r="C233" s="55">
        <v>2763.2849191777814</v>
      </c>
      <c r="D233" s="55">
        <v>3012.997696843036</v>
      </c>
      <c r="E233" s="55">
        <v>3189.2517436501371</v>
      </c>
      <c r="F233" s="55">
        <v>3474.31902761725</v>
      </c>
      <c r="G233" s="55">
        <v>3842.6368492153583</v>
      </c>
      <c r="H233" s="55">
        <v>4043.9729167971514</v>
      </c>
      <c r="I233" s="55">
        <v>3701.9149344198254</v>
      </c>
      <c r="J233" s="55">
        <v>4318.866841441326</v>
      </c>
    </row>
    <row r="234" spans="2:18">
      <c r="B234" s="147" t="s">
        <v>341</v>
      </c>
      <c r="C234" s="55">
        <v>2763.2849191777814</v>
      </c>
      <c r="D234" s="55">
        <v>3012.997696843036</v>
      </c>
      <c r="E234" s="55">
        <v>3189.2517436501371</v>
      </c>
      <c r="F234" s="55">
        <v>3474.31902761725</v>
      </c>
      <c r="G234" s="55">
        <v>3842.6368492153583</v>
      </c>
      <c r="H234" s="55">
        <v>4043.9729167971514</v>
      </c>
      <c r="I234" s="55">
        <v>3701.9149344198254</v>
      </c>
      <c r="J234" s="55">
        <v>4318.866841441326</v>
      </c>
    </row>
    <row r="235" spans="2:18">
      <c r="B235" s="147" t="s">
        <v>340</v>
      </c>
      <c r="C235" s="55">
        <v>0</v>
      </c>
      <c r="D235" s="55">
        <v>0</v>
      </c>
      <c r="E235" s="55">
        <v>0</v>
      </c>
      <c r="F235" s="55">
        <v>0</v>
      </c>
      <c r="G235" s="55">
        <v>0</v>
      </c>
      <c r="H235" s="55">
        <v>0</v>
      </c>
      <c r="I235" s="55">
        <v>0</v>
      </c>
      <c r="J235" s="55">
        <v>0</v>
      </c>
    </row>
    <row r="236" spans="2:18">
      <c r="B236" s="54" t="s">
        <v>339</v>
      </c>
      <c r="C236" s="102">
        <v>450.42448206997085</v>
      </c>
      <c r="D236" s="102">
        <v>508.44299300291539</v>
      </c>
      <c r="E236" s="102">
        <v>558.45928556851311</v>
      </c>
      <c r="F236" s="55">
        <v>651.1344950437317</v>
      </c>
      <c r="G236" s="55">
        <v>774.8129338466938</v>
      </c>
      <c r="H236" s="55">
        <v>922.76110386152322</v>
      </c>
      <c r="I236" s="55">
        <v>881.57036484169726</v>
      </c>
      <c r="J236" s="55">
        <v>1245.3122751554979</v>
      </c>
    </row>
    <row r="237" spans="2:18">
      <c r="B237" s="54" t="s">
        <v>480</v>
      </c>
      <c r="C237" s="102">
        <v>50.088746983542215</v>
      </c>
      <c r="D237" s="102">
        <v>155.06784807481063</v>
      </c>
      <c r="E237" s="102">
        <v>271.31267781284384</v>
      </c>
      <c r="F237" s="55">
        <v>352.84167283721933</v>
      </c>
      <c r="G237" s="55">
        <v>458.97328618287276</v>
      </c>
      <c r="H237" s="55">
        <v>554.4339825474018</v>
      </c>
      <c r="I237" s="55">
        <v>754.5294231354394</v>
      </c>
      <c r="J237" s="55">
        <v>1077.2339163932147</v>
      </c>
    </row>
    <row r="238" spans="2:18">
      <c r="B238" s="147" t="s">
        <v>337</v>
      </c>
      <c r="C238" s="102">
        <v>47.17554885088915</v>
      </c>
      <c r="D238" s="102">
        <v>120.7895284742275</v>
      </c>
      <c r="E238" s="102">
        <v>191.35553242508874</v>
      </c>
      <c r="F238" s="55">
        <v>253.24440232780265</v>
      </c>
      <c r="G238" s="55">
        <v>338.39864223692484</v>
      </c>
      <c r="H238" s="55">
        <v>432.02143856139526</v>
      </c>
      <c r="I238" s="55">
        <v>590.8575135580146</v>
      </c>
      <c r="J238" s="55">
        <v>867.39238315257273</v>
      </c>
    </row>
    <row r="239" spans="2:18">
      <c r="B239" s="147" t="s">
        <v>336</v>
      </c>
      <c r="C239" s="102">
        <v>0</v>
      </c>
      <c r="D239" s="102">
        <v>0</v>
      </c>
      <c r="E239" s="102">
        <v>0</v>
      </c>
      <c r="F239" s="55">
        <v>0</v>
      </c>
      <c r="G239" s="55">
        <v>0</v>
      </c>
      <c r="H239" s="55">
        <v>0</v>
      </c>
      <c r="I239" s="55">
        <v>0</v>
      </c>
      <c r="J239" s="55">
        <v>0</v>
      </c>
    </row>
    <row r="240" spans="2:18">
      <c r="B240" s="147" t="s">
        <v>335</v>
      </c>
      <c r="C240" s="102">
        <v>2.913198132653064</v>
      </c>
      <c r="D240" s="102">
        <v>34.278319600583146</v>
      </c>
      <c r="E240" s="102">
        <v>79.957145387755077</v>
      </c>
      <c r="F240" s="55">
        <v>99.597270509416646</v>
      </c>
      <c r="G240" s="55">
        <v>120.57464394594786</v>
      </c>
      <c r="H240" s="55">
        <v>122.41254398600661</v>
      </c>
      <c r="I240" s="55">
        <v>163.67190957742469</v>
      </c>
      <c r="J240" s="55">
        <v>209.84153324064178</v>
      </c>
    </row>
    <row r="241" spans="2:10">
      <c r="B241" s="147"/>
      <c r="C241" s="55"/>
      <c r="D241" s="55"/>
      <c r="E241" s="55"/>
      <c r="F241" s="55"/>
      <c r="G241" s="55"/>
      <c r="H241" s="55"/>
      <c r="I241" s="55"/>
      <c r="J241" s="55"/>
    </row>
    <row r="242" spans="2:10" ht="26">
      <c r="B242" s="148" t="s">
        <v>345</v>
      </c>
      <c r="C242" s="55"/>
      <c r="D242" s="55"/>
      <c r="E242" s="55"/>
      <c r="F242" s="55"/>
      <c r="G242" s="55"/>
      <c r="H242" s="55"/>
      <c r="I242" s="55"/>
      <c r="J242" s="55"/>
    </row>
    <row r="243" spans="2:10">
      <c r="B243" s="54" t="s">
        <v>342</v>
      </c>
      <c r="C243" s="102">
        <v>2763.2849191777814</v>
      </c>
      <c r="D243" s="102">
        <v>3012.997696843036</v>
      </c>
      <c r="E243" s="102">
        <v>3189.2517436501371</v>
      </c>
      <c r="F243" s="55">
        <v>3474.31902761725</v>
      </c>
      <c r="G243" s="55">
        <v>3842.6368492153583</v>
      </c>
      <c r="H243" s="55">
        <v>4043.9729167971514</v>
      </c>
      <c r="I243" s="55">
        <v>3701.9149344198254</v>
      </c>
      <c r="J243" s="55">
        <v>4318.866841441326</v>
      </c>
    </row>
    <row r="244" spans="2:10">
      <c r="B244" s="147" t="s">
        <v>341</v>
      </c>
      <c r="C244" s="102">
        <v>2763.2849191777814</v>
      </c>
      <c r="D244" s="102">
        <v>3012.997696843036</v>
      </c>
      <c r="E244" s="102">
        <v>3189.2517436501371</v>
      </c>
      <c r="F244" s="55">
        <v>3474.31902761725</v>
      </c>
      <c r="G244" s="55">
        <v>3842.6368492153583</v>
      </c>
      <c r="H244" s="55">
        <v>4043.9729167971514</v>
      </c>
      <c r="I244" s="55">
        <v>3701.9149344198254</v>
      </c>
      <c r="J244" s="55">
        <v>4318.866841441326</v>
      </c>
    </row>
    <row r="245" spans="2:10">
      <c r="B245" s="147" t="s">
        <v>340</v>
      </c>
      <c r="C245" s="102">
        <v>0</v>
      </c>
      <c r="D245" s="102">
        <v>0</v>
      </c>
      <c r="E245" s="102">
        <v>0</v>
      </c>
      <c r="F245" s="55">
        <v>0</v>
      </c>
      <c r="G245" s="55">
        <v>0</v>
      </c>
      <c r="H245" s="55">
        <v>0</v>
      </c>
      <c r="I245" s="55">
        <v>0</v>
      </c>
      <c r="J245" s="55">
        <v>0</v>
      </c>
    </row>
    <row r="246" spans="2:10">
      <c r="B246" s="54" t="s">
        <v>339</v>
      </c>
      <c r="C246" s="102">
        <v>450.42448206997085</v>
      </c>
      <c r="D246" s="102">
        <v>508.44299300291539</v>
      </c>
      <c r="E246" s="102">
        <v>558.45928556851311</v>
      </c>
      <c r="F246" s="55">
        <v>651.1344950437317</v>
      </c>
      <c r="G246" s="55">
        <v>774.8129338466938</v>
      </c>
      <c r="H246" s="55">
        <v>922.76110386152322</v>
      </c>
      <c r="I246" s="55">
        <v>881.5703648416968</v>
      </c>
      <c r="J246" s="55">
        <v>1245.3122751554979</v>
      </c>
    </row>
    <row r="247" spans="2:10">
      <c r="B247" s="54" t="s">
        <v>338</v>
      </c>
      <c r="C247" s="102">
        <v>50.088746983542215</v>
      </c>
      <c r="D247" s="102">
        <v>155.06784807481063</v>
      </c>
      <c r="E247" s="102">
        <v>271.31267781284384</v>
      </c>
      <c r="F247" s="55">
        <v>352.84167283721933</v>
      </c>
      <c r="G247" s="55">
        <v>458.97328618287276</v>
      </c>
      <c r="H247" s="55">
        <v>554.4339825474018</v>
      </c>
      <c r="I247" s="55">
        <v>754.5294231354394</v>
      </c>
      <c r="J247" s="55">
        <v>1077.2339163932147</v>
      </c>
    </row>
    <row r="248" spans="2:10">
      <c r="B248" s="147" t="s">
        <v>337</v>
      </c>
      <c r="C248" s="102">
        <v>47.17554885088915</v>
      </c>
      <c r="D248" s="102">
        <v>120.7895284742275</v>
      </c>
      <c r="E248" s="102">
        <v>191.35553242508874</v>
      </c>
      <c r="F248" s="55">
        <v>253.24440232780265</v>
      </c>
      <c r="G248" s="55">
        <v>338.39864223692484</v>
      </c>
      <c r="H248" s="55">
        <v>432.02143856139526</v>
      </c>
      <c r="I248" s="55">
        <v>590.8575135580146</v>
      </c>
      <c r="J248" s="55">
        <v>867.39238315257273</v>
      </c>
    </row>
    <row r="249" spans="2:10">
      <c r="B249" s="147" t="s">
        <v>336</v>
      </c>
      <c r="C249" s="102">
        <v>0</v>
      </c>
      <c r="D249" s="102">
        <v>0</v>
      </c>
      <c r="E249" s="102">
        <v>0</v>
      </c>
      <c r="F249" s="55">
        <v>0</v>
      </c>
      <c r="G249" s="55">
        <v>0</v>
      </c>
      <c r="H249" s="55">
        <v>0</v>
      </c>
      <c r="I249" s="55">
        <v>0</v>
      </c>
      <c r="J249" s="55">
        <v>0</v>
      </c>
    </row>
    <row r="250" spans="2:10">
      <c r="B250" s="147" t="s">
        <v>335</v>
      </c>
      <c r="C250" s="102">
        <v>2.913198132653064</v>
      </c>
      <c r="D250" s="102">
        <v>34.278319600583146</v>
      </c>
      <c r="E250" s="102">
        <v>79.957145387755077</v>
      </c>
      <c r="F250" s="55">
        <v>99.597270509416646</v>
      </c>
      <c r="G250" s="55">
        <v>120.57464394594786</v>
      </c>
      <c r="H250" s="55">
        <v>122.41254398600661</v>
      </c>
      <c r="I250" s="55">
        <v>163.67190957742469</v>
      </c>
      <c r="J250" s="55">
        <v>209.84153324064178</v>
      </c>
    </row>
    <row r="251" spans="2:10">
      <c r="B251" s="147"/>
      <c r="C251" s="55"/>
      <c r="D251" s="55"/>
      <c r="E251" s="55"/>
      <c r="F251" s="55"/>
      <c r="G251" s="55"/>
      <c r="H251" s="55"/>
      <c r="I251" s="55"/>
      <c r="J251" s="55"/>
    </row>
    <row r="252" spans="2:10" ht="26">
      <c r="B252" s="148" t="s">
        <v>344</v>
      </c>
      <c r="C252" s="55"/>
      <c r="D252" s="55"/>
      <c r="E252" s="55"/>
      <c r="F252" s="55"/>
      <c r="G252" s="55"/>
      <c r="H252" s="55"/>
      <c r="I252" s="55"/>
      <c r="J252" s="55"/>
    </row>
    <row r="253" spans="2:10">
      <c r="B253" s="54" t="s">
        <v>342</v>
      </c>
      <c r="C253" s="102">
        <v>0</v>
      </c>
      <c r="D253" s="102">
        <v>0</v>
      </c>
      <c r="E253" s="102">
        <v>0</v>
      </c>
      <c r="F253" s="55">
        <v>0</v>
      </c>
      <c r="G253" s="55">
        <v>0</v>
      </c>
      <c r="H253" s="55">
        <v>0</v>
      </c>
      <c r="I253" s="55">
        <v>0</v>
      </c>
      <c r="J253" s="55">
        <v>0</v>
      </c>
    </row>
    <row r="254" spans="2:10">
      <c r="B254" s="147" t="s">
        <v>341</v>
      </c>
      <c r="C254" s="102">
        <v>0</v>
      </c>
      <c r="D254" s="102">
        <v>0</v>
      </c>
      <c r="E254" s="102">
        <v>0</v>
      </c>
      <c r="F254" s="55">
        <v>0</v>
      </c>
      <c r="G254" s="55">
        <v>0</v>
      </c>
      <c r="H254" s="55">
        <v>0</v>
      </c>
      <c r="I254" s="55">
        <v>0</v>
      </c>
      <c r="J254" s="55">
        <v>0</v>
      </c>
    </row>
    <row r="255" spans="2:10">
      <c r="B255" s="147" t="s">
        <v>340</v>
      </c>
      <c r="C255" s="102">
        <v>0</v>
      </c>
      <c r="D255" s="102">
        <v>0</v>
      </c>
      <c r="E255" s="102">
        <v>0</v>
      </c>
      <c r="F255" s="55">
        <v>0</v>
      </c>
      <c r="G255" s="55">
        <v>0</v>
      </c>
      <c r="H255" s="55">
        <v>0</v>
      </c>
      <c r="I255" s="55">
        <v>0</v>
      </c>
      <c r="J255" s="55">
        <v>0</v>
      </c>
    </row>
    <row r="256" spans="2:10">
      <c r="B256" s="54" t="s">
        <v>339</v>
      </c>
      <c r="C256" s="102">
        <v>0</v>
      </c>
      <c r="D256" s="102">
        <v>0</v>
      </c>
      <c r="E256" s="102">
        <v>0</v>
      </c>
      <c r="F256" s="102">
        <v>0</v>
      </c>
      <c r="G256" s="102">
        <v>0</v>
      </c>
      <c r="H256" s="102">
        <v>0</v>
      </c>
      <c r="I256" s="102">
        <v>0</v>
      </c>
      <c r="J256" s="102">
        <v>0</v>
      </c>
    </row>
    <row r="257" spans="2:15">
      <c r="B257" s="54" t="s">
        <v>338</v>
      </c>
      <c r="C257" s="102">
        <v>0</v>
      </c>
      <c r="D257" s="102">
        <v>0</v>
      </c>
      <c r="E257" s="102">
        <v>0</v>
      </c>
      <c r="F257" s="55">
        <v>0</v>
      </c>
      <c r="G257" s="55">
        <v>0</v>
      </c>
      <c r="H257" s="55">
        <v>0</v>
      </c>
      <c r="I257" s="55">
        <v>0</v>
      </c>
      <c r="J257" s="55">
        <v>0</v>
      </c>
    </row>
    <row r="258" spans="2:15">
      <c r="B258" s="147" t="s">
        <v>337</v>
      </c>
      <c r="C258" s="102">
        <v>0</v>
      </c>
      <c r="D258" s="102">
        <v>0</v>
      </c>
      <c r="E258" s="102">
        <v>0</v>
      </c>
      <c r="F258" s="55">
        <v>0</v>
      </c>
      <c r="G258" s="55">
        <v>0</v>
      </c>
      <c r="H258" s="55">
        <v>0</v>
      </c>
      <c r="I258" s="55">
        <v>0</v>
      </c>
      <c r="J258" s="55">
        <v>0</v>
      </c>
    </row>
    <row r="259" spans="2:15">
      <c r="B259" s="147" t="s">
        <v>336</v>
      </c>
      <c r="C259" s="102">
        <v>0</v>
      </c>
      <c r="D259" s="102">
        <v>0</v>
      </c>
      <c r="E259" s="102">
        <v>0</v>
      </c>
      <c r="F259" s="55">
        <v>0</v>
      </c>
      <c r="G259" s="55">
        <v>0</v>
      </c>
      <c r="H259" s="55">
        <v>0</v>
      </c>
      <c r="I259" s="55">
        <v>0</v>
      </c>
      <c r="J259" s="55">
        <v>0</v>
      </c>
    </row>
    <row r="260" spans="2:15">
      <c r="B260" s="147" t="s">
        <v>335</v>
      </c>
      <c r="C260" s="102">
        <v>0</v>
      </c>
      <c r="D260" s="102">
        <v>0</v>
      </c>
      <c r="E260" s="102">
        <v>0</v>
      </c>
      <c r="F260" s="55">
        <v>0</v>
      </c>
      <c r="G260" s="55">
        <v>0</v>
      </c>
      <c r="H260" s="55">
        <v>0</v>
      </c>
      <c r="I260" s="55">
        <v>0</v>
      </c>
      <c r="J260" s="55">
        <v>0</v>
      </c>
    </row>
    <row r="261" spans="2:15">
      <c r="B261" s="147"/>
      <c r="C261" s="55"/>
      <c r="D261" s="55"/>
      <c r="E261" s="55"/>
      <c r="F261" s="55"/>
      <c r="G261" s="55"/>
      <c r="H261" s="55"/>
      <c r="I261" s="55"/>
      <c r="J261" s="55"/>
    </row>
    <row r="262" spans="2:15" ht="26">
      <c r="B262" s="148" t="s">
        <v>343</v>
      </c>
      <c r="C262" s="55"/>
      <c r="D262" s="55"/>
      <c r="E262" s="55"/>
      <c r="F262" s="55"/>
      <c r="G262" s="55"/>
      <c r="H262" s="55"/>
      <c r="I262" s="55"/>
      <c r="J262" s="55"/>
    </row>
    <row r="263" spans="2:15">
      <c r="B263" s="54" t="s">
        <v>342</v>
      </c>
      <c r="C263" s="102">
        <v>0</v>
      </c>
      <c r="D263" s="102">
        <v>0</v>
      </c>
      <c r="E263" s="102">
        <v>0</v>
      </c>
      <c r="F263" s="55">
        <v>0</v>
      </c>
      <c r="G263" s="55">
        <v>0</v>
      </c>
      <c r="H263" s="55">
        <v>0</v>
      </c>
      <c r="I263" s="55">
        <v>0</v>
      </c>
      <c r="J263" s="55">
        <v>0</v>
      </c>
    </row>
    <row r="264" spans="2:15">
      <c r="B264" s="147" t="s">
        <v>341</v>
      </c>
      <c r="C264" s="102">
        <v>0</v>
      </c>
      <c r="D264" s="102">
        <v>0</v>
      </c>
      <c r="E264" s="102">
        <v>0</v>
      </c>
      <c r="F264" s="55">
        <v>0</v>
      </c>
      <c r="G264" s="55">
        <v>0</v>
      </c>
      <c r="H264" s="55">
        <v>0</v>
      </c>
      <c r="I264" s="55">
        <v>0</v>
      </c>
      <c r="J264" s="55">
        <v>0</v>
      </c>
    </row>
    <row r="265" spans="2:15">
      <c r="B265" s="147" t="s">
        <v>340</v>
      </c>
      <c r="C265" s="102">
        <v>0</v>
      </c>
      <c r="D265" s="102">
        <v>0</v>
      </c>
      <c r="E265" s="102">
        <v>0</v>
      </c>
      <c r="F265" s="55">
        <v>0</v>
      </c>
      <c r="G265" s="55">
        <v>0</v>
      </c>
      <c r="H265" s="55">
        <v>0</v>
      </c>
      <c r="I265" s="55">
        <v>0</v>
      </c>
      <c r="J265" s="55">
        <v>0</v>
      </c>
    </row>
    <row r="266" spans="2:15">
      <c r="B266" s="54" t="s">
        <v>339</v>
      </c>
      <c r="C266" s="102">
        <v>0</v>
      </c>
      <c r="D266" s="102">
        <v>0</v>
      </c>
      <c r="E266" s="102">
        <v>691.12985903603305</v>
      </c>
      <c r="F266" s="55">
        <v>792.09879024372435</v>
      </c>
      <c r="G266" s="55">
        <v>668.9179308468955</v>
      </c>
      <c r="H266" s="55">
        <v>613.85307369388545</v>
      </c>
      <c r="I266" s="55">
        <v>521.34157301484788</v>
      </c>
      <c r="J266" s="55">
        <v>676.51848530203995</v>
      </c>
      <c r="K266" s="1423"/>
      <c r="L266" s="1423"/>
      <c r="O266"/>
    </row>
    <row r="267" spans="2:15">
      <c r="B267" s="54" t="s">
        <v>338</v>
      </c>
      <c r="C267" s="102">
        <v>0</v>
      </c>
      <c r="D267" s="102">
        <v>0</v>
      </c>
      <c r="E267" s="102">
        <v>0</v>
      </c>
      <c r="F267" s="55">
        <v>0</v>
      </c>
      <c r="G267" s="55">
        <v>0</v>
      </c>
      <c r="H267" s="55">
        <v>0</v>
      </c>
      <c r="I267" s="55">
        <v>0</v>
      </c>
      <c r="J267" s="55">
        <v>0</v>
      </c>
    </row>
    <row r="268" spans="2:15">
      <c r="B268" s="147" t="s">
        <v>337</v>
      </c>
      <c r="C268" s="102">
        <v>0</v>
      </c>
      <c r="D268" s="102">
        <v>0</v>
      </c>
      <c r="E268" s="102">
        <v>0</v>
      </c>
      <c r="F268" s="55">
        <v>0</v>
      </c>
      <c r="G268" s="55">
        <v>0</v>
      </c>
      <c r="H268" s="55">
        <v>0</v>
      </c>
      <c r="I268" s="55">
        <v>0</v>
      </c>
      <c r="J268" s="55">
        <v>0</v>
      </c>
    </row>
    <row r="269" spans="2:15">
      <c r="B269" s="147" t="s">
        <v>336</v>
      </c>
      <c r="C269" s="102">
        <v>0</v>
      </c>
      <c r="D269" s="102">
        <v>0</v>
      </c>
      <c r="E269" s="102">
        <v>0</v>
      </c>
      <c r="F269" s="55">
        <v>0</v>
      </c>
      <c r="G269" s="55">
        <v>0</v>
      </c>
      <c r="H269" s="55">
        <v>0</v>
      </c>
      <c r="I269" s="55">
        <v>0</v>
      </c>
      <c r="J269" s="55">
        <v>0</v>
      </c>
    </row>
    <row r="270" spans="2:15" ht="15" thickBot="1">
      <c r="B270" s="146" t="s">
        <v>335</v>
      </c>
      <c r="C270" s="102">
        <v>0</v>
      </c>
      <c r="D270" s="102">
        <v>0</v>
      </c>
      <c r="E270" s="102">
        <v>0</v>
      </c>
      <c r="F270" s="55">
        <v>0</v>
      </c>
      <c r="G270" s="55">
        <v>0</v>
      </c>
      <c r="H270" s="55">
        <v>0</v>
      </c>
      <c r="I270" s="55">
        <v>0</v>
      </c>
      <c r="J270" s="101">
        <v>0</v>
      </c>
    </row>
    <row r="271" spans="2:15" ht="15" thickTop="1">
      <c r="B271" s="2025" t="s">
        <v>1919</v>
      </c>
      <c r="C271" s="2025"/>
      <c r="D271" s="2025"/>
      <c r="E271" s="2025"/>
      <c r="F271" s="2025"/>
      <c r="G271" s="2025"/>
      <c r="H271" s="2025"/>
      <c r="I271" s="2025"/>
    </row>
    <row r="272" spans="2:15">
      <c r="B272" s="64"/>
      <c r="C272" s="121"/>
      <c r="D272" s="121"/>
      <c r="E272" s="121"/>
      <c r="F272" s="121"/>
      <c r="G272" s="121"/>
      <c r="H272" s="121"/>
      <c r="I272" s="121"/>
    </row>
    <row r="273" spans="2:11">
      <c r="B273" s="2024" t="s">
        <v>333</v>
      </c>
      <c r="C273" s="2024"/>
      <c r="D273" s="2024"/>
      <c r="E273" s="2024"/>
      <c r="F273" s="2024"/>
      <c r="G273" s="2024"/>
      <c r="H273" s="2024"/>
      <c r="I273" s="2024"/>
      <c r="J273" s="2024"/>
      <c r="K273" s="1004"/>
    </row>
    <row r="274" spans="2:11">
      <c r="B274" s="12" t="s">
        <v>332</v>
      </c>
      <c r="C274" s="121"/>
      <c r="D274" s="121"/>
      <c r="E274" s="121"/>
      <c r="F274" s="121"/>
      <c r="G274" s="121"/>
      <c r="H274" s="121"/>
      <c r="I274" s="121"/>
    </row>
    <row r="275" spans="2:11">
      <c r="B275" s="62" t="s">
        <v>269</v>
      </c>
      <c r="C275" s="121"/>
      <c r="D275" s="121"/>
      <c r="E275" s="121"/>
      <c r="F275" s="121"/>
      <c r="G275" s="121"/>
      <c r="H275" s="121"/>
      <c r="I275" s="121"/>
    </row>
    <row r="276" spans="2:11">
      <c r="B276" s="64"/>
      <c r="C276" s="121"/>
      <c r="D276" s="121"/>
      <c r="E276" s="121"/>
      <c r="F276" s="121"/>
      <c r="G276" s="121"/>
      <c r="H276" s="121"/>
      <c r="I276" s="121"/>
    </row>
    <row r="277" spans="2:11">
      <c r="B277" s="61"/>
      <c r="C277" s="60">
        <v>2014</v>
      </c>
      <c r="D277" s="60">
        <v>2015</v>
      </c>
      <c r="E277" s="60">
        <v>2016</v>
      </c>
      <c r="F277" s="60">
        <v>2017</v>
      </c>
      <c r="G277" s="60">
        <v>2018</v>
      </c>
      <c r="H277" s="60">
        <v>2019</v>
      </c>
      <c r="I277" s="60">
        <v>2020</v>
      </c>
      <c r="J277" s="60">
        <v>2021</v>
      </c>
    </row>
    <row r="278" spans="2:11">
      <c r="B278" s="114" t="s">
        <v>310</v>
      </c>
      <c r="C278" s="121"/>
      <c r="D278" s="121"/>
      <c r="E278" s="121"/>
      <c r="F278" s="121"/>
      <c r="G278" s="121"/>
      <c r="H278" s="121"/>
      <c r="I278" s="121"/>
    </row>
    <row r="279" spans="2:11">
      <c r="B279" s="114"/>
      <c r="C279" s="121"/>
      <c r="D279" s="121"/>
      <c r="E279" s="121"/>
      <c r="F279" s="121"/>
      <c r="G279" s="121"/>
      <c r="H279" s="121"/>
      <c r="I279" s="121"/>
    </row>
    <row r="280" spans="2:11">
      <c r="B280" s="59" t="s">
        <v>1920</v>
      </c>
      <c r="C280" s="121"/>
      <c r="D280" s="121"/>
      <c r="E280" s="121"/>
      <c r="F280" s="121"/>
      <c r="G280" s="121"/>
      <c r="H280" s="121"/>
      <c r="I280" s="121"/>
    </row>
    <row r="281" spans="2:11">
      <c r="B281" s="71" t="s">
        <v>331</v>
      </c>
      <c r="C281" s="75">
        <v>24</v>
      </c>
      <c r="D281" s="75">
        <v>52</v>
      </c>
      <c r="E281" s="75">
        <v>91</v>
      </c>
      <c r="F281" s="75">
        <v>90</v>
      </c>
      <c r="G281" s="75">
        <v>88</v>
      </c>
      <c r="H281" s="75">
        <v>90</v>
      </c>
      <c r="I281" s="75">
        <v>90</v>
      </c>
      <c r="J281">
        <v>95</v>
      </c>
    </row>
    <row r="282" spans="2:11">
      <c r="B282" s="133" t="s">
        <v>330</v>
      </c>
      <c r="C282" s="75">
        <v>24</v>
      </c>
      <c r="D282" s="75">
        <v>52</v>
      </c>
      <c r="E282" s="75">
        <v>91</v>
      </c>
      <c r="F282" s="75">
        <v>90</v>
      </c>
      <c r="G282" s="75">
        <v>88</v>
      </c>
      <c r="H282" s="75">
        <v>90</v>
      </c>
      <c r="I282" s="75">
        <v>90</v>
      </c>
      <c r="J282">
        <v>95</v>
      </c>
    </row>
    <row r="283" spans="2:11">
      <c r="B283" s="52" t="s">
        <v>260</v>
      </c>
      <c r="C283" s="75">
        <v>18</v>
      </c>
      <c r="D283" s="75">
        <v>18</v>
      </c>
      <c r="E283" s="75">
        <v>18</v>
      </c>
      <c r="F283" s="75">
        <v>17</v>
      </c>
      <c r="G283" s="75">
        <v>17</v>
      </c>
      <c r="H283" s="75">
        <v>17</v>
      </c>
      <c r="I283" s="75">
        <v>17</v>
      </c>
      <c r="J283">
        <v>15</v>
      </c>
    </row>
    <row r="284" spans="2:11">
      <c r="B284" s="52" t="s">
        <v>329</v>
      </c>
      <c r="C284" s="75">
        <v>1</v>
      </c>
      <c r="D284" s="75">
        <v>0</v>
      </c>
      <c r="E284" s="75">
        <v>0</v>
      </c>
      <c r="F284" s="75">
        <v>0</v>
      </c>
      <c r="G284" s="75">
        <v>0</v>
      </c>
      <c r="H284" s="75">
        <v>0</v>
      </c>
      <c r="I284" s="75">
        <v>0</v>
      </c>
      <c r="J284">
        <v>0</v>
      </c>
    </row>
    <row r="285" spans="2:11">
      <c r="B285" s="52" t="s">
        <v>328</v>
      </c>
      <c r="C285" s="75">
        <v>5</v>
      </c>
      <c r="D285" s="75">
        <v>34</v>
      </c>
      <c r="E285" s="75">
        <v>73</v>
      </c>
      <c r="F285" s="75">
        <v>73</v>
      </c>
      <c r="G285" s="75">
        <v>71</v>
      </c>
      <c r="H285" s="75">
        <v>73</v>
      </c>
      <c r="I285" s="75">
        <v>73</v>
      </c>
      <c r="J285">
        <v>80</v>
      </c>
    </row>
    <row r="286" spans="2:11">
      <c r="B286" s="136" t="s">
        <v>327</v>
      </c>
      <c r="C286" s="75">
        <v>0</v>
      </c>
      <c r="D286" s="75">
        <v>0</v>
      </c>
      <c r="E286" s="75">
        <v>0</v>
      </c>
      <c r="F286" s="75">
        <v>0</v>
      </c>
      <c r="G286" s="75">
        <v>0</v>
      </c>
      <c r="H286" s="75">
        <v>0</v>
      </c>
      <c r="I286" s="75">
        <v>0</v>
      </c>
      <c r="J286">
        <v>0</v>
      </c>
    </row>
    <row r="287" spans="2:11">
      <c r="B287" s="136" t="s">
        <v>326</v>
      </c>
      <c r="C287" s="75">
        <v>0</v>
      </c>
      <c r="D287" s="75">
        <v>0</v>
      </c>
      <c r="E287" s="75">
        <v>0</v>
      </c>
      <c r="F287" s="75">
        <v>0</v>
      </c>
      <c r="G287" s="75">
        <v>0</v>
      </c>
      <c r="H287" s="75">
        <v>0</v>
      </c>
      <c r="I287" s="75">
        <v>0</v>
      </c>
      <c r="J287">
        <v>0</v>
      </c>
    </row>
    <row r="288" spans="2:11">
      <c r="B288" s="136" t="s">
        <v>325</v>
      </c>
      <c r="C288" s="75">
        <v>2</v>
      </c>
      <c r="D288" s="75">
        <v>0</v>
      </c>
      <c r="E288" s="75">
        <v>4</v>
      </c>
      <c r="F288" s="75">
        <v>4</v>
      </c>
      <c r="G288" s="75">
        <v>4</v>
      </c>
      <c r="H288" s="75">
        <v>4</v>
      </c>
      <c r="I288" s="75">
        <v>4</v>
      </c>
      <c r="J288">
        <v>4</v>
      </c>
    </row>
    <row r="289" spans="2:10">
      <c r="B289" s="136" t="s">
        <v>323</v>
      </c>
      <c r="C289" s="75">
        <v>3</v>
      </c>
      <c r="D289" s="75">
        <v>34</v>
      </c>
      <c r="E289" s="75">
        <v>68</v>
      </c>
      <c r="F289" s="75">
        <v>68</v>
      </c>
      <c r="G289" s="75">
        <v>65</v>
      </c>
      <c r="H289" s="75">
        <v>67</v>
      </c>
      <c r="I289" s="75">
        <v>67</v>
      </c>
      <c r="J289">
        <v>74</v>
      </c>
    </row>
    <row r="290" spans="2:10">
      <c r="B290" s="136" t="s">
        <v>117</v>
      </c>
      <c r="C290" s="75">
        <v>0</v>
      </c>
      <c r="D290" s="75">
        <v>0</v>
      </c>
      <c r="E290" s="75">
        <v>1</v>
      </c>
      <c r="F290" s="75">
        <v>1</v>
      </c>
      <c r="G290" s="75">
        <v>2</v>
      </c>
      <c r="H290" s="75">
        <v>2</v>
      </c>
      <c r="I290" s="75">
        <v>2</v>
      </c>
      <c r="J290">
        <v>2</v>
      </c>
    </row>
    <row r="291" spans="2:10">
      <c r="B291" s="133" t="s">
        <v>322</v>
      </c>
      <c r="C291" s="75">
        <v>0</v>
      </c>
      <c r="D291" s="75">
        <v>0</v>
      </c>
      <c r="E291" s="75">
        <v>0</v>
      </c>
      <c r="F291" s="75">
        <v>0</v>
      </c>
      <c r="G291" s="75">
        <v>0</v>
      </c>
      <c r="H291" s="75">
        <v>0</v>
      </c>
      <c r="I291" s="75">
        <v>0</v>
      </c>
      <c r="J291">
        <v>0</v>
      </c>
    </row>
    <row r="292" spans="2:10">
      <c r="B292" s="133"/>
      <c r="C292" s="3"/>
      <c r="D292" s="3"/>
      <c r="E292" s="3"/>
      <c r="F292" s="3"/>
      <c r="G292" s="3"/>
      <c r="H292" s="3"/>
      <c r="I292" s="3"/>
    </row>
    <row r="293" spans="2:10">
      <c r="B293" s="212" t="s">
        <v>485</v>
      </c>
      <c r="C293" s="3"/>
      <c r="D293" s="3"/>
      <c r="E293" s="3"/>
      <c r="F293" s="3"/>
      <c r="G293" s="3"/>
      <c r="H293" s="3"/>
      <c r="I293" s="3"/>
    </row>
    <row r="294" spans="2:10">
      <c r="B294" s="133"/>
      <c r="C294" s="3"/>
      <c r="D294" s="3"/>
      <c r="E294" s="3"/>
      <c r="F294" s="3"/>
      <c r="G294" s="3"/>
      <c r="H294" s="3"/>
      <c r="I294" s="3"/>
    </row>
    <row r="295" spans="2:10" ht="26">
      <c r="B295" s="59" t="s">
        <v>1921</v>
      </c>
      <c r="C295" s="3"/>
      <c r="D295" s="3"/>
      <c r="E295" s="3"/>
      <c r="F295" s="3"/>
      <c r="G295" s="3"/>
      <c r="H295" s="3"/>
      <c r="I295" s="3"/>
    </row>
    <row r="296" spans="2:10">
      <c r="B296" s="71" t="s">
        <v>331</v>
      </c>
      <c r="C296" s="75">
        <v>16</v>
      </c>
      <c r="D296" s="75">
        <v>16</v>
      </c>
      <c r="E296" s="75">
        <v>19</v>
      </c>
      <c r="F296" s="75">
        <v>20</v>
      </c>
      <c r="G296" s="75">
        <v>23</v>
      </c>
      <c r="H296" s="75">
        <v>24</v>
      </c>
      <c r="I296" s="75">
        <v>25</v>
      </c>
      <c r="J296" s="1287">
        <v>29</v>
      </c>
    </row>
    <row r="297" spans="2:10">
      <c r="B297" s="133" t="s">
        <v>330</v>
      </c>
      <c r="C297" s="75">
        <v>16</v>
      </c>
      <c r="D297" s="75">
        <v>16</v>
      </c>
      <c r="E297" s="75">
        <v>19</v>
      </c>
      <c r="F297" s="75">
        <v>20</v>
      </c>
      <c r="G297" s="75">
        <v>23</v>
      </c>
      <c r="H297" s="75">
        <v>24</v>
      </c>
      <c r="I297" s="75">
        <v>25</v>
      </c>
      <c r="J297" s="1287">
        <v>29</v>
      </c>
    </row>
    <row r="298" spans="2:10">
      <c r="B298" s="52" t="s">
        <v>260</v>
      </c>
      <c r="C298" s="75">
        <v>15</v>
      </c>
      <c r="D298" s="75">
        <v>15</v>
      </c>
      <c r="E298" s="75">
        <v>16</v>
      </c>
      <c r="F298" s="75">
        <v>16</v>
      </c>
      <c r="G298" s="75">
        <v>16</v>
      </c>
      <c r="H298" s="75">
        <v>16</v>
      </c>
      <c r="I298" s="75">
        <v>14</v>
      </c>
      <c r="J298" s="1287">
        <v>14</v>
      </c>
    </row>
    <row r="299" spans="2:10">
      <c r="B299" s="52" t="s">
        <v>329</v>
      </c>
      <c r="C299" s="75">
        <v>1</v>
      </c>
      <c r="D299" s="75">
        <v>1</v>
      </c>
      <c r="E299" s="75">
        <v>1</v>
      </c>
      <c r="F299" s="75">
        <v>1</v>
      </c>
      <c r="G299" s="75">
        <v>1</v>
      </c>
      <c r="H299" s="75">
        <v>1</v>
      </c>
      <c r="I299" s="75">
        <v>1</v>
      </c>
      <c r="J299" s="1430">
        <v>1</v>
      </c>
    </row>
    <row r="300" spans="2:10">
      <c r="B300" s="52" t="s">
        <v>328</v>
      </c>
      <c r="C300" s="75">
        <v>0</v>
      </c>
      <c r="D300" s="75">
        <v>0</v>
      </c>
      <c r="E300" s="75">
        <v>2</v>
      </c>
      <c r="F300" s="75">
        <v>3</v>
      </c>
      <c r="G300" s="75">
        <v>6</v>
      </c>
      <c r="H300" s="75">
        <v>7</v>
      </c>
      <c r="I300" s="75">
        <v>10</v>
      </c>
      <c r="J300" s="1287">
        <v>14</v>
      </c>
    </row>
    <row r="301" spans="2:10">
      <c r="B301" s="136" t="s">
        <v>327</v>
      </c>
      <c r="C301" s="75">
        <v>0</v>
      </c>
      <c r="D301" s="75">
        <v>0</v>
      </c>
      <c r="E301" s="75">
        <v>0</v>
      </c>
      <c r="F301" s="75">
        <v>0</v>
      </c>
      <c r="G301" s="75">
        <v>0</v>
      </c>
      <c r="H301" s="75">
        <v>0</v>
      </c>
      <c r="I301" s="75">
        <v>0</v>
      </c>
      <c r="J301" s="1430" t="s">
        <v>2086</v>
      </c>
    </row>
    <row r="302" spans="2:10">
      <c r="B302" s="136" t="s">
        <v>326</v>
      </c>
      <c r="C302" s="75">
        <v>0</v>
      </c>
      <c r="D302" s="75">
        <v>0</v>
      </c>
      <c r="E302" s="75">
        <v>0</v>
      </c>
      <c r="F302" s="75">
        <v>0</v>
      </c>
      <c r="G302" s="75">
        <v>0</v>
      </c>
      <c r="H302" s="75">
        <v>0</v>
      </c>
      <c r="I302" s="75">
        <v>0</v>
      </c>
      <c r="J302" s="1430" t="s">
        <v>2086</v>
      </c>
    </row>
    <row r="303" spans="2:10">
      <c r="B303" s="136" t="s">
        <v>325</v>
      </c>
      <c r="C303" s="75">
        <v>0</v>
      </c>
      <c r="D303" s="75">
        <v>0</v>
      </c>
      <c r="E303" s="75">
        <v>0</v>
      </c>
      <c r="F303" s="75">
        <v>0</v>
      </c>
      <c r="G303" s="75">
        <v>0</v>
      </c>
      <c r="H303" s="75">
        <v>0</v>
      </c>
      <c r="I303" s="75">
        <v>0</v>
      </c>
      <c r="J303" s="1430" t="s">
        <v>2086</v>
      </c>
    </row>
    <row r="304" spans="2:10">
      <c r="B304" s="136" t="s">
        <v>323</v>
      </c>
      <c r="C304" s="75">
        <v>0</v>
      </c>
      <c r="D304" s="75">
        <v>0</v>
      </c>
      <c r="E304" s="75">
        <v>1</v>
      </c>
      <c r="F304" s="75">
        <v>2</v>
      </c>
      <c r="G304" s="75">
        <v>4</v>
      </c>
      <c r="H304" s="75">
        <v>6</v>
      </c>
      <c r="I304" s="75">
        <v>9</v>
      </c>
      <c r="J304" s="1287">
        <v>13</v>
      </c>
    </row>
    <row r="305" spans="2:10">
      <c r="B305" s="136" t="s">
        <v>117</v>
      </c>
      <c r="C305" s="75">
        <v>0</v>
      </c>
      <c r="D305" s="75">
        <v>0</v>
      </c>
      <c r="E305" s="75">
        <v>1</v>
      </c>
      <c r="F305" s="75">
        <v>1</v>
      </c>
      <c r="G305" s="75">
        <v>2</v>
      </c>
      <c r="H305" s="75">
        <v>1</v>
      </c>
      <c r="I305" s="75">
        <v>1</v>
      </c>
      <c r="J305" s="1287">
        <v>1</v>
      </c>
    </row>
    <row r="306" spans="2:10">
      <c r="B306" s="133" t="s">
        <v>322</v>
      </c>
      <c r="C306" s="75">
        <v>0</v>
      </c>
      <c r="D306" s="75">
        <v>0</v>
      </c>
      <c r="E306" s="75">
        <v>0</v>
      </c>
      <c r="F306" s="75">
        <v>0</v>
      </c>
      <c r="G306" s="75">
        <v>0</v>
      </c>
      <c r="H306" s="75">
        <v>0</v>
      </c>
      <c r="I306" s="75">
        <v>0</v>
      </c>
      <c r="J306" s="1430" t="s">
        <v>2086</v>
      </c>
    </row>
    <row r="307" spans="2:10">
      <c r="B307" s="133"/>
      <c r="C307" s="75"/>
      <c r="D307" s="75"/>
      <c r="E307" s="75"/>
      <c r="F307" s="75"/>
      <c r="G307" s="75"/>
      <c r="H307" s="75"/>
      <c r="I307" s="75"/>
    </row>
    <row r="308" spans="2:10" ht="26">
      <c r="B308" s="59" t="s">
        <v>1922</v>
      </c>
      <c r="C308" s="3"/>
      <c r="D308" s="3"/>
      <c r="E308" s="3"/>
      <c r="F308" s="3"/>
      <c r="G308" s="3"/>
      <c r="H308" s="3"/>
      <c r="I308" s="3"/>
    </row>
    <row r="309" spans="2:10">
      <c r="B309" s="71" t="s">
        <v>331</v>
      </c>
      <c r="C309" s="75">
        <v>0</v>
      </c>
      <c r="D309" s="75">
        <v>0</v>
      </c>
      <c r="E309" s="75">
        <v>0</v>
      </c>
      <c r="F309" s="75">
        <v>0</v>
      </c>
      <c r="G309" s="75">
        <v>0</v>
      </c>
      <c r="H309" s="75">
        <v>0</v>
      </c>
      <c r="I309" s="1430">
        <v>1</v>
      </c>
      <c r="J309" s="1430" t="s">
        <v>2086</v>
      </c>
    </row>
    <row r="310" spans="2:10">
      <c r="B310" s="133" t="s">
        <v>330</v>
      </c>
      <c r="C310" s="75">
        <v>0</v>
      </c>
      <c r="D310" s="75">
        <v>0</v>
      </c>
      <c r="E310" s="75">
        <v>0</v>
      </c>
      <c r="F310" s="75">
        <v>0</v>
      </c>
      <c r="G310" s="75">
        <v>0</v>
      </c>
      <c r="H310" s="75">
        <v>0</v>
      </c>
      <c r="I310" s="1430">
        <v>1</v>
      </c>
      <c r="J310" s="1430">
        <v>1</v>
      </c>
    </row>
    <row r="311" spans="2:10">
      <c r="B311" s="52" t="s">
        <v>260</v>
      </c>
      <c r="C311" s="75">
        <v>0</v>
      </c>
      <c r="D311" s="75">
        <v>0</v>
      </c>
      <c r="E311" s="75">
        <v>0</v>
      </c>
      <c r="F311" s="75">
        <v>0</v>
      </c>
      <c r="G311" s="75">
        <v>0</v>
      </c>
      <c r="H311" s="75">
        <v>0</v>
      </c>
      <c r="I311" s="1430" t="s">
        <v>2086</v>
      </c>
      <c r="J311" s="1430" t="s">
        <v>2086</v>
      </c>
    </row>
    <row r="312" spans="2:10">
      <c r="B312" s="52" t="s">
        <v>329</v>
      </c>
      <c r="C312" s="75">
        <v>0</v>
      </c>
      <c r="D312" s="75">
        <v>0</v>
      </c>
      <c r="E312" s="75">
        <v>0</v>
      </c>
      <c r="F312" s="75">
        <v>0</v>
      </c>
      <c r="G312" s="75">
        <v>0</v>
      </c>
      <c r="H312" s="75">
        <v>0</v>
      </c>
      <c r="I312" s="1430" t="s">
        <v>2086</v>
      </c>
      <c r="J312" s="1430" t="s">
        <v>2086</v>
      </c>
    </row>
    <row r="313" spans="2:10">
      <c r="B313" s="52" t="s">
        <v>328</v>
      </c>
      <c r="C313" s="75">
        <v>0</v>
      </c>
      <c r="D313" s="75">
        <v>0</v>
      </c>
      <c r="E313" s="75">
        <v>0</v>
      </c>
      <c r="F313" s="75">
        <v>0</v>
      </c>
      <c r="G313" s="75">
        <v>0</v>
      </c>
      <c r="H313" s="75">
        <v>0</v>
      </c>
      <c r="I313" s="1430" t="s">
        <v>2086</v>
      </c>
      <c r="J313" s="1430" t="s">
        <v>2086</v>
      </c>
    </row>
    <row r="314" spans="2:10">
      <c r="B314" s="136" t="s">
        <v>327</v>
      </c>
      <c r="C314" s="75">
        <v>0</v>
      </c>
      <c r="D314" s="75">
        <v>0</v>
      </c>
      <c r="E314" s="75">
        <v>0</v>
      </c>
      <c r="F314" s="75">
        <v>0</v>
      </c>
      <c r="G314" s="75">
        <v>0</v>
      </c>
      <c r="H314" s="75">
        <v>0</v>
      </c>
      <c r="I314" s="1430" t="s">
        <v>2086</v>
      </c>
      <c r="J314" s="1430" t="s">
        <v>2086</v>
      </c>
    </row>
    <row r="315" spans="2:10">
      <c r="B315" s="136" t="s">
        <v>326</v>
      </c>
      <c r="C315" s="75">
        <v>0</v>
      </c>
      <c r="D315" s="75">
        <v>0</v>
      </c>
      <c r="E315" s="75">
        <v>0</v>
      </c>
      <c r="F315" s="75">
        <v>0</v>
      </c>
      <c r="G315" s="75">
        <v>0</v>
      </c>
      <c r="H315" s="75">
        <v>0</v>
      </c>
      <c r="I315" s="1430" t="s">
        <v>2086</v>
      </c>
      <c r="J315" s="1430" t="s">
        <v>2086</v>
      </c>
    </row>
    <row r="316" spans="2:10">
      <c r="B316" s="136" t="s">
        <v>325</v>
      </c>
      <c r="C316" s="75">
        <v>0</v>
      </c>
      <c r="D316" s="75">
        <v>0</v>
      </c>
      <c r="E316" s="75">
        <v>0</v>
      </c>
      <c r="F316" s="75">
        <v>0</v>
      </c>
      <c r="G316" s="75">
        <v>0</v>
      </c>
      <c r="H316" s="75">
        <v>0</v>
      </c>
      <c r="I316" s="1430" t="s">
        <v>2086</v>
      </c>
      <c r="J316" s="1430" t="s">
        <v>2086</v>
      </c>
    </row>
    <row r="317" spans="2:10">
      <c r="B317" s="136" t="s">
        <v>323</v>
      </c>
      <c r="C317" s="75">
        <v>0</v>
      </c>
      <c r="D317" s="75">
        <v>0</v>
      </c>
      <c r="E317" s="75">
        <v>0</v>
      </c>
      <c r="F317" s="75">
        <v>0</v>
      </c>
      <c r="G317" s="75">
        <v>0</v>
      </c>
      <c r="H317" s="75">
        <v>0</v>
      </c>
      <c r="I317" s="1430">
        <v>1</v>
      </c>
      <c r="J317" s="1430">
        <v>1</v>
      </c>
    </row>
    <row r="318" spans="2:10">
      <c r="B318" s="136" t="s">
        <v>117</v>
      </c>
      <c r="C318" s="75">
        <v>0</v>
      </c>
      <c r="D318" s="75">
        <v>0</v>
      </c>
      <c r="E318" s="75">
        <v>0</v>
      </c>
      <c r="F318" s="75">
        <v>0</v>
      </c>
      <c r="G318" s="75">
        <v>0</v>
      </c>
      <c r="H318" s="75">
        <v>0</v>
      </c>
      <c r="I318" s="1430" t="s">
        <v>2086</v>
      </c>
      <c r="J318" s="1430" t="s">
        <v>2086</v>
      </c>
    </row>
    <row r="319" spans="2:10">
      <c r="B319" s="133" t="s">
        <v>322</v>
      </c>
      <c r="C319" s="75">
        <v>0</v>
      </c>
      <c r="D319" s="75">
        <v>0</v>
      </c>
      <c r="E319" s="75">
        <v>0</v>
      </c>
      <c r="F319" s="75">
        <v>0</v>
      </c>
      <c r="G319" s="75">
        <v>0</v>
      </c>
      <c r="H319" s="75">
        <v>0</v>
      </c>
      <c r="I319" s="1430" t="s">
        <v>2086</v>
      </c>
      <c r="J319" s="1430" t="s">
        <v>2086</v>
      </c>
    </row>
    <row r="320" spans="2:10">
      <c r="B320" s="133"/>
      <c r="C320" s="75"/>
      <c r="D320" s="75"/>
      <c r="E320" s="75"/>
      <c r="F320" s="75"/>
      <c r="G320" s="75"/>
      <c r="H320" s="75"/>
      <c r="I320" s="75"/>
    </row>
    <row r="321" spans="2:10">
      <c r="B321" s="59" t="s">
        <v>1923</v>
      </c>
      <c r="C321" s="3"/>
      <c r="D321" s="3"/>
      <c r="E321" s="3"/>
      <c r="F321" s="3"/>
      <c r="G321" s="3"/>
      <c r="H321" s="3"/>
      <c r="I321" s="3"/>
    </row>
    <row r="322" spans="2:10">
      <c r="B322" s="71" t="s">
        <v>331</v>
      </c>
      <c r="C322" s="75">
        <v>16</v>
      </c>
      <c r="D322" s="75">
        <v>16</v>
      </c>
      <c r="E322" s="75">
        <v>17</v>
      </c>
      <c r="F322" s="75">
        <v>17</v>
      </c>
      <c r="G322" s="75">
        <v>17</v>
      </c>
      <c r="H322" s="75">
        <v>17</v>
      </c>
      <c r="I322" s="75">
        <v>16</v>
      </c>
      <c r="J322" s="1287">
        <v>16</v>
      </c>
    </row>
    <row r="323" spans="2:10">
      <c r="B323" s="133" t="s">
        <v>330</v>
      </c>
      <c r="C323" s="75">
        <v>16</v>
      </c>
      <c r="D323" s="75">
        <v>16</v>
      </c>
      <c r="E323" s="75">
        <v>17</v>
      </c>
      <c r="F323" s="75">
        <v>17</v>
      </c>
      <c r="G323" s="75">
        <v>17</v>
      </c>
      <c r="H323" s="75">
        <v>17</v>
      </c>
      <c r="I323" s="75">
        <v>16</v>
      </c>
      <c r="J323" s="1287">
        <v>16</v>
      </c>
    </row>
    <row r="324" spans="2:10">
      <c r="B324" s="52" t="s">
        <v>260</v>
      </c>
      <c r="C324" s="75">
        <v>15</v>
      </c>
      <c r="D324" s="75">
        <v>15</v>
      </c>
      <c r="E324" s="75">
        <v>16</v>
      </c>
      <c r="F324" s="75">
        <v>16</v>
      </c>
      <c r="G324" s="75">
        <v>16</v>
      </c>
      <c r="H324" s="75">
        <v>16</v>
      </c>
      <c r="I324" s="75">
        <v>14</v>
      </c>
      <c r="J324" s="1287">
        <v>14</v>
      </c>
    </row>
    <row r="325" spans="2:10">
      <c r="B325" s="52" t="s">
        <v>329</v>
      </c>
      <c r="C325" s="75">
        <v>1</v>
      </c>
      <c r="D325" s="75">
        <v>1</v>
      </c>
      <c r="E325" s="75">
        <v>1</v>
      </c>
      <c r="F325" s="75">
        <v>1</v>
      </c>
      <c r="G325" s="75">
        <v>1</v>
      </c>
      <c r="H325" s="75">
        <v>1</v>
      </c>
      <c r="I325" s="75">
        <v>1</v>
      </c>
      <c r="J325" s="1287">
        <v>1</v>
      </c>
    </row>
    <row r="326" spans="2:10">
      <c r="B326" s="52" t="s">
        <v>328</v>
      </c>
      <c r="C326" s="75">
        <v>0</v>
      </c>
      <c r="D326" s="75">
        <v>0</v>
      </c>
      <c r="E326" s="75">
        <v>0</v>
      </c>
      <c r="F326" s="75">
        <v>0</v>
      </c>
      <c r="G326" s="75">
        <v>0</v>
      </c>
      <c r="H326" s="75">
        <v>0</v>
      </c>
      <c r="I326" s="75">
        <v>0</v>
      </c>
      <c r="J326" s="1430" t="s">
        <v>2086</v>
      </c>
    </row>
    <row r="327" spans="2:10">
      <c r="B327" s="136" t="s">
        <v>327</v>
      </c>
      <c r="C327" s="75">
        <v>0</v>
      </c>
      <c r="D327" s="75">
        <v>0</v>
      </c>
      <c r="E327" s="75">
        <v>0</v>
      </c>
      <c r="F327" s="75">
        <v>0</v>
      </c>
      <c r="G327" s="75">
        <v>0</v>
      </c>
      <c r="H327" s="75">
        <v>0</v>
      </c>
      <c r="I327" s="75">
        <v>0</v>
      </c>
      <c r="J327" s="1430" t="s">
        <v>2086</v>
      </c>
    </row>
    <row r="328" spans="2:10">
      <c r="B328" s="136" t="s">
        <v>326</v>
      </c>
      <c r="C328" s="75">
        <v>0</v>
      </c>
      <c r="D328" s="75">
        <v>0</v>
      </c>
      <c r="E328" s="75">
        <v>0</v>
      </c>
      <c r="F328" s="75">
        <v>0</v>
      </c>
      <c r="G328" s="75">
        <v>0</v>
      </c>
      <c r="H328" s="75">
        <v>0</v>
      </c>
      <c r="I328" s="75">
        <v>0</v>
      </c>
      <c r="J328" s="1430" t="s">
        <v>2086</v>
      </c>
    </row>
    <row r="329" spans="2:10">
      <c r="B329" s="136" t="s">
        <v>325</v>
      </c>
      <c r="C329" s="75">
        <v>0</v>
      </c>
      <c r="D329" s="75">
        <v>0</v>
      </c>
      <c r="E329" s="75">
        <v>0</v>
      </c>
      <c r="F329" s="75">
        <v>0</v>
      </c>
      <c r="G329" s="75">
        <v>0</v>
      </c>
      <c r="H329" s="75">
        <v>0</v>
      </c>
      <c r="I329" s="75">
        <v>0</v>
      </c>
      <c r="J329" s="1430" t="s">
        <v>2086</v>
      </c>
    </row>
    <row r="330" spans="2:10">
      <c r="B330" s="136" t="s">
        <v>323</v>
      </c>
      <c r="C330" s="75">
        <v>0</v>
      </c>
      <c r="D330" s="75">
        <v>0</v>
      </c>
      <c r="E330" s="75">
        <v>0</v>
      </c>
      <c r="F330" s="75">
        <v>0</v>
      </c>
      <c r="G330" s="75">
        <v>0</v>
      </c>
      <c r="H330" s="75">
        <v>0</v>
      </c>
      <c r="I330" s="75">
        <v>1</v>
      </c>
      <c r="J330" s="1287">
        <v>1</v>
      </c>
    </row>
    <row r="331" spans="2:10">
      <c r="B331" s="136" t="s">
        <v>117</v>
      </c>
      <c r="C331" s="75">
        <v>0</v>
      </c>
      <c r="D331" s="75">
        <v>0</v>
      </c>
      <c r="E331" s="75">
        <v>0</v>
      </c>
      <c r="F331" s="75">
        <v>0</v>
      </c>
      <c r="G331" s="75">
        <v>0</v>
      </c>
      <c r="H331" s="75">
        <v>0</v>
      </c>
      <c r="I331" s="75">
        <v>0</v>
      </c>
      <c r="J331" s="1430" t="s">
        <v>2086</v>
      </c>
    </row>
    <row r="332" spans="2:10">
      <c r="B332" s="133" t="s">
        <v>322</v>
      </c>
      <c r="C332" s="75">
        <v>0</v>
      </c>
      <c r="D332" s="75">
        <v>0</v>
      </c>
      <c r="E332" s="75">
        <v>0</v>
      </c>
      <c r="F332" s="75">
        <v>0</v>
      </c>
      <c r="G332" s="75">
        <v>0</v>
      </c>
      <c r="H332" s="75">
        <v>0</v>
      </c>
      <c r="I332" s="75">
        <v>0</v>
      </c>
      <c r="J332" s="1430" t="s">
        <v>2086</v>
      </c>
    </row>
    <row r="333" spans="2:10">
      <c r="B333" s="133"/>
      <c r="C333" s="75"/>
      <c r="D333" s="75"/>
      <c r="E333" s="75"/>
      <c r="F333" s="75"/>
      <c r="G333" s="75"/>
      <c r="H333" s="75"/>
      <c r="I333" s="75"/>
    </row>
    <row r="334" spans="2:10">
      <c r="B334" s="211" t="s">
        <v>1924</v>
      </c>
      <c r="C334" s="3"/>
      <c r="D334" s="3"/>
      <c r="E334" s="3"/>
      <c r="F334" s="3"/>
      <c r="G334" s="3"/>
      <c r="H334" s="3"/>
      <c r="I334" s="3"/>
    </row>
    <row r="335" spans="2:10">
      <c r="B335" s="59" t="s">
        <v>1925</v>
      </c>
      <c r="C335" s="3"/>
      <c r="D335" s="3"/>
      <c r="E335" s="3"/>
      <c r="F335" s="3"/>
      <c r="G335" s="3"/>
      <c r="H335" s="3"/>
      <c r="I335" s="3"/>
    </row>
    <row r="336" spans="2:10">
      <c r="B336" s="71" t="s">
        <v>331</v>
      </c>
      <c r="C336" s="75">
        <v>17</v>
      </c>
      <c r="D336" s="75">
        <v>17</v>
      </c>
      <c r="E336" s="75">
        <v>17</v>
      </c>
      <c r="F336" s="75">
        <v>17</v>
      </c>
      <c r="G336" s="75">
        <v>17</v>
      </c>
      <c r="H336" s="75">
        <v>17</v>
      </c>
      <c r="I336" s="1430">
        <v>19</v>
      </c>
      <c r="J336" s="1287">
        <v>18</v>
      </c>
    </row>
    <row r="337" spans="2:10">
      <c r="B337" s="133" t="s">
        <v>330</v>
      </c>
      <c r="C337" s="75">
        <v>17</v>
      </c>
      <c r="D337" s="75">
        <v>17</v>
      </c>
      <c r="E337" s="75">
        <v>17</v>
      </c>
      <c r="F337" s="75">
        <v>17</v>
      </c>
      <c r="G337" s="75">
        <v>17</v>
      </c>
      <c r="H337" s="75">
        <v>17</v>
      </c>
      <c r="I337" s="1430">
        <v>19</v>
      </c>
      <c r="J337" s="1287">
        <v>18</v>
      </c>
    </row>
    <row r="338" spans="2:10">
      <c r="B338" s="52" t="s">
        <v>260</v>
      </c>
      <c r="C338" s="75">
        <v>17</v>
      </c>
      <c r="D338" s="75">
        <v>17</v>
      </c>
      <c r="E338" s="75">
        <v>17</v>
      </c>
      <c r="F338" s="75">
        <v>17</v>
      </c>
      <c r="G338" s="75">
        <v>17</v>
      </c>
      <c r="H338" s="75">
        <v>17</v>
      </c>
      <c r="I338" s="1430">
        <v>11</v>
      </c>
      <c r="J338" s="1287">
        <v>11</v>
      </c>
    </row>
    <row r="339" spans="2:10">
      <c r="B339" s="52" t="s">
        <v>329</v>
      </c>
      <c r="C339" s="75">
        <v>0</v>
      </c>
      <c r="D339" s="75">
        <v>0</v>
      </c>
      <c r="E339" s="75">
        <v>0</v>
      </c>
      <c r="F339" s="75">
        <v>0</v>
      </c>
      <c r="G339" s="75">
        <v>0</v>
      </c>
      <c r="H339" s="75">
        <v>0</v>
      </c>
      <c r="I339" s="1430" t="s">
        <v>2086</v>
      </c>
      <c r="J339" s="1430" t="s">
        <v>2086</v>
      </c>
    </row>
    <row r="340" spans="2:10">
      <c r="B340" s="52" t="s">
        <v>328</v>
      </c>
      <c r="C340" s="75">
        <v>0</v>
      </c>
      <c r="D340" s="75">
        <v>0</v>
      </c>
      <c r="E340" s="75">
        <v>0</v>
      </c>
      <c r="F340" s="75">
        <v>0</v>
      </c>
      <c r="G340" s="75">
        <v>0</v>
      </c>
      <c r="H340" s="75">
        <v>0</v>
      </c>
      <c r="I340" s="1430">
        <v>8</v>
      </c>
      <c r="J340" s="1287">
        <v>7</v>
      </c>
    </row>
    <row r="341" spans="2:10">
      <c r="B341" s="136" t="s">
        <v>327</v>
      </c>
      <c r="C341" s="75">
        <v>0</v>
      </c>
      <c r="D341" s="75">
        <v>0</v>
      </c>
      <c r="E341" s="75">
        <v>0</v>
      </c>
      <c r="F341" s="75">
        <v>0</v>
      </c>
      <c r="G341" s="75">
        <v>0</v>
      </c>
      <c r="H341" s="75">
        <v>0</v>
      </c>
      <c r="I341" s="1430" t="s">
        <v>2086</v>
      </c>
      <c r="J341" s="1430" t="s">
        <v>2086</v>
      </c>
    </row>
    <row r="342" spans="2:10">
      <c r="B342" s="136" t="s">
        <v>326</v>
      </c>
      <c r="C342" s="75">
        <v>0</v>
      </c>
      <c r="D342" s="75">
        <v>0</v>
      </c>
      <c r="E342" s="75">
        <v>0</v>
      </c>
      <c r="F342" s="75">
        <v>0</v>
      </c>
      <c r="G342" s="75">
        <v>0</v>
      </c>
      <c r="H342" s="75">
        <v>0</v>
      </c>
      <c r="I342" s="1430" t="s">
        <v>2086</v>
      </c>
      <c r="J342" s="1430" t="s">
        <v>2086</v>
      </c>
    </row>
    <row r="343" spans="2:10">
      <c r="B343" s="136" t="s">
        <v>325</v>
      </c>
      <c r="C343" s="75">
        <v>0</v>
      </c>
      <c r="D343" s="75">
        <v>0</v>
      </c>
      <c r="E343" s="75">
        <v>0</v>
      </c>
      <c r="F343" s="75">
        <v>0</v>
      </c>
      <c r="G343" s="75">
        <v>0</v>
      </c>
      <c r="H343" s="75">
        <v>0</v>
      </c>
      <c r="I343" s="1430" t="s">
        <v>2086</v>
      </c>
      <c r="J343" s="1430" t="s">
        <v>2086</v>
      </c>
    </row>
    <row r="344" spans="2:10">
      <c r="B344" s="136" t="s">
        <v>323</v>
      </c>
      <c r="C344" s="75">
        <v>0</v>
      </c>
      <c r="D344" s="75">
        <v>0</v>
      </c>
      <c r="E344" s="75">
        <v>0</v>
      </c>
      <c r="F344" s="75">
        <v>0</v>
      </c>
      <c r="G344" s="75">
        <v>0</v>
      </c>
      <c r="H344" s="75">
        <v>0</v>
      </c>
      <c r="I344" s="1430">
        <v>6</v>
      </c>
      <c r="J344" s="1287">
        <v>4</v>
      </c>
    </row>
    <row r="345" spans="2:10">
      <c r="B345" s="136" t="s">
        <v>117</v>
      </c>
      <c r="C345" s="75">
        <v>0</v>
      </c>
      <c r="D345" s="75">
        <v>0</v>
      </c>
      <c r="E345" s="75">
        <v>0</v>
      </c>
      <c r="F345" s="75">
        <v>0</v>
      </c>
      <c r="G345" s="75">
        <v>0</v>
      </c>
      <c r="H345" s="75">
        <v>0</v>
      </c>
      <c r="I345" s="1430">
        <v>2</v>
      </c>
      <c r="J345" s="1287">
        <v>3</v>
      </c>
    </row>
    <row r="346" spans="2:10">
      <c r="B346" s="133" t="s">
        <v>322</v>
      </c>
      <c r="C346" s="75">
        <v>0</v>
      </c>
      <c r="D346" s="75">
        <v>0</v>
      </c>
      <c r="E346" s="75">
        <v>0</v>
      </c>
      <c r="F346" s="75">
        <v>0</v>
      </c>
      <c r="G346" s="75">
        <v>0</v>
      </c>
      <c r="H346" s="75">
        <v>0</v>
      </c>
      <c r="I346" s="1430" t="s">
        <v>2086</v>
      </c>
      <c r="J346" s="1430" t="s">
        <v>2086</v>
      </c>
    </row>
    <row r="347" spans="2:10">
      <c r="B347" s="133"/>
      <c r="C347" s="75"/>
      <c r="D347" s="75"/>
      <c r="E347" s="75"/>
      <c r="F347" s="75"/>
      <c r="G347" s="75"/>
      <c r="H347" s="75"/>
      <c r="I347" s="1430"/>
      <c r="J347" s="1430"/>
    </row>
    <row r="348" spans="2:10">
      <c r="B348" s="59" t="s">
        <v>1926</v>
      </c>
      <c r="C348" s="75"/>
      <c r="D348" s="75"/>
      <c r="E348" s="75"/>
      <c r="F348" s="75"/>
      <c r="G348" s="75"/>
      <c r="H348" s="75"/>
      <c r="I348" s="1430"/>
      <c r="J348" s="1430"/>
    </row>
    <row r="349" spans="2:10">
      <c r="B349" s="71" t="s">
        <v>331</v>
      </c>
      <c r="C349" s="75">
        <v>0</v>
      </c>
      <c r="D349" s="1430">
        <v>6</v>
      </c>
      <c r="E349" s="1430">
        <v>6</v>
      </c>
      <c r="F349" s="1430">
        <v>7</v>
      </c>
      <c r="G349" s="1430">
        <v>7</v>
      </c>
      <c r="H349" s="1430">
        <v>7</v>
      </c>
      <c r="I349" s="1430">
        <v>7</v>
      </c>
      <c r="J349" s="1430">
        <v>7</v>
      </c>
    </row>
    <row r="350" spans="2:10">
      <c r="B350" s="133" t="s">
        <v>330</v>
      </c>
      <c r="C350" s="75">
        <v>0</v>
      </c>
      <c r="D350" s="1430">
        <v>6</v>
      </c>
      <c r="E350" s="1430">
        <v>6</v>
      </c>
      <c r="F350" s="1430">
        <v>6</v>
      </c>
      <c r="G350" s="1430">
        <v>6</v>
      </c>
      <c r="H350" s="1430">
        <v>6</v>
      </c>
      <c r="I350" s="1430">
        <v>6</v>
      </c>
      <c r="J350" s="1430">
        <v>6</v>
      </c>
    </row>
    <row r="351" spans="2:10">
      <c r="B351" s="52" t="s">
        <v>260</v>
      </c>
      <c r="C351" s="75">
        <v>0</v>
      </c>
      <c r="D351" s="1430">
        <v>6</v>
      </c>
      <c r="E351" s="1430">
        <v>6</v>
      </c>
      <c r="F351" s="1430">
        <v>6</v>
      </c>
      <c r="G351" s="1430">
        <v>6</v>
      </c>
      <c r="H351" s="1430">
        <v>6</v>
      </c>
      <c r="I351" s="1430">
        <v>6</v>
      </c>
      <c r="J351" s="1287">
        <v>6</v>
      </c>
    </row>
    <row r="352" spans="2:10">
      <c r="B352" s="52" t="s">
        <v>329</v>
      </c>
      <c r="C352" s="75">
        <v>0</v>
      </c>
      <c r="D352" s="1430" t="s">
        <v>2086</v>
      </c>
      <c r="E352" s="1430" t="s">
        <v>2086</v>
      </c>
      <c r="F352" s="1430" t="s">
        <v>2086</v>
      </c>
      <c r="G352" s="1430" t="s">
        <v>2086</v>
      </c>
      <c r="H352" s="1430" t="s">
        <v>2086</v>
      </c>
      <c r="I352" s="1430" t="s">
        <v>2086</v>
      </c>
      <c r="J352" s="1430" t="s">
        <v>2086</v>
      </c>
    </row>
    <row r="353" spans="2:11">
      <c r="B353" s="52" t="s">
        <v>328</v>
      </c>
      <c r="C353" s="75">
        <v>0</v>
      </c>
      <c r="D353" s="1430" t="s">
        <v>2086</v>
      </c>
      <c r="E353" s="1430" t="s">
        <v>2086</v>
      </c>
      <c r="F353" s="1430">
        <v>1</v>
      </c>
      <c r="G353" s="1430">
        <v>1</v>
      </c>
      <c r="H353" s="1430">
        <v>1</v>
      </c>
      <c r="I353" s="1430">
        <v>1</v>
      </c>
      <c r="J353" s="1430">
        <v>1</v>
      </c>
    </row>
    <row r="354" spans="2:11">
      <c r="B354" s="136" t="s">
        <v>327</v>
      </c>
      <c r="C354" s="75">
        <v>0</v>
      </c>
      <c r="D354" s="1430" t="s">
        <v>2086</v>
      </c>
      <c r="E354" s="1430" t="s">
        <v>2086</v>
      </c>
      <c r="F354" s="1430" t="s">
        <v>2086</v>
      </c>
      <c r="G354" s="1430" t="s">
        <v>2086</v>
      </c>
      <c r="H354" s="1430" t="s">
        <v>2086</v>
      </c>
      <c r="I354" s="1430" t="s">
        <v>2086</v>
      </c>
      <c r="J354" s="1430" t="s">
        <v>2086</v>
      </c>
    </row>
    <row r="355" spans="2:11">
      <c r="B355" s="136" t="s">
        <v>326</v>
      </c>
      <c r="C355" s="75">
        <v>0</v>
      </c>
      <c r="D355" s="1430" t="s">
        <v>2086</v>
      </c>
      <c r="E355" s="1430" t="s">
        <v>2086</v>
      </c>
      <c r="F355" s="1430" t="s">
        <v>2086</v>
      </c>
      <c r="G355" s="1430" t="s">
        <v>2086</v>
      </c>
      <c r="H355" s="1430" t="s">
        <v>2086</v>
      </c>
      <c r="I355" s="1430" t="s">
        <v>2086</v>
      </c>
      <c r="J355" s="1430" t="s">
        <v>2086</v>
      </c>
    </row>
    <row r="356" spans="2:11">
      <c r="B356" s="136" t="s">
        <v>325</v>
      </c>
      <c r="C356" s="75">
        <v>0</v>
      </c>
      <c r="D356" s="1430" t="s">
        <v>2086</v>
      </c>
      <c r="E356" s="1430" t="s">
        <v>2086</v>
      </c>
      <c r="F356" s="1430" t="s">
        <v>2086</v>
      </c>
      <c r="G356" s="1430" t="s">
        <v>2086</v>
      </c>
      <c r="H356" s="1430" t="s">
        <v>2086</v>
      </c>
      <c r="I356" s="1430" t="s">
        <v>2086</v>
      </c>
      <c r="J356" s="1430" t="s">
        <v>2086</v>
      </c>
    </row>
    <row r="357" spans="2:11">
      <c r="B357" s="136" t="s">
        <v>323</v>
      </c>
      <c r="C357" s="75">
        <v>0</v>
      </c>
      <c r="D357" s="1430" t="s">
        <v>2086</v>
      </c>
      <c r="E357" s="1430" t="s">
        <v>2086</v>
      </c>
      <c r="F357" s="1430" t="s">
        <v>2086</v>
      </c>
      <c r="G357" s="1430" t="s">
        <v>2086</v>
      </c>
      <c r="H357" s="1430" t="s">
        <v>2086</v>
      </c>
      <c r="I357" s="1430" t="s">
        <v>2086</v>
      </c>
      <c r="J357" s="1430" t="s">
        <v>2086</v>
      </c>
    </row>
    <row r="358" spans="2:11">
      <c r="B358" s="136" t="s">
        <v>117</v>
      </c>
      <c r="C358" s="75">
        <v>0</v>
      </c>
      <c r="D358" s="1430" t="s">
        <v>2086</v>
      </c>
      <c r="E358" s="1430" t="s">
        <v>2086</v>
      </c>
      <c r="F358" s="1430">
        <v>1</v>
      </c>
      <c r="G358" s="1430">
        <v>1</v>
      </c>
      <c r="H358" s="1430">
        <v>1</v>
      </c>
      <c r="I358" s="1430">
        <v>1</v>
      </c>
      <c r="J358" s="1430">
        <v>1</v>
      </c>
    </row>
    <row r="359" spans="2:11">
      <c r="B359" s="133" t="s">
        <v>322</v>
      </c>
      <c r="C359" s="75">
        <v>0</v>
      </c>
      <c r="D359" s="1430" t="s">
        <v>2086</v>
      </c>
      <c r="E359" s="1430" t="s">
        <v>2086</v>
      </c>
      <c r="F359" s="1430" t="s">
        <v>2086</v>
      </c>
      <c r="G359" s="1430" t="s">
        <v>2086</v>
      </c>
      <c r="H359" s="1430" t="s">
        <v>2086</v>
      </c>
      <c r="I359" s="1430" t="s">
        <v>2086</v>
      </c>
      <c r="J359" s="1430" t="s">
        <v>2086</v>
      </c>
    </row>
    <row r="360" spans="2:11" ht="15" thickBot="1">
      <c r="B360" s="133"/>
      <c r="C360" s="75"/>
      <c r="D360" s="75"/>
      <c r="E360" s="75"/>
      <c r="F360" s="75"/>
      <c r="G360" s="75"/>
      <c r="H360" s="75"/>
      <c r="I360" s="1430"/>
      <c r="J360" s="1431"/>
    </row>
    <row r="361" spans="2:11" ht="15" thickTop="1">
      <c r="B361" s="2025" t="s">
        <v>487</v>
      </c>
      <c r="C361" s="2025"/>
      <c r="D361" s="2025"/>
      <c r="E361" s="2025"/>
      <c r="F361" s="2025"/>
      <c r="G361" s="2025"/>
      <c r="H361" s="2025"/>
      <c r="I361" s="2025"/>
    </row>
    <row r="362" spans="2:11">
      <c r="B362" s="64"/>
      <c r="C362" s="121"/>
      <c r="D362" s="121"/>
      <c r="E362" s="121"/>
      <c r="F362" s="121"/>
      <c r="G362" s="121"/>
      <c r="H362" s="121"/>
      <c r="I362" s="121"/>
    </row>
    <row r="363" spans="2:11">
      <c r="B363" s="2024" t="s">
        <v>320</v>
      </c>
      <c r="C363" s="2024"/>
      <c r="D363" s="2024"/>
      <c r="E363" s="2024"/>
      <c r="F363" s="2024"/>
      <c r="G363" s="2024"/>
      <c r="H363" s="2024"/>
      <c r="I363" s="2024"/>
      <c r="J363" s="2024"/>
      <c r="K363" s="1004"/>
    </row>
    <row r="364" spans="2:11">
      <c r="B364" s="12" t="s">
        <v>319</v>
      </c>
      <c r="C364" s="121"/>
      <c r="D364" s="121"/>
      <c r="E364" s="121"/>
      <c r="F364" s="121"/>
      <c r="G364" s="121"/>
      <c r="H364" s="121"/>
      <c r="I364" s="121"/>
    </row>
    <row r="365" spans="2:11">
      <c r="B365" s="62" t="s">
        <v>242</v>
      </c>
      <c r="C365" s="121"/>
      <c r="D365" s="121"/>
      <c r="E365" s="121"/>
      <c r="F365" s="121"/>
      <c r="G365" s="121"/>
      <c r="H365" s="121"/>
      <c r="I365" s="121"/>
    </row>
    <row r="366" spans="2:11">
      <c r="B366" s="64"/>
      <c r="C366" s="121"/>
      <c r="D366" s="121"/>
      <c r="E366" s="121"/>
      <c r="F366" s="121"/>
      <c r="G366" s="121"/>
      <c r="H366" s="121"/>
      <c r="I366" s="121"/>
    </row>
    <row r="367" spans="2:11">
      <c r="B367" s="61"/>
      <c r="C367" s="60">
        <v>2014</v>
      </c>
      <c r="D367" s="60">
        <v>2015</v>
      </c>
      <c r="E367" s="60">
        <v>2016</v>
      </c>
      <c r="F367" s="60">
        <v>2017</v>
      </c>
      <c r="G367" s="60">
        <v>2018</v>
      </c>
      <c r="H367" s="60">
        <v>2019</v>
      </c>
      <c r="I367" s="60">
        <v>2020</v>
      </c>
      <c r="J367" s="60">
        <v>2021</v>
      </c>
    </row>
    <row r="368" spans="2:11">
      <c r="B368" s="114" t="s">
        <v>310</v>
      </c>
      <c r="C368" s="213"/>
      <c r="D368" s="213"/>
      <c r="E368" s="213"/>
      <c r="F368" s="213"/>
      <c r="G368" s="213"/>
      <c r="H368" s="213"/>
      <c r="I368" s="213"/>
    </row>
    <row r="369" spans="2:10">
      <c r="B369" s="114"/>
      <c r="C369" s="217"/>
      <c r="D369" s="217"/>
      <c r="E369" s="217"/>
      <c r="F369" s="217"/>
      <c r="G369" s="217"/>
      <c r="H369" s="217"/>
      <c r="I369" s="217"/>
    </row>
    <row r="370" spans="2:10">
      <c r="B370" s="59" t="s">
        <v>1920</v>
      </c>
      <c r="C370" s="217"/>
      <c r="D370" s="217"/>
      <c r="E370" s="217"/>
      <c r="F370" s="217"/>
      <c r="G370" s="217"/>
      <c r="H370" s="217"/>
      <c r="I370" s="217"/>
    </row>
    <row r="371" spans="2:10">
      <c r="B371" s="71" t="s">
        <v>297</v>
      </c>
      <c r="C371" s="98">
        <v>7.5971999999999998E-2</v>
      </c>
      <c r="D371" s="98">
        <v>9.5062999999999995E-2</v>
      </c>
      <c r="E371" s="98">
        <v>0.120353</v>
      </c>
      <c r="F371" s="98">
        <v>0.137743</v>
      </c>
      <c r="G371" s="98">
        <v>0.13645299999999999</v>
      </c>
      <c r="H371" s="98">
        <v>0.15304100000000001</v>
      </c>
      <c r="I371" s="98">
        <v>0.14846699999999999</v>
      </c>
      <c r="J371" s="858">
        <v>0.17538500000000001</v>
      </c>
    </row>
    <row r="372" spans="2:10">
      <c r="B372" s="133" t="s">
        <v>296</v>
      </c>
      <c r="C372" s="216">
        <v>7.5971999999999998E-2</v>
      </c>
      <c r="D372" s="216">
        <v>9.5062999999999995E-2</v>
      </c>
      <c r="E372" s="216">
        <v>0.120353</v>
      </c>
      <c r="F372" s="216">
        <v>0.137743</v>
      </c>
      <c r="G372" s="216">
        <v>0.13645299999999999</v>
      </c>
      <c r="H372" s="216">
        <v>0.15304100000000001</v>
      </c>
      <c r="I372" s="216">
        <v>0.14846699999999999</v>
      </c>
      <c r="J372" s="858">
        <v>0.17538500000000001</v>
      </c>
    </row>
    <row r="373" spans="2:10">
      <c r="B373" s="132" t="s">
        <v>295</v>
      </c>
      <c r="C373" s="216">
        <v>0</v>
      </c>
      <c r="D373" s="216">
        <v>0</v>
      </c>
      <c r="E373" s="216">
        <v>0</v>
      </c>
      <c r="F373" s="216">
        <v>0</v>
      </c>
      <c r="G373" s="216">
        <v>0</v>
      </c>
      <c r="H373" s="216">
        <v>0</v>
      </c>
      <c r="I373" s="216">
        <v>0</v>
      </c>
      <c r="J373" s="232" t="s">
        <v>2086</v>
      </c>
    </row>
    <row r="374" spans="2:10">
      <c r="B374" s="132" t="s">
        <v>303</v>
      </c>
      <c r="C374" s="102">
        <v>0</v>
      </c>
      <c r="D374" s="102">
        <v>0</v>
      </c>
      <c r="E374" s="102">
        <v>0</v>
      </c>
      <c r="F374" s="102">
        <v>0</v>
      </c>
      <c r="G374" s="102">
        <v>0</v>
      </c>
      <c r="H374" s="102">
        <v>0</v>
      </c>
      <c r="I374" s="102">
        <v>0</v>
      </c>
      <c r="J374" s="232" t="s">
        <v>2086</v>
      </c>
    </row>
    <row r="375" spans="2:10">
      <c r="B375" s="65" t="s">
        <v>287</v>
      </c>
      <c r="C375" s="102">
        <v>0</v>
      </c>
      <c r="D375" s="102">
        <v>0</v>
      </c>
      <c r="E375" s="102">
        <v>0</v>
      </c>
      <c r="F375" s="102">
        <v>0</v>
      </c>
      <c r="G375" s="102">
        <v>0</v>
      </c>
      <c r="H375" s="102">
        <v>0</v>
      </c>
      <c r="I375" s="102">
        <v>0</v>
      </c>
      <c r="J375" s="232" t="s">
        <v>2086</v>
      </c>
    </row>
    <row r="376" spans="2:10">
      <c r="B376" s="136"/>
      <c r="C376" s="217"/>
      <c r="D376" s="217"/>
      <c r="E376" s="217"/>
      <c r="F376" s="217"/>
      <c r="G376" s="217"/>
      <c r="H376" s="217"/>
      <c r="I376" s="217"/>
    </row>
    <row r="377" spans="2:10">
      <c r="B377" s="114" t="s">
        <v>302</v>
      </c>
      <c r="C377" s="217"/>
      <c r="D377" s="217"/>
      <c r="E377" s="217"/>
      <c r="F377" s="217"/>
      <c r="G377" s="217"/>
      <c r="H377" s="217"/>
      <c r="I377" s="217"/>
    </row>
    <row r="378" spans="2:10">
      <c r="B378" s="114"/>
      <c r="C378" s="217"/>
      <c r="D378" s="217"/>
      <c r="E378" s="217"/>
      <c r="F378" s="217"/>
      <c r="G378" s="217"/>
      <c r="H378" s="217"/>
      <c r="I378" s="217"/>
    </row>
    <row r="379" spans="2:10" ht="26">
      <c r="B379" s="59" t="s">
        <v>1921</v>
      </c>
      <c r="C379" s="217"/>
      <c r="D379" s="217"/>
      <c r="E379" s="217"/>
      <c r="F379" s="217"/>
      <c r="G379" s="217"/>
      <c r="H379" s="217"/>
      <c r="I379" s="217"/>
    </row>
    <row r="380" spans="2:10">
      <c r="B380" s="71" t="s">
        <v>297</v>
      </c>
      <c r="C380" s="218">
        <v>1.30646</v>
      </c>
      <c r="D380" s="218">
        <v>1.9275519999999999</v>
      </c>
      <c r="E380" s="218">
        <v>3.0306700000000002</v>
      </c>
      <c r="F380" s="218">
        <v>5.008114</v>
      </c>
      <c r="G380" s="218">
        <v>8.144577</v>
      </c>
      <c r="H380" s="219">
        <v>13.737387</v>
      </c>
      <c r="I380" s="219">
        <v>28.063564</v>
      </c>
      <c r="J380" s="1267">
        <v>54.892294999999997</v>
      </c>
    </row>
    <row r="381" spans="2:10">
      <c r="B381" s="133" t="s">
        <v>296</v>
      </c>
      <c r="C381" s="102">
        <v>0</v>
      </c>
      <c r="D381" s="218">
        <v>1.9275519999999999</v>
      </c>
      <c r="E381" s="218">
        <v>3.0306700000000002</v>
      </c>
      <c r="F381" s="218">
        <v>5.008114</v>
      </c>
      <c r="G381" s="218">
        <v>8.144577</v>
      </c>
      <c r="H381" s="219">
        <v>13.737387</v>
      </c>
      <c r="I381" s="219">
        <v>28.063564</v>
      </c>
      <c r="J381" s="1267">
        <v>54.892294999999997</v>
      </c>
    </row>
    <row r="382" spans="2:10">
      <c r="B382" s="131" t="s">
        <v>294</v>
      </c>
      <c r="C382" s="102">
        <v>0</v>
      </c>
      <c r="D382" s="218">
        <v>1.9275519999999999</v>
      </c>
      <c r="E382" s="218">
        <v>3.0306700000000002</v>
      </c>
      <c r="F382" s="218">
        <v>5.008114</v>
      </c>
      <c r="G382" s="218">
        <v>8.144577</v>
      </c>
      <c r="H382" s="219">
        <v>13.737387</v>
      </c>
      <c r="I382" s="219">
        <v>28.063564</v>
      </c>
      <c r="J382" s="1267">
        <v>54.892294999999997</v>
      </c>
    </row>
    <row r="383" spans="2:10">
      <c r="B383" s="131" t="s">
        <v>293</v>
      </c>
      <c r="C383" s="102">
        <v>0</v>
      </c>
      <c r="D383" s="102">
        <v>0</v>
      </c>
      <c r="E383" s="102">
        <v>0</v>
      </c>
      <c r="F383" s="102">
        <v>0</v>
      </c>
      <c r="G383" s="102">
        <v>0</v>
      </c>
      <c r="H383" s="102">
        <v>0</v>
      </c>
      <c r="I383" s="102">
        <v>0</v>
      </c>
      <c r="J383" s="1432" t="s">
        <v>2086</v>
      </c>
    </row>
    <row r="384" spans="2:10">
      <c r="B384" s="131" t="s">
        <v>292</v>
      </c>
      <c r="C384" s="102">
        <v>0</v>
      </c>
      <c r="D384" s="102">
        <v>0</v>
      </c>
      <c r="E384" s="102">
        <v>0</v>
      </c>
      <c r="F384" s="102">
        <v>0</v>
      </c>
      <c r="G384" s="102">
        <v>0</v>
      </c>
      <c r="H384" s="102">
        <v>0</v>
      </c>
      <c r="I384" s="102">
        <v>0</v>
      </c>
      <c r="J384" s="1432" t="s">
        <v>2086</v>
      </c>
    </row>
    <row r="385" spans="2:10">
      <c r="B385" s="131" t="s">
        <v>291</v>
      </c>
      <c r="C385" s="102">
        <v>1.30646</v>
      </c>
      <c r="D385" s="102">
        <v>0</v>
      </c>
      <c r="E385" s="102">
        <v>0</v>
      </c>
      <c r="F385" s="102">
        <v>0</v>
      </c>
      <c r="G385" s="102">
        <v>0</v>
      </c>
      <c r="H385" s="102">
        <v>0</v>
      </c>
      <c r="I385" s="102">
        <v>0</v>
      </c>
      <c r="J385" s="1432" t="s">
        <v>2086</v>
      </c>
    </row>
    <row r="386" spans="2:10">
      <c r="B386" s="131" t="s">
        <v>290</v>
      </c>
      <c r="C386" s="102">
        <v>0</v>
      </c>
      <c r="D386" s="102">
        <v>0</v>
      </c>
      <c r="E386" s="102">
        <v>0</v>
      </c>
      <c r="F386" s="102">
        <v>0</v>
      </c>
      <c r="G386" s="102">
        <v>0</v>
      </c>
      <c r="H386" s="102">
        <v>0</v>
      </c>
      <c r="I386" s="102">
        <v>0</v>
      </c>
      <c r="J386" s="1432" t="s">
        <v>2086</v>
      </c>
    </row>
    <row r="387" spans="2:10">
      <c r="B387" s="131" t="s">
        <v>289</v>
      </c>
      <c r="C387" s="102">
        <v>0</v>
      </c>
      <c r="D387" s="102">
        <v>0</v>
      </c>
      <c r="E387" s="102">
        <v>0</v>
      </c>
      <c r="F387" s="102">
        <v>0</v>
      </c>
      <c r="G387" s="102">
        <v>0</v>
      </c>
      <c r="H387" s="102">
        <v>0</v>
      </c>
      <c r="I387" s="102">
        <v>0</v>
      </c>
      <c r="J387" s="1432" t="s">
        <v>2086</v>
      </c>
    </row>
    <row r="388" spans="2:10">
      <c r="B388" s="131" t="s">
        <v>288</v>
      </c>
      <c r="C388" s="102">
        <v>0</v>
      </c>
      <c r="D388" s="102">
        <v>0</v>
      </c>
      <c r="E388" s="102">
        <v>0</v>
      </c>
      <c r="F388" s="102">
        <v>0</v>
      </c>
      <c r="G388" s="102">
        <v>0</v>
      </c>
      <c r="H388" s="102">
        <v>0</v>
      </c>
      <c r="I388" s="102">
        <v>0</v>
      </c>
      <c r="J388" s="1432" t="s">
        <v>2086</v>
      </c>
    </row>
    <row r="389" spans="2:10">
      <c r="B389" s="132" t="s">
        <v>295</v>
      </c>
      <c r="C389" s="102">
        <v>0</v>
      </c>
      <c r="D389" s="102">
        <v>0</v>
      </c>
      <c r="E389" s="102">
        <v>0</v>
      </c>
      <c r="F389" s="102">
        <v>0</v>
      </c>
      <c r="G389" s="102">
        <v>0</v>
      </c>
      <c r="H389" s="102">
        <v>0</v>
      </c>
      <c r="I389" s="102">
        <v>0</v>
      </c>
      <c r="J389" s="1432" t="s">
        <v>2086</v>
      </c>
    </row>
    <row r="390" spans="2:10">
      <c r="B390" s="131" t="s">
        <v>294</v>
      </c>
      <c r="C390" s="102">
        <v>0</v>
      </c>
      <c r="D390" s="102">
        <v>0</v>
      </c>
      <c r="E390" s="102">
        <v>0</v>
      </c>
      <c r="F390" s="102">
        <v>0</v>
      </c>
      <c r="G390" s="102">
        <v>0</v>
      </c>
      <c r="H390" s="102">
        <v>0</v>
      </c>
      <c r="I390" s="102">
        <v>0</v>
      </c>
      <c r="J390" s="1432" t="s">
        <v>2086</v>
      </c>
    </row>
    <row r="391" spans="2:10">
      <c r="B391" s="131" t="s">
        <v>293</v>
      </c>
      <c r="C391" s="102">
        <v>0</v>
      </c>
      <c r="D391" s="102">
        <v>0</v>
      </c>
      <c r="E391" s="102">
        <v>0</v>
      </c>
      <c r="F391" s="102">
        <v>0</v>
      </c>
      <c r="G391" s="102">
        <v>0</v>
      </c>
      <c r="H391" s="102">
        <v>0</v>
      </c>
      <c r="I391" s="102">
        <v>0</v>
      </c>
      <c r="J391" s="1432" t="s">
        <v>2086</v>
      </c>
    </row>
    <row r="392" spans="2:10">
      <c r="B392" s="131" t="s">
        <v>292</v>
      </c>
      <c r="C392" s="102">
        <v>0</v>
      </c>
      <c r="D392" s="102">
        <v>0</v>
      </c>
      <c r="E392" s="102">
        <v>0</v>
      </c>
      <c r="F392" s="102">
        <v>0</v>
      </c>
      <c r="G392" s="102">
        <v>0</v>
      </c>
      <c r="H392" s="102">
        <v>0</v>
      </c>
      <c r="I392" s="102">
        <v>0</v>
      </c>
      <c r="J392" s="1432" t="s">
        <v>2086</v>
      </c>
    </row>
    <row r="393" spans="2:10">
      <c r="B393" s="131" t="s">
        <v>291</v>
      </c>
      <c r="C393" s="102">
        <v>0</v>
      </c>
      <c r="D393" s="102">
        <v>0</v>
      </c>
      <c r="E393" s="102">
        <v>0</v>
      </c>
      <c r="F393" s="102">
        <v>0</v>
      </c>
      <c r="G393" s="102">
        <v>0</v>
      </c>
      <c r="H393" s="102">
        <v>0</v>
      </c>
      <c r="I393" s="102">
        <v>0</v>
      </c>
      <c r="J393" s="1432" t="s">
        <v>2086</v>
      </c>
    </row>
    <row r="394" spans="2:10">
      <c r="B394" s="131" t="s">
        <v>290</v>
      </c>
      <c r="C394" s="102">
        <v>0</v>
      </c>
      <c r="D394" s="102">
        <v>0</v>
      </c>
      <c r="E394" s="102">
        <v>0</v>
      </c>
      <c r="F394" s="102">
        <v>0</v>
      </c>
      <c r="G394" s="102">
        <v>0</v>
      </c>
      <c r="H394" s="102">
        <v>0</v>
      </c>
      <c r="I394" s="102">
        <v>0</v>
      </c>
      <c r="J394" s="1432" t="s">
        <v>2086</v>
      </c>
    </row>
    <row r="395" spans="2:10">
      <c r="B395" s="131" t="s">
        <v>289</v>
      </c>
      <c r="C395" s="102">
        <v>0</v>
      </c>
      <c r="D395" s="102">
        <v>0</v>
      </c>
      <c r="E395" s="102">
        <v>0</v>
      </c>
      <c r="F395" s="102">
        <v>0</v>
      </c>
      <c r="G395" s="102">
        <v>0</v>
      </c>
      <c r="H395" s="102">
        <v>0</v>
      </c>
      <c r="I395" s="102">
        <v>0</v>
      </c>
      <c r="J395" s="1432" t="s">
        <v>2086</v>
      </c>
    </row>
    <row r="396" spans="2:10">
      <c r="B396" s="131" t="s">
        <v>288</v>
      </c>
      <c r="C396" s="102">
        <v>0</v>
      </c>
      <c r="D396" s="102">
        <v>0</v>
      </c>
      <c r="E396" s="102">
        <v>0</v>
      </c>
      <c r="F396" s="102">
        <v>0</v>
      </c>
      <c r="G396" s="102">
        <v>0</v>
      </c>
      <c r="H396" s="102">
        <v>0</v>
      </c>
      <c r="I396" s="102">
        <v>0</v>
      </c>
      <c r="J396" s="1432" t="s">
        <v>2086</v>
      </c>
    </row>
    <row r="397" spans="2:10">
      <c r="B397" s="65" t="s">
        <v>287</v>
      </c>
      <c r="C397" s="102">
        <v>0</v>
      </c>
      <c r="D397" s="102">
        <v>0</v>
      </c>
      <c r="E397" s="102">
        <v>0</v>
      </c>
      <c r="F397" s="102">
        <v>0</v>
      </c>
      <c r="G397" s="102">
        <v>0</v>
      </c>
      <c r="H397" s="102">
        <v>0</v>
      </c>
      <c r="I397" s="102">
        <v>0</v>
      </c>
      <c r="J397" s="1433">
        <v>0.50778621235929178</v>
      </c>
    </row>
    <row r="398" spans="2:10">
      <c r="B398" s="65"/>
      <c r="C398" s="102"/>
      <c r="D398" s="102"/>
      <c r="E398" s="102"/>
      <c r="F398" s="102"/>
      <c r="G398" s="102"/>
      <c r="H398" s="102"/>
      <c r="I398" s="102"/>
    </row>
    <row r="399" spans="2:10" ht="26">
      <c r="B399" s="59" t="s">
        <v>1922</v>
      </c>
      <c r="C399" s="217"/>
      <c r="D399" s="217"/>
      <c r="E399" s="217"/>
      <c r="F399" s="217"/>
      <c r="G399" s="217"/>
      <c r="H399" s="217"/>
      <c r="I399" s="217"/>
    </row>
    <row r="400" spans="2:10">
      <c r="B400" s="71" t="s">
        <v>297</v>
      </c>
      <c r="C400" s="1432" t="s">
        <v>2086</v>
      </c>
      <c r="D400" s="1432" t="s">
        <v>2086</v>
      </c>
      <c r="E400" s="1432" t="s">
        <v>2086</v>
      </c>
      <c r="F400" s="1432" t="s">
        <v>2086</v>
      </c>
      <c r="G400" s="1432" t="s">
        <v>2086</v>
      </c>
      <c r="H400" s="1432" t="s">
        <v>2086</v>
      </c>
      <c r="I400" s="1434">
        <v>1.4E-5</v>
      </c>
      <c r="J400" s="1435">
        <v>2.7999999999999998E-4</v>
      </c>
    </row>
    <row r="401" spans="2:10">
      <c r="B401" s="133" t="s">
        <v>296</v>
      </c>
      <c r="C401" s="1432" t="s">
        <v>2086</v>
      </c>
      <c r="D401" s="1432" t="s">
        <v>2086</v>
      </c>
      <c r="E401" s="1432" t="s">
        <v>2086</v>
      </c>
      <c r="F401" s="1432" t="s">
        <v>2086</v>
      </c>
      <c r="G401" s="1432" t="s">
        <v>2086</v>
      </c>
      <c r="H401" s="1432" t="s">
        <v>2086</v>
      </c>
      <c r="I401" s="1434">
        <v>1.4E-5</v>
      </c>
      <c r="J401" s="1435">
        <v>2.7999999999999998E-4</v>
      </c>
    </row>
    <row r="402" spans="2:10">
      <c r="B402" s="131" t="s">
        <v>294</v>
      </c>
      <c r="C402" s="1432" t="s">
        <v>2086</v>
      </c>
      <c r="D402" s="1432" t="s">
        <v>2086</v>
      </c>
      <c r="E402" s="1432" t="s">
        <v>2086</v>
      </c>
      <c r="F402" s="1432" t="s">
        <v>2086</v>
      </c>
      <c r="G402" s="1432" t="s">
        <v>2086</v>
      </c>
      <c r="H402" s="1432" t="s">
        <v>2086</v>
      </c>
      <c r="I402" s="1435">
        <v>1.4E-5</v>
      </c>
      <c r="J402" s="1435">
        <v>2.7999999999999998E-4</v>
      </c>
    </row>
    <row r="403" spans="2:10">
      <c r="B403" s="131" t="s">
        <v>293</v>
      </c>
      <c r="C403" s="1432" t="s">
        <v>2086</v>
      </c>
      <c r="D403" s="1432" t="s">
        <v>2086</v>
      </c>
      <c r="E403" s="1432" t="s">
        <v>2086</v>
      </c>
      <c r="F403" s="1432" t="s">
        <v>2086</v>
      </c>
      <c r="G403" s="1432" t="s">
        <v>2086</v>
      </c>
      <c r="H403" s="1432" t="s">
        <v>2086</v>
      </c>
      <c r="I403" s="1432" t="s">
        <v>2086</v>
      </c>
      <c r="J403" s="1432" t="s">
        <v>2086</v>
      </c>
    </row>
    <row r="404" spans="2:10">
      <c r="B404" s="131" t="s">
        <v>292</v>
      </c>
      <c r="C404" s="1432" t="s">
        <v>2086</v>
      </c>
      <c r="D404" s="1432" t="s">
        <v>2086</v>
      </c>
      <c r="E404" s="1432" t="s">
        <v>2086</v>
      </c>
      <c r="F404" s="1432" t="s">
        <v>2086</v>
      </c>
      <c r="G404" s="1432" t="s">
        <v>2086</v>
      </c>
      <c r="H404" s="1432" t="s">
        <v>2086</v>
      </c>
      <c r="I404" s="1432" t="s">
        <v>2086</v>
      </c>
      <c r="J404" s="1432" t="s">
        <v>2086</v>
      </c>
    </row>
    <row r="405" spans="2:10">
      <c r="B405" s="131" t="s">
        <v>291</v>
      </c>
      <c r="C405" s="1432" t="s">
        <v>2086</v>
      </c>
      <c r="D405" s="1432" t="s">
        <v>2086</v>
      </c>
      <c r="E405" s="1432" t="s">
        <v>2086</v>
      </c>
      <c r="F405" s="1432" t="s">
        <v>2086</v>
      </c>
      <c r="G405" s="1432" t="s">
        <v>2086</v>
      </c>
      <c r="H405" s="1432" t="s">
        <v>2086</v>
      </c>
      <c r="I405" s="1432" t="s">
        <v>2086</v>
      </c>
      <c r="J405" s="1432" t="s">
        <v>2086</v>
      </c>
    </row>
    <row r="406" spans="2:10">
      <c r="B406" s="131" t="s">
        <v>290</v>
      </c>
      <c r="C406" s="1432" t="s">
        <v>2086</v>
      </c>
      <c r="D406" s="1432" t="s">
        <v>2086</v>
      </c>
      <c r="E406" s="1432" t="s">
        <v>2086</v>
      </c>
      <c r="F406" s="1432" t="s">
        <v>2086</v>
      </c>
      <c r="G406" s="1432" t="s">
        <v>2086</v>
      </c>
      <c r="H406" s="1432" t="s">
        <v>2086</v>
      </c>
      <c r="I406" s="1432" t="s">
        <v>2086</v>
      </c>
      <c r="J406" s="1432" t="s">
        <v>2086</v>
      </c>
    </row>
    <row r="407" spans="2:10">
      <c r="B407" s="131" t="s">
        <v>289</v>
      </c>
      <c r="C407" s="1432" t="s">
        <v>2086</v>
      </c>
      <c r="D407" s="1432" t="s">
        <v>2086</v>
      </c>
      <c r="E407" s="1432" t="s">
        <v>2086</v>
      </c>
      <c r="F407" s="1432" t="s">
        <v>2086</v>
      </c>
      <c r="G407" s="1432" t="s">
        <v>2086</v>
      </c>
      <c r="H407" s="1432" t="s">
        <v>2086</v>
      </c>
      <c r="I407" s="1432" t="s">
        <v>2086</v>
      </c>
      <c r="J407" s="1432" t="s">
        <v>2086</v>
      </c>
    </row>
    <row r="408" spans="2:10">
      <c r="B408" s="131" t="s">
        <v>288</v>
      </c>
      <c r="C408" s="1432" t="s">
        <v>2086</v>
      </c>
      <c r="D408" s="1432" t="s">
        <v>2086</v>
      </c>
      <c r="E408" s="1432" t="s">
        <v>2086</v>
      </c>
      <c r="F408" s="1432" t="s">
        <v>2086</v>
      </c>
      <c r="G408" s="1432" t="s">
        <v>2086</v>
      </c>
      <c r="H408" s="1432" t="s">
        <v>2086</v>
      </c>
      <c r="I408" s="1432" t="s">
        <v>2086</v>
      </c>
      <c r="J408" s="1432" t="s">
        <v>2086</v>
      </c>
    </row>
    <row r="409" spans="2:10">
      <c r="B409" s="132" t="s">
        <v>295</v>
      </c>
      <c r="C409" s="1432" t="s">
        <v>2086</v>
      </c>
      <c r="D409" s="1432" t="s">
        <v>2086</v>
      </c>
      <c r="E409" s="1432" t="s">
        <v>2086</v>
      </c>
      <c r="F409" s="1432" t="s">
        <v>2086</v>
      </c>
      <c r="G409" s="1432" t="s">
        <v>2086</v>
      </c>
      <c r="H409" s="1432" t="s">
        <v>2086</v>
      </c>
      <c r="I409" s="1432" t="s">
        <v>2086</v>
      </c>
      <c r="J409" s="1432" t="s">
        <v>2086</v>
      </c>
    </row>
    <row r="410" spans="2:10">
      <c r="B410" s="131" t="s">
        <v>294</v>
      </c>
      <c r="C410" s="1432" t="s">
        <v>2086</v>
      </c>
      <c r="D410" s="1432" t="s">
        <v>2086</v>
      </c>
      <c r="E410" s="1432" t="s">
        <v>2086</v>
      </c>
      <c r="F410" s="1432" t="s">
        <v>2086</v>
      </c>
      <c r="G410" s="1432" t="s">
        <v>2086</v>
      </c>
      <c r="H410" s="1432" t="s">
        <v>2086</v>
      </c>
      <c r="I410" s="1432" t="s">
        <v>2086</v>
      </c>
      <c r="J410" s="1432" t="s">
        <v>2086</v>
      </c>
    </row>
    <row r="411" spans="2:10">
      <c r="B411" s="131" t="s">
        <v>293</v>
      </c>
      <c r="C411" s="1432" t="s">
        <v>2086</v>
      </c>
      <c r="D411" s="1432" t="s">
        <v>2086</v>
      </c>
      <c r="E411" s="1432" t="s">
        <v>2086</v>
      </c>
      <c r="F411" s="1432" t="s">
        <v>2086</v>
      </c>
      <c r="G411" s="1432" t="s">
        <v>2086</v>
      </c>
      <c r="H411" s="1432" t="s">
        <v>2086</v>
      </c>
      <c r="I411" s="1432" t="s">
        <v>2086</v>
      </c>
      <c r="J411" s="1432" t="s">
        <v>2086</v>
      </c>
    </row>
    <row r="412" spans="2:10">
      <c r="B412" s="131" t="s">
        <v>292</v>
      </c>
      <c r="C412" s="1432" t="s">
        <v>2086</v>
      </c>
      <c r="D412" s="1432" t="s">
        <v>2086</v>
      </c>
      <c r="E412" s="1432" t="s">
        <v>2086</v>
      </c>
      <c r="F412" s="1432" t="s">
        <v>2086</v>
      </c>
      <c r="G412" s="1432" t="s">
        <v>2086</v>
      </c>
      <c r="H412" s="1432" t="s">
        <v>2086</v>
      </c>
      <c r="I412" s="1432" t="s">
        <v>2086</v>
      </c>
      <c r="J412" s="1432" t="s">
        <v>2086</v>
      </c>
    </row>
    <row r="413" spans="2:10">
      <c r="B413" s="131" t="s">
        <v>291</v>
      </c>
      <c r="C413" s="1432" t="s">
        <v>2086</v>
      </c>
      <c r="D413" s="1432" t="s">
        <v>2086</v>
      </c>
      <c r="E413" s="1432" t="s">
        <v>2086</v>
      </c>
      <c r="F413" s="1432" t="s">
        <v>2086</v>
      </c>
      <c r="G413" s="1432" t="s">
        <v>2086</v>
      </c>
      <c r="H413" s="1432" t="s">
        <v>2086</v>
      </c>
      <c r="I413" s="1432" t="s">
        <v>2086</v>
      </c>
      <c r="J413" s="1432" t="s">
        <v>2086</v>
      </c>
    </row>
    <row r="414" spans="2:10">
      <c r="B414" s="131" t="s">
        <v>290</v>
      </c>
      <c r="C414" s="1432" t="s">
        <v>2086</v>
      </c>
      <c r="D414" s="1432" t="s">
        <v>2086</v>
      </c>
      <c r="E414" s="1432" t="s">
        <v>2086</v>
      </c>
      <c r="F414" s="1432" t="s">
        <v>2086</v>
      </c>
      <c r="G414" s="1432" t="s">
        <v>2086</v>
      </c>
      <c r="H414" s="1432" t="s">
        <v>2086</v>
      </c>
      <c r="I414" s="1432" t="s">
        <v>2086</v>
      </c>
      <c r="J414" s="1432" t="s">
        <v>2086</v>
      </c>
    </row>
    <row r="415" spans="2:10">
      <c r="B415" s="131" t="s">
        <v>289</v>
      </c>
      <c r="C415" s="1432" t="s">
        <v>2086</v>
      </c>
      <c r="D415" s="1432" t="s">
        <v>2086</v>
      </c>
      <c r="E415" s="1432" t="s">
        <v>2086</v>
      </c>
      <c r="F415" s="1432" t="s">
        <v>2086</v>
      </c>
      <c r="G415" s="1432" t="s">
        <v>2086</v>
      </c>
      <c r="H415" s="1432" t="s">
        <v>2086</v>
      </c>
      <c r="I415" s="1432" t="s">
        <v>2086</v>
      </c>
      <c r="J415" s="1432" t="s">
        <v>2086</v>
      </c>
    </row>
    <row r="416" spans="2:10">
      <c r="B416" s="131" t="s">
        <v>288</v>
      </c>
      <c r="C416" s="1432" t="s">
        <v>2086</v>
      </c>
      <c r="D416" s="1432" t="s">
        <v>2086</v>
      </c>
      <c r="E416" s="1432" t="s">
        <v>2086</v>
      </c>
      <c r="F416" s="1432" t="s">
        <v>2086</v>
      </c>
      <c r="G416" s="1432" t="s">
        <v>2086</v>
      </c>
      <c r="H416" s="1432" t="s">
        <v>2086</v>
      </c>
      <c r="I416" s="1432" t="s">
        <v>2086</v>
      </c>
      <c r="J416" s="1432" t="s">
        <v>2086</v>
      </c>
    </row>
    <row r="417" spans="2:10">
      <c r="B417" s="65" t="s">
        <v>287</v>
      </c>
      <c r="C417" s="1432" t="s">
        <v>2086</v>
      </c>
      <c r="D417" s="1432" t="s">
        <v>2086</v>
      </c>
      <c r="E417" s="1432" t="s">
        <v>2086</v>
      </c>
      <c r="F417" s="1432" t="s">
        <v>2086</v>
      </c>
      <c r="G417" s="1432" t="s">
        <v>2086</v>
      </c>
      <c r="H417" s="1432" t="s">
        <v>2086</v>
      </c>
      <c r="I417" s="1432" t="s">
        <v>2086</v>
      </c>
      <c r="J417" s="1433">
        <v>4.8526240307423846E-6</v>
      </c>
    </row>
    <row r="418" spans="2:10">
      <c r="B418" s="131"/>
      <c r="C418" s="102"/>
      <c r="D418" s="102"/>
      <c r="E418" s="102"/>
      <c r="F418" s="102"/>
      <c r="G418" s="102"/>
      <c r="H418" s="102"/>
      <c r="I418" s="102"/>
    </row>
    <row r="419" spans="2:10">
      <c r="B419" s="59" t="s">
        <v>1923</v>
      </c>
      <c r="C419" s="102"/>
      <c r="D419" s="102"/>
      <c r="E419" s="102"/>
      <c r="F419" s="102"/>
      <c r="G419" s="102"/>
      <c r="H419" s="102"/>
      <c r="I419" s="102"/>
    </row>
    <row r="420" spans="2:10">
      <c r="B420" s="71" t="s">
        <v>297</v>
      </c>
      <c r="C420" s="102">
        <v>0</v>
      </c>
      <c r="D420" s="1436">
        <v>2.03464</v>
      </c>
      <c r="E420" s="1436">
        <v>1.9414130000000001</v>
      </c>
      <c r="F420" s="1436">
        <v>1.857443</v>
      </c>
      <c r="G420" s="1436">
        <v>1.7440389999999999</v>
      </c>
      <c r="H420" s="1436">
        <v>1.589081</v>
      </c>
      <c r="I420" s="1436">
        <v>0.84394499999999995</v>
      </c>
      <c r="J420" s="1288">
        <v>0.85152399999999995</v>
      </c>
    </row>
    <row r="421" spans="2:10">
      <c r="B421" s="133" t="s">
        <v>296</v>
      </c>
      <c r="C421" s="102">
        <v>0</v>
      </c>
      <c r="D421" s="1436">
        <v>2.03464</v>
      </c>
      <c r="E421" s="1436">
        <v>1.9414130000000001</v>
      </c>
      <c r="F421" s="1436">
        <v>1.857443</v>
      </c>
      <c r="G421" s="1436">
        <v>1.7440389999999999</v>
      </c>
      <c r="H421" s="1436">
        <v>1.589081</v>
      </c>
      <c r="I421" s="1436">
        <v>0.84394499999999995</v>
      </c>
      <c r="J421" s="1288">
        <v>0.85152399999999995</v>
      </c>
    </row>
    <row r="422" spans="2:10">
      <c r="B422" s="131" t="s">
        <v>294</v>
      </c>
      <c r="C422" s="102">
        <v>0</v>
      </c>
      <c r="D422" s="1432" t="s">
        <v>2086</v>
      </c>
      <c r="E422" s="1432" t="s">
        <v>2086</v>
      </c>
      <c r="F422" s="1432" t="s">
        <v>2086</v>
      </c>
      <c r="G422" s="1432" t="s">
        <v>2086</v>
      </c>
      <c r="H422" s="1432" t="s">
        <v>2086</v>
      </c>
      <c r="I422" s="1432" t="s">
        <v>2086</v>
      </c>
      <c r="J422" s="1432" t="s">
        <v>2086</v>
      </c>
    </row>
    <row r="423" spans="2:10">
      <c r="B423" s="131" t="s">
        <v>293</v>
      </c>
      <c r="C423" s="102">
        <v>0</v>
      </c>
      <c r="D423" s="1432" t="s">
        <v>2086</v>
      </c>
      <c r="E423" s="1432" t="s">
        <v>2086</v>
      </c>
      <c r="F423" s="1432" t="s">
        <v>2086</v>
      </c>
      <c r="G423" s="1432" t="s">
        <v>2086</v>
      </c>
      <c r="H423" s="1432" t="s">
        <v>2086</v>
      </c>
      <c r="I423" s="1432" t="s">
        <v>2086</v>
      </c>
      <c r="J423" s="1432" t="s">
        <v>2086</v>
      </c>
    </row>
    <row r="424" spans="2:10">
      <c r="B424" s="131" t="s">
        <v>292</v>
      </c>
      <c r="C424" s="102">
        <v>0</v>
      </c>
      <c r="D424" s="1432" t="s">
        <v>2086</v>
      </c>
      <c r="E424" s="1432" t="s">
        <v>2086</v>
      </c>
      <c r="F424" s="1432" t="s">
        <v>2086</v>
      </c>
      <c r="G424" s="1432" t="s">
        <v>2086</v>
      </c>
      <c r="H424" s="1432" t="s">
        <v>2086</v>
      </c>
      <c r="I424" s="1432" t="s">
        <v>2086</v>
      </c>
      <c r="J424" s="1432" t="s">
        <v>2086</v>
      </c>
    </row>
    <row r="425" spans="2:10">
      <c r="B425" s="131" t="s">
        <v>291</v>
      </c>
      <c r="C425" s="102">
        <v>0</v>
      </c>
      <c r="D425" s="1432" t="s">
        <v>2086</v>
      </c>
      <c r="E425" s="1432" t="s">
        <v>2086</v>
      </c>
      <c r="F425" s="1432" t="s">
        <v>2086</v>
      </c>
      <c r="G425" s="1432" t="s">
        <v>2086</v>
      </c>
      <c r="H425" s="1432" t="s">
        <v>2086</v>
      </c>
      <c r="I425" s="1432" t="s">
        <v>2086</v>
      </c>
      <c r="J425" s="1432" t="s">
        <v>2086</v>
      </c>
    </row>
    <row r="426" spans="2:10">
      <c r="B426" s="131" t="s">
        <v>290</v>
      </c>
      <c r="C426" s="102">
        <v>0</v>
      </c>
      <c r="D426" s="1436">
        <v>0</v>
      </c>
      <c r="E426" s="1436">
        <v>0</v>
      </c>
      <c r="F426" s="1436">
        <v>0</v>
      </c>
      <c r="G426" s="1436">
        <v>0</v>
      </c>
      <c r="H426" s="1436">
        <v>0</v>
      </c>
      <c r="I426" s="1436">
        <v>0</v>
      </c>
      <c r="J426" s="1436">
        <v>0</v>
      </c>
    </row>
    <row r="427" spans="2:10">
      <c r="B427" s="131" t="s">
        <v>289</v>
      </c>
      <c r="C427" s="102">
        <v>0</v>
      </c>
      <c r="D427" s="1437">
        <v>2.03464</v>
      </c>
      <c r="E427" s="1437">
        <v>1.9414130000000001</v>
      </c>
      <c r="F427" s="1437">
        <v>1.857443</v>
      </c>
      <c r="G427" s="1437">
        <v>1.7440389999999999</v>
      </c>
      <c r="H427" s="1437">
        <v>1.589081</v>
      </c>
      <c r="I427" s="1437">
        <v>0.84394499999999995</v>
      </c>
      <c r="J427" s="1267">
        <v>0.85152399999999995</v>
      </c>
    </row>
    <row r="428" spans="2:10">
      <c r="B428" s="131" t="s">
        <v>288</v>
      </c>
      <c r="C428" s="102">
        <v>0</v>
      </c>
      <c r="D428" s="1432" t="s">
        <v>2086</v>
      </c>
      <c r="E428" s="1432" t="s">
        <v>2086</v>
      </c>
      <c r="F428" s="1432" t="s">
        <v>2086</v>
      </c>
      <c r="G428" s="1432" t="s">
        <v>2086</v>
      </c>
      <c r="H428" s="1432" t="s">
        <v>2086</v>
      </c>
      <c r="I428" s="1432" t="s">
        <v>2086</v>
      </c>
      <c r="J428" s="1432" t="s">
        <v>2086</v>
      </c>
    </row>
    <row r="429" spans="2:10">
      <c r="B429" s="132" t="s">
        <v>295</v>
      </c>
      <c r="C429" s="102">
        <v>0</v>
      </c>
      <c r="D429" s="1432" t="s">
        <v>2086</v>
      </c>
      <c r="E429" s="1432" t="s">
        <v>2086</v>
      </c>
      <c r="F429" s="1432" t="s">
        <v>2086</v>
      </c>
      <c r="G429" s="1432" t="s">
        <v>2086</v>
      </c>
      <c r="H429" s="1432" t="s">
        <v>2086</v>
      </c>
      <c r="I429" s="1432" t="s">
        <v>2086</v>
      </c>
      <c r="J429" s="1432" t="s">
        <v>2086</v>
      </c>
    </row>
    <row r="430" spans="2:10">
      <c r="B430" s="131" t="s">
        <v>294</v>
      </c>
      <c r="C430" s="102">
        <v>0</v>
      </c>
      <c r="D430" s="1432" t="s">
        <v>2086</v>
      </c>
      <c r="E430" s="1432" t="s">
        <v>2086</v>
      </c>
      <c r="F430" s="1432" t="s">
        <v>2086</v>
      </c>
      <c r="G430" s="1432" t="s">
        <v>2086</v>
      </c>
      <c r="H430" s="1432" t="s">
        <v>2086</v>
      </c>
      <c r="I430" s="1432" t="s">
        <v>2086</v>
      </c>
      <c r="J430" s="1432" t="s">
        <v>2086</v>
      </c>
    </row>
    <row r="431" spans="2:10">
      <c r="B431" s="131" t="s">
        <v>293</v>
      </c>
      <c r="C431" s="102">
        <v>0</v>
      </c>
      <c r="D431" s="1432" t="s">
        <v>2086</v>
      </c>
      <c r="E431" s="1432" t="s">
        <v>2086</v>
      </c>
      <c r="F431" s="1432" t="s">
        <v>2086</v>
      </c>
      <c r="G431" s="1432" t="s">
        <v>2086</v>
      </c>
      <c r="H431" s="1432" t="s">
        <v>2086</v>
      </c>
      <c r="I431" s="1432" t="s">
        <v>2086</v>
      </c>
      <c r="J431" s="1432" t="s">
        <v>2086</v>
      </c>
    </row>
    <row r="432" spans="2:10">
      <c r="B432" s="131" t="s">
        <v>292</v>
      </c>
      <c r="C432" s="102">
        <v>0</v>
      </c>
      <c r="D432" s="1432" t="s">
        <v>2086</v>
      </c>
      <c r="E432" s="1432" t="s">
        <v>2086</v>
      </c>
      <c r="F432" s="1432" t="s">
        <v>2086</v>
      </c>
      <c r="G432" s="1432" t="s">
        <v>2086</v>
      </c>
      <c r="H432" s="1432" t="s">
        <v>2086</v>
      </c>
      <c r="I432" s="1432" t="s">
        <v>2086</v>
      </c>
      <c r="J432" s="1432" t="s">
        <v>2086</v>
      </c>
    </row>
    <row r="433" spans="2:15">
      <c r="B433" s="131" t="s">
        <v>291</v>
      </c>
      <c r="C433" s="102">
        <v>0</v>
      </c>
      <c r="D433" s="1432" t="s">
        <v>2086</v>
      </c>
      <c r="E433" s="1432" t="s">
        <v>2086</v>
      </c>
      <c r="F433" s="1432" t="s">
        <v>2086</v>
      </c>
      <c r="G433" s="1432" t="s">
        <v>2086</v>
      </c>
      <c r="H433" s="1432" t="s">
        <v>2086</v>
      </c>
      <c r="I433" s="1432" t="s">
        <v>2086</v>
      </c>
      <c r="J433" s="1432" t="s">
        <v>2086</v>
      </c>
    </row>
    <row r="434" spans="2:15">
      <c r="B434" s="131" t="s">
        <v>290</v>
      </c>
      <c r="C434" s="102">
        <v>0</v>
      </c>
      <c r="D434" s="1432" t="s">
        <v>2086</v>
      </c>
      <c r="E434" s="1432" t="s">
        <v>2086</v>
      </c>
      <c r="F434" s="1432" t="s">
        <v>2086</v>
      </c>
      <c r="G434" s="1432" t="s">
        <v>2086</v>
      </c>
      <c r="H434" s="1432" t="s">
        <v>2086</v>
      </c>
      <c r="I434" s="1432" t="s">
        <v>2086</v>
      </c>
      <c r="J434" s="1432" t="s">
        <v>2086</v>
      </c>
    </row>
    <row r="435" spans="2:15">
      <c r="B435" s="131" t="s">
        <v>289</v>
      </c>
      <c r="C435" s="102">
        <v>0</v>
      </c>
      <c r="D435" s="1432" t="s">
        <v>2086</v>
      </c>
      <c r="E435" s="1432" t="s">
        <v>2086</v>
      </c>
      <c r="F435" s="1432" t="s">
        <v>2086</v>
      </c>
      <c r="G435" s="1432" t="s">
        <v>2086</v>
      </c>
      <c r="H435" s="1432" t="s">
        <v>2086</v>
      </c>
      <c r="I435" s="1432" t="s">
        <v>2086</v>
      </c>
      <c r="J435" s="1432" t="s">
        <v>2086</v>
      </c>
    </row>
    <row r="436" spans="2:15">
      <c r="B436" s="131" t="s">
        <v>288</v>
      </c>
      <c r="C436" s="102">
        <v>0</v>
      </c>
      <c r="D436" s="1432" t="s">
        <v>2086</v>
      </c>
      <c r="E436" s="1432" t="s">
        <v>2086</v>
      </c>
      <c r="F436" s="1432" t="s">
        <v>2086</v>
      </c>
      <c r="G436" s="1432" t="s">
        <v>2086</v>
      </c>
      <c r="H436" s="1432" t="s">
        <v>2086</v>
      </c>
      <c r="I436" s="1432" t="s">
        <v>2086</v>
      </c>
      <c r="J436" s="1432" t="s">
        <v>2086</v>
      </c>
    </row>
    <row r="437" spans="2:15">
      <c r="B437" s="65" t="s">
        <v>287</v>
      </c>
      <c r="C437" s="102">
        <v>0</v>
      </c>
      <c r="D437" s="1432" t="s">
        <v>2086</v>
      </c>
      <c r="E437" s="1432" t="s">
        <v>2086</v>
      </c>
      <c r="F437" s="1432" t="s">
        <v>2086</v>
      </c>
      <c r="G437" s="1432" t="s">
        <v>2086</v>
      </c>
      <c r="H437" s="1432" t="s">
        <v>2086</v>
      </c>
      <c r="I437" s="1432" t="s">
        <v>2086</v>
      </c>
      <c r="J437" s="1432" t="s">
        <v>2086</v>
      </c>
    </row>
    <row r="438" spans="2:15">
      <c r="B438" s="131"/>
      <c r="C438" s="102"/>
      <c r="D438" s="102"/>
      <c r="E438" s="102"/>
      <c r="F438" s="102"/>
      <c r="G438" s="102"/>
      <c r="H438" s="102"/>
      <c r="I438" s="102"/>
    </row>
    <row r="439" spans="2:15">
      <c r="B439" s="59" t="s">
        <v>1924</v>
      </c>
      <c r="D439" s="1004"/>
      <c r="E439" s="1004"/>
      <c r="F439" s="1004"/>
      <c r="G439" s="1004"/>
      <c r="L439"/>
      <c r="M439"/>
      <c r="N439"/>
      <c r="O439"/>
    </row>
    <row r="440" spans="2:15">
      <c r="B440" s="59" t="s">
        <v>1925</v>
      </c>
      <c r="D440" s="1004"/>
      <c r="E440" s="1004"/>
      <c r="F440" s="1004"/>
      <c r="G440" s="1004"/>
      <c r="L440"/>
      <c r="M440"/>
      <c r="N440"/>
      <c r="O440"/>
    </row>
    <row r="441" spans="2:15">
      <c r="B441" s="71" t="s">
        <v>297</v>
      </c>
      <c r="C441">
        <v>0</v>
      </c>
      <c r="D441" s="1438">
        <v>50.940327618200762</v>
      </c>
      <c r="E441" s="1438">
        <v>49.887750999999994</v>
      </c>
      <c r="F441" s="1438">
        <v>55.960178999999997</v>
      </c>
      <c r="G441" s="1438">
        <v>62.241268210000001</v>
      </c>
      <c r="H441" s="1438">
        <v>72.318009000000004</v>
      </c>
      <c r="I441" s="1438">
        <v>61.473779999999998</v>
      </c>
      <c r="J441" s="1438">
        <v>80.939918000000006</v>
      </c>
      <c r="L441"/>
      <c r="M441"/>
      <c r="N441"/>
      <c r="O441"/>
    </row>
    <row r="442" spans="2:15">
      <c r="B442" s="133" t="s">
        <v>296</v>
      </c>
      <c r="C442">
        <v>0</v>
      </c>
      <c r="D442" s="1438">
        <v>50.940327618200762</v>
      </c>
      <c r="E442" s="1438">
        <v>49.887750999999994</v>
      </c>
      <c r="F442" s="1438">
        <v>55.960178999999997</v>
      </c>
      <c r="G442" s="1438">
        <v>62.241268210000001</v>
      </c>
      <c r="H442" s="1438">
        <v>72.318009000000004</v>
      </c>
      <c r="I442" s="1438">
        <v>61.473779999999998</v>
      </c>
      <c r="J442" s="1438">
        <v>80.939918000000006</v>
      </c>
      <c r="L442"/>
      <c r="M442"/>
      <c r="N442"/>
      <c r="O442"/>
    </row>
    <row r="443" spans="2:15">
      <c r="B443" s="131" t="s">
        <v>294</v>
      </c>
      <c r="C443">
        <v>0</v>
      </c>
      <c r="D443" s="1432" t="s">
        <v>2086</v>
      </c>
      <c r="E443" s="1432" t="s">
        <v>2086</v>
      </c>
      <c r="F443" s="1432" t="s">
        <v>2086</v>
      </c>
      <c r="G443" s="1432" t="s">
        <v>2086</v>
      </c>
      <c r="H443" s="1432" t="s">
        <v>2086</v>
      </c>
      <c r="I443" s="1432" t="s">
        <v>2086</v>
      </c>
      <c r="J443" s="1432" t="s">
        <v>2086</v>
      </c>
      <c r="L443"/>
      <c r="M443"/>
      <c r="N443"/>
      <c r="O443"/>
    </row>
    <row r="444" spans="2:15">
      <c r="B444" s="131" t="s">
        <v>293</v>
      </c>
      <c r="C444">
        <v>0</v>
      </c>
      <c r="D444" s="1432" t="s">
        <v>2086</v>
      </c>
      <c r="E444" s="1432" t="s">
        <v>2086</v>
      </c>
      <c r="F444" s="1432" t="s">
        <v>2086</v>
      </c>
      <c r="G444" s="1432" t="s">
        <v>2086</v>
      </c>
      <c r="H444" s="1432" t="s">
        <v>2086</v>
      </c>
      <c r="I444" s="1432" t="s">
        <v>2086</v>
      </c>
      <c r="J444" s="1432" t="s">
        <v>2086</v>
      </c>
      <c r="L444"/>
      <c r="M444"/>
      <c r="N444"/>
      <c r="O444"/>
    </row>
    <row r="445" spans="2:15">
      <c r="B445" s="131" t="s">
        <v>292</v>
      </c>
      <c r="C445">
        <v>0</v>
      </c>
      <c r="D445" s="1439">
        <v>7.4346876182007628</v>
      </c>
      <c r="E445" s="1439">
        <v>8.3133090000000003</v>
      </c>
      <c r="F445" s="1439">
        <v>11.121865</v>
      </c>
      <c r="G445" s="1439">
        <v>14.91680221</v>
      </c>
      <c r="H445" s="1439">
        <v>20.763335000000001</v>
      </c>
      <c r="I445" s="1439">
        <v>22.759194000000001</v>
      </c>
      <c r="J445" s="859">
        <v>34.128363</v>
      </c>
      <c r="L445"/>
      <c r="M445"/>
      <c r="N445"/>
      <c r="O445"/>
    </row>
    <row r="446" spans="2:15">
      <c r="B446" s="131" t="s">
        <v>291</v>
      </c>
      <c r="C446">
        <v>0</v>
      </c>
      <c r="D446" s="1439">
        <v>43.50564</v>
      </c>
      <c r="E446" s="1439">
        <v>41.574441999999998</v>
      </c>
      <c r="F446" s="1439">
        <v>44.838313999999997</v>
      </c>
      <c r="G446" s="1439">
        <v>47.324466000000001</v>
      </c>
      <c r="H446" s="1439">
        <v>51.554673999999999</v>
      </c>
      <c r="I446" s="1439">
        <v>38.714585999999997</v>
      </c>
      <c r="J446" s="859">
        <v>46.811554999999998</v>
      </c>
      <c r="L446"/>
      <c r="M446"/>
      <c r="N446"/>
      <c r="O446"/>
    </row>
    <row r="447" spans="2:15">
      <c r="B447" s="131" t="s">
        <v>290</v>
      </c>
      <c r="C447">
        <v>0</v>
      </c>
      <c r="D447" s="1436">
        <v>0</v>
      </c>
      <c r="E447" s="1436">
        <v>0</v>
      </c>
      <c r="F447" s="1436">
        <v>0</v>
      </c>
      <c r="G447" s="1436">
        <v>0</v>
      </c>
      <c r="H447" s="1436">
        <v>0</v>
      </c>
      <c r="I447" s="1436">
        <v>0</v>
      </c>
      <c r="J447" s="1436">
        <v>0</v>
      </c>
      <c r="L447"/>
      <c r="M447"/>
      <c r="N447"/>
      <c r="O447"/>
    </row>
    <row r="448" spans="2:15">
      <c r="B448" s="131" t="s">
        <v>289</v>
      </c>
      <c r="C448">
        <v>0</v>
      </c>
      <c r="D448" s="1432" t="s">
        <v>2086</v>
      </c>
      <c r="E448" s="1432" t="s">
        <v>2086</v>
      </c>
      <c r="F448" s="1432" t="s">
        <v>2086</v>
      </c>
      <c r="G448" s="1432" t="s">
        <v>2086</v>
      </c>
      <c r="H448" s="1432" t="s">
        <v>2086</v>
      </c>
      <c r="I448" s="1432" t="s">
        <v>2086</v>
      </c>
      <c r="J448" s="1432" t="s">
        <v>2086</v>
      </c>
      <c r="L448"/>
      <c r="M448"/>
      <c r="N448"/>
      <c r="O448"/>
    </row>
    <row r="449" spans="2:15">
      <c r="B449" s="131" t="s">
        <v>288</v>
      </c>
      <c r="C449">
        <v>0</v>
      </c>
      <c r="D449" s="1432" t="s">
        <v>2086</v>
      </c>
      <c r="E449" s="1432" t="s">
        <v>2086</v>
      </c>
      <c r="F449" s="1432" t="s">
        <v>2086</v>
      </c>
      <c r="G449" s="1432" t="s">
        <v>2086</v>
      </c>
      <c r="H449" s="1432" t="s">
        <v>2086</v>
      </c>
      <c r="I449" s="1432" t="s">
        <v>2086</v>
      </c>
      <c r="J449" s="1432" t="s">
        <v>2086</v>
      </c>
      <c r="L449"/>
      <c r="M449"/>
      <c r="N449"/>
      <c r="O449"/>
    </row>
    <row r="450" spans="2:15">
      <c r="B450" s="132" t="s">
        <v>295</v>
      </c>
      <c r="C450">
        <v>0</v>
      </c>
      <c r="D450" s="1432" t="s">
        <v>2086</v>
      </c>
      <c r="E450" s="1432" t="s">
        <v>2086</v>
      </c>
      <c r="F450" s="1432" t="s">
        <v>2086</v>
      </c>
      <c r="G450" s="1432" t="s">
        <v>2086</v>
      </c>
      <c r="H450" s="1432" t="s">
        <v>2086</v>
      </c>
      <c r="I450" s="1432" t="s">
        <v>2086</v>
      </c>
      <c r="J450" s="1432" t="s">
        <v>2086</v>
      </c>
      <c r="L450"/>
      <c r="M450"/>
      <c r="N450"/>
      <c r="O450"/>
    </row>
    <row r="451" spans="2:15">
      <c r="B451" s="131" t="s">
        <v>294</v>
      </c>
      <c r="C451">
        <v>0</v>
      </c>
      <c r="D451" s="1432" t="s">
        <v>2086</v>
      </c>
      <c r="E451" s="1432" t="s">
        <v>2086</v>
      </c>
      <c r="F451" s="1432" t="s">
        <v>2086</v>
      </c>
      <c r="G451" s="1432" t="s">
        <v>2086</v>
      </c>
      <c r="H451" s="1432" t="s">
        <v>2086</v>
      </c>
      <c r="I451" s="1432" t="s">
        <v>2086</v>
      </c>
      <c r="J451" s="1432" t="s">
        <v>2086</v>
      </c>
      <c r="L451"/>
      <c r="M451"/>
      <c r="N451"/>
      <c r="O451"/>
    </row>
    <row r="452" spans="2:15">
      <c r="B452" s="131" t="s">
        <v>293</v>
      </c>
      <c r="C452">
        <v>0</v>
      </c>
      <c r="D452" s="1432" t="s">
        <v>2086</v>
      </c>
      <c r="E452" s="1432" t="s">
        <v>2086</v>
      </c>
      <c r="F452" s="1432" t="s">
        <v>2086</v>
      </c>
      <c r="G452" s="1432" t="s">
        <v>2086</v>
      </c>
      <c r="H452" s="1432" t="s">
        <v>2086</v>
      </c>
      <c r="I452" s="1432" t="s">
        <v>2086</v>
      </c>
      <c r="J452" s="1432" t="s">
        <v>2086</v>
      </c>
      <c r="L452"/>
      <c r="M452"/>
      <c r="N452"/>
      <c r="O452"/>
    </row>
    <row r="453" spans="2:15">
      <c r="B453" s="131" t="s">
        <v>292</v>
      </c>
      <c r="C453">
        <v>0</v>
      </c>
      <c r="D453" s="1432" t="s">
        <v>2086</v>
      </c>
      <c r="E453" s="1432" t="s">
        <v>2086</v>
      </c>
      <c r="F453" s="1432" t="s">
        <v>2086</v>
      </c>
      <c r="G453" s="1432" t="s">
        <v>2086</v>
      </c>
      <c r="H453" s="1432" t="s">
        <v>2086</v>
      </c>
      <c r="I453" s="1432" t="s">
        <v>2086</v>
      </c>
      <c r="J453" s="1432" t="s">
        <v>2086</v>
      </c>
      <c r="L453"/>
      <c r="M453"/>
      <c r="N453"/>
      <c r="O453"/>
    </row>
    <row r="454" spans="2:15">
      <c r="B454" s="131" t="s">
        <v>291</v>
      </c>
      <c r="C454">
        <v>0</v>
      </c>
      <c r="D454" s="1432" t="s">
        <v>2086</v>
      </c>
      <c r="E454" s="1432" t="s">
        <v>2086</v>
      </c>
      <c r="F454" s="1432" t="s">
        <v>2086</v>
      </c>
      <c r="G454" s="1432" t="s">
        <v>2086</v>
      </c>
      <c r="H454" s="1432" t="s">
        <v>2086</v>
      </c>
      <c r="I454" s="1432" t="s">
        <v>2086</v>
      </c>
      <c r="J454" s="1432" t="s">
        <v>2086</v>
      </c>
      <c r="L454"/>
      <c r="M454"/>
      <c r="N454"/>
      <c r="O454"/>
    </row>
    <row r="455" spans="2:15">
      <c r="B455" s="131" t="s">
        <v>290</v>
      </c>
      <c r="C455">
        <v>0</v>
      </c>
      <c r="D455" s="1432" t="s">
        <v>2086</v>
      </c>
      <c r="E455" s="1432" t="s">
        <v>2086</v>
      </c>
      <c r="F455" s="1432" t="s">
        <v>2086</v>
      </c>
      <c r="G455" s="1432" t="s">
        <v>2086</v>
      </c>
      <c r="H455" s="1432" t="s">
        <v>2086</v>
      </c>
      <c r="I455" s="1432" t="s">
        <v>2086</v>
      </c>
      <c r="J455" s="1432" t="s">
        <v>2086</v>
      </c>
      <c r="L455"/>
      <c r="M455"/>
      <c r="N455"/>
      <c r="O455"/>
    </row>
    <row r="456" spans="2:15">
      <c r="B456" s="131" t="s">
        <v>289</v>
      </c>
      <c r="C456">
        <v>0</v>
      </c>
      <c r="D456" s="1432" t="s">
        <v>2086</v>
      </c>
      <c r="E456" s="1432" t="s">
        <v>2086</v>
      </c>
      <c r="F456" s="1432" t="s">
        <v>2086</v>
      </c>
      <c r="G456" s="1432" t="s">
        <v>2086</v>
      </c>
      <c r="H456" s="1432" t="s">
        <v>2086</v>
      </c>
      <c r="I456" s="1432" t="s">
        <v>2086</v>
      </c>
      <c r="J456" s="1432" t="s">
        <v>2086</v>
      </c>
      <c r="L456"/>
      <c r="M456"/>
      <c r="N456"/>
      <c r="O456"/>
    </row>
    <row r="457" spans="2:15">
      <c r="B457" s="131" t="s">
        <v>288</v>
      </c>
      <c r="C457">
        <v>0</v>
      </c>
      <c r="D457" s="1432" t="s">
        <v>2086</v>
      </c>
      <c r="E457" s="1432" t="s">
        <v>2086</v>
      </c>
      <c r="F457" s="1432" t="s">
        <v>2086</v>
      </c>
      <c r="G457" s="1432" t="s">
        <v>2086</v>
      </c>
      <c r="H457" s="1432" t="s">
        <v>2086</v>
      </c>
      <c r="I457" s="1432" t="s">
        <v>2086</v>
      </c>
      <c r="J457" s="1432" t="s">
        <v>2086</v>
      </c>
      <c r="L457"/>
      <c r="M457"/>
      <c r="N457"/>
      <c r="O457"/>
    </row>
    <row r="458" spans="2:15">
      <c r="B458" s="65" t="s">
        <v>287</v>
      </c>
      <c r="C458">
        <v>0</v>
      </c>
      <c r="D458" s="1432" t="s">
        <v>2086</v>
      </c>
      <c r="E458" s="1432" t="s">
        <v>2086</v>
      </c>
      <c r="F458" s="1432" t="s">
        <v>2086</v>
      </c>
      <c r="G458" s="1432" t="s">
        <v>2086</v>
      </c>
      <c r="H458" s="1432" t="s">
        <v>2086</v>
      </c>
      <c r="I458" s="1432" t="s">
        <v>2086</v>
      </c>
      <c r="J458" s="1432" t="s">
        <v>2086</v>
      </c>
      <c r="L458"/>
      <c r="M458"/>
      <c r="N458"/>
      <c r="O458"/>
    </row>
    <row r="459" spans="2:15">
      <c r="B459" s="59"/>
      <c r="D459" s="1004"/>
      <c r="E459" s="1004"/>
      <c r="F459" s="1004"/>
      <c r="G459" s="1004"/>
      <c r="L459"/>
      <c r="M459"/>
      <c r="N459"/>
      <c r="O459"/>
    </row>
    <row r="460" spans="2:15">
      <c r="B460" s="59" t="s">
        <v>1926</v>
      </c>
      <c r="D460" s="1004"/>
      <c r="E460" s="1004"/>
      <c r="F460" s="1004"/>
      <c r="G460" s="1004"/>
      <c r="L460"/>
      <c r="M460"/>
      <c r="N460"/>
      <c r="O460"/>
    </row>
    <row r="461" spans="2:15">
      <c r="B461" s="71" t="s">
        <v>297</v>
      </c>
      <c r="C461">
        <v>0</v>
      </c>
      <c r="D461" s="1438">
        <v>7.8869669999999994</v>
      </c>
      <c r="E461" s="1438">
        <v>9.7272577699999996</v>
      </c>
      <c r="F461" s="1438">
        <v>10.766479</v>
      </c>
      <c r="G461" s="1438">
        <v>13.664197</v>
      </c>
      <c r="H461" s="1438">
        <v>17.494216999999999</v>
      </c>
      <c r="I461" s="1438">
        <v>15.202349999999999</v>
      </c>
      <c r="J461" s="1438">
        <v>24.834733999999997</v>
      </c>
      <c r="L461"/>
      <c r="M461"/>
      <c r="N461"/>
      <c r="O461"/>
    </row>
    <row r="462" spans="2:15">
      <c r="B462" s="133" t="s">
        <v>296</v>
      </c>
      <c r="C462">
        <v>0</v>
      </c>
      <c r="D462" s="1438">
        <v>7.8869669999999994</v>
      </c>
      <c r="E462" s="1438">
        <v>9.7272577699999996</v>
      </c>
      <c r="F462" s="1438">
        <v>10.766479</v>
      </c>
      <c r="G462" s="1438">
        <v>13.664197</v>
      </c>
      <c r="H462" s="1438">
        <v>17.494216999999999</v>
      </c>
      <c r="I462" s="1438">
        <v>15.202349999999999</v>
      </c>
      <c r="J462" s="1438">
        <v>24.834733999999997</v>
      </c>
      <c r="L462"/>
      <c r="M462"/>
      <c r="N462"/>
      <c r="O462"/>
    </row>
    <row r="463" spans="2:15">
      <c r="B463" s="131" t="s">
        <v>294</v>
      </c>
      <c r="C463">
        <v>0</v>
      </c>
      <c r="D463" s="1432" t="s">
        <v>2086</v>
      </c>
      <c r="E463" s="1432" t="s">
        <v>2086</v>
      </c>
      <c r="F463" s="1432" t="s">
        <v>2086</v>
      </c>
      <c r="G463" s="1432" t="s">
        <v>2086</v>
      </c>
      <c r="H463" s="1432" t="s">
        <v>2086</v>
      </c>
      <c r="I463" s="1432" t="s">
        <v>2086</v>
      </c>
      <c r="J463" s="1432" t="s">
        <v>2086</v>
      </c>
      <c r="L463"/>
      <c r="M463"/>
      <c r="N463"/>
      <c r="O463"/>
    </row>
    <row r="464" spans="2:15">
      <c r="B464" s="131" t="s">
        <v>293</v>
      </c>
      <c r="C464">
        <v>0</v>
      </c>
      <c r="D464" s="1432" t="s">
        <v>2086</v>
      </c>
      <c r="E464" s="1432" t="s">
        <v>2086</v>
      </c>
      <c r="F464" s="1432" t="s">
        <v>2086</v>
      </c>
      <c r="G464" s="1432" t="s">
        <v>2086</v>
      </c>
      <c r="H464" s="1432" t="s">
        <v>2086</v>
      </c>
      <c r="I464" s="1432" t="s">
        <v>2086</v>
      </c>
      <c r="J464" s="1432" t="s">
        <v>2086</v>
      </c>
      <c r="L464"/>
      <c r="M464"/>
      <c r="N464"/>
      <c r="O464"/>
    </row>
    <row r="465" spans="2:15">
      <c r="B465" s="131" t="s">
        <v>292</v>
      </c>
      <c r="C465">
        <v>0</v>
      </c>
      <c r="D465" s="1439">
        <v>3.2976359999999998</v>
      </c>
      <c r="E465" s="1439">
        <v>3.844268</v>
      </c>
      <c r="F465" s="1439">
        <v>5.1178999999999997</v>
      </c>
      <c r="G465" s="1439">
        <v>7.520689</v>
      </c>
      <c r="H465" s="1439">
        <v>11.600778</v>
      </c>
      <c r="I465" s="1439">
        <v>9.3730130000000003</v>
      </c>
      <c r="J465" s="859">
        <v>15.465890999999999</v>
      </c>
      <c r="L465"/>
      <c r="M465"/>
      <c r="N465"/>
      <c r="O465"/>
    </row>
    <row r="466" spans="2:15">
      <c r="B466" s="131" t="s">
        <v>291</v>
      </c>
      <c r="C466">
        <v>0</v>
      </c>
      <c r="D466" s="1439">
        <v>4.5893309999999996</v>
      </c>
      <c r="E466" s="1439">
        <v>5.8829897699999991</v>
      </c>
      <c r="F466" s="1439">
        <v>5.6485789999999998</v>
      </c>
      <c r="G466" s="1439">
        <v>6.1435079999999997</v>
      </c>
      <c r="H466" s="1439">
        <v>5.8934389999999999</v>
      </c>
      <c r="I466" s="1439">
        <v>5.8293369999999998</v>
      </c>
      <c r="J466" s="859">
        <v>9.368843</v>
      </c>
      <c r="L466"/>
      <c r="M466"/>
      <c r="N466"/>
      <c r="O466"/>
    </row>
    <row r="467" spans="2:15">
      <c r="B467" s="131" t="s">
        <v>290</v>
      </c>
      <c r="C467">
        <v>0</v>
      </c>
      <c r="D467" s="1436">
        <v>0</v>
      </c>
      <c r="E467" s="1436">
        <v>0</v>
      </c>
      <c r="F467" s="1436">
        <v>0</v>
      </c>
      <c r="G467" s="1436">
        <v>0</v>
      </c>
      <c r="H467" s="1436">
        <v>0</v>
      </c>
      <c r="I467" s="1436">
        <v>0</v>
      </c>
      <c r="J467" s="1436">
        <v>0</v>
      </c>
      <c r="L467"/>
      <c r="M467"/>
      <c r="N467"/>
      <c r="O467"/>
    </row>
    <row r="468" spans="2:15">
      <c r="B468" s="131" t="s">
        <v>289</v>
      </c>
      <c r="C468">
        <v>0</v>
      </c>
      <c r="D468" s="1432" t="s">
        <v>2086</v>
      </c>
      <c r="E468" s="1432" t="s">
        <v>2086</v>
      </c>
      <c r="F468" s="1432" t="s">
        <v>2086</v>
      </c>
      <c r="G468" s="1432" t="s">
        <v>2086</v>
      </c>
      <c r="H468" s="1432" t="s">
        <v>2086</v>
      </c>
      <c r="I468" s="1432" t="s">
        <v>2086</v>
      </c>
      <c r="J468" s="1432" t="s">
        <v>2086</v>
      </c>
      <c r="L468"/>
      <c r="M468"/>
      <c r="N468"/>
      <c r="O468"/>
    </row>
    <row r="469" spans="2:15">
      <c r="B469" s="131" t="s">
        <v>288</v>
      </c>
      <c r="C469">
        <v>0</v>
      </c>
      <c r="D469" s="1432" t="s">
        <v>2086</v>
      </c>
      <c r="E469" s="1432" t="s">
        <v>2086</v>
      </c>
      <c r="F469" s="1432" t="s">
        <v>2086</v>
      </c>
      <c r="G469" s="1432" t="s">
        <v>2086</v>
      </c>
      <c r="H469" s="1432" t="s">
        <v>2086</v>
      </c>
      <c r="I469" s="1432" t="s">
        <v>2086</v>
      </c>
      <c r="J469" s="1432" t="s">
        <v>2086</v>
      </c>
      <c r="L469"/>
      <c r="M469"/>
      <c r="N469"/>
      <c r="O469"/>
    </row>
    <row r="470" spans="2:15">
      <c r="B470" s="132" t="s">
        <v>295</v>
      </c>
      <c r="C470">
        <v>0</v>
      </c>
      <c r="D470" s="1432" t="s">
        <v>2086</v>
      </c>
      <c r="E470" s="1432" t="s">
        <v>2086</v>
      </c>
      <c r="F470" s="1432" t="s">
        <v>2086</v>
      </c>
      <c r="G470" s="1432" t="s">
        <v>2086</v>
      </c>
      <c r="H470" s="1432" t="s">
        <v>2086</v>
      </c>
      <c r="I470" s="1432" t="s">
        <v>2086</v>
      </c>
      <c r="J470" s="1432" t="s">
        <v>2086</v>
      </c>
      <c r="L470"/>
      <c r="M470"/>
      <c r="N470"/>
      <c r="O470"/>
    </row>
    <row r="471" spans="2:15">
      <c r="B471" s="131" t="s">
        <v>294</v>
      </c>
      <c r="C471">
        <v>0</v>
      </c>
      <c r="D471" s="1432" t="s">
        <v>2086</v>
      </c>
      <c r="E471" s="1432" t="s">
        <v>2086</v>
      </c>
      <c r="F471" s="1432" t="s">
        <v>2086</v>
      </c>
      <c r="G471" s="1432" t="s">
        <v>2086</v>
      </c>
      <c r="H471" s="1432" t="s">
        <v>2086</v>
      </c>
      <c r="I471" s="1432" t="s">
        <v>2086</v>
      </c>
      <c r="J471" s="1432" t="s">
        <v>2086</v>
      </c>
      <c r="L471"/>
      <c r="M471"/>
      <c r="N471"/>
      <c r="O471"/>
    </row>
    <row r="472" spans="2:15">
      <c r="B472" s="131" t="s">
        <v>293</v>
      </c>
      <c r="C472">
        <v>0</v>
      </c>
      <c r="D472" s="1432" t="s">
        <v>2086</v>
      </c>
      <c r="E472" s="1432" t="s">
        <v>2086</v>
      </c>
      <c r="F472" s="1432" t="s">
        <v>2086</v>
      </c>
      <c r="G472" s="1432" t="s">
        <v>2086</v>
      </c>
      <c r="H472" s="1432" t="s">
        <v>2086</v>
      </c>
      <c r="I472" s="1432" t="s">
        <v>2086</v>
      </c>
      <c r="J472" s="1432" t="s">
        <v>2086</v>
      </c>
      <c r="L472"/>
      <c r="M472"/>
      <c r="N472"/>
      <c r="O472"/>
    </row>
    <row r="473" spans="2:15">
      <c r="B473" s="131" t="s">
        <v>292</v>
      </c>
      <c r="C473">
        <v>0</v>
      </c>
      <c r="D473" s="1432" t="s">
        <v>2086</v>
      </c>
      <c r="E473" s="1432" t="s">
        <v>2086</v>
      </c>
      <c r="F473" s="1432" t="s">
        <v>2086</v>
      </c>
      <c r="G473" s="1432" t="s">
        <v>2086</v>
      </c>
      <c r="H473" s="1432" t="s">
        <v>2086</v>
      </c>
      <c r="I473" s="1432" t="s">
        <v>2086</v>
      </c>
      <c r="J473" s="1432" t="s">
        <v>2086</v>
      </c>
      <c r="L473"/>
      <c r="M473"/>
      <c r="N473"/>
      <c r="O473"/>
    </row>
    <row r="474" spans="2:15">
      <c r="B474" s="131" t="s">
        <v>291</v>
      </c>
      <c r="C474">
        <v>0</v>
      </c>
      <c r="D474" s="1432" t="s">
        <v>2086</v>
      </c>
      <c r="E474" s="1432" t="s">
        <v>2086</v>
      </c>
      <c r="F474" s="1432" t="s">
        <v>2086</v>
      </c>
      <c r="G474" s="1432" t="s">
        <v>2086</v>
      </c>
      <c r="H474" s="1432" t="s">
        <v>2086</v>
      </c>
      <c r="I474" s="1432" t="s">
        <v>2086</v>
      </c>
      <c r="J474" s="1432" t="s">
        <v>2086</v>
      </c>
      <c r="L474"/>
      <c r="M474"/>
      <c r="N474"/>
      <c r="O474"/>
    </row>
    <row r="475" spans="2:15">
      <c r="B475" s="131" t="s">
        <v>290</v>
      </c>
      <c r="C475">
        <v>0</v>
      </c>
      <c r="D475" s="1432" t="s">
        <v>2086</v>
      </c>
      <c r="E475" s="1432" t="s">
        <v>2086</v>
      </c>
      <c r="F475" s="1432" t="s">
        <v>2086</v>
      </c>
      <c r="G475" s="1432" t="s">
        <v>2086</v>
      </c>
      <c r="H475" s="1432" t="s">
        <v>2086</v>
      </c>
      <c r="I475" s="1432" t="s">
        <v>2086</v>
      </c>
      <c r="J475" s="1432" t="s">
        <v>2086</v>
      </c>
      <c r="L475"/>
      <c r="M475"/>
      <c r="N475"/>
      <c r="O475"/>
    </row>
    <row r="476" spans="2:15">
      <c r="B476" s="131" t="s">
        <v>289</v>
      </c>
      <c r="C476">
        <v>0</v>
      </c>
      <c r="D476" s="1432" t="s">
        <v>2086</v>
      </c>
      <c r="E476" s="1432" t="s">
        <v>2086</v>
      </c>
      <c r="F476" s="1432" t="s">
        <v>2086</v>
      </c>
      <c r="G476" s="1432" t="s">
        <v>2086</v>
      </c>
      <c r="H476" s="1432" t="s">
        <v>2086</v>
      </c>
      <c r="I476" s="1432" t="s">
        <v>2086</v>
      </c>
      <c r="J476" s="1432" t="s">
        <v>2086</v>
      </c>
      <c r="L476"/>
      <c r="M476"/>
      <c r="N476"/>
      <c r="O476"/>
    </row>
    <row r="477" spans="2:15">
      <c r="B477" s="131" t="s">
        <v>288</v>
      </c>
      <c r="C477">
        <v>0</v>
      </c>
      <c r="D477" s="1432" t="s">
        <v>2086</v>
      </c>
      <c r="E477" s="1432" t="s">
        <v>2086</v>
      </c>
      <c r="F477" s="1432" t="s">
        <v>2086</v>
      </c>
      <c r="G477" s="1432" t="s">
        <v>2086</v>
      </c>
      <c r="H477" s="1432" t="s">
        <v>2086</v>
      </c>
      <c r="I477" s="1432" t="s">
        <v>2086</v>
      </c>
      <c r="J477" s="1432" t="s">
        <v>2086</v>
      </c>
      <c r="L477"/>
      <c r="M477"/>
      <c r="N477"/>
      <c r="O477"/>
    </row>
    <row r="478" spans="2:15">
      <c r="B478" s="65" t="s">
        <v>287</v>
      </c>
      <c r="C478">
        <v>0</v>
      </c>
      <c r="D478" s="1432" t="s">
        <v>2086</v>
      </c>
      <c r="E478" s="1432" t="s">
        <v>2086</v>
      </c>
      <c r="F478" s="1432" t="s">
        <v>2086</v>
      </c>
      <c r="G478" s="1432" t="s">
        <v>2086</v>
      </c>
      <c r="H478" s="1432" t="s">
        <v>2086</v>
      </c>
      <c r="I478" s="1432" t="s">
        <v>2086</v>
      </c>
      <c r="J478" s="1432" t="s">
        <v>2086</v>
      </c>
      <c r="L478"/>
      <c r="M478"/>
      <c r="N478"/>
      <c r="O478"/>
    </row>
    <row r="479" spans="2:15" ht="15" thickBot="1">
      <c r="D479" s="1004"/>
      <c r="E479" s="1004"/>
      <c r="F479" s="1004"/>
      <c r="G479" s="1004"/>
      <c r="J479" s="1407"/>
      <c r="L479"/>
      <c r="M479"/>
      <c r="N479"/>
      <c r="O479"/>
    </row>
    <row r="480" spans="2:15" ht="15" thickTop="1">
      <c r="B480" s="2025" t="s">
        <v>1927</v>
      </c>
      <c r="C480" s="2025"/>
      <c r="D480" s="2025"/>
      <c r="E480" s="2025"/>
      <c r="F480" s="2025"/>
      <c r="G480" s="2025"/>
      <c r="H480" s="2025"/>
      <c r="I480" s="2025"/>
    </row>
    <row r="481" spans="2:13">
      <c r="B481" s="64"/>
      <c r="C481" s="121"/>
      <c r="D481" s="121"/>
      <c r="E481" s="121"/>
      <c r="F481" s="121"/>
      <c r="G481" s="121"/>
      <c r="H481" s="121"/>
      <c r="I481" s="121"/>
    </row>
    <row r="482" spans="2:13">
      <c r="B482" s="2024" t="s">
        <v>313</v>
      </c>
      <c r="C482" s="2024"/>
      <c r="D482" s="2024"/>
      <c r="E482" s="2024"/>
      <c r="F482" s="2024"/>
      <c r="G482" s="2024"/>
      <c r="H482" s="2024"/>
      <c r="I482" s="2024"/>
      <c r="J482" s="2024"/>
      <c r="K482" s="1004"/>
    </row>
    <row r="483" spans="2:13">
      <c r="B483" s="12" t="s">
        <v>312</v>
      </c>
      <c r="C483" s="121"/>
      <c r="D483" s="121"/>
      <c r="E483" s="121"/>
      <c r="F483" s="121"/>
      <c r="G483" s="121"/>
      <c r="H483" s="121"/>
      <c r="I483" s="121"/>
    </row>
    <row r="484" spans="2:13">
      <c r="B484" s="62" t="s">
        <v>311</v>
      </c>
      <c r="C484" s="121"/>
      <c r="D484" s="121"/>
      <c r="E484" s="121"/>
      <c r="F484" s="121"/>
      <c r="G484" s="121"/>
      <c r="H484" s="121"/>
      <c r="I484" s="121"/>
    </row>
    <row r="485" spans="2:13">
      <c r="B485" s="64"/>
      <c r="C485" s="121"/>
      <c r="D485" s="121"/>
      <c r="E485" s="121"/>
      <c r="F485" s="121"/>
      <c r="G485" s="121"/>
      <c r="H485" s="121"/>
      <c r="I485" s="121"/>
    </row>
    <row r="486" spans="2:13">
      <c r="B486" s="61"/>
      <c r="C486" s="60">
        <v>2014</v>
      </c>
      <c r="D486" s="60">
        <v>2015</v>
      </c>
      <c r="E486" s="60">
        <v>2016</v>
      </c>
      <c r="F486" s="60">
        <v>2017</v>
      </c>
      <c r="G486" s="60">
        <v>2018</v>
      </c>
      <c r="H486" s="60">
        <v>2019</v>
      </c>
      <c r="I486" s="60">
        <v>2020</v>
      </c>
      <c r="J486" s="60">
        <v>2021</v>
      </c>
    </row>
    <row r="487" spans="2:13">
      <c r="B487" s="114" t="s">
        <v>310</v>
      </c>
      <c r="C487" s="221"/>
      <c r="D487" s="221"/>
      <c r="E487" s="221"/>
      <c r="F487" s="221"/>
      <c r="G487" s="221"/>
      <c r="H487" s="221"/>
      <c r="I487" s="221"/>
    </row>
    <row r="488" spans="2:13">
      <c r="B488" s="114"/>
      <c r="C488" s="221"/>
      <c r="D488" s="221"/>
      <c r="E488" s="221"/>
      <c r="F488" s="221"/>
      <c r="G488" s="221"/>
      <c r="H488" s="221"/>
      <c r="I488" s="221"/>
    </row>
    <row r="489" spans="2:13">
      <c r="B489" s="211" t="s">
        <v>1928</v>
      </c>
      <c r="C489" s="221"/>
      <c r="D489" s="221"/>
      <c r="E489" s="221"/>
      <c r="F489" s="221"/>
      <c r="G489" s="221"/>
      <c r="H489" s="221"/>
      <c r="I489" s="221"/>
    </row>
    <row r="490" spans="2:13">
      <c r="B490" s="71" t="s">
        <v>297</v>
      </c>
      <c r="C490" s="102">
        <v>63539.575240452112</v>
      </c>
      <c r="D490" s="102">
        <v>66576.63103697708</v>
      </c>
      <c r="E490" s="102">
        <v>81287.096753029851</v>
      </c>
      <c r="F490" s="102">
        <v>83559.522471082892</v>
      </c>
      <c r="G490" s="102">
        <v>92526.321536197473</v>
      </c>
      <c r="H490" s="102">
        <v>88336.172237468883</v>
      </c>
      <c r="I490" s="102">
        <v>83767.293207276176</v>
      </c>
      <c r="J490">
        <v>84543.480817980773</v>
      </c>
      <c r="K490" s="858"/>
      <c r="L490" s="858"/>
      <c r="M490" s="1426"/>
    </row>
    <row r="491" spans="2:13">
      <c r="B491" s="133" t="s">
        <v>296</v>
      </c>
      <c r="C491" s="102">
        <v>63539.575240452112</v>
      </c>
      <c r="D491" s="102">
        <v>66576.63103697708</v>
      </c>
      <c r="E491" s="102">
        <v>81287.096753029851</v>
      </c>
      <c r="F491" s="102">
        <v>83559.522471082892</v>
      </c>
      <c r="G491" s="102">
        <v>92526.321536197473</v>
      </c>
      <c r="H491" s="102">
        <v>88336.172237468883</v>
      </c>
      <c r="I491" s="102">
        <v>83767.293207276176</v>
      </c>
      <c r="J491">
        <v>84543.480817980773</v>
      </c>
      <c r="K491" s="858"/>
      <c r="L491" s="858"/>
      <c r="M491" s="1426"/>
    </row>
    <row r="492" spans="2:13">
      <c r="B492" s="132" t="s">
        <v>295</v>
      </c>
      <c r="C492" s="129">
        <v>0</v>
      </c>
      <c r="D492" s="129">
        <v>0</v>
      </c>
      <c r="E492" s="129">
        <v>0</v>
      </c>
      <c r="F492" s="129">
        <v>0</v>
      </c>
      <c r="G492" s="129">
        <v>0</v>
      </c>
      <c r="H492" s="129">
        <v>0</v>
      </c>
      <c r="I492" s="129">
        <v>0</v>
      </c>
      <c r="J492" s="129">
        <v>0</v>
      </c>
    </row>
    <row r="493" spans="2:13">
      <c r="B493" s="132" t="s">
        <v>303</v>
      </c>
      <c r="C493" s="129">
        <v>0</v>
      </c>
      <c r="D493" s="129">
        <v>0</v>
      </c>
      <c r="E493" s="129">
        <v>0</v>
      </c>
      <c r="F493" s="129">
        <v>0</v>
      </c>
      <c r="G493" s="129">
        <v>0</v>
      </c>
      <c r="H493" s="129">
        <v>0</v>
      </c>
      <c r="I493" s="129">
        <v>0</v>
      </c>
      <c r="J493" s="129">
        <v>0</v>
      </c>
    </row>
    <row r="494" spans="2:13">
      <c r="B494" s="65" t="s">
        <v>301</v>
      </c>
      <c r="C494" s="129">
        <v>0</v>
      </c>
      <c r="D494" s="129">
        <v>0</v>
      </c>
      <c r="E494" s="129">
        <v>0</v>
      </c>
      <c r="F494" s="129">
        <v>0</v>
      </c>
      <c r="G494" s="129">
        <v>0</v>
      </c>
      <c r="H494" s="129">
        <v>0</v>
      </c>
      <c r="I494" s="129">
        <v>0</v>
      </c>
      <c r="J494" s="129">
        <v>0</v>
      </c>
    </row>
    <row r="495" spans="2:13">
      <c r="B495" s="1"/>
      <c r="C495" s="129"/>
      <c r="D495" s="129"/>
      <c r="E495" s="129"/>
      <c r="F495" s="129"/>
      <c r="G495" s="129"/>
      <c r="H495" s="129"/>
      <c r="I495" s="129"/>
    </row>
    <row r="496" spans="2:13">
      <c r="B496" s="1"/>
      <c r="C496" s="221"/>
      <c r="D496" s="221"/>
      <c r="E496" s="221"/>
      <c r="F496" s="221"/>
      <c r="G496" s="221"/>
      <c r="H496" s="221"/>
      <c r="I496" s="221"/>
    </row>
    <row r="497" spans="2:10">
      <c r="B497" s="114" t="s">
        <v>302</v>
      </c>
      <c r="C497" s="221"/>
      <c r="D497" s="221"/>
      <c r="E497" s="221"/>
      <c r="F497" s="221"/>
      <c r="G497" s="221"/>
      <c r="H497" s="221"/>
      <c r="I497" s="221"/>
    </row>
    <row r="498" spans="2:10">
      <c r="B498" s="114"/>
      <c r="C498" s="221"/>
      <c r="D498" s="221"/>
      <c r="E498" s="221"/>
      <c r="F498" s="221"/>
      <c r="G498" s="221"/>
      <c r="H498" s="221"/>
      <c r="I498" s="221"/>
    </row>
    <row r="499" spans="2:10" ht="26">
      <c r="B499" s="59" t="s">
        <v>1921</v>
      </c>
    </row>
    <row r="500" spans="2:10">
      <c r="B500" s="71" t="s">
        <v>297</v>
      </c>
      <c r="C500" s="129">
        <v>18214.139941690963</v>
      </c>
      <c r="D500" s="129">
        <v>22030.75801749271</v>
      </c>
      <c r="E500" s="129">
        <v>25166.845173254747</v>
      </c>
      <c r="F500" s="129">
        <v>26777.468349758627</v>
      </c>
      <c r="G500" s="129">
        <v>31848.307717872103</v>
      </c>
      <c r="H500" s="129">
        <v>38041.493658640407</v>
      </c>
      <c r="I500" s="129">
        <v>38786.350770851022</v>
      </c>
      <c r="J500">
        <v>49115.290880156623</v>
      </c>
    </row>
    <row r="501" spans="2:10">
      <c r="B501" s="133" t="s">
        <v>296</v>
      </c>
      <c r="C501" s="129">
        <v>18214.139941690963</v>
      </c>
      <c r="D501" s="129">
        <v>22030.75801749271</v>
      </c>
      <c r="E501" s="129">
        <v>25166.845173254747</v>
      </c>
      <c r="F501" s="129">
        <v>26777.468349758627</v>
      </c>
      <c r="G501" s="129">
        <v>31848.307717872103</v>
      </c>
      <c r="H501" s="129">
        <v>38041.493658640407</v>
      </c>
      <c r="I501" s="129">
        <v>38786.350770851022</v>
      </c>
      <c r="J501">
        <v>49115.290880156623</v>
      </c>
    </row>
    <row r="502" spans="2:10">
      <c r="B502" s="131" t="s">
        <v>294</v>
      </c>
      <c r="C502" s="129">
        <v>18214.139941690963</v>
      </c>
      <c r="D502" s="129">
        <v>22030.75801749271</v>
      </c>
      <c r="E502" s="129">
        <v>25166.845173254747</v>
      </c>
      <c r="F502" s="129">
        <v>26777.468349758627</v>
      </c>
      <c r="G502" s="129">
        <v>31848.307717872103</v>
      </c>
      <c r="H502" s="129">
        <v>38041.493658640407</v>
      </c>
      <c r="I502" s="129">
        <v>38786.350770851022</v>
      </c>
      <c r="J502">
        <v>49115.290880156623</v>
      </c>
    </row>
    <row r="503" spans="2:10">
      <c r="B503" s="131" t="s">
        <v>293</v>
      </c>
      <c r="C503" s="102">
        <v>0</v>
      </c>
      <c r="D503" s="102">
        <v>0</v>
      </c>
      <c r="E503" s="102">
        <v>0</v>
      </c>
      <c r="F503" s="102">
        <v>0</v>
      </c>
      <c r="G503" s="102">
        <v>0</v>
      </c>
      <c r="H503" s="102">
        <v>0</v>
      </c>
      <c r="I503" s="102">
        <v>0</v>
      </c>
      <c r="J503" s="102">
        <v>0</v>
      </c>
    </row>
    <row r="504" spans="2:10">
      <c r="B504" s="131" t="s">
        <v>292</v>
      </c>
      <c r="C504" s="102">
        <v>0</v>
      </c>
      <c r="D504" s="102">
        <v>0</v>
      </c>
      <c r="E504" s="102">
        <v>0</v>
      </c>
      <c r="F504" s="102">
        <v>0</v>
      </c>
      <c r="G504" s="102">
        <v>0</v>
      </c>
      <c r="H504" s="102">
        <v>0</v>
      </c>
      <c r="I504" s="102">
        <v>0</v>
      </c>
      <c r="J504" s="102">
        <v>0</v>
      </c>
    </row>
    <row r="505" spans="2:10">
      <c r="B505" s="131" t="s">
        <v>291</v>
      </c>
      <c r="C505" s="102">
        <v>0</v>
      </c>
      <c r="D505" s="102">
        <v>0</v>
      </c>
      <c r="E505" s="102">
        <v>0</v>
      </c>
      <c r="F505" s="102">
        <v>0</v>
      </c>
      <c r="G505" s="102">
        <v>0</v>
      </c>
      <c r="H505" s="102">
        <v>0</v>
      </c>
      <c r="I505" s="102">
        <v>0</v>
      </c>
      <c r="J505" s="102">
        <v>0</v>
      </c>
    </row>
    <row r="506" spans="2:10">
      <c r="B506" s="131" t="s">
        <v>290</v>
      </c>
      <c r="C506" s="102">
        <v>0</v>
      </c>
      <c r="D506" s="102">
        <v>0</v>
      </c>
      <c r="E506" s="102">
        <v>0</v>
      </c>
      <c r="F506" s="102">
        <v>0</v>
      </c>
      <c r="G506" s="102">
        <v>0</v>
      </c>
      <c r="H506" s="102">
        <v>0</v>
      </c>
      <c r="I506" s="102">
        <v>0</v>
      </c>
      <c r="J506" s="102">
        <v>0</v>
      </c>
    </row>
    <row r="507" spans="2:10">
      <c r="B507" s="131" t="s">
        <v>289</v>
      </c>
      <c r="C507" s="102">
        <v>0</v>
      </c>
      <c r="D507" s="102">
        <v>0</v>
      </c>
      <c r="E507" s="102">
        <v>0</v>
      </c>
      <c r="F507" s="102">
        <v>0</v>
      </c>
      <c r="G507" s="102">
        <v>0</v>
      </c>
      <c r="H507" s="102">
        <v>0</v>
      </c>
      <c r="I507" s="102">
        <v>0</v>
      </c>
      <c r="J507" s="102">
        <v>0</v>
      </c>
    </row>
    <row r="508" spans="2:10">
      <c r="B508" s="131" t="s">
        <v>288</v>
      </c>
      <c r="C508" s="102">
        <v>0</v>
      </c>
      <c r="D508" s="102">
        <v>0</v>
      </c>
      <c r="E508" s="102">
        <v>0</v>
      </c>
      <c r="F508" s="102">
        <v>0</v>
      </c>
      <c r="G508" s="102">
        <v>0</v>
      </c>
      <c r="H508" s="102">
        <v>0</v>
      </c>
      <c r="I508" s="102">
        <v>0</v>
      </c>
      <c r="J508" s="102">
        <v>0</v>
      </c>
    </row>
    <row r="509" spans="2:10">
      <c r="B509" s="132" t="s">
        <v>295</v>
      </c>
      <c r="C509" s="102">
        <v>0</v>
      </c>
      <c r="D509" s="102">
        <v>0</v>
      </c>
      <c r="E509" s="102">
        <v>0</v>
      </c>
      <c r="F509" s="102">
        <v>0</v>
      </c>
      <c r="G509" s="102">
        <v>0</v>
      </c>
      <c r="H509" s="102">
        <v>0</v>
      </c>
      <c r="I509" s="102">
        <v>0</v>
      </c>
      <c r="J509" s="102">
        <v>0</v>
      </c>
    </row>
    <row r="510" spans="2:10">
      <c r="B510" s="131" t="s">
        <v>294</v>
      </c>
      <c r="C510" s="102">
        <v>0</v>
      </c>
      <c r="D510" s="102">
        <v>0</v>
      </c>
      <c r="E510" s="102">
        <v>0</v>
      </c>
      <c r="F510" s="102">
        <v>0</v>
      </c>
      <c r="G510" s="102">
        <v>0</v>
      </c>
      <c r="H510" s="102">
        <v>0</v>
      </c>
      <c r="I510" s="102">
        <v>0</v>
      </c>
      <c r="J510" s="102">
        <v>0</v>
      </c>
    </row>
    <row r="511" spans="2:10">
      <c r="B511" s="131" t="s">
        <v>293</v>
      </c>
      <c r="C511" s="102">
        <v>0</v>
      </c>
      <c r="D511" s="102">
        <v>0</v>
      </c>
      <c r="E511" s="102">
        <v>0</v>
      </c>
      <c r="F511" s="102">
        <v>0</v>
      </c>
      <c r="G511" s="102">
        <v>0</v>
      </c>
      <c r="H511" s="102">
        <v>0</v>
      </c>
      <c r="I511" s="102">
        <v>0</v>
      </c>
      <c r="J511" s="102">
        <v>0</v>
      </c>
    </row>
    <row r="512" spans="2:10">
      <c r="B512" s="131" t="s">
        <v>292</v>
      </c>
      <c r="C512" s="102">
        <v>0</v>
      </c>
      <c r="D512" s="102">
        <v>0</v>
      </c>
      <c r="E512" s="102">
        <v>0</v>
      </c>
      <c r="F512" s="102">
        <v>0</v>
      </c>
      <c r="G512" s="102">
        <v>0</v>
      </c>
      <c r="H512" s="102">
        <v>0</v>
      </c>
      <c r="I512" s="102">
        <v>0</v>
      </c>
      <c r="J512" s="102">
        <v>0</v>
      </c>
    </row>
    <row r="513" spans="2:13">
      <c r="B513" s="131" t="s">
        <v>291</v>
      </c>
      <c r="C513" s="102">
        <v>0</v>
      </c>
      <c r="D513" s="102">
        <v>0</v>
      </c>
      <c r="E513" s="102">
        <v>0</v>
      </c>
      <c r="F513" s="102">
        <v>0</v>
      </c>
      <c r="G513" s="102">
        <v>0</v>
      </c>
      <c r="H513" s="102">
        <v>0</v>
      </c>
      <c r="I513" s="102">
        <v>0</v>
      </c>
      <c r="J513" s="102">
        <v>0</v>
      </c>
    </row>
    <row r="514" spans="2:13">
      <c r="B514" s="131" t="s">
        <v>290</v>
      </c>
      <c r="C514" s="102">
        <v>0</v>
      </c>
      <c r="D514" s="102">
        <v>0</v>
      </c>
      <c r="E514" s="102">
        <v>0</v>
      </c>
      <c r="F514" s="102">
        <v>0</v>
      </c>
      <c r="G514" s="102">
        <v>0</v>
      </c>
      <c r="H514" s="102">
        <v>0</v>
      </c>
      <c r="I514" s="102">
        <v>0</v>
      </c>
      <c r="J514" s="102">
        <v>0</v>
      </c>
    </row>
    <row r="515" spans="2:13">
      <c r="B515" s="131" t="s">
        <v>289</v>
      </c>
      <c r="C515" s="102">
        <v>0</v>
      </c>
      <c r="D515" s="102">
        <v>0</v>
      </c>
      <c r="E515" s="102">
        <v>0</v>
      </c>
      <c r="F515" s="102">
        <v>0</v>
      </c>
      <c r="G515" s="102">
        <v>0</v>
      </c>
      <c r="H515" s="102">
        <v>0</v>
      </c>
      <c r="I515" s="102">
        <v>0</v>
      </c>
      <c r="J515" s="102">
        <v>0</v>
      </c>
    </row>
    <row r="516" spans="2:13">
      <c r="B516" s="131" t="s">
        <v>288</v>
      </c>
      <c r="C516" s="102">
        <v>0</v>
      </c>
      <c r="D516" s="102">
        <v>0</v>
      </c>
      <c r="E516" s="102">
        <v>0</v>
      </c>
      <c r="F516" s="102">
        <v>0</v>
      </c>
      <c r="G516" s="102">
        <v>0</v>
      </c>
      <c r="H516" s="102">
        <v>0</v>
      </c>
      <c r="I516" s="102">
        <v>0</v>
      </c>
      <c r="J516" s="102">
        <v>0</v>
      </c>
    </row>
    <row r="517" spans="2:13">
      <c r="B517" s="65" t="s">
        <v>301</v>
      </c>
      <c r="C517" s="102">
        <v>0</v>
      </c>
      <c r="D517" s="102">
        <v>0</v>
      </c>
      <c r="E517" s="102">
        <v>0</v>
      </c>
      <c r="F517" s="102">
        <v>0</v>
      </c>
      <c r="G517" s="102">
        <v>0</v>
      </c>
      <c r="H517" s="102">
        <v>0</v>
      </c>
      <c r="I517" s="102">
        <v>0</v>
      </c>
      <c r="J517" s="102">
        <v>0</v>
      </c>
    </row>
    <row r="518" spans="2:13">
      <c r="B518" s="65"/>
      <c r="C518" s="214"/>
      <c r="D518" s="214"/>
      <c r="E518" s="214"/>
      <c r="F518" s="214"/>
      <c r="G518" s="214"/>
      <c r="H518" s="214"/>
      <c r="I518" s="214"/>
    </row>
    <row r="519" spans="2:13">
      <c r="B519" s="59" t="s">
        <v>1923</v>
      </c>
    </row>
    <row r="520" spans="2:13">
      <c r="B520" s="71" t="s">
        <v>297</v>
      </c>
      <c r="C520" s="129">
        <v>14557.871720116618</v>
      </c>
      <c r="D520" s="129">
        <v>13673.469387755102</v>
      </c>
      <c r="E520" s="129">
        <v>12583.340358588774</v>
      </c>
      <c r="F520" s="129">
        <v>12135.653920826704</v>
      </c>
      <c r="G520" s="129">
        <v>11391.013858604752</v>
      </c>
      <c r="H520" s="129">
        <v>10432.858404881137</v>
      </c>
      <c r="I520" s="129">
        <v>6296.4711619928285</v>
      </c>
      <c r="J520">
        <v>6854.6298340083667</v>
      </c>
      <c r="K520" s="1440"/>
      <c r="L520" s="1440"/>
      <c r="M520" s="1438"/>
    </row>
    <row r="521" spans="2:13">
      <c r="B521" s="133" t="s">
        <v>296</v>
      </c>
      <c r="C521" s="102">
        <v>14557.871720116618</v>
      </c>
      <c r="D521" s="102">
        <v>13673.469387755102</v>
      </c>
      <c r="E521" s="102">
        <v>12583.340358588774</v>
      </c>
      <c r="F521" s="102">
        <v>12135.653920826704</v>
      </c>
      <c r="G521" s="102">
        <v>11391.013858604752</v>
      </c>
      <c r="H521" s="102">
        <v>10432.858404881137</v>
      </c>
      <c r="I521" s="102">
        <v>6296.4711619928285</v>
      </c>
      <c r="J521">
        <v>6854.6298340083667</v>
      </c>
      <c r="K521" s="1440"/>
      <c r="L521" s="1440"/>
      <c r="M521" s="1438"/>
    </row>
    <row r="522" spans="2:13">
      <c r="B522" s="131" t="s">
        <v>294</v>
      </c>
      <c r="C522" s="102">
        <v>0</v>
      </c>
      <c r="D522" s="102">
        <v>0</v>
      </c>
      <c r="E522" s="102">
        <v>0</v>
      </c>
      <c r="F522" s="102">
        <v>0</v>
      </c>
      <c r="G522" s="102">
        <v>0</v>
      </c>
      <c r="H522" s="102">
        <v>0</v>
      </c>
      <c r="I522" s="102">
        <v>0</v>
      </c>
      <c r="J522" s="102">
        <v>0</v>
      </c>
      <c r="K522" s="1441"/>
      <c r="L522" s="1441"/>
      <c r="M522" s="1441"/>
    </row>
    <row r="523" spans="2:13">
      <c r="B523" s="131" t="s">
        <v>293</v>
      </c>
      <c r="C523" s="102">
        <v>0</v>
      </c>
      <c r="D523" s="102">
        <v>0</v>
      </c>
      <c r="E523" s="102">
        <v>0</v>
      </c>
      <c r="F523" s="102">
        <v>0</v>
      </c>
      <c r="G523" s="102">
        <v>0</v>
      </c>
      <c r="H523" s="102">
        <v>0</v>
      </c>
      <c r="I523" s="102">
        <v>0</v>
      </c>
      <c r="J523" s="102">
        <v>0</v>
      </c>
      <c r="K523" s="1441"/>
      <c r="L523" s="1441"/>
      <c r="M523" s="1441"/>
    </row>
    <row r="524" spans="2:13">
      <c r="B524" s="131" t="s">
        <v>292</v>
      </c>
      <c r="C524" s="102">
        <v>0</v>
      </c>
      <c r="D524" s="102">
        <v>0</v>
      </c>
      <c r="E524" s="102">
        <v>0</v>
      </c>
      <c r="F524" s="102">
        <v>0</v>
      </c>
      <c r="G524" s="102">
        <v>0</v>
      </c>
      <c r="H524" s="102">
        <v>0</v>
      </c>
      <c r="I524" s="102">
        <v>0</v>
      </c>
      <c r="J524" s="102">
        <v>0</v>
      </c>
      <c r="K524" s="1441"/>
      <c r="L524" s="1441"/>
      <c r="M524" s="1441"/>
    </row>
    <row r="525" spans="2:13">
      <c r="B525" s="131" t="s">
        <v>291</v>
      </c>
      <c r="C525" s="102">
        <v>0</v>
      </c>
      <c r="D525" s="102">
        <v>0</v>
      </c>
      <c r="E525" s="102">
        <v>0</v>
      </c>
      <c r="F525" s="102">
        <v>0</v>
      </c>
      <c r="G525" s="102">
        <v>0</v>
      </c>
      <c r="H525" s="102">
        <v>0</v>
      </c>
      <c r="I525" s="102">
        <v>0</v>
      </c>
      <c r="J525" s="102">
        <v>0</v>
      </c>
      <c r="K525" s="1441"/>
      <c r="L525" s="1441"/>
      <c r="M525" s="1441"/>
    </row>
    <row r="526" spans="2:13">
      <c r="B526" s="131" t="s">
        <v>290</v>
      </c>
      <c r="C526" s="102">
        <v>0</v>
      </c>
      <c r="D526" s="102">
        <v>0</v>
      </c>
      <c r="E526" s="102">
        <v>0</v>
      </c>
      <c r="F526" s="102">
        <v>0</v>
      </c>
      <c r="G526" s="102">
        <v>0</v>
      </c>
      <c r="H526" s="102">
        <v>0</v>
      </c>
      <c r="I526" s="102">
        <v>0</v>
      </c>
      <c r="J526" s="102">
        <v>0</v>
      </c>
      <c r="K526" s="1441"/>
      <c r="L526" s="1441"/>
      <c r="M526" s="1441"/>
    </row>
    <row r="527" spans="2:13">
      <c r="B527" s="131" t="s">
        <v>289</v>
      </c>
      <c r="C527" s="102">
        <v>14557.871720116618</v>
      </c>
      <c r="D527" s="102">
        <v>13673.469387755102</v>
      </c>
      <c r="E527" s="102">
        <v>12583.340358588774</v>
      </c>
      <c r="F527" s="102">
        <v>12135.653920826704</v>
      </c>
      <c r="G527" s="102">
        <v>11391.013858604752</v>
      </c>
      <c r="H527" s="102">
        <v>10432.858404881137</v>
      </c>
      <c r="I527" s="102">
        <v>6296.4711619928285</v>
      </c>
      <c r="J527">
        <v>6854.6298340083667</v>
      </c>
      <c r="K527" s="1441"/>
      <c r="L527" s="1441"/>
      <c r="M527" s="1441"/>
    </row>
    <row r="528" spans="2:13">
      <c r="B528" s="131" t="s">
        <v>288</v>
      </c>
      <c r="C528" s="214">
        <v>0</v>
      </c>
      <c r="D528" s="214">
        <v>0</v>
      </c>
      <c r="E528" s="214">
        <v>0</v>
      </c>
      <c r="F528" s="214">
        <v>0</v>
      </c>
      <c r="G528" s="214">
        <v>0</v>
      </c>
      <c r="H528" s="214">
        <v>0</v>
      </c>
      <c r="I528" s="214">
        <v>0</v>
      </c>
      <c r="J528" s="214">
        <v>0</v>
      </c>
    </row>
    <row r="529" spans="2:11">
      <c r="B529" s="132" t="s">
        <v>295</v>
      </c>
      <c r="C529" s="214">
        <v>0</v>
      </c>
      <c r="D529" s="214">
        <v>0</v>
      </c>
      <c r="E529" s="214">
        <v>0</v>
      </c>
      <c r="F529" s="214">
        <v>0</v>
      </c>
      <c r="G529" s="214">
        <v>0</v>
      </c>
      <c r="H529" s="214">
        <v>0</v>
      </c>
      <c r="I529" s="214">
        <v>0</v>
      </c>
      <c r="J529" s="214">
        <v>0</v>
      </c>
    </row>
    <row r="530" spans="2:11">
      <c r="B530" s="131" t="s">
        <v>294</v>
      </c>
      <c r="C530" s="214">
        <v>0</v>
      </c>
      <c r="D530" s="214">
        <v>0</v>
      </c>
      <c r="E530" s="214">
        <v>0</v>
      </c>
      <c r="F530" s="214">
        <v>0</v>
      </c>
      <c r="G530" s="214">
        <v>0</v>
      </c>
      <c r="H530" s="214">
        <v>0</v>
      </c>
      <c r="I530" s="214">
        <v>0</v>
      </c>
      <c r="J530" s="214">
        <v>0</v>
      </c>
    </row>
    <row r="531" spans="2:11">
      <c r="B531" s="131" t="s">
        <v>293</v>
      </c>
      <c r="C531" s="214">
        <v>0</v>
      </c>
      <c r="D531" s="214">
        <v>0</v>
      </c>
      <c r="E531" s="214">
        <v>0</v>
      </c>
      <c r="F531" s="214">
        <v>0</v>
      </c>
      <c r="G531" s="214">
        <v>0</v>
      </c>
      <c r="H531" s="214">
        <v>0</v>
      </c>
      <c r="I531" s="214">
        <v>0</v>
      </c>
      <c r="J531" s="214">
        <v>0</v>
      </c>
    </row>
    <row r="532" spans="2:11">
      <c r="B532" s="131" t="s">
        <v>292</v>
      </c>
      <c r="C532" s="214">
        <v>0</v>
      </c>
      <c r="D532" s="214">
        <v>0</v>
      </c>
      <c r="E532" s="214">
        <v>0</v>
      </c>
      <c r="F532" s="214">
        <v>0</v>
      </c>
      <c r="G532" s="214">
        <v>0</v>
      </c>
      <c r="H532" s="214">
        <v>0</v>
      </c>
      <c r="I532" s="214">
        <v>0</v>
      </c>
      <c r="J532" s="214">
        <v>0</v>
      </c>
    </row>
    <row r="533" spans="2:11">
      <c r="B533" s="131" t="s">
        <v>291</v>
      </c>
      <c r="C533" s="214">
        <v>0</v>
      </c>
      <c r="D533" s="214">
        <v>0</v>
      </c>
      <c r="E533" s="214">
        <v>0</v>
      </c>
      <c r="F533" s="214">
        <v>0</v>
      </c>
      <c r="G533" s="214">
        <v>0</v>
      </c>
      <c r="H533" s="214">
        <v>0</v>
      </c>
      <c r="I533" s="214">
        <v>0</v>
      </c>
      <c r="J533" s="214">
        <v>0</v>
      </c>
      <c r="K533" s="1412"/>
    </row>
    <row r="534" spans="2:11">
      <c r="B534" s="131" t="s">
        <v>290</v>
      </c>
      <c r="C534" s="214">
        <v>0</v>
      </c>
      <c r="D534" s="214">
        <v>0</v>
      </c>
      <c r="E534" s="214">
        <v>0</v>
      </c>
      <c r="F534" s="214">
        <v>0</v>
      </c>
      <c r="G534" s="214">
        <v>0</v>
      </c>
      <c r="H534" s="214">
        <v>0</v>
      </c>
      <c r="I534" s="214">
        <v>0</v>
      </c>
      <c r="J534" s="214">
        <v>0</v>
      </c>
    </row>
    <row r="535" spans="2:11">
      <c r="B535" s="131" t="s">
        <v>289</v>
      </c>
      <c r="C535" s="214">
        <v>0</v>
      </c>
      <c r="D535" s="214">
        <v>0</v>
      </c>
      <c r="E535" s="214">
        <v>0</v>
      </c>
      <c r="F535" s="214">
        <v>0</v>
      </c>
      <c r="G535" s="214">
        <v>0</v>
      </c>
      <c r="H535" s="214">
        <v>0</v>
      </c>
      <c r="I535" s="214">
        <v>0</v>
      </c>
      <c r="J535" s="214">
        <v>0</v>
      </c>
    </row>
    <row r="536" spans="2:11">
      <c r="B536" s="131" t="s">
        <v>288</v>
      </c>
      <c r="C536" s="214">
        <v>0</v>
      </c>
      <c r="D536" s="214">
        <v>0</v>
      </c>
      <c r="E536" s="214">
        <v>0</v>
      </c>
      <c r="F536" s="214">
        <v>0</v>
      </c>
      <c r="G536" s="214">
        <v>0</v>
      </c>
      <c r="H536" s="214">
        <v>0</v>
      </c>
      <c r="I536" s="214">
        <v>0</v>
      </c>
      <c r="J536" s="214">
        <v>0</v>
      </c>
    </row>
    <row r="537" spans="2:11">
      <c r="B537" s="65" t="s">
        <v>301</v>
      </c>
      <c r="C537" s="214">
        <v>0</v>
      </c>
      <c r="D537" s="214">
        <v>0</v>
      </c>
      <c r="E537" s="214">
        <v>0</v>
      </c>
      <c r="F537" s="214">
        <v>0</v>
      </c>
      <c r="G537" s="214">
        <v>0</v>
      </c>
      <c r="H537" s="214">
        <v>0</v>
      </c>
      <c r="I537" s="214">
        <v>0</v>
      </c>
      <c r="J537" s="214">
        <v>0</v>
      </c>
    </row>
    <row r="538" spans="2:11">
      <c r="B538" s="65"/>
      <c r="C538" s="214"/>
      <c r="D538" s="214"/>
      <c r="E538" s="214"/>
      <c r="F538" s="214"/>
      <c r="G538" s="214"/>
      <c r="H538" s="214"/>
      <c r="I538" s="214"/>
    </row>
    <row r="539" spans="2:11" ht="26">
      <c r="B539" s="59" t="s">
        <v>1922</v>
      </c>
    </row>
    <row r="540" spans="2:11">
      <c r="B540" s="71" t="s">
        <v>297</v>
      </c>
      <c r="C540" s="129">
        <v>0</v>
      </c>
      <c r="D540" s="129">
        <v>0</v>
      </c>
      <c r="E540" s="129">
        <v>0</v>
      </c>
      <c r="F540" s="129">
        <v>0</v>
      </c>
      <c r="G540" s="129">
        <v>0</v>
      </c>
      <c r="H540" s="129">
        <v>0</v>
      </c>
      <c r="I540" s="129">
        <v>2.5000000000000001E-5</v>
      </c>
      <c r="J540">
        <v>0.46936690087463551</v>
      </c>
      <c r="K540" s="129"/>
    </row>
    <row r="541" spans="2:11">
      <c r="B541" s="133" t="s">
        <v>296</v>
      </c>
      <c r="C541" s="102">
        <v>0</v>
      </c>
      <c r="D541" s="102">
        <v>0</v>
      </c>
      <c r="E541" s="102">
        <v>0</v>
      </c>
      <c r="F541" s="102">
        <v>0</v>
      </c>
      <c r="G541" s="102">
        <v>0</v>
      </c>
      <c r="H541" s="102">
        <v>0</v>
      </c>
      <c r="I541" s="102">
        <v>2.5000000000000001E-5</v>
      </c>
      <c r="J541">
        <v>0.46936690087463551</v>
      </c>
    </row>
    <row r="542" spans="2:11">
      <c r="B542" s="131" t="s">
        <v>294</v>
      </c>
      <c r="C542" s="102">
        <v>0</v>
      </c>
      <c r="D542" s="102">
        <v>0</v>
      </c>
      <c r="E542" s="102">
        <v>0</v>
      </c>
      <c r="F542" s="102">
        <v>0</v>
      </c>
      <c r="G542" s="102">
        <v>0</v>
      </c>
      <c r="H542" s="102">
        <v>0</v>
      </c>
      <c r="I542" s="102">
        <v>0</v>
      </c>
      <c r="J542">
        <v>0.46936690087463551</v>
      </c>
    </row>
    <row r="543" spans="2:11">
      <c r="B543" s="131" t="s">
        <v>293</v>
      </c>
      <c r="C543" s="102">
        <v>0</v>
      </c>
      <c r="D543" s="102">
        <v>0</v>
      </c>
      <c r="E543" s="102">
        <v>0</v>
      </c>
      <c r="F543" s="102">
        <v>0</v>
      </c>
      <c r="G543" s="102">
        <v>0</v>
      </c>
      <c r="H543" s="102">
        <v>0</v>
      </c>
      <c r="I543" s="102">
        <v>0</v>
      </c>
      <c r="J543">
        <v>0</v>
      </c>
    </row>
    <row r="544" spans="2:11">
      <c r="B544" s="131" t="s">
        <v>292</v>
      </c>
      <c r="C544" s="102">
        <v>0</v>
      </c>
      <c r="D544" s="102">
        <v>0</v>
      </c>
      <c r="E544" s="102">
        <v>0</v>
      </c>
      <c r="F544" s="102">
        <v>0</v>
      </c>
      <c r="G544" s="102">
        <v>0</v>
      </c>
      <c r="H544" s="102">
        <v>0</v>
      </c>
      <c r="I544" s="102">
        <v>0</v>
      </c>
      <c r="J544">
        <v>0</v>
      </c>
    </row>
    <row r="545" spans="2:10">
      <c r="B545" s="131" t="s">
        <v>291</v>
      </c>
      <c r="C545" s="102">
        <v>0</v>
      </c>
      <c r="D545" s="102">
        <v>0</v>
      </c>
      <c r="E545" s="102">
        <v>0</v>
      </c>
      <c r="F545" s="102">
        <v>0</v>
      </c>
      <c r="G545" s="102">
        <v>0</v>
      </c>
      <c r="H545" s="102">
        <v>0</v>
      </c>
      <c r="I545" s="102">
        <v>0</v>
      </c>
      <c r="J545">
        <v>0</v>
      </c>
    </row>
    <row r="546" spans="2:10">
      <c r="B546" s="131" t="s">
        <v>290</v>
      </c>
      <c r="C546" s="102">
        <v>0</v>
      </c>
      <c r="D546" s="102">
        <v>0</v>
      </c>
      <c r="E546" s="102">
        <v>0</v>
      </c>
      <c r="F546" s="102">
        <v>0</v>
      </c>
      <c r="G546" s="102">
        <v>0</v>
      </c>
      <c r="H546" s="102">
        <v>0</v>
      </c>
      <c r="I546" s="102">
        <v>2.5000000000000001E-5</v>
      </c>
      <c r="J546">
        <v>0</v>
      </c>
    </row>
    <row r="547" spans="2:10">
      <c r="B547" s="131" t="s">
        <v>289</v>
      </c>
      <c r="C547" s="102">
        <v>0</v>
      </c>
      <c r="D547" s="102">
        <v>0</v>
      </c>
      <c r="E547" s="102">
        <v>0</v>
      </c>
      <c r="F547" s="102">
        <v>0</v>
      </c>
      <c r="G547" s="102">
        <v>0</v>
      </c>
      <c r="H547" s="102">
        <v>0</v>
      </c>
      <c r="I547" s="102">
        <v>0</v>
      </c>
      <c r="J547">
        <v>0</v>
      </c>
    </row>
    <row r="548" spans="2:10">
      <c r="B548" s="131" t="s">
        <v>288</v>
      </c>
      <c r="C548" s="214">
        <v>0</v>
      </c>
      <c r="D548" s="214">
        <v>0</v>
      </c>
      <c r="E548" s="214">
        <v>0</v>
      </c>
      <c r="F548" s="214">
        <v>0</v>
      </c>
      <c r="G548" s="214">
        <v>0</v>
      </c>
      <c r="H548" s="214">
        <v>0</v>
      </c>
      <c r="I548" s="214">
        <v>0</v>
      </c>
      <c r="J548">
        <v>0</v>
      </c>
    </row>
    <row r="549" spans="2:10">
      <c r="B549" s="132" t="s">
        <v>295</v>
      </c>
      <c r="C549" s="214">
        <v>0</v>
      </c>
      <c r="D549" s="214">
        <v>0</v>
      </c>
      <c r="E549" s="214">
        <v>0</v>
      </c>
      <c r="F549" s="214">
        <v>0</v>
      </c>
      <c r="G549" s="214">
        <v>0</v>
      </c>
      <c r="H549" s="214">
        <v>0</v>
      </c>
      <c r="I549" s="214">
        <v>0</v>
      </c>
      <c r="J549">
        <v>0</v>
      </c>
    </row>
    <row r="550" spans="2:10">
      <c r="B550" s="131" t="s">
        <v>294</v>
      </c>
      <c r="C550" s="214">
        <v>0</v>
      </c>
      <c r="D550" s="214">
        <v>0</v>
      </c>
      <c r="E550" s="214">
        <v>0</v>
      </c>
      <c r="F550" s="214">
        <v>0</v>
      </c>
      <c r="G550" s="214">
        <v>0</v>
      </c>
      <c r="H550" s="214">
        <v>0</v>
      </c>
      <c r="I550" s="214">
        <v>0</v>
      </c>
      <c r="J550">
        <v>0</v>
      </c>
    </row>
    <row r="551" spans="2:10">
      <c r="B551" s="131" t="s">
        <v>293</v>
      </c>
      <c r="C551" s="214">
        <v>0</v>
      </c>
      <c r="D551" s="214">
        <v>0</v>
      </c>
      <c r="E551" s="214">
        <v>0</v>
      </c>
      <c r="F551" s="214">
        <v>0</v>
      </c>
      <c r="G551" s="214">
        <v>0</v>
      </c>
      <c r="H551" s="214">
        <v>0</v>
      </c>
      <c r="I551" s="214">
        <v>0</v>
      </c>
      <c r="J551">
        <v>0</v>
      </c>
    </row>
    <row r="552" spans="2:10">
      <c r="B552" s="131" t="s">
        <v>292</v>
      </c>
      <c r="C552" s="214">
        <v>0</v>
      </c>
      <c r="D552" s="214">
        <v>0</v>
      </c>
      <c r="E552" s="214">
        <v>0</v>
      </c>
      <c r="F552" s="214">
        <v>0</v>
      </c>
      <c r="G552" s="214">
        <v>0</v>
      </c>
      <c r="H552" s="214">
        <v>0</v>
      </c>
      <c r="I552" s="214">
        <v>0</v>
      </c>
      <c r="J552">
        <v>0</v>
      </c>
    </row>
    <row r="553" spans="2:10">
      <c r="B553" s="131" t="s">
        <v>291</v>
      </c>
      <c r="C553" s="214">
        <v>0</v>
      </c>
      <c r="D553" s="214">
        <v>0</v>
      </c>
      <c r="E553" s="214">
        <v>0</v>
      </c>
      <c r="F553" s="214">
        <v>0</v>
      </c>
      <c r="G553" s="214">
        <v>0</v>
      </c>
      <c r="H553" s="214">
        <v>0</v>
      </c>
      <c r="I553" s="214">
        <v>0</v>
      </c>
      <c r="J553">
        <v>0</v>
      </c>
    </row>
    <row r="554" spans="2:10">
      <c r="B554" s="131" t="s">
        <v>290</v>
      </c>
      <c r="C554" s="214">
        <v>0</v>
      </c>
      <c r="D554" s="214">
        <v>0</v>
      </c>
      <c r="E554" s="214">
        <v>0</v>
      </c>
      <c r="F554" s="214">
        <v>0</v>
      </c>
      <c r="G554" s="214">
        <v>0</v>
      </c>
      <c r="H554" s="214">
        <v>0</v>
      </c>
      <c r="I554" s="214">
        <v>0</v>
      </c>
      <c r="J554">
        <v>0</v>
      </c>
    </row>
    <row r="555" spans="2:10">
      <c r="B555" s="131" t="s">
        <v>289</v>
      </c>
      <c r="C555" s="214">
        <v>0</v>
      </c>
      <c r="D555" s="214">
        <v>0</v>
      </c>
      <c r="E555" s="214">
        <v>0</v>
      </c>
      <c r="F555" s="214">
        <v>0</v>
      </c>
      <c r="G555" s="214">
        <v>0</v>
      </c>
      <c r="H555" s="214">
        <v>0</v>
      </c>
      <c r="I555" s="214">
        <v>0</v>
      </c>
      <c r="J555">
        <v>0</v>
      </c>
    </row>
    <row r="556" spans="2:10">
      <c r="B556" s="131" t="s">
        <v>288</v>
      </c>
      <c r="C556" s="214">
        <v>0</v>
      </c>
      <c r="D556" s="214">
        <v>0</v>
      </c>
      <c r="E556" s="214">
        <v>0</v>
      </c>
      <c r="F556" s="214">
        <v>0</v>
      </c>
      <c r="G556" s="214">
        <v>0</v>
      </c>
      <c r="H556" s="214">
        <v>0</v>
      </c>
      <c r="I556" s="214">
        <v>0</v>
      </c>
      <c r="J556">
        <v>0</v>
      </c>
    </row>
    <row r="557" spans="2:10">
      <c r="B557" s="65" t="s">
        <v>301</v>
      </c>
      <c r="C557" s="214">
        <v>0</v>
      </c>
      <c r="D557" s="214">
        <v>0</v>
      </c>
      <c r="E557" s="214">
        <v>0</v>
      </c>
      <c r="F557" s="214">
        <v>0</v>
      </c>
      <c r="G557" s="214">
        <v>0</v>
      </c>
      <c r="H557" s="214">
        <v>0</v>
      </c>
      <c r="I557" s="214">
        <v>0</v>
      </c>
      <c r="J557">
        <v>0</v>
      </c>
    </row>
    <row r="558" spans="2:10">
      <c r="B558" s="114"/>
      <c r="C558" s="221"/>
      <c r="D558" s="221"/>
      <c r="E558" s="221"/>
      <c r="F558" s="221"/>
      <c r="G558" s="221"/>
      <c r="H558" s="221"/>
      <c r="I558" s="221"/>
    </row>
    <row r="559" spans="2:10">
      <c r="B559" s="59" t="s">
        <v>1924</v>
      </c>
      <c r="C559" s="129"/>
      <c r="D559" s="129"/>
      <c r="E559" s="129"/>
      <c r="F559" s="129"/>
      <c r="G559" s="129"/>
      <c r="H559" s="129"/>
      <c r="I559" s="129"/>
    </row>
    <row r="560" spans="2:10">
      <c r="B560" s="59" t="s">
        <v>1925</v>
      </c>
      <c r="C560" s="129">
        <v>0</v>
      </c>
      <c r="D560" s="129">
        <v>3071.2406406457167</v>
      </c>
      <c r="E560" s="129">
        <v>3229.1435294919984</v>
      </c>
      <c r="F560" s="129">
        <v>3559.2593645502361</v>
      </c>
      <c r="G560" s="129">
        <v>3989.3517456911363</v>
      </c>
      <c r="H560" s="129">
        <v>4358.3663875057791</v>
      </c>
      <c r="I560" s="129">
        <v>3942.1581960749018</v>
      </c>
      <c r="J560">
        <v>4524.7877747139437</v>
      </c>
    </row>
    <row r="561" spans="2:10">
      <c r="B561" s="71" t="s">
        <v>297</v>
      </c>
      <c r="C561" s="129">
        <v>0</v>
      </c>
      <c r="D561" s="129">
        <v>3071.2406406457167</v>
      </c>
      <c r="E561" s="129">
        <v>3229.1435294919984</v>
      </c>
      <c r="F561" s="129">
        <v>3559.2593645502361</v>
      </c>
      <c r="G561" s="129">
        <v>3989.3517456911363</v>
      </c>
      <c r="H561" s="129">
        <v>4358.3663875057791</v>
      </c>
      <c r="I561" s="129">
        <v>3942.1581960749018</v>
      </c>
      <c r="J561">
        <v>4524.7877747139437</v>
      </c>
    </row>
    <row r="562" spans="2:10">
      <c r="B562" s="133" t="s">
        <v>296</v>
      </c>
      <c r="C562" s="129">
        <v>0</v>
      </c>
      <c r="D562" s="129">
        <v>0</v>
      </c>
      <c r="E562" s="129">
        <v>0</v>
      </c>
      <c r="F562" s="129">
        <v>0</v>
      </c>
      <c r="G562" s="129">
        <v>0</v>
      </c>
      <c r="H562" s="129">
        <v>0</v>
      </c>
      <c r="I562" s="129">
        <v>0</v>
      </c>
      <c r="J562" s="129">
        <v>0</v>
      </c>
    </row>
    <row r="563" spans="2:10">
      <c r="B563" s="131" t="s">
        <v>294</v>
      </c>
      <c r="C563" s="129">
        <v>0</v>
      </c>
      <c r="D563" s="129">
        <v>0</v>
      </c>
      <c r="E563" s="129">
        <v>0</v>
      </c>
      <c r="F563" s="129">
        <v>0</v>
      </c>
      <c r="G563" s="129">
        <v>0</v>
      </c>
      <c r="H563" s="129">
        <v>0</v>
      </c>
      <c r="I563" s="129">
        <v>0</v>
      </c>
      <c r="J563" s="129">
        <v>0</v>
      </c>
    </row>
    <row r="564" spans="2:10">
      <c r="B564" s="131" t="s">
        <v>293</v>
      </c>
      <c r="C564" s="129">
        <v>0</v>
      </c>
      <c r="D564" s="129">
        <v>399.18596568594648</v>
      </c>
      <c r="E564" s="129">
        <v>432.0388305954458</v>
      </c>
      <c r="F564" s="129">
        <v>530.60886888356936</v>
      </c>
      <c r="G564" s="129">
        <v>636.45876956469976</v>
      </c>
      <c r="H564" s="129">
        <v>769.24291981924068</v>
      </c>
      <c r="I564" s="129">
        <v>719.94403769006237</v>
      </c>
      <c r="J564">
        <v>974.82930509040148</v>
      </c>
    </row>
    <row r="565" spans="2:10">
      <c r="B565" s="131" t="s">
        <v>292</v>
      </c>
      <c r="C565" s="129">
        <v>0</v>
      </c>
      <c r="D565" s="129">
        <v>2672.0546749597702</v>
      </c>
      <c r="E565" s="129">
        <v>2797.1046988965527</v>
      </c>
      <c r="F565" s="129">
        <v>3028.6504956666668</v>
      </c>
      <c r="G565" s="129">
        <v>3352.8929761264367</v>
      </c>
      <c r="H565" s="129">
        <v>3589.1234676865388</v>
      </c>
      <c r="I565" s="129">
        <v>3222.2141583848397</v>
      </c>
      <c r="J565">
        <v>3549.9584696235424</v>
      </c>
    </row>
    <row r="566" spans="2:10">
      <c r="B566" s="131" t="s">
        <v>291</v>
      </c>
      <c r="C566" s="129">
        <v>0</v>
      </c>
      <c r="D566" s="129">
        <v>0</v>
      </c>
      <c r="E566" s="129">
        <v>0</v>
      </c>
      <c r="F566" s="129">
        <v>0</v>
      </c>
      <c r="G566" s="129">
        <v>0</v>
      </c>
      <c r="H566" s="129">
        <v>0</v>
      </c>
      <c r="I566" s="129">
        <v>0</v>
      </c>
      <c r="J566" s="129">
        <v>0</v>
      </c>
    </row>
    <row r="567" spans="2:10">
      <c r="B567" s="131" t="s">
        <v>290</v>
      </c>
      <c r="C567" s="129">
        <v>0</v>
      </c>
      <c r="D567" s="129">
        <v>0</v>
      </c>
      <c r="E567" s="129">
        <v>0</v>
      </c>
      <c r="F567" s="129">
        <v>0</v>
      </c>
      <c r="G567" s="129">
        <v>0</v>
      </c>
      <c r="H567" s="129">
        <v>0</v>
      </c>
      <c r="I567" s="129">
        <v>0</v>
      </c>
      <c r="J567" s="129">
        <v>0</v>
      </c>
    </row>
    <row r="568" spans="2:10">
      <c r="B568" s="131" t="s">
        <v>289</v>
      </c>
      <c r="C568" s="129">
        <v>0</v>
      </c>
      <c r="D568" s="129">
        <v>0</v>
      </c>
      <c r="E568" s="129">
        <v>0</v>
      </c>
      <c r="F568" s="129">
        <v>0</v>
      </c>
      <c r="G568" s="129">
        <v>0</v>
      </c>
      <c r="H568" s="129">
        <v>0</v>
      </c>
      <c r="I568" s="129">
        <v>0</v>
      </c>
      <c r="J568" s="129">
        <v>0</v>
      </c>
    </row>
    <row r="569" spans="2:10">
      <c r="B569" s="131" t="s">
        <v>288</v>
      </c>
      <c r="C569" s="129">
        <v>0</v>
      </c>
      <c r="D569" s="129">
        <v>0</v>
      </c>
      <c r="E569" s="129">
        <v>0</v>
      </c>
      <c r="F569" s="129">
        <v>0</v>
      </c>
      <c r="G569" s="129">
        <v>0</v>
      </c>
      <c r="H569" s="129">
        <v>0</v>
      </c>
      <c r="I569" s="129">
        <v>0</v>
      </c>
      <c r="J569" s="129">
        <v>0</v>
      </c>
    </row>
    <row r="570" spans="2:10">
      <c r="B570" s="132" t="s">
        <v>295</v>
      </c>
      <c r="C570" s="129">
        <v>0</v>
      </c>
      <c r="D570" s="129">
        <v>0</v>
      </c>
      <c r="E570" s="129">
        <v>0</v>
      </c>
      <c r="F570" s="129">
        <v>0</v>
      </c>
      <c r="G570" s="129">
        <v>0</v>
      </c>
      <c r="H570" s="129">
        <v>0</v>
      </c>
      <c r="I570" s="129">
        <v>0</v>
      </c>
      <c r="J570" s="129">
        <v>0</v>
      </c>
    </row>
    <row r="571" spans="2:10">
      <c r="B571" s="131" t="s">
        <v>294</v>
      </c>
      <c r="C571" s="129">
        <v>0</v>
      </c>
      <c r="D571" s="129">
        <v>0</v>
      </c>
      <c r="E571" s="129">
        <v>0</v>
      </c>
      <c r="F571" s="129">
        <v>0</v>
      </c>
      <c r="G571" s="129">
        <v>0</v>
      </c>
      <c r="H571" s="129">
        <v>0</v>
      </c>
      <c r="I571" s="129">
        <v>0</v>
      </c>
      <c r="J571" s="129">
        <v>0</v>
      </c>
    </row>
    <row r="572" spans="2:10">
      <c r="B572" s="131" t="s">
        <v>293</v>
      </c>
      <c r="C572" s="129">
        <v>0</v>
      </c>
      <c r="D572" s="129">
        <v>0</v>
      </c>
      <c r="E572" s="129">
        <v>0</v>
      </c>
      <c r="F572" s="129">
        <v>0</v>
      </c>
      <c r="G572" s="129">
        <v>0</v>
      </c>
      <c r="H572" s="129">
        <v>0</v>
      </c>
      <c r="I572" s="129">
        <v>0</v>
      </c>
      <c r="J572" s="129">
        <v>0</v>
      </c>
    </row>
    <row r="573" spans="2:10">
      <c r="B573" s="131" t="s">
        <v>292</v>
      </c>
      <c r="C573" s="129">
        <v>0</v>
      </c>
      <c r="D573" s="129">
        <v>0</v>
      </c>
      <c r="E573" s="129">
        <v>0</v>
      </c>
      <c r="F573" s="129">
        <v>0</v>
      </c>
      <c r="G573" s="129">
        <v>0</v>
      </c>
      <c r="H573" s="129">
        <v>0</v>
      </c>
      <c r="I573" s="129">
        <v>0</v>
      </c>
      <c r="J573" s="129">
        <v>0</v>
      </c>
    </row>
    <row r="574" spans="2:10">
      <c r="B574" s="131" t="s">
        <v>291</v>
      </c>
      <c r="C574" s="129">
        <v>0</v>
      </c>
      <c r="D574" s="129">
        <v>0</v>
      </c>
      <c r="E574" s="129">
        <v>0</v>
      </c>
      <c r="F574" s="129">
        <v>0</v>
      </c>
      <c r="G574" s="129">
        <v>0</v>
      </c>
      <c r="H574" s="129">
        <v>0</v>
      </c>
      <c r="I574" s="129">
        <v>0</v>
      </c>
      <c r="J574" s="129">
        <v>0</v>
      </c>
    </row>
    <row r="575" spans="2:10">
      <c r="B575" s="131" t="s">
        <v>290</v>
      </c>
      <c r="C575" s="129">
        <v>0</v>
      </c>
      <c r="D575" s="129">
        <v>0</v>
      </c>
      <c r="E575" s="129">
        <v>0</v>
      </c>
      <c r="F575" s="129">
        <v>0</v>
      </c>
      <c r="G575" s="129">
        <v>0</v>
      </c>
      <c r="H575" s="129">
        <v>0</v>
      </c>
      <c r="I575" s="129">
        <v>0</v>
      </c>
      <c r="J575" s="129">
        <v>0</v>
      </c>
    </row>
    <row r="576" spans="2:10">
      <c r="B576" s="131" t="s">
        <v>289</v>
      </c>
      <c r="C576" s="129">
        <v>0</v>
      </c>
      <c r="D576" s="129">
        <v>0</v>
      </c>
      <c r="E576" s="129">
        <v>0</v>
      </c>
      <c r="F576" s="129">
        <v>0</v>
      </c>
      <c r="G576" s="129">
        <v>0</v>
      </c>
      <c r="H576" s="129">
        <v>0</v>
      </c>
      <c r="I576" s="129">
        <v>0</v>
      </c>
      <c r="J576" s="129">
        <v>0</v>
      </c>
    </row>
    <row r="577" spans="2:18">
      <c r="B577" s="131" t="s">
        <v>288</v>
      </c>
      <c r="C577" s="129">
        <v>0</v>
      </c>
      <c r="D577" s="129">
        <v>0</v>
      </c>
      <c r="E577" s="129">
        <v>0</v>
      </c>
      <c r="F577" s="129">
        <v>0</v>
      </c>
      <c r="G577" s="129">
        <v>0</v>
      </c>
      <c r="H577" s="129">
        <v>0</v>
      </c>
      <c r="I577" s="129">
        <v>0</v>
      </c>
      <c r="J577" s="129">
        <v>0</v>
      </c>
    </row>
    <row r="578" spans="2:18">
      <c r="B578" s="65" t="s">
        <v>301</v>
      </c>
      <c r="C578" s="129">
        <v>0</v>
      </c>
      <c r="D578" s="129">
        <v>0</v>
      </c>
      <c r="E578" s="129">
        <v>0</v>
      </c>
      <c r="F578" s="129">
        <v>0</v>
      </c>
      <c r="G578" s="129">
        <v>0</v>
      </c>
      <c r="H578" s="129">
        <v>0</v>
      </c>
      <c r="I578" s="129">
        <v>0</v>
      </c>
      <c r="J578" s="129">
        <v>0</v>
      </c>
    </row>
    <row r="579" spans="2:18">
      <c r="B579" s="65"/>
      <c r="C579" s="129"/>
      <c r="D579" s="129"/>
      <c r="E579" s="129"/>
      <c r="F579" s="129"/>
      <c r="G579" s="129"/>
      <c r="H579" s="129"/>
      <c r="I579" s="129"/>
    </row>
    <row r="580" spans="2:18" ht="32.5" customHeight="1">
      <c r="B580" s="59" t="s">
        <v>1926</v>
      </c>
      <c r="C580" s="129"/>
      <c r="D580" s="129"/>
      <c r="E580" s="129"/>
      <c r="F580" s="129"/>
      <c r="G580" s="129"/>
      <c r="H580" s="129"/>
      <c r="I580" s="129"/>
    </row>
    <row r="581" spans="2:18">
      <c r="B581" s="71" t="s">
        <v>297</v>
      </c>
      <c r="C581" s="129">
        <v>0</v>
      </c>
      <c r="D581" s="129">
        <v>518.79828031635554</v>
      </c>
      <c r="E581" s="129">
        <v>578.63098574530591</v>
      </c>
      <c r="F581" s="129">
        <v>670.27769002139951</v>
      </c>
      <c r="G581" s="129">
        <v>793.26403837760915</v>
      </c>
      <c r="H581" s="129">
        <v>873.89997610265277</v>
      </c>
      <c r="I581" s="129">
        <v>838.51665748317657</v>
      </c>
      <c r="J581">
        <v>1289.5840264146029</v>
      </c>
    </row>
    <row r="582" spans="2:18">
      <c r="B582" s="133" t="s">
        <v>296</v>
      </c>
      <c r="C582" s="129">
        <v>0</v>
      </c>
      <c r="D582" s="129">
        <v>518.79828031635554</v>
      </c>
      <c r="E582" s="129">
        <v>578.63098574530591</v>
      </c>
      <c r="F582" s="129">
        <v>670.27769002139951</v>
      </c>
      <c r="G582" s="129">
        <v>793.26403837760915</v>
      </c>
      <c r="H582" s="129">
        <v>873.89997610265277</v>
      </c>
      <c r="I582" s="129">
        <v>838.51665748317657</v>
      </c>
      <c r="J582">
        <v>1289.5840264146029</v>
      </c>
      <c r="L582" s="1441"/>
      <c r="M582" s="1441"/>
      <c r="N582" s="1441"/>
      <c r="O582" s="1441"/>
      <c r="P582" s="1441"/>
      <c r="Q582" s="1441"/>
      <c r="R582" s="1441"/>
    </row>
    <row r="583" spans="2:18">
      <c r="B583" s="131" t="s">
        <v>294</v>
      </c>
      <c r="C583" s="129">
        <v>0</v>
      </c>
      <c r="D583" s="129">
        <v>0</v>
      </c>
      <c r="E583" s="129">
        <v>0</v>
      </c>
      <c r="F583" s="129">
        <v>0</v>
      </c>
      <c r="G583" s="129">
        <v>0</v>
      </c>
      <c r="H583" s="129">
        <v>0</v>
      </c>
      <c r="I583" s="129">
        <v>0</v>
      </c>
      <c r="J583" s="129">
        <v>0</v>
      </c>
      <c r="L583" s="1441"/>
      <c r="M583" s="1441"/>
      <c r="N583" s="1441"/>
      <c r="O583" s="1441"/>
      <c r="P583" s="1441"/>
      <c r="Q583" s="1441"/>
      <c r="R583" s="1441"/>
    </row>
    <row r="584" spans="2:18">
      <c r="B584" s="131" t="s">
        <v>293</v>
      </c>
      <c r="C584" s="129">
        <v>0</v>
      </c>
      <c r="D584" s="129">
        <v>0</v>
      </c>
      <c r="E584" s="129">
        <v>0</v>
      </c>
      <c r="F584" s="129">
        <v>0</v>
      </c>
      <c r="G584" s="129">
        <v>0</v>
      </c>
      <c r="H584" s="129">
        <v>0</v>
      </c>
      <c r="I584" s="129">
        <v>0</v>
      </c>
      <c r="J584" s="129">
        <v>0</v>
      </c>
      <c r="L584" s="1441"/>
      <c r="M584" s="1441"/>
      <c r="N584" s="1441"/>
      <c r="O584" s="1441"/>
      <c r="P584" s="1441"/>
      <c r="Q584" s="1441"/>
      <c r="R584" s="1441"/>
    </row>
    <row r="585" spans="2:18">
      <c r="B585" s="131" t="s">
        <v>292</v>
      </c>
      <c r="C585" s="129">
        <v>0</v>
      </c>
      <c r="D585" s="129">
        <v>177.8552584330902</v>
      </c>
      <c r="E585" s="129">
        <v>186.48394099171998</v>
      </c>
      <c r="F585" s="129">
        <v>224.60915807081639</v>
      </c>
      <c r="G585" s="129">
        <v>303.52016528868796</v>
      </c>
      <c r="H585" s="129">
        <v>419.05052699204049</v>
      </c>
      <c r="I585" s="129">
        <v>358.81588144819119</v>
      </c>
      <c r="J585">
        <v>520.67565459681873</v>
      </c>
      <c r="L585" s="1441"/>
      <c r="M585" s="1441"/>
      <c r="N585" s="1441"/>
      <c r="O585" s="1441"/>
      <c r="P585" s="1441"/>
      <c r="Q585" s="1441"/>
      <c r="R585" s="1441"/>
    </row>
    <row r="586" spans="2:18">
      <c r="B586" s="131" t="s">
        <v>291</v>
      </c>
      <c r="C586" s="129">
        <v>0</v>
      </c>
      <c r="D586" s="129">
        <v>340.94302188326532</v>
      </c>
      <c r="E586" s="129">
        <v>392.14704475358593</v>
      </c>
      <c r="F586" s="129">
        <v>445.66853195058309</v>
      </c>
      <c r="G586" s="129">
        <v>489.74387308892119</v>
      </c>
      <c r="H586" s="129">
        <v>454.84944911061217</v>
      </c>
      <c r="I586" s="129">
        <v>479.70077603498544</v>
      </c>
      <c r="J586">
        <v>768.90837181778431</v>
      </c>
      <c r="L586" s="1441"/>
      <c r="M586" s="1441"/>
      <c r="N586" s="1441"/>
      <c r="O586" s="1441"/>
      <c r="P586" s="1441"/>
      <c r="Q586" s="1441"/>
      <c r="R586" s="1438"/>
    </row>
    <row r="587" spans="2:18">
      <c r="B587" s="131" t="s">
        <v>290</v>
      </c>
      <c r="C587" s="129">
        <v>0</v>
      </c>
      <c r="D587" s="129">
        <v>0</v>
      </c>
      <c r="E587" s="129">
        <v>0</v>
      </c>
      <c r="F587" s="129">
        <v>0</v>
      </c>
      <c r="G587" s="129">
        <v>0</v>
      </c>
      <c r="H587" s="129">
        <v>0</v>
      </c>
      <c r="I587" s="129">
        <v>0</v>
      </c>
      <c r="J587" s="129">
        <v>0</v>
      </c>
      <c r="L587" s="1441"/>
      <c r="M587" s="1441"/>
      <c r="N587" s="1441"/>
      <c r="O587" s="1441"/>
      <c r="P587" s="1441"/>
      <c r="Q587" s="1441"/>
      <c r="R587" s="1438"/>
    </row>
    <row r="588" spans="2:18">
      <c r="B588" s="131" t="s">
        <v>289</v>
      </c>
      <c r="C588" s="129">
        <v>0</v>
      </c>
      <c r="D588" s="129">
        <v>0</v>
      </c>
      <c r="E588" s="129">
        <v>0</v>
      </c>
      <c r="F588" s="129">
        <v>0</v>
      </c>
      <c r="G588" s="129">
        <v>0</v>
      </c>
      <c r="H588" s="129">
        <v>0</v>
      </c>
      <c r="I588" s="129">
        <v>0</v>
      </c>
      <c r="J588" s="129">
        <v>0</v>
      </c>
    </row>
    <row r="589" spans="2:18">
      <c r="B589" s="131" t="s">
        <v>288</v>
      </c>
      <c r="C589" s="129">
        <v>0</v>
      </c>
      <c r="D589" s="129">
        <v>0</v>
      </c>
      <c r="E589" s="129">
        <v>0</v>
      </c>
      <c r="F589" s="129">
        <v>0</v>
      </c>
      <c r="G589" s="129">
        <v>0</v>
      </c>
      <c r="H589" s="129">
        <v>0</v>
      </c>
      <c r="I589" s="129">
        <v>0</v>
      </c>
      <c r="J589" s="129">
        <v>0</v>
      </c>
    </row>
    <row r="590" spans="2:18">
      <c r="B590" s="132" t="s">
        <v>295</v>
      </c>
      <c r="C590" s="129">
        <v>0</v>
      </c>
      <c r="D590" s="129">
        <v>0</v>
      </c>
      <c r="E590" s="129">
        <v>0</v>
      </c>
      <c r="F590" s="129">
        <v>0</v>
      </c>
      <c r="G590" s="129">
        <v>0</v>
      </c>
      <c r="H590" s="129">
        <v>0</v>
      </c>
      <c r="I590" s="129">
        <v>0</v>
      </c>
      <c r="J590" s="129">
        <v>0</v>
      </c>
    </row>
    <row r="591" spans="2:18">
      <c r="B591" s="131" t="s">
        <v>294</v>
      </c>
      <c r="C591" s="129">
        <v>0</v>
      </c>
      <c r="D591" s="129">
        <v>0</v>
      </c>
      <c r="E591" s="129">
        <v>0</v>
      </c>
      <c r="F591" s="129">
        <v>0</v>
      </c>
      <c r="G591" s="129">
        <v>0</v>
      </c>
      <c r="H591" s="129">
        <v>0</v>
      </c>
      <c r="I591" s="129">
        <v>0</v>
      </c>
      <c r="J591" s="129">
        <v>0</v>
      </c>
    </row>
    <row r="592" spans="2:18">
      <c r="B592" s="131" t="s">
        <v>293</v>
      </c>
      <c r="C592" s="129">
        <v>0</v>
      </c>
      <c r="D592" s="129">
        <v>0</v>
      </c>
      <c r="E592" s="129">
        <v>0</v>
      </c>
      <c r="F592" s="129">
        <v>0</v>
      </c>
      <c r="G592" s="129">
        <v>0</v>
      </c>
      <c r="H592" s="129">
        <v>0</v>
      </c>
      <c r="I592" s="129">
        <v>0</v>
      </c>
      <c r="J592" s="129">
        <v>0</v>
      </c>
    </row>
    <row r="593" spans="2:10">
      <c r="B593" s="131" t="s">
        <v>292</v>
      </c>
      <c r="C593" s="129">
        <v>0</v>
      </c>
      <c r="D593" s="129">
        <v>0</v>
      </c>
      <c r="E593" s="129">
        <v>0</v>
      </c>
      <c r="F593" s="129">
        <v>0</v>
      </c>
      <c r="G593" s="129">
        <v>0</v>
      </c>
      <c r="H593" s="129">
        <v>0</v>
      </c>
      <c r="I593" s="129">
        <v>0</v>
      </c>
      <c r="J593" s="129">
        <v>0</v>
      </c>
    </row>
    <row r="594" spans="2:10">
      <c r="B594" s="131" t="s">
        <v>291</v>
      </c>
      <c r="C594" s="129">
        <v>0</v>
      </c>
      <c r="D594" s="129">
        <v>0</v>
      </c>
      <c r="E594" s="129">
        <v>0</v>
      </c>
      <c r="F594" s="129">
        <v>0</v>
      </c>
      <c r="G594" s="129">
        <v>0</v>
      </c>
      <c r="H594" s="129">
        <v>0</v>
      </c>
      <c r="I594" s="129">
        <v>0</v>
      </c>
      <c r="J594" s="129">
        <v>0</v>
      </c>
    </row>
    <row r="595" spans="2:10">
      <c r="B595" s="131" t="s">
        <v>290</v>
      </c>
      <c r="C595" s="129">
        <v>0</v>
      </c>
      <c r="D595" s="129">
        <v>0</v>
      </c>
      <c r="E595" s="129">
        <v>0</v>
      </c>
      <c r="F595" s="129">
        <v>0</v>
      </c>
      <c r="G595" s="129">
        <v>0</v>
      </c>
      <c r="H595" s="129">
        <v>0</v>
      </c>
      <c r="I595" s="129">
        <v>0</v>
      </c>
      <c r="J595" s="129">
        <v>0</v>
      </c>
    </row>
    <row r="596" spans="2:10">
      <c r="B596" s="131" t="s">
        <v>289</v>
      </c>
      <c r="C596" s="129">
        <v>0</v>
      </c>
      <c r="D596" s="129">
        <v>0</v>
      </c>
      <c r="E596" s="129">
        <v>0</v>
      </c>
      <c r="F596" s="129">
        <v>0</v>
      </c>
      <c r="G596" s="129">
        <v>0</v>
      </c>
      <c r="H596" s="129">
        <v>0</v>
      </c>
      <c r="I596" s="129">
        <v>0</v>
      </c>
      <c r="J596" s="129">
        <v>0</v>
      </c>
    </row>
    <row r="597" spans="2:10">
      <c r="B597" s="131" t="s">
        <v>288</v>
      </c>
      <c r="C597" s="129">
        <v>0</v>
      </c>
      <c r="D597" s="129">
        <v>0</v>
      </c>
      <c r="E597" s="129">
        <v>0</v>
      </c>
      <c r="F597" s="129">
        <v>0</v>
      </c>
      <c r="G597" s="129">
        <v>0</v>
      </c>
      <c r="H597" s="129">
        <v>0</v>
      </c>
      <c r="I597" s="129">
        <v>0</v>
      </c>
      <c r="J597" s="129">
        <v>0</v>
      </c>
    </row>
    <row r="598" spans="2:10">
      <c r="B598" s="65" t="s">
        <v>301</v>
      </c>
      <c r="C598" s="129">
        <v>0</v>
      </c>
      <c r="D598" s="129">
        <v>0</v>
      </c>
      <c r="E598" s="129">
        <v>0</v>
      </c>
      <c r="F598" s="129">
        <v>0</v>
      </c>
      <c r="G598" s="129">
        <v>0</v>
      </c>
      <c r="H598" s="129">
        <v>0</v>
      </c>
      <c r="I598" s="129">
        <v>0</v>
      </c>
      <c r="J598" s="129">
        <v>0</v>
      </c>
    </row>
    <row r="599" spans="2:10">
      <c r="B599" s="131"/>
      <c r="C599" s="129"/>
      <c r="D599" s="129"/>
      <c r="E599" s="129"/>
      <c r="F599" s="129"/>
      <c r="G599" s="129"/>
      <c r="H599" s="129"/>
      <c r="I599" s="129"/>
    </row>
    <row r="600" spans="2:10">
      <c r="B600" s="131"/>
      <c r="C600" s="129"/>
      <c r="D600" s="129"/>
      <c r="E600" s="129"/>
      <c r="F600" s="129"/>
      <c r="G600" s="129"/>
      <c r="H600" s="129"/>
      <c r="I600" s="129"/>
    </row>
    <row r="601" spans="2:10">
      <c r="B601" s="131"/>
      <c r="C601" s="129"/>
      <c r="D601" s="129"/>
      <c r="E601" s="129"/>
      <c r="F601" s="129"/>
      <c r="G601" s="129"/>
      <c r="H601" s="129"/>
      <c r="I601" s="129"/>
    </row>
    <row r="602" spans="2:10">
      <c r="B602" s="131"/>
      <c r="C602" s="129"/>
      <c r="D602" s="129"/>
      <c r="E602" s="129"/>
      <c r="F602" s="129"/>
      <c r="G602" s="129"/>
      <c r="H602" s="129"/>
      <c r="I602" s="129"/>
    </row>
    <row r="603" spans="2:10">
      <c r="B603" s="131"/>
      <c r="C603" s="214"/>
      <c r="D603" s="214"/>
      <c r="E603" s="214"/>
      <c r="F603" s="214"/>
      <c r="G603" s="214"/>
      <c r="H603" s="214"/>
      <c r="I603" s="214"/>
    </row>
    <row r="604" spans="2:10">
      <c r="B604" s="132"/>
      <c r="C604" s="214"/>
      <c r="D604" s="214"/>
      <c r="E604" s="214"/>
      <c r="F604" s="214"/>
      <c r="G604" s="214"/>
      <c r="H604" s="214"/>
      <c r="I604" s="214"/>
    </row>
    <row r="605" spans="2:10">
      <c r="B605" s="131"/>
      <c r="C605" s="214"/>
      <c r="D605" s="214"/>
      <c r="E605" s="214"/>
      <c r="F605" s="214"/>
      <c r="G605" s="214"/>
      <c r="H605" s="214"/>
      <c r="I605" s="214"/>
    </row>
    <row r="606" spans="2:10">
      <c r="B606" s="131"/>
      <c r="C606" s="214"/>
      <c r="D606" s="214"/>
      <c r="E606" s="214"/>
      <c r="F606" s="214"/>
      <c r="G606" s="214"/>
      <c r="H606" s="214"/>
      <c r="I606" s="214"/>
    </row>
    <row r="607" spans="2:10">
      <c r="B607" s="131"/>
      <c r="C607" s="214"/>
      <c r="D607" s="214"/>
      <c r="E607" s="214"/>
      <c r="F607" s="214"/>
      <c r="G607" s="214"/>
      <c r="H607" s="214"/>
      <c r="I607" s="214"/>
    </row>
    <row r="608" spans="2:10">
      <c r="B608" s="131"/>
      <c r="C608" s="214"/>
      <c r="D608" s="214"/>
      <c r="E608" s="214"/>
      <c r="F608" s="214"/>
      <c r="G608" s="214"/>
      <c r="H608" s="214"/>
      <c r="I608" s="214"/>
    </row>
    <row r="609" spans="2:11">
      <c r="B609" s="131"/>
      <c r="C609" s="214"/>
      <c r="D609" s="214"/>
      <c r="E609" s="214"/>
      <c r="F609" s="214"/>
      <c r="G609" s="214"/>
      <c r="H609" s="214"/>
      <c r="I609" s="214"/>
    </row>
    <row r="610" spans="2:11">
      <c r="B610" s="131"/>
      <c r="C610" s="214"/>
      <c r="D610" s="214"/>
      <c r="E610" s="214"/>
      <c r="F610" s="214"/>
      <c r="G610" s="214"/>
      <c r="H610" s="214"/>
      <c r="I610" s="214"/>
    </row>
    <row r="611" spans="2:11">
      <c r="B611" s="131"/>
      <c r="C611" s="214"/>
      <c r="D611" s="214"/>
      <c r="E611" s="214"/>
      <c r="F611" s="214"/>
      <c r="G611" s="214"/>
      <c r="H611" s="214"/>
      <c r="I611" s="214"/>
    </row>
    <row r="612" spans="2:11" ht="15" thickBot="1">
      <c r="B612" s="65"/>
      <c r="C612" s="214"/>
      <c r="D612" s="214"/>
      <c r="E612" s="214"/>
      <c r="F612" s="214"/>
      <c r="G612" s="214"/>
      <c r="H612" s="214"/>
      <c r="I612" s="214"/>
    </row>
    <row r="613" spans="2:11" ht="15" thickTop="1">
      <c r="B613" s="2025" t="s">
        <v>1929</v>
      </c>
      <c r="C613" s="2025"/>
      <c r="D613" s="2025"/>
      <c r="E613" s="2025"/>
      <c r="F613" s="2025"/>
      <c r="G613" s="2025"/>
      <c r="H613" s="2025"/>
      <c r="I613" s="2025"/>
    </row>
    <row r="614" spans="2:11">
      <c r="B614" s="64"/>
      <c r="C614" s="121"/>
      <c r="D614" s="121"/>
      <c r="E614" s="121"/>
      <c r="F614" s="121"/>
      <c r="G614" s="121"/>
      <c r="H614" s="121"/>
      <c r="I614" s="121"/>
    </row>
    <row r="615" spans="2:11">
      <c r="B615" s="2024" t="s">
        <v>271</v>
      </c>
      <c r="C615" s="2024"/>
      <c r="D615" s="2024"/>
      <c r="E615" s="2024"/>
      <c r="F615" s="2024"/>
      <c r="G615" s="2024"/>
      <c r="H615" s="2024"/>
      <c r="I615" s="2024"/>
      <c r="J615" s="2024"/>
      <c r="K615" s="1004"/>
    </row>
    <row r="616" spans="2:11">
      <c r="B616" s="12" t="s">
        <v>270</v>
      </c>
      <c r="C616" s="121"/>
      <c r="D616" s="121"/>
      <c r="E616" s="121"/>
      <c r="F616" s="121"/>
      <c r="G616" s="121"/>
      <c r="H616" s="121"/>
      <c r="I616" s="121"/>
    </row>
    <row r="617" spans="2:11">
      <c r="B617" s="77" t="s">
        <v>269</v>
      </c>
      <c r="C617" s="121"/>
      <c r="D617" s="121"/>
      <c r="E617" s="121"/>
      <c r="F617" s="121"/>
      <c r="G617" s="121"/>
      <c r="H617" s="121"/>
      <c r="I617" s="121"/>
    </row>
    <row r="618" spans="2:11">
      <c r="B618" s="76"/>
      <c r="C618" s="121"/>
      <c r="D618" s="121"/>
      <c r="E618" s="121"/>
      <c r="F618" s="121"/>
      <c r="G618" s="121"/>
      <c r="H618" s="121"/>
      <c r="I618" s="121"/>
    </row>
    <row r="619" spans="2:11">
      <c r="B619" s="61"/>
      <c r="C619" s="60">
        <v>2014</v>
      </c>
      <c r="D619" s="60">
        <v>2015</v>
      </c>
      <c r="E619" s="60">
        <v>2016</v>
      </c>
      <c r="F619" s="60">
        <v>2017</v>
      </c>
      <c r="G619" s="60">
        <v>2018</v>
      </c>
      <c r="H619" s="60">
        <v>2019</v>
      </c>
      <c r="I619" s="60">
        <v>2020</v>
      </c>
      <c r="J619" s="60">
        <v>2021</v>
      </c>
    </row>
    <row r="620" spans="2:11">
      <c r="B620" s="59" t="s">
        <v>1930</v>
      </c>
      <c r="C620" s="214"/>
      <c r="D620" s="214"/>
      <c r="E620" s="214"/>
      <c r="F620" s="214"/>
      <c r="G620" s="214"/>
      <c r="H620" s="214"/>
      <c r="I620" s="214"/>
    </row>
    <row r="621" spans="2:11">
      <c r="B621" s="71" t="s">
        <v>1931</v>
      </c>
      <c r="C621" s="214">
        <v>28</v>
      </c>
      <c r="D621" s="459">
        <v>10</v>
      </c>
      <c r="E621" s="459">
        <v>11</v>
      </c>
      <c r="F621" s="459">
        <v>12</v>
      </c>
      <c r="G621" s="459">
        <v>12</v>
      </c>
      <c r="H621" s="459">
        <v>12</v>
      </c>
      <c r="I621" s="459">
        <v>12</v>
      </c>
      <c r="J621" s="459">
        <v>12</v>
      </c>
    </row>
    <row r="622" spans="2:11">
      <c r="B622" s="52" t="s">
        <v>150</v>
      </c>
      <c r="C622" s="214">
        <v>1</v>
      </c>
      <c r="D622" s="52">
        <v>0</v>
      </c>
      <c r="E622" s="52">
        <v>0</v>
      </c>
      <c r="F622" s="52">
        <v>0</v>
      </c>
      <c r="G622" s="52">
        <v>0</v>
      </c>
      <c r="H622" s="52">
        <v>0</v>
      </c>
      <c r="I622" s="52">
        <v>0</v>
      </c>
      <c r="J622" s="52">
        <v>0</v>
      </c>
    </row>
    <row r="623" spans="2:11">
      <c r="B623" s="52" t="s">
        <v>1932</v>
      </c>
      <c r="C623" s="214">
        <v>0</v>
      </c>
      <c r="D623" s="52">
        <v>0</v>
      </c>
      <c r="E623" s="52">
        <v>0</v>
      </c>
      <c r="F623" s="52">
        <v>0</v>
      </c>
      <c r="G623" s="52">
        <v>0</v>
      </c>
      <c r="H623" s="52">
        <v>0</v>
      </c>
      <c r="I623" s="52">
        <v>0</v>
      </c>
      <c r="J623" s="52">
        <v>0</v>
      </c>
    </row>
    <row r="624" spans="2:11">
      <c r="B624" s="52" t="s">
        <v>147</v>
      </c>
      <c r="C624" s="214">
        <v>18</v>
      </c>
      <c r="D624" s="52">
        <v>0</v>
      </c>
      <c r="E624" s="52">
        <v>0</v>
      </c>
      <c r="F624" s="52">
        <v>0</v>
      </c>
      <c r="G624" s="52">
        <v>0</v>
      </c>
      <c r="H624" s="52">
        <v>0</v>
      </c>
      <c r="I624" s="52">
        <v>0</v>
      </c>
      <c r="J624" s="52">
        <v>0</v>
      </c>
    </row>
    <row r="625" spans="2:10">
      <c r="B625" s="52" t="s">
        <v>1933</v>
      </c>
      <c r="C625" s="214">
        <v>9</v>
      </c>
      <c r="D625" s="52">
        <v>10</v>
      </c>
      <c r="E625" s="52">
        <v>11</v>
      </c>
      <c r="F625" s="52">
        <v>12</v>
      </c>
      <c r="G625" s="52">
        <v>12</v>
      </c>
      <c r="H625" s="52">
        <v>12</v>
      </c>
      <c r="I625" s="52">
        <v>12</v>
      </c>
      <c r="J625" s="52">
        <v>12</v>
      </c>
    </row>
    <row r="626" spans="2:10">
      <c r="B626" s="52"/>
      <c r="C626" s="107"/>
      <c r="D626" s="52"/>
      <c r="E626" s="52"/>
      <c r="F626" s="52"/>
      <c r="G626" s="52"/>
      <c r="H626" s="52"/>
      <c r="I626" s="52"/>
      <c r="J626" s="52"/>
    </row>
    <row r="627" spans="2:10">
      <c r="B627" s="71" t="s">
        <v>1934</v>
      </c>
      <c r="C627" s="138">
        <v>28</v>
      </c>
      <c r="D627" s="52">
        <v>10</v>
      </c>
      <c r="E627" s="52">
        <v>11</v>
      </c>
      <c r="F627" s="52">
        <v>12</v>
      </c>
      <c r="G627" s="52">
        <v>12</v>
      </c>
      <c r="H627" s="52">
        <v>12</v>
      </c>
      <c r="I627" s="52">
        <v>12</v>
      </c>
      <c r="J627" s="52">
        <v>12</v>
      </c>
    </row>
    <row r="628" spans="2:10">
      <c r="B628" s="52" t="s">
        <v>150</v>
      </c>
      <c r="C628" s="138">
        <v>1</v>
      </c>
      <c r="D628" s="52">
        <v>0</v>
      </c>
      <c r="E628" s="52">
        <v>0</v>
      </c>
      <c r="F628" s="52">
        <v>0</v>
      </c>
      <c r="G628" s="52">
        <v>0</v>
      </c>
      <c r="H628" s="52">
        <v>0</v>
      </c>
      <c r="I628" s="52">
        <v>0</v>
      </c>
      <c r="J628" s="52">
        <v>0</v>
      </c>
    </row>
    <row r="629" spans="2:10">
      <c r="B629" s="52" t="s">
        <v>1932</v>
      </c>
      <c r="C629" s="138">
        <v>0</v>
      </c>
      <c r="D629" s="52">
        <v>0</v>
      </c>
      <c r="E629" s="52">
        <v>0</v>
      </c>
      <c r="F629" s="52">
        <v>0</v>
      </c>
      <c r="G629" s="52">
        <v>0</v>
      </c>
      <c r="H629" s="52">
        <v>0</v>
      </c>
      <c r="I629" s="52">
        <v>0</v>
      </c>
      <c r="J629" s="52">
        <v>0</v>
      </c>
    </row>
    <row r="630" spans="2:10">
      <c r="B630" s="52" t="s">
        <v>147</v>
      </c>
      <c r="C630" s="138">
        <v>18</v>
      </c>
      <c r="D630" s="52">
        <v>0</v>
      </c>
      <c r="E630" s="52">
        <v>0</v>
      </c>
      <c r="F630" s="52">
        <v>0</v>
      </c>
      <c r="G630" s="52">
        <v>0</v>
      </c>
      <c r="H630" s="52">
        <v>0</v>
      </c>
      <c r="I630" s="52">
        <v>0</v>
      </c>
      <c r="J630" s="52">
        <v>0</v>
      </c>
    </row>
    <row r="631" spans="2:10">
      <c r="B631" s="52" t="s">
        <v>1933</v>
      </c>
      <c r="C631" s="138">
        <v>9</v>
      </c>
      <c r="D631" s="52">
        <v>10</v>
      </c>
      <c r="E631" s="52">
        <v>11</v>
      </c>
      <c r="F631" s="52">
        <v>12</v>
      </c>
      <c r="G631" s="52">
        <v>12</v>
      </c>
      <c r="H631" s="52">
        <v>12</v>
      </c>
      <c r="I631" s="52">
        <v>12</v>
      </c>
      <c r="J631" s="52">
        <v>12</v>
      </c>
    </row>
    <row r="632" spans="2:10">
      <c r="B632" s="52"/>
      <c r="C632" s="3"/>
      <c r="D632" s="52"/>
      <c r="E632" s="52"/>
      <c r="F632" s="52"/>
      <c r="G632" s="52"/>
      <c r="H632" s="52"/>
      <c r="I632" s="52"/>
      <c r="J632" s="52"/>
    </row>
    <row r="633" spans="2:10">
      <c r="B633" s="71" t="s">
        <v>1935</v>
      </c>
      <c r="C633" s="3">
        <v>0</v>
      </c>
      <c r="D633" s="52">
        <v>0</v>
      </c>
      <c r="E633" s="52">
        <v>0</v>
      </c>
      <c r="F633" s="52">
        <v>0</v>
      </c>
      <c r="G633" s="52">
        <v>0</v>
      </c>
      <c r="H633" s="52">
        <v>0</v>
      </c>
      <c r="I633" s="52">
        <v>0</v>
      </c>
      <c r="J633" s="52">
        <v>0</v>
      </c>
    </row>
    <row r="634" spans="2:10">
      <c r="B634" s="52" t="s">
        <v>150</v>
      </c>
      <c r="C634" s="3">
        <v>0</v>
      </c>
      <c r="D634" s="52">
        <v>0</v>
      </c>
      <c r="E634" s="52">
        <v>0</v>
      </c>
      <c r="F634" s="52">
        <v>0</v>
      </c>
      <c r="G634" s="52">
        <v>0</v>
      </c>
      <c r="H634" s="52">
        <v>0</v>
      </c>
      <c r="I634" s="52">
        <v>0</v>
      </c>
      <c r="J634" s="52">
        <v>0</v>
      </c>
    </row>
    <row r="635" spans="2:10">
      <c r="B635" s="52" t="s">
        <v>214</v>
      </c>
      <c r="C635" s="3">
        <v>0</v>
      </c>
      <c r="D635" s="52">
        <v>0</v>
      </c>
      <c r="E635" s="52">
        <v>0</v>
      </c>
      <c r="F635" s="52">
        <v>0</v>
      </c>
      <c r="G635" s="52">
        <v>0</v>
      </c>
      <c r="H635" s="52">
        <v>0</v>
      </c>
      <c r="I635" s="52">
        <v>0</v>
      </c>
      <c r="J635" s="52">
        <v>0</v>
      </c>
    </row>
    <row r="636" spans="2:10">
      <c r="B636" s="52" t="s">
        <v>147</v>
      </c>
      <c r="C636" s="3">
        <v>0</v>
      </c>
      <c r="D636" s="52">
        <v>0</v>
      </c>
      <c r="E636" s="52">
        <v>0</v>
      </c>
      <c r="F636" s="52">
        <v>0</v>
      </c>
      <c r="G636" s="52">
        <v>0</v>
      </c>
      <c r="H636" s="52">
        <v>0</v>
      </c>
      <c r="I636" s="52">
        <v>0</v>
      </c>
      <c r="J636" s="52">
        <v>0</v>
      </c>
    </row>
    <row r="637" spans="2:10" ht="15" thickBot="1">
      <c r="B637" s="50" t="s">
        <v>146</v>
      </c>
      <c r="C637" s="3">
        <v>0</v>
      </c>
      <c r="D637" s="52">
        <v>0</v>
      </c>
      <c r="E637" s="52">
        <v>0</v>
      </c>
      <c r="F637" s="52">
        <v>0</v>
      </c>
      <c r="G637" s="52">
        <v>0</v>
      </c>
      <c r="H637" s="52">
        <v>0</v>
      </c>
      <c r="I637" s="52">
        <v>0</v>
      </c>
      <c r="J637" s="50">
        <v>0</v>
      </c>
    </row>
    <row r="638" spans="2:10" ht="15" thickTop="1">
      <c r="B638" s="1442" t="s">
        <v>1936</v>
      </c>
      <c r="C638" s="578"/>
      <c r="D638" s="578"/>
      <c r="E638" s="578"/>
      <c r="F638" s="578"/>
      <c r="G638" s="578"/>
      <c r="H638" s="578"/>
      <c r="I638" s="578"/>
    </row>
    <row r="639" spans="2:10">
      <c r="B639" s="1443" t="s">
        <v>1937</v>
      </c>
      <c r="C639" s="936"/>
      <c r="D639" s="936"/>
      <c r="E639" s="936"/>
      <c r="F639" s="936"/>
      <c r="G639" s="936"/>
      <c r="H639" s="936"/>
      <c r="I639" s="936"/>
    </row>
    <row r="640" spans="2:10">
      <c r="B640" s="1443" t="s">
        <v>1938</v>
      </c>
      <c r="C640" s="936"/>
      <c r="D640" s="936"/>
      <c r="E640" s="936"/>
      <c r="F640" s="936"/>
      <c r="G640" s="936"/>
      <c r="H640" s="936"/>
      <c r="I640" s="936"/>
    </row>
    <row r="641" spans="2:11">
      <c r="B641" s="1443" t="s">
        <v>1939</v>
      </c>
      <c r="C641" s="936"/>
      <c r="D641" s="936"/>
      <c r="E641" s="936"/>
      <c r="F641" s="936"/>
      <c r="G641" s="936"/>
      <c r="H641" s="936"/>
      <c r="I641" s="936"/>
    </row>
    <row r="642" spans="2:11" ht="39.5">
      <c r="B642" s="1444" t="s">
        <v>1940</v>
      </c>
      <c r="C642" s="936"/>
      <c r="D642" s="936"/>
      <c r="E642" s="936"/>
      <c r="F642" s="936"/>
      <c r="G642" s="936"/>
      <c r="H642" s="936"/>
      <c r="I642" s="936"/>
    </row>
    <row r="643" spans="2:11">
      <c r="B643" s="426" t="s">
        <v>1941</v>
      </c>
      <c r="C643" s="936"/>
      <c r="D643" s="936"/>
      <c r="E643" s="936"/>
      <c r="F643" s="936"/>
      <c r="G643" s="936"/>
      <c r="H643" s="936"/>
      <c r="I643" s="936"/>
    </row>
    <row r="644" spans="2:11" ht="71.25" customHeight="1">
      <c r="B644" s="2044" t="s">
        <v>1942</v>
      </c>
      <c r="C644" s="2044"/>
      <c r="D644" s="2044"/>
      <c r="E644" s="2044"/>
      <c r="F644" s="2044"/>
      <c r="G644" s="2044"/>
      <c r="H644" s="2044"/>
      <c r="I644" s="936"/>
    </row>
    <row r="645" spans="2:11">
      <c r="B645" s="936"/>
      <c r="C645" s="936"/>
      <c r="D645" s="936"/>
      <c r="E645" s="936"/>
      <c r="F645" s="936"/>
      <c r="G645" s="936"/>
      <c r="H645" s="936"/>
      <c r="I645" s="936"/>
    </row>
    <row r="646" spans="2:11">
      <c r="B646" s="936"/>
      <c r="C646" s="936"/>
      <c r="D646" s="936"/>
      <c r="E646" s="936"/>
      <c r="F646" s="936"/>
      <c r="G646" s="936"/>
      <c r="H646" s="936"/>
      <c r="I646" s="936"/>
    </row>
    <row r="647" spans="2:11">
      <c r="B647" s="936"/>
      <c r="C647" s="936"/>
      <c r="D647" s="936"/>
      <c r="E647" s="936"/>
      <c r="F647" s="936"/>
      <c r="G647" s="936"/>
      <c r="H647" s="936"/>
      <c r="I647" s="936"/>
    </row>
    <row r="648" spans="2:11">
      <c r="B648" s="62"/>
      <c r="C648" s="121"/>
      <c r="D648" s="121"/>
      <c r="E648" s="121"/>
      <c r="F648" s="121"/>
      <c r="G648" s="121"/>
      <c r="H648" s="121"/>
      <c r="I648" s="121"/>
    </row>
    <row r="649" spans="2:11">
      <c r="B649" s="2024" t="s">
        <v>258</v>
      </c>
      <c r="C649" s="2024"/>
      <c r="D649" s="2024"/>
      <c r="E649" s="2024"/>
      <c r="F649" s="2024"/>
      <c r="G649" s="2024"/>
      <c r="H649" s="2024"/>
      <c r="I649" s="2024"/>
      <c r="J649" s="2024"/>
      <c r="K649" s="1004"/>
    </row>
    <row r="650" spans="2:11">
      <c r="B650" s="12" t="s">
        <v>257</v>
      </c>
      <c r="C650" s="121"/>
      <c r="D650" s="121"/>
      <c r="E650" s="121"/>
      <c r="F650" s="121"/>
      <c r="G650" s="121"/>
      <c r="H650" s="121"/>
      <c r="I650" s="121"/>
      <c r="K650" s="1004"/>
    </row>
    <row r="651" spans="2:11">
      <c r="B651" s="77" t="s">
        <v>256</v>
      </c>
      <c r="C651" s="121"/>
      <c r="D651" s="121"/>
      <c r="E651" s="121"/>
      <c r="F651" s="121"/>
      <c r="G651" s="121"/>
      <c r="H651" s="121"/>
      <c r="I651" s="121"/>
      <c r="K651" s="1004"/>
    </row>
    <row r="652" spans="2:11">
      <c r="B652" s="62"/>
      <c r="C652" s="121"/>
      <c r="D652" s="121"/>
      <c r="E652" s="121"/>
      <c r="F652" s="121"/>
      <c r="G652" s="121"/>
      <c r="H652" s="121"/>
      <c r="I652" s="121"/>
      <c r="K652" s="1004"/>
    </row>
    <row r="653" spans="2:11">
      <c r="B653" s="61"/>
      <c r="C653" s="60">
        <v>2014</v>
      </c>
      <c r="D653" s="60">
        <v>2015</v>
      </c>
      <c r="E653" s="60">
        <v>2016</v>
      </c>
      <c r="F653" s="60">
        <v>2017</v>
      </c>
      <c r="G653" s="60">
        <v>2018</v>
      </c>
      <c r="H653" s="60">
        <v>2019</v>
      </c>
      <c r="I653" s="60">
        <v>2020</v>
      </c>
      <c r="J653" s="60">
        <v>2021</v>
      </c>
      <c r="K653" s="1004"/>
    </row>
    <row r="654" spans="2:11">
      <c r="B654" s="76" t="s">
        <v>1943</v>
      </c>
      <c r="C654" s="121"/>
      <c r="D654" s="121"/>
      <c r="E654" s="121"/>
      <c r="F654" s="121"/>
      <c r="G654" s="121"/>
      <c r="H654" s="121"/>
      <c r="I654" s="121"/>
      <c r="K654" s="1004"/>
    </row>
    <row r="655" spans="2:11">
      <c r="B655" s="71" t="s">
        <v>247</v>
      </c>
      <c r="C655" s="55">
        <v>295859.64199999999</v>
      </c>
      <c r="D655" s="55">
        <v>157512.53899999999</v>
      </c>
      <c r="E655" s="55">
        <v>111743.04400000001</v>
      </c>
      <c r="F655" s="55">
        <v>96074.043000000005</v>
      </c>
      <c r="G655" s="55">
        <v>246117.5422496</v>
      </c>
      <c r="H655" s="55">
        <v>189866.39599999998</v>
      </c>
      <c r="I655" s="55">
        <v>190517.234</v>
      </c>
      <c r="J655" s="95">
        <v>838323.82799999998</v>
      </c>
      <c r="K655" s="1004"/>
    </row>
    <row r="656" spans="2:11">
      <c r="B656" s="52" t="s">
        <v>121</v>
      </c>
      <c r="C656" s="55">
        <v>36485.178</v>
      </c>
      <c r="D656" s="55">
        <v>30427.348999999998</v>
      </c>
      <c r="E656" s="55">
        <v>13205.1</v>
      </c>
      <c r="F656" s="55">
        <v>7325.4530000000013</v>
      </c>
      <c r="G656" s="55">
        <v>165988.91024959998</v>
      </c>
      <c r="H656" s="55">
        <v>7817.299</v>
      </c>
      <c r="I656" s="55">
        <v>10076.956</v>
      </c>
      <c r="J656" s="95">
        <v>22280.089</v>
      </c>
      <c r="K656" s="1004"/>
    </row>
    <row r="657" spans="2:11">
      <c r="B657" s="53" t="s">
        <v>497</v>
      </c>
      <c r="C657" s="55">
        <v>28048.716</v>
      </c>
      <c r="D657" s="55">
        <v>27185.531999999999</v>
      </c>
      <c r="E657" s="55">
        <v>10236.378000000001</v>
      </c>
      <c r="F657" s="55">
        <v>5922.8610000000008</v>
      </c>
      <c r="G657" s="55">
        <v>161683.04524959999</v>
      </c>
      <c r="H657" s="55">
        <v>3750.355</v>
      </c>
      <c r="I657" s="55">
        <v>4419.1360000000004</v>
      </c>
      <c r="J657" s="95">
        <v>11136.376</v>
      </c>
      <c r="K657" s="1004"/>
    </row>
    <row r="658" spans="2:11">
      <c r="B658" s="53" t="s">
        <v>498</v>
      </c>
      <c r="C658" s="55">
        <v>8436.4619999999995</v>
      </c>
      <c r="D658" s="55">
        <v>3241.817</v>
      </c>
      <c r="E658" s="55">
        <v>2968.7220000000002</v>
      </c>
      <c r="F658" s="55">
        <v>1402.5920000000001</v>
      </c>
      <c r="G658" s="55">
        <v>4305.8649999999998</v>
      </c>
      <c r="H658" s="55">
        <v>4066.944</v>
      </c>
      <c r="I658" s="55">
        <v>5657.82</v>
      </c>
      <c r="J658" s="95">
        <v>11143.713</v>
      </c>
      <c r="K658" s="1004"/>
    </row>
    <row r="659" spans="2:11">
      <c r="B659" s="52" t="s">
        <v>499</v>
      </c>
      <c r="C659" s="55">
        <v>5.75</v>
      </c>
      <c r="D659" s="55">
        <v>23.25</v>
      </c>
      <c r="E659" s="55">
        <v>20.431000000000001</v>
      </c>
      <c r="F659" s="55">
        <v>308.75</v>
      </c>
      <c r="G659" s="55">
        <v>319.7</v>
      </c>
      <c r="H659" s="55">
        <v>741.05</v>
      </c>
      <c r="I659" s="55">
        <v>81.114000000000004</v>
      </c>
      <c r="J659" s="95">
        <v>3.3519999999999999</v>
      </c>
      <c r="K659" s="1004"/>
    </row>
    <row r="660" spans="2:11" ht="15" thickBot="1">
      <c r="B660" s="50" t="s">
        <v>500</v>
      </c>
      <c r="C660" s="101">
        <v>259368.71400000001</v>
      </c>
      <c r="D660" s="101">
        <v>127061.94</v>
      </c>
      <c r="E660" s="101">
        <v>98517.513000000006</v>
      </c>
      <c r="F660" s="101">
        <v>88439.84</v>
      </c>
      <c r="G660" s="101">
        <v>79808.932000000001</v>
      </c>
      <c r="H660" s="101">
        <v>181308.04699999999</v>
      </c>
      <c r="I660" s="101">
        <v>180359.16399999999</v>
      </c>
      <c r="J660" s="1445">
        <v>816040.38699999999</v>
      </c>
      <c r="K660" s="1004"/>
    </row>
    <row r="661" spans="2:11" ht="15" thickTop="1">
      <c r="B661" s="2031" t="s">
        <v>1944</v>
      </c>
      <c r="C661" s="2031"/>
      <c r="D661" s="2031"/>
      <c r="E661" s="2031"/>
      <c r="F661" s="2031"/>
      <c r="G661" s="2031"/>
      <c r="H661" s="2031"/>
      <c r="I661" s="2031"/>
      <c r="K661" s="1004"/>
    </row>
    <row r="662" spans="2:11">
      <c r="B662" s="64"/>
      <c r="C662" s="121"/>
      <c r="D662" s="121"/>
      <c r="E662" s="121"/>
      <c r="F662" s="121"/>
      <c r="G662" s="121"/>
      <c r="H662" s="121"/>
      <c r="I662" s="121"/>
      <c r="K662" s="1004"/>
    </row>
    <row r="663" spans="2:11">
      <c r="B663" s="2024" t="s">
        <v>244</v>
      </c>
      <c r="C663" s="2024"/>
      <c r="D663" s="2024"/>
      <c r="E663" s="2024"/>
      <c r="F663" s="2024"/>
      <c r="G663" s="2024"/>
      <c r="H663" s="2024"/>
      <c r="I663" s="2024"/>
      <c r="J663" s="2024"/>
      <c r="K663" s="1004"/>
    </row>
    <row r="664" spans="2:11">
      <c r="B664" s="12" t="s">
        <v>243</v>
      </c>
      <c r="C664" s="121"/>
      <c r="D664" s="121"/>
      <c r="E664" s="121"/>
      <c r="F664" s="121"/>
      <c r="G664" s="121"/>
      <c r="H664" s="121"/>
      <c r="I664" s="121"/>
      <c r="K664" s="1004"/>
    </row>
    <row r="665" spans="2:11">
      <c r="B665" s="62" t="s">
        <v>242</v>
      </c>
      <c r="C665" s="121"/>
      <c r="D665" s="121"/>
      <c r="E665" s="121"/>
      <c r="F665" s="121"/>
      <c r="G665" s="121"/>
      <c r="H665" s="121"/>
      <c r="I665" s="121"/>
      <c r="K665" s="1004"/>
    </row>
    <row r="666" spans="2:11">
      <c r="B666" s="64"/>
      <c r="C666" s="121"/>
      <c r="D666" s="121"/>
      <c r="E666" s="121"/>
      <c r="F666" s="121"/>
      <c r="G666" s="121"/>
      <c r="H666" s="121"/>
      <c r="I666" s="121"/>
      <c r="K666" s="1004"/>
    </row>
    <row r="667" spans="2:11">
      <c r="B667" s="61"/>
      <c r="C667" s="60">
        <v>2014</v>
      </c>
      <c r="D667" s="60">
        <v>2015</v>
      </c>
      <c r="E667" s="60">
        <v>2016</v>
      </c>
      <c r="F667" s="60">
        <v>2017</v>
      </c>
      <c r="G667" s="60">
        <v>2018</v>
      </c>
      <c r="H667" s="60">
        <v>2019</v>
      </c>
      <c r="I667" s="60">
        <v>2020</v>
      </c>
      <c r="J667" s="60">
        <v>2021</v>
      </c>
      <c r="K667" s="1004"/>
    </row>
    <row r="668" spans="2:11">
      <c r="B668" s="76" t="s">
        <v>1943</v>
      </c>
      <c r="C668" s="121"/>
      <c r="D668" s="121"/>
      <c r="E668" s="121"/>
      <c r="F668" s="121"/>
      <c r="G668" s="121"/>
      <c r="H668" s="121"/>
      <c r="I668" s="121"/>
      <c r="K668" s="1004"/>
    </row>
    <row r="669" spans="2:11" ht="15" thickBot="1">
      <c r="B669" s="71" t="s">
        <v>239</v>
      </c>
      <c r="C669" s="203">
        <v>5266.9548078717198</v>
      </c>
      <c r="D669" s="203">
        <v>6107.7341276967927</v>
      </c>
      <c r="E669" s="203">
        <v>7072.5908103498541</v>
      </c>
      <c r="F669" s="203">
        <v>7837.2484078717198</v>
      </c>
      <c r="G669" s="203">
        <v>9211.7423380466462</v>
      </c>
      <c r="H669" s="203">
        <v>12875.381690233235</v>
      </c>
      <c r="I669" s="203">
        <v>14671.68804664723</v>
      </c>
      <c r="J669" s="1413">
        <v>14824.68118892128</v>
      </c>
      <c r="K669" s="1004"/>
    </row>
    <row r="670" spans="2:11" ht="15" thickTop="1">
      <c r="B670" s="2025" t="s">
        <v>1945</v>
      </c>
      <c r="C670" s="2025"/>
      <c r="D670" s="2025"/>
      <c r="E670" s="2025"/>
      <c r="F670" s="2025"/>
      <c r="G670" s="2025"/>
      <c r="H670" s="2025"/>
      <c r="I670" s="2025"/>
      <c r="K670" s="1004"/>
    </row>
    <row r="671" spans="2:11">
      <c r="B671" s="2017"/>
      <c r="C671" s="2017"/>
      <c r="D671" s="2017"/>
      <c r="E671" s="2017"/>
      <c r="F671" s="2017"/>
      <c r="G671" s="2017"/>
      <c r="H671" s="2017"/>
      <c r="I671" s="2017"/>
      <c r="K671" s="1004"/>
    </row>
    <row r="672" spans="2:11">
      <c r="B672" s="64"/>
      <c r="C672" s="121"/>
      <c r="D672" s="121"/>
      <c r="E672" s="121"/>
      <c r="F672" s="121"/>
      <c r="G672" s="121"/>
      <c r="H672" s="121"/>
      <c r="I672" s="121"/>
      <c r="K672" s="1004"/>
    </row>
    <row r="673" spans="2:11">
      <c r="B673" s="2024" t="s">
        <v>238</v>
      </c>
      <c r="C673" s="2024"/>
      <c r="D673" s="2024"/>
      <c r="E673" s="2024"/>
      <c r="F673" s="2024"/>
      <c r="G673" s="2024"/>
      <c r="H673" s="2024"/>
      <c r="I673" s="2024"/>
      <c r="J673" s="2024"/>
      <c r="K673" s="1004"/>
    </row>
    <row r="674" spans="2:11">
      <c r="B674" s="12" t="s">
        <v>237</v>
      </c>
      <c r="C674" s="121"/>
      <c r="D674" s="121"/>
      <c r="E674" s="121"/>
      <c r="F674" s="121"/>
      <c r="G674" s="121"/>
      <c r="H674" s="121"/>
      <c r="I674" s="121"/>
    </row>
    <row r="675" spans="2:11">
      <c r="B675" s="62" t="s">
        <v>236</v>
      </c>
      <c r="C675" s="121"/>
      <c r="D675" s="121"/>
      <c r="E675" s="121"/>
      <c r="F675" s="121"/>
      <c r="G675" s="121"/>
      <c r="H675" s="121"/>
      <c r="I675" s="121"/>
    </row>
    <row r="676" spans="2:11">
      <c r="B676" s="64"/>
      <c r="C676" s="121"/>
      <c r="D676" s="121"/>
      <c r="E676" s="121"/>
      <c r="F676" s="121"/>
      <c r="G676" s="121"/>
      <c r="H676" s="121"/>
      <c r="I676" s="121"/>
    </row>
    <row r="677" spans="2:11">
      <c r="B677" s="61"/>
      <c r="C677" s="60">
        <v>2014</v>
      </c>
      <c r="D677" s="60">
        <v>2015</v>
      </c>
      <c r="E677" s="60">
        <v>2016</v>
      </c>
      <c r="F677" s="60">
        <v>2017</v>
      </c>
      <c r="G677" s="60">
        <v>2018</v>
      </c>
      <c r="H677" s="60">
        <v>2019</v>
      </c>
      <c r="I677" s="60">
        <v>2020</v>
      </c>
      <c r="J677" s="60">
        <v>2021</v>
      </c>
    </row>
    <row r="678" spans="2:11">
      <c r="B678" s="59" t="s">
        <v>1343</v>
      </c>
      <c r="C678" s="121"/>
      <c r="D678" s="121"/>
      <c r="E678" s="121"/>
      <c r="F678" s="121"/>
      <c r="G678" s="121"/>
      <c r="H678" s="121"/>
      <c r="I678" s="121"/>
    </row>
    <row r="679" spans="2:11">
      <c r="B679" s="71" t="s">
        <v>231</v>
      </c>
      <c r="C679" s="55">
        <v>50.662999999999997</v>
      </c>
      <c r="D679" s="55">
        <v>46.230999999999995</v>
      </c>
      <c r="E679" s="55">
        <v>42.033000000000001</v>
      </c>
      <c r="F679" s="55">
        <v>48.522000000000006</v>
      </c>
      <c r="G679" s="55">
        <v>61.204999999999998</v>
      </c>
      <c r="H679" s="55">
        <v>48.278999999999996</v>
      </c>
      <c r="I679" s="55">
        <v>48.136000000000003</v>
      </c>
      <c r="J679" s="1446">
        <f>+J680+J683+J684</f>
        <v>51.195999999999998</v>
      </c>
    </row>
    <row r="680" spans="2:11">
      <c r="B680" s="52" t="s">
        <v>121</v>
      </c>
      <c r="C680" s="55">
        <v>14.445999999999998</v>
      </c>
      <c r="D680" s="55">
        <v>10.978999999999999</v>
      </c>
      <c r="E680" s="55">
        <v>9.5909999999999993</v>
      </c>
      <c r="F680" s="55">
        <v>9.8559999999999999</v>
      </c>
      <c r="G680" s="55">
        <v>8.2170000000000005</v>
      </c>
      <c r="H680" s="55">
        <v>7.7750000000000004</v>
      </c>
      <c r="I680" s="55">
        <v>7.5979999999999999</v>
      </c>
      <c r="J680" s="1446">
        <f>+J681+J682</f>
        <v>7.8969999999999994</v>
      </c>
    </row>
    <row r="681" spans="2:11">
      <c r="B681" s="53" t="s">
        <v>504</v>
      </c>
      <c r="C681" s="55">
        <v>4.2489999999999997</v>
      </c>
      <c r="D681" s="55">
        <v>2.0270000000000001</v>
      </c>
      <c r="E681" s="55">
        <v>0.76</v>
      </c>
      <c r="F681" s="55">
        <v>0.68799999999999994</v>
      </c>
      <c r="G681" s="55">
        <v>0.39300000000000002</v>
      </c>
      <c r="H681" s="55">
        <v>0.186</v>
      </c>
      <c r="I681" s="55">
        <v>0.32300000000000001</v>
      </c>
      <c r="J681" s="1446">
        <v>0.28899999999999998</v>
      </c>
    </row>
    <row r="682" spans="2:11">
      <c r="B682" s="53" t="s">
        <v>505</v>
      </c>
      <c r="C682" s="55">
        <v>10.196999999999999</v>
      </c>
      <c r="D682" s="55">
        <v>8.952</v>
      </c>
      <c r="E682" s="55">
        <v>8.8309999999999995</v>
      </c>
      <c r="F682" s="55">
        <v>9.1679999999999993</v>
      </c>
      <c r="G682" s="55">
        <v>7.8239999999999998</v>
      </c>
      <c r="H682" s="55">
        <v>7.5890000000000004</v>
      </c>
      <c r="I682" s="55">
        <v>7.2750000000000004</v>
      </c>
      <c r="J682" s="1446">
        <v>7.6079999999999997</v>
      </c>
    </row>
    <row r="683" spans="2:11">
      <c r="B683" s="52" t="s">
        <v>118</v>
      </c>
      <c r="C683" s="55">
        <v>2.8000000000000001E-2</v>
      </c>
      <c r="D683" s="55">
        <v>2.5000000000000001E-2</v>
      </c>
      <c r="E683" s="55">
        <v>3.5999999999999997E-2</v>
      </c>
      <c r="F683" s="55">
        <v>2.4E-2</v>
      </c>
      <c r="G683" s="55">
        <v>2E-3</v>
      </c>
      <c r="H683" s="55">
        <v>0.02</v>
      </c>
      <c r="I683" s="55">
        <v>2.8000000000000001E-2</v>
      </c>
      <c r="J683" s="1446">
        <v>1.2999999999999999E-2</v>
      </c>
    </row>
    <row r="684" spans="2:11">
      <c r="B684" s="52" t="s">
        <v>506</v>
      </c>
      <c r="C684" s="55">
        <v>36.189</v>
      </c>
      <c r="D684" s="55">
        <v>35.226999999999997</v>
      </c>
      <c r="E684" s="55">
        <v>32.405999999999999</v>
      </c>
      <c r="F684" s="55">
        <v>38.642000000000003</v>
      </c>
      <c r="G684" s="55">
        <v>52.985999999999997</v>
      </c>
      <c r="H684" s="55">
        <v>40.483999999999995</v>
      </c>
      <c r="I684" s="55">
        <v>40.51</v>
      </c>
      <c r="J684" s="1446">
        <v>43.286000000000001</v>
      </c>
    </row>
    <row r="685" spans="2:11">
      <c r="B685" s="52"/>
      <c r="C685" s="66"/>
      <c r="D685" s="66"/>
      <c r="E685" s="66"/>
      <c r="F685" s="66"/>
      <c r="G685" s="66"/>
      <c r="H685" s="66"/>
      <c r="I685" s="66"/>
    </row>
    <row r="686" spans="2:11">
      <c r="B686" s="71" t="s">
        <v>230</v>
      </c>
      <c r="C686" s="66">
        <v>0</v>
      </c>
      <c r="D686" s="66">
        <v>0</v>
      </c>
      <c r="E686" s="66">
        <v>0</v>
      </c>
      <c r="F686" s="66">
        <v>0</v>
      </c>
      <c r="G686" s="66">
        <v>0</v>
      </c>
      <c r="H686" s="66">
        <v>0</v>
      </c>
      <c r="I686" s="66">
        <v>0</v>
      </c>
      <c r="J686" s="66">
        <v>0</v>
      </c>
    </row>
    <row r="687" spans="2:11">
      <c r="B687" s="52" t="s">
        <v>169</v>
      </c>
      <c r="C687" s="66">
        <v>0</v>
      </c>
      <c r="D687" s="66">
        <v>0</v>
      </c>
      <c r="E687" s="66">
        <v>0</v>
      </c>
      <c r="F687" s="66">
        <v>0</v>
      </c>
      <c r="G687" s="66">
        <v>0</v>
      </c>
      <c r="H687" s="66">
        <v>0</v>
      </c>
      <c r="I687" s="66">
        <v>0</v>
      </c>
      <c r="J687" s="66">
        <v>0</v>
      </c>
    </row>
    <row r="688" spans="2:11">
      <c r="B688" s="52" t="s">
        <v>168</v>
      </c>
      <c r="C688" s="66">
        <v>0</v>
      </c>
      <c r="D688" s="66">
        <v>0</v>
      </c>
      <c r="E688" s="66">
        <v>0</v>
      </c>
      <c r="F688" s="66">
        <v>0</v>
      </c>
      <c r="G688" s="66">
        <v>0</v>
      </c>
      <c r="H688" s="66">
        <v>0</v>
      </c>
      <c r="I688" s="66">
        <v>0</v>
      </c>
      <c r="J688" s="66">
        <v>0</v>
      </c>
    </row>
    <row r="689" spans="2:11">
      <c r="B689" s="52" t="s">
        <v>167</v>
      </c>
      <c r="C689" s="66">
        <v>0</v>
      </c>
      <c r="D689" s="66">
        <v>0</v>
      </c>
      <c r="E689" s="66">
        <v>0</v>
      </c>
      <c r="F689" s="66">
        <v>0</v>
      </c>
      <c r="G689" s="66">
        <v>0</v>
      </c>
      <c r="H689" s="66">
        <v>0</v>
      </c>
      <c r="I689" s="66">
        <v>0</v>
      </c>
      <c r="J689" s="66">
        <v>0</v>
      </c>
    </row>
    <row r="690" spans="2:11">
      <c r="B690" s="52" t="s">
        <v>166</v>
      </c>
      <c r="C690" s="66">
        <v>0</v>
      </c>
      <c r="D690" s="66">
        <v>0</v>
      </c>
      <c r="E690" s="66">
        <v>0</v>
      </c>
      <c r="F690" s="66">
        <v>0</v>
      </c>
      <c r="G690" s="66">
        <v>0</v>
      </c>
      <c r="H690" s="66">
        <v>0</v>
      </c>
      <c r="I690" s="66">
        <v>0</v>
      </c>
      <c r="J690" s="66">
        <v>0</v>
      </c>
    </row>
    <row r="691" spans="2:11">
      <c r="B691" s="52" t="s">
        <v>165</v>
      </c>
      <c r="C691" s="66">
        <v>0</v>
      </c>
      <c r="D691" s="66">
        <v>0</v>
      </c>
      <c r="E691" s="66">
        <v>0</v>
      </c>
      <c r="F691" s="66">
        <v>0</v>
      </c>
      <c r="G691" s="66">
        <v>0</v>
      </c>
      <c r="H691" s="66">
        <v>0</v>
      </c>
      <c r="I691" s="66">
        <v>0</v>
      </c>
      <c r="J691" s="66">
        <v>0</v>
      </c>
    </row>
    <row r="692" spans="2:11" ht="15" thickBot="1">
      <c r="B692" s="50" t="s">
        <v>164</v>
      </c>
      <c r="C692" s="66">
        <v>0</v>
      </c>
      <c r="D692" s="66">
        <v>0</v>
      </c>
      <c r="E692" s="66">
        <v>0</v>
      </c>
      <c r="F692" s="66">
        <v>0</v>
      </c>
      <c r="G692" s="66">
        <v>0</v>
      </c>
      <c r="H692" s="66">
        <v>0</v>
      </c>
      <c r="I692" s="66">
        <v>0</v>
      </c>
      <c r="J692" s="109">
        <v>0</v>
      </c>
    </row>
    <row r="693" spans="2:11" ht="15" thickTop="1">
      <c r="B693" s="2025" t="s">
        <v>1946</v>
      </c>
      <c r="C693" s="2025"/>
      <c r="D693" s="2025"/>
      <c r="E693" s="2025"/>
      <c r="F693" s="2025"/>
      <c r="G693" s="2025"/>
      <c r="H693" s="2025"/>
      <c r="I693" s="2025"/>
    </row>
    <row r="694" spans="2:11">
      <c r="B694" s="64"/>
      <c r="C694" s="121"/>
      <c r="D694" s="121"/>
      <c r="E694" s="121"/>
      <c r="F694" s="121"/>
      <c r="G694" s="121"/>
      <c r="H694" s="121"/>
      <c r="I694" s="121"/>
    </row>
    <row r="695" spans="2:11">
      <c r="B695" s="2024" t="s">
        <v>228</v>
      </c>
      <c r="C695" s="2024"/>
      <c r="D695" s="2024"/>
      <c r="E695" s="2024"/>
      <c r="F695" s="2024"/>
      <c r="G695" s="2024"/>
      <c r="H695" s="2024"/>
      <c r="I695" s="2024"/>
      <c r="J695" s="2024"/>
      <c r="K695" s="1004"/>
    </row>
    <row r="696" spans="2:11">
      <c r="B696" s="12" t="s">
        <v>227</v>
      </c>
      <c r="C696" s="121"/>
      <c r="D696" s="121"/>
      <c r="E696" s="121"/>
      <c r="F696" s="121"/>
      <c r="G696" s="121"/>
      <c r="H696" s="121"/>
      <c r="I696" s="121"/>
    </row>
    <row r="697" spans="2:11">
      <c r="B697" s="62" t="s">
        <v>127</v>
      </c>
      <c r="C697" s="121"/>
      <c r="D697" s="121"/>
      <c r="E697" s="121"/>
      <c r="F697" s="121"/>
      <c r="G697" s="121"/>
      <c r="H697" s="121"/>
      <c r="I697" s="121"/>
    </row>
    <row r="698" spans="2:11">
      <c r="B698" s="62"/>
      <c r="C698" s="121"/>
      <c r="D698" s="121"/>
      <c r="E698" s="121"/>
      <c r="F698" s="121"/>
      <c r="G698" s="121"/>
      <c r="H698" s="121"/>
      <c r="I698" s="121"/>
    </row>
    <row r="699" spans="2:11">
      <c r="B699" s="61"/>
      <c r="C699" s="60">
        <v>2014</v>
      </c>
      <c r="D699" s="60">
        <v>2015</v>
      </c>
      <c r="E699" s="60">
        <v>2016</v>
      </c>
      <c r="F699" s="60">
        <v>2017</v>
      </c>
      <c r="G699" s="60">
        <v>2018</v>
      </c>
      <c r="H699" s="60">
        <v>2019</v>
      </c>
      <c r="I699" s="60">
        <v>2020</v>
      </c>
      <c r="J699" s="60">
        <v>2021</v>
      </c>
    </row>
    <row r="700" spans="2:11">
      <c r="B700" s="59" t="s">
        <v>1343</v>
      </c>
      <c r="C700" s="121"/>
      <c r="D700" s="121"/>
      <c r="E700" s="121"/>
      <c r="F700" s="121"/>
      <c r="G700" s="121"/>
      <c r="H700" s="121"/>
      <c r="I700" s="121"/>
    </row>
    <row r="701" spans="2:11">
      <c r="B701" s="71" t="s">
        <v>222</v>
      </c>
      <c r="C701" s="55">
        <v>14245.420546608453</v>
      </c>
      <c r="D701" s="55">
        <v>16315.841040715934</v>
      </c>
      <c r="E701" s="55">
        <v>17731.302078348843</v>
      </c>
      <c r="F701" s="55">
        <v>19432.457422646534</v>
      </c>
      <c r="G701" s="55">
        <v>26151.129010328499</v>
      </c>
      <c r="H701" s="55">
        <v>18341.553184939574</v>
      </c>
      <c r="I701" s="55">
        <v>20347.53779869157</v>
      </c>
      <c r="J701">
        <v>18150.220576427961</v>
      </c>
    </row>
    <row r="702" spans="2:11">
      <c r="B702" s="52" t="s">
        <v>121</v>
      </c>
      <c r="C702" s="102">
        <v>7056.565837972973</v>
      </c>
      <c r="D702" s="102">
        <v>5919.0797454375661</v>
      </c>
      <c r="E702" s="102">
        <v>4960.0636715415794</v>
      </c>
      <c r="F702" s="102">
        <v>2683.6270908613938</v>
      </c>
      <c r="G702" s="102">
        <v>3288.3148358685435</v>
      </c>
      <c r="H702" s="102">
        <v>2266.1411985452969</v>
      </c>
      <c r="I702" s="102">
        <v>2966.6966978839941</v>
      </c>
      <c r="J702">
        <v>2591.2021154759764</v>
      </c>
    </row>
    <row r="703" spans="2:11">
      <c r="B703" s="53" t="s">
        <v>497</v>
      </c>
      <c r="C703" s="102">
        <v>4013.9049867641979</v>
      </c>
      <c r="D703" s="102">
        <v>3016.7594246247522</v>
      </c>
      <c r="E703" s="102">
        <v>950.5335709773467</v>
      </c>
      <c r="F703" s="102">
        <v>833.65205698463558</v>
      </c>
      <c r="G703" s="102">
        <v>910.81653529583082</v>
      </c>
      <c r="H703" s="102">
        <v>52.298199014577264</v>
      </c>
      <c r="I703" s="102">
        <v>118.83477369935862</v>
      </c>
      <c r="J703">
        <v>119.01802417425658</v>
      </c>
    </row>
    <row r="704" spans="2:11">
      <c r="B704" s="53" t="s">
        <v>498</v>
      </c>
      <c r="C704" s="102">
        <v>3042.6608512087751</v>
      </c>
      <c r="D704" s="102">
        <v>2902.3203208128139</v>
      </c>
      <c r="E704" s="102">
        <v>4009.5301005642332</v>
      </c>
      <c r="F704" s="102">
        <v>1849.9750338767583</v>
      </c>
      <c r="G704" s="102">
        <v>2377.4983005727122</v>
      </c>
      <c r="H704" s="102">
        <v>2213.8429995307197</v>
      </c>
      <c r="I704" s="102">
        <v>2847.8619241846359</v>
      </c>
      <c r="J704">
        <v>2472.1840913017199</v>
      </c>
    </row>
    <row r="705" spans="2:11">
      <c r="B705" s="52" t="s">
        <v>118</v>
      </c>
      <c r="C705" s="102">
        <v>0.48555692419825069</v>
      </c>
      <c r="D705" s="102">
        <v>1.6152270612244899</v>
      </c>
      <c r="E705" s="102">
        <v>1.1876703090379008</v>
      </c>
      <c r="F705" s="102">
        <v>1.1918549781341108</v>
      </c>
      <c r="G705" s="102">
        <v>0.45321451749271136</v>
      </c>
      <c r="H705" s="102">
        <v>0.31065501603498541</v>
      </c>
      <c r="I705" s="102">
        <v>0.26322985568513119</v>
      </c>
      <c r="J705">
        <v>9.3181435860058315</v>
      </c>
    </row>
    <row r="706" spans="2:11">
      <c r="B706" s="52" t="s">
        <v>500</v>
      </c>
      <c r="C706" s="102">
        <v>7188.3691517112829</v>
      </c>
      <c r="D706" s="102">
        <v>10395.146068217142</v>
      </c>
      <c r="E706" s="102">
        <v>12770.05073649823</v>
      </c>
      <c r="F706" s="102">
        <v>16747.638476807006</v>
      </c>
      <c r="G706" s="102">
        <v>22862.360959942464</v>
      </c>
      <c r="H706" s="102">
        <v>16075.101331378242</v>
      </c>
      <c r="I706" s="102">
        <v>17380.577870951893</v>
      </c>
      <c r="J706">
        <v>15549.700317365978</v>
      </c>
    </row>
    <row r="707" spans="2:11">
      <c r="B707" s="52"/>
      <c r="C707" s="66"/>
      <c r="D707" s="66"/>
      <c r="E707" s="66"/>
      <c r="F707" s="66"/>
      <c r="G707" s="66"/>
      <c r="H707" s="66"/>
      <c r="I707" s="66"/>
    </row>
    <row r="708" spans="2:11">
      <c r="B708" s="71" t="s">
        <v>221</v>
      </c>
      <c r="C708" s="66">
        <v>0</v>
      </c>
      <c r="D708" s="66">
        <v>0</v>
      </c>
      <c r="E708" s="66">
        <v>0</v>
      </c>
      <c r="F708" s="66">
        <v>0</v>
      </c>
      <c r="G708" s="66">
        <v>0</v>
      </c>
      <c r="H708" s="66">
        <v>0</v>
      </c>
      <c r="I708" s="66">
        <v>0</v>
      </c>
      <c r="J708" s="66">
        <v>0</v>
      </c>
    </row>
    <row r="709" spans="2:11">
      <c r="B709" s="52" t="s">
        <v>169</v>
      </c>
      <c r="C709" s="66">
        <v>0</v>
      </c>
      <c r="D709" s="66">
        <v>0</v>
      </c>
      <c r="E709" s="66">
        <v>0</v>
      </c>
      <c r="F709" s="66">
        <v>0</v>
      </c>
      <c r="G709" s="66">
        <v>0</v>
      </c>
      <c r="H709" s="66">
        <v>0</v>
      </c>
      <c r="I709" s="66">
        <v>0</v>
      </c>
      <c r="J709" s="66">
        <v>0</v>
      </c>
    </row>
    <row r="710" spans="2:11">
      <c r="B710" s="52" t="s">
        <v>168</v>
      </c>
      <c r="C710" s="66">
        <v>0</v>
      </c>
      <c r="D710" s="66">
        <v>0</v>
      </c>
      <c r="E710" s="66">
        <v>0</v>
      </c>
      <c r="F710" s="66">
        <v>0</v>
      </c>
      <c r="G710" s="66">
        <v>0</v>
      </c>
      <c r="H710" s="66">
        <v>0</v>
      </c>
      <c r="I710" s="66">
        <v>0</v>
      </c>
      <c r="J710" s="66">
        <v>0</v>
      </c>
    </row>
    <row r="711" spans="2:11">
      <c r="B711" s="52" t="s">
        <v>167</v>
      </c>
      <c r="C711" s="66">
        <v>0</v>
      </c>
      <c r="D711" s="66">
        <v>0</v>
      </c>
      <c r="E711" s="66">
        <v>0</v>
      </c>
      <c r="F711" s="66">
        <v>0</v>
      </c>
      <c r="G711" s="66">
        <v>0</v>
      </c>
      <c r="H711" s="66">
        <v>0</v>
      </c>
      <c r="I711" s="66">
        <v>0</v>
      </c>
      <c r="J711" s="66">
        <v>0</v>
      </c>
    </row>
    <row r="712" spans="2:11">
      <c r="B712" s="52" t="s">
        <v>166</v>
      </c>
      <c r="C712" s="66">
        <v>0</v>
      </c>
      <c r="D712" s="66">
        <v>0</v>
      </c>
      <c r="E712" s="66">
        <v>0</v>
      </c>
      <c r="F712" s="66">
        <v>0</v>
      </c>
      <c r="G712" s="66">
        <v>0</v>
      </c>
      <c r="H712" s="66">
        <v>0</v>
      </c>
      <c r="I712" s="66">
        <v>0</v>
      </c>
      <c r="J712" s="66">
        <v>0</v>
      </c>
    </row>
    <row r="713" spans="2:11">
      <c r="B713" s="52" t="s">
        <v>165</v>
      </c>
      <c r="C713" s="66">
        <v>0</v>
      </c>
      <c r="D713" s="66">
        <v>0</v>
      </c>
      <c r="E713" s="66">
        <v>0</v>
      </c>
      <c r="F713" s="66">
        <v>0</v>
      </c>
      <c r="G713" s="66">
        <v>0</v>
      </c>
      <c r="H713" s="66">
        <v>0</v>
      </c>
      <c r="I713" s="66">
        <v>0</v>
      </c>
      <c r="J713" s="66">
        <v>0</v>
      </c>
    </row>
    <row r="714" spans="2:11" ht="15" thickBot="1">
      <c r="B714" s="52" t="s">
        <v>164</v>
      </c>
      <c r="C714" s="66">
        <v>0</v>
      </c>
      <c r="D714" s="66">
        <v>0</v>
      </c>
      <c r="E714" s="66">
        <v>0</v>
      </c>
      <c r="F714" s="66">
        <v>0</v>
      </c>
      <c r="G714" s="66">
        <v>0</v>
      </c>
      <c r="H714" s="66">
        <v>0</v>
      </c>
      <c r="I714" s="66">
        <v>0</v>
      </c>
      <c r="J714" s="109">
        <v>0</v>
      </c>
    </row>
    <row r="715" spans="2:11" ht="15" thickTop="1">
      <c r="B715" s="2025" t="s">
        <v>1946</v>
      </c>
      <c r="C715" s="2025"/>
      <c r="D715" s="2025"/>
      <c r="E715" s="2025"/>
      <c r="F715" s="2025"/>
      <c r="G715" s="2025"/>
      <c r="H715" s="2025"/>
      <c r="I715" s="2025"/>
    </row>
    <row r="716" spans="2:11">
      <c r="B716" s="64"/>
      <c r="C716" s="121"/>
      <c r="D716" s="121"/>
      <c r="E716" s="121"/>
      <c r="F716" s="121"/>
      <c r="G716" s="121"/>
      <c r="H716" s="121"/>
      <c r="I716" s="121"/>
    </row>
    <row r="717" spans="2:11">
      <c r="B717" s="2024" t="s">
        <v>219</v>
      </c>
      <c r="C717" s="2024"/>
      <c r="D717" s="2024"/>
      <c r="E717" s="2024"/>
      <c r="F717" s="2024"/>
      <c r="G717" s="2024"/>
      <c r="H717" s="2024"/>
      <c r="I717" s="2024"/>
      <c r="J717" s="2024"/>
      <c r="K717" s="1004"/>
    </row>
    <row r="718" spans="2:11">
      <c r="B718" s="12" t="s">
        <v>218</v>
      </c>
      <c r="C718" s="121"/>
      <c r="D718" s="121"/>
      <c r="E718" s="121"/>
      <c r="F718" s="121"/>
      <c r="G718" s="121"/>
      <c r="H718" s="121"/>
      <c r="I718" s="121"/>
    </row>
    <row r="719" spans="2:11">
      <c r="B719" s="77" t="s">
        <v>269</v>
      </c>
      <c r="C719" s="121"/>
      <c r="D719" s="121"/>
      <c r="E719" s="121"/>
      <c r="F719" s="121"/>
      <c r="G719" s="121"/>
      <c r="H719" s="121"/>
      <c r="I719" s="121"/>
    </row>
    <row r="720" spans="2:11">
      <c r="B720" s="61"/>
      <c r="C720" s="60">
        <v>2014</v>
      </c>
      <c r="D720" s="60">
        <v>2015</v>
      </c>
      <c r="E720" s="60">
        <v>2016</v>
      </c>
      <c r="F720" s="60">
        <v>2017</v>
      </c>
      <c r="G720" s="60">
        <v>2018</v>
      </c>
      <c r="H720" s="60">
        <v>2019</v>
      </c>
      <c r="I720" s="60">
        <v>2020</v>
      </c>
      <c r="J720" s="60">
        <v>2021</v>
      </c>
    </row>
    <row r="721" spans="2:10" ht="26">
      <c r="B721" s="59" t="s">
        <v>1947</v>
      </c>
      <c r="C721" s="121"/>
      <c r="D721" s="121"/>
      <c r="E721" s="121"/>
      <c r="F721" s="121"/>
      <c r="G721" s="121"/>
      <c r="H721" s="121"/>
      <c r="I721" s="121"/>
    </row>
    <row r="722" spans="2:10">
      <c r="B722" s="71" t="s">
        <v>217</v>
      </c>
      <c r="C722" s="226">
        <v>0</v>
      </c>
      <c r="D722" s="336">
        <v>16</v>
      </c>
      <c r="E722" s="336">
        <v>17</v>
      </c>
      <c r="F722" s="336">
        <v>20</v>
      </c>
      <c r="G722" s="336">
        <v>21</v>
      </c>
      <c r="H722" s="336">
        <v>21</v>
      </c>
      <c r="I722" s="1447">
        <v>25</v>
      </c>
      <c r="J722" s="1447">
        <v>29</v>
      </c>
    </row>
    <row r="723" spans="2:10">
      <c r="B723" s="52" t="s">
        <v>150</v>
      </c>
      <c r="C723" s="226">
        <v>0</v>
      </c>
      <c r="D723" s="234">
        <v>1</v>
      </c>
      <c r="E723" s="234">
        <v>1</v>
      </c>
      <c r="F723" s="234">
        <v>1</v>
      </c>
      <c r="G723" s="234">
        <v>1</v>
      </c>
      <c r="H723" s="234">
        <v>1</v>
      </c>
      <c r="I723" s="234">
        <v>1</v>
      </c>
      <c r="J723" s="234">
        <v>1</v>
      </c>
    </row>
    <row r="724" spans="2:10">
      <c r="B724" s="52" t="s">
        <v>214</v>
      </c>
      <c r="C724" s="226">
        <v>0</v>
      </c>
      <c r="D724" s="234">
        <v>0</v>
      </c>
      <c r="E724" s="234">
        <v>0</v>
      </c>
      <c r="F724" s="234">
        <v>0</v>
      </c>
      <c r="G724" s="234">
        <v>0</v>
      </c>
      <c r="H724" s="234">
        <v>0</v>
      </c>
      <c r="I724" s="234">
        <v>0</v>
      </c>
      <c r="J724" s="234">
        <v>0</v>
      </c>
    </row>
    <row r="725" spans="2:10">
      <c r="B725" s="52" t="s">
        <v>147</v>
      </c>
      <c r="C725" s="226">
        <v>0</v>
      </c>
      <c r="D725" s="234">
        <v>15</v>
      </c>
      <c r="E725" s="234">
        <v>14</v>
      </c>
      <c r="F725" s="234">
        <v>16</v>
      </c>
      <c r="G725" s="234">
        <v>17</v>
      </c>
      <c r="H725" s="234">
        <v>17</v>
      </c>
      <c r="I725" s="234">
        <v>14</v>
      </c>
      <c r="J725" s="234">
        <v>14</v>
      </c>
    </row>
    <row r="726" spans="2:10">
      <c r="B726" s="52" t="s">
        <v>509</v>
      </c>
      <c r="C726" s="226">
        <v>0</v>
      </c>
      <c r="D726" s="234">
        <v>0</v>
      </c>
      <c r="E726" s="234">
        <v>2</v>
      </c>
      <c r="F726" s="234">
        <v>3</v>
      </c>
      <c r="G726" s="234">
        <v>3</v>
      </c>
      <c r="H726" s="234">
        <v>3</v>
      </c>
      <c r="I726" s="234">
        <v>10</v>
      </c>
      <c r="J726" s="234">
        <v>14</v>
      </c>
    </row>
    <row r="727" spans="2:10">
      <c r="B727" s="52"/>
      <c r="C727" s="226"/>
      <c r="D727" s="234"/>
      <c r="E727" s="234"/>
      <c r="F727" s="234"/>
      <c r="G727" s="234"/>
      <c r="H727" s="234"/>
      <c r="I727" s="234"/>
      <c r="J727" s="234"/>
    </row>
    <row r="728" spans="2:10">
      <c r="B728" s="71" t="s">
        <v>216</v>
      </c>
      <c r="C728" s="226">
        <v>0</v>
      </c>
      <c r="D728" s="234">
        <v>16</v>
      </c>
      <c r="E728" s="234">
        <v>17</v>
      </c>
      <c r="F728" s="234">
        <v>20</v>
      </c>
      <c r="G728" s="234">
        <v>21</v>
      </c>
      <c r="H728" s="234">
        <v>21</v>
      </c>
      <c r="I728" s="234">
        <v>25</v>
      </c>
      <c r="J728" s="234">
        <v>29</v>
      </c>
    </row>
    <row r="729" spans="2:10">
      <c r="B729" s="52" t="s">
        <v>150</v>
      </c>
      <c r="C729" s="226">
        <v>0</v>
      </c>
      <c r="D729" s="234">
        <v>1</v>
      </c>
      <c r="E729" s="234">
        <v>1</v>
      </c>
      <c r="F729" s="234">
        <v>1</v>
      </c>
      <c r="G729" s="234">
        <v>1</v>
      </c>
      <c r="H729" s="234">
        <v>1</v>
      </c>
      <c r="I729" s="234">
        <v>1</v>
      </c>
      <c r="J729" s="234">
        <v>1</v>
      </c>
    </row>
    <row r="730" spans="2:10">
      <c r="B730" s="52" t="s">
        <v>214</v>
      </c>
      <c r="C730" s="226">
        <v>0</v>
      </c>
      <c r="D730" s="234">
        <v>0</v>
      </c>
      <c r="E730" s="234">
        <v>0</v>
      </c>
      <c r="F730" s="234">
        <v>0</v>
      </c>
      <c r="G730" s="234">
        <v>0</v>
      </c>
      <c r="H730" s="234">
        <v>0</v>
      </c>
      <c r="I730" s="234">
        <v>0</v>
      </c>
      <c r="J730" s="234">
        <v>0</v>
      </c>
    </row>
    <row r="731" spans="2:10">
      <c r="B731" s="52" t="s">
        <v>147</v>
      </c>
      <c r="C731" s="226">
        <v>0</v>
      </c>
      <c r="D731" s="234">
        <v>15</v>
      </c>
      <c r="E731" s="234">
        <v>14</v>
      </c>
      <c r="F731" s="234">
        <v>16</v>
      </c>
      <c r="G731" s="234">
        <v>17</v>
      </c>
      <c r="H731" s="234">
        <v>17</v>
      </c>
      <c r="I731" s="234">
        <v>14</v>
      </c>
      <c r="J731" s="234">
        <v>14</v>
      </c>
    </row>
    <row r="732" spans="2:10">
      <c r="B732" s="52" t="s">
        <v>509</v>
      </c>
      <c r="C732" s="226">
        <v>0</v>
      </c>
      <c r="D732" s="234">
        <v>0</v>
      </c>
      <c r="E732" s="234">
        <v>2</v>
      </c>
      <c r="F732" s="234">
        <v>3</v>
      </c>
      <c r="G732" s="234">
        <v>3</v>
      </c>
      <c r="H732" s="234">
        <v>3</v>
      </c>
      <c r="I732" s="234">
        <v>10</v>
      </c>
      <c r="J732" s="234">
        <v>14</v>
      </c>
    </row>
    <row r="733" spans="2:10">
      <c r="B733" s="52"/>
      <c r="C733" s="226"/>
      <c r="D733" s="234"/>
      <c r="E733" s="234"/>
      <c r="F733" s="234"/>
      <c r="G733" s="234"/>
      <c r="H733" s="234"/>
      <c r="I733" s="234"/>
      <c r="J733" s="234"/>
    </row>
    <row r="734" spans="2:10">
      <c r="B734" s="71" t="s">
        <v>215</v>
      </c>
      <c r="C734" s="226">
        <v>0</v>
      </c>
      <c r="D734" s="234">
        <v>0</v>
      </c>
      <c r="E734" s="234">
        <v>0</v>
      </c>
      <c r="F734" s="234">
        <v>0</v>
      </c>
      <c r="G734" s="234">
        <v>0</v>
      </c>
      <c r="H734" s="234">
        <v>0</v>
      </c>
      <c r="I734" s="234">
        <v>0</v>
      </c>
      <c r="J734" s="234">
        <v>0</v>
      </c>
    </row>
    <row r="735" spans="2:10">
      <c r="B735" s="52" t="s">
        <v>150</v>
      </c>
      <c r="C735" s="226">
        <v>0</v>
      </c>
      <c r="D735" s="234">
        <v>0</v>
      </c>
      <c r="E735" s="234">
        <v>0</v>
      </c>
      <c r="F735" s="234">
        <v>0</v>
      </c>
      <c r="G735" s="234">
        <v>0</v>
      </c>
      <c r="H735" s="234">
        <v>0</v>
      </c>
      <c r="I735" s="234">
        <v>0</v>
      </c>
      <c r="J735" s="234">
        <v>0</v>
      </c>
    </row>
    <row r="736" spans="2:10">
      <c r="B736" s="52" t="s">
        <v>214</v>
      </c>
      <c r="C736" s="226">
        <v>0</v>
      </c>
      <c r="D736" s="234">
        <v>0</v>
      </c>
      <c r="E736" s="234">
        <v>0</v>
      </c>
      <c r="F736" s="234">
        <v>0</v>
      </c>
      <c r="G736" s="234">
        <v>0</v>
      </c>
      <c r="H736" s="234">
        <v>0</v>
      </c>
      <c r="I736" s="234">
        <v>0</v>
      </c>
      <c r="J736" s="234">
        <v>0</v>
      </c>
    </row>
    <row r="737" spans="2:10">
      <c r="B737" s="52" t="s">
        <v>147</v>
      </c>
      <c r="C737" s="226">
        <v>0</v>
      </c>
      <c r="D737" s="234">
        <v>0</v>
      </c>
      <c r="E737" s="234">
        <v>0</v>
      </c>
      <c r="F737" s="234">
        <v>0</v>
      </c>
      <c r="G737" s="234">
        <v>0</v>
      </c>
      <c r="H737" s="234">
        <v>0</v>
      </c>
      <c r="I737" s="234">
        <v>0</v>
      </c>
      <c r="J737" s="234">
        <v>0</v>
      </c>
    </row>
    <row r="738" spans="2:10">
      <c r="B738" s="52" t="s">
        <v>509</v>
      </c>
      <c r="C738" s="226">
        <v>0</v>
      </c>
      <c r="D738" s="234">
        <v>0</v>
      </c>
      <c r="E738" s="234">
        <v>0</v>
      </c>
      <c r="F738" s="234">
        <v>0</v>
      </c>
      <c r="G738" s="234">
        <v>0</v>
      </c>
      <c r="H738" s="234">
        <v>0</v>
      </c>
      <c r="I738" s="234">
        <v>0</v>
      </c>
      <c r="J738" s="234">
        <v>0</v>
      </c>
    </row>
    <row r="739" spans="2:10">
      <c r="B739" s="52"/>
      <c r="C739" s="226"/>
      <c r="D739" s="226"/>
      <c r="E739" s="226"/>
      <c r="F739" s="226"/>
      <c r="G739" s="226"/>
      <c r="H739" s="226"/>
      <c r="I739" s="226"/>
    </row>
    <row r="740" spans="2:10" ht="39">
      <c r="B740" s="59" t="s">
        <v>1948</v>
      </c>
      <c r="C740" s="121"/>
      <c r="D740" s="121"/>
      <c r="E740" s="121"/>
      <c r="F740" s="121"/>
      <c r="G740" s="121"/>
      <c r="H740" s="121"/>
      <c r="I740" s="121"/>
    </row>
    <row r="741" spans="2:10">
      <c r="B741" s="71" t="s">
        <v>217</v>
      </c>
      <c r="C741" s="226">
        <v>0</v>
      </c>
      <c r="D741" s="226">
        <v>0</v>
      </c>
      <c r="E741" s="226">
        <v>0</v>
      </c>
      <c r="F741" s="226">
        <v>0</v>
      </c>
      <c r="G741" s="226">
        <v>0</v>
      </c>
      <c r="H741" s="226">
        <v>0</v>
      </c>
      <c r="I741" s="226">
        <v>1</v>
      </c>
      <c r="J741" s="1448">
        <v>1</v>
      </c>
    </row>
    <row r="742" spans="2:10">
      <c r="B742" s="52" t="s">
        <v>150</v>
      </c>
      <c r="C742" s="226">
        <v>0</v>
      </c>
      <c r="D742" s="226">
        <v>0</v>
      </c>
      <c r="E742" s="226">
        <v>0</v>
      </c>
      <c r="F742" s="226">
        <v>0</v>
      </c>
      <c r="G742" s="226">
        <v>0</v>
      </c>
      <c r="H742" s="226">
        <v>0</v>
      </c>
      <c r="I742" s="226">
        <v>0</v>
      </c>
      <c r="J742" s="234">
        <v>0</v>
      </c>
    </row>
    <row r="743" spans="2:10">
      <c r="B743" s="52" t="s">
        <v>214</v>
      </c>
      <c r="C743" s="226">
        <v>0</v>
      </c>
      <c r="D743" s="226">
        <v>0</v>
      </c>
      <c r="E743" s="226">
        <v>0</v>
      </c>
      <c r="F743" s="226">
        <v>0</v>
      </c>
      <c r="G743" s="226">
        <v>0</v>
      </c>
      <c r="H743" s="226">
        <v>0</v>
      </c>
      <c r="I743" s="226">
        <v>0</v>
      </c>
      <c r="J743" s="234">
        <v>0</v>
      </c>
    </row>
    <row r="744" spans="2:10">
      <c r="B744" s="52" t="s">
        <v>147</v>
      </c>
      <c r="C744" s="226">
        <v>0</v>
      </c>
      <c r="D744" s="226">
        <v>0</v>
      </c>
      <c r="E744" s="226">
        <v>0</v>
      </c>
      <c r="F744" s="226">
        <v>0</v>
      </c>
      <c r="G744" s="226">
        <v>0</v>
      </c>
      <c r="H744" s="226">
        <v>0</v>
      </c>
      <c r="I744" s="226">
        <v>0</v>
      </c>
      <c r="J744" s="234">
        <v>0</v>
      </c>
    </row>
    <row r="745" spans="2:10">
      <c r="B745" s="52" t="s">
        <v>509</v>
      </c>
      <c r="C745" s="226">
        <v>0</v>
      </c>
      <c r="D745" s="226">
        <v>0</v>
      </c>
      <c r="E745" s="226">
        <v>0</v>
      </c>
      <c r="F745" s="226">
        <v>0</v>
      </c>
      <c r="G745" s="226">
        <v>0</v>
      </c>
      <c r="H745" s="226">
        <v>0</v>
      </c>
      <c r="I745" s="226">
        <v>1</v>
      </c>
      <c r="J745" s="1449">
        <v>1</v>
      </c>
    </row>
    <row r="746" spans="2:10">
      <c r="B746" s="52"/>
      <c r="C746" s="226"/>
      <c r="D746" s="226"/>
      <c r="E746" s="226"/>
      <c r="F746" s="226"/>
      <c r="G746" s="226"/>
      <c r="H746" s="226"/>
      <c r="I746" s="226"/>
      <c r="J746" s="1449"/>
    </row>
    <row r="747" spans="2:10">
      <c r="B747" s="71" t="s">
        <v>216</v>
      </c>
      <c r="C747" s="226">
        <v>0</v>
      </c>
      <c r="D747" s="226">
        <v>0</v>
      </c>
      <c r="E747" s="226">
        <v>0</v>
      </c>
      <c r="F747" s="226">
        <v>0</v>
      </c>
      <c r="G747" s="226">
        <v>0</v>
      </c>
      <c r="H747" s="226">
        <v>0</v>
      </c>
      <c r="I747" s="226">
        <v>1</v>
      </c>
      <c r="J747" s="1449">
        <v>1</v>
      </c>
    </row>
    <row r="748" spans="2:10">
      <c r="B748" s="52" t="s">
        <v>150</v>
      </c>
      <c r="C748" s="226">
        <v>0</v>
      </c>
      <c r="D748" s="226">
        <v>0</v>
      </c>
      <c r="E748" s="226">
        <v>0</v>
      </c>
      <c r="F748" s="226">
        <v>0</v>
      </c>
      <c r="G748" s="226">
        <v>0</v>
      </c>
      <c r="H748" s="226">
        <v>0</v>
      </c>
      <c r="I748" s="226">
        <v>0</v>
      </c>
      <c r="J748" s="234">
        <v>0</v>
      </c>
    </row>
    <row r="749" spans="2:10">
      <c r="B749" s="52" t="s">
        <v>214</v>
      </c>
      <c r="C749" s="226">
        <v>0</v>
      </c>
      <c r="D749" s="226">
        <v>0</v>
      </c>
      <c r="E749" s="226">
        <v>0</v>
      </c>
      <c r="F749" s="226">
        <v>0</v>
      </c>
      <c r="G749" s="226">
        <v>0</v>
      </c>
      <c r="H749" s="226">
        <v>0</v>
      </c>
      <c r="I749" s="226">
        <v>0</v>
      </c>
      <c r="J749" s="234">
        <v>0</v>
      </c>
    </row>
    <row r="750" spans="2:10">
      <c r="B750" s="52" t="s">
        <v>147</v>
      </c>
      <c r="C750" s="226">
        <v>0</v>
      </c>
      <c r="D750" s="226">
        <v>0</v>
      </c>
      <c r="E750" s="226">
        <v>0</v>
      </c>
      <c r="F750" s="226">
        <v>0</v>
      </c>
      <c r="G750" s="226">
        <v>0</v>
      </c>
      <c r="H750" s="226">
        <v>0</v>
      </c>
      <c r="I750" s="226">
        <v>0</v>
      </c>
      <c r="J750" s="234">
        <v>0</v>
      </c>
    </row>
    <row r="751" spans="2:10">
      <c r="B751" s="52" t="s">
        <v>509</v>
      </c>
      <c r="C751" s="226">
        <v>0</v>
      </c>
      <c r="D751" s="226">
        <v>0</v>
      </c>
      <c r="E751" s="226">
        <v>0</v>
      </c>
      <c r="F751" s="226">
        <v>0</v>
      </c>
      <c r="G751" s="226">
        <v>0</v>
      </c>
      <c r="H751" s="226">
        <v>0</v>
      </c>
      <c r="I751" s="226">
        <v>1</v>
      </c>
      <c r="J751" s="1449">
        <v>1</v>
      </c>
    </row>
    <row r="752" spans="2:10">
      <c r="B752" s="52"/>
      <c r="C752" s="226"/>
      <c r="D752" s="226"/>
      <c r="E752" s="226"/>
      <c r="F752" s="226"/>
      <c r="G752" s="226"/>
      <c r="H752" s="226"/>
      <c r="I752" s="226"/>
      <c r="J752" s="1449"/>
    </row>
    <row r="753" spans="2:10">
      <c r="B753" s="71" t="s">
        <v>215</v>
      </c>
      <c r="C753" s="226">
        <v>0</v>
      </c>
      <c r="D753" s="226">
        <v>0</v>
      </c>
      <c r="E753" s="226">
        <v>0</v>
      </c>
      <c r="F753" s="226">
        <v>0</v>
      </c>
      <c r="G753" s="226">
        <v>0</v>
      </c>
      <c r="H753" s="226">
        <v>0</v>
      </c>
      <c r="I753" s="226">
        <v>0</v>
      </c>
      <c r="J753" s="234">
        <v>0</v>
      </c>
    </row>
    <row r="754" spans="2:10">
      <c r="B754" s="52" t="s">
        <v>150</v>
      </c>
      <c r="C754" s="226">
        <v>0</v>
      </c>
      <c r="D754" s="226">
        <v>0</v>
      </c>
      <c r="E754" s="226">
        <v>0</v>
      </c>
      <c r="F754" s="226">
        <v>0</v>
      </c>
      <c r="G754" s="226">
        <v>0</v>
      </c>
      <c r="H754" s="226">
        <v>0</v>
      </c>
      <c r="I754" s="226">
        <v>0</v>
      </c>
      <c r="J754" s="234">
        <v>0</v>
      </c>
    </row>
    <row r="755" spans="2:10">
      <c r="B755" s="52" t="s">
        <v>214</v>
      </c>
      <c r="C755" s="226">
        <v>0</v>
      </c>
      <c r="D755" s="226">
        <v>0</v>
      </c>
      <c r="E755" s="226">
        <v>0</v>
      </c>
      <c r="F755" s="226">
        <v>0</v>
      </c>
      <c r="G755" s="226">
        <v>0</v>
      </c>
      <c r="H755" s="226">
        <v>0</v>
      </c>
      <c r="I755" s="226">
        <v>0</v>
      </c>
      <c r="J755" s="234">
        <v>0</v>
      </c>
    </row>
    <row r="756" spans="2:10">
      <c r="B756" s="52" t="s">
        <v>147</v>
      </c>
      <c r="C756" s="226">
        <v>0</v>
      </c>
      <c r="D756" s="226">
        <v>0</v>
      </c>
      <c r="E756" s="226">
        <v>0</v>
      </c>
      <c r="F756" s="226">
        <v>0</v>
      </c>
      <c r="G756" s="226">
        <v>0</v>
      </c>
      <c r="H756" s="226">
        <v>0</v>
      </c>
      <c r="I756" s="226">
        <v>0</v>
      </c>
      <c r="J756" s="234">
        <v>0</v>
      </c>
    </row>
    <row r="757" spans="2:10">
      <c r="B757" s="52" t="s">
        <v>509</v>
      </c>
      <c r="C757" s="226">
        <v>0</v>
      </c>
      <c r="D757" s="226">
        <v>0</v>
      </c>
      <c r="E757" s="226">
        <v>0</v>
      </c>
      <c r="F757" s="226">
        <v>0</v>
      </c>
      <c r="G757" s="226">
        <v>0</v>
      </c>
      <c r="H757" s="226">
        <v>0</v>
      </c>
      <c r="I757" s="226">
        <v>0</v>
      </c>
      <c r="J757" s="234">
        <v>0</v>
      </c>
    </row>
    <row r="758" spans="2:10">
      <c r="B758" s="52"/>
      <c r="C758" s="226"/>
      <c r="D758" s="226"/>
      <c r="E758" s="226"/>
      <c r="F758" s="226"/>
      <c r="G758" s="226"/>
      <c r="H758" s="226"/>
      <c r="I758" s="226"/>
    </row>
    <row r="759" spans="2:10" ht="26">
      <c r="B759" s="59" t="s">
        <v>1949</v>
      </c>
      <c r="C759" s="226"/>
      <c r="D759" s="226"/>
      <c r="E759" s="226"/>
      <c r="F759" s="226"/>
      <c r="G759" s="226"/>
      <c r="H759" s="226"/>
      <c r="I759" s="226"/>
    </row>
    <row r="760" spans="2:10">
      <c r="B760" s="71" t="s">
        <v>217</v>
      </c>
      <c r="C760" s="226">
        <v>0</v>
      </c>
      <c r="D760" s="336">
        <v>18</v>
      </c>
      <c r="E760" s="336">
        <v>16</v>
      </c>
      <c r="F760" s="336">
        <v>16</v>
      </c>
      <c r="G760" s="336">
        <v>16</v>
      </c>
      <c r="H760" s="336">
        <v>16</v>
      </c>
      <c r="I760" s="336">
        <v>16</v>
      </c>
      <c r="J760" s="1447">
        <v>16</v>
      </c>
    </row>
    <row r="761" spans="2:10">
      <c r="B761" s="52" t="s">
        <v>150</v>
      </c>
      <c r="C761" s="226">
        <v>0</v>
      </c>
      <c r="D761" s="234">
        <v>1</v>
      </c>
      <c r="E761" s="234">
        <v>1</v>
      </c>
      <c r="F761" s="234">
        <v>1</v>
      </c>
      <c r="G761" s="234">
        <v>1</v>
      </c>
      <c r="H761" s="234">
        <v>1</v>
      </c>
      <c r="I761" s="234">
        <v>1</v>
      </c>
      <c r="J761" s="234">
        <v>1</v>
      </c>
    </row>
    <row r="762" spans="2:10">
      <c r="B762" s="52" t="s">
        <v>214</v>
      </c>
      <c r="C762" s="226">
        <v>0</v>
      </c>
      <c r="D762" s="234">
        <v>0</v>
      </c>
      <c r="E762" s="234">
        <v>0</v>
      </c>
      <c r="F762" s="234">
        <v>0</v>
      </c>
      <c r="G762" s="234">
        <v>0</v>
      </c>
      <c r="H762" s="234">
        <v>0</v>
      </c>
      <c r="I762" s="234">
        <v>0</v>
      </c>
      <c r="J762" s="234">
        <v>0</v>
      </c>
    </row>
    <row r="763" spans="2:10">
      <c r="B763" s="52" t="s">
        <v>147</v>
      </c>
      <c r="C763" s="226">
        <v>0</v>
      </c>
      <c r="D763" s="234">
        <v>17</v>
      </c>
      <c r="E763" s="234">
        <v>15</v>
      </c>
      <c r="F763" s="234">
        <v>15</v>
      </c>
      <c r="G763" s="234">
        <v>15</v>
      </c>
      <c r="H763" s="234">
        <v>15</v>
      </c>
      <c r="I763" s="234">
        <v>14</v>
      </c>
      <c r="J763" s="234">
        <v>14</v>
      </c>
    </row>
    <row r="764" spans="2:10">
      <c r="B764" s="52" t="s">
        <v>509</v>
      </c>
      <c r="C764" s="226">
        <v>0</v>
      </c>
      <c r="D764" s="234">
        <v>0</v>
      </c>
      <c r="E764" s="234">
        <v>0</v>
      </c>
      <c r="F764" s="234">
        <v>0</v>
      </c>
      <c r="G764" s="234">
        <v>0</v>
      </c>
      <c r="H764" s="234">
        <v>0</v>
      </c>
      <c r="I764" s="234">
        <v>1</v>
      </c>
      <c r="J764" s="234">
        <v>1</v>
      </c>
    </row>
    <row r="765" spans="2:10">
      <c r="B765" s="52"/>
      <c r="C765" s="226"/>
      <c r="D765" s="234"/>
      <c r="E765" s="234"/>
      <c r="F765" s="234"/>
      <c r="G765" s="234"/>
      <c r="H765" s="234"/>
      <c r="I765" s="234"/>
      <c r="J765" s="1449"/>
    </row>
    <row r="766" spans="2:10">
      <c r="B766" s="71" t="s">
        <v>216</v>
      </c>
      <c r="C766" s="226">
        <v>0</v>
      </c>
      <c r="D766" s="234">
        <v>18</v>
      </c>
      <c r="E766" s="234">
        <v>16</v>
      </c>
      <c r="F766" s="234">
        <v>16</v>
      </c>
      <c r="G766" s="234">
        <v>16</v>
      </c>
      <c r="H766" s="234">
        <v>16</v>
      </c>
      <c r="I766" s="234">
        <v>16</v>
      </c>
      <c r="J766" s="1449">
        <v>16</v>
      </c>
    </row>
    <row r="767" spans="2:10">
      <c r="B767" s="52" t="s">
        <v>150</v>
      </c>
      <c r="C767" s="226">
        <v>0</v>
      </c>
      <c r="D767" s="234">
        <v>1</v>
      </c>
      <c r="E767" s="234">
        <v>1</v>
      </c>
      <c r="F767" s="234">
        <v>1</v>
      </c>
      <c r="G767" s="234">
        <v>1</v>
      </c>
      <c r="H767" s="234">
        <v>1</v>
      </c>
      <c r="I767" s="234">
        <v>1</v>
      </c>
      <c r="J767" s="234">
        <v>1</v>
      </c>
    </row>
    <row r="768" spans="2:10">
      <c r="B768" s="52" t="s">
        <v>214</v>
      </c>
      <c r="C768" s="226">
        <v>0</v>
      </c>
      <c r="D768" s="234">
        <v>0</v>
      </c>
      <c r="E768" s="234">
        <v>0</v>
      </c>
      <c r="F768" s="234">
        <v>0</v>
      </c>
      <c r="G768" s="234">
        <v>0</v>
      </c>
      <c r="H768" s="234">
        <v>0</v>
      </c>
      <c r="I768" s="234">
        <v>0</v>
      </c>
      <c r="J768" s="234">
        <v>0</v>
      </c>
    </row>
    <row r="769" spans="2:11">
      <c r="B769" s="52" t="s">
        <v>147</v>
      </c>
      <c r="C769" s="226">
        <v>0</v>
      </c>
      <c r="D769" s="234">
        <v>17</v>
      </c>
      <c r="E769" s="234">
        <v>15</v>
      </c>
      <c r="F769" s="234">
        <v>15</v>
      </c>
      <c r="G769" s="234">
        <v>15</v>
      </c>
      <c r="H769" s="234">
        <v>15</v>
      </c>
      <c r="I769" s="234">
        <v>14</v>
      </c>
      <c r="J769" s="234">
        <v>14</v>
      </c>
    </row>
    <row r="770" spans="2:11">
      <c r="B770" s="52" t="s">
        <v>509</v>
      </c>
      <c r="C770" s="226">
        <v>0</v>
      </c>
      <c r="D770" s="234">
        <v>0</v>
      </c>
      <c r="E770" s="234">
        <v>0</v>
      </c>
      <c r="F770" s="234">
        <v>0</v>
      </c>
      <c r="G770" s="234">
        <v>0</v>
      </c>
      <c r="H770" s="234">
        <v>0</v>
      </c>
      <c r="I770" s="234">
        <v>1</v>
      </c>
      <c r="J770" s="234">
        <v>1</v>
      </c>
    </row>
    <row r="771" spans="2:11">
      <c r="B771" s="52"/>
      <c r="C771" s="226"/>
      <c r="D771" s="234"/>
      <c r="E771" s="234"/>
      <c r="F771" s="234"/>
      <c r="G771" s="234"/>
      <c r="H771" s="234"/>
      <c r="I771" s="234"/>
      <c r="J771" s="1449"/>
    </row>
    <row r="772" spans="2:11">
      <c r="B772" s="71" t="s">
        <v>215</v>
      </c>
      <c r="C772" s="226">
        <v>0</v>
      </c>
      <c r="D772" s="234">
        <v>0</v>
      </c>
      <c r="E772" s="234">
        <v>0</v>
      </c>
      <c r="F772" s="234">
        <v>0</v>
      </c>
      <c r="G772" s="234">
        <v>0</v>
      </c>
      <c r="H772" s="234">
        <v>0</v>
      </c>
      <c r="I772" s="234">
        <v>0</v>
      </c>
      <c r="J772" s="234">
        <v>0</v>
      </c>
    </row>
    <row r="773" spans="2:11">
      <c r="B773" s="52" t="s">
        <v>150</v>
      </c>
      <c r="C773" s="226">
        <v>0</v>
      </c>
      <c r="D773" s="234">
        <v>0</v>
      </c>
      <c r="E773" s="234">
        <v>0</v>
      </c>
      <c r="F773" s="234">
        <v>0</v>
      </c>
      <c r="G773" s="234">
        <v>0</v>
      </c>
      <c r="H773" s="234">
        <v>0</v>
      </c>
      <c r="I773" s="234">
        <v>0</v>
      </c>
      <c r="J773" s="234">
        <v>0</v>
      </c>
    </row>
    <row r="774" spans="2:11">
      <c r="B774" s="52" t="s">
        <v>214</v>
      </c>
      <c r="C774" s="226">
        <v>0</v>
      </c>
      <c r="D774" s="234">
        <v>0</v>
      </c>
      <c r="E774" s="234">
        <v>0</v>
      </c>
      <c r="F774" s="234">
        <v>0</v>
      </c>
      <c r="G774" s="234">
        <v>0</v>
      </c>
      <c r="H774" s="234">
        <v>0</v>
      </c>
      <c r="I774" s="234">
        <v>0</v>
      </c>
      <c r="J774" s="234">
        <v>0</v>
      </c>
    </row>
    <row r="775" spans="2:11">
      <c r="B775" s="52" t="s">
        <v>147</v>
      </c>
      <c r="C775" s="226">
        <v>0</v>
      </c>
      <c r="D775" s="234">
        <v>0</v>
      </c>
      <c r="E775" s="234">
        <v>0</v>
      </c>
      <c r="F775" s="234">
        <v>0</v>
      </c>
      <c r="G775" s="234">
        <v>0</v>
      </c>
      <c r="H775" s="234">
        <v>0</v>
      </c>
      <c r="I775" s="234">
        <v>0</v>
      </c>
      <c r="J775" s="234">
        <v>0</v>
      </c>
    </row>
    <row r="776" spans="2:11">
      <c r="B776" s="52" t="s">
        <v>509</v>
      </c>
      <c r="C776" s="226">
        <v>0</v>
      </c>
      <c r="D776" s="234">
        <v>0</v>
      </c>
      <c r="E776" s="234">
        <v>0</v>
      </c>
      <c r="F776" s="234">
        <v>0</v>
      </c>
      <c r="G776" s="234">
        <v>0</v>
      </c>
      <c r="H776" s="234">
        <v>0</v>
      </c>
      <c r="I776" s="234">
        <v>0</v>
      </c>
      <c r="J776" s="234">
        <v>0</v>
      </c>
    </row>
    <row r="777" spans="2:11" ht="15" thickBot="1"/>
    <row r="778" spans="2:11" ht="15.5" thickTop="1" thickBot="1">
      <c r="B778" s="2025" t="s">
        <v>1950</v>
      </c>
      <c r="C778" s="2025"/>
      <c r="D778" s="2025"/>
      <c r="E778" s="2025"/>
      <c r="F778" s="2025"/>
      <c r="G778" s="2025"/>
      <c r="H778" s="2025"/>
      <c r="I778" s="2025"/>
    </row>
    <row r="779" spans="2:11" ht="15" thickTop="1">
      <c r="B779" s="2025" t="s">
        <v>1951</v>
      </c>
      <c r="C779" s="2025"/>
      <c r="D779" s="2025"/>
      <c r="E779" s="2025"/>
      <c r="F779" s="2025"/>
      <c r="G779" s="2025"/>
      <c r="H779" s="2025"/>
      <c r="I779" s="2025"/>
    </row>
    <row r="780" spans="2:11" ht="117" customHeight="1">
      <c r="B780" s="2045" t="s">
        <v>1952</v>
      </c>
      <c r="C780" s="2045"/>
      <c r="D780" s="2045"/>
      <c r="E780" s="2045"/>
      <c r="F780" s="2045"/>
      <c r="G780" s="2045"/>
      <c r="H780" s="2045"/>
      <c r="I780" s="121"/>
    </row>
    <row r="781" spans="2:11">
      <c r="B781" s="1450"/>
      <c r="C781" s="1450"/>
      <c r="D781" s="1450"/>
      <c r="E781" s="1450"/>
      <c r="F781" s="1450"/>
      <c r="G781" s="1450"/>
      <c r="H781" s="1450"/>
      <c r="I781" s="121"/>
    </row>
    <row r="782" spans="2:11">
      <c r="B782" s="2024" t="s">
        <v>212</v>
      </c>
      <c r="C782" s="2024"/>
      <c r="D782" s="2024"/>
      <c r="E782" s="2024"/>
      <c r="F782" s="2024"/>
      <c r="G782" s="2024"/>
      <c r="H782" s="2024"/>
      <c r="I782" s="2024"/>
      <c r="J782" s="2024"/>
      <c r="K782" s="1004"/>
    </row>
    <row r="783" spans="2:11">
      <c r="B783" s="12" t="s">
        <v>211</v>
      </c>
      <c r="C783" s="121"/>
      <c r="D783" s="121"/>
      <c r="E783" s="121"/>
      <c r="F783" s="121"/>
      <c r="G783" s="121"/>
      <c r="H783" s="121"/>
      <c r="I783" s="121"/>
    </row>
    <row r="784" spans="2:11">
      <c r="B784" s="64" t="s">
        <v>210</v>
      </c>
      <c r="C784" s="121"/>
      <c r="D784" s="121"/>
      <c r="E784" s="121"/>
      <c r="F784" s="121"/>
      <c r="G784" s="121"/>
      <c r="H784" s="121"/>
      <c r="I784" s="121"/>
    </row>
    <row r="785" spans="2:10">
      <c r="B785" s="64"/>
      <c r="C785" s="121"/>
      <c r="D785" s="121"/>
      <c r="E785" s="121"/>
      <c r="F785" s="121"/>
      <c r="G785" s="121"/>
      <c r="H785" s="121"/>
      <c r="I785" s="121"/>
    </row>
    <row r="786" spans="2:10">
      <c r="B786" s="61"/>
      <c r="C786" s="60">
        <v>2014</v>
      </c>
      <c r="D786" s="60">
        <v>2015</v>
      </c>
      <c r="E786" s="60">
        <v>2016</v>
      </c>
      <c r="F786" s="60">
        <v>2017</v>
      </c>
      <c r="G786" s="60">
        <v>2018</v>
      </c>
      <c r="H786" s="60">
        <v>2019</v>
      </c>
      <c r="I786" s="60">
        <v>2020</v>
      </c>
      <c r="J786" s="60">
        <v>2021</v>
      </c>
    </row>
    <row r="787" spans="2:10">
      <c r="B787" s="59" t="s">
        <v>1343</v>
      </c>
      <c r="C787" s="121"/>
      <c r="D787" s="121"/>
      <c r="E787" s="121"/>
      <c r="F787" s="121"/>
      <c r="G787" s="121"/>
      <c r="H787" s="121"/>
      <c r="I787" s="121"/>
    </row>
    <row r="788" spans="2:10">
      <c r="B788" s="71" t="s">
        <v>209</v>
      </c>
      <c r="C788" s="227">
        <v>50.663000000000004</v>
      </c>
      <c r="D788" s="227">
        <v>46.231000000000002</v>
      </c>
      <c r="E788" s="228">
        <v>42.033000000000001</v>
      </c>
      <c r="F788" s="228">
        <v>48.522000000000006</v>
      </c>
      <c r="G788" s="228">
        <v>61.204999999999998</v>
      </c>
      <c r="H788" s="228">
        <v>48.278999999999996</v>
      </c>
      <c r="I788" s="228">
        <v>48.136000000000003</v>
      </c>
      <c r="J788" s="532">
        <v>51.195999999999998</v>
      </c>
    </row>
    <row r="789" spans="2:10">
      <c r="B789" s="71"/>
      <c r="C789" s="98"/>
      <c r="D789" s="98"/>
      <c r="E789" s="98"/>
      <c r="F789" s="98"/>
      <c r="G789" s="98"/>
      <c r="H789" s="98"/>
      <c r="I789" s="98"/>
      <c r="J789" s="65"/>
    </row>
    <row r="790" spans="2:10">
      <c r="B790" s="71" t="s">
        <v>208</v>
      </c>
      <c r="C790" s="227">
        <v>50.663000000000004</v>
      </c>
      <c r="D790" s="227">
        <v>46.231000000000002</v>
      </c>
      <c r="E790" s="227">
        <v>42.033000000000001</v>
      </c>
      <c r="F790" s="227">
        <v>48.522000000000006</v>
      </c>
      <c r="G790" s="227">
        <v>61.204999999999998</v>
      </c>
      <c r="H790" s="227">
        <v>48.278999999999996</v>
      </c>
      <c r="I790" s="227">
        <v>48.136000000000003</v>
      </c>
      <c r="J790" s="882">
        <v>51.195999999999998</v>
      </c>
    </row>
    <row r="791" spans="2:10">
      <c r="B791" s="52" t="s">
        <v>121</v>
      </c>
      <c r="C791" s="227">
        <v>14.446000000000002</v>
      </c>
      <c r="D791" s="227">
        <v>10.84</v>
      </c>
      <c r="E791" s="227">
        <v>9.5910000000000011</v>
      </c>
      <c r="F791" s="227">
        <v>9.8559999999999999</v>
      </c>
      <c r="G791" s="227">
        <v>8.2169999999999987</v>
      </c>
      <c r="H791" s="227">
        <v>7.7750000000000004</v>
      </c>
      <c r="I791" s="227">
        <v>7.5979999999999999</v>
      </c>
      <c r="J791" s="882">
        <v>7.871999999999999</v>
      </c>
    </row>
    <row r="792" spans="2:10">
      <c r="B792" s="53" t="s">
        <v>120</v>
      </c>
      <c r="C792" s="227">
        <v>4.2489999999999997</v>
      </c>
      <c r="D792" s="227">
        <v>0.54700000000000004</v>
      </c>
      <c r="E792" s="227">
        <v>0.76</v>
      </c>
      <c r="F792" s="227">
        <v>0.68799999999999994</v>
      </c>
      <c r="G792" s="227">
        <v>0.39300000000000002</v>
      </c>
      <c r="H792" s="227">
        <v>0.186</v>
      </c>
      <c r="I792" s="227">
        <v>0.32300000000000001</v>
      </c>
      <c r="J792" s="882">
        <v>0.26400000000000001</v>
      </c>
    </row>
    <row r="793" spans="2:10">
      <c r="B793" s="53" t="s">
        <v>119</v>
      </c>
      <c r="C793" s="227">
        <v>8.4640000000000004</v>
      </c>
      <c r="D793" s="227">
        <v>7.7469999999999999</v>
      </c>
      <c r="E793" s="227">
        <v>8.0180000000000007</v>
      </c>
      <c r="F793" s="227">
        <v>8.94</v>
      </c>
      <c r="G793" s="227">
        <v>7.22</v>
      </c>
      <c r="H793" s="227">
        <v>6.9880000000000004</v>
      </c>
      <c r="I793" s="227">
        <v>5.8719999999999999</v>
      </c>
      <c r="J793" s="882">
        <v>4.9789999999999992</v>
      </c>
    </row>
    <row r="794" spans="2:10">
      <c r="B794" s="53" t="s">
        <v>512</v>
      </c>
      <c r="C794" s="227">
        <v>1.7330000000000001</v>
      </c>
      <c r="D794" s="227">
        <v>2.5459999999999998</v>
      </c>
      <c r="E794" s="227">
        <v>0.81299999999999994</v>
      </c>
      <c r="F794" s="227">
        <v>0.22800000000000001</v>
      </c>
      <c r="G794" s="227">
        <v>0.60399999999999998</v>
      </c>
      <c r="H794" s="227">
        <v>0.60099999999999998</v>
      </c>
      <c r="I794" s="227">
        <v>1.403</v>
      </c>
      <c r="J794" s="882">
        <v>2.629</v>
      </c>
    </row>
    <row r="795" spans="2:10">
      <c r="B795" s="52" t="s">
        <v>118</v>
      </c>
      <c r="C795" s="227">
        <v>2.8000000000000001E-2</v>
      </c>
      <c r="D795" s="227">
        <v>2.5000000000000001E-2</v>
      </c>
      <c r="E795" s="227">
        <v>3.5999999999999997E-2</v>
      </c>
      <c r="F795" s="227">
        <v>2.4E-2</v>
      </c>
      <c r="G795" s="227">
        <v>2E-3</v>
      </c>
      <c r="H795" s="227">
        <v>0.02</v>
      </c>
      <c r="I795" s="227">
        <v>2.8000000000000001E-2</v>
      </c>
      <c r="J795" s="882">
        <v>1.2999999999999999E-2</v>
      </c>
    </row>
    <row r="796" spans="2:10">
      <c r="B796" s="52" t="s">
        <v>117</v>
      </c>
      <c r="C796" s="227">
        <v>36.189</v>
      </c>
      <c r="D796" s="227">
        <v>35.366</v>
      </c>
      <c r="E796" s="227">
        <v>32.405999999999999</v>
      </c>
      <c r="F796" s="227">
        <v>38.642000000000003</v>
      </c>
      <c r="G796" s="227">
        <v>52.985999999999997</v>
      </c>
      <c r="H796" s="227">
        <v>40.483999999999995</v>
      </c>
      <c r="I796" s="227">
        <v>40.51</v>
      </c>
      <c r="J796" s="65">
        <v>43.311</v>
      </c>
    </row>
    <row r="797" spans="2:10">
      <c r="B797" s="52"/>
      <c r="C797" s="98"/>
      <c r="D797" s="98"/>
      <c r="E797" s="98"/>
      <c r="F797" s="98"/>
      <c r="G797" s="98"/>
      <c r="H797" s="98"/>
      <c r="I797" s="98"/>
      <c r="J797" s="65"/>
    </row>
    <row r="798" spans="2:10">
      <c r="B798" s="83" t="s">
        <v>205</v>
      </c>
      <c r="C798" s="227">
        <v>14.285</v>
      </c>
      <c r="D798" s="227">
        <v>16.902000000000001</v>
      </c>
      <c r="E798" s="227">
        <v>26.68</v>
      </c>
      <c r="F798" s="227">
        <v>34.350999999999999</v>
      </c>
      <c r="G798" s="227">
        <v>43.468000000000004</v>
      </c>
      <c r="H798" s="227">
        <v>35.742000000000004</v>
      </c>
      <c r="I798" s="227">
        <v>36.034999999999997</v>
      </c>
      <c r="J798" s="882">
        <v>39.805</v>
      </c>
    </row>
    <row r="799" spans="2:10">
      <c r="B799" s="81" t="s">
        <v>121</v>
      </c>
      <c r="C799" s="227">
        <v>6.0830000000000002</v>
      </c>
      <c r="D799" s="227">
        <v>4.6239999999999997</v>
      </c>
      <c r="E799" s="227">
        <v>6.1420000000000003</v>
      </c>
      <c r="F799" s="227">
        <v>7.9649999999999999</v>
      </c>
      <c r="G799" s="227">
        <v>7.0569999999999995</v>
      </c>
      <c r="H799" s="227">
        <v>6.82</v>
      </c>
      <c r="I799" s="227">
        <v>6.5289999999999999</v>
      </c>
      <c r="J799" s="1285">
        <v>6.9019999999999992</v>
      </c>
    </row>
    <row r="800" spans="2:10">
      <c r="B800" s="82" t="s">
        <v>120</v>
      </c>
      <c r="C800" s="227">
        <v>1.7509999999999999</v>
      </c>
      <c r="D800" s="227">
        <v>6.8000000000000005E-2</v>
      </c>
      <c r="E800" s="227">
        <v>0.29699999999999999</v>
      </c>
      <c r="F800" s="227">
        <v>0.28100000000000003</v>
      </c>
      <c r="G800" s="227">
        <v>0.23400000000000001</v>
      </c>
      <c r="H800" s="227">
        <v>4.8000000000000001E-2</v>
      </c>
      <c r="I800" s="227">
        <v>0.14599999999999999</v>
      </c>
      <c r="J800" s="1285">
        <v>7.3999999999999996E-2</v>
      </c>
    </row>
    <row r="801" spans="2:10">
      <c r="B801" s="82" t="s">
        <v>119</v>
      </c>
      <c r="C801" s="227">
        <v>3.6320000000000001</v>
      </c>
      <c r="D801" s="227">
        <v>3.4929999999999999</v>
      </c>
      <c r="E801" s="227">
        <v>5.2270000000000003</v>
      </c>
      <c r="F801" s="227">
        <v>7.508</v>
      </c>
      <c r="G801" s="227">
        <v>6.2379999999999995</v>
      </c>
      <c r="H801" s="227">
        <v>6.2050000000000001</v>
      </c>
      <c r="I801" s="227">
        <v>5.12</v>
      </c>
      <c r="J801" s="65">
        <v>4.2089999999999996</v>
      </c>
    </row>
    <row r="802" spans="2:10" ht="15">
      <c r="B802" s="82" t="s">
        <v>513</v>
      </c>
      <c r="C802" s="227">
        <v>0.7</v>
      </c>
      <c r="D802" s="227">
        <v>1.0629999999999999</v>
      </c>
      <c r="E802" s="227">
        <v>0.61799999999999999</v>
      </c>
      <c r="F802" s="227">
        <v>0.17599999999999999</v>
      </c>
      <c r="G802" s="227">
        <v>0.58499999999999996</v>
      </c>
      <c r="H802" s="227">
        <v>0.56699999999999995</v>
      </c>
      <c r="I802" s="227">
        <v>1.2629999999999999</v>
      </c>
      <c r="J802" s="65">
        <v>2.6190000000000002</v>
      </c>
    </row>
    <row r="803" spans="2:10">
      <c r="B803" s="81" t="s">
        <v>118</v>
      </c>
      <c r="C803" s="227">
        <v>0</v>
      </c>
      <c r="D803" s="227">
        <v>0</v>
      </c>
      <c r="E803" s="227">
        <v>0</v>
      </c>
      <c r="F803" s="227">
        <v>0</v>
      </c>
      <c r="G803" s="227">
        <v>0</v>
      </c>
      <c r="H803" s="227">
        <v>0</v>
      </c>
      <c r="I803" s="227">
        <v>0</v>
      </c>
      <c r="J803" s="65">
        <v>0</v>
      </c>
    </row>
    <row r="804" spans="2:10">
      <c r="B804" s="81" t="s">
        <v>117</v>
      </c>
      <c r="C804" s="227">
        <v>8.202</v>
      </c>
      <c r="D804" s="227">
        <v>12.278</v>
      </c>
      <c r="E804" s="227">
        <v>20.538</v>
      </c>
      <c r="F804" s="227">
        <v>26.385999999999999</v>
      </c>
      <c r="G804" s="227">
        <v>36.411000000000001</v>
      </c>
      <c r="H804" s="227">
        <v>28.922000000000001</v>
      </c>
      <c r="I804" s="227">
        <v>29.506</v>
      </c>
      <c r="J804" s="65">
        <v>32.902999999999999</v>
      </c>
    </row>
    <row r="805" spans="2:10">
      <c r="B805" s="81"/>
      <c r="C805" s="98"/>
      <c r="D805" s="98"/>
      <c r="E805" s="98"/>
      <c r="F805" s="98"/>
      <c r="G805" s="98"/>
      <c r="H805" s="98"/>
      <c r="I805" s="98"/>
      <c r="J805" s="882"/>
    </row>
    <row r="806" spans="2:10">
      <c r="B806" s="83" t="s">
        <v>204</v>
      </c>
      <c r="C806" s="227">
        <v>36.378</v>
      </c>
      <c r="D806" s="227">
        <v>29.329000000000001</v>
      </c>
      <c r="E806" s="227">
        <v>15.353000000000002</v>
      </c>
      <c r="F806" s="227">
        <v>14.171000000000006</v>
      </c>
      <c r="G806" s="227">
        <v>17.736999999999995</v>
      </c>
      <c r="H806" s="227">
        <v>12.536999999999992</v>
      </c>
      <c r="I806" s="227">
        <v>12.100999999999997</v>
      </c>
      <c r="J806" s="882">
        <v>11.391</v>
      </c>
    </row>
    <row r="807" spans="2:10">
      <c r="B807" s="81" t="s">
        <v>121</v>
      </c>
      <c r="C807" s="227">
        <v>8.3630000000000013</v>
      </c>
      <c r="D807" s="227">
        <v>6.2160000000000002</v>
      </c>
      <c r="E807" s="227">
        <v>3.4490000000000007</v>
      </c>
      <c r="F807" s="227">
        <v>1.891</v>
      </c>
      <c r="G807" s="227">
        <v>1.1599999999999993</v>
      </c>
      <c r="H807" s="227">
        <v>0.95500000000000007</v>
      </c>
      <c r="I807" s="227">
        <v>1.069</v>
      </c>
      <c r="J807" s="882">
        <v>0.97</v>
      </c>
    </row>
    <row r="808" spans="2:10">
      <c r="B808" s="82" t="s">
        <v>120</v>
      </c>
      <c r="C808" s="227">
        <v>2.4979999999999998</v>
      </c>
      <c r="D808" s="227">
        <v>0.47900000000000004</v>
      </c>
      <c r="E808" s="227">
        <v>0.46300000000000002</v>
      </c>
      <c r="F808" s="227">
        <v>0.40699999999999992</v>
      </c>
      <c r="G808" s="227">
        <v>0.159</v>
      </c>
      <c r="H808" s="227">
        <v>0.13800000000000001</v>
      </c>
      <c r="I808" s="227">
        <v>0.17700000000000002</v>
      </c>
      <c r="J808" s="882">
        <v>0.19</v>
      </c>
    </row>
    <row r="809" spans="2:10">
      <c r="B809" s="82" t="s">
        <v>119</v>
      </c>
      <c r="C809" s="227">
        <v>4.8320000000000007</v>
      </c>
      <c r="D809" s="227">
        <v>4.2539999999999996</v>
      </c>
      <c r="E809" s="227">
        <v>2.7910000000000004</v>
      </c>
      <c r="F809" s="227">
        <v>1.4319999999999995</v>
      </c>
      <c r="G809" s="227">
        <v>0.98200000000000021</v>
      </c>
      <c r="H809" s="227">
        <v>0.78300000000000036</v>
      </c>
      <c r="I809" s="227">
        <v>0.75199999999999978</v>
      </c>
      <c r="J809" s="882">
        <v>0.77</v>
      </c>
    </row>
    <row r="810" spans="2:10" ht="15">
      <c r="B810" s="82" t="s">
        <v>514</v>
      </c>
      <c r="C810" s="227">
        <v>1.0330000000000001</v>
      </c>
      <c r="D810" s="227">
        <v>1.4829999999999999</v>
      </c>
      <c r="E810" s="227">
        <v>0.19499999999999995</v>
      </c>
      <c r="F810" s="227">
        <v>5.2000000000000018E-2</v>
      </c>
      <c r="G810" s="227">
        <v>1.9000000000000017E-2</v>
      </c>
      <c r="H810" s="227">
        <v>3.400000000000003E-2</v>
      </c>
      <c r="I810" s="227">
        <v>0.14000000000000012</v>
      </c>
      <c r="J810" s="882">
        <v>0.01</v>
      </c>
    </row>
    <row r="811" spans="2:10">
      <c r="B811" s="81" t="s">
        <v>118</v>
      </c>
      <c r="C811" s="227">
        <v>2.8000000000000001E-2</v>
      </c>
      <c r="D811" s="227">
        <v>2.5000000000000001E-2</v>
      </c>
      <c r="E811" s="227">
        <v>3.5999999999999997E-2</v>
      </c>
      <c r="F811" s="227">
        <v>2.4E-2</v>
      </c>
      <c r="G811" s="227">
        <v>2E-3</v>
      </c>
      <c r="H811" s="227">
        <v>0.02</v>
      </c>
      <c r="I811" s="227">
        <v>2.8000000000000001E-2</v>
      </c>
      <c r="J811" s="882">
        <v>1.2999999999999999E-2</v>
      </c>
    </row>
    <row r="812" spans="2:10">
      <c r="B812" s="81" t="s">
        <v>117</v>
      </c>
      <c r="C812" s="227">
        <v>27.987000000000002</v>
      </c>
      <c r="D812" s="227">
        <v>23.088000000000001</v>
      </c>
      <c r="E812" s="227">
        <v>11.867999999999999</v>
      </c>
      <c r="F812" s="227">
        <v>12.256000000000004</v>
      </c>
      <c r="G812" s="227">
        <v>16.574999999999996</v>
      </c>
      <c r="H812" s="227">
        <v>11.561999999999994</v>
      </c>
      <c r="I812" s="227">
        <v>11.003999999999998</v>
      </c>
      <c r="J812" s="65">
        <v>10.407999999999999</v>
      </c>
    </row>
    <row r="813" spans="2:10">
      <c r="B813" s="81"/>
      <c r="C813" s="121"/>
      <c r="D813" s="121"/>
      <c r="E813" s="121"/>
      <c r="F813" s="121"/>
      <c r="G813" s="121"/>
      <c r="H813" s="121"/>
      <c r="I813" s="121"/>
      <c r="J813" s="65"/>
    </row>
    <row r="814" spans="2:10">
      <c r="B814" s="71" t="s">
        <v>203</v>
      </c>
      <c r="C814" s="229" t="s">
        <v>2086</v>
      </c>
      <c r="D814" s="229" t="s">
        <v>2086</v>
      </c>
      <c r="E814" s="229" t="s">
        <v>2086</v>
      </c>
      <c r="F814" s="229" t="s">
        <v>2086</v>
      </c>
      <c r="G814" s="229" t="s">
        <v>2086</v>
      </c>
      <c r="H814" s="229" t="s">
        <v>2086</v>
      </c>
      <c r="I814" s="229" t="s">
        <v>2086</v>
      </c>
      <c r="J814" s="1393" t="s">
        <v>2086</v>
      </c>
    </row>
    <row r="815" spans="2:10">
      <c r="B815" s="52" t="s">
        <v>169</v>
      </c>
      <c r="C815" s="229" t="s">
        <v>2086</v>
      </c>
      <c r="D815" s="229" t="s">
        <v>2086</v>
      </c>
      <c r="E815" s="229" t="s">
        <v>2086</v>
      </c>
      <c r="F815" s="229" t="s">
        <v>2086</v>
      </c>
      <c r="G815" s="229" t="s">
        <v>2086</v>
      </c>
      <c r="H815" s="229" t="s">
        <v>2086</v>
      </c>
      <c r="I815" s="229" t="s">
        <v>2086</v>
      </c>
      <c r="J815" s="1393" t="s">
        <v>2086</v>
      </c>
    </row>
    <row r="816" spans="2:10">
      <c r="B816" s="52" t="s">
        <v>168</v>
      </c>
      <c r="C816" s="229" t="s">
        <v>2086</v>
      </c>
      <c r="D816" s="229" t="s">
        <v>2086</v>
      </c>
      <c r="E816" s="229" t="s">
        <v>2086</v>
      </c>
      <c r="F816" s="229" t="s">
        <v>2086</v>
      </c>
      <c r="G816" s="229" t="s">
        <v>2086</v>
      </c>
      <c r="H816" s="229" t="s">
        <v>2086</v>
      </c>
      <c r="I816" s="229" t="s">
        <v>2086</v>
      </c>
      <c r="J816" s="1393" t="s">
        <v>2086</v>
      </c>
    </row>
    <row r="817" spans="2:11">
      <c r="B817" s="52" t="s">
        <v>167</v>
      </c>
      <c r="C817" s="229" t="s">
        <v>2086</v>
      </c>
      <c r="D817" s="229" t="s">
        <v>2086</v>
      </c>
      <c r="E817" s="229" t="s">
        <v>2086</v>
      </c>
      <c r="F817" s="229" t="s">
        <v>2086</v>
      </c>
      <c r="G817" s="229" t="s">
        <v>2086</v>
      </c>
      <c r="H817" s="229" t="s">
        <v>2086</v>
      </c>
      <c r="I817" s="229" t="s">
        <v>2086</v>
      </c>
      <c r="J817" s="1393" t="s">
        <v>2086</v>
      </c>
    </row>
    <row r="818" spans="2:11">
      <c r="B818" s="52" t="s">
        <v>166</v>
      </c>
      <c r="C818" s="229" t="s">
        <v>2086</v>
      </c>
      <c r="D818" s="229" t="s">
        <v>2086</v>
      </c>
      <c r="E818" s="229" t="s">
        <v>2086</v>
      </c>
      <c r="F818" s="229" t="s">
        <v>2086</v>
      </c>
      <c r="G818" s="229" t="s">
        <v>2086</v>
      </c>
      <c r="H818" s="229" t="s">
        <v>2086</v>
      </c>
      <c r="I818" s="229" t="s">
        <v>2086</v>
      </c>
      <c r="J818" s="1451">
        <v>0</v>
      </c>
    </row>
    <row r="819" spans="2:11">
      <c r="B819" s="52" t="s">
        <v>165</v>
      </c>
      <c r="C819" s="229" t="s">
        <v>2086</v>
      </c>
      <c r="D819" s="229" t="s">
        <v>2086</v>
      </c>
      <c r="E819" s="229" t="s">
        <v>2086</v>
      </c>
      <c r="F819" s="229" t="s">
        <v>2086</v>
      </c>
      <c r="G819" s="229" t="s">
        <v>2086</v>
      </c>
      <c r="H819" s="229" t="s">
        <v>2086</v>
      </c>
      <c r="I819" s="229" t="s">
        <v>2086</v>
      </c>
      <c r="J819" s="1451">
        <v>0</v>
      </c>
    </row>
    <row r="820" spans="2:11">
      <c r="B820" s="52" t="s">
        <v>164</v>
      </c>
      <c r="C820" s="229" t="s">
        <v>2086</v>
      </c>
      <c r="D820" s="229" t="s">
        <v>2086</v>
      </c>
      <c r="E820" s="229" t="s">
        <v>2086</v>
      </c>
      <c r="F820" s="229" t="s">
        <v>2086</v>
      </c>
      <c r="G820" s="229" t="s">
        <v>2086</v>
      </c>
      <c r="H820" s="229" t="s">
        <v>2086</v>
      </c>
      <c r="I820" s="229" t="s">
        <v>2086</v>
      </c>
      <c r="J820" s="1451">
        <v>0</v>
      </c>
    </row>
    <row r="821" spans="2:11">
      <c r="B821" s="52"/>
      <c r="C821" s="121"/>
      <c r="D821" s="121"/>
      <c r="E821" s="121"/>
      <c r="F821" s="121"/>
      <c r="G821" s="121"/>
      <c r="H821" s="121"/>
      <c r="I821" s="121"/>
      <c r="J821" s="1393"/>
    </row>
    <row r="822" spans="2:11">
      <c r="B822" s="80" t="s">
        <v>202</v>
      </c>
      <c r="C822" s="229" t="s">
        <v>2086</v>
      </c>
      <c r="D822" s="229" t="s">
        <v>2086</v>
      </c>
      <c r="E822" s="229" t="s">
        <v>2086</v>
      </c>
      <c r="F822" s="229" t="s">
        <v>2086</v>
      </c>
      <c r="G822" s="229" t="s">
        <v>2086</v>
      </c>
      <c r="H822" s="229" t="s">
        <v>2086</v>
      </c>
      <c r="I822" s="229" t="s">
        <v>2086</v>
      </c>
      <c r="J822" s="1451">
        <v>0</v>
      </c>
    </row>
    <row r="823" spans="2:11">
      <c r="B823" s="52" t="s">
        <v>169</v>
      </c>
      <c r="C823" s="229" t="s">
        <v>2086</v>
      </c>
      <c r="D823" s="229" t="s">
        <v>2086</v>
      </c>
      <c r="E823" s="229" t="s">
        <v>2086</v>
      </c>
      <c r="F823" s="229" t="s">
        <v>2086</v>
      </c>
      <c r="G823" s="229" t="s">
        <v>2086</v>
      </c>
      <c r="H823" s="229" t="s">
        <v>2086</v>
      </c>
      <c r="I823" s="229" t="s">
        <v>2086</v>
      </c>
      <c r="J823" s="1451">
        <v>0</v>
      </c>
    </row>
    <row r="824" spans="2:11">
      <c r="B824" s="52" t="s">
        <v>168</v>
      </c>
      <c r="C824" s="229" t="s">
        <v>2086</v>
      </c>
      <c r="D824" s="229" t="s">
        <v>2086</v>
      </c>
      <c r="E824" s="229" t="s">
        <v>2086</v>
      </c>
      <c r="F824" s="229" t="s">
        <v>2086</v>
      </c>
      <c r="G824" s="229" t="s">
        <v>2086</v>
      </c>
      <c r="H824" s="229" t="s">
        <v>2086</v>
      </c>
      <c r="I824" s="229" t="s">
        <v>2086</v>
      </c>
      <c r="J824" s="1451">
        <v>0</v>
      </c>
    </row>
    <row r="825" spans="2:11">
      <c r="B825" s="52" t="s">
        <v>167</v>
      </c>
      <c r="C825" s="229" t="s">
        <v>2086</v>
      </c>
      <c r="D825" s="229" t="s">
        <v>2086</v>
      </c>
      <c r="E825" s="229" t="s">
        <v>2086</v>
      </c>
      <c r="F825" s="229" t="s">
        <v>2086</v>
      </c>
      <c r="G825" s="229" t="s">
        <v>2086</v>
      </c>
      <c r="H825" s="229" t="s">
        <v>2086</v>
      </c>
      <c r="I825" s="229" t="s">
        <v>2086</v>
      </c>
      <c r="J825" s="1451">
        <v>0</v>
      </c>
    </row>
    <row r="826" spans="2:11">
      <c r="B826" s="52" t="s">
        <v>166</v>
      </c>
      <c r="C826" s="229" t="s">
        <v>2086</v>
      </c>
      <c r="D826" s="229" t="s">
        <v>2086</v>
      </c>
      <c r="E826" s="229" t="s">
        <v>2086</v>
      </c>
      <c r="F826" s="229" t="s">
        <v>2086</v>
      </c>
      <c r="G826" s="229" t="s">
        <v>2086</v>
      </c>
      <c r="H826" s="229" t="s">
        <v>2086</v>
      </c>
      <c r="I826" s="229" t="s">
        <v>2086</v>
      </c>
      <c r="J826" s="1451">
        <v>0</v>
      </c>
    </row>
    <row r="827" spans="2:11">
      <c r="B827" s="52" t="s">
        <v>165</v>
      </c>
      <c r="C827" s="229" t="s">
        <v>2086</v>
      </c>
      <c r="D827" s="229" t="s">
        <v>2086</v>
      </c>
      <c r="E827" s="229" t="s">
        <v>2086</v>
      </c>
      <c r="F827" s="229" t="s">
        <v>2086</v>
      </c>
      <c r="G827" s="229" t="s">
        <v>2086</v>
      </c>
      <c r="H827" s="229" t="s">
        <v>2086</v>
      </c>
      <c r="I827" s="229" t="s">
        <v>2086</v>
      </c>
      <c r="J827" s="1451">
        <v>0</v>
      </c>
    </row>
    <row r="828" spans="2:11" ht="15" thickBot="1">
      <c r="B828" s="52" t="s">
        <v>164</v>
      </c>
      <c r="C828" s="229" t="s">
        <v>2086</v>
      </c>
      <c r="D828" s="229" t="s">
        <v>2086</v>
      </c>
      <c r="E828" s="229" t="s">
        <v>2086</v>
      </c>
      <c r="F828" s="229" t="s">
        <v>2086</v>
      </c>
      <c r="G828" s="229" t="s">
        <v>2086</v>
      </c>
      <c r="H828" s="229" t="s">
        <v>2086</v>
      </c>
      <c r="I828" s="229" t="s">
        <v>2086</v>
      </c>
      <c r="J828" s="1452">
        <v>0</v>
      </c>
    </row>
    <row r="829" spans="2:11" ht="15" thickTop="1">
      <c r="B829" s="2025" t="s">
        <v>1946</v>
      </c>
      <c r="C829" s="2025"/>
      <c r="D829" s="2025"/>
      <c r="E829" s="2025"/>
      <c r="F829" s="2025"/>
      <c r="G829" s="2025"/>
      <c r="H829" s="2025"/>
      <c r="I829" s="2025"/>
    </row>
    <row r="830" spans="2:11">
      <c r="B830" s="2041" t="s">
        <v>1953</v>
      </c>
      <c r="C830" s="2042"/>
      <c r="D830" s="2042"/>
      <c r="E830" s="2042"/>
      <c r="F830" s="2042"/>
      <c r="G830" s="2042"/>
      <c r="H830" s="2042"/>
      <c r="I830" s="2042"/>
    </row>
    <row r="831" spans="2:11">
      <c r="B831" s="64"/>
      <c r="C831" s="121"/>
      <c r="D831" s="121"/>
      <c r="E831" s="121"/>
      <c r="F831" s="121"/>
      <c r="G831" s="121"/>
      <c r="H831" s="121"/>
      <c r="I831" s="121"/>
    </row>
    <row r="832" spans="2:11">
      <c r="B832" s="2024" t="s">
        <v>199</v>
      </c>
      <c r="C832" s="2024"/>
      <c r="D832" s="2024"/>
      <c r="E832" s="2024"/>
      <c r="F832" s="2024"/>
      <c r="G832" s="2024"/>
      <c r="H832" s="2024"/>
      <c r="I832" s="2024"/>
      <c r="J832" s="2024"/>
      <c r="K832" s="1004"/>
    </row>
    <row r="833" spans="2:13">
      <c r="B833" s="12" t="s">
        <v>198</v>
      </c>
      <c r="C833" s="121"/>
      <c r="D833" s="121"/>
      <c r="E833" s="121"/>
      <c r="F833" s="121"/>
      <c r="G833" s="121"/>
      <c r="H833" s="121"/>
      <c r="I833" s="121"/>
    </row>
    <row r="834" spans="2:13">
      <c r="B834" s="62" t="s">
        <v>127</v>
      </c>
      <c r="C834" s="121"/>
      <c r="D834" s="121"/>
      <c r="E834" s="121"/>
      <c r="F834" s="121"/>
      <c r="G834" s="121"/>
      <c r="H834" s="121"/>
      <c r="I834" s="121"/>
    </row>
    <row r="835" spans="2:13">
      <c r="B835" s="62"/>
      <c r="C835" s="121"/>
      <c r="D835" s="121"/>
      <c r="E835" s="121"/>
      <c r="F835" s="121"/>
      <c r="G835" s="121"/>
      <c r="H835" s="121"/>
      <c r="I835" s="121"/>
    </row>
    <row r="836" spans="2:13">
      <c r="B836" s="61"/>
      <c r="C836" s="60">
        <v>2014</v>
      </c>
      <c r="D836" s="60">
        <v>2015</v>
      </c>
      <c r="E836" s="60">
        <v>2016</v>
      </c>
      <c r="F836" s="60">
        <v>2017</v>
      </c>
      <c r="G836" s="60">
        <v>2018</v>
      </c>
      <c r="H836" s="60">
        <v>2019</v>
      </c>
      <c r="I836" s="60">
        <v>2020</v>
      </c>
      <c r="J836" s="60">
        <v>2021</v>
      </c>
    </row>
    <row r="837" spans="2:13">
      <c r="B837" s="59" t="s">
        <v>1343</v>
      </c>
      <c r="C837" s="121"/>
      <c r="D837" s="121"/>
      <c r="E837" s="121"/>
      <c r="F837" s="121"/>
      <c r="G837" s="121"/>
      <c r="H837" s="121"/>
      <c r="I837" s="121"/>
    </row>
    <row r="838" spans="2:13">
      <c r="B838" s="71" t="s">
        <v>186</v>
      </c>
      <c r="C838" s="98">
        <v>14245.420546608455</v>
      </c>
      <c r="D838" s="98">
        <v>16315.841040715713</v>
      </c>
      <c r="E838" s="98">
        <v>17731.302078348843</v>
      </c>
      <c r="F838" s="98">
        <v>19432.457422646534</v>
      </c>
      <c r="G838" s="98">
        <v>26151.129010328499</v>
      </c>
      <c r="H838" s="98">
        <v>18341.553184939574</v>
      </c>
      <c r="I838" s="98">
        <v>20347.53779869157</v>
      </c>
      <c r="J838" s="95">
        <v>18150.220576427932</v>
      </c>
    </row>
    <row r="839" spans="2:13">
      <c r="B839" s="71"/>
      <c r="C839" s="98"/>
      <c r="D839" s="98"/>
      <c r="E839" s="98"/>
      <c r="F839" s="98"/>
      <c r="G839" s="98"/>
      <c r="H839" s="98"/>
      <c r="I839" s="98"/>
      <c r="J839" s="95"/>
    </row>
    <row r="840" spans="2:13">
      <c r="B840" s="71" t="s">
        <v>190</v>
      </c>
      <c r="C840" s="230">
        <v>14245.420546608455</v>
      </c>
      <c r="D840" s="230">
        <v>16315.841040715713</v>
      </c>
      <c r="E840" s="230">
        <v>17731.302078348843</v>
      </c>
      <c r="F840" s="230">
        <v>19432.457422646534</v>
      </c>
      <c r="G840" s="230">
        <v>26151.129010328499</v>
      </c>
      <c r="H840" s="230">
        <v>18341.553184939574</v>
      </c>
      <c r="I840" s="230">
        <v>20347.53779869157</v>
      </c>
      <c r="J840" s="95">
        <v>18150.220576427932</v>
      </c>
    </row>
    <row r="841" spans="2:13">
      <c r="B841" s="52" t="s">
        <v>121</v>
      </c>
      <c r="C841" s="230">
        <v>7056.5658379729739</v>
      </c>
      <c r="D841" s="230">
        <v>5588.4688591183249</v>
      </c>
      <c r="E841" s="230">
        <v>4960.0636715415794</v>
      </c>
      <c r="F841" s="230">
        <v>2683.6270908613942</v>
      </c>
      <c r="G841" s="230">
        <v>3288.3148358685435</v>
      </c>
      <c r="H841" s="230">
        <v>2266.1411985452969</v>
      </c>
      <c r="I841" s="230">
        <v>2966.6966978839941</v>
      </c>
      <c r="J841" s="95">
        <v>2581.6724482981335</v>
      </c>
    </row>
    <row r="842" spans="2:13">
      <c r="B842" s="53" t="s">
        <v>120</v>
      </c>
      <c r="C842" s="230">
        <v>4013.9049867641979</v>
      </c>
      <c r="D842" s="230">
        <v>70.2600422413703</v>
      </c>
      <c r="E842" s="230">
        <v>950.5335709773467</v>
      </c>
      <c r="F842" s="230">
        <v>833.65205698463558</v>
      </c>
      <c r="G842" s="230">
        <v>910.81653529583082</v>
      </c>
      <c r="H842" s="230">
        <v>52.298199014577264</v>
      </c>
      <c r="I842" s="230">
        <v>118.83477369935862</v>
      </c>
      <c r="J842" s="95">
        <v>109.48835699641401</v>
      </c>
    </row>
    <row r="843" spans="2:13">
      <c r="B843" s="53" t="s">
        <v>119</v>
      </c>
      <c r="C843" s="230">
        <v>1024.465576824344</v>
      </c>
      <c r="D843" s="230">
        <v>998.76167688403859</v>
      </c>
      <c r="E843" s="230">
        <v>1576.8715362110497</v>
      </c>
      <c r="F843" s="230">
        <v>1306.7807067181361</v>
      </c>
      <c r="G843" s="230">
        <v>910.85554457069895</v>
      </c>
      <c r="H843" s="230">
        <v>1068.0232387052763</v>
      </c>
      <c r="I843" s="230">
        <v>1344.4105634834686</v>
      </c>
      <c r="J843" s="95">
        <v>1022.2772828746063</v>
      </c>
    </row>
    <row r="844" spans="2:13">
      <c r="B844" s="53" t="s">
        <v>1890</v>
      </c>
      <c r="C844" s="230">
        <v>2018.1952743844315</v>
      </c>
      <c r="D844" s="230">
        <v>4519.4471399929162</v>
      </c>
      <c r="E844" s="230">
        <v>2432.6585643531835</v>
      </c>
      <c r="F844" s="230">
        <v>543.19432715862251</v>
      </c>
      <c r="G844" s="230">
        <v>1466.6427560020134</v>
      </c>
      <c r="H844" s="230">
        <v>1145.8197608254436</v>
      </c>
      <c r="I844" s="230">
        <v>1503.4513607011672</v>
      </c>
      <c r="J844" s="95">
        <v>1449.9068084271134</v>
      </c>
    </row>
    <row r="845" spans="2:13">
      <c r="B845" s="52" t="s">
        <v>118</v>
      </c>
      <c r="C845" s="230">
        <v>0.48555692419825069</v>
      </c>
      <c r="D845" s="230">
        <v>1.6152270612244901</v>
      </c>
      <c r="E845" s="230">
        <v>1.1876703090379008</v>
      </c>
      <c r="F845" s="230">
        <v>1.1918549781341108</v>
      </c>
      <c r="G845" s="230">
        <v>0.45321451749271136</v>
      </c>
      <c r="H845" s="230">
        <v>0.31065501603498541</v>
      </c>
      <c r="I845" s="230">
        <v>0.26322985568513119</v>
      </c>
      <c r="J845" s="95">
        <v>9.3181435860058297</v>
      </c>
    </row>
    <row r="846" spans="2:13">
      <c r="B846" s="52" t="s">
        <v>117</v>
      </c>
      <c r="C846" s="230">
        <v>7188.3691517112829</v>
      </c>
      <c r="D846" s="230">
        <v>10725.756954536164</v>
      </c>
      <c r="E846" s="230">
        <v>12770.05073649823</v>
      </c>
      <c r="F846" s="230">
        <v>16747.638476807006</v>
      </c>
      <c r="G846" s="230">
        <v>22862.360959942464</v>
      </c>
      <c r="H846" s="230">
        <v>16075.101331378242</v>
      </c>
      <c r="I846" s="230">
        <v>17380.577870951893</v>
      </c>
      <c r="J846" s="95">
        <v>15559.229984543794</v>
      </c>
    </row>
    <row r="847" spans="2:13">
      <c r="B847" s="52"/>
      <c r="C847" s="98"/>
      <c r="D847" s="98"/>
      <c r="E847" s="98"/>
      <c r="F847" s="98"/>
      <c r="G847" s="98"/>
      <c r="H847" s="98"/>
      <c r="I847" s="98"/>
      <c r="J847" s="95"/>
    </row>
    <row r="848" spans="2:13">
      <c r="B848" s="83" t="s">
        <v>187</v>
      </c>
      <c r="C848" s="230">
        <v>4940.6212765677183</v>
      </c>
      <c r="D848" s="230">
        <v>6695.0714528244926</v>
      </c>
      <c r="E848" s="230">
        <v>11030.12324569761</v>
      </c>
      <c r="F848" s="230">
        <v>13291.461023990179</v>
      </c>
      <c r="G848" s="230">
        <v>18298.156757833134</v>
      </c>
      <c r="H848" s="230">
        <v>12865.092107805884</v>
      </c>
      <c r="I848" s="230">
        <v>14276.601457820789</v>
      </c>
      <c r="J848" s="95">
        <v>13670.606919703894</v>
      </c>
      <c r="K848" s="858"/>
      <c r="L848" s="858"/>
      <c r="M848" s="882"/>
    </row>
    <row r="849" spans="2:14">
      <c r="B849" s="81" t="s">
        <v>121</v>
      </c>
      <c r="C849" s="230">
        <v>2801.1593671583746</v>
      </c>
      <c r="D849" s="230">
        <v>2226.7428372526574</v>
      </c>
      <c r="E849" s="230">
        <v>3185.3039112311903</v>
      </c>
      <c r="F849" s="230">
        <v>1755.3503596087915</v>
      </c>
      <c r="G849" s="230">
        <v>2746.480050486261</v>
      </c>
      <c r="H849" s="230">
        <v>1531.5950172174926</v>
      </c>
      <c r="I849" s="230">
        <v>1548.9514283321275</v>
      </c>
      <c r="J849" s="95">
        <v>2046.0245048649851</v>
      </c>
      <c r="K849" s="858"/>
      <c r="L849" s="858"/>
      <c r="M849" s="882"/>
    </row>
    <row r="850" spans="2:14">
      <c r="B850" s="82" t="s">
        <v>120</v>
      </c>
      <c r="C850" s="230">
        <v>1699.4875062034112</v>
      </c>
      <c r="D850" s="230">
        <v>5.6663414788046644</v>
      </c>
      <c r="E850" s="230">
        <v>590.55361023483977</v>
      </c>
      <c r="F850" s="230">
        <v>643.6174748935864</v>
      </c>
      <c r="G850" s="230">
        <v>842.83111561005853</v>
      </c>
      <c r="H850" s="230">
        <v>1.3040141999999995</v>
      </c>
      <c r="I850" s="230">
        <v>30.510692597230328</v>
      </c>
      <c r="J850" s="95">
        <v>13.180722300000003</v>
      </c>
      <c r="K850" s="858"/>
      <c r="L850" s="858"/>
      <c r="M850" s="882"/>
    </row>
    <row r="851" spans="2:14">
      <c r="B851" s="82" t="s">
        <v>119</v>
      </c>
      <c r="C851" s="230">
        <v>344.55131904195332</v>
      </c>
      <c r="D851" s="230">
        <v>384.54046953918345</v>
      </c>
      <c r="E851" s="230">
        <v>722.49123165991239</v>
      </c>
      <c r="F851" s="230">
        <v>794.00269964941629</v>
      </c>
      <c r="G851" s="230">
        <v>554.21181918049592</v>
      </c>
      <c r="H851" s="230">
        <v>499.86161501979649</v>
      </c>
      <c r="I851" s="230">
        <v>530.13983649437239</v>
      </c>
      <c r="J851" s="95">
        <v>586.63025003291546</v>
      </c>
      <c r="K851" s="858"/>
      <c r="L851" s="858"/>
      <c r="M851" s="882"/>
    </row>
    <row r="852" spans="2:14" ht="15">
      <c r="B852" s="82" t="s">
        <v>514</v>
      </c>
      <c r="C852" s="230">
        <v>757.12054191301013</v>
      </c>
      <c r="D852" s="230">
        <v>1836.5360262346694</v>
      </c>
      <c r="E852" s="230">
        <v>1872.2590693364384</v>
      </c>
      <c r="F852" s="230">
        <v>317.7301850657887</v>
      </c>
      <c r="G852" s="230">
        <v>1349.4371156957068</v>
      </c>
      <c r="H852" s="230">
        <v>1030.429387997696</v>
      </c>
      <c r="I852" s="230">
        <v>988.3008992405247</v>
      </c>
      <c r="J852" s="95">
        <v>1446.2135325320696</v>
      </c>
      <c r="K852" s="858"/>
      <c r="L852" s="858"/>
      <c r="M852" s="882"/>
    </row>
    <row r="853" spans="2:14">
      <c r="B853" s="81" t="s">
        <v>118</v>
      </c>
      <c r="C853" s="230" t="s">
        <v>2086</v>
      </c>
      <c r="D853" s="230" t="s">
        <v>2086</v>
      </c>
      <c r="E853" s="230" t="s">
        <v>2086</v>
      </c>
      <c r="F853" s="230" t="s">
        <v>2086</v>
      </c>
      <c r="G853" s="230" t="s">
        <v>2086</v>
      </c>
      <c r="H853" s="230" t="s">
        <v>2086</v>
      </c>
      <c r="I853" s="230" t="s">
        <v>2086</v>
      </c>
      <c r="J853" s="230" t="s">
        <v>2086</v>
      </c>
      <c r="K853" s="858"/>
      <c r="L853" s="858"/>
      <c r="M853" s="882"/>
    </row>
    <row r="854" spans="2:14">
      <c r="B854" s="81" t="s">
        <v>117</v>
      </c>
      <c r="C854" s="230">
        <v>2139.4619094093441</v>
      </c>
      <c r="D854" s="230">
        <v>4468.3286155718351</v>
      </c>
      <c r="E854" s="230">
        <v>7844.8193344664196</v>
      </c>
      <c r="F854" s="230">
        <v>11536.110664381387</v>
      </c>
      <c r="G854" s="230">
        <v>15551.676707346871</v>
      </c>
      <c r="H854" s="230">
        <v>11333.497090588391</v>
      </c>
      <c r="I854" s="230">
        <v>12727.650029488663</v>
      </c>
      <c r="J854" s="95">
        <v>11624.582414838909</v>
      </c>
      <c r="K854" s="858"/>
      <c r="L854" s="858"/>
      <c r="M854" s="882"/>
    </row>
    <row r="855" spans="2:14">
      <c r="B855" s="81"/>
      <c r="C855" s="230"/>
      <c r="D855" s="230"/>
      <c r="E855" s="230"/>
      <c r="F855" s="230"/>
      <c r="G855" s="230"/>
      <c r="H855" s="230"/>
      <c r="I855" s="230"/>
      <c r="J855" s="95"/>
    </row>
    <row r="856" spans="2:14">
      <c r="B856" s="83" t="s">
        <v>173</v>
      </c>
      <c r="C856" s="230">
        <v>9304.7992700407358</v>
      </c>
      <c r="D856" s="230">
        <v>9620.7695878912218</v>
      </c>
      <c r="E856" s="230">
        <v>6701.1788326512351</v>
      </c>
      <c r="F856" s="230">
        <v>6140.9963986563553</v>
      </c>
      <c r="G856" s="230">
        <v>7852.9722524953668</v>
      </c>
      <c r="H856" s="230">
        <v>5476.4610771336893</v>
      </c>
      <c r="I856" s="230">
        <v>6070.9363408707823</v>
      </c>
      <c r="J856" s="95">
        <v>4479.6136567240374</v>
      </c>
      <c r="L856" s="1424"/>
      <c r="M856" s="1424"/>
      <c r="N856" s="1453"/>
    </row>
    <row r="857" spans="2:14">
      <c r="B857" s="81" t="s">
        <v>121</v>
      </c>
      <c r="C857" s="230">
        <v>4255.4064708145988</v>
      </c>
      <c r="D857" s="230">
        <v>3361.7260218656675</v>
      </c>
      <c r="E857" s="230">
        <v>1774.7597603103889</v>
      </c>
      <c r="F857" s="230">
        <v>928.27673125260276</v>
      </c>
      <c r="G857" s="230">
        <v>541.83478538228235</v>
      </c>
      <c r="H857" s="230">
        <v>734.54618132780456</v>
      </c>
      <c r="I857" s="230">
        <v>1417.7452695518668</v>
      </c>
      <c r="J857" s="95">
        <v>535.64794343314873</v>
      </c>
      <c r="L857" s="1424"/>
      <c r="M857" s="1424"/>
      <c r="N857" s="1453"/>
    </row>
    <row r="858" spans="2:14">
      <c r="B858" s="82" t="s">
        <v>120</v>
      </c>
      <c r="C858" s="230">
        <v>2314.4174805607868</v>
      </c>
      <c r="D858" s="230">
        <v>64.593700762565646</v>
      </c>
      <c r="E858" s="230">
        <v>359.97996074250699</v>
      </c>
      <c r="F858" s="230">
        <v>190.03458209104917</v>
      </c>
      <c r="G858" s="230">
        <v>67.985419685772328</v>
      </c>
      <c r="H858" s="230">
        <v>50.99418481457726</v>
      </c>
      <c r="I858" s="230">
        <v>88.324081102128289</v>
      </c>
      <c r="J858" s="95">
        <v>96.307634696414013</v>
      </c>
      <c r="L858" s="1424"/>
      <c r="M858" s="1424"/>
      <c r="N858" s="1453"/>
    </row>
    <row r="859" spans="2:14">
      <c r="B859" s="82" t="s">
        <v>119</v>
      </c>
      <c r="C859" s="230">
        <v>679.91425778239068</v>
      </c>
      <c r="D859" s="230">
        <v>614.2212073448552</v>
      </c>
      <c r="E859" s="230">
        <v>854.38030455113733</v>
      </c>
      <c r="F859" s="230">
        <v>512.77800706871972</v>
      </c>
      <c r="G859" s="230">
        <v>356.64372539020309</v>
      </c>
      <c r="H859" s="230">
        <v>568.16162368547987</v>
      </c>
      <c r="I859" s="230">
        <v>814.27072698909615</v>
      </c>
      <c r="J859" s="95">
        <v>435.64703284169099</v>
      </c>
      <c r="L859" s="1424"/>
      <c r="M859" s="1424"/>
      <c r="N859" s="1453"/>
    </row>
    <row r="860" spans="2:14" ht="15">
      <c r="B860" s="82" t="s">
        <v>1891</v>
      </c>
      <c r="C860" s="230">
        <v>1261.0747324714216</v>
      </c>
      <c r="D860" s="230">
        <v>2682.9111137582463</v>
      </c>
      <c r="E860" s="230">
        <v>560.39949501674494</v>
      </c>
      <c r="F860" s="230">
        <v>225.46414209283375</v>
      </c>
      <c r="G860" s="230">
        <v>117.20564030630653</v>
      </c>
      <c r="H860" s="230">
        <v>115.3903728277475</v>
      </c>
      <c r="I860" s="230">
        <v>515.15046146064242</v>
      </c>
      <c r="J860" s="95">
        <v>3.6932758950437319</v>
      </c>
      <c r="L860" s="1424"/>
      <c r="M860" s="1424"/>
      <c r="N860" s="1453"/>
    </row>
    <row r="861" spans="2:14">
      <c r="B861" s="81" t="s">
        <v>118</v>
      </c>
      <c r="C861" s="230">
        <v>0.48555692419825069</v>
      </c>
      <c r="D861" s="230">
        <v>1.6152270612244901</v>
      </c>
      <c r="E861" s="230">
        <v>1.1876703090379008</v>
      </c>
      <c r="F861" s="230">
        <v>1.1918549781341108</v>
      </c>
      <c r="G861" s="230">
        <v>0.45321451749271136</v>
      </c>
      <c r="H861" s="230">
        <v>0.31065501603498541</v>
      </c>
      <c r="I861" s="230">
        <v>0.26322985568513119</v>
      </c>
      <c r="J861" s="95">
        <v>9.3181435860058297</v>
      </c>
      <c r="L861" s="1424"/>
      <c r="M861" s="1424"/>
      <c r="N861" s="1453"/>
    </row>
    <row r="862" spans="2:14">
      <c r="B862" s="81" t="s">
        <v>117</v>
      </c>
      <c r="C862" s="230">
        <v>5048.9072423019388</v>
      </c>
      <c r="D862" s="230">
        <v>6257.4283389643288</v>
      </c>
      <c r="E862" s="230">
        <v>4925.2314020318099</v>
      </c>
      <c r="F862" s="230">
        <v>5211.5278124256183</v>
      </c>
      <c r="G862" s="230">
        <v>7310.6842525955926</v>
      </c>
      <c r="H862" s="230">
        <v>4741.6042407898512</v>
      </c>
      <c r="I862" s="230">
        <v>4652.927841463229</v>
      </c>
      <c r="J862" s="95">
        <v>3934.6475697048832</v>
      </c>
      <c r="L862" s="1424"/>
      <c r="M862" s="1424"/>
      <c r="N862" s="1453"/>
    </row>
    <row r="863" spans="2:14">
      <c r="B863" s="81"/>
      <c r="C863" s="98"/>
      <c r="D863" s="98"/>
      <c r="E863" s="98"/>
      <c r="F863" s="98"/>
      <c r="G863" s="98"/>
      <c r="H863" s="98"/>
      <c r="I863" s="98"/>
    </row>
    <row r="864" spans="2:14">
      <c r="B864" s="71" t="s">
        <v>171</v>
      </c>
      <c r="C864" s="230" t="s">
        <v>2086</v>
      </c>
      <c r="D864" s="230" t="s">
        <v>2086</v>
      </c>
      <c r="E864" s="230" t="s">
        <v>2086</v>
      </c>
      <c r="F864" s="230" t="s">
        <v>2086</v>
      </c>
      <c r="G864" s="230" t="s">
        <v>2086</v>
      </c>
      <c r="H864" s="230" t="s">
        <v>2086</v>
      </c>
      <c r="I864" s="230" t="s">
        <v>2086</v>
      </c>
      <c r="J864" s="230" t="s">
        <v>2086</v>
      </c>
    </row>
    <row r="865" spans="2:10">
      <c r="B865" s="52" t="s">
        <v>169</v>
      </c>
      <c r="C865" s="230" t="s">
        <v>2086</v>
      </c>
      <c r="D865" s="230" t="s">
        <v>2086</v>
      </c>
      <c r="E865" s="230" t="s">
        <v>2086</v>
      </c>
      <c r="F865" s="230" t="s">
        <v>2086</v>
      </c>
      <c r="G865" s="230" t="s">
        <v>2086</v>
      </c>
      <c r="H865" s="230" t="s">
        <v>2086</v>
      </c>
      <c r="I865" s="230" t="s">
        <v>2086</v>
      </c>
      <c r="J865" s="230" t="s">
        <v>2086</v>
      </c>
    </row>
    <row r="866" spans="2:10">
      <c r="B866" s="52" t="s">
        <v>168</v>
      </c>
      <c r="C866" s="230" t="s">
        <v>2086</v>
      </c>
      <c r="D866" s="230" t="s">
        <v>2086</v>
      </c>
      <c r="E866" s="230" t="s">
        <v>2086</v>
      </c>
      <c r="F866" s="230" t="s">
        <v>2086</v>
      </c>
      <c r="G866" s="230" t="s">
        <v>2086</v>
      </c>
      <c r="H866" s="230" t="s">
        <v>2086</v>
      </c>
      <c r="I866" s="230" t="s">
        <v>2086</v>
      </c>
      <c r="J866" s="230" t="s">
        <v>2086</v>
      </c>
    </row>
    <row r="867" spans="2:10">
      <c r="B867" s="52" t="s">
        <v>167</v>
      </c>
      <c r="C867" s="230" t="s">
        <v>2086</v>
      </c>
      <c r="D867" s="230" t="s">
        <v>2086</v>
      </c>
      <c r="E867" s="230" t="s">
        <v>2086</v>
      </c>
      <c r="F867" s="230" t="s">
        <v>2086</v>
      </c>
      <c r="G867" s="230" t="s">
        <v>2086</v>
      </c>
      <c r="H867" s="230" t="s">
        <v>2086</v>
      </c>
      <c r="I867" s="230" t="s">
        <v>2086</v>
      </c>
      <c r="J867" s="230" t="s">
        <v>2086</v>
      </c>
    </row>
    <row r="868" spans="2:10">
      <c r="B868" s="52" t="s">
        <v>166</v>
      </c>
      <c r="C868" s="230" t="s">
        <v>2086</v>
      </c>
      <c r="D868" s="230" t="s">
        <v>2086</v>
      </c>
      <c r="E868" s="230" t="s">
        <v>2086</v>
      </c>
      <c r="F868" s="230" t="s">
        <v>2086</v>
      </c>
      <c r="G868" s="230" t="s">
        <v>2086</v>
      </c>
      <c r="H868" s="230" t="s">
        <v>2086</v>
      </c>
      <c r="I868" s="230" t="s">
        <v>2086</v>
      </c>
      <c r="J868" s="230" t="s">
        <v>2086</v>
      </c>
    </row>
    <row r="869" spans="2:10">
      <c r="B869" s="52" t="s">
        <v>165</v>
      </c>
      <c r="C869" s="230" t="s">
        <v>2086</v>
      </c>
      <c r="D869" s="230" t="s">
        <v>2086</v>
      </c>
      <c r="E869" s="230" t="s">
        <v>2086</v>
      </c>
      <c r="F869" s="230" t="s">
        <v>2086</v>
      </c>
      <c r="G869" s="230" t="s">
        <v>2086</v>
      </c>
      <c r="H869" s="230" t="s">
        <v>2086</v>
      </c>
      <c r="I869" s="230" t="s">
        <v>2086</v>
      </c>
      <c r="J869" s="230" t="s">
        <v>2086</v>
      </c>
    </row>
    <row r="870" spans="2:10">
      <c r="B870" s="52" t="s">
        <v>164</v>
      </c>
      <c r="C870" s="230" t="s">
        <v>2086</v>
      </c>
      <c r="D870" s="230" t="s">
        <v>2086</v>
      </c>
      <c r="E870" s="230" t="s">
        <v>2086</v>
      </c>
      <c r="F870" s="230" t="s">
        <v>2086</v>
      </c>
      <c r="G870" s="230" t="s">
        <v>2086</v>
      </c>
      <c r="H870" s="230" t="s">
        <v>2086</v>
      </c>
      <c r="I870" s="230" t="s">
        <v>2086</v>
      </c>
      <c r="J870" s="230" t="s">
        <v>2086</v>
      </c>
    </row>
    <row r="871" spans="2:10">
      <c r="B871" s="52"/>
      <c r="C871" s="55"/>
      <c r="D871" s="55"/>
      <c r="E871" s="55"/>
      <c r="F871" s="55"/>
      <c r="G871" s="55"/>
      <c r="H871" s="55"/>
      <c r="I871" s="55"/>
      <c r="J871" s="55"/>
    </row>
    <row r="872" spans="2:10">
      <c r="B872" s="80" t="s">
        <v>170</v>
      </c>
      <c r="C872" s="230" t="s">
        <v>2086</v>
      </c>
      <c r="D872" s="230" t="s">
        <v>2086</v>
      </c>
      <c r="E872" s="230" t="s">
        <v>2086</v>
      </c>
      <c r="F872" s="230" t="s">
        <v>2086</v>
      </c>
      <c r="G872" s="230" t="s">
        <v>2086</v>
      </c>
      <c r="H872" s="230" t="s">
        <v>2086</v>
      </c>
      <c r="I872" s="230" t="s">
        <v>2086</v>
      </c>
      <c r="J872" s="230" t="s">
        <v>2086</v>
      </c>
    </row>
    <row r="873" spans="2:10">
      <c r="B873" s="52" t="s">
        <v>169</v>
      </c>
      <c r="C873" s="230" t="s">
        <v>2086</v>
      </c>
      <c r="D873" s="230" t="s">
        <v>2086</v>
      </c>
      <c r="E873" s="230" t="s">
        <v>2086</v>
      </c>
      <c r="F873" s="230" t="s">
        <v>2086</v>
      </c>
      <c r="G873" s="230" t="s">
        <v>2086</v>
      </c>
      <c r="H873" s="230" t="s">
        <v>2086</v>
      </c>
      <c r="I873" s="230" t="s">
        <v>2086</v>
      </c>
      <c r="J873" s="230" t="s">
        <v>2086</v>
      </c>
    </row>
    <row r="874" spans="2:10">
      <c r="B874" s="52" t="s">
        <v>168</v>
      </c>
      <c r="C874" s="230" t="s">
        <v>2086</v>
      </c>
      <c r="D874" s="230" t="s">
        <v>2086</v>
      </c>
      <c r="E874" s="230" t="s">
        <v>2086</v>
      </c>
      <c r="F874" s="230" t="s">
        <v>2086</v>
      </c>
      <c r="G874" s="230" t="s">
        <v>2086</v>
      </c>
      <c r="H874" s="230" t="s">
        <v>2086</v>
      </c>
      <c r="I874" s="230" t="s">
        <v>2086</v>
      </c>
      <c r="J874" s="230" t="s">
        <v>2086</v>
      </c>
    </row>
    <row r="875" spans="2:10">
      <c r="B875" s="52" t="s">
        <v>167</v>
      </c>
      <c r="C875" s="230" t="s">
        <v>2086</v>
      </c>
      <c r="D875" s="230" t="s">
        <v>2086</v>
      </c>
      <c r="E875" s="230" t="s">
        <v>2086</v>
      </c>
      <c r="F875" s="230" t="s">
        <v>2086</v>
      </c>
      <c r="G875" s="230" t="s">
        <v>2086</v>
      </c>
      <c r="H875" s="230" t="s">
        <v>2086</v>
      </c>
      <c r="I875" s="230" t="s">
        <v>2086</v>
      </c>
      <c r="J875" s="230" t="s">
        <v>2086</v>
      </c>
    </row>
    <row r="876" spans="2:10">
      <c r="B876" s="52" t="s">
        <v>166</v>
      </c>
      <c r="C876" s="230" t="s">
        <v>2086</v>
      </c>
      <c r="D876" s="230" t="s">
        <v>2086</v>
      </c>
      <c r="E876" s="230" t="s">
        <v>2086</v>
      </c>
      <c r="F876" s="230" t="s">
        <v>2086</v>
      </c>
      <c r="G876" s="230" t="s">
        <v>2086</v>
      </c>
      <c r="H876" s="230" t="s">
        <v>2086</v>
      </c>
      <c r="I876" s="230" t="s">
        <v>2086</v>
      </c>
      <c r="J876" s="230" t="s">
        <v>2086</v>
      </c>
    </row>
    <row r="877" spans="2:10">
      <c r="B877" s="52" t="s">
        <v>165</v>
      </c>
      <c r="C877" s="230" t="s">
        <v>2086</v>
      </c>
      <c r="D877" s="230" t="s">
        <v>2086</v>
      </c>
      <c r="E877" s="230" t="s">
        <v>2086</v>
      </c>
      <c r="F877" s="230" t="s">
        <v>2086</v>
      </c>
      <c r="G877" s="230" t="s">
        <v>2086</v>
      </c>
      <c r="H877" s="230" t="s">
        <v>2086</v>
      </c>
      <c r="I877" s="230" t="s">
        <v>2086</v>
      </c>
      <c r="J877" s="230" t="s">
        <v>2086</v>
      </c>
    </row>
    <row r="878" spans="2:10" ht="15" thickBot="1">
      <c r="B878" s="52" t="s">
        <v>164</v>
      </c>
      <c r="C878" s="230" t="s">
        <v>2086</v>
      </c>
      <c r="D878" s="230" t="s">
        <v>2086</v>
      </c>
      <c r="E878" s="230" t="s">
        <v>2086</v>
      </c>
      <c r="F878" s="230" t="s">
        <v>2086</v>
      </c>
      <c r="G878" s="230" t="s">
        <v>2086</v>
      </c>
      <c r="H878" s="230" t="s">
        <v>2086</v>
      </c>
      <c r="I878" s="230" t="s">
        <v>2086</v>
      </c>
      <c r="J878" s="1454" t="s">
        <v>2086</v>
      </c>
    </row>
    <row r="879" spans="2:10" ht="15" thickTop="1">
      <c r="B879" s="2025" t="s">
        <v>1946</v>
      </c>
      <c r="C879" s="2025"/>
      <c r="D879" s="2025"/>
      <c r="E879" s="2025"/>
      <c r="F879" s="2025"/>
      <c r="G879" s="2025"/>
      <c r="H879" s="2025"/>
      <c r="I879" s="2025"/>
    </row>
    <row r="880" spans="2:10">
      <c r="B880" s="2031" t="s">
        <v>1953</v>
      </c>
      <c r="C880" s="2040"/>
      <c r="D880" s="2040"/>
      <c r="E880" s="2040"/>
      <c r="F880" s="2040"/>
      <c r="G880" s="2040"/>
      <c r="H880" s="2040"/>
      <c r="I880" s="2040"/>
    </row>
    <row r="881" spans="2:11">
      <c r="B881" s="64"/>
      <c r="C881" s="121"/>
      <c r="D881" s="121"/>
      <c r="E881" s="121"/>
      <c r="F881" s="121"/>
      <c r="G881" s="121"/>
      <c r="H881" s="121"/>
      <c r="I881" s="121"/>
    </row>
    <row r="882" spans="2:11">
      <c r="B882" s="2024" t="s">
        <v>161</v>
      </c>
      <c r="C882" s="2024"/>
      <c r="D882" s="2024"/>
      <c r="E882" s="2024"/>
      <c r="F882" s="2024"/>
      <c r="G882" s="2024"/>
      <c r="H882" s="2024"/>
      <c r="I882" s="2024"/>
      <c r="J882" s="2024"/>
      <c r="K882" s="1004"/>
    </row>
    <row r="883" spans="2:11">
      <c r="B883" s="12" t="s">
        <v>160</v>
      </c>
      <c r="C883" s="121"/>
      <c r="D883" s="121"/>
      <c r="E883" s="121"/>
      <c r="F883" s="121"/>
      <c r="G883" s="121"/>
      <c r="H883" s="121"/>
      <c r="I883" s="121"/>
    </row>
    <row r="884" spans="2:11">
      <c r="B884" s="77" t="s">
        <v>269</v>
      </c>
      <c r="C884" s="121"/>
      <c r="D884" s="121"/>
      <c r="E884" s="121"/>
      <c r="F884" s="121"/>
      <c r="G884" s="121"/>
      <c r="H884" s="121"/>
      <c r="I884" s="121"/>
    </row>
    <row r="885" spans="2:11">
      <c r="B885" s="76"/>
      <c r="C885" s="121"/>
      <c r="D885" s="121"/>
      <c r="E885" s="121"/>
      <c r="F885" s="121"/>
      <c r="G885" s="121"/>
      <c r="H885" s="121"/>
      <c r="I885" s="121"/>
    </row>
    <row r="886" spans="2:11">
      <c r="B886" s="61"/>
      <c r="C886" s="60">
        <v>2014</v>
      </c>
      <c r="D886" s="60">
        <v>2015</v>
      </c>
      <c r="E886" s="60">
        <v>2016</v>
      </c>
      <c r="F886" s="60">
        <v>2017</v>
      </c>
      <c r="G886" s="60">
        <v>2018</v>
      </c>
      <c r="H886" s="60">
        <v>2019</v>
      </c>
      <c r="I886" s="60">
        <v>2020</v>
      </c>
      <c r="J886" s="60">
        <v>2021</v>
      </c>
    </row>
    <row r="887" spans="2:11">
      <c r="B887" s="59" t="s">
        <v>1343</v>
      </c>
      <c r="C887" s="121"/>
      <c r="D887" s="121"/>
      <c r="E887" s="121"/>
      <c r="F887" s="121"/>
      <c r="G887" s="121"/>
      <c r="H887" s="121"/>
      <c r="I887" s="121"/>
    </row>
    <row r="888" spans="2:11">
      <c r="B888" s="71" t="s">
        <v>516</v>
      </c>
      <c r="C888" s="232">
        <v>9</v>
      </c>
      <c r="D888" s="336">
        <v>10</v>
      </c>
      <c r="E888" s="336">
        <v>11</v>
      </c>
      <c r="F888" s="336">
        <v>12</v>
      </c>
      <c r="G888" s="336">
        <v>12</v>
      </c>
      <c r="H888" s="336">
        <v>12</v>
      </c>
      <c r="I888" s="336">
        <v>12</v>
      </c>
      <c r="J888" s="336">
        <v>12</v>
      </c>
    </row>
    <row r="889" spans="2:11">
      <c r="B889" s="52" t="s">
        <v>150</v>
      </c>
      <c r="C889" s="234">
        <v>0</v>
      </c>
      <c r="D889" s="234">
        <v>0</v>
      </c>
      <c r="E889" s="234">
        <v>0</v>
      </c>
      <c r="F889" s="234">
        <v>0</v>
      </c>
      <c r="G889" s="234">
        <v>0</v>
      </c>
      <c r="H889" s="234">
        <v>0</v>
      </c>
      <c r="I889" s="234">
        <v>0</v>
      </c>
      <c r="J889" s="234">
        <v>0</v>
      </c>
    </row>
    <row r="890" spans="2:11">
      <c r="B890" s="52" t="s">
        <v>149</v>
      </c>
      <c r="C890" s="234">
        <v>0</v>
      </c>
      <c r="D890" s="234">
        <v>0</v>
      </c>
      <c r="E890" s="234">
        <v>0</v>
      </c>
      <c r="F890" s="234">
        <v>0</v>
      </c>
      <c r="G890" s="234">
        <v>0</v>
      </c>
      <c r="H890" s="234">
        <v>0</v>
      </c>
      <c r="I890" s="234">
        <v>0</v>
      </c>
      <c r="J890" s="234">
        <v>0</v>
      </c>
    </row>
    <row r="891" spans="2:11">
      <c r="B891" s="52" t="s">
        <v>148</v>
      </c>
      <c r="C891" s="234">
        <v>0</v>
      </c>
      <c r="D891" s="234">
        <v>0</v>
      </c>
      <c r="E891" s="234">
        <v>0</v>
      </c>
      <c r="F891" s="234">
        <v>0</v>
      </c>
      <c r="G891" s="234">
        <v>0</v>
      </c>
      <c r="H891" s="234">
        <v>0</v>
      </c>
      <c r="I891" s="234">
        <v>0</v>
      </c>
      <c r="J891" s="234">
        <v>0</v>
      </c>
    </row>
    <row r="892" spans="2:11">
      <c r="B892" s="52" t="s">
        <v>147</v>
      </c>
      <c r="C892" s="234">
        <v>0</v>
      </c>
      <c r="D892" s="234">
        <v>0</v>
      </c>
      <c r="E892" s="234">
        <v>0</v>
      </c>
      <c r="F892" s="234">
        <v>0</v>
      </c>
      <c r="G892" s="234">
        <v>0</v>
      </c>
      <c r="H892" s="234">
        <v>0</v>
      </c>
      <c r="I892" s="234">
        <v>0</v>
      </c>
      <c r="J892" s="234">
        <v>0</v>
      </c>
    </row>
    <row r="893" spans="2:11">
      <c r="B893" s="52" t="s">
        <v>146</v>
      </c>
      <c r="C893" s="152">
        <v>9</v>
      </c>
      <c r="D893" s="234">
        <v>10</v>
      </c>
      <c r="E893" s="234">
        <v>11</v>
      </c>
      <c r="F893" s="234">
        <v>12</v>
      </c>
      <c r="G893" s="234">
        <v>12</v>
      </c>
      <c r="H893" s="234">
        <v>12</v>
      </c>
      <c r="I893" s="234">
        <v>12</v>
      </c>
      <c r="J893" s="234">
        <v>12</v>
      </c>
    </row>
    <row r="894" spans="2:11">
      <c r="B894" s="52"/>
      <c r="C894" s="152"/>
      <c r="D894" s="234"/>
      <c r="E894" s="234"/>
      <c r="F894" s="234"/>
      <c r="G894" s="234"/>
      <c r="H894" s="234"/>
      <c r="I894" s="234"/>
      <c r="J894" s="1449"/>
    </row>
    <row r="895" spans="2:11">
      <c r="B895" s="71" t="s">
        <v>152</v>
      </c>
      <c r="C895" s="152">
        <v>9</v>
      </c>
      <c r="D895" s="234">
        <v>10</v>
      </c>
      <c r="E895" s="234">
        <v>11</v>
      </c>
      <c r="F895" s="234">
        <v>12</v>
      </c>
      <c r="G895" s="234">
        <v>12</v>
      </c>
      <c r="H895" s="234">
        <v>12</v>
      </c>
      <c r="I895" s="234">
        <v>12</v>
      </c>
      <c r="J895" s="234">
        <v>12</v>
      </c>
    </row>
    <row r="896" spans="2:11">
      <c r="B896" s="52" t="s">
        <v>150</v>
      </c>
      <c r="C896" s="234">
        <v>0</v>
      </c>
      <c r="D896" s="234">
        <v>0</v>
      </c>
      <c r="E896" s="234">
        <v>0</v>
      </c>
      <c r="F896" s="234">
        <v>0</v>
      </c>
      <c r="G896" s="234">
        <v>0</v>
      </c>
      <c r="H896" s="234">
        <v>0</v>
      </c>
      <c r="I896" s="234">
        <v>0</v>
      </c>
      <c r="J896" s="234">
        <v>0</v>
      </c>
    </row>
    <row r="897" spans="2:10">
      <c r="B897" s="52" t="s">
        <v>149</v>
      </c>
      <c r="C897" s="234">
        <v>0</v>
      </c>
      <c r="D897" s="234">
        <v>0</v>
      </c>
      <c r="E897" s="234">
        <v>0</v>
      </c>
      <c r="F897" s="234">
        <v>0</v>
      </c>
      <c r="G897" s="234">
        <v>0</v>
      </c>
      <c r="H897" s="234">
        <v>0</v>
      </c>
      <c r="I897" s="234">
        <v>0</v>
      </c>
      <c r="J897" s="234">
        <v>0</v>
      </c>
    </row>
    <row r="898" spans="2:10">
      <c r="B898" s="52" t="s">
        <v>148</v>
      </c>
      <c r="C898" s="234">
        <v>0</v>
      </c>
      <c r="D898" s="234">
        <v>0</v>
      </c>
      <c r="E898" s="234">
        <v>0</v>
      </c>
      <c r="F898" s="234">
        <v>0</v>
      </c>
      <c r="G898" s="234">
        <v>0</v>
      </c>
      <c r="H898" s="234">
        <v>0</v>
      </c>
      <c r="I898" s="234">
        <v>0</v>
      </c>
      <c r="J898" s="234">
        <v>0</v>
      </c>
    </row>
    <row r="899" spans="2:10">
      <c r="B899" s="52" t="s">
        <v>147</v>
      </c>
      <c r="C899" s="234">
        <v>0</v>
      </c>
      <c r="D899" s="234">
        <v>0</v>
      </c>
      <c r="E899" s="234">
        <v>0</v>
      </c>
      <c r="F899" s="234">
        <v>0</v>
      </c>
      <c r="G899" s="234">
        <v>0</v>
      </c>
      <c r="H899" s="234">
        <v>0</v>
      </c>
      <c r="I899" s="234">
        <v>0</v>
      </c>
      <c r="J899" s="234">
        <v>0</v>
      </c>
    </row>
    <row r="900" spans="2:10">
      <c r="B900" s="52" t="s">
        <v>146</v>
      </c>
      <c r="C900" s="152">
        <v>9</v>
      </c>
      <c r="D900" s="234">
        <v>10</v>
      </c>
      <c r="E900" s="234">
        <v>11</v>
      </c>
      <c r="F900" s="234">
        <v>12</v>
      </c>
      <c r="G900" s="234">
        <v>12</v>
      </c>
      <c r="H900" s="234">
        <v>12</v>
      </c>
      <c r="I900" s="234">
        <v>12</v>
      </c>
      <c r="J900" s="234">
        <v>12</v>
      </c>
    </row>
    <row r="901" spans="2:10">
      <c r="B901" s="52"/>
      <c r="C901" s="52"/>
      <c r="D901" s="234"/>
      <c r="E901" s="234"/>
      <c r="F901" s="234"/>
      <c r="G901" s="234"/>
      <c r="H901" s="234"/>
      <c r="I901" s="234"/>
      <c r="J901" s="1449"/>
    </row>
    <row r="902" spans="2:10">
      <c r="B902" s="71" t="s">
        <v>151</v>
      </c>
      <c r="C902" s="234">
        <v>0</v>
      </c>
      <c r="D902" s="234">
        <v>0</v>
      </c>
      <c r="E902" s="234">
        <v>0</v>
      </c>
      <c r="F902" s="234">
        <v>0</v>
      </c>
      <c r="G902" s="234">
        <v>0</v>
      </c>
      <c r="H902" s="234">
        <v>0</v>
      </c>
      <c r="I902" s="234">
        <v>0</v>
      </c>
      <c r="J902" s="234">
        <v>0</v>
      </c>
    </row>
    <row r="903" spans="2:10">
      <c r="B903" s="52" t="s">
        <v>150</v>
      </c>
      <c r="C903" s="234">
        <v>0</v>
      </c>
      <c r="D903" s="234">
        <v>0</v>
      </c>
      <c r="E903" s="234">
        <v>0</v>
      </c>
      <c r="F903" s="234">
        <v>0</v>
      </c>
      <c r="G903" s="234">
        <v>0</v>
      </c>
      <c r="H903" s="234">
        <v>0</v>
      </c>
      <c r="I903" s="234">
        <v>0</v>
      </c>
      <c r="J903" s="234">
        <v>0</v>
      </c>
    </row>
    <row r="904" spans="2:10">
      <c r="B904" s="52" t="s">
        <v>149</v>
      </c>
      <c r="C904" s="234">
        <v>0</v>
      </c>
      <c r="D904" s="234">
        <v>0</v>
      </c>
      <c r="E904" s="234">
        <v>0</v>
      </c>
      <c r="F904" s="234">
        <v>0</v>
      </c>
      <c r="G904" s="234">
        <v>0</v>
      </c>
      <c r="H904" s="234">
        <v>0</v>
      </c>
      <c r="I904" s="234">
        <v>0</v>
      </c>
      <c r="J904" s="234">
        <v>0</v>
      </c>
    </row>
    <row r="905" spans="2:10">
      <c r="B905" s="52" t="s">
        <v>148</v>
      </c>
      <c r="C905" s="234">
        <v>0</v>
      </c>
      <c r="D905" s="234">
        <v>0</v>
      </c>
      <c r="E905" s="234">
        <v>0</v>
      </c>
      <c r="F905" s="234">
        <v>0</v>
      </c>
      <c r="G905" s="234">
        <v>0</v>
      </c>
      <c r="H905" s="234">
        <v>0</v>
      </c>
      <c r="I905" s="234">
        <v>0</v>
      </c>
      <c r="J905" s="234">
        <v>0</v>
      </c>
    </row>
    <row r="906" spans="2:10">
      <c r="B906" s="52" t="s">
        <v>147</v>
      </c>
      <c r="C906" s="234">
        <v>0</v>
      </c>
      <c r="D906" s="234">
        <v>0</v>
      </c>
      <c r="E906" s="234">
        <v>0</v>
      </c>
      <c r="F906" s="234">
        <v>0</v>
      </c>
      <c r="G906" s="234">
        <v>0</v>
      </c>
      <c r="H906" s="234">
        <v>0</v>
      </c>
      <c r="I906" s="234">
        <v>0</v>
      </c>
      <c r="J906" s="234">
        <v>0</v>
      </c>
    </row>
    <row r="907" spans="2:10" ht="15" thickBot="1">
      <c r="B907" s="52" t="s">
        <v>146</v>
      </c>
      <c r="C907" s="234">
        <v>0</v>
      </c>
      <c r="D907" s="234">
        <v>0</v>
      </c>
      <c r="E907" s="234">
        <v>0</v>
      </c>
      <c r="F907" s="234">
        <v>0</v>
      </c>
      <c r="G907" s="234">
        <v>0</v>
      </c>
      <c r="H907" s="234">
        <v>0</v>
      </c>
      <c r="I907" s="234">
        <v>0</v>
      </c>
      <c r="J907" s="482">
        <v>0</v>
      </c>
    </row>
    <row r="908" spans="2:10" ht="15" thickTop="1">
      <c r="B908" s="2025" t="s">
        <v>1946</v>
      </c>
      <c r="C908" s="2025"/>
      <c r="D908" s="2025"/>
      <c r="E908" s="2025"/>
      <c r="F908" s="2025"/>
      <c r="G908" s="2025"/>
      <c r="H908" s="2025"/>
      <c r="I908" s="2025"/>
    </row>
    <row r="909" spans="2:10">
      <c r="B909" s="62"/>
      <c r="C909" s="121"/>
      <c r="D909" s="121"/>
      <c r="E909" s="121"/>
      <c r="F909" s="121"/>
      <c r="G909" s="121"/>
      <c r="H909" s="121"/>
      <c r="I909" s="121"/>
    </row>
    <row r="910" spans="2:10">
      <c r="B910" s="2024" t="s">
        <v>144</v>
      </c>
      <c r="C910" s="2024"/>
      <c r="D910" s="2024"/>
      <c r="E910" s="2024"/>
      <c r="F910" s="2024"/>
      <c r="G910" s="2024"/>
      <c r="H910" s="2024"/>
      <c r="I910" s="2024"/>
      <c r="J910" s="2024"/>
    </row>
    <row r="911" spans="2:10">
      <c r="B911" s="12" t="s">
        <v>143</v>
      </c>
      <c r="C911" s="121"/>
      <c r="D911" s="121"/>
      <c r="E911" s="121"/>
      <c r="F911" s="121"/>
      <c r="G911" s="121"/>
      <c r="H911" s="121"/>
      <c r="I911" s="121"/>
    </row>
    <row r="912" spans="2:10">
      <c r="B912" s="62" t="s">
        <v>142</v>
      </c>
      <c r="C912" s="121"/>
      <c r="D912" s="121"/>
      <c r="E912" s="121"/>
      <c r="F912" s="121"/>
      <c r="G912" s="121"/>
      <c r="H912" s="121"/>
      <c r="I912" s="121"/>
    </row>
    <row r="913" spans="2:10">
      <c r="B913" s="62"/>
      <c r="C913" s="121"/>
      <c r="D913" s="121"/>
      <c r="E913" s="121"/>
      <c r="F913" s="121"/>
      <c r="G913" s="121"/>
      <c r="H913" s="121"/>
      <c r="I913" s="121"/>
    </row>
    <row r="914" spans="2:10">
      <c r="B914" s="61"/>
      <c r="C914" s="60">
        <v>2014</v>
      </c>
      <c r="D914" s="60">
        <v>2015</v>
      </c>
      <c r="E914" s="60">
        <v>2016</v>
      </c>
      <c r="F914" s="60">
        <v>2017</v>
      </c>
      <c r="G914" s="60">
        <v>2018</v>
      </c>
      <c r="H914" s="60">
        <v>2019</v>
      </c>
      <c r="I914" s="60">
        <v>2020</v>
      </c>
      <c r="J914" s="60">
        <v>2021</v>
      </c>
    </row>
    <row r="915" spans="2:10">
      <c r="B915" s="59" t="s">
        <v>1343</v>
      </c>
      <c r="C915" s="121"/>
      <c r="D915" s="121"/>
      <c r="E915" s="121"/>
      <c r="F915" s="121"/>
      <c r="G915" s="121"/>
      <c r="H915" s="121"/>
      <c r="I915" s="121"/>
    </row>
    <row r="916" spans="2:10">
      <c r="B916" s="71" t="s">
        <v>141</v>
      </c>
      <c r="C916" s="235">
        <v>50.662999999999997</v>
      </c>
      <c r="D916" s="235">
        <v>46.230999999999995</v>
      </c>
      <c r="E916" s="235">
        <v>42.033000000000001</v>
      </c>
      <c r="F916" s="235">
        <v>48.522000000000006</v>
      </c>
      <c r="G916" s="235">
        <v>61.204999999999998</v>
      </c>
      <c r="H916" s="235">
        <v>48.278999999999996</v>
      </c>
      <c r="I916" s="235">
        <v>48.136000000000003</v>
      </c>
      <c r="J916">
        <v>51.195999999999998</v>
      </c>
    </row>
    <row r="917" spans="2:10">
      <c r="B917" s="52" t="s">
        <v>121</v>
      </c>
      <c r="C917" s="235">
        <v>14.445999999999998</v>
      </c>
      <c r="D917" s="235">
        <v>10.978999999999999</v>
      </c>
      <c r="E917" s="235">
        <v>9.5909999999999993</v>
      </c>
      <c r="F917" s="235">
        <v>9.8559999999999999</v>
      </c>
      <c r="G917" s="235">
        <v>8.2170000000000005</v>
      </c>
      <c r="H917" s="235">
        <v>7.7750000000000004</v>
      </c>
      <c r="I917" s="235">
        <v>7.5979999999999999</v>
      </c>
      <c r="J917">
        <v>7.8969999999999994</v>
      </c>
    </row>
    <row r="918" spans="2:10">
      <c r="B918" s="53" t="s">
        <v>504</v>
      </c>
      <c r="C918" s="235">
        <v>4.2489999999999997</v>
      </c>
      <c r="D918" s="235">
        <v>2.0270000000000001</v>
      </c>
      <c r="E918" s="235">
        <v>0.76</v>
      </c>
      <c r="F918" s="235">
        <v>0.68799999999999994</v>
      </c>
      <c r="G918" s="235">
        <v>0.39300000000000002</v>
      </c>
      <c r="H918" s="235">
        <v>0.186</v>
      </c>
      <c r="I918" s="235">
        <v>0.32300000000000001</v>
      </c>
      <c r="J918">
        <v>0.28899999999999998</v>
      </c>
    </row>
    <row r="919" spans="2:10">
      <c r="B919" s="53" t="s">
        <v>505</v>
      </c>
      <c r="C919" s="235">
        <v>10.196999999999999</v>
      </c>
      <c r="D919" s="235">
        <v>8.952</v>
      </c>
      <c r="E919" s="235">
        <v>8.8309999999999995</v>
      </c>
      <c r="F919" s="235">
        <v>9.1679999999999993</v>
      </c>
      <c r="G919" s="235">
        <v>7.8239999999999998</v>
      </c>
      <c r="H919" s="235">
        <v>7.5890000000000004</v>
      </c>
      <c r="I919" s="235">
        <v>7.2750000000000004</v>
      </c>
      <c r="J919">
        <v>7.6079999999999997</v>
      </c>
    </row>
    <row r="920" spans="2:10">
      <c r="B920" s="52" t="s">
        <v>118</v>
      </c>
      <c r="C920" s="235">
        <v>2.8000000000000001E-2</v>
      </c>
      <c r="D920" s="235">
        <v>2.5000000000000001E-2</v>
      </c>
      <c r="E920" s="235">
        <v>3.5999999999999997E-2</v>
      </c>
      <c r="F920" s="235">
        <v>2.4E-2</v>
      </c>
      <c r="G920" s="235">
        <v>2E-3</v>
      </c>
      <c r="H920" s="235">
        <v>0.02</v>
      </c>
      <c r="I920" s="235">
        <v>2.8000000000000001E-2</v>
      </c>
      <c r="J920">
        <v>1.2999999999999999E-2</v>
      </c>
    </row>
    <row r="921" spans="2:10" ht="15" thickBot="1">
      <c r="B921" s="52" t="s">
        <v>506</v>
      </c>
      <c r="C921" s="235">
        <v>36.189</v>
      </c>
      <c r="D921" s="235">
        <v>35.226999999999997</v>
      </c>
      <c r="E921" s="235">
        <v>32.405999999999999</v>
      </c>
      <c r="F921" s="235">
        <v>38.642000000000003</v>
      </c>
      <c r="G921" s="235">
        <v>52.985999999999997</v>
      </c>
      <c r="H921" s="235">
        <v>40.483999999999995</v>
      </c>
      <c r="I921" s="235">
        <v>40.51</v>
      </c>
      <c r="J921" s="1407">
        <v>43.286000000000001</v>
      </c>
    </row>
    <row r="922" spans="2:10" ht="15" thickTop="1">
      <c r="B922" s="2025" t="s">
        <v>1946</v>
      </c>
      <c r="C922" s="2025"/>
      <c r="D922" s="2025"/>
      <c r="E922" s="2025"/>
      <c r="F922" s="2025"/>
      <c r="G922" s="2025"/>
      <c r="H922" s="2025"/>
      <c r="I922" s="2025"/>
    </row>
    <row r="923" spans="2:10">
      <c r="B923" s="2017" t="s">
        <v>520</v>
      </c>
      <c r="C923" s="2017"/>
      <c r="D923" s="2017"/>
      <c r="E923" s="2017"/>
      <c r="F923" s="2017"/>
      <c r="G923" s="2017"/>
      <c r="H923" s="2017"/>
      <c r="I923" s="2017"/>
    </row>
    <row r="924" spans="2:10">
      <c r="B924" s="64"/>
      <c r="C924" s="121"/>
      <c r="D924" s="121"/>
      <c r="E924" s="121"/>
      <c r="F924" s="121"/>
      <c r="G924" s="121"/>
      <c r="H924" s="121"/>
      <c r="I924" s="121"/>
    </row>
    <row r="925" spans="2:10">
      <c r="B925" s="2024" t="s">
        <v>140</v>
      </c>
      <c r="C925" s="2024"/>
      <c r="D925" s="2024"/>
      <c r="E925" s="2024"/>
      <c r="F925" s="2024"/>
      <c r="G925" s="2024"/>
      <c r="H925" s="2024"/>
      <c r="I925" s="2024"/>
      <c r="J925" s="2024"/>
    </row>
    <row r="926" spans="2:10">
      <c r="B926" s="12" t="s">
        <v>139</v>
      </c>
      <c r="C926" s="121"/>
      <c r="D926" s="121"/>
      <c r="E926" s="121"/>
      <c r="F926" s="121"/>
      <c r="G926" s="121"/>
      <c r="H926" s="121"/>
      <c r="I926" s="121"/>
    </row>
    <row r="927" spans="2:10">
      <c r="B927" s="62" t="s">
        <v>138</v>
      </c>
      <c r="C927" s="121"/>
      <c r="D927" s="121"/>
      <c r="E927" s="121"/>
      <c r="F927" s="121"/>
      <c r="G927" s="121"/>
      <c r="H927" s="121"/>
      <c r="I927" s="121"/>
    </row>
    <row r="928" spans="2:10">
      <c r="B928" s="64"/>
      <c r="C928" s="121"/>
      <c r="D928" s="121"/>
      <c r="E928" s="121"/>
      <c r="F928" s="121"/>
      <c r="G928" s="121"/>
      <c r="H928" s="121"/>
      <c r="I928" s="121"/>
    </row>
    <row r="929" spans="2:10">
      <c r="B929" s="61"/>
      <c r="C929" s="60">
        <v>2014</v>
      </c>
      <c r="D929" s="60">
        <v>2015</v>
      </c>
      <c r="E929" s="60">
        <v>2016</v>
      </c>
      <c r="F929" s="60">
        <v>2017</v>
      </c>
      <c r="G929" s="60">
        <v>2018</v>
      </c>
      <c r="H929" s="60">
        <v>2019</v>
      </c>
      <c r="I929" s="60">
        <v>2020</v>
      </c>
      <c r="J929" s="60">
        <v>2021</v>
      </c>
    </row>
    <row r="930" spans="2:10">
      <c r="B930" s="59" t="s">
        <v>1343</v>
      </c>
      <c r="C930" s="121"/>
      <c r="D930" s="121"/>
      <c r="E930" s="121"/>
      <c r="F930" s="121"/>
      <c r="G930" s="121"/>
      <c r="H930" s="121"/>
      <c r="I930" s="121"/>
    </row>
    <row r="931" spans="2:10">
      <c r="B931" s="71" t="s">
        <v>137</v>
      </c>
      <c r="C931" s="55">
        <v>14245.420546608453</v>
      </c>
      <c r="D931" s="55">
        <v>16315.841040715934</v>
      </c>
      <c r="E931" s="55">
        <v>17731.302078348843</v>
      </c>
      <c r="F931" s="55">
        <v>19432.457422646534</v>
      </c>
      <c r="G931" s="55">
        <v>26151.129010328499</v>
      </c>
      <c r="H931" s="55">
        <v>18341.553184939574</v>
      </c>
      <c r="I931" s="55">
        <v>20347.53779869157</v>
      </c>
      <c r="J931">
        <v>18150.220576427961</v>
      </c>
    </row>
    <row r="932" spans="2:10">
      <c r="B932" s="52" t="s">
        <v>121</v>
      </c>
      <c r="C932" s="55">
        <v>7056.565837972973</v>
      </c>
      <c r="D932" s="55">
        <v>5919.0797454375661</v>
      </c>
      <c r="E932" s="55">
        <v>4960.0636715415794</v>
      </c>
      <c r="F932" s="55">
        <v>2683.6270908613938</v>
      </c>
      <c r="G932" s="55">
        <v>3288.3148358685435</v>
      </c>
      <c r="H932" s="55">
        <v>2266.1411985452969</v>
      </c>
      <c r="I932" s="55">
        <v>2966.6966978839941</v>
      </c>
      <c r="J932">
        <v>2591.2021154759764</v>
      </c>
    </row>
    <row r="933" spans="2:10">
      <c r="B933" s="53" t="s">
        <v>504</v>
      </c>
      <c r="C933" s="55">
        <v>4013.9049867641979</v>
      </c>
      <c r="D933" s="55">
        <v>3016.7594246247522</v>
      </c>
      <c r="E933" s="55">
        <v>950.5335709773467</v>
      </c>
      <c r="F933" s="55">
        <v>833.65205698463558</v>
      </c>
      <c r="G933" s="55">
        <v>910.81653529583082</v>
      </c>
      <c r="H933" s="55">
        <v>52.298199014577264</v>
      </c>
      <c r="I933" s="55">
        <v>118.83477369935862</v>
      </c>
      <c r="J933">
        <v>119.01802417425658</v>
      </c>
    </row>
    <row r="934" spans="2:10">
      <c r="B934" s="53" t="s">
        <v>505</v>
      </c>
      <c r="C934" s="55">
        <v>3042.6608512087751</v>
      </c>
      <c r="D934" s="55">
        <v>2902.3203208128139</v>
      </c>
      <c r="E934" s="55">
        <v>4009.5301005642332</v>
      </c>
      <c r="F934" s="55">
        <v>1849.9750338767583</v>
      </c>
      <c r="G934" s="55">
        <v>2377.4983005727122</v>
      </c>
      <c r="H934" s="55">
        <v>2213.8429995307197</v>
      </c>
      <c r="I934" s="55">
        <v>2847.8619241846359</v>
      </c>
      <c r="J934">
        <v>2472.1840913017199</v>
      </c>
    </row>
    <row r="935" spans="2:10">
      <c r="B935" s="52" t="s">
        <v>118</v>
      </c>
      <c r="C935" s="55">
        <v>0.48555692419825069</v>
      </c>
      <c r="D935" s="55">
        <v>1.6152270612244899</v>
      </c>
      <c r="E935" s="55">
        <v>1.1876703090379008</v>
      </c>
      <c r="F935" s="55">
        <v>1.1918549781341108</v>
      </c>
      <c r="G935" s="55">
        <v>0.45321451749271136</v>
      </c>
      <c r="H935" s="55">
        <v>0.31065501603498541</v>
      </c>
      <c r="I935" s="55">
        <v>0.26322985568513119</v>
      </c>
      <c r="J935">
        <v>9.3181435860058315</v>
      </c>
    </row>
    <row r="936" spans="2:10" ht="15" thickBot="1">
      <c r="B936" s="52" t="s">
        <v>506</v>
      </c>
      <c r="C936" s="55">
        <v>7188.3691517112829</v>
      </c>
      <c r="D936" s="55">
        <v>10395.146068217142</v>
      </c>
      <c r="E936" s="55">
        <v>12770.05073649823</v>
      </c>
      <c r="F936" s="55">
        <v>16747.638476807006</v>
      </c>
      <c r="G936" s="55">
        <v>22862.360959942464</v>
      </c>
      <c r="H936" s="55">
        <v>16075.101331378242</v>
      </c>
      <c r="I936" s="55">
        <v>17380.577870951893</v>
      </c>
      <c r="J936" s="1407">
        <v>15549.700317365978</v>
      </c>
    </row>
    <row r="937" spans="2:10" ht="15.5" thickTop="1" thickBot="1">
      <c r="B937" s="2025" t="s">
        <v>1946</v>
      </c>
      <c r="C937" s="2025"/>
      <c r="D937" s="2025"/>
      <c r="E937" s="2025"/>
      <c r="F937" s="2025"/>
      <c r="G937" s="2025"/>
      <c r="H937" s="2025"/>
      <c r="I937" s="2025"/>
      <c r="J937" s="1455"/>
    </row>
    <row r="938" spans="2:10" ht="15" thickTop="1">
      <c r="B938" s="2039" t="s">
        <v>520</v>
      </c>
      <c r="C938" s="2025"/>
      <c r="D938" s="2025"/>
      <c r="E938" s="2025"/>
      <c r="F938" s="2025"/>
      <c r="G938" s="2025"/>
      <c r="H938" s="2025"/>
      <c r="I938" s="2025"/>
    </row>
    <row r="939" spans="2:10">
      <c r="B939" s="64"/>
      <c r="C939" s="121"/>
      <c r="D939" s="121"/>
      <c r="E939" s="121"/>
      <c r="F939" s="121"/>
      <c r="G939" s="121"/>
      <c r="H939" s="121"/>
      <c r="I939" s="121"/>
    </row>
    <row r="940" spans="2:10">
      <c r="B940" s="2024" t="s">
        <v>133</v>
      </c>
      <c r="C940" s="2024"/>
      <c r="D940" s="2024"/>
      <c r="E940" s="2024"/>
      <c r="F940" s="2024"/>
      <c r="G940" s="2024"/>
      <c r="H940" s="2024"/>
      <c r="I940" s="2024"/>
      <c r="J940" s="2024"/>
    </row>
    <row r="941" spans="2:10">
      <c r="B941" s="12" t="s">
        <v>132</v>
      </c>
      <c r="C941" s="121"/>
      <c r="D941" s="121"/>
      <c r="E941" s="121"/>
      <c r="F941" s="121"/>
      <c r="G941" s="121"/>
      <c r="H941" s="121"/>
      <c r="I941" s="121"/>
    </row>
    <row r="942" spans="2:10">
      <c r="B942" s="62" t="s">
        <v>131</v>
      </c>
      <c r="C942" s="121"/>
      <c r="D942" s="121"/>
      <c r="E942" s="121"/>
      <c r="F942" s="121"/>
      <c r="G942" s="121"/>
      <c r="H942" s="121"/>
      <c r="I942" s="121"/>
    </row>
    <row r="943" spans="2:10">
      <c r="B943" s="62"/>
      <c r="C943" s="121"/>
      <c r="D943" s="121"/>
      <c r="E943" s="121"/>
      <c r="F943" s="121"/>
      <c r="G943" s="121"/>
      <c r="H943" s="121"/>
      <c r="I943" s="121"/>
    </row>
    <row r="944" spans="2:10">
      <c r="B944" s="61"/>
      <c r="C944" s="60">
        <v>2014</v>
      </c>
      <c r="D944" s="60">
        <v>2015</v>
      </c>
      <c r="E944" s="60">
        <v>2016</v>
      </c>
      <c r="F944" s="60">
        <v>2017</v>
      </c>
      <c r="G944" s="60">
        <v>2018</v>
      </c>
      <c r="H944" s="60">
        <v>2019</v>
      </c>
      <c r="I944" s="60">
        <v>2020</v>
      </c>
      <c r="J944" s="60">
        <v>2021</v>
      </c>
    </row>
    <row r="945" spans="2:10">
      <c r="B945" s="71" t="s">
        <v>130</v>
      </c>
      <c r="C945" s="235">
        <v>0</v>
      </c>
      <c r="D945" s="235">
        <v>0</v>
      </c>
      <c r="E945" s="235">
        <v>0</v>
      </c>
      <c r="F945" s="235">
        <v>0</v>
      </c>
      <c r="G945" s="235">
        <v>0</v>
      </c>
      <c r="H945" s="235">
        <v>0</v>
      </c>
      <c r="I945" s="235">
        <v>0</v>
      </c>
      <c r="J945" s="235">
        <v>0</v>
      </c>
    </row>
    <row r="946" spans="2:10">
      <c r="B946" s="71"/>
      <c r="C946" s="121"/>
      <c r="D946" s="121"/>
      <c r="E946" s="121"/>
      <c r="F946" s="121"/>
      <c r="G946" s="121"/>
      <c r="H946" s="121"/>
      <c r="I946" s="121"/>
      <c r="J946" s="121"/>
    </row>
    <row r="947" spans="2:10">
      <c r="B947" s="59" t="s">
        <v>503</v>
      </c>
      <c r="C947" s="3"/>
      <c r="D947" s="3"/>
      <c r="E947" s="3"/>
      <c r="F947" s="3"/>
      <c r="G947" s="3"/>
      <c r="H947" s="3"/>
      <c r="I947" s="3"/>
      <c r="J947" s="3"/>
    </row>
    <row r="948" spans="2:10">
      <c r="B948" s="54" t="s">
        <v>123</v>
      </c>
      <c r="C948" s="235" t="s">
        <v>2086</v>
      </c>
      <c r="D948" s="235" t="s">
        <v>2086</v>
      </c>
      <c r="E948" s="235" t="s">
        <v>2086</v>
      </c>
      <c r="F948" s="235" t="s">
        <v>2086</v>
      </c>
      <c r="G948" s="235" t="s">
        <v>2086</v>
      </c>
      <c r="H948" s="235" t="s">
        <v>2086</v>
      </c>
      <c r="I948" s="235" t="s">
        <v>2086</v>
      </c>
      <c r="J948" s="235" t="s">
        <v>2086</v>
      </c>
    </row>
    <row r="949" spans="2:10">
      <c r="B949" s="52" t="s">
        <v>121</v>
      </c>
      <c r="C949" s="235" t="s">
        <v>2086</v>
      </c>
      <c r="D949" s="235" t="s">
        <v>2086</v>
      </c>
      <c r="E949" s="235" t="s">
        <v>2086</v>
      </c>
      <c r="F949" s="235" t="s">
        <v>2086</v>
      </c>
      <c r="G949" s="235" t="s">
        <v>2086</v>
      </c>
      <c r="H949" s="235" t="s">
        <v>2086</v>
      </c>
      <c r="I949" s="235" t="s">
        <v>2086</v>
      </c>
      <c r="J949" s="235" t="s">
        <v>2086</v>
      </c>
    </row>
    <row r="950" spans="2:10">
      <c r="B950" s="53" t="s">
        <v>120</v>
      </c>
      <c r="C950" s="235" t="s">
        <v>2086</v>
      </c>
      <c r="D950" s="235" t="s">
        <v>2086</v>
      </c>
      <c r="E950" s="235" t="s">
        <v>2086</v>
      </c>
      <c r="F950" s="235" t="s">
        <v>2086</v>
      </c>
      <c r="G950" s="235" t="s">
        <v>2086</v>
      </c>
      <c r="H950" s="235" t="s">
        <v>2086</v>
      </c>
      <c r="I950" s="235" t="s">
        <v>2086</v>
      </c>
      <c r="J950" s="235" t="s">
        <v>2086</v>
      </c>
    </row>
    <row r="951" spans="2:10">
      <c r="B951" s="53" t="s">
        <v>119</v>
      </c>
      <c r="C951" s="235" t="s">
        <v>2086</v>
      </c>
      <c r="D951" s="235" t="s">
        <v>2086</v>
      </c>
      <c r="E951" s="235" t="s">
        <v>2086</v>
      </c>
      <c r="F951" s="235" t="s">
        <v>2086</v>
      </c>
      <c r="G951" s="235" t="s">
        <v>2086</v>
      </c>
      <c r="H951" s="235" t="s">
        <v>2086</v>
      </c>
      <c r="I951" s="235" t="s">
        <v>2086</v>
      </c>
      <c r="J951" s="235" t="s">
        <v>2086</v>
      </c>
    </row>
    <row r="952" spans="2:10">
      <c r="B952" s="52" t="s">
        <v>118</v>
      </c>
      <c r="C952" s="235" t="s">
        <v>2086</v>
      </c>
      <c r="D952" s="235" t="s">
        <v>2086</v>
      </c>
      <c r="E952" s="235" t="s">
        <v>2086</v>
      </c>
      <c r="F952" s="235" t="s">
        <v>2086</v>
      </c>
      <c r="G952" s="235" t="s">
        <v>2086</v>
      </c>
      <c r="H952" s="235" t="s">
        <v>2086</v>
      </c>
      <c r="I952" s="235" t="s">
        <v>2086</v>
      </c>
      <c r="J952" s="235" t="s">
        <v>2086</v>
      </c>
    </row>
    <row r="953" spans="2:10">
      <c r="B953" s="52" t="s">
        <v>117</v>
      </c>
      <c r="C953" s="235" t="s">
        <v>2086</v>
      </c>
      <c r="D953" s="235" t="s">
        <v>2086</v>
      </c>
      <c r="E953" s="235" t="s">
        <v>2086</v>
      </c>
      <c r="F953" s="235" t="s">
        <v>2086</v>
      </c>
      <c r="G953" s="235" t="s">
        <v>2086</v>
      </c>
      <c r="H953" s="235" t="s">
        <v>2086</v>
      </c>
      <c r="I953" s="235" t="s">
        <v>2086</v>
      </c>
      <c r="J953" s="235" t="s">
        <v>2086</v>
      </c>
    </row>
    <row r="954" spans="2:10">
      <c r="B954" s="52"/>
      <c r="C954" s="121"/>
      <c r="D954" s="121"/>
      <c r="E954" s="121"/>
      <c r="F954" s="121"/>
      <c r="G954" s="121"/>
      <c r="H954" s="121"/>
      <c r="I954" s="121"/>
      <c r="J954" s="121"/>
    </row>
    <row r="955" spans="2:10">
      <c r="B955" s="54" t="s">
        <v>122</v>
      </c>
      <c r="C955" s="235" t="s">
        <v>2086</v>
      </c>
      <c r="D955" s="235" t="s">
        <v>2086</v>
      </c>
      <c r="E955" s="235" t="s">
        <v>2086</v>
      </c>
      <c r="F955" s="235" t="s">
        <v>2086</v>
      </c>
      <c r="G955" s="235" t="s">
        <v>2086</v>
      </c>
      <c r="H955" s="235" t="s">
        <v>2086</v>
      </c>
      <c r="I955" s="235" t="s">
        <v>2086</v>
      </c>
      <c r="J955" s="235" t="s">
        <v>2086</v>
      </c>
    </row>
    <row r="956" spans="2:10">
      <c r="B956" s="52" t="s">
        <v>121</v>
      </c>
      <c r="C956" s="235" t="s">
        <v>2086</v>
      </c>
      <c r="D956" s="235" t="s">
        <v>2086</v>
      </c>
      <c r="E956" s="235" t="s">
        <v>2086</v>
      </c>
      <c r="F956" s="235" t="s">
        <v>2086</v>
      </c>
      <c r="G956" s="235" t="s">
        <v>2086</v>
      </c>
      <c r="H956" s="235" t="s">
        <v>2086</v>
      </c>
      <c r="I956" s="235" t="s">
        <v>2086</v>
      </c>
      <c r="J956" s="235" t="s">
        <v>2086</v>
      </c>
    </row>
    <row r="957" spans="2:10">
      <c r="B957" s="53" t="s">
        <v>120</v>
      </c>
      <c r="C957" s="235" t="s">
        <v>2086</v>
      </c>
      <c r="D957" s="235" t="s">
        <v>2086</v>
      </c>
      <c r="E957" s="235" t="s">
        <v>2086</v>
      </c>
      <c r="F957" s="235" t="s">
        <v>2086</v>
      </c>
      <c r="G957" s="235" t="s">
        <v>2086</v>
      </c>
      <c r="H957" s="235" t="s">
        <v>2086</v>
      </c>
      <c r="I957" s="235" t="s">
        <v>2086</v>
      </c>
      <c r="J957" s="235" t="s">
        <v>2086</v>
      </c>
    </row>
    <row r="958" spans="2:10">
      <c r="B958" s="53" t="s">
        <v>119</v>
      </c>
      <c r="C958" s="235" t="s">
        <v>2086</v>
      </c>
      <c r="D958" s="235" t="s">
        <v>2086</v>
      </c>
      <c r="E958" s="235" t="s">
        <v>2086</v>
      </c>
      <c r="F958" s="235" t="s">
        <v>2086</v>
      </c>
      <c r="G958" s="235" t="s">
        <v>2086</v>
      </c>
      <c r="H958" s="235" t="s">
        <v>2086</v>
      </c>
      <c r="I958" s="235" t="s">
        <v>2086</v>
      </c>
      <c r="J958" s="235" t="s">
        <v>2086</v>
      </c>
    </row>
    <row r="959" spans="2:10">
      <c r="B959" s="52" t="s">
        <v>118</v>
      </c>
      <c r="C959" s="235" t="s">
        <v>2086</v>
      </c>
      <c r="D959" s="235" t="s">
        <v>2086</v>
      </c>
      <c r="E959" s="235" t="s">
        <v>2086</v>
      </c>
      <c r="F959" s="235" t="s">
        <v>2086</v>
      </c>
      <c r="G959" s="235" t="s">
        <v>2086</v>
      </c>
      <c r="H959" s="235" t="s">
        <v>2086</v>
      </c>
      <c r="I959" s="235" t="s">
        <v>2086</v>
      </c>
      <c r="J959" s="235" t="s">
        <v>2086</v>
      </c>
    </row>
    <row r="960" spans="2:10" ht="15" thickBot="1">
      <c r="B960" s="52" t="s">
        <v>117</v>
      </c>
      <c r="C960" s="235" t="s">
        <v>2086</v>
      </c>
      <c r="D960" s="235" t="s">
        <v>2086</v>
      </c>
      <c r="E960" s="235" t="s">
        <v>2086</v>
      </c>
      <c r="F960" s="235" t="s">
        <v>2086</v>
      </c>
      <c r="G960" s="235" t="s">
        <v>2086</v>
      </c>
      <c r="H960" s="235" t="s">
        <v>2086</v>
      </c>
      <c r="I960" s="235" t="s">
        <v>2086</v>
      </c>
      <c r="J960" s="1456" t="s">
        <v>2086</v>
      </c>
    </row>
    <row r="961" spans="2:10" ht="15" thickTop="1">
      <c r="B961" s="2025" t="s">
        <v>1946</v>
      </c>
      <c r="C961" s="2025"/>
      <c r="D961" s="2025"/>
      <c r="E961" s="2025"/>
      <c r="F961" s="2025"/>
      <c r="G961" s="2025"/>
      <c r="H961" s="2025"/>
      <c r="I961" s="2025"/>
    </row>
    <row r="962" spans="2:10">
      <c r="B962" s="64"/>
      <c r="C962" s="121"/>
      <c r="D962" s="121"/>
      <c r="E962" s="121"/>
      <c r="F962" s="121"/>
      <c r="G962" s="121"/>
      <c r="H962" s="121"/>
      <c r="I962" s="121"/>
    </row>
    <row r="963" spans="2:10">
      <c r="B963" s="2024" t="s">
        <v>129</v>
      </c>
      <c r="C963" s="2024"/>
      <c r="D963" s="2024"/>
      <c r="E963" s="2024"/>
      <c r="F963" s="2024"/>
      <c r="G963" s="2024"/>
      <c r="H963" s="2024"/>
      <c r="I963" s="2024"/>
      <c r="J963" s="2024"/>
    </row>
    <row r="964" spans="2:10">
      <c r="B964" s="12" t="s">
        <v>128</v>
      </c>
      <c r="C964" s="121"/>
      <c r="D964" s="121"/>
      <c r="E964" s="121"/>
      <c r="F964" s="121"/>
      <c r="G964" s="121"/>
      <c r="H964" s="121"/>
      <c r="I964" s="121"/>
    </row>
    <row r="965" spans="2:10">
      <c r="B965" s="62" t="s">
        <v>127</v>
      </c>
      <c r="C965" s="121"/>
      <c r="D965" s="121"/>
      <c r="E965" s="121"/>
      <c r="F965" s="121"/>
      <c r="G965" s="121"/>
      <c r="H965" s="121"/>
      <c r="I965" s="121"/>
    </row>
    <row r="966" spans="2:10">
      <c r="B966" s="62"/>
      <c r="C966" s="121"/>
      <c r="D966" s="121"/>
      <c r="E966" s="121"/>
      <c r="F966" s="121"/>
      <c r="G966" s="121"/>
      <c r="H966" s="121"/>
      <c r="I966" s="121"/>
    </row>
    <row r="967" spans="2:10">
      <c r="B967" s="61"/>
      <c r="C967" s="60">
        <v>2014</v>
      </c>
      <c r="D967" s="60">
        <v>2015</v>
      </c>
      <c r="E967" s="60">
        <v>2016</v>
      </c>
      <c r="F967" s="60">
        <v>2017</v>
      </c>
      <c r="G967" s="60">
        <v>2018</v>
      </c>
      <c r="H967" s="60">
        <v>2019</v>
      </c>
      <c r="I967" s="60">
        <v>2020</v>
      </c>
      <c r="J967" s="60">
        <v>2021</v>
      </c>
    </row>
    <row r="968" spans="2:10">
      <c r="B968" s="71" t="s">
        <v>124</v>
      </c>
      <c r="C968" s="235" t="s">
        <v>2086</v>
      </c>
      <c r="D968" s="235" t="s">
        <v>2086</v>
      </c>
      <c r="E968" s="235" t="s">
        <v>2086</v>
      </c>
      <c r="F968" s="235" t="s">
        <v>2086</v>
      </c>
      <c r="G968" s="235" t="s">
        <v>2086</v>
      </c>
      <c r="H968" s="235" t="s">
        <v>2086</v>
      </c>
      <c r="I968" s="235" t="s">
        <v>2086</v>
      </c>
      <c r="J968" s="235" t="s">
        <v>2086</v>
      </c>
    </row>
    <row r="969" spans="2:10">
      <c r="B969" s="71"/>
      <c r="C969" s="3"/>
      <c r="D969" s="3"/>
      <c r="E969" s="3"/>
      <c r="F969" s="3"/>
      <c r="G969" s="3"/>
      <c r="H969" s="3"/>
      <c r="I969" s="3"/>
      <c r="J969" s="3"/>
    </row>
    <row r="970" spans="2:10">
      <c r="B970" s="59" t="s">
        <v>503</v>
      </c>
      <c r="C970" s="3"/>
      <c r="D970" s="3"/>
      <c r="E970" s="3"/>
      <c r="F970" s="3"/>
      <c r="G970" s="3"/>
      <c r="H970" s="3"/>
      <c r="I970" s="3"/>
      <c r="J970" s="3"/>
    </row>
    <row r="971" spans="2:10">
      <c r="B971" s="54" t="s">
        <v>123</v>
      </c>
      <c r="C971" s="235" t="s">
        <v>2086</v>
      </c>
      <c r="D971" s="235" t="s">
        <v>2086</v>
      </c>
      <c r="E971" s="235" t="s">
        <v>2086</v>
      </c>
      <c r="F971" s="235" t="s">
        <v>2086</v>
      </c>
      <c r="G971" s="235" t="s">
        <v>2086</v>
      </c>
      <c r="H971" s="235" t="s">
        <v>2086</v>
      </c>
      <c r="I971" s="235" t="s">
        <v>2086</v>
      </c>
      <c r="J971" s="235" t="s">
        <v>2086</v>
      </c>
    </row>
    <row r="972" spans="2:10">
      <c r="B972" s="52" t="s">
        <v>121</v>
      </c>
      <c r="C972" s="235" t="s">
        <v>2086</v>
      </c>
      <c r="D972" s="235" t="s">
        <v>2086</v>
      </c>
      <c r="E972" s="235" t="s">
        <v>2086</v>
      </c>
      <c r="F972" s="235" t="s">
        <v>2086</v>
      </c>
      <c r="G972" s="235" t="s">
        <v>2086</v>
      </c>
      <c r="H972" s="235" t="s">
        <v>2086</v>
      </c>
      <c r="I972" s="235" t="s">
        <v>2086</v>
      </c>
      <c r="J972" s="235" t="s">
        <v>2086</v>
      </c>
    </row>
    <row r="973" spans="2:10">
      <c r="B973" s="53" t="s">
        <v>120</v>
      </c>
      <c r="C973" s="235" t="s">
        <v>2086</v>
      </c>
      <c r="D973" s="235" t="s">
        <v>2086</v>
      </c>
      <c r="E973" s="235" t="s">
        <v>2086</v>
      </c>
      <c r="F973" s="235" t="s">
        <v>2086</v>
      </c>
      <c r="G973" s="235" t="s">
        <v>2086</v>
      </c>
      <c r="H973" s="235" t="s">
        <v>2086</v>
      </c>
      <c r="I973" s="235" t="s">
        <v>2086</v>
      </c>
      <c r="J973" s="235" t="s">
        <v>2086</v>
      </c>
    </row>
    <row r="974" spans="2:10">
      <c r="B974" s="53" t="s">
        <v>119</v>
      </c>
      <c r="C974" s="235" t="s">
        <v>2086</v>
      </c>
      <c r="D974" s="235" t="s">
        <v>2086</v>
      </c>
      <c r="E974" s="235" t="s">
        <v>2086</v>
      </c>
      <c r="F974" s="235" t="s">
        <v>2086</v>
      </c>
      <c r="G974" s="235" t="s">
        <v>2086</v>
      </c>
      <c r="H974" s="235" t="s">
        <v>2086</v>
      </c>
      <c r="I974" s="235" t="s">
        <v>2086</v>
      </c>
      <c r="J974" s="235" t="s">
        <v>2086</v>
      </c>
    </row>
    <row r="975" spans="2:10">
      <c r="B975" s="52" t="s">
        <v>118</v>
      </c>
      <c r="C975" s="235" t="s">
        <v>2086</v>
      </c>
      <c r="D975" s="235" t="s">
        <v>2086</v>
      </c>
      <c r="E975" s="235" t="s">
        <v>2086</v>
      </c>
      <c r="F975" s="235" t="s">
        <v>2086</v>
      </c>
      <c r="G975" s="235" t="s">
        <v>2086</v>
      </c>
      <c r="H975" s="235" t="s">
        <v>2086</v>
      </c>
      <c r="I975" s="235" t="s">
        <v>2086</v>
      </c>
      <c r="J975" s="235" t="s">
        <v>2086</v>
      </c>
    </row>
    <row r="976" spans="2:10">
      <c r="B976" s="52" t="s">
        <v>117</v>
      </c>
      <c r="C976" s="235" t="s">
        <v>2086</v>
      </c>
      <c r="D976" s="235" t="s">
        <v>2086</v>
      </c>
      <c r="E976" s="235" t="s">
        <v>2086</v>
      </c>
      <c r="F976" s="235" t="s">
        <v>2086</v>
      </c>
      <c r="G976" s="235" t="s">
        <v>2086</v>
      </c>
      <c r="H976" s="235" t="s">
        <v>2086</v>
      </c>
      <c r="I976" s="235" t="s">
        <v>2086</v>
      </c>
      <c r="J976" s="235" t="s">
        <v>2086</v>
      </c>
    </row>
    <row r="977" spans="2:15">
      <c r="B977" s="52"/>
      <c r="C977" s="3"/>
      <c r="D977" s="3"/>
      <c r="E977" s="3"/>
      <c r="F977" s="3"/>
      <c r="G977" s="3"/>
      <c r="H977" s="3"/>
      <c r="I977" s="3"/>
      <c r="J977" s="3"/>
    </row>
    <row r="978" spans="2:15">
      <c r="B978" s="54" t="s">
        <v>122</v>
      </c>
      <c r="C978" s="235" t="s">
        <v>2086</v>
      </c>
      <c r="D978" s="235" t="s">
        <v>2086</v>
      </c>
      <c r="E978" s="235" t="s">
        <v>2086</v>
      </c>
      <c r="F978" s="235" t="s">
        <v>2086</v>
      </c>
      <c r="G978" s="235" t="s">
        <v>2086</v>
      </c>
      <c r="H978" s="235" t="s">
        <v>2086</v>
      </c>
      <c r="I978" s="235" t="s">
        <v>2086</v>
      </c>
      <c r="J978" s="235" t="s">
        <v>2086</v>
      </c>
    </row>
    <row r="979" spans="2:15">
      <c r="B979" s="52" t="s">
        <v>121</v>
      </c>
      <c r="C979" s="235" t="s">
        <v>2086</v>
      </c>
      <c r="D979" s="235" t="s">
        <v>2086</v>
      </c>
      <c r="E979" s="235" t="s">
        <v>2086</v>
      </c>
      <c r="F979" s="235" t="s">
        <v>2086</v>
      </c>
      <c r="G979" s="235" t="s">
        <v>2086</v>
      </c>
      <c r="H979" s="235" t="s">
        <v>2086</v>
      </c>
      <c r="I979" s="235" t="s">
        <v>2086</v>
      </c>
      <c r="J979" s="235" t="s">
        <v>2086</v>
      </c>
    </row>
    <row r="980" spans="2:15">
      <c r="B980" s="53" t="s">
        <v>120</v>
      </c>
      <c r="C980" s="235" t="s">
        <v>2086</v>
      </c>
      <c r="D980" s="235" t="s">
        <v>2086</v>
      </c>
      <c r="E980" s="235" t="s">
        <v>2086</v>
      </c>
      <c r="F980" s="235" t="s">
        <v>2086</v>
      </c>
      <c r="G980" s="235" t="s">
        <v>2086</v>
      </c>
      <c r="H980" s="235" t="s">
        <v>2086</v>
      </c>
      <c r="I980" s="235" t="s">
        <v>2086</v>
      </c>
      <c r="J980" s="235" t="s">
        <v>2086</v>
      </c>
    </row>
    <row r="981" spans="2:15">
      <c r="B981" s="53" t="s">
        <v>119</v>
      </c>
      <c r="C981" s="235" t="s">
        <v>2086</v>
      </c>
      <c r="D981" s="235" t="s">
        <v>2086</v>
      </c>
      <c r="E981" s="235" t="s">
        <v>2086</v>
      </c>
      <c r="F981" s="235" t="s">
        <v>2086</v>
      </c>
      <c r="G981" s="235" t="s">
        <v>2086</v>
      </c>
      <c r="H981" s="235" t="s">
        <v>2086</v>
      </c>
      <c r="I981" s="235" t="s">
        <v>2086</v>
      </c>
      <c r="J981" s="235" t="s">
        <v>2086</v>
      </c>
    </row>
    <row r="982" spans="2:15">
      <c r="B982" s="52" t="s">
        <v>118</v>
      </c>
      <c r="C982" s="235" t="s">
        <v>2086</v>
      </c>
      <c r="D982" s="235" t="s">
        <v>2086</v>
      </c>
      <c r="E982" s="235" t="s">
        <v>2086</v>
      </c>
      <c r="F982" s="235" t="s">
        <v>2086</v>
      </c>
      <c r="G982" s="235" t="s">
        <v>2086</v>
      </c>
      <c r="H982" s="235" t="s">
        <v>2086</v>
      </c>
      <c r="I982" s="235" t="s">
        <v>2086</v>
      </c>
      <c r="J982" s="235" t="s">
        <v>2086</v>
      </c>
    </row>
    <row r="983" spans="2:15" ht="15" thickBot="1">
      <c r="B983" s="52" t="s">
        <v>117</v>
      </c>
      <c r="C983" s="235" t="s">
        <v>2086</v>
      </c>
      <c r="D983" s="235" t="s">
        <v>2086</v>
      </c>
      <c r="E983" s="235" t="s">
        <v>2086</v>
      </c>
      <c r="F983" s="235" t="s">
        <v>2086</v>
      </c>
      <c r="G983" s="235" t="s">
        <v>2086</v>
      </c>
      <c r="H983" s="235" t="s">
        <v>2086</v>
      </c>
      <c r="I983" s="235" t="s">
        <v>2086</v>
      </c>
      <c r="J983" s="1456" t="s">
        <v>2086</v>
      </c>
    </row>
    <row r="984" spans="2:15" ht="15" thickTop="1">
      <c r="B984" s="2025" t="s">
        <v>1946</v>
      </c>
      <c r="C984" s="2025"/>
      <c r="D984" s="2025"/>
      <c r="E984" s="2025"/>
      <c r="F984" s="2025"/>
      <c r="G984" s="2025"/>
      <c r="H984" s="2025"/>
      <c r="I984" s="2025"/>
    </row>
    <row r="985" spans="2:15">
      <c r="B985" s="2017"/>
      <c r="C985" s="2017"/>
      <c r="D985" s="2017"/>
      <c r="E985" s="2017"/>
      <c r="F985" s="2017"/>
      <c r="G985" s="2017"/>
      <c r="H985" s="2017"/>
      <c r="I985" s="2017"/>
    </row>
    <row r="986" spans="2:15">
      <c r="B986" s="1"/>
      <c r="C986" s="121"/>
      <c r="D986" s="121"/>
      <c r="E986" s="121"/>
      <c r="F986" s="121"/>
      <c r="G986" s="121"/>
      <c r="H986" s="121"/>
      <c r="I986" s="121"/>
    </row>
    <row r="987" spans="2:15">
      <c r="B987" s="14" t="s">
        <v>115</v>
      </c>
      <c r="C987" s="236"/>
      <c r="D987" s="236"/>
      <c r="E987" s="236"/>
      <c r="F987" s="236"/>
      <c r="G987" s="236"/>
      <c r="H987" s="236"/>
      <c r="I987" s="236"/>
      <c r="J987" s="236"/>
    </row>
    <row r="988" spans="2:15">
      <c r="B988" s="12" t="s">
        <v>114</v>
      </c>
      <c r="C988" s="121"/>
      <c r="D988" s="121"/>
      <c r="E988" s="121"/>
      <c r="F988" s="121"/>
      <c r="G988" s="121"/>
      <c r="H988" s="121"/>
      <c r="I988" s="121"/>
    </row>
    <row r="989" spans="2:15">
      <c r="B989" s="1"/>
      <c r="C989" s="121"/>
      <c r="D989" s="121"/>
      <c r="E989" s="121"/>
      <c r="F989" s="121"/>
      <c r="G989" s="121"/>
      <c r="H989" s="121"/>
      <c r="I989" s="121"/>
    </row>
    <row r="990" spans="2:15" ht="32.25" customHeight="1">
      <c r="B990" s="60" t="s">
        <v>11</v>
      </c>
      <c r="C990" s="2046" t="s">
        <v>604</v>
      </c>
      <c r="D990" s="2046" t="s">
        <v>113</v>
      </c>
      <c r="E990" s="2046" t="s">
        <v>1954</v>
      </c>
      <c r="F990" s="2046" t="s">
        <v>112</v>
      </c>
      <c r="G990" s="2046" t="s">
        <v>111</v>
      </c>
      <c r="H990" s="2046" t="s">
        <v>1955</v>
      </c>
      <c r="I990" s="2046" t="s">
        <v>610</v>
      </c>
      <c r="J990" s="2046" t="s">
        <v>22</v>
      </c>
      <c r="K990" s="2046" t="s">
        <v>1956</v>
      </c>
      <c r="L990" s="2046" t="s">
        <v>1957</v>
      </c>
      <c r="M990" s="2047" t="s">
        <v>98</v>
      </c>
      <c r="N990" s="2047"/>
      <c r="O990"/>
    </row>
    <row r="991" spans="2:15" ht="40.5" customHeight="1">
      <c r="B991" s="1458"/>
      <c r="C991" s="2047"/>
      <c r="D991" s="2047"/>
      <c r="E991" s="2047"/>
      <c r="F991" s="2047"/>
      <c r="G991" s="2047"/>
      <c r="H991" s="2047"/>
      <c r="I991" s="2047"/>
      <c r="J991" s="2047"/>
      <c r="K991" s="2047"/>
      <c r="L991" s="2047"/>
      <c r="M991" s="60" t="s">
        <v>97</v>
      </c>
      <c r="N991" s="60" t="s">
        <v>96</v>
      </c>
      <c r="O991"/>
    </row>
    <row r="992" spans="2:15">
      <c r="B992" s="1459" t="s">
        <v>1040</v>
      </c>
      <c r="C992" s="1460"/>
      <c r="D992" s="1460"/>
      <c r="E992" s="1460"/>
      <c r="F992" s="513"/>
      <c r="G992" s="513"/>
      <c r="H992" s="513"/>
      <c r="I992" s="513"/>
      <c r="J992" s="513"/>
      <c r="K992" s="514"/>
      <c r="L992" s="513"/>
      <c r="M992" s="515"/>
      <c r="N992" s="1460"/>
      <c r="O992"/>
    </row>
    <row r="993" spans="2:15" ht="25">
      <c r="B993" s="1461" t="s">
        <v>1223</v>
      </c>
      <c r="C993" s="513" t="s">
        <v>606</v>
      </c>
      <c r="D993" s="513" t="s">
        <v>94</v>
      </c>
      <c r="E993" s="513" t="s">
        <v>1</v>
      </c>
      <c r="F993" s="513" t="s">
        <v>106</v>
      </c>
      <c r="G993" s="513" t="s">
        <v>103</v>
      </c>
      <c r="H993" s="513" t="s">
        <v>102</v>
      </c>
      <c r="I993" s="513" t="s">
        <v>1221</v>
      </c>
      <c r="J993" s="1462">
        <v>0.66666666666666663</v>
      </c>
      <c r="K993" s="514" t="s">
        <v>1225</v>
      </c>
      <c r="L993" s="513">
        <v>0</v>
      </c>
      <c r="M993" s="1462">
        <v>0.29166666666666669</v>
      </c>
      <c r="N993" s="1463">
        <v>0.66666666666666663</v>
      </c>
      <c r="O993"/>
    </row>
    <row r="994" spans="2:15" ht="25">
      <c r="B994" s="1461" t="s">
        <v>1226</v>
      </c>
      <c r="C994" s="513" t="s">
        <v>103</v>
      </c>
      <c r="D994" s="513" t="s">
        <v>1227</v>
      </c>
      <c r="E994" s="513" t="s">
        <v>1</v>
      </c>
      <c r="F994" s="513" t="s">
        <v>489</v>
      </c>
      <c r="G994" s="513" t="s">
        <v>103</v>
      </c>
      <c r="H994" s="513" t="s">
        <v>102</v>
      </c>
      <c r="I994" s="513" t="s">
        <v>1221</v>
      </c>
      <c r="J994" s="1462" t="s">
        <v>1958</v>
      </c>
      <c r="K994" s="1464" t="s">
        <v>711</v>
      </c>
      <c r="L994" s="513">
        <v>0</v>
      </c>
      <c r="M994" s="1465">
        <v>6.9444444444444447E-4</v>
      </c>
      <c r="N994" s="1466" t="s">
        <v>1959</v>
      </c>
      <c r="O994"/>
    </row>
    <row r="995" spans="2:15" ht="25">
      <c r="B995" s="1461" t="s">
        <v>1228</v>
      </c>
      <c r="C995" s="513" t="s">
        <v>103</v>
      </c>
      <c r="D995" s="513" t="s">
        <v>1227</v>
      </c>
      <c r="E995" s="513" t="s">
        <v>108</v>
      </c>
      <c r="F995" s="513" t="s">
        <v>489</v>
      </c>
      <c r="G995" s="513" t="s">
        <v>103</v>
      </c>
      <c r="H995" s="513" t="s">
        <v>102</v>
      </c>
      <c r="I995" s="513" t="s">
        <v>1222</v>
      </c>
      <c r="J995" s="1462" t="s">
        <v>1958</v>
      </c>
      <c r="K995" s="1464" t="s">
        <v>711</v>
      </c>
      <c r="L995" s="513">
        <v>0</v>
      </c>
      <c r="M995" s="1465">
        <v>6.9444444444444447E-4</v>
      </c>
      <c r="N995" s="1466" t="s">
        <v>1959</v>
      </c>
      <c r="O995"/>
    </row>
    <row r="996" spans="2:15" ht="25.5" thickBot="1">
      <c r="B996" s="1467" t="s">
        <v>1229</v>
      </c>
      <c r="C996" s="1468" t="s">
        <v>103</v>
      </c>
      <c r="D996" s="1468" t="s">
        <v>1227</v>
      </c>
      <c r="E996" s="1468" t="s">
        <v>108</v>
      </c>
      <c r="F996" s="1468" t="s">
        <v>489</v>
      </c>
      <c r="G996" s="1468" t="s">
        <v>103</v>
      </c>
      <c r="H996" s="1468" t="s">
        <v>102</v>
      </c>
      <c r="I996" s="1468" t="s">
        <v>1222</v>
      </c>
      <c r="J996" s="1469" t="s">
        <v>1958</v>
      </c>
      <c r="K996" s="1470" t="s">
        <v>711</v>
      </c>
      <c r="L996" s="1468">
        <v>0</v>
      </c>
      <c r="M996" s="1471">
        <v>6.9444444444444447E-4</v>
      </c>
      <c r="N996" s="1472" t="s">
        <v>1959</v>
      </c>
      <c r="O996"/>
    </row>
    <row r="997" spans="2:15" ht="15" thickTop="1">
      <c r="B997" s="1473" t="s">
        <v>1960</v>
      </c>
      <c r="C997" s="1474"/>
      <c r="D997" s="1474"/>
      <c r="E997" s="1474"/>
      <c r="F997" s="1460"/>
      <c r="G997" s="1460"/>
      <c r="H997" s="1460"/>
      <c r="I997" s="1460"/>
      <c r="J997" s="1460"/>
      <c r="K997" s="1475"/>
      <c r="L997" s="1460"/>
      <c r="M997" s="1460"/>
      <c r="N997" s="1460"/>
      <c r="O997"/>
    </row>
    <row r="998" spans="2:15">
      <c r="B998" s="1476"/>
      <c r="C998" s="1476"/>
      <c r="D998" s="1476"/>
      <c r="E998" s="1476"/>
      <c r="F998" s="1476"/>
      <c r="G998" s="1476"/>
      <c r="H998" s="1476"/>
      <c r="I998" s="1476"/>
      <c r="J998" s="1476"/>
      <c r="K998" s="1476"/>
      <c r="L998" s="1476"/>
      <c r="M998" s="1460"/>
      <c r="N998" s="1460"/>
      <c r="O998"/>
    </row>
    <row r="999" spans="2:15" ht="121.5" customHeight="1">
      <c r="B999" s="2048" t="s">
        <v>2087</v>
      </c>
      <c r="C999" s="2048"/>
      <c r="D999" s="2048"/>
      <c r="E999" s="2048"/>
      <c r="F999" s="2048"/>
      <c r="G999" s="2048"/>
      <c r="H999" s="2048"/>
      <c r="I999" s="2048"/>
      <c r="J999" s="2048"/>
      <c r="K999" s="2048"/>
      <c r="L999" s="2048"/>
      <c r="M999" s="2048"/>
      <c r="N999" s="2048"/>
      <c r="O999"/>
    </row>
    <row r="1000" spans="2:15">
      <c r="D1000" s="1004"/>
      <c r="E1000" s="1004"/>
      <c r="F1000" s="1004"/>
      <c r="G1000" s="1004"/>
      <c r="L1000"/>
      <c r="M1000"/>
      <c r="N1000"/>
      <c r="O1000"/>
    </row>
    <row r="1001" spans="2:15">
      <c r="D1001" s="1004"/>
      <c r="E1001" s="1004"/>
      <c r="F1001" s="1004"/>
      <c r="G1001" s="1004"/>
      <c r="L1001"/>
      <c r="M1001"/>
      <c r="N1001"/>
      <c r="O1001"/>
    </row>
    <row r="1002" spans="2:15">
      <c r="B1002" s="253"/>
      <c r="C1002" s="253"/>
      <c r="D1002" s="253"/>
      <c r="E1002" s="121"/>
      <c r="F1002" s="121"/>
      <c r="G1002" s="121"/>
      <c r="H1002" s="121"/>
      <c r="I1002" s="121"/>
    </row>
    <row r="1003" spans="2:15">
      <c r="B1003" s="2038"/>
      <c r="C1003" s="2038"/>
      <c r="D1003" s="2038"/>
      <c r="E1003" s="121"/>
      <c r="F1003" s="121"/>
      <c r="G1003" s="121"/>
      <c r="H1003" s="121"/>
      <c r="I1003" s="121"/>
    </row>
    <row r="1004" spans="2:15">
      <c r="B1004" s="14" t="s">
        <v>76</v>
      </c>
      <c r="C1004" s="236"/>
      <c r="D1004" s="236"/>
      <c r="E1004" s="236"/>
      <c r="F1004" s="236"/>
      <c r="G1004" s="236"/>
      <c r="H1004" s="236"/>
      <c r="I1004" s="236"/>
    </row>
    <row r="1005" spans="2:15">
      <c r="B1005" s="12" t="s">
        <v>75</v>
      </c>
      <c r="C1005" s="121"/>
      <c r="D1005" s="121"/>
      <c r="E1005" s="121"/>
      <c r="F1005" s="121"/>
      <c r="G1005" s="121"/>
      <c r="H1005" s="121"/>
      <c r="I1005" s="121"/>
    </row>
    <row r="1006" spans="2:15">
      <c r="B1006" s="1"/>
      <c r="C1006" s="121"/>
      <c r="D1006" s="121"/>
      <c r="E1006" s="121"/>
      <c r="F1006" s="121"/>
      <c r="G1006" s="121"/>
      <c r="H1006" s="121"/>
      <c r="I1006" s="121"/>
    </row>
    <row r="1007" spans="2:15" ht="24">
      <c r="B1007" s="33" t="s">
        <v>11</v>
      </c>
      <c r="C1007" s="237" t="s">
        <v>24</v>
      </c>
      <c r="D1007" s="237" t="s">
        <v>74</v>
      </c>
      <c r="E1007" s="237" t="s">
        <v>73</v>
      </c>
      <c r="F1007" s="237" t="s">
        <v>72</v>
      </c>
      <c r="G1007" s="237" t="s">
        <v>71</v>
      </c>
      <c r="H1007" s="121"/>
      <c r="I1007" s="121"/>
    </row>
    <row r="1008" spans="2:15" ht="15" thickBot="1">
      <c r="B1008" s="1477" t="s">
        <v>1930</v>
      </c>
      <c r="C1008" s="1478" t="s">
        <v>19</v>
      </c>
      <c r="D1008" s="1478" t="s">
        <v>1961</v>
      </c>
      <c r="E1008" s="1478" t="s">
        <v>56</v>
      </c>
      <c r="F1008" s="1478" t="s">
        <v>1962</v>
      </c>
      <c r="G1008" s="1479" t="s">
        <v>41</v>
      </c>
      <c r="H1008" s="121"/>
      <c r="I1008" s="121"/>
    </row>
    <row r="1009" spans="2:15" ht="15" thickTop="1">
      <c r="B1009" s="2037" t="s">
        <v>1905</v>
      </c>
      <c r="C1009" s="2037"/>
      <c r="D1009" s="2037"/>
      <c r="E1009" s="121"/>
      <c r="F1009" s="121"/>
      <c r="G1009" s="121"/>
      <c r="H1009" s="121"/>
      <c r="I1009" s="121"/>
    </row>
    <row r="1010" spans="2:15" ht="81" customHeight="1">
      <c r="B1010" s="2048" t="s">
        <v>1963</v>
      </c>
      <c r="C1010" s="2048"/>
      <c r="D1010" s="2048"/>
      <c r="E1010" s="2048"/>
      <c r="F1010" s="2048"/>
      <c r="G1010" s="2048"/>
      <c r="H1010" s="121"/>
      <c r="I1010" s="121"/>
    </row>
    <row r="1011" spans="2:15">
      <c r="B1011" s="1"/>
      <c r="C1011" s="121"/>
      <c r="D1011" s="121"/>
      <c r="E1011" s="121"/>
      <c r="F1011" s="121"/>
      <c r="G1011" s="121"/>
      <c r="H1011" s="121"/>
      <c r="I1011" s="121"/>
    </row>
    <row r="1012" spans="2:15">
      <c r="B1012" s="14" t="s">
        <v>52</v>
      </c>
      <c r="C1012" s="236"/>
      <c r="D1012" s="236"/>
      <c r="E1012" s="236"/>
      <c r="F1012" s="236"/>
      <c r="G1012" s="236"/>
      <c r="H1012" s="236"/>
      <c r="I1012" s="236"/>
    </row>
    <row r="1013" spans="2:15">
      <c r="B1013" s="12" t="s">
        <v>51</v>
      </c>
      <c r="C1013" s="121"/>
      <c r="D1013" s="121"/>
      <c r="E1013" s="121"/>
      <c r="F1013" s="121"/>
      <c r="G1013" s="121"/>
      <c r="H1013" s="121"/>
      <c r="I1013" s="121"/>
    </row>
    <row r="1014" spans="2:15">
      <c r="B1014" s="1"/>
      <c r="C1014" s="121"/>
      <c r="D1014" s="121"/>
      <c r="E1014" s="121"/>
      <c r="F1014" s="121"/>
      <c r="G1014" s="121"/>
      <c r="H1014" s="121"/>
      <c r="I1014" s="121"/>
    </row>
    <row r="1015" spans="2:15">
      <c r="B1015" s="2053" t="s">
        <v>38</v>
      </c>
      <c r="C1015" s="2049" t="s">
        <v>530</v>
      </c>
      <c r="D1015" s="2049" t="s">
        <v>24</v>
      </c>
      <c r="E1015" s="2049" t="s">
        <v>50</v>
      </c>
      <c r="F1015" s="2049" t="s">
        <v>49</v>
      </c>
      <c r="G1015" s="2049" t="s">
        <v>48</v>
      </c>
      <c r="H1015" s="2049" t="s">
        <v>47</v>
      </c>
      <c r="I1015" s="2051"/>
      <c r="J1015" s="2051"/>
      <c r="L1015"/>
      <c r="M1015"/>
      <c r="N1015"/>
      <c r="O1015"/>
    </row>
    <row r="1016" spans="2:15">
      <c r="B1016" s="2054"/>
      <c r="C1016" s="2050"/>
      <c r="D1016" s="2050"/>
      <c r="E1016" s="2050"/>
      <c r="F1016" s="2050"/>
      <c r="G1016" s="2050"/>
      <c r="H1016" s="2050"/>
      <c r="I1016" s="2050"/>
      <c r="J1016" s="2052"/>
      <c r="L1016"/>
      <c r="M1016"/>
      <c r="N1016"/>
      <c r="O1016"/>
    </row>
    <row r="1017" spans="2:15">
      <c r="B1017" s="1480" t="s">
        <v>1964</v>
      </c>
      <c r="C1017" s="1481" t="s">
        <v>623</v>
      </c>
      <c r="D1017" s="1482" t="s">
        <v>623</v>
      </c>
      <c r="E1017" s="1482" t="s">
        <v>1342</v>
      </c>
      <c r="F1017" s="1482" t="s">
        <v>1342</v>
      </c>
      <c r="G1017" s="1482">
        <v>0</v>
      </c>
      <c r="H1017" s="1482"/>
      <c r="I1017" s="1483"/>
      <c r="J1017" s="1483"/>
      <c r="L1017"/>
      <c r="M1017"/>
      <c r="N1017"/>
      <c r="O1017"/>
    </row>
    <row r="1018" spans="2:15">
      <c r="B1018" s="1484" t="s">
        <v>1229</v>
      </c>
      <c r="C1018" s="1485" t="s">
        <v>623</v>
      </c>
      <c r="D1018" s="1483" t="s">
        <v>623</v>
      </c>
      <c r="E1018" s="1483" t="s">
        <v>1342</v>
      </c>
      <c r="F1018" s="1483" t="s">
        <v>1342</v>
      </c>
      <c r="G1018" s="1483">
        <v>0</v>
      </c>
      <c r="H1018" s="1483"/>
      <c r="I1018" s="1483"/>
      <c r="J1018" s="1483"/>
      <c r="L1018"/>
      <c r="M1018"/>
      <c r="N1018"/>
      <c r="O1018"/>
    </row>
    <row r="1019" spans="2:15">
      <c r="B1019" s="1484" t="s">
        <v>1965</v>
      </c>
      <c r="C1019" s="1485" t="s">
        <v>623</v>
      </c>
      <c r="D1019" s="1483" t="s">
        <v>623</v>
      </c>
      <c r="E1019" s="1483" t="s">
        <v>1342</v>
      </c>
      <c r="F1019" s="1483" t="s">
        <v>1342</v>
      </c>
      <c r="G1019" s="1483">
        <v>0</v>
      </c>
      <c r="H1019" s="1483"/>
      <c r="I1019" s="1483"/>
      <c r="J1019" s="1483"/>
      <c r="L1019"/>
      <c r="M1019"/>
      <c r="N1019"/>
      <c r="O1019"/>
    </row>
    <row r="1020" spans="2:15">
      <c r="B1020" s="1486"/>
      <c r="C1020" s="1487"/>
      <c r="D1020" s="1487"/>
      <c r="E1020" s="1487"/>
      <c r="F1020" s="1487"/>
      <c r="G1020" s="1487"/>
      <c r="H1020" s="1487"/>
      <c r="I1020" s="1487"/>
      <c r="J1020" s="1487"/>
      <c r="L1020"/>
      <c r="M1020"/>
      <c r="N1020"/>
      <c r="O1020"/>
    </row>
    <row r="1021" spans="2:15">
      <c r="B1021" s="2053" t="s">
        <v>38</v>
      </c>
      <c r="C1021" s="2055" t="s">
        <v>538</v>
      </c>
      <c r="D1021" s="2049" t="s">
        <v>37</v>
      </c>
      <c r="E1021" s="2049" t="s">
        <v>8</v>
      </c>
      <c r="F1021" s="2049" t="s">
        <v>36</v>
      </c>
      <c r="G1021" s="1488"/>
      <c r="H1021" s="1488"/>
      <c r="I1021" s="1488"/>
      <c r="J1021" s="1488"/>
      <c r="L1021"/>
      <c r="M1021"/>
      <c r="N1021"/>
      <c r="O1021"/>
    </row>
    <row r="1022" spans="2:15">
      <c r="B1022" s="2054"/>
      <c r="C1022" s="2056"/>
      <c r="D1022" s="2056"/>
      <c r="E1022" s="2056"/>
      <c r="F1022" s="2056"/>
      <c r="G1022" s="1489"/>
      <c r="H1022" s="1489"/>
      <c r="I1022" s="1489"/>
      <c r="J1022" s="1489"/>
      <c r="L1022"/>
      <c r="M1022"/>
      <c r="N1022"/>
      <c r="O1022"/>
    </row>
    <row r="1023" spans="2:15">
      <c r="B1023" s="1480" t="s">
        <v>1964</v>
      </c>
      <c r="C1023" s="1482" t="s">
        <v>1344</v>
      </c>
      <c r="D1023" s="1482"/>
      <c r="E1023" s="1482" t="s">
        <v>1</v>
      </c>
      <c r="F1023" s="1482">
        <v>0</v>
      </c>
      <c r="G1023" s="1490"/>
      <c r="H1023" s="1490"/>
      <c r="I1023" s="1490"/>
      <c r="J1023" s="1490"/>
      <c r="L1023"/>
      <c r="M1023"/>
      <c r="N1023"/>
      <c r="O1023"/>
    </row>
    <row r="1024" spans="2:15">
      <c r="B1024" s="1484" t="s">
        <v>1229</v>
      </c>
      <c r="C1024" s="1483" t="s">
        <v>1344</v>
      </c>
      <c r="D1024" s="1483"/>
      <c r="E1024" s="1483" t="s">
        <v>1</v>
      </c>
      <c r="F1024" s="1483">
        <v>0</v>
      </c>
      <c r="G1024" s="1490"/>
      <c r="H1024" s="1490"/>
      <c r="I1024" s="1490"/>
      <c r="J1024" s="1490"/>
      <c r="L1024"/>
      <c r="M1024"/>
      <c r="N1024"/>
      <c r="O1024"/>
    </row>
    <row r="1025" spans="2:15">
      <c r="B1025" s="1484" t="s">
        <v>1965</v>
      </c>
      <c r="C1025" s="1483" t="s">
        <v>1344</v>
      </c>
      <c r="D1025" s="1483"/>
      <c r="E1025" s="1483" t="s">
        <v>1</v>
      </c>
      <c r="F1025" s="1483">
        <v>0</v>
      </c>
      <c r="G1025" s="1490"/>
      <c r="H1025" s="1490"/>
      <c r="I1025" s="1490"/>
      <c r="J1025" s="1490"/>
      <c r="L1025"/>
      <c r="M1025"/>
      <c r="N1025"/>
      <c r="O1025"/>
    </row>
    <row r="1026" spans="2:15" ht="15" thickBot="1">
      <c r="B1026" s="1491" t="s">
        <v>1343</v>
      </c>
      <c r="C1026" s="1492" t="s">
        <v>1344</v>
      </c>
      <c r="D1026" s="1492" t="s">
        <v>1966</v>
      </c>
      <c r="E1026" s="1492" t="s">
        <v>1</v>
      </c>
      <c r="F1026" s="1492">
        <v>0</v>
      </c>
      <c r="G1026" s="1490"/>
      <c r="H1026" s="1490"/>
      <c r="I1026" s="1490"/>
      <c r="J1026" s="1490"/>
      <c r="L1026"/>
      <c r="M1026"/>
      <c r="N1026"/>
      <c r="O1026"/>
    </row>
    <row r="1027" spans="2:15" ht="15" thickTop="1">
      <c r="B1027" s="1493"/>
      <c r="C1027" s="1487"/>
      <c r="D1027" s="1487"/>
      <c r="E1027" s="1487"/>
      <c r="F1027" s="1487"/>
      <c r="G1027" s="1487"/>
      <c r="H1027" s="1487"/>
      <c r="I1027" s="1487"/>
      <c r="J1027" s="1487"/>
      <c r="L1027"/>
      <c r="M1027"/>
      <c r="N1027"/>
      <c r="O1027"/>
    </row>
    <row r="1028" spans="2:15" ht="147.75" customHeight="1">
      <c r="B1028" s="2057" t="s">
        <v>1967</v>
      </c>
      <c r="C1028" s="2057"/>
      <c r="D1028" s="2057"/>
      <c r="E1028" s="2057"/>
      <c r="F1028" s="2057"/>
      <c r="G1028" s="2057"/>
      <c r="H1028" s="2057"/>
      <c r="I1028" s="2057"/>
      <c r="J1028" s="2057"/>
    </row>
    <row r="1029" spans="2:15">
      <c r="B1029" s="1"/>
      <c r="C1029" s="121"/>
      <c r="D1029" s="121"/>
      <c r="E1029" s="121"/>
      <c r="F1029" s="121"/>
      <c r="G1029" s="121"/>
      <c r="H1029" s="121"/>
      <c r="I1029" s="121"/>
    </row>
    <row r="1030" spans="2:15">
      <c r="B1030" s="14" t="s">
        <v>26</v>
      </c>
      <c r="C1030" s="236"/>
      <c r="D1030" s="236"/>
      <c r="E1030" s="236"/>
      <c r="F1030" s="236"/>
      <c r="G1030" s="236"/>
      <c r="H1030" s="236"/>
      <c r="I1030" s="236"/>
      <c r="J1030" s="236"/>
      <c r="K1030" s="236"/>
      <c r="L1030" s="236"/>
    </row>
    <row r="1031" spans="2:15">
      <c r="B1031" s="12" t="s">
        <v>25</v>
      </c>
      <c r="C1031" s="121"/>
      <c r="D1031" s="121"/>
      <c r="E1031" s="121"/>
      <c r="F1031" s="121"/>
      <c r="G1031" s="121"/>
      <c r="H1031" s="121"/>
      <c r="I1031" s="121"/>
    </row>
    <row r="1032" spans="2:15" ht="15" thickBot="1">
      <c r="B1032" s="1"/>
      <c r="C1032" s="121"/>
      <c r="D1032" s="121"/>
      <c r="E1032" s="121"/>
      <c r="F1032" s="121"/>
      <c r="G1032" s="121"/>
      <c r="H1032" s="121"/>
      <c r="I1032" s="121"/>
    </row>
    <row r="1033" spans="2:15" ht="15" customHeight="1">
      <c r="B1033" s="2058" t="s">
        <v>11</v>
      </c>
      <c r="C1033" s="2060" t="s">
        <v>541</v>
      </c>
      <c r="D1033" s="2060" t="s">
        <v>1954</v>
      </c>
      <c r="E1033" s="2060" t="s">
        <v>23</v>
      </c>
      <c r="F1033" s="2060" t="s">
        <v>22</v>
      </c>
      <c r="G1033" s="2060" t="s">
        <v>21</v>
      </c>
      <c r="H1033" s="2060" t="s">
        <v>20</v>
      </c>
      <c r="I1033" s="2060" t="s">
        <v>546</v>
      </c>
      <c r="J1033" s="2060" t="s">
        <v>10</v>
      </c>
      <c r="K1033" s="2060" t="s">
        <v>9</v>
      </c>
      <c r="L1033" s="2060" t="s">
        <v>8</v>
      </c>
      <c r="M1033"/>
      <c r="N1033"/>
      <c r="O1033"/>
    </row>
    <row r="1034" spans="2:15" ht="20.25" customHeight="1">
      <c r="B1034" s="2059"/>
      <c r="C1034" s="2061"/>
      <c r="D1034" s="2061"/>
      <c r="E1034" s="2061"/>
      <c r="F1034" s="2061"/>
      <c r="G1034" s="2061"/>
      <c r="H1034" s="2061"/>
      <c r="I1034" s="2061"/>
      <c r="J1034" s="2061"/>
      <c r="K1034" s="2061"/>
      <c r="L1034" s="2061"/>
      <c r="M1034"/>
      <c r="N1034"/>
      <c r="O1034"/>
    </row>
    <row r="1035" spans="2:15">
      <c r="B1035" s="1459" t="s">
        <v>1040</v>
      </c>
      <c r="C1035" s="513"/>
      <c r="D1035" s="513"/>
      <c r="E1035" s="513"/>
      <c r="F1035" s="513"/>
      <c r="G1035" s="513"/>
      <c r="H1035" s="513"/>
      <c r="I1035" s="513"/>
      <c r="J1035" s="514"/>
      <c r="K1035" s="513"/>
      <c r="L1035" s="515"/>
      <c r="M1035"/>
      <c r="N1035"/>
      <c r="O1035"/>
    </row>
    <row r="1036" spans="2:15">
      <c r="B1036" s="1461" t="s">
        <v>1343</v>
      </c>
      <c r="C1036" s="513" t="s">
        <v>1968</v>
      </c>
      <c r="D1036" s="513" t="s">
        <v>522</v>
      </c>
      <c r="E1036" s="513" t="s">
        <v>1312</v>
      </c>
      <c r="F1036" s="1494">
        <v>0.60416666666666663</v>
      </c>
      <c r="G1036" s="513" t="s">
        <v>1371</v>
      </c>
      <c r="H1036" s="513">
        <v>0</v>
      </c>
      <c r="I1036" s="513" t="s">
        <v>547</v>
      </c>
      <c r="J1036" s="514" t="s">
        <v>547</v>
      </c>
      <c r="K1036" s="513" t="s">
        <v>1344</v>
      </c>
      <c r="L1036" s="515" t="s">
        <v>1</v>
      </c>
      <c r="M1036"/>
      <c r="N1036"/>
      <c r="O1036"/>
    </row>
    <row r="1037" spans="2:15" ht="15" thickBot="1">
      <c r="D1037" s="1004"/>
      <c r="E1037" s="1004"/>
      <c r="F1037" s="1004"/>
      <c r="G1037" s="1004"/>
      <c r="J1037" s="1407"/>
      <c r="K1037" s="1407"/>
      <c r="L1037" s="1407"/>
      <c r="M1037"/>
      <c r="N1037"/>
      <c r="O1037"/>
    </row>
    <row r="1038" spans="2:15" ht="15" thickTop="1">
      <c r="B1038" s="2025" t="s">
        <v>1946</v>
      </c>
      <c r="C1038" s="2025"/>
      <c r="D1038" s="2025"/>
      <c r="E1038" s="2025"/>
      <c r="F1038" s="2025"/>
      <c r="G1038" s="2025"/>
      <c r="H1038" s="2025"/>
      <c r="I1038" s="2025"/>
    </row>
    <row r="1039" spans="2:15" ht="136.5" customHeight="1">
      <c r="B1039" s="2048" t="s">
        <v>1969</v>
      </c>
      <c r="C1039" s="2048"/>
      <c r="D1039" s="2048"/>
      <c r="E1039" s="2048"/>
      <c r="F1039" s="2048"/>
      <c r="G1039" s="2048"/>
      <c r="H1039" s="2048"/>
      <c r="I1039" s="2048"/>
      <c r="J1039" s="2048"/>
      <c r="K1039" s="2048"/>
      <c r="L1039" s="2048"/>
    </row>
    <row r="1040" spans="2:15">
      <c r="B1040" s="246"/>
      <c r="C1040" s="121"/>
      <c r="D1040" s="121"/>
      <c r="E1040" s="121"/>
      <c r="F1040" s="121"/>
      <c r="G1040" s="121"/>
      <c r="H1040" s="121"/>
      <c r="I1040" s="121"/>
    </row>
    <row r="1041" spans="2:10">
      <c r="B1041" s="14" t="s">
        <v>765</v>
      </c>
      <c r="C1041" s="236"/>
      <c r="D1041" s="236"/>
      <c r="E1041" s="236"/>
      <c r="F1041" s="236"/>
      <c r="G1041" s="236"/>
      <c r="H1041" s="236"/>
      <c r="I1041" s="236"/>
      <c r="J1041" s="236"/>
    </row>
    <row r="1042" spans="2:10">
      <c r="B1042" s="12" t="s">
        <v>764</v>
      </c>
      <c r="C1042" s="121"/>
      <c r="D1042" s="121"/>
      <c r="E1042" s="121"/>
      <c r="F1042" s="121"/>
      <c r="G1042" s="121"/>
      <c r="H1042" s="121"/>
      <c r="I1042" s="121"/>
    </row>
    <row r="1043" spans="2:10">
      <c r="B1043" s="1495" t="s">
        <v>269</v>
      </c>
      <c r="C1043" s="121"/>
      <c r="D1043" s="121"/>
      <c r="E1043" s="121"/>
      <c r="F1043" s="121"/>
      <c r="G1043" s="121"/>
      <c r="H1043" s="121"/>
      <c r="I1043" s="121"/>
    </row>
    <row r="1044" spans="2:10">
      <c r="B1044" s="1"/>
      <c r="C1044" s="121"/>
      <c r="D1044" s="121"/>
      <c r="E1044" s="121"/>
      <c r="F1044" s="121"/>
      <c r="G1044" s="121"/>
      <c r="H1044" s="121"/>
      <c r="I1044" s="121"/>
    </row>
    <row r="1045" spans="2:10">
      <c r="B1045" s="61"/>
      <c r="C1045" s="60">
        <v>2014</v>
      </c>
      <c r="D1045" s="60">
        <v>2015</v>
      </c>
      <c r="E1045" s="60">
        <v>2016</v>
      </c>
      <c r="F1045" s="60">
        <v>2017</v>
      </c>
      <c r="G1045" s="60">
        <v>2018</v>
      </c>
      <c r="H1045" s="60">
        <v>2019</v>
      </c>
      <c r="I1045" s="60">
        <v>2020</v>
      </c>
      <c r="J1045" s="1457">
        <v>2021</v>
      </c>
    </row>
    <row r="1046" spans="2:10">
      <c r="B1046" s="188" t="s">
        <v>329</v>
      </c>
      <c r="C1046" s="67">
        <v>1</v>
      </c>
      <c r="D1046" s="1496">
        <v>1</v>
      </c>
      <c r="E1046" s="1497">
        <v>1</v>
      </c>
      <c r="F1046" s="1497">
        <v>1</v>
      </c>
      <c r="G1046" s="1496">
        <v>1</v>
      </c>
      <c r="H1046" s="1496">
        <v>1</v>
      </c>
      <c r="I1046" s="1498">
        <v>1</v>
      </c>
      <c r="J1046" s="1498">
        <v>1</v>
      </c>
    </row>
    <row r="1047" spans="2:10">
      <c r="B1047" s="188" t="s">
        <v>1970</v>
      </c>
      <c r="C1047" s="67">
        <v>51</v>
      </c>
      <c r="D1047" s="1496">
        <v>51</v>
      </c>
      <c r="E1047" s="1496">
        <v>60</v>
      </c>
      <c r="F1047" s="1496">
        <v>60</v>
      </c>
      <c r="G1047" s="1498">
        <v>58</v>
      </c>
      <c r="H1047" s="1498">
        <v>59</v>
      </c>
      <c r="I1047" s="1498">
        <v>60</v>
      </c>
      <c r="J1047" s="1498">
        <v>70</v>
      </c>
    </row>
    <row r="1048" spans="2:10">
      <c r="B1048" s="188" t="s">
        <v>260</v>
      </c>
      <c r="C1048" s="67">
        <v>17</v>
      </c>
      <c r="D1048" s="1499">
        <v>17</v>
      </c>
      <c r="E1048" s="1499">
        <v>17</v>
      </c>
      <c r="F1048" s="1499">
        <v>17</v>
      </c>
      <c r="G1048" s="1498">
        <v>17</v>
      </c>
      <c r="H1048" s="1498">
        <v>17</v>
      </c>
      <c r="I1048" s="1498">
        <v>16</v>
      </c>
      <c r="J1048" s="1498">
        <v>16</v>
      </c>
    </row>
    <row r="1049" spans="2:10">
      <c r="B1049" s="198" t="s">
        <v>1637</v>
      </c>
      <c r="C1049" s="67">
        <v>0</v>
      </c>
      <c r="D1049" s="1500">
        <v>0</v>
      </c>
      <c r="E1049" s="1500">
        <v>0</v>
      </c>
      <c r="F1049" s="1500">
        <v>0</v>
      </c>
      <c r="G1049" s="1500">
        <v>0</v>
      </c>
      <c r="H1049" s="1500">
        <v>0</v>
      </c>
      <c r="I1049" s="1498">
        <v>0</v>
      </c>
      <c r="J1049" s="1498">
        <v>0</v>
      </c>
    </row>
    <row r="1050" spans="2:10">
      <c r="B1050" s="198" t="s">
        <v>1971</v>
      </c>
      <c r="C1050" s="67">
        <v>14</v>
      </c>
      <c r="D1050" s="1496">
        <v>14</v>
      </c>
      <c r="E1050" s="1497">
        <v>13</v>
      </c>
      <c r="F1050" s="1497">
        <v>13</v>
      </c>
      <c r="G1050" s="1498">
        <v>13</v>
      </c>
      <c r="H1050" s="1498">
        <v>13</v>
      </c>
      <c r="I1050" s="1498">
        <v>12</v>
      </c>
      <c r="J1050" s="1498">
        <v>12</v>
      </c>
    </row>
    <row r="1051" spans="2:10">
      <c r="B1051" s="198" t="s">
        <v>1972</v>
      </c>
      <c r="C1051" s="67">
        <v>3</v>
      </c>
      <c r="D1051" s="1496">
        <v>3</v>
      </c>
      <c r="E1051" s="1497">
        <v>2</v>
      </c>
      <c r="F1051" s="1497">
        <v>2</v>
      </c>
      <c r="G1051" s="1498">
        <v>2</v>
      </c>
      <c r="H1051" s="1498">
        <v>2</v>
      </c>
      <c r="I1051" s="1498">
        <v>2</v>
      </c>
      <c r="J1051" s="1498">
        <v>2</v>
      </c>
    </row>
    <row r="1052" spans="2:10">
      <c r="B1052" s="198" t="s">
        <v>1973</v>
      </c>
      <c r="C1052" s="67">
        <v>0</v>
      </c>
      <c r="D1052" s="1501">
        <v>0</v>
      </c>
      <c r="E1052" s="1497">
        <v>1</v>
      </c>
      <c r="F1052" s="1497">
        <v>1</v>
      </c>
      <c r="G1052" s="1498">
        <v>1</v>
      </c>
      <c r="H1052" s="1498">
        <v>1</v>
      </c>
      <c r="I1052" s="1498">
        <v>1</v>
      </c>
      <c r="J1052" s="1498">
        <v>1</v>
      </c>
    </row>
    <row r="1053" spans="2:10">
      <c r="B1053" s="188" t="s">
        <v>1974</v>
      </c>
      <c r="C1053" s="67">
        <v>0</v>
      </c>
      <c r="D1053" s="1501">
        <v>0</v>
      </c>
      <c r="E1053" s="1497">
        <v>1</v>
      </c>
      <c r="F1053" s="1497">
        <v>1</v>
      </c>
      <c r="G1053" s="1498">
        <v>1</v>
      </c>
      <c r="H1053" s="1498">
        <v>1</v>
      </c>
      <c r="I1053" s="1498">
        <v>1</v>
      </c>
      <c r="J1053" s="1498">
        <v>1</v>
      </c>
    </row>
    <row r="1054" spans="2:10">
      <c r="B1054" s="198" t="s">
        <v>1975</v>
      </c>
      <c r="C1054" s="67">
        <v>34</v>
      </c>
      <c r="D1054" s="1502">
        <v>34</v>
      </c>
      <c r="E1054" s="1502">
        <v>43</v>
      </c>
      <c r="F1054" s="1502">
        <v>43</v>
      </c>
      <c r="G1054" s="1498">
        <v>41</v>
      </c>
      <c r="H1054" s="1498">
        <v>42</v>
      </c>
      <c r="I1054" s="1498">
        <v>45</v>
      </c>
      <c r="J1054" s="1498">
        <v>53</v>
      </c>
    </row>
    <row r="1055" spans="2:10">
      <c r="B1055" s="198" t="s">
        <v>1976</v>
      </c>
      <c r="C1055" s="67">
        <v>26</v>
      </c>
      <c r="D1055" s="1496">
        <v>26</v>
      </c>
      <c r="E1055" s="1497">
        <v>30</v>
      </c>
      <c r="F1055" s="1497">
        <v>30</v>
      </c>
      <c r="G1055" s="1496">
        <v>30</v>
      </c>
      <c r="H1055" s="1496">
        <v>30</v>
      </c>
      <c r="I1055" s="1498">
        <v>32</v>
      </c>
      <c r="J1055" s="1498">
        <v>41</v>
      </c>
    </row>
    <row r="1056" spans="2:10">
      <c r="B1056" s="198" t="s">
        <v>1977</v>
      </c>
      <c r="C1056" s="67">
        <v>8</v>
      </c>
      <c r="D1056" s="1496">
        <v>8</v>
      </c>
      <c r="E1056" s="1497">
        <v>6</v>
      </c>
      <c r="F1056" s="1497">
        <v>6</v>
      </c>
      <c r="G1056" s="1496">
        <v>3</v>
      </c>
      <c r="H1056" s="1496">
        <v>3</v>
      </c>
      <c r="I1056" s="1498">
        <v>3</v>
      </c>
      <c r="J1056" s="1498">
        <v>3</v>
      </c>
    </row>
    <row r="1057" spans="2:10">
      <c r="B1057" s="198" t="s">
        <v>1978</v>
      </c>
      <c r="C1057" s="67">
        <v>0</v>
      </c>
      <c r="D1057" s="1501">
        <v>0</v>
      </c>
      <c r="E1057" s="1501">
        <v>0</v>
      </c>
      <c r="F1057" s="1501">
        <v>0</v>
      </c>
      <c r="G1057" s="1501">
        <v>0</v>
      </c>
      <c r="H1057" s="1503">
        <v>0</v>
      </c>
      <c r="I1057" s="887">
        <v>0</v>
      </c>
      <c r="J1057" s="887">
        <v>0</v>
      </c>
    </row>
    <row r="1058" spans="2:10">
      <c r="B1058" s="188" t="s">
        <v>1979</v>
      </c>
      <c r="C1058" s="67">
        <v>0</v>
      </c>
      <c r="D1058" s="1500">
        <v>0</v>
      </c>
      <c r="E1058" s="1497">
        <v>7</v>
      </c>
      <c r="F1058" s="1497">
        <v>7</v>
      </c>
      <c r="G1058" s="1498">
        <v>8</v>
      </c>
      <c r="H1058" s="1498">
        <v>9</v>
      </c>
      <c r="I1058" s="1498">
        <v>9</v>
      </c>
      <c r="J1058" s="1498">
        <v>9</v>
      </c>
    </row>
    <row r="1059" spans="2:10" ht="15" thickBot="1">
      <c r="B1059" s="198" t="s">
        <v>1980</v>
      </c>
      <c r="C1059" s="67">
        <v>1</v>
      </c>
      <c r="D1059" s="1504">
        <v>1</v>
      </c>
      <c r="E1059" s="1505">
        <v>1</v>
      </c>
      <c r="F1059" s="1505">
        <v>1</v>
      </c>
      <c r="G1059" s="1505">
        <v>2</v>
      </c>
      <c r="H1059" s="1505">
        <v>2</v>
      </c>
      <c r="I1059" s="1506">
        <v>1</v>
      </c>
      <c r="J1059" s="1507">
        <v>1</v>
      </c>
    </row>
    <row r="1060" spans="2:10" ht="15" thickTop="1">
      <c r="B1060" s="2025" t="s">
        <v>1981</v>
      </c>
      <c r="C1060" s="2025"/>
      <c r="D1060" s="2025"/>
      <c r="E1060" s="2025"/>
      <c r="F1060" s="2025"/>
      <c r="G1060" s="2025"/>
      <c r="H1060" s="2025"/>
      <c r="I1060" s="2025"/>
    </row>
    <row r="1061" spans="2:10" ht="34.5" customHeight="1">
      <c r="B1061" s="2065" t="s">
        <v>1982</v>
      </c>
      <c r="C1061" s="2065"/>
      <c r="D1061" s="2065"/>
      <c r="E1061" s="2065"/>
      <c r="F1061" s="2065"/>
      <c r="G1061" s="2065"/>
      <c r="H1061" s="2065"/>
      <c r="I1061" s="108"/>
    </row>
    <row r="1062" spans="2:10">
      <c r="B1062" s="2062" t="s">
        <v>1983</v>
      </c>
      <c r="C1062" s="2062"/>
      <c r="D1062" s="2062"/>
      <c r="E1062" s="2062"/>
      <c r="F1062" s="2062"/>
      <c r="G1062" s="2062"/>
      <c r="H1062" s="2062"/>
      <c r="I1062" s="108"/>
    </row>
    <row r="1063" spans="2:10" ht="67.5" customHeight="1">
      <c r="B1063" s="2063" t="s">
        <v>1984</v>
      </c>
      <c r="C1063" s="2063"/>
      <c r="D1063" s="2063"/>
      <c r="E1063" s="2063"/>
      <c r="F1063" s="2063"/>
      <c r="G1063" s="2063"/>
      <c r="H1063" s="2063"/>
      <c r="I1063" s="108"/>
    </row>
    <row r="1064" spans="2:10">
      <c r="B1064" s="1"/>
      <c r="C1064" s="121"/>
      <c r="D1064" s="121"/>
      <c r="E1064" s="121"/>
      <c r="F1064" s="121"/>
      <c r="G1064" s="121"/>
      <c r="H1064" s="121"/>
      <c r="I1064" s="121"/>
    </row>
    <row r="1065" spans="2:10">
      <c r="B1065" s="14" t="s">
        <v>767</v>
      </c>
      <c r="C1065" s="236"/>
      <c r="D1065" s="236"/>
      <c r="E1065" s="236"/>
      <c r="F1065" s="236"/>
      <c r="G1065" s="236"/>
      <c r="H1065" s="236"/>
      <c r="I1065" s="236"/>
      <c r="J1065" s="236"/>
    </row>
    <row r="1066" spans="2:10">
      <c r="B1066" s="12" t="s">
        <v>766</v>
      </c>
      <c r="C1066" s="121"/>
      <c r="D1066" s="121"/>
      <c r="E1066" s="121"/>
      <c r="F1066" s="121"/>
      <c r="G1066" s="121"/>
      <c r="H1066" s="121"/>
      <c r="I1066" s="121"/>
    </row>
    <row r="1067" spans="2:10">
      <c r="B1067" s="1495" t="s">
        <v>269</v>
      </c>
      <c r="C1067" s="121"/>
      <c r="D1067" s="121"/>
      <c r="E1067" s="121"/>
      <c r="F1067" s="121"/>
      <c r="G1067" s="121"/>
      <c r="H1067" s="121"/>
      <c r="I1067" s="121"/>
    </row>
    <row r="1068" spans="2:10">
      <c r="B1068" s="1"/>
      <c r="C1068" s="121"/>
      <c r="D1068" s="121"/>
      <c r="E1068" s="121"/>
      <c r="F1068" s="121"/>
      <c r="G1068" s="121"/>
      <c r="H1068" s="121"/>
      <c r="I1068" s="121"/>
    </row>
    <row r="1069" spans="2:10">
      <c r="B1069" s="61"/>
      <c r="C1069" s="60">
        <v>2014</v>
      </c>
      <c r="D1069" s="60">
        <v>2015</v>
      </c>
      <c r="E1069" s="60">
        <v>2016</v>
      </c>
      <c r="F1069" s="60">
        <v>2017</v>
      </c>
      <c r="G1069" s="60">
        <v>2018</v>
      </c>
      <c r="H1069" s="60">
        <v>2019</v>
      </c>
      <c r="I1069" s="60">
        <v>2020</v>
      </c>
      <c r="J1069" s="60">
        <v>2021</v>
      </c>
    </row>
    <row r="1070" spans="2:10">
      <c r="B1070" s="188" t="s">
        <v>329</v>
      </c>
      <c r="C1070" s="67">
        <v>1</v>
      </c>
      <c r="D1070" s="1508">
        <v>1</v>
      </c>
      <c r="E1070" s="1499">
        <v>1</v>
      </c>
      <c r="F1070" s="1499">
        <v>1</v>
      </c>
      <c r="G1070" s="1499">
        <v>1</v>
      </c>
      <c r="H1070" s="1499">
        <v>1</v>
      </c>
      <c r="I1070" s="1499">
        <v>1</v>
      </c>
      <c r="J1070" s="1499">
        <v>1</v>
      </c>
    </row>
    <row r="1071" spans="2:10">
      <c r="B1071" s="188" t="s">
        <v>1970</v>
      </c>
      <c r="C1071" s="67">
        <v>2102</v>
      </c>
      <c r="D1071" s="1502">
        <v>2171</v>
      </c>
      <c r="E1071" s="1502">
        <v>2703</v>
      </c>
      <c r="F1071" s="1502">
        <v>2985</v>
      </c>
      <c r="G1071" s="1502">
        <v>3399</v>
      </c>
      <c r="H1071" s="1502">
        <v>5857</v>
      </c>
      <c r="I1071" s="1509">
        <v>5730</v>
      </c>
      <c r="J1071" s="1509">
        <v>6805</v>
      </c>
    </row>
    <row r="1072" spans="2:10">
      <c r="B1072" s="188" t="s">
        <v>260</v>
      </c>
      <c r="C1072" s="67">
        <v>1894</v>
      </c>
      <c r="D1072" s="1502">
        <v>1933</v>
      </c>
      <c r="E1072" s="1502">
        <v>2236</v>
      </c>
      <c r="F1072" s="1502">
        <v>2480</v>
      </c>
      <c r="G1072" s="1502">
        <v>2839</v>
      </c>
      <c r="H1072" s="1502">
        <v>3404</v>
      </c>
      <c r="I1072" s="1509">
        <v>3210</v>
      </c>
      <c r="J1072" s="1509">
        <v>3354</v>
      </c>
    </row>
    <row r="1073" spans="2:10">
      <c r="B1073" s="198" t="s">
        <v>1637</v>
      </c>
      <c r="C1073" s="67">
        <v>1733</v>
      </c>
      <c r="D1073" s="1499">
        <v>1772</v>
      </c>
      <c r="E1073" s="1499">
        <v>2064</v>
      </c>
      <c r="F1073" s="1499">
        <v>2082</v>
      </c>
      <c r="G1073" s="1499">
        <v>2433</v>
      </c>
      <c r="H1073" s="1499">
        <v>2703</v>
      </c>
      <c r="I1073" s="1509">
        <v>2813</v>
      </c>
      <c r="J1073" s="1509">
        <v>2899</v>
      </c>
    </row>
    <row r="1074" spans="2:10">
      <c r="B1074" s="198" t="s">
        <v>1971</v>
      </c>
      <c r="C1074" s="67">
        <v>161</v>
      </c>
      <c r="D1074" s="1499">
        <v>161</v>
      </c>
      <c r="E1074" s="1499">
        <v>159</v>
      </c>
      <c r="F1074" s="1499">
        <v>106</v>
      </c>
      <c r="G1074" s="1499">
        <v>106</v>
      </c>
      <c r="H1074" s="1499">
        <v>105</v>
      </c>
      <c r="I1074" s="1509">
        <v>106</v>
      </c>
      <c r="J1074" s="1509">
        <v>110</v>
      </c>
    </row>
    <row r="1075" spans="2:10">
      <c r="B1075" s="198" t="s">
        <v>1972</v>
      </c>
      <c r="C1075" s="67">
        <v>0</v>
      </c>
      <c r="D1075" s="1510">
        <v>0</v>
      </c>
      <c r="E1075" s="1510">
        <v>0</v>
      </c>
      <c r="F1075" s="1499">
        <v>266</v>
      </c>
      <c r="G1075" s="1499">
        <v>271</v>
      </c>
      <c r="H1075" s="1511">
        <v>559</v>
      </c>
      <c r="I1075" s="1509">
        <v>254</v>
      </c>
      <c r="J1075" s="1509">
        <v>306</v>
      </c>
    </row>
    <row r="1076" spans="2:10">
      <c r="B1076" s="198" t="s">
        <v>1973</v>
      </c>
      <c r="C1076" s="67">
        <v>0</v>
      </c>
      <c r="D1076" s="1510">
        <v>0</v>
      </c>
      <c r="E1076" s="1499">
        <v>13</v>
      </c>
      <c r="F1076" s="1499">
        <v>26</v>
      </c>
      <c r="G1076" s="1499">
        <v>29</v>
      </c>
      <c r="H1076" s="1499">
        <v>37</v>
      </c>
      <c r="I1076" s="1509">
        <v>37</v>
      </c>
      <c r="J1076" s="1509">
        <v>39</v>
      </c>
    </row>
    <row r="1077" spans="2:10">
      <c r="B1077" s="188" t="s">
        <v>1974</v>
      </c>
      <c r="C1077" s="67">
        <v>208</v>
      </c>
      <c r="D1077" s="1502">
        <v>238</v>
      </c>
      <c r="E1077" s="1502">
        <v>480</v>
      </c>
      <c r="F1077" s="1502">
        <v>505</v>
      </c>
      <c r="G1077" s="1502">
        <v>560</v>
      </c>
      <c r="H1077" s="1502">
        <v>623</v>
      </c>
      <c r="I1077" s="1509">
        <v>619</v>
      </c>
      <c r="J1077" s="1509">
        <v>626</v>
      </c>
    </row>
    <row r="1078" spans="2:10">
      <c r="B1078" s="198" t="s">
        <v>1975</v>
      </c>
      <c r="C1078" s="67">
        <v>160</v>
      </c>
      <c r="D1078" s="1499">
        <v>177</v>
      </c>
      <c r="E1078" s="1499">
        <v>203</v>
      </c>
      <c r="F1078" s="1499">
        <v>225</v>
      </c>
      <c r="G1078" s="1499">
        <v>228</v>
      </c>
      <c r="H1078" s="1499">
        <v>236</v>
      </c>
      <c r="I1078" s="1509">
        <v>233</v>
      </c>
      <c r="J1078" s="1509">
        <v>247</v>
      </c>
    </row>
    <row r="1079" spans="2:10">
      <c r="B1079" s="198" t="s">
        <v>1976</v>
      </c>
      <c r="C1079" s="67">
        <v>48</v>
      </c>
      <c r="D1079" s="1499">
        <v>61</v>
      </c>
      <c r="E1079" s="1499">
        <v>39</v>
      </c>
      <c r="F1079" s="1499">
        <v>39</v>
      </c>
      <c r="G1079" s="1499">
        <v>32</v>
      </c>
      <c r="H1079" s="1499">
        <v>39</v>
      </c>
      <c r="I1079" s="1509">
        <v>39</v>
      </c>
      <c r="J1079" s="1509">
        <v>38</v>
      </c>
    </row>
    <row r="1080" spans="2:10">
      <c r="B1080" s="198" t="s">
        <v>1977</v>
      </c>
      <c r="C1080" s="67">
        <v>0</v>
      </c>
      <c r="D1080" s="1512">
        <v>0</v>
      </c>
      <c r="E1080" s="1499">
        <v>238</v>
      </c>
      <c r="F1080" s="1499">
        <v>241</v>
      </c>
      <c r="G1080" s="1499">
        <v>300</v>
      </c>
      <c r="H1080" s="1499">
        <v>348</v>
      </c>
      <c r="I1080" s="1509">
        <v>347</v>
      </c>
      <c r="J1080" s="1509">
        <v>341</v>
      </c>
    </row>
    <row r="1081" spans="2:10">
      <c r="B1081" s="198" t="s">
        <v>1978</v>
      </c>
      <c r="C1081" s="67">
        <v>0</v>
      </c>
      <c r="D1081" s="1510">
        <v>0</v>
      </c>
      <c r="E1081" s="1510">
        <v>0</v>
      </c>
      <c r="F1081" s="1510">
        <v>0</v>
      </c>
      <c r="G1081" s="1510">
        <v>0</v>
      </c>
      <c r="H1081" s="1510">
        <v>0</v>
      </c>
      <c r="I1081" s="1498">
        <v>0</v>
      </c>
      <c r="J1081" s="1498">
        <v>0</v>
      </c>
    </row>
    <row r="1082" spans="2:10">
      <c r="B1082" s="188" t="s">
        <v>1979</v>
      </c>
      <c r="C1082" s="67">
        <v>1134</v>
      </c>
      <c r="D1082" s="1511">
        <v>1422</v>
      </c>
      <c r="E1082" s="1511">
        <v>1481</v>
      </c>
      <c r="F1082" s="1511">
        <v>1512</v>
      </c>
      <c r="G1082" s="1511">
        <v>1732</v>
      </c>
      <c r="H1082" s="1511">
        <v>1830</v>
      </c>
      <c r="I1082" s="1509">
        <v>1901</v>
      </c>
      <c r="J1082" s="1509">
        <v>2825</v>
      </c>
    </row>
    <row r="1083" spans="2:10" ht="15" thickBot="1">
      <c r="B1083" s="198" t="s">
        <v>1980</v>
      </c>
      <c r="C1083" s="67">
        <v>1134</v>
      </c>
      <c r="D1083" s="1513">
        <v>1422</v>
      </c>
      <c r="E1083" s="1513">
        <v>1481</v>
      </c>
      <c r="F1083" s="1513">
        <v>1512</v>
      </c>
      <c r="G1083" s="1513">
        <v>1732</v>
      </c>
      <c r="H1083" s="1513">
        <v>1830</v>
      </c>
      <c r="I1083" s="1513">
        <v>1901</v>
      </c>
      <c r="J1083" s="1514">
        <v>2825</v>
      </c>
    </row>
    <row r="1084" spans="2:10" ht="15" thickTop="1">
      <c r="B1084" s="2025" t="s">
        <v>1981</v>
      </c>
      <c r="C1084" s="2025"/>
      <c r="D1084" s="2025"/>
      <c r="E1084" s="2025"/>
      <c r="F1084" s="2025"/>
      <c r="G1084" s="2025"/>
      <c r="H1084" s="2025"/>
      <c r="I1084" s="2025"/>
    </row>
    <row r="1085" spans="2:10" ht="26.25" customHeight="1">
      <c r="B1085" s="2064" t="s">
        <v>1982</v>
      </c>
      <c r="C1085" s="2064"/>
      <c r="D1085" s="2064"/>
      <c r="E1085" s="2064"/>
      <c r="F1085" s="2064"/>
      <c r="G1085" s="2064"/>
      <c r="H1085" s="2064"/>
      <c r="I1085" s="108"/>
    </row>
    <row r="1086" spans="2:10" ht="26.25" customHeight="1">
      <c r="B1086" s="2062" t="s">
        <v>1983</v>
      </c>
      <c r="C1086" s="2062"/>
      <c r="D1086" s="2062"/>
      <c r="E1086" s="2062"/>
      <c r="F1086" s="2062"/>
      <c r="G1086" s="2062"/>
      <c r="H1086" s="2062"/>
      <c r="I1086" s="108"/>
    </row>
    <row r="1087" spans="2:10" ht="66.75" customHeight="1">
      <c r="B1087" s="2063" t="s">
        <v>1985</v>
      </c>
      <c r="C1087" s="2063"/>
      <c r="D1087" s="2063"/>
      <c r="E1087" s="2063"/>
      <c r="F1087" s="2063"/>
      <c r="G1087" s="2063"/>
      <c r="H1087" s="2063"/>
      <c r="I1087" s="108"/>
    </row>
    <row r="1088" spans="2:10" ht="15" customHeight="1">
      <c r="B1088" s="1"/>
      <c r="C1088" s="121"/>
      <c r="D1088" s="121"/>
      <c r="E1088" s="121"/>
      <c r="F1088" s="121"/>
      <c r="G1088" s="121"/>
      <c r="H1088" s="121"/>
      <c r="I1088" s="121"/>
    </row>
    <row r="1089" spans="2:10" ht="15" customHeight="1">
      <c r="B1089" s="14" t="s">
        <v>769</v>
      </c>
      <c r="C1089" s="236"/>
      <c r="D1089" s="236"/>
      <c r="E1089" s="236"/>
      <c r="F1089" s="236"/>
      <c r="G1089" s="236"/>
      <c r="H1089" s="236"/>
      <c r="I1089" s="236"/>
      <c r="J1089" s="236"/>
    </row>
    <row r="1090" spans="2:10" ht="15" customHeight="1">
      <c r="B1090" s="12" t="s">
        <v>768</v>
      </c>
      <c r="C1090" s="121"/>
      <c r="D1090" s="121"/>
      <c r="E1090" s="121"/>
      <c r="F1090" s="121"/>
      <c r="G1090" s="121"/>
      <c r="H1090" s="121"/>
      <c r="I1090" s="121"/>
    </row>
    <row r="1091" spans="2:10">
      <c r="B1091" s="1495" t="s">
        <v>269</v>
      </c>
      <c r="C1091" s="121"/>
      <c r="D1091" s="121"/>
      <c r="E1091" s="121"/>
      <c r="F1091" s="121"/>
      <c r="G1091" s="121"/>
      <c r="H1091" s="121"/>
      <c r="I1091" s="121"/>
    </row>
    <row r="1092" spans="2:10">
      <c r="B1092" s="1515"/>
      <c r="C1092" s="121"/>
      <c r="D1092" s="121"/>
      <c r="E1092" s="121"/>
      <c r="F1092" s="121"/>
      <c r="G1092" s="121"/>
      <c r="H1092" s="121"/>
      <c r="I1092" s="121"/>
    </row>
    <row r="1093" spans="2:10">
      <c r="B1093" s="61"/>
      <c r="C1093" s="60">
        <v>2014</v>
      </c>
      <c r="D1093" s="60">
        <v>2015</v>
      </c>
      <c r="E1093" s="60">
        <v>2016</v>
      </c>
      <c r="F1093" s="60">
        <v>2017</v>
      </c>
      <c r="G1093" s="60">
        <v>2018</v>
      </c>
      <c r="H1093" s="60">
        <v>2019</v>
      </c>
      <c r="I1093" s="60">
        <v>2020</v>
      </c>
      <c r="J1093" s="60">
        <v>2021</v>
      </c>
    </row>
    <row r="1094" spans="2:10">
      <c r="B1094" s="1516" t="s">
        <v>329</v>
      </c>
      <c r="C1094" s="67">
        <v>0</v>
      </c>
      <c r="D1094" s="1517">
        <v>713</v>
      </c>
      <c r="E1094" s="1517">
        <v>713</v>
      </c>
      <c r="F1094" s="1518">
        <v>713</v>
      </c>
      <c r="G1094" s="1518">
        <v>710</v>
      </c>
      <c r="H1094" s="1518">
        <v>663</v>
      </c>
      <c r="I1094" s="887">
        <v>622</v>
      </c>
      <c r="J1094" s="887">
        <v>555</v>
      </c>
    </row>
    <row r="1095" spans="2:10">
      <c r="B1095" s="1519" t="s">
        <v>1970</v>
      </c>
      <c r="C1095" s="67">
        <v>0</v>
      </c>
      <c r="D1095" s="1518">
        <v>30625.5</v>
      </c>
      <c r="E1095" s="1518">
        <v>32725</v>
      </c>
      <c r="F1095" s="1518">
        <v>35428</v>
      </c>
      <c r="G1095" s="1518">
        <v>36892</v>
      </c>
      <c r="H1095" s="1518">
        <v>38399</v>
      </c>
      <c r="I1095" s="1518">
        <v>37315</v>
      </c>
      <c r="J1095" s="1518">
        <v>37877</v>
      </c>
    </row>
    <row r="1096" spans="2:10">
      <c r="B1096" s="1519" t="s">
        <v>260</v>
      </c>
      <c r="C1096" s="67">
        <v>0</v>
      </c>
      <c r="D1096" s="1518">
        <v>28021</v>
      </c>
      <c r="E1096" s="1518">
        <v>27408</v>
      </c>
      <c r="F1096" s="1518">
        <v>29394</v>
      </c>
      <c r="G1096" s="1518">
        <v>30162</v>
      </c>
      <c r="H1096" s="1518">
        <v>31077</v>
      </c>
      <c r="I1096" s="1518">
        <v>30325</v>
      </c>
      <c r="J1096" s="1518">
        <v>30615</v>
      </c>
    </row>
    <row r="1097" spans="2:10">
      <c r="B1097" s="1520" t="s">
        <v>260</v>
      </c>
      <c r="C1097" s="67">
        <v>0</v>
      </c>
      <c r="D1097" s="1521">
        <v>0</v>
      </c>
      <c r="E1097" s="1521">
        <v>0</v>
      </c>
      <c r="F1097" s="1521">
        <v>0</v>
      </c>
      <c r="G1097" s="1521">
        <v>0</v>
      </c>
      <c r="H1097" s="1521">
        <v>0</v>
      </c>
      <c r="I1097" s="887">
        <v>0</v>
      </c>
      <c r="J1097" s="887">
        <v>0</v>
      </c>
    </row>
    <row r="1098" spans="2:10">
      <c r="B1098" s="1520" t="s">
        <v>1971</v>
      </c>
      <c r="C1098" s="67">
        <v>0</v>
      </c>
      <c r="D1098" s="1521">
        <v>21292</v>
      </c>
      <c r="E1098" s="1521">
        <v>20864</v>
      </c>
      <c r="F1098" s="1518">
        <v>23035</v>
      </c>
      <c r="G1098" s="1518">
        <v>23510</v>
      </c>
      <c r="H1098" s="1518">
        <v>24025</v>
      </c>
      <c r="I1098" s="1522">
        <v>23125</v>
      </c>
      <c r="J1098" s="887">
        <v>23347</v>
      </c>
    </row>
    <row r="1099" spans="2:10">
      <c r="B1099" s="1520" t="s">
        <v>1986</v>
      </c>
      <c r="C1099" s="67">
        <v>0</v>
      </c>
      <c r="D1099" s="1521">
        <v>2137</v>
      </c>
      <c r="E1099" s="1521">
        <v>1845</v>
      </c>
      <c r="F1099" s="1518">
        <v>1457</v>
      </c>
      <c r="G1099" s="1518">
        <v>1485</v>
      </c>
      <c r="H1099" s="1518">
        <v>1536</v>
      </c>
      <c r="I1099" s="1522">
        <v>1453</v>
      </c>
      <c r="J1099" s="887">
        <v>1533</v>
      </c>
    </row>
    <row r="1100" spans="2:10">
      <c r="B1100" s="1523" t="s">
        <v>1987</v>
      </c>
      <c r="C1100" s="67">
        <v>0</v>
      </c>
      <c r="D1100" s="1521">
        <v>4447</v>
      </c>
      <c r="E1100" s="1521">
        <v>4474</v>
      </c>
      <c r="F1100" s="1518">
        <v>4616</v>
      </c>
      <c r="G1100" s="1518">
        <v>4794</v>
      </c>
      <c r="H1100" s="1518">
        <v>5057</v>
      </c>
      <c r="I1100" s="1522">
        <v>5279</v>
      </c>
      <c r="J1100" s="1518">
        <v>5191</v>
      </c>
    </row>
    <row r="1101" spans="2:10">
      <c r="B1101" s="1523" t="s">
        <v>1988</v>
      </c>
      <c r="C1101" s="67">
        <v>0</v>
      </c>
      <c r="D1101" s="1521">
        <v>145</v>
      </c>
      <c r="E1101" s="1521">
        <v>225</v>
      </c>
      <c r="F1101" s="1518">
        <v>286</v>
      </c>
      <c r="G1101" s="1518">
        <v>373</v>
      </c>
      <c r="H1101" s="1518">
        <v>459</v>
      </c>
      <c r="I1101" s="887">
        <v>468</v>
      </c>
      <c r="J1101" s="887">
        <v>544</v>
      </c>
    </row>
    <row r="1102" spans="2:10">
      <c r="B1102" s="1519" t="s">
        <v>1989</v>
      </c>
      <c r="C1102" s="67">
        <v>0</v>
      </c>
      <c r="D1102" s="1524">
        <v>2561.5</v>
      </c>
      <c r="E1102" s="1518">
        <v>5272</v>
      </c>
      <c r="F1102" s="1518">
        <v>5973</v>
      </c>
      <c r="G1102" s="1518">
        <v>6666</v>
      </c>
      <c r="H1102" s="1518">
        <v>7291</v>
      </c>
      <c r="I1102" s="1525">
        <v>6967</v>
      </c>
      <c r="J1102" s="1522">
        <v>7240</v>
      </c>
    </row>
    <row r="1103" spans="2:10">
      <c r="B1103" s="1520" t="s">
        <v>1975</v>
      </c>
      <c r="C1103" s="67">
        <v>0</v>
      </c>
      <c r="D1103" s="1524">
        <v>2018</v>
      </c>
      <c r="E1103" s="1524">
        <v>2120</v>
      </c>
      <c r="F1103" s="1518">
        <v>2617</v>
      </c>
      <c r="G1103" s="1518">
        <v>2589</v>
      </c>
      <c r="H1103" s="1518">
        <v>2648</v>
      </c>
      <c r="I1103" s="1522">
        <v>2423</v>
      </c>
      <c r="J1103" s="1522">
        <v>2606</v>
      </c>
    </row>
    <row r="1104" spans="2:10">
      <c r="B1104" s="1520" t="s">
        <v>1990</v>
      </c>
      <c r="C1104" s="67">
        <v>0</v>
      </c>
      <c r="D1104" s="1524">
        <v>543.5</v>
      </c>
      <c r="E1104" s="1524">
        <v>388</v>
      </c>
      <c r="F1104" s="1518">
        <v>402</v>
      </c>
      <c r="G1104" s="1518">
        <v>377</v>
      </c>
      <c r="H1104" s="1518">
        <v>377</v>
      </c>
      <c r="I1104" s="1522">
        <v>372</v>
      </c>
      <c r="J1104" s="1522">
        <v>373</v>
      </c>
    </row>
    <row r="1105" spans="2:15">
      <c r="B1105" s="1520" t="s">
        <v>1977</v>
      </c>
      <c r="C1105" s="67">
        <v>0</v>
      </c>
      <c r="D1105" s="1521">
        <v>0</v>
      </c>
      <c r="E1105" s="1524">
        <v>2764</v>
      </c>
      <c r="F1105" s="1518">
        <v>2954</v>
      </c>
      <c r="G1105" s="1518">
        <v>3700</v>
      </c>
      <c r="H1105" s="1518">
        <v>4266</v>
      </c>
      <c r="I1105" s="1522">
        <v>4172</v>
      </c>
      <c r="J1105" s="1526">
        <v>4261</v>
      </c>
    </row>
    <row r="1106" spans="2:15">
      <c r="B1106" s="1520" t="s">
        <v>1978</v>
      </c>
      <c r="C1106" s="67">
        <v>0</v>
      </c>
      <c r="D1106" s="1521">
        <v>0</v>
      </c>
      <c r="E1106" s="1521">
        <v>0</v>
      </c>
      <c r="F1106" s="1521">
        <v>0</v>
      </c>
      <c r="G1106" s="1521">
        <v>0</v>
      </c>
      <c r="H1106" s="1521">
        <v>0</v>
      </c>
      <c r="I1106" s="887">
        <v>0</v>
      </c>
      <c r="J1106" s="887">
        <v>0</v>
      </c>
    </row>
    <row r="1107" spans="2:15">
      <c r="B1107" s="1497" t="s">
        <v>1991</v>
      </c>
      <c r="C1107" s="67">
        <v>0</v>
      </c>
      <c r="D1107" s="1521">
        <v>43</v>
      </c>
      <c r="E1107" s="1521">
        <v>45</v>
      </c>
      <c r="F1107" s="1521">
        <v>61</v>
      </c>
      <c r="G1107" s="1521">
        <v>64</v>
      </c>
      <c r="H1107" s="1521">
        <v>31</v>
      </c>
      <c r="I1107" s="1518">
        <v>23</v>
      </c>
      <c r="J1107" s="887">
        <v>22</v>
      </c>
    </row>
    <row r="1108" spans="2:15" ht="15" thickBot="1">
      <c r="B1108" s="1527" t="s">
        <v>1992</v>
      </c>
      <c r="C1108" s="117">
        <v>0</v>
      </c>
      <c r="D1108" s="1528">
        <v>43</v>
      </c>
      <c r="E1108" s="1528">
        <v>45</v>
      </c>
      <c r="F1108" s="1528">
        <v>61</v>
      </c>
      <c r="G1108" s="1528">
        <v>64</v>
      </c>
      <c r="H1108" s="1528">
        <v>31</v>
      </c>
      <c r="I1108" s="1528">
        <v>23</v>
      </c>
      <c r="J1108" s="1528">
        <v>22</v>
      </c>
    </row>
    <row r="1109" spans="2:15" ht="15.75" customHeight="1" thickTop="1">
      <c r="B1109" s="2068" t="s">
        <v>1993</v>
      </c>
      <c r="C1109" s="2068"/>
      <c r="D1109" s="2068"/>
      <c r="E1109" s="2068"/>
      <c r="F1109" s="2068"/>
      <c r="G1109" s="2068"/>
      <c r="H1109" s="2068"/>
      <c r="I1109" s="936"/>
    </row>
    <row r="1110" spans="2:15" ht="15.75" customHeight="1">
      <c r="B1110" s="2065" t="s">
        <v>1994</v>
      </c>
      <c r="C1110" s="2065"/>
      <c r="D1110" s="2065"/>
      <c r="E1110" s="2065"/>
      <c r="F1110" s="2065"/>
      <c r="G1110" s="2065"/>
      <c r="H1110" s="2065"/>
      <c r="I1110" s="936"/>
    </row>
    <row r="1111" spans="2:15" ht="15.75" customHeight="1">
      <c r="B1111" s="2062" t="s">
        <v>1995</v>
      </c>
      <c r="C1111" s="2062"/>
      <c r="D1111" s="2062"/>
      <c r="E1111" s="2062"/>
      <c r="F1111" s="2062"/>
      <c r="G1111" s="2062"/>
      <c r="H1111" s="2062"/>
      <c r="I1111" s="936"/>
    </row>
    <row r="1112" spans="2:15" ht="15.75" customHeight="1">
      <c r="B1112" s="2063" t="s">
        <v>1996</v>
      </c>
      <c r="C1112" s="2063"/>
      <c r="D1112" s="2063"/>
      <c r="E1112" s="2063"/>
      <c r="F1112" s="2063"/>
      <c r="G1112" s="2063"/>
      <c r="H1112" s="2063"/>
      <c r="I1112" s="936"/>
    </row>
    <row r="1113" spans="2:15">
      <c r="B1113" s="1"/>
      <c r="C1113" s="121"/>
      <c r="D1113" s="121"/>
      <c r="E1113" s="121"/>
      <c r="F1113" s="121"/>
      <c r="G1113" s="121"/>
      <c r="H1113" s="121"/>
      <c r="I1113" s="121"/>
    </row>
    <row r="1114" spans="2:15">
      <c r="B1114" s="14" t="s">
        <v>772</v>
      </c>
      <c r="C1114" s="236"/>
      <c r="D1114" s="236"/>
      <c r="E1114" s="236"/>
      <c r="F1114" s="236"/>
      <c r="G1114" s="236"/>
      <c r="H1114" s="236"/>
      <c r="I1114" s="236"/>
      <c r="J1114" s="236"/>
    </row>
    <row r="1115" spans="2:15">
      <c r="B1115" s="12" t="s">
        <v>771</v>
      </c>
      <c r="C1115" s="121"/>
      <c r="D1115" s="121"/>
      <c r="E1115" s="121"/>
      <c r="F1115" s="121"/>
      <c r="G1115" s="121"/>
      <c r="H1115" s="121"/>
      <c r="I1115" s="121"/>
    </row>
    <row r="1116" spans="2:15">
      <c r="B1116" s="1495" t="s">
        <v>1997</v>
      </c>
      <c r="C1116" s="121"/>
      <c r="D1116" s="121"/>
      <c r="E1116" s="121"/>
      <c r="F1116" s="121"/>
      <c r="G1116" s="121"/>
      <c r="H1116" s="121"/>
      <c r="I1116" s="121"/>
    </row>
    <row r="1117" spans="2:15">
      <c r="B1117" s="1529"/>
      <c r="C1117" s="121"/>
      <c r="D1117" s="121"/>
      <c r="E1117" s="121"/>
      <c r="F1117" s="121"/>
      <c r="G1117" s="121"/>
      <c r="H1117" s="121"/>
      <c r="I1117" s="121"/>
    </row>
    <row r="1118" spans="2:15">
      <c r="B1118" s="61"/>
      <c r="C1118" s="60">
        <v>2014</v>
      </c>
      <c r="D1118" s="60">
        <v>2015</v>
      </c>
      <c r="E1118" s="60">
        <v>2016</v>
      </c>
      <c r="F1118" s="60">
        <v>2017</v>
      </c>
      <c r="G1118" s="60">
        <v>2018</v>
      </c>
      <c r="H1118" s="60">
        <v>2019</v>
      </c>
      <c r="I1118" s="60">
        <v>2020</v>
      </c>
      <c r="J1118" s="60">
        <v>2021</v>
      </c>
    </row>
    <row r="1119" spans="2:15">
      <c r="B1119" s="1516" t="s">
        <v>329</v>
      </c>
      <c r="C1119" s="55">
        <v>0</v>
      </c>
      <c r="D1119" s="55">
        <v>19.600428375510202</v>
      </c>
      <c r="E1119" s="55">
        <v>17.63134642696793</v>
      </c>
      <c r="F1119" s="55">
        <v>18.96751253723032</v>
      </c>
      <c r="G1119" s="55">
        <v>18.886913119533528</v>
      </c>
      <c r="H1119" s="55">
        <v>18.556750688629737</v>
      </c>
      <c r="I1119" s="55">
        <v>21.821367346938771</v>
      </c>
      <c r="J1119">
        <v>23.45938250728863</v>
      </c>
      <c r="L1119"/>
      <c r="M1119"/>
      <c r="N1119"/>
      <c r="O1119"/>
    </row>
    <row r="1120" spans="2:15">
      <c r="B1120" s="1519" t="s">
        <v>1970</v>
      </c>
      <c r="C1120" s="55">
        <v>0</v>
      </c>
      <c r="D1120" s="55">
        <v>27.134193122020406</v>
      </c>
      <c r="E1120" s="55">
        <v>29.260007205358601</v>
      </c>
      <c r="F1120" s="55">
        <v>32.762968599731771</v>
      </c>
      <c r="G1120" s="55">
        <v>35.195924499341103</v>
      </c>
      <c r="H1120" s="55">
        <v>37.260111988871714</v>
      </c>
      <c r="I1120" s="55">
        <v>42.003606078699711</v>
      </c>
      <c r="J1120">
        <v>44.937222843311964</v>
      </c>
      <c r="L1120"/>
      <c r="M1120"/>
      <c r="N1120"/>
      <c r="O1120"/>
    </row>
    <row r="1121" spans="2:15">
      <c r="B1121" s="1519" t="s">
        <v>260</v>
      </c>
      <c r="C1121" s="55">
        <v>0</v>
      </c>
      <c r="D1121" s="55">
        <v>25.473967617430027</v>
      </c>
      <c r="E1121" s="55">
        <v>27.038066314139943</v>
      </c>
      <c r="F1121" s="55">
        <v>30.355365856692416</v>
      </c>
      <c r="G1121" s="55">
        <v>32.556542467655973</v>
      </c>
      <c r="H1121" s="55">
        <v>34.504632561629734</v>
      </c>
      <c r="I1121" s="55">
        <v>38.982018663829443</v>
      </c>
      <c r="J1121">
        <v>41.565189588600589</v>
      </c>
      <c r="L1121"/>
      <c r="M1121"/>
      <c r="N1121"/>
      <c r="O1121"/>
    </row>
    <row r="1122" spans="2:15">
      <c r="B1122" s="1520" t="s">
        <v>260</v>
      </c>
      <c r="C1122" s="55">
        <v>0</v>
      </c>
      <c r="D1122" s="55">
        <v>0</v>
      </c>
      <c r="E1122" s="55">
        <v>0</v>
      </c>
      <c r="F1122" s="55">
        <v>0</v>
      </c>
      <c r="G1122" s="55">
        <v>0</v>
      </c>
      <c r="H1122" s="55">
        <v>0</v>
      </c>
      <c r="I1122" s="55">
        <v>0</v>
      </c>
      <c r="J1122" s="55">
        <v>0</v>
      </c>
      <c r="L1122"/>
      <c r="M1122"/>
      <c r="N1122"/>
      <c r="O1122"/>
    </row>
    <row r="1123" spans="2:15">
      <c r="B1123" s="1520" t="s">
        <v>1971</v>
      </c>
      <c r="C1123" s="55">
        <v>0</v>
      </c>
      <c r="D1123" s="55">
        <v>19.56698941483965</v>
      </c>
      <c r="E1123" s="55">
        <v>21.961145087154517</v>
      </c>
      <c r="F1123" s="55">
        <v>25.344300803794457</v>
      </c>
      <c r="G1123" s="55">
        <v>26.81591530228717</v>
      </c>
      <c r="H1123" s="55">
        <v>28.697449643912535</v>
      </c>
      <c r="I1123" s="55">
        <v>31.694916202314861</v>
      </c>
      <c r="J1123">
        <v>33.543737253830905</v>
      </c>
      <c r="L1123"/>
      <c r="M1123"/>
      <c r="N1123"/>
      <c r="O1123"/>
    </row>
    <row r="1124" spans="2:15">
      <c r="B1124" s="1520" t="s">
        <v>1986</v>
      </c>
      <c r="C1124" s="55">
        <v>0</v>
      </c>
      <c r="D1124" s="55">
        <v>1.3399655433935862</v>
      </c>
      <c r="E1124" s="55">
        <v>1.4087682959446064</v>
      </c>
      <c r="F1124" s="55">
        <v>0.66583992656705548</v>
      </c>
      <c r="G1124" s="55">
        <v>0.70039897295043718</v>
      </c>
      <c r="H1124" s="55">
        <v>0.7114090084941691</v>
      </c>
      <c r="I1124" s="55">
        <v>0.79556500226093296</v>
      </c>
      <c r="J1124">
        <v>0.89134181463702622</v>
      </c>
      <c r="L1124"/>
      <c r="M1124"/>
      <c r="N1124"/>
      <c r="O1124"/>
    </row>
    <row r="1125" spans="2:15">
      <c r="B1125" s="1523" t="s">
        <v>1987</v>
      </c>
      <c r="C1125" s="55">
        <v>0</v>
      </c>
      <c r="D1125" s="55">
        <v>4.2330215428731774</v>
      </c>
      <c r="E1125" s="55">
        <v>3.2596537376997086</v>
      </c>
      <c r="F1125" s="55">
        <v>3.8275765257478134</v>
      </c>
      <c r="G1125" s="55">
        <v>4.4025337745262387</v>
      </c>
      <c r="H1125" s="55">
        <v>4.286514689167638</v>
      </c>
      <c r="I1125" s="55">
        <v>5.4527416464956264</v>
      </c>
      <c r="J1125">
        <v>6.0049694201020403</v>
      </c>
      <c r="L1125"/>
      <c r="M1125"/>
      <c r="N1125"/>
      <c r="O1125"/>
    </row>
    <row r="1126" spans="2:15">
      <c r="B1126" s="1523" t="s">
        <v>1988</v>
      </c>
      <c r="C1126" s="55">
        <v>0</v>
      </c>
      <c r="D1126" s="55">
        <v>0.33399111632361517</v>
      </c>
      <c r="E1126" s="55">
        <v>0.40849919334110785</v>
      </c>
      <c r="F1126" s="55">
        <v>0.51764860058309037</v>
      </c>
      <c r="G1126" s="55">
        <v>0.63769441789212833</v>
      </c>
      <c r="H1126" s="55">
        <v>0.80925922005539352</v>
      </c>
      <c r="I1126" s="55">
        <v>1.0387958127580175</v>
      </c>
      <c r="J1126">
        <v>1.1251411000306122</v>
      </c>
      <c r="L1126"/>
      <c r="M1126"/>
      <c r="N1126"/>
      <c r="O1126"/>
    </row>
    <row r="1127" spans="2:15">
      <c r="B1127" s="1519" t="s">
        <v>1989</v>
      </c>
      <c r="C1127" s="55">
        <v>0</v>
      </c>
      <c r="D1127" s="55">
        <v>1.6511922147244897</v>
      </c>
      <c r="E1127" s="55">
        <v>2.211365619074344</v>
      </c>
      <c r="F1127" s="55">
        <v>2.3934592246734696</v>
      </c>
      <c r="G1127" s="55">
        <v>2.6216608768790088</v>
      </c>
      <c r="H1127" s="55">
        <v>2.7363754571122447</v>
      </c>
      <c r="I1127" s="55">
        <v>2.9983741887784254</v>
      </c>
      <c r="J1127">
        <v>3.3425810410087462</v>
      </c>
      <c r="L1127"/>
      <c r="M1127"/>
      <c r="N1127"/>
      <c r="O1127"/>
    </row>
    <row r="1128" spans="2:15">
      <c r="B1128" s="1520" t="s">
        <v>1975</v>
      </c>
      <c r="C1128" s="55">
        <v>0</v>
      </c>
      <c r="D1128" s="55">
        <v>0.98287633488483972</v>
      </c>
      <c r="E1128" s="55">
        <v>1.0879578616311953</v>
      </c>
      <c r="F1128" s="55">
        <v>1.1803851722827987</v>
      </c>
      <c r="G1128" s="55">
        <v>1.2536673174591837</v>
      </c>
      <c r="H1128" s="55">
        <v>1.2587289234023322</v>
      </c>
      <c r="I1128" s="55">
        <v>1.2856712962361514</v>
      </c>
      <c r="J1128">
        <v>1.3798408868600582</v>
      </c>
      <c r="L1128"/>
      <c r="M1128"/>
      <c r="N1128"/>
      <c r="O1128"/>
    </row>
    <row r="1129" spans="2:15">
      <c r="B1129" s="1520" t="s">
        <v>1990</v>
      </c>
      <c r="C1129" s="55">
        <v>0</v>
      </c>
      <c r="D1129" s="55">
        <v>0.66831587983965002</v>
      </c>
      <c r="E1129" s="55">
        <v>0.53544014560058317</v>
      </c>
      <c r="F1129" s="55">
        <v>0.56080048437900876</v>
      </c>
      <c r="G1129" s="55">
        <v>0.57602970161807576</v>
      </c>
      <c r="H1129" s="55">
        <v>0.56930185864868799</v>
      </c>
      <c r="I1129" s="55">
        <v>0.56081305936297376</v>
      </c>
      <c r="J1129">
        <v>0.56597929458892127</v>
      </c>
      <c r="L1129"/>
      <c r="M1129"/>
      <c r="N1129"/>
      <c r="O1129"/>
    </row>
    <row r="1130" spans="2:15">
      <c r="B1130" s="1520" t="s">
        <v>1977</v>
      </c>
      <c r="C1130" s="55">
        <v>0</v>
      </c>
      <c r="D1130" s="55">
        <v>0</v>
      </c>
      <c r="E1130" s="55">
        <v>0.58796761184256552</v>
      </c>
      <c r="F1130" s="55">
        <v>0.65227356801166192</v>
      </c>
      <c r="G1130" s="55">
        <v>0.79196385780174927</v>
      </c>
      <c r="H1130" s="55">
        <v>0.90834467506122452</v>
      </c>
      <c r="I1130" s="55">
        <v>1.1518898331793002</v>
      </c>
      <c r="J1130">
        <v>1.3967608595597669</v>
      </c>
      <c r="L1130"/>
      <c r="M1130"/>
      <c r="N1130"/>
      <c r="O1130"/>
    </row>
    <row r="1131" spans="2:15">
      <c r="B1131" s="1520" t="s">
        <v>1978</v>
      </c>
      <c r="C1131" s="55">
        <v>0</v>
      </c>
      <c r="D1131" s="55">
        <v>0</v>
      </c>
      <c r="E1131" s="55">
        <v>0</v>
      </c>
      <c r="F1131" s="55">
        <v>0</v>
      </c>
      <c r="G1131" s="55">
        <v>0</v>
      </c>
      <c r="H1131" s="55">
        <v>0</v>
      </c>
      <c r="I1131" s="55">
        <v>0</v>
      </c>
      <c r="J1131" s="55">
        <v>0</v>
      </c>
      <c r="L1131"/>
      <c r="M1131"/>
      <c r="N1131"/>
      <c r="O1131"/>
    </row>
    <row r="1132" spans="2:15">
      <c r="B1132" s="1497" t="s">
        <v>1979</v>
      </c>
      <c r="C1132" s="55">
        <v>0</v>
      </c>
      <c r="D1132" s="55">
        <v>9.0332898658892109E-3</v>
      </c>
      <c r="E1132" s="55">
        <v>1.0575272144314867E-2</v>
      </c>
      <c r="F1132" s="55">
        <v>1.4143518365889212E-2</v>
      </c>
      <c r="G1132" s="55">
        <v>1.7721154806122449E-2</v>
      </c>
      <c r="H1132" s="55">
        <v>1.9103970129737607E-2</v>
      </c>
      <c r="I1132" s="55">
        <v>2.3213226091836736E-2</v>
      </c>
      <c r="J1132">
        <v>2.9452213702623908E-2</v>
      </c>
      <c r="L1132"/>
      <c r="M1132"/>
      <c r="N1132"/>
      <c r="O1132"/>
    </row>
    <row r="1133" spans="2:15" ht="15" thickBot="1">
      <c r="B1133" s="1530" t="s">
        <v>1992</v>
      </c>
      <c r="C1133" s="55">
        <v>0</v>
      </c>
      <c r="D1133" s="55">
        <v>9.0332898658892109E-3</v>
      </c>
      <c r="E1133" s="55">
        <v>1.0575272144314867E-2</v>
      </c>
      <c r="F1133" s="55">
        <v>1.4143518365889212E-2</v>
      </c>
      <c r="G1133" s="55">
        <v>1.7721154806122449E-2</v>
      </c>
      <c r="H1133" s="55">
        <v>1.9103970129737607E-2</v>
      </c>
      <c r="I1133" s="55">
        <v>2.3213226091836736E-2</v>
      </c>
      <c r="J1133" s="1407">
        <v>2.9452213702623908E-2</v>
      </c>
      <c r="L1133"/>
      <c r="M1133"/>
      <c r="N1133"/>
      <c r="O1133"/>
    </row>
    <row r="1134" spans="2:15" ht="15" thickTop="1">
      <c r="B1134" s="2025" t="s">
        <v>1981</v>
      </c>
      <c r="C1134" s="2025"/>
      <c r="D1134" s="2025"/>
      <c r="E1134" s="2025"/>
      <c r="F1134" s="2025"/>
      <c r="G1134" s="2025"/>
      <c r="H1134" s="2025"/>
      <c r="I1134" s="2025"/>
      <c r="L1134"/>
      <c r="M1134"/>
      <c r="N1134"/>
      <c r="O1134"/>
    </row>
    <row r="1135" spans="2:15" ht="15" customHeight="1">
      <c r="B1135" s="2066" t="s">
        <v>1998</v>
      </c>
      <c r="C1135" s="2066"/>
      <c r="D1135" s="2066"/>
      <c r="E1135" s="2066"/>
      <c r="F1135" s="2066"/>
      <c r="G1135" s="2066"/>
      <c r="H1135" s="2066"/>
      <c r="I1135" s="2066"/>
      <c r="L1135"/>
      <c r="M1135"/>
      <c r="N1135"/>
      <c r="O1135"/>
    </row>
    <row r="1136" spans="2:15">
      <c r="B1136" s="1"/>
      <c r="C1136" s="121"/>
      <c r="D1136" s="121"/>
      <c r="E1136" s="121"/>
      <c r="F1136" s="121"/>
      <c r="G1136" s="121"/>
      <c r="H1136" s="121"/>
      <c r="I1136" s="121"/>
      <c r="L1136"/>
      <c r="M1136"/>
      <c r="N1136"/>
      <c r="O1136"/>
    </row>
    <row r="1137" spans="2:15">
      <c r="B1137" s="14" t="s">
        <v>774</v>
      </c>
      <c r="C1137" s="236"/>
      <c r="D1137" s="236"/>
      <c r="E1137" s="236"/>
      <c r="F1137" s="236"/>
      <c r="G1137" s="236"/>
      <c r="H1137" s="236"/>
      <c r="I1137" s="236"/>
      <c r="J1137" s="236"/>
      <c r="L1137"/>
      <c r="M1137"/>
      <c r="N1137"/>
      <c r="O1137"/>
    </row>
    <row r="1138" spans="2:15">
      <c r="B1138" s="12" t="s">
        <v>773</v>
      </c>
      <c r="C1138" s="121"/>
      <c r="D1138" s="121"/>
      <c r="E1138" s="121"/>
      <c r="F1138" s="121"/>
      <c r="G1138" s="121"/>
      <c r="H1138" s="121"/>
      <c r="I1138" s="121"/>
      <c r="L1138"/>
      <c r="M1138"/>
      <c r="N1138"/>
      <c r="O1138"/>
    </row>
    <row r="1139" spans="2:15">
      <c r="B1139" s="1495" t="s">
        <v>1997</v>
      </c>
      <c r="C1139" s="121"/>
      <c r="D1139" s="121"/>
      <c r="E1139" s="121"/>
      <c r="F1139" s="121"/>
      <c r="G1139" s="121"/>
      <c r="H1139" s="121"/>
      <c r="I1139" s="121"/>
      <c r="L1139"/>
      <c r="M1139"/>
      <c r="N1139"/>
      <c r="O1139"/>
    </row>
    <row r="1140" spans="2:15">
      <c r="B1140" s="1"/>
      <c r="C1140" s="121"/>
      <c r="D1140" s="121"/>
      <c r="E1140" s="121"/>
      <c r="F1140" s="121"/>
      <c r="G1140" s="121"/>
      <c r="H1140" s="121"/>
      <c r="I1140" s="121"/>
      <c r="L1140"/>
      <c r="M1140"/>
      <c r="N1140"/>
      <c r="O1140"/>
    </row>
    <row r="1141" spans="2:15">
      <c r="B1141" s="61"/>
      <c r="C1141" s="60">
        <v>2014</v>
      </c>
      <c r="D1141" s="60">
        <v>2015</v>
      </c>
      <c r="E1141" s="60">
        <v>2016</v>
      </c>
      <c r="F1141" s="60">
        <v>2017</v>
      </c>
      <c r="G1141" s="60">
        <v>2018</v>
      </c>
      <c r="H1141" s="60">
        <v>2019</v>
      </c>
      <c r="I1141" s="60">
        <v>2020</v>
      </c>
      <c r="J1141" s="60">
        <v>2021</v>
      </c>
      <c r="L1141"/>
      <c r="M1141"/>
      <c r="N1141"/>
      <c r="O1141"/>
    </row>
    <row r="1142" spans="2:15">
      <c r="B1142" s="1519" t="s">
        <v>329</v>
      </c>
      <c r="C1142" s="55">
        <v>0</v>
      </c>
      <c r="D1142" s="55">
        <v>0</v>
      </c>
      <c r="E1142" s="55">
        <v>0</v>
      </c>
      <c r="F1142" s="55">
        <v>0</v>
      </c>
      <c r="G1142" s="55">
        <v>0</v>
      </c>
      <c r="H1142" s="55">
        <v>0</v>
      </c>
      <c r="I1142" s="55">
        <v>0</v>
      </c>
      <c r="J1142" s="55">
        <v>0</v>
      </c>
      <c r="L1142"/>
      <c r="M1142"/>
      <c r="N1142"/>
      <c r="O1142"/>
    </row>
    <row r="1143" spans="2:15">
      <c r="B1143" s="1519" t="s">
        <v>1970</v>
      </c>
      <c r="C1143" s="55">
        <v>0</v>
      </c>
      <c r="D1143" s="55">
        <v>20.878369625814862</v>
      </c>
      <c r="E1143" s="55">
        <v>21.44189215989358</v>
      </c>
      <c r="F1143" s="55">
        <v>23.729980911626821</v>
      </c>
      <c r="G1143" s="55">
        <v>26.120081815884834</v>
      </c>
      <c r="H1143" s="55">
        <v>26.16282449512682</v>
      </c>
      <c r="I1143" s="55">
        <v>28.801669051239074</v>
      </c>
      <c r="J1143">
        <v>30.780077838046651</v>
      </c>
      <c r="L1143"/>
      <c r="M1143"/>
      <c r="N1143"/>
      <c r="O1143"/>
    </row>
    <row r="1144" spans="2:15">
      <c r="B1144" s="1519" t="s">
        <v>260</v>
      </c>
      <c r="C1144" s="55">
        <v>0</v>
      </c>
      <c r="D1144" s="55">
        <v>19.640318358931484</v>
      </c>
      <c r="E1144" s="55">
        <v>20.218358534881919</v>
      </c>
      <c r="F1144" s="55">
        <v>22.429355050413992</v>
      </c>
      <c r="G1144" s="55">
        <v>24.77518978250291</v>
      </c>
      <c r="H1144" s="55">
        <v>24.883216909620991</v>
      </c>
      <c r="I1144" s="55">
        <v>27.540425973128283</v>
      </c>
      <c r="J1144">
        <v>29.414723032069972</v>
      </c>
      <c r="L1144"/>
      <c r="M1144"/>
      <c r="N1144"/>
      <c r="O1144"/>
    </row>
    <row r="1145" spans="2:15">
      <c r="B1145" s="1520" t="s">
        <v>260</v>
      </c>
      <c r="C1145" s="55">
        <v>0</v>
      </c>
      <c r="D1145" s="55">
        <v>0</v>
      </c>
      <c r="E1145" s="55">
        <v>0</v>
      </c>
      <c r="F1145" s="55">
        <v>0</v>
      </c>
      <c r="G1145" s="55">
        <v>0</v>
      </c>
      <c r="H1145" s="55">
        <v>0</v>
      </c>
      <c r="I1145" s="55">
        <v>0</v>
      </c>
      <c r="J1145" s="55">
        <v>0</v>
      </c>
      <c r="L1145"/>
      <c r="M1145"/>
      <c r="N1145"/>
      <c r="O1145"/>
    </row>
    <row r="1146" spans="2:15">
      <c r="B1146" s="1520" t="s">
        <v>1971</v>
      </c>
      <c r="C1146" s="55">
        <v>0</v>
      </c>
      <c r="D1146" s="55">
        <v>15.453711625877551</v>
      </c>
      <c r="E1146" s="55">
        <v>16.876216731679296</v>
      </c>
      <c r="F1146" s="55">
        <v>19.293963289106415</v>
      </c>
      <c r="G1146" s="55">
        <v>20.282736972040816</v>
      </c>
      <c r="H1146" s="55">
        <v>20.75358411078717</v>
      </c>
      <c r="I1146" s="55">
        <v>22.245476146110789</v>
      </c>
      <c r="J1146">
        <v>23.506851311953351</v>
      </c>
      <c r="L1146"/>
      <c r="M1146"/>
      <c r="N1146"/>
      <c r="O1146"/>
    </row>
    <row r="1147" spans="2:15">
      <c r="B1147" s="1520" t="s">
        <v>1986</v>
      </c>
      <c r="C1147" s="55">
        <v>0</v>
      </c>
      <c r="D1147" s="55">
        <v>1.0169999489402333</v>
      </c>
      <c r="E1147" s="55">
        <v>1.079678387830904</v>
      </c>
      <c r="F1147" s="55">
        <v>0.50093645652040819</v>
      </c>
      <c r="G1147" s="55">
        <v>0.5160808538221574</v>
      </c>
      <c r="H1147" s="55">
        <v>0.5065457725947522</v>
      </c>
      <c r="I1147" s="55">
        <v>0.5230562084489796</v>
      </c>
      <c r="J1147">
        <v>0.60685131195335273</v>
      </c>
      <c r="L1147"/>
      <c r="M1147"/>
      <c r="N1147"/>
      <c r="O1147"/>
    </row>
    <row r="1148" spans="2:15">
      <c r="B1148" s="1523" t="s">
        <v>1987</v>
      </c>
      <c r="C1148" s="55">
        <v>0</v>
      </c>
      <c r="D1148" s="55">
        <v>3.1696067841137023</v>
      </c>
      <c r="E1148" s="55">
        <v>2.26246341537172</v>
      </c>
      <c r="F1148" s="55">
        <v>2.3713067625131194</v>
      </c>
      <c r="G1148" s="55">
        <v>3.6335862423542271</v>
      </c>
      <c r="H1148" s="55">
        <v>3.1650661807580174</v>
      </c>
      <c r="I1148" s="55">
        <v>4.1861839625043737</v>
      </c>
      <c r="J1148">
        <v>4.7179300291545188</v>
      </c>
      <c r="L1148"/>
      <c r="M1148"/>
      <c r="N1148"/>
      <c r="O1148"/>
    </row>
    <row r="1149" spans="2:15">
      <c r="B1149" s="1523" t="s">
        <v>1988</v>
      </c>
      <c r="C1149" s="55">
        <v>0</v>
      </c>
      <c r="D1149" s="55">
        <v>0</v>
      </c>
      <c r="E1149" s="55">
        <v>0</v>
      </c>
      <c r="F1149" s="55">
        <v>0.26314854227405249</v>
      </c>
      <c r="G1149" s="55">
        <v>0.3427857142857143</v>
      </c>
      <c r="H1149" s="55">
        <v>0.45802084548104954</v>
      </c>
      <c r="I1149" s="55">
        <v>0.58570965606413994</v>
      </c>
      <c r="J1149">
        <v>0.58309037900874627</v>
      </c>
      <c r="L1149"/>
      <c r="M1149"/>
      <c r="N1149"/>
      <c r="O1149"/>
    </row>
    <row r="1150" spans="2:15">
      <c r="B1150" s="1519" t="s">
        <v>1989</v>
      </c>
      <c r="C1150" s="55">
        <v>0</v>
      </c>
      <c r="D1150" s="55">
        <v>1.2361516034985423</v>
      </c>
      <c r="E1150" s="55">
        <v>1.2203493586239067</v>
      </c>
      <c r="F1150" s="55">
        <v>1.2959412866647229</v>
      </c>
      <c r="G1150" s="55">
        <v>1.340161271008746</v>
      </c>
      <c r="H1150" s="55">
        <v>1.273932202217201</v>
      </c>
      <c r="I1150" s="55">
        <v>1.2527028940626823</v>
      </c>
      <c r="J1150">
        <v>1.3553935860058308</v>
      </c>
      <c r="L1150"/>
      <c r="M1150"/>
      <c r="N1150"/>
      <c r="O1150"/>
    </row>
    <row r="1151" spans="2:15">
      <c r="B1151" s="1523" t="s">
        <v>1975</v>
      </c>
      <c r="C1151" s="55">
        <v>0</v>
      </c>
      <c r="D1151" s="55">
        <v>0.75160349854227393</v>
      </c>
      <c r="E1151" s="55">
        <v>0.83957184641107863</v>
      </c>
      <c r="F1151" s="55">
        <v>0.88459701147230319</v>
      </c>
      <c r="G1151" s="55">
        <v>0.92605236392711365</v>
      </c>
      <c r="H1151" s="55">
        <v>0.90417857142857139</v>
      </c>
      <c r="I1151" s="55">
        <v>0.89856588181486885</v>
      </c>
      <c r="J1151">
        <v>0.9704081632653061</v>
      </c>
      <c r="L1151"/>
      <c r="M1151"/>
      <c r="N1151"/>
      <c r="O1151"/>
    </row>
    <row r="1152" spans="2:15">
      <c r="B1152" s="1520" t="s">
        <v>1990</v>
      </c>
      <c r="C1152" s="55">
        <v>0</v>
      </c>
      <c r="D1152" s="55">
        <v>0.48454810495626816</v>
      </c>
      <c r="E1152" s="55">
        <v>0.38073461927259478</v>
      </c>
      <c r="F1152" s="55">
        <v>0.39627425348979595</v>
      </c>
      <c r="G1152" s="55">
        <v>0.39806052724198249</v>
      </c>
      <c r="H1152" s="55">
        <v>0.36972609329446066</v>
      </c>
      <c r="I1152" s="66">
        <v>0.35374442472594747</v>
      </c>
      <c r="J1152">
        <v>0.35335276967930024</v>
      </c>
      <c r="L1152"/>
      <c r="M1152"/>
      <c r="N1152"/>
      <c r="O1152"/>
    </row>
    <row r="1153" spans="2:18">
      <c r="B1153" s="1523" t="s">
        <v>1977</v>
      </c>
      <c r="C1153" s="55">
        <v>0</v>
      </c>
      <c r="D1153" s="55">
        <v>0</v>
      </c>
      <c r="E1153" s="66">
        <v>4.2892940233236146E-5</v>
      </c>
      <c r="F1153" s="66">
        <v>4.9933389212827987E-5</v>
      </c>
      <c r="G1153" s="66">
        <v>3.4375303206997082E-5</v>
      </c>
      <c r="H1153" s="66">
        <v>2.7537494169096208E-5</v>
      </c>
      <c r="I1153" s="66">
        <v>3.9258752186588922E-4</v>
      </c>
      <c r="J1153">
        <v>3.1632653061224487E-2</v>
      </c>
      <c r="L1153"/>
      <c r="M1153"/>
      <c r="N1153"/>
      <c r="O1153"/>
    </row>
    <row r="1154" spans="2:18">
      <c r="B1154" s="1523" t="s">
        <v>1978</v>
      </c>
      <c r="C1154" s="55">
        <v>0</v>
      </c>
      <c r="D1154" s="55">
        <v>0</v>
      </c>
      <c r="E1154" s="55">
        <v>0</v>
      </c>
      <c r="F1154" s="55">
        <v>0</v>
      </c>
      <c r="G1154" s="55">
        <v>0</v>
      </c>
      <c r="H1154" s="55">
        <v>0</v>
      </c>
      <c r="I1154" s="55">
        <v>0</v>
      </c>
      <c r="J1154" s="55">
        <v>0</v>
      </c>
      <c r="L1154"/>
      <c r="M1154"/>
      <c r="N1154"/>
      <c r="O1154"/>
    </row>
    <row r="1155" spans="2:18">
      <c r="B1155" s="1531" t="s">
        <v>1991</v>
      </c>
      <c r="C1155" s="55">
        <v>0</v>
      </c>
      <c r="D1155" s="66">
        <v>1.8996633848396502E-3</v>
      </c>
      <c r="E1155" s="66">
        <v>3.1842663877551022E-3</v>
      </c>
      <c r="F1155" s="66">
        <v>4.6845745481049559E-3</v>
      </c>
      <c r="G1155" s="66">
        <v>4.7307623731778423E-3</v>
      </c>
      <c r="H1155" s="66">
        <v>5.6753832886297373E-3</v>
      </c>
      <c r="I1155" s="66">
        <v>8.5401840481049568E-3</v>
      </c>
      <c r="J1155">
        <v>9.961219970845479E-3</v>
      </c>
      <c r="L1155"/>
      <c r="M1155"/>
      <c r="N1155"/>
      <c r="O1155"/>
    </row>
    <row r="1156" spans="2:18" ht="15" thickBot="1">
      <c r="B1156" s="1530" t="s">
        <v>1992</v>
      </c>
      <c r="C1156" s="55">
        <v>0</v>
      </c>
      <c r="D1156" s="66">
        <v>1.8996633848396502E-3</v>
      </c>
      <c r="E1156" s="66">
        <v>3.1842663877551022E-3</v>
      </c>
      <c r="F1156" s="66">
        <v>4.6845745481049559E-3</v>
      </c>
      <c r="G1156" s="66">
        <v>4.7307623731778423E-3</v>
      </c>
      <c r="H1156" s="66">
        <v>5.6753832886297373E-3</v>
      </c>
      <c r="I1156" s="66">
        <v>8.5401840481049568E-3</v>
      </c>
      <c r="J1156" s="1407">
        <v>9.961219970845479E-3</v>
      </c>
      <c r="L1156"/>
      <c r="M1156"/>
      <c r="N1156"/>
      <c r="O1156"/>
    </row>
    <row r="1157" spans="2:18" ht="15" thickTop="1">
      <c r="B1157" s="2025" t="s">
        <v>1981</v>
      </c>
      <c r="C1157" s="2025"/>
      <c r="D1157" s="2025"/>
      <c r="E1157" s="2025"/>
      <c r="F1157" s="2025"/>
      <c r="G1157" s="2025"/>
      <c r="H1157" s="2025"/>
      <c r="I1157" s="2025"/>
      <c r="L1157"/>
      <c r="M1157"/>
      <c r="N1157"/>
      <c r="O1157"/>
    </row>
    <row r="1158" spans="2:18" ht="15" customHeight="1">
      <c r="B1158" s="2066" t="s">
        <v>1998</v>
      </c>
      <c r="C1158" s="2066"/>
      <c r="D1158" s="2066"/>
      <c r="E1158" s="2066"/>
      <c r="F1158" s="2066"/>
      <c r="G1158" s="2066"/>
      <c r="H1158" s="2066"/>
      <c r="I1158" s="2066"/>
      <c r="L1158"/>
      <c r="M1158"/>
      <c r="N1158"/>
      <c r="O1158"/>
    </row>
    <row r="1159" spans="2:18">
      <c r="B1159" s="1532"/>
      <c r="C1159" s="121"/>
      <c r="D1159" s="121"/>
      <c r="E1159" s="121"/>
      <c r="F1159" s="121"/>
      <c r="G1159" s="121"/>
      <c r="H1159" s="121"/>
      <c r="I1159" s="121"/>
      <c r="L1159"/>
      <c r="M1159"/>
      <c r="N1159"/>
      <c r="O1159"/>
    </row>
    <row r="1160" spans="2:18">
      <c r="B1160" s="14" t="s">
        <v>776</v>
      </c>
      <c r="C1160" s="236"/>
      <c r="D1160" s="236"/>
      <c r="E1160" s="236"/>
      <c r="F1160" s="236"/>
      <c r="G1160" s="236"/>
      <c r="H1160" s="236"/>
      <c r="I1160" s="236"/>
      <c r="J1160" s="236"/>
      <c r="L1160"/>
      <c r="M1160"/>
      <c r="N1160"/>
      <c r="O1160"/>
    </row>
    <row r="1161" spans="2:18">
      <c r="B1161" s="12" t="s">
        <v>775</v>
      </c>
      <c r="C1161" s="121"/>
      <c r="D1161" s="121"/>
      <c r="E1161" s="121"/>
      <c r="F1161" s="121"/>
      <c r="G1161" s="121"/>
      <c r="H1161" s="121"/>
      <c r="I1161" s="121"/>
      <c r="L1161"/>
      <c r="M1161"/>
      <c r="N1161"/>
      <c r="O1161"/>
    </row>
    <row r="1162" spans="2:18">
      <c r="B1162" s="1495" t="s">
        <v>1997</v>
      </c>
      <c r="C1162" s="121"/>
      <c r="D1162" s="121"/>
      <c r="E1162" s="121"/>
      <c r="F1162" s="121"/>
      <c r="G1162" s="121"/>
      <c r="H1162" s="121"/>
      <c r="I1162" s="121"/>
      <c r="L1162"/>
      <c r="M1162"/>
      <c r="N1162"/>
      <c r="O1162"/>
    </row>
    <row r="1163" spans="2:18">
      <c r="B1163" s="1"/>
      <c r="C1163" s="121"/>
      <c r="D1163" s="121"/>
      <c r="E1163" s="121"/>
      <c r="F1163" s="121"/>
      <c r="G1163" s="121"/>
      <c r="H1163" s="121"/>
      <c r="I1163" s="121"/>
      <c r="L1163"/>
      <c r="M1163"/>
      <c r="N1163"/>
      <c r="O1163"/>
    </row>
    <row r="1164" spans="2:18">
      <c r="B1164" s="61"/>
      <c r="C1164" s="60">
        <v>2014</v>
      </c>
      <c r="D1164" s="60">
        <v>2015</v>
      </c>
      <c r="E1164" s="60">
        <v>2016</v>
      </c>
      <c r="F1164" s="60">
        <v>2017</v>
      </c>
      <c r="G1164" s="60">
        <v>2018</v>
      </c>
      <c r="H1164" s="60">
        <v>2019</v>
      </c>
      <c r="I1164" s="60">
        <v>2020</v>
      </c>
      <c r="J1164" s="60">
        <v>2021</v>
      </c>
      <c r="L1164"/>
      <c r="M1164"/>
      <c r="N1164"/>
      <c r="O1164"/>
    </row>
    <row r="1165" spans="2:18">
      <c r="B1165" s="1516" t="s">
        <v>329</v>
      </c>
      <c r="C1165" s="55">
        <v>0</v>
      </c>
      <c r="D1165" s="55">
        <v>0</v>
      </c>
      <c r="E1165" s="55">
        <v>0</v>
      </c>
      <c r="F1165" s="55">
        <v>0</v>
      </c>
      <c r="G1165" s="55">
        <v>0</v>
      </c>
      <c r="H1165" s="55">
        <v>0</v>
      </c>
      <c r="I1165" s="55">
        <v>0</v>
      </c>
      <c r="J1165" s="55">
        <v>0</v>
      </c>
      <c r="P1165" s="1004"/>
      <c r="Q1165" s="1004"/>
      <c r="R1165" s="1004"/>
    </row>
    <row r="1166" spans="2:18">
      <c r="B1166" s="1519" t="s">
        <v>1970</v>
      </c>
      <c r="C1166" s="55">
        <v>0</v>
      </c>
      <c r="D1166" s="55">
        <v>16.65785154933382</v>
      </c>
      <c r="E1166" s="55">
        <v>19.650661740899416</v>
      </c>
      <c r="F1166" s="55">
        <v>22.166271315689507</v>
      </c>
      <c r="G1166" s="55">
        <v>24.870970457679299</v>
      </c>
      <c r="H1166" s="55">
        <v>26.787149049539355</v>
      </c>
      <c r="I1166" s="55">
        <v>27.914723032069972</v>
      </c>
      <c r="J1166">
        <v>29.064139941690964</v>
      </c>
      <c r="P1166" s="1004"/>
      <c r="Q1166" s="1004"/>
      <c r="R1166" s="1004"/>
    </row>
    <row r="1167" spans="2:18">
      <c r="B1167" s="1519" t="s">
        <v>260</v>
      </c>
      <c r="C1167" s="55">
        <v>0</v>
      </c>
      <c r="D1167" s="55">
        <v>15.444174648387754</v>
      </c>
      <c r="E1167" s="55">
        <v>17.910367765472301</v>
      </c>
      <c r="F1167" s="55">
        <v>20.270872719746357</v>
      </c>
      <c r="G1167" s="55">
        <v>22.764358482530611</v>
      </c>
      <c r="H1167" s="55">
        <v>24.520248141002913</v>
      </c>
      <c r="I1167" s="55">
        <v>25.615889212827987</v>
      </c>
      <c r="J1167">
        <v>26.674198250728864</v>
      </c>
      <c r="P1167" s="1004"/>
      <c r="Q1167" s="1004"/>
      <c r="R1167" s="1004"/>
    </row>
    <row r="1168" spans="2:18">
      <c r="B1168" s="1520" t="s">
        <v>260</v>
      </c>
      <c r="C1168" s="55">
        <v>0</v>
      </c>
      <c r="D1168" s="55">
        <v>0</v>
      </c>
      <c r="E1168" s="55">
        <v>0</v>
      </c>
      <c r="F1168" s="55">
        <v>0</v>
      </c>
      <c r="G1168" s="55">
        <v>0</v>
      </c>
      <c r="H1168" s="55">
        <v>0</v>
      </c>
      <c r="I1168" s="55">
        <v>0</v>
      </c>
      <c r="J1168" s="55">
        <v>0</v>
      </c>
      <c r="P1168" s="1004"/>
      <c r="Q1168" s="1004"/>
      <c r="R1168" s="1004"/>
    </row>
    <row r="1169" spans="2:18">
      <c r="B1169" s="1520" t="s">
        <v>1971</v>
      </c>
      <c r="C1169" s="55">
        <v>0</v>
      </c>
      <c r="D1169" s="55">
        <v>12.780379243370263</v>
      </c>
      <c r="E1169" s="55">
        <v>14.894310416495626</v>
      </c>
      <c r="F1169" s="55">
        <v>17.486364163527696</v>
      </c>
      <c r="G1169" s="55">
        <v>19.543421741177841</v>
      </c>
      <c r="H1169" s="55">
        <v>20.958316497902331</v>
      </c>
      <c r="I1169" s="55">
        <v>21.723615160349855</v>
      </c>
      <c r="J1169">
        <v>22.437755102040814</v>
      </c>
      <c r="P1169" s="1004"/>
      <c r="Q1169" s="1004"/>
      <c r="R1169" s="1004"/>
    </row>
    <row r="1170" spans="2:18">
      <c r="B1170" s="1520" t="s">
        <v>1999</v>
      </c>
      <c r="C1170" s="55">
        <v>0</v>
      </c>
      <c r="D1170" s="55">
        <v>1.1039294130655977</v>
      </c>
      <c r="E1170" s="55">
        <v>1.1601256795830903</v>
      </c>
      <c r="F1170" s="55">
        <v>0.55676949624052474</v>
      </c>
      <c r="G1170" s="55">
        <v>0.59369016845189504</v>
      </c>
      <c r="H1170" s="55">
        <v>0.61015932942274043</v>
      </c>
      <c r="I1170" s="55">
        <v>0.61501457725947528</v>
      </c>
      <c r="J1170">
        <v>0.62813411078717196</v>
      </c>
      <c r="P1170" s="1004"/>
      <c r="Q1170" s="1004"/>
      <c r="R1170" s="1004"/>
    </row>
    <row r="1171" spans="2:18">
      <c r="B1171" s="1523" t="s">
        <v>1987</v>
      </c>
      <c r="C1171" s="55">
        <v>0</v>
      </c>
      <c r="D1171" s="55">
        <v>1.5598659919518951</v>
      </c>
      <c r="E1171" s="55">
        <v>1.8559316693935859</v>
      </c>
      <c r="F1171" s="55">
        <v>2.1525427922274054</v>
      </c>
      <c r="G1171" s="55">
        <v>2.4602407915714286</v>
      </c>
      <c r="H1171" s="55">
        <v>2.6805859364081628</v>
      </c>
      <c r="I1171" s="55">
        <v>2.9316326530612247</v>
      </c>
      <c r="J1171">
        <v>3.2253644314868803</v>
      </c>
      <c r="P1171" s="1004"/>
      <c r="Q1171" s="1004"/>
      <c r="R1171" s="1004"/>
    </row>
    <row r="1172" spans="2:18">
      <c r="B1172" s="1523" t="s">
        <v>1988</v>
      </c>
      <c r="C1172" s="55">
        <v>0</v>
      </c>
      <c r="D1172" s="55">
        <v>0</v>
      </c>
      <c r="E1172" s="55">
        <v>0</v>
      </c>
      <c r="F1172" s="55">
        <v>7.5196267750728865E-2</v>
      </c>
      <c r="G1172" s="55">
        <v>0.16700578132944605</v>
      </c>
      <c r="H1172" s="55">
        <v>0.27118637726967931</v>
      </c>
      <c r="I1172" s="55">
        <v>0.3456268221574344</v>
      </c>
      <c r="J1172">
        <v>0.38294460641399414</v>
      </c>
      <c r="P1172" s="1004"/>
      <c r="Q1172" s="1004"/>
      <c r="R1172" s="1004"/>
    </row>
    <row r="1173" spans="2:18">
      <c r="B1173" s="1519" t="s">
        <v>1989</v>
      </c>
      <c r="C1173" s="55">
        <v>0</v>
      </c>
      <c r="D1173" s="55">
        <v>1.2136769009460642</v>
      </c>
      <c r="E1173" s="55">
        <v>1.7402939754271136</v>
      </c>
      <c r="F1173" s="55">
        <v>1.8953985959431487</v>
      </c>
      <c r="G1173" s="55">
        <v>2.106611975148688</v>
      </c>
      <c r="H1173" s="55">
        <v>2.2669009085364427</v>
      </c>
      <c r="I1173" s="55">
        <v>2.2988338192419824</v>
      </c>
      <c r="J1173">
        <v>2.389941690962099</v>
      </c>
      <c r="P1173" s="1004"/>
      <c r="Q1173" s="1004"/>
      <c r="R1173" s="1004"/>
    </row>
    <row r="1174" spans="2:18">
      <c r="B1174" s="1520" t="s">
        <v>1975</v>
      </c>
      <c r="C1174" s="55">
        <v>0</v>
      </c>
      <c r="D1174" s="55">
        <v>0.71903842759475223</v>
      </c>
      <c r="E1174" s="55">
        <v>0.81059360558746352</v>
      </c>
      <c r="F1174" s="55">
        <v>0.89250383140087464</v>
      </c>
      <c r="G1174" s="55">
        <v>0.95626264443877551</v>
      </c>
      <c r="H1174" s="55">
        <v>0.99268090714285706</v>
      </c>
      <c r="I1174" s="66">
        <v>0.95174927113702623</v>
      </c>
      <c r="J1174">
        <v>0.97638483965014577</v>
      </c>
      <c r="P1174" s="1004"/>
      <c r="Q1174" s="1004"/>
      <c r="R1174" s="1004"/>
    </row>
    <row r="1175" spans="2:18">
      <c r="B1175" s="1520" t="s">
        <v>1990</v>
      </c>
      <c r="C1175" s="55">
        <v>0</v>
      </c>
      <c r="D1175" s="66">
        <v>0.49463847335131195</v>
      </c>
      <c r="E1175" s="66">
        <v>0.3803836971909621</v>
      </c>
      <c r="F1175" s="66">
        <v>0.39869790436734692</v>
      </c>
      <c r="G1175" s="66">
        <v>0.42071581849416906</v>
      </c>
      <c r="H1175" s="66">
        <v>0.4311792639489796</v>
      </c>
      <c r="I1175" s="66">
        <v>0.41486880466472303</v>
      </c>
      <c r="J1175">
        <v>0.39023323615160349</v>
      </c>
      <c r="P1175" s="1004"/>
      <c r="Q1175" s="1004"/>
      <c r="R1175" s="1004"/>
    </row>
    <row r="1176" spans="2:18">
      <c r="B1176" s="1520" t="s">
        <v>1977</v>
      </c>
      <c r="C1176" s="55">
        <v>0</v>
      </c>
      <c r="D1176" s="55">
        <v>0</v>
      </c>
      <c r="E1176" s="66">
        <v>0.549316672648688</v>
      </c>
      <c r="F1176" s="66">
        <v>0.60419686017492713</v>
      </c>
      <c r="G1176" s="66">
        <v>0.72963351221574335</v>
      </c>
      <c r="H1176" s="66">
        <v>0.84304073744460639</v>
      </c>
      <c r="I1176" s="66">
        <v>0.93221574344023317</v>
      </c>
      <c r="J1176">
        <v>1.0233236151603498</v>
      </c>
      <c r="P1176" s="1004"/>
      <c r="Q1176" s="1004"/>
      <c r="R1176" s="1004"/>
    </row>
    <row r="1177" spans="2:18" ht="15" thickBot="1">
      <c r="B1177" s="1530" t="s">
        <v>1978</v>
      </c>
      <c r="C1177" s="55">
        <v>0</v>
      </c>
      <c r="D1177" s="55">
        <v>0</v>
      </c>
      <c r="E1177" s="55">
        <v>0</v>
      </c>
      <c r="F1177" s="55">
        <v>0</v>
      </c>
      <c r="G1177" s="55">
        <v>0</v>
      </c>
      <c r="H1177" s="55">
        <v>0</v>
      </c>
      <c r="I1177" s="55">
        <v>0</v>
      </c>
      <c r="J1177" s="101">
        <v>0</v>
      </c>
      <c r="P1177" s="1004"/>
      <c r="Q1177" s="1004"/>
      <c r="R1177" s="1004"/>
    </row>
    <row r="1178" spans="2:18" ht="15" thickTop="1">
      <c r="B1178" s="2025" t="s">
        <v>1981</v>
      </c>
      <c r="C1178" s="2025"/>
      <c r="D1178" s="2025"/>
      <c r="E1178" s="2025"/>
      <c r="F1178" s="2025"/>
      <c r="G1178" s="2025"/>
      <c r="H1178" s="2025"/>
      <c r="I1178" s="2025"/>
    </row>
    <row r="1179" spans="2:18" ht="15" customHeight="1">
      <c r="B1179" s="2066" t="s">
        <v>1998</v>
      </c>
      <c r="C1179" s="2066"/>
      <c r="D1179" s="2066"/>
      <c r="E1179" s="2066"/>
      <c r="F1179" s="2066"/>
      <c r="G1179" s="2066"/>
      <c r="H1179" s="2066"/>
      <c r="I1179" s="2066"/>
    </row>
    <row r="1180" spans="2:18">
      <c r="B1180" s="1532"/>
      <c r="C1180" s="1532"/>
      <c r="D1180" s="1532"/>
      <c r="E1180" s="1532"/>
      <c r="F1180" s="1532"/>
      <c r="G1180" s="1532"/>
      <c r="H1180" s="1532"/>
      <c r="I1180" s="1532"/>
    </row>
    <row r="1181" spans="2:18">
      <c r="B1181" s="14" t="s">
        <v>778</v>
      </c>
      <c r="C1181" s="236"/>
      <c r="D1181" s="236"/>
      <c r="E1181" s="236"/>
      <c r="F1181" s="236"/>
      <c r="G1181" s="236"/>
      <c r="H1181" s="236"/>
      <c r="I1181" s="236"/>
    </row>
    <row r="1182" spans="2:18">
      <c r="B1182" s="12" t="s">
        <v>777</v>
      </c>
      <c r="C1182" s="121"/>
      <c r="D1182" s="121"/>
      <c r="E1182" s="121"/>
      <c r="F1182" s="121"/>
      <c r="G1182" s="121"/>
      <c r="H1182" s="121"/>
      <c r="I1182" s="121"/>
    </row>
    <row r="1183" spans="2:18">
      <c r="B1183" s="1495" t="s">
        <v>1997</v>
      </c>
      <c r="C1183" s="121"/>
      <c r="D1183" s="121"/>
      <c r="E1183" s="121"/>
      <c r="F1183" s="121"/>
      <c r="G1183" s="121"/>
      <c r="H1183" s="121"/>
      <c r="I1183" s="121"/>
    </row>
    <row r="1184" spans="2:18">
      <c r="B1184" s="1"/>
      <c r="C1184" s="121"/>
      <c r="D1184" s="121"/>
      <c r="E1184" s="121"/>
      <c r="F1184" s="121"/>
      <c r="G1184" s="121"/>
      <c r="H1184" s="121"/>
      <c r="I1184" s="121"/>
    </row>
    <row r="1185" spans="2:15">
      <c r="B1185" s="61"/>
      <c r="C1185" s="60">
        <v>2014</v>
      </c>
      <c r="D1185" s="60">
        <v>2015</v>
      </c>
      <c r="E1185" s="60">
        <v>2016</v>
      </c>
      <c r="F1185" s="60">
        <v>2017</v>
      </c>
      <c r="G1185" s="60">
        <v>2018</v>
      </c>
      <c r="H1185" s="60">
        <v>2019</v>
      </c>
      <c r="I1185" s="60">
        <v>2020</v>
      </c>
      <c r="J1185" s="60">
        <v>2021</v>
      </c>
      <c r="L1185"/>
      <c r="M1185"/>
      <c r="N1185"/>
      <c r="O1185"/>
    </row>
    <row r="1186" spans="2:15">
      <c r="B1186" s="1516" t="s">
        <v>2000</v>
      </c>
      <c r="C1186" s="55">
        <v>0</v>
      </c>
      <c r="D1186" s="55">
        <v>0.1921913994169096</v>
      </c>
      <c r="E1186" s="55">
        <v>0.34319198250728861</v>
      </c>
      <c r="F1186" s="55">
        <v>0.5192518950437317</v>
      </c>
      <c r="G1186" s="55">
        <v>0.66722346938775512</v>
      </c>
      <c r="H1186" s="55">
        <v>0.88459883381924198</v>
      </c>
      <c r="I1186" s="55">
        <v>1.119574635568513</v>
      </c>
      <c r="J1186">
        <v>1.192463556851312</v>
      </c>
      <c r="L1186"/>
      <c r="M1186"/>
      <c r="N1186"/>
      <c r="O1186"/>
    </row>
    <row r="1187" spans="2:15">
      <c r="B1187" s="1519" t="s">
        <v>1970</v>
      </c>
      <c r="C1187" s="55">
        <v>0</v>
      </c>
      <c r="D1187" s="55">
        <v>2.2347072049475218</v>
      </c>
      <c r="E1187" s="55">
        <v>2.6049251621574343</v>
      </c>
      <c r="F1187" s="55">
        <v>2.6334758226793</v>
      </c>
      <c r="G1187" s="55">
        <v>2.8204173856107873</v>
      </c>
      <c r="H1187" s="55">
        <v>3.0742806812099124</v>
      </c>
      <c r="I1187" s="55">
        <v>3.1013719484985423</v>
      </c>
      <c r="J1187">
        <v>3.3598316850102039</v>
      </c>
      <c r="L1187"/>
      <c r="M1187"/>
      <c r="N1187"/>
      <c r="O1187"/>
    </row>
    <row r="1188" spans="2:15">
      <c r="B1188" s="1519" t="s">
        <v>260</v>
      </c>
      <c r="C1188" s="55">
        <v>0</v>
      </c>
      <c r="D1188" s="55">
        <v>1.96136313546793</v>
      </c>
      <c r="E1188" s="55">
        <v>2.205679149603498</v>
      </c>
      <c r="F1188" s="55">
        <v>2.2090011571734691</v>
      </c>
      <c r="G1188" s="55">
        <v>2.3540772406967929</v>
      </c>
      <c r="H1188" s="55">
        <v>2.5750129396720118</v>
      </c>
      <c r="I1188" s="55">
        <v>2.5781130144635567</v>
      </c>
      <c r="J1188">
        <v>2.8182253543411075</v>
      </c>
      <c r="L1188"/>
      <c r="M1188"/>
      <c r="N1188"/>
      <c r="O1188"/>
    </row>
    <row r="1189" spans="2:15">
      <c r="B1189" s="1520" t="s">
        <v>260</v>
      </c>
      <c r="C1189" s="55">
        <v>0</v>
      </c>
      <c r="D1189" s="55">
        <v>0</v>
      </c>
      <c r="E1189" s="55">
        <v>0</v>
      </c>
      <c r="F1189" s="55">
        <v>0</v>
      </c>
      <c r="G1189" s="55">
        <v>0</v>
      </c>
      <c r="H1189" s="55">
        <v>0</v>
      </c>
      <c r="I1189" s="55">
        <v>0</v>
      </c>
      <c r="J1189" s="55">
        <v>0</v>
      </c>
      <c r="L1189"/>
      <c r="M1189"/>
      <c r="N1189"/>
      <c r="O1189"/>
    </row>
    <row r="1190" spans="2:15">
      <c r="B1190" s="1520" t="s">
        <v>1971</v>
      </c>
      <c r="C1190" s="55">
        <v>0</v>
      </c>
      <c r="D1190" s="55">
        <v>1.5573435274956269</v>
      </c>
      <c r="E1190" s="55">
        <v>1.7394972546865888</v>
      </c>
      <c r="F1190" s="55">
        <v>1.8090347032740526</v>
      </c>
      <c r="G1190" s="55">
        <v>1.9221011132594754</v>
      </c>
      <c r="H1190" s="55">
        <v>2.0944711404096208</v>
      </c>
      <c r="I1190" s="55">
        <v>2.0768963182623907</v>
      </c>
      <c r="J1190">
        <v>2.2624074299854224</v>
      </c>
      <c r="L1190"/>
      <c r="M1190"/>
      <c r="N1190"/>
      <c r="O1190"/>
    </row>
    <row r="1191" spans="2:15">
      <c r="B1191" s="1520" t="s">
        <v>1999</v>
      </c>
      <c r="C1191" s="55">
        <v>0</v>
      </c>
      <c r="D1191" s="55">
        <v>0.13077039752769679</v>
      </c>
      <c r="E1191" s="55">
        <v>0.14266025158892126</v>
      </c>
      <c r="F1191" s="55">
        <v>4.8328503355685129E-2</v>
      </c>
      <c r="G1191" s="55">
        <v>4.915303583527697E-2</v>
      </c>
      <c r="H1191" s="55">
        <v>5.6740718182215738E-2</v>
      </c>
      <c r="I1191" s="55">
        <v>5.9050371800291546E-2</v>
      </c>
      <c r="J1191">
        <v>6.5060528785714292E-2</v>
      </c>
      <c r="L1191"/>
      <c r="M1191"/>
      <c r="N1191"/>
      <c r="O1191"/>
    </row>
    <row r="1192" spans="2:15">
      <c r="B1192" s="1523" t="s">
        <v>1987</v>
      </c>
      <c r="C1192" s="55">
        <v>0</v>
      </c>
      <c r="D1192" s="55">
        <v>0.19874088781486879</v>
      </c>
      <c r="E1192" s="55">
        <v>0.24548803720553933</v>
      </c>
      <c r="F1192" s="55">
        <v>0.26929394800145773</v>
      </c>
      <c r="G1192" s="55">
        <v>0.29729442357580177</v>
      </c>
      <c r="H1192" s="55">
        <v>0.33419844717638481</v>
      </c>
      <c r="I1192" s="55">
        <v>0.35064960900000003</v>
      </c>
      <c r="J1192">
        <v>0.37266042531632654</v>
      </c>
      <c r="L1192"/>
      <c r="M1192"/>
      <c r="N1192"/>
      <c r="O1192"/>
    </row>
    <row r="1193" spans="2:15">
      <c r="B1193" s="1523" t="s">
        <v>1988</v>
      </c>
      <c r="C1193" s="55">
        <v>0</v>
      </c>
      <c r="D1193" s="55">
        <v>7.4508322629737611E-2</v>
      </c>
      <c r="E1193" s="55">
        <v>7.8033606122448973E-2</v>
      </c>
      <c r="F1193" s="55">
        <v>8.2344002542274058E-2</v>
      </c>
      <c r="G1193" s="55">
        <v>8.5528668026239055E-2</v>
      </c>
      <c r="H1193" s="55">
        <v>8.9602633903790072E-2</v>
      </c>
      <c r="I1193" s="55">
        <v>9.1516715400874624E-2</v>
      </c>
      <c r="J1193">
        <v>0.11809697025364431</v>
      </c>
      <c r="L1193"/>
      <c r="M1193"/>
      <c r="N1193"/>
      <c r="O1193"/>
    </row>
    <row r="1194" spans="2:15">
      <c r="B1194" s="1519" t="s">
        <v>1989</v>
      </c>
      <c r="C1194" s="55">
        <v>0</v>
      </c>
      <c r="D1194" s="55">
        <v>0.26909620991253647</v>
      </c>
      <c r="E1194" s="55">
        <v>0.39459566930029155</v>
      </c>
      <c r="F1194" s="55">
        <v>0.41868051003644313</v>
      </c>
      <c r="G1194" s="55">
        <v>0.45688487231486885</v>
      </c>
      <c r="H1194" s="55">
        <v>0.48908283629883387</v>
      </c>
      <c r="I1194" s="55">
        <v>0.51277565471720121</v>
      </c>
      <c r="J1194">
        <v>0.52817954699562686</v>
      </c>
      <c r="L1194"/>
      <c r="M1194"/>
      <c r="N1194"/>
      <c r="O1194"/>
    </row>
    <row r="1195" spans="2:15">
      <c r="B1195" s="1520" t="s">
        <v>1975</v>
      </c>
      <c r="C1195" s="55">
        <v>0</v>
      </c>
      <c r="D1195" s="55">
        <v>0.12536443148688045</v>
      </c>
      <c r="E1195" s="55">
        <v>0.13936269583381922</v>
      </c>
      <c r="F1195" s="55">
        <v>0.1517466960670554</v>
      </c>
      <c r="G1195" s="55">
        <v>0.15921972541399415</v>
      </c>
      <c r="H1195" s="55">
        <v>0.16647640077551018</v>
      </c>
      <c r="I1195" s="55">
        <v>0.17619448665160353</v>
      </c>
      <c r="J1195">
        <v>0.18744948865597669</v>
      </c>
      <c r="L1195"/>
      <c r="M1195"/>
      <c r="N1195"/>
      <c r="O1195"/>
    </row>
    <row r="1196" spans="2:15">
      <c r="B1196" s="1520" t="s">
        <v>1990</v>
      </c>
      <c r="C1196" s="55">
        <v>0</v>
      </c>
      <c r="D1196" s="55">
        <v>0.14373177842565596</v>
      </c>
      <c r="E1196" s="55">
        <v>0.12820331014285713</v>
      </c>
      <c r="F1196" s="55">
        <v>0.13105895966763847</v>
      </c>
      <c r="G1196" s="55">
        <v>0.1330329858367347</v>
      </c>
      <c r="H1196" s="55">
        <v>0.13600012314139939</v>
      </c>
      <c r="I1196" s="55">
        <v>0.14279451304810495</v>
      </c>
      <c r="J1196">
        <v>0.14455030353790088</v>
      </c>
      <c r="L1196"/>
      <c r="M1196"/>
      <c r="N1196"/>
      <c r="O1196"/>
    </row>
    <row r="1197" spans="2:15">
      <c r="B1197" s="1520" t="s">
        <v>1977</v>
      </c>
      <c r="C1197" s="55">
        <v>0</v>
      </c>
      <c r="D1197" s="55">
        <v>0</v>
      </c>
      <c r="E1197" s="55">
        <v>0.12702966332361515</v>
      </c>
      <c r="F1197" s="55">
        <v>0.13587485430174928</v>
      </c>
      <c r="G1197" s="55">
        <v>0.16463216106413994</v>
      </c>
      <c r="H1197" s="55">
        <v>0.18660631238192418</v>
      </c>
      <c r="I1197" s="55">
        <v>0.1937866550174927</v>
      </c>
      <c r="J1197">
        <v>0.19617975480174926</v>
      </c>
      <c r="L1197"/>
      <c r="M1197"/>
      <c r="N1197"/>
      <c r="O1197"/>
    </row>
    <row r="1198" spans="2:15">
      <c r="B1198" s="1520" t="s">
        <v>1978</v>
      </c>
      <c r="C1198" s="55">
        <v>0</v>
      </c>
      <c r="D1198" s="55">
        <v>0</v>
      </c>
      <c r="E1198" s="55">
        <v>0</v>
      </c>
      <c r="F1198" s="55">
        <v>0</v>
      </c>
      <c r="G1198" s="55">
        <v>0</v>
      </c>
      <c r="H1198" s="55">
        <v>0</v>
      </c>
      <c r="I1198" s="55">
        <v>0</v>
      </c>
      <c r="J1198" s="55">
        <v>0</v>
      </c>
      <c r="L1198"/>
      <c r="M1198"/>
      <c r="N1198"/>
      <c r="O1198"/>
    </row>
    <row r="1199" spans="2:15">
      <c r="B1199" s="1519" t="s">
        <v>1979</v>
      </c>
      <c r="C1199" s="55">
        <v>0</v>
      </c>
      <c r="D1199" s="55">
        <v>4.2478595670553936E-3</v>
      </c>
      <c r="E1199" s="55">
        <v>4.6503432536443142E-3</v>
      </c>
      <c r="F1199" s="55">
        <v>5.7941554693877548E-3</v>
      </c>
      <c r="G1199" s="55">
        <v>9.4552725991253646E-3</v>
      </c>
      <c r="H1199" s="55">
        <v>1.0184905239067054E-2</v>
      </c>
      <c r="I1199" s="55">
        <v>1.0483279317784255E-2</v>
      </c>
      <c r="J1199">
        <v>1.3426783673469387E-2</v>
      </c>
      <c r="L1199"/>
      <c r="M1199"/>
      <c r="N1199"/>
      <c r="O1199"/>
    </row>
    <row r="1200" spans="2:15" ht="15" thickBot="1">
      <c r="B1200" s="1527" t="s">
        <v>1992</v>
      </c>
      <c r="C1200" s="55">
        <v>0</v>
      </c>
      <c r="D1200" s="109">
        <v>4.2478595670553936E-3</v>
      </c>
      <c r="E1200" s="109">
        <v>4.6503432536443142E-3</v>
      </c>
      <c r="F1200" s="109">
        <v>5.7941554693877548E-3</v>
      </c>
      <c r="G1200" s="101">
        <v>9.4552725991253646E-3</v>
      </c>
      <c r="H1200" s="101">
        <v>1.0184905239067054E-2</v>
      </c>
      <c r="I1200" s="101">
        <v>1.0483279317784255E-2</v>
      </c>
      <c r="J1200" s="1407">
        <v>1.3426783673469387E-2</v>
      </c>
      <c r="L1200"/>
      <c r="M1200"/>
      <c r="N1200"/>
      <c r="O1200"/>
    </row>
    <row r="1201" spans="2:15" ht="15.5" thickTop="1" thickBot="1">
      <c r="B1201" s="2067" t="s">
        <v>1981</v>
      </c>
      <c r="C1201" s="2067"/>
      <c r="D1201" s="2067"/>
      <c r="E1201" s="2067"/>
      <c r="F1201" s="2067"/>
      <c r="G1201" s="2067"/>
      <c r="H1201" s="2067"/>
      <c r="I1201" s="2067"/>
      <c r="L1201"/>
      <c r="M1201"/>
      <c r="N1201"/>
      <c r="O1201"/>
    </row>
    <row r="1202" spans="2:15" ht="15.75" customHeight="1" thickTop="1">
      <c r="B1202" s="2039" t="s">
        <v>1998</v>
      </c>
      <c r="C1202" s="2039"/>
      <c r="D1202" s="2039"/>
      <c r="E1202" s="2039"/>
      <c r="F1202" s="2039"/>
      <c r="G1202" s="2039"/>
      <c r="H1202" s="2039"/>
      <c r="I1202" s="2039"/>
      <c r="L1202"/>
      <c r="M1202"/>
      <c r="N1202"/>
      <c r="O1202"/>
    </row>
    <row r="1203" spans="2:15">
      <c r="L1203"/>
      <c r="M1203"/>
      <c r="N1203"/>
      <c r="O1203"/>
    </row>
    <row r="1204" spans="2:15">
      <c r="L1204"/>
      <c r="M1204"/>
      <c r="N1204"/>
      <c r="O1204"/>
    </row>
    <row r="1205" spans="2:15">
      <c r="L1205"/>
      <c r="M1205"/>
      <c r="N1205"/>
      <c r="O1205"/>
    </row>
    <row r="1206" spans="2:15">
      <c r="L1206"/>
      <c r="M1206"/>
      <c r="N1206"/>
      <c r="O1206"/>
    </row>
    <row r="1207" spans="2:15">
      <c r="L1207"/>
      <c r="M1207"/>
      <c r="N1207"/>
      <c r="O1207"/>
    </row>
    <row r="1208" spans="2:15">
      <c r="L1208"/>
      <c r="M1208"/>
      <c r="N1208"/>
      <c r="O1208"/>
    </row>
    <row r="1209" spans="2:15">
      <c r="L1209"/>
      <c r="M1209"/>
      <c r="N1209"/>
      <c r="O1209"/>
    </row>
    <row r="1210" spans="2:15">
      <c r="L1210"/>
      <c r="M1210"/>
      <c r="N1210"/>
      <c r="O1210"/>
    </row>
    <row r="1211" spans="2:15">
      <c r="L1211"/>
      <c r="M1211"/>
      <c r="N1211"/>
      <c r="O1211"/>
    </row>
    <row r="1212" spans="2:15">
      <c r="L1212"/>
      <c r="M1212"/>
      <c r="N1212"/>
      <c r="O1212"/>
    </row>
    <row r="1213" spans="2:15">
      <c r="L1213"/>
      <c r="M1213"/>
      <c r="N1213"/>
      <c r="O1213"/>
    </row>
    <row r="1214" spans="2:15">
      <c r="L1214"/>
      <c r="M1214"/>
      <c r="N1214"/>
      <c r="O1214"/>
    </row>
    <row r="1215" spans="2:15">
      <c r="L1215"/>
      <c r="M1215"/>
      <c r="N1215"/>
      <c r="O1215"/>
    </row>
    <row r="1216" spans="2:15">
      <c r="L1216"/>
      <c r="M1216"/>
      <c r="N1216"/>
      <c r="O1216"/>
    </row>
    <row r="1522" spans="2:2">
      <c r="B1522" t="s">
        <v>181</v>
      </c>
    </row>
    <row r="1525" spans="2:2">
      <c r="B1525" t="s">
        <v>178</v>
      </c>
    </row>
    <row r="1526" spans="2:2">
      <c r="B1526" t="s">
        <v>177</v>
      </c>
    </row>
    <row r="1584" spans="2:9">
      <c r="B1584" s="1406" t="s">
        <v>125</v>
      </c>
      <c r="C1584" s="57"/>
      <c r="D1584" s="57"/>
      <c r="E1584" s="57"/>
      <c r="F1584" s="57"/>
      <c r="G1584" s="57"/>
      <c r="H1584" s="57"/>
      <c r="I1584" s="57"/>
    </row>
    <row r="1585" spans="2:9">
      <c r="B1585" s="57"/>
      <c r="C1585" s="57"/>
      <c r="D1585" s="57"/>
      <c r="E1585" s="57"/>
      <c r="F1585" s="57"/>
      <c r="G1585" s="57"/>
      <c r="H1585" s="57"/>
      <c r="I1585" s="57"/>
    </row>
    <row r="1586" spans="2:9">
      <c r="B1586" s="57"/>
      <c r="C1586" s="57"/>
      <c r="D1586" s="57"/>
      <c r="E1586" s="57"/>
      <c r="F1586" s="57"/>
      <c r="G1586" s="57"/>
      <c r="H1586" s="57"/>
      <c r="I1586" s="57"/>
    </row>
    <row r="1587" spans="2:9">
      <c r="B1587" s="57"/>
      <c r="C1587" s="57"/>
      <c r="D1587" s="57"/>
      <c r="E1587" s="57"/>
      <c r="F1587" s="57"/>
      <c r="G1587" s="57"/>
      <c r="H1587" s="57"/>
      <c r="I1587" s="57"/>
    </row>
    <row r="1588" spans="2:9">
      <c r="B1588" s="57"/>
      <c r="C1588" s="57"/>
      <c r="D1588" s="57"/>
      <c r="E1588" s="57"/>
      <c r="F1588" s="57"/>
      <c r="G1588" s="57"/>
      <c r="H1588" s="57"/>
      <c r="I1588" s="57"/>
    </row>
    <row r="1589" spans="2:9">
      <c r="B1589" s="57"/>
      <c r="C1589" s="57"/>
      <c r="D1589" s="57"/>
      <c r="E1589" s="57"/>
      <c r="F1589" s="57"/>
      <c r="G1589" s="57"/>
      <c r="H1589" s="57"/>
      <c r="I1589" s="57"/>
    </row>
    <row r="1590" spans="2:9">
      <c r="B1590" s="57"/>
      <c r="C1590" s="57"/>
      <c r="D1590" s="57"/>
      <c r="E1590" s="57"/>
      <c r="F1590" s="57"/>
      <c r="G1590" s="57"/>
      <c r="H1590" s="57"/>
      <c r="I1590" s="57"/>
    </row>
    <row r="1591" spans="2:9">
      <c r="B1591" s="57"/>
      <c r="C1591" s="57"/>
      <c r="D1591" s="57"/>
      <c r="E1591" s="57"/>
      <c r="F1591" s="57"/>
      <c r="G1591" s="57"/>
      <c r="H1591" s="57"/>
      <c r="I1591" s="57"/>
    </row>
    <row r="1592" spans="2:9">
      <c r="B1592" s="57"/>
      <c r="C1592" s="57"/>
      <c r="D1592" s="57"/>
      <c r="E1592" s="57"/>
      <c r="F1592" s="57"/>
      <c r="G1592" s="57"/>
      <c r="H1592" s="57"/>
      <c r="I1592" s="57"/>
    </row>
    <row r="1593" spans="2:9">
      <c r="B1593" s="57"/>
      <c r="C1593" s="57"/>
      <c r="D1593" s="57"/>
      <c r="E1593" s="57"/>
      <c r="F1593" s="57"/>
      <c r="G1593" s="57"/>
      <c r="H1593" s="57"/>
      <c r="I1593" s="57"/>
    </row>
    <row r="1594" spans="2:9">
      <c r="B1594" s="57"/>
      <c r="C1594" s="57"/>
      <c r="D1594" s="57"/>
      <c r="E1594" s="57"/>
      <c r="F1594" s="57"/>
      <c r="G1594" s="57"/>
      <c r="H1594" s="57"/>
      <c r="I1594" s="57"/>
    </row>
    <row r="1595" spans="2:9">
      <c r="B1595" s="57"/>
      <c r="C1595" s="57"/>
      <c r="D1595" s="57"/>
      <c r="E1595" s="57"/>
      <c r="F1595" s="57"/>
      <c r="G1595" s="57"/>
      <c r="H1595" s="57"/>
      <c r="I1595" s="57"/>
    </row>
    <row r="1596" spans="2:9">
      <c r="B1596" s="57"/>
      <c r="C1596" s="57"/>
      <c r="D1596" s="57"/>
      <c r="E1596" s="57"/>
      <c r="F1596" s="57"/>
      <c r="G1596" s="57"/>
      <c r="H1596" s="57"/>
      <c r="I1596" s="57"/>
    </row>
    <row r="1597" spans="2:9">
      <c r="B1597" s="57"/>
      <c r="C1597" s="57"/>
      <c r="D1597" s="57"/>
      <c r="E1597" s="57"/>
      <c r="F1597" s="57"/>
      <c r="G1597" s="57"/>
      <c r="H1597" s="57"/>
      <c r="I1597" s="57"/>
    </row>
    <row r="1598" spans="2:9">
      <c r="B1598" s="57"/>
      <c r="C1598" s="57"/>
      <c r="D1598" s="57"/>
      <c r="E1598" s="57"/>
      <c r="F1598" s="57"/>
      <c r="G1598" s="57"/>
      <c r="H1598" s="57"/>
      <c r="I1598" s="57"/>
    </row>
    <row r="1599" spans="2:9">
      <c r="B1599" s="57"/>
      <c r="C1599" s="57"/>
      <c r="D1599" s="57"/>
      <c r="E1599" s="57"/>
      <c r="F1599" s="57"/>
      <c r="G1599" s="57"/>
      <c r="H1599" s="57"/>
      <c r="I1599" s="57"/>
    </row>
    <row r="1600" spans="2:9">
      <c r="B1600" s="57"/>
      <c r="C1600" s="57"/>
      <c r="D1600" s="57"/>
      <c r="E1600" s="57"/>
      <c r="F1600" s="57"/>
      <c r="G1600" s="57"/>
      <c r="H1600" s="57"/>
      <c r="I1600" s="57"/>
    </row>
    <row r="1601" spans="2:9">
      <c r="B1601" s="57"/>
      <c r="C1601" s="57"/>
      <c r="D1601" s="57"/>
      <c r="E1601" s="57"/>
      <c r="F1601" s="57"/>
      <c r="G1601" s="57"/>
      <c r="H1601" s="57"/>
      <c r="I1601" s="57"/>
    </row>
    <row r="1602" spans="2:9">
      <c r="B1602" s="57"/>
      <c r="C1602" s="57"/>
      <c r="D1602" s="57"/>
      <c r="E1602" s="57"/>
      <c r="F1602" s="57"/>
      <c r="G1602" s="57"/>
      <c r="H1602" s="57"/>
      <c r="I1602" s="57"/>
    </row>
    <row r="1603" spans="2:9">
      <c r="B1603" s="57"/>
      <c r="C1603" s="57"/>
      <c r="D1603" s="57"/>
      <c r="E1603" s="57"/>
      <c r="F1603" s="57"/>
      <c r="G1603" s="57"/>
      <c r="H1603" s="57"/>
      <c r="I1603" s="57"/>
    </row>
    <row r="1604" spans="2:9">
      <c r="B1604" s="57"/>
      <c r="C1604" s="57"/>
      <c r="D1604" s="57"/>
      <c r="E1604" s="57"/>
      <c r="F1604" s="57"/>
      <c r="G1604" s="57"/>
      <c r="H1604" s="57"/>
      <c r="I1604" s="57"/>
    </row>
    <row r="1621" spans="2:9">
      <c r="B1621" s="1406" t="s">
        <v>125</v>
      </c>
      <c r="C1621" s="57"/>
      <c r="D1621" s="57"/>
      <c r="E1621" s="57"/>
      <c r="F1621" s="57"/>
      <c r="G1621" s="57"/>
      <c r="H1621" s="57"/>
      <c r="I1621" s="57"/>
    </row>
    <row r="1622" spans="2:9">
      <c r="C1622" s="57"/>
      <c r="D1622" s="57"/>
      <c r="E1622" s="57"/>
      <c r="F1622" s="57"/>
      <c r="G1622" s="57"/>
      <c r="H1622" s="57"/>
      <c r="I1622" s="57"/>
    </row>
    <row r="1623" spans="2:9">
      <c r="C1623" s="57"/>
      <c r="D1623" s="57"/>
      <c r="E1623" s="57"/>
      <c r="F1623" s="57"/>
      <c r="G1623" s="57"/>
      <c r="H1623" s="57"/>
      <c r="I1623" s="57"/>
    </row>
    <row r="1624" spans="2:9">
      <c r="C1624" s="57"/>
      <c r="D1624" s="57"/>
      <c r="E1624" s="57"/>
      <c r="F1624" s="57"/>
      <c r="G1624" s="57"/>
      <c r="H1624" s="57"/>
      <c r="I1624" s="57"/>
    </row>
    <row r="1625" spans="2:9">
      <c r="C1625" s="57"/>
      <c r="D1625" s="57"/>
      <c r="E1625" s="57"/>
      <c r="F1625" s="57"/>
      <c r="G1625" s="57"/>
      <c r="H1625" s="57"/>
      <c r="I1625" s="57"/>
    </row>
    <row r="1626" spans="2:9">
      <c r="C1626" s="57"/>
      <c r="D1626" s="57"/>
      <c r="E1626" s="57"/>
      <c r="F1626" s="57"/>
      <c r="G1626" s="57"/>
      <c r="H1626" s="57"/>
      <c r="I1626" s="57"/>
    </row>
    <row r="1627" spans="2:9" ht="15" thickBot="1">
      <c r="B1627" s="1407"/>
      <c r="C1627" s="70"/>
      <c r="D1627" s="70"/>
      <c r="E1627" s="70"/>
      <c r="F1627" s="70"/>
      <c r="G1627" s="70"/>
      <c r="H1627" s="70"/>
      <c r="I1627" s="70"/>
    </row>
    <row r="1628" spans="2:9" ht="15" thickTop="1"/>
    <row r="1643" spans="2:9">
      <c r="B1643" s="1406" t="s">
        <v>125</v>
      </c>
      <c r="C1643" s="57"/>
      <c r="D1643" s="57"/>
      <c r="E1643" s="57"/>
      <c r="F1643" s="57"/>
      <c r="G1643" s="57"/>
      <c r="H1643" s="57"/>
      <c r="I1643" s="57"/>
    </row>
    <row r="1644" spans="2:9">
      <c r="C1644" s="57"/>
      <c r="D1644" s="57"/>
      <c r="E1644" s="57"/>
      <c r="F1644" s="57"/>
      <c r="G1644" s="57"/>
      <c r="H1644" s="57"/>
      <c r="I1644" s="57"/>
    </row>
    <row r="1645" spans="2:9">
      <c r="C1645" s="57"/>
      <c r="D1645" s="57"/>
      <c r="E1645" s="57"/>
      <c r="F1645" s="57"/>
      <c r="G1645" s="57"/>
      <c r="H1645" s="57"/>
      <c r="I1645" s="57"/>
    </row>
    <row r="1646" spans="2:9">
      <c r="C1646" s="57"/>
      <c r="D1646" s="57"/>
      <c r="E1646" s="57"/>
      <c r="F1646" s="57"/>
      <c r="G1646" s="57"/>
      <c r="H1646" s="57"/>
      <c r="I1646" s="57"/>
    </row>
    <row r="1647" spans="2:9">
      <c r="C1647" s="57"/>
      <c r="D1647" s="57"/>
      <c r="E1647" s="57"/>
      <c r="F1647" s="57"/>
      <c r="G1647" s="57"/>
      <c r="H1647" s="57"/>
      <c r="I1647" s="57"/>
    </row>
    <row r="1648" spans="2:9">
      <c r="C1648" s="57"/>
      <c r="D1648" s="57"/>
      <c r="E1648" s="57"/>
      <c r="F1648" s="57"/>
      <c r="G1648" s="57"/>
      <c r="H1648" s="57"/>
      <c r="I1648" s="57"/>
    </row>
    <row r="1649" spans="2:9" ht="15" thickBot="1">
      <c r="B1649" s="1407"/>
      <c r="C1649" s="70"/>
      <c r="D1649" s="70"/>
      <c r="E1649" s="70"/>
      <c r="F1649" s="70"/>
      <c r="G1649" s="70"/>
      <c r="H1649" s="70"/>
      <c r="I1649" s="70"/>
    </row>
    <row r="1650" spans="2:9" ht="15" thickTop="1"/>
    <row r="1674" spans="2:9">
      <c r="B1674" s="1406" t="s">
        <v>125</v>
      </c>
      <c r="C1674" s="57"/>
      <c r="D1674" s="57"/>
      <c r="E1674" s="57"/>
      <c r="F1674" s="57"/>
      <c r="G1674" s="57"/>
      <c r="H1674" s="57"/>
      <c r="I1674" s="57"/>
    </row>
    <row r="1675" spans="2:9">
      <c r="C1675" s="57"/>
      <c r="D1675" s="57"/>
      <c r="E1675" s="57"/>
      <c r="F1675" s="57"/>
      <c r="G1675" s="57"/>
      <c r="H1675" s="57"/>
      <c r="I1675" s="57"/>
    </row>
    <row r="1676" spans="2:9">
      <c r="C1676" s="57"/>
      <c r="D1676" s="57"/>
      <c r="E1676" s="57"/>
      <c r="F1676" s="57"/>
      <c r="G1676" s="57"/>
      <c r="H1676" s="57"/>
      <c r="I1676" s="57"/>
    </row>
    <row r="1677" spans="2:9">
      <c r="C1677" s="57"/>
      <c r="D1677" s="57"/>
      <c r="E1677" s="57"/>
      <c r="F1677" s="57"/>
      <c r="G1677" s="57"/>
      <c r="H1677" s="57"/>
      <c r="I1677" s="57"/>
    </row>
    <row r="1678" spans="2:9">
      <c r="C1678" s="57"/>
      <c r="D1678" s="57"/>
      <c r="E1678" s="57"/>
      <c r="F1678" s="57"/>
      <c r="G1678" s="57"/>
      <c r="H1678" s="57"/>
      <c r="I1678" s="57"/>
    </row>
    <row r="1679" spans="2:9">
      <c r="C1679" s="57"/>
      <c r="D1679" s="57"/>
      <c r="E1679" s="57"/>
      <c r="F1679" s="57"/>
      <c r="G1679" s="57"/>
      <c r="H1679" s="57"/>
      <c r="I1679" s="57"/>
    </row>
    <row r="1680" spans="2:9">
      <c r="C1680" s="57"/>
      <c r="D1680" s="57"/>
      <c r="E1680" s="57"/>
      <c r="F1680" s="57"/>
      <c r="G1680" s="57"/>
      <c r="H1680" s="57"/>
      <c r="I1680" s="57"/>
    </row>
    <row r="1681" spans="2:9">
      <c r="C1681" s="57"/>
      <c r="D1681" s="57"/>
      <c r="E1681" s="57"/>
      <c r="F1681" s="57"/>
      <c r="G1681" s="57"/>
      <c r="H1681" s="57"/>
      <c r="I1681" s="57"/>
    </row>
    <row r="1682" spans="2:9">
      <c r="C1682" s="57"/>
      <c r="D1682" s="57"/>
      <c r="E1682" s="57"/>
      <c r="F1682" s="57"/>
      <c r="G1682" s="57"/>
      <c r="H1682" s="57"/>
      <c r="I1682" s="57"/>
    </row>
    <row r="1683" spans="2:9">
      <c r="C1683" s="57"/>
      <c r="D1683" s="57"/>
      <c r="E1683" s="57"/>
      <c r="F1683" s="57"/>
      <c r="G1683" s="57"/>
      <c r="H1683" s="57"/>
      <c r="I1683" s="57"/>
    </row>
    <row r="1684" spans="2:9">
      <c r="C1684" s="57"/>
      <c r="D1684" s="57"/>
      <c r="E1684" s="57"/>
      <c r="F1684" s="57"/>
      <c r="G1684" s="57"/>
      <c r="H1684" s="57"/>
      <c r="I1684" s="57"/>
    </row>
    <row r="1685" spans="2:9">
      <c r="C1685" s="57"/>
      <c r="D1685" s="57"/>
      <c r="E1685" s="57"/>
      <c r="F1685" s="57"/>
      <c r="G1685" s="57"/>
      <c r="H1685" s="57"/>
      <c r="I1685" s="57"/>
    </row>
    <row r="1686" spans="2:9">
      <c r="C1686" s="57"/>
      <c r="D1686" s="57"/>
      <c r="E1686" s="57"/>
      <c r="F1686" s="57"/>
      <c r="G1686" s="57"/>
      <c r="H1686" s="57"/>
      <c r="I1686" s="57"/>
    </row>
    <row r="1687" spans="2:9">
      <c r="C1687" s="57"/>
      <c r="D1687" s="57"/>
      <c r="E1687" s="57"/>
      <c r="F1687" s="57"/>
      <c r="G1687" s="57"/>
      <c r="H1687" s="57"/>
      <c r="I1687" s="57"/>
    </row>
    <row r="1688" spans="2:9" ht="15" thickBot="1">
      <c r="B1688" s="1407"/>
      <c r="C1688" s="70"/>
      <c r="D1688" s="70"/>
      <c r="E1688" s="70"/>
      <c r="F1688" s="70"/>
      <c r="G1688" s="70"/>
      <c r="H1688" s="70"/>
      <c r="I1688" s="70"/>
    </row>
    <row r="1689" spans="2:9" ht="15" thickTop="1"/>
    <row r="1712" spans="2:9">
      <c r="B1712" s="1406" t="s">
        <v>125</v>
      </c>
      <c r="C1712" s="57"/>
      <c r="D1712" s="57"/>
      <c r="E1712" s="57"/>
      <c r="F1712" s="57"/>
      <c r="G1712" s="57"/>
      <c r="H1712" s="57"/>
      <c r="I1712" s="57"/>
    </row>
    <row r="1713" spans="2:9">
      <c r="C1713" s="57"/>
      <c r="D1713" s="57"/>
      <c r="E1713" s="57"/>
      <c r="F1713" s="57"/>
      <c r="G1713" s="57"/>
      <c r="H1713" s="57"/>
      <c r="I1713" s="57"/>
    </row>
    <row r="1714" spans="2:9">
      <c r="C1714" s="57"/>
      <c r="D1714" s="57"/>
      <c r="E1714" s="57"/>
      <c r="F1714" s="57"/>
      <c r="G1714" s="57"/>
      <c r="H1714" s="57"/>
      <c r="I1714" s="57"/>
    </row>
    <row r="1715" spans="2:9">
      <c r="C1715" s="57"/>
      <c r="D1715" s="57"/>
      <c r="E1715" s="57"/>
      <c r="F1715" s="57"/>
      <c r="G1715" s="57"/>
      <c r="H1715" s="57"/>
      <c r="I1715" s="57"/>
    </row>
    <row r="1716" spans="2:9">
      <c r="C1716" s="57"/>
      <c r="D1716" s="57"/>
      <c r="E1716" s="57"/>
      <c r="F1716" s="57"/>
      <c r="G1716" s="57"/>
      <c r="H1716" s="57"/>
      <c r="I1716" s="57"/>
    </row>
    <row r="1717" spans="2:9">
      <c r="C1717" s="57"/>
      <c r="D1717" s="57"/>
      <c r="E1717" s="57"/>
      <c r="F1717" s="57"/>
      <c r="G1717" s="57"/>
      <c r="H1717" s="57"/>
      <c r="I1717" s="57"/>
    </row>
    <row r="1718" spans="2:9">
      <c r="C1718" s="57"/>
      <c r="D1718" s="57"/>
      <c r="E1718" s="57"/>
      <c r="F1718" s="57"/>
      <c r="G1718" s="57"/>
      <c r="H1718" s="57"/>
      <c r="I1718" s="57"/>
    </row>
    <row r="1719" spans="2:9">
      <c r="C1719" s="57"/>
      <c r="D1719" s="57"/>
      <c r="E1719" s="57"/>
      <c r="F1719" s="57"/>
      <c r="G1719" s="57"/>
      <c r="H1719" s="57"/>
      <c r="I1719" s="57"/>
    </row>
    <row r="1720" spans="2:9">
      <c r="C1720" s="57"/>
      <c r="D1720" s="57"/>
      <c r="E1720" s="57"/>
      <c r="F1720" s="57"/>
      <c r="G1720" s="57"/>
      <c r="H1720" s="57"/>
      <c r="I1720" s="57"/>
    </row>
    <row r="1721" spans="2:9">
      <c r="C1721" s="57"/>
      <c r="D1721" s="57"/>
      <c r="E1721" s="57"/>
      <c r="F1721" s="57"/>
      <c r="G1721" s="57"/>
      <c r="H1721" s="57"/>
      <c r="I1721" s="57"/>
    </row>
    <row r="1722" spans="2:9">
      <c r="C1722" s="57"/>
      <c r="D1722" s="57"/>
      <c r="E1722" s="57"/>
      <c r="F1722" s="57"/>
      <c r="G1722" s="57"/>
      <c r="H1722" s="57"/>
      <c r="I1722" s="57"/>
    </row>
    <row r="1723" spans="2:9">
      <c r="C1723" s="57"/>
      <c r="D1723" s="57"/>
      <c r="E1723" s="57"/>
      <c r="F1723" s="57"/>
      <c r="G1723" s="57"/>
      <c r="H1723" s="57"/>
      <c r="I1723" s="57"/>
    </row>
    <row r="1724" spans="2:9">
      <c r="C1724" s="57"/>
      <c r="D1724" s="57"/>
      <c r="E1724" s="57"/>
      <c r="F1724" s="57"/>
      <c r="G1724" s="57"/>
      <c r="H1724" s="57"/>
      <c r="I1724" s="57"/>
    </row>
    <row r="1725" spans="2:9">
      <c r="C1725" s="57"/>
      <c r="D1725" s="57"/>
      <c r="E1725" s="57"/>
      <c r="F1725" s="57"/>
      <c r="G1725" s="57"/>
      <c r="H1725" s="57"/>
      <c r="I1725" s="57"/>
    </row>
    <row r="1726" spans="2:9" ht="15" thickBot="1">
      <c r="B1726" s="1407"/>
      <c r="C1726" s="70"/>
      <c r="D1726" s="70"/>
      <c r="E1726" s="70"/>
      <c r="F1726" s="70"/>
      <c r="G1726" s="70"/>
      <c r="H1726" s="70"/>
      <c r="I1726" s="70"/>
    </row>
    <row r="1727" spans="2:9" ht="15" thickTop="1"/>
  </sheetData>
  <mergeCells count="120">
    <mergeCell ref="B1157:I1157"/>
    <mergeCell ref="B1158:I1158"/>
    <mergeCell ref="B1178:I1178"/>
    <mergeCell ref="B1179:I1179"/>
    <mergeCell ref="B1201:I1201"/>
    <mergeCell ref="B1202:I1202"/>
    <mergeCell ref="B1109:H1109"/>
    <mergeCell ref="B1110:H1110"/>
    <mergeCell ref="B1111:H1111"/>
    <mergeCell ref="B1112:H1112"/>
    <mergeCell ref="B1134:I1134"/>
    <mergeCell ref="B1135:I1135"/>
    <mergeCell ref="B1062:H1062"/>
    <mergeCell ref="B1063:H1063"/>
    <mergeCell ref="B1084:I1084"/>
    <mergeCell ref="B1085:H1085"/>
    <mergeCell ref="B1086:H1086"/>
    <mergeCell ref="B1087:H1087"/>
    <mergeCell ref="K1033:K1034"/>
    <mergeCell ref="L1033:L1034"/>
    <mergeCell ref="B1038:I1038"/>
    <mergeCell ref="B1039:L1039"/>
    <mergeCell ref="B1060:I1060"/>
    <mergeCell ref="B1061:H1061"/>
    <mergeCell ref="B1028:J1028"/>
    <mergeCell ref="B1033:B1034"/>
    <mergeCell ref="C1033:C1034"/>
    <mergeCell ref="D1033:D1034"/>
    <mergeCell ref="E1033:E1034"/>
    <mergeCell ref="F1033:F1034"/>
    <mergeCell ref="G1033:G1034"/>
    <mergeCell ref="H1033:H1034"/>
    <mergeCell ref="I1033:I1034"/>
    <mergeCell ref="J1033:J1034"/>
    <mergeCell ref="H1015:H1016"/>
    <mergeCell ref="I1015:I1016"/>
    <mergeCell ref="J1015:J1016"/>
    <mergeCell ref="B1021:B1022"/>
    <mergeCell ref="C1021:C1022"/>
    <mergeCell ref="D1021:D1022"/>
    <mergeCell ref="E1021:E1022"/>
    <mergeCell ref="F1021:F1022"/>
    <mergeCell ref="B1009:D1009"/>
    <mergeCell ref="B1010:G1010"/>
    <mergeCell ref="B1015:B1016"/>
    <mergeCell ref="C1015:C1016"/>
    <mergeCell ref="D1015:D1016"/>
    <mergeCell ref="E1015:E1016"/>
    <mergeCell ref="F1015:F1016"/>
    <mergeCell ref="G1015:G1016"/>
    <mergeCell ref="J990:J991"/>
    <mergeCell ref="K990:K991"/>
    <mergeCell ref="L990:L991"/>
    <mergeCell ref="M990:N990"/>
    <mergeCell ref="B999:N999"/>
    <mergeCell ref="B1003:D1003"/>
    <mergeCell ref="B963:J963"/>
    <mergeCell ref="B984:I984"/>
    <mergeCell ref="B985:I985"/>
    <mergeCell ref="C990:C991"/>
    <mergeCell ref="D990:D991"/>
    <mergeCell ref="E990:E991"/>
    <mergeCell ref="F990:F991"/>
    <mergeCell ref="G990:G991"/>
    <mergeCell ref="H990:H991"/>
    <mergeCell ref="I990:I991"/>
    <mergeCell ref="B923:I923"/>
    <mergeCell ref="B925:J925"/>
    <mergeCell ref="B937:I937"/>
    <mergeCell ref="B938:I938"/>
    <mergeCell ref="B940:J940"/>
    <mergeCell ref="B961:I961"/>
    <mergeCell ref="B879:I879"/>
    <mergeCell ref="B880:I880"/>
    <mergeCell ref="B882:J882"/>
    <mergeCell ref="B908:I908"/>
    <mergeCell ref="B910:J910"/>
    <mergeCell ref="B922:I922"/>
    <mergeCell ref="B779:I779"/>
    <mergeCell ref="B780:H780"/>
    <mergeCell ref="B782:J782"/>
    <mergeCell ref="B829:I829"/>
    <mergeCell ref="B830:I830"/>
    <mergeCell ref="B832:J832"/>
    <mergeCell ref="B673:J673"/>
    <mergeCell ref="B693:I693"/>
    <mergeCell ref="B695:J695"/>
    <mergeCell ref="B715:I715"/>
    <mergeCell ref="B717:J717"/>
    <mergeCell ref="B778:I778"/>
    <mergeCell ref="B644:H644"/>
    <mergeCell ref="B649:J649"/>
    <mergeCell ref="B661:I661"/>
    <mergeCell ref="B663:J663"/>
    <mergeCell ref="B670:I670"/>
    <mergeCell ref="B671:I671"/>
    <mergeCell ref="B361:I361"/>
    <mergeCell ref="B363:J363"/>
    <mergeCell ref="B480:I480"/>
    <mergeCell ref="B482:J482"/>
    <mergeCell ref="B613:I613"/>
    <mergeCell ref="B615:J615"/>
    <mergeCell ref="B207:J207"/>
    <mergeCell ref="B271:I271"/>
    <mergeCell ref="B273:J273"/>
    <mergeCell ref="B49:J49"/>
    <mergeCell ref="B51:J51"/>
    <mergeCell ref="B77:I77"/>
    <mergeCell ref="B79:J79"/>
    <mergeCell ref="B106:I106"/>
    <mergeCell ref="B108:J108"/>
    <mergeCell ref="B2:J2"/>
    <mergeCell ref="B13:J13"/>
    <mergeCell ref="B15:J15"/>
    <mergeCell ref="B31:J31"/>
    <mergeCell ref="B32:I32"/>
    <mergeCell ref="B34:J34"/>
    <mergeCell ref="B139:I139"/>
    <mergeCell ref="B141:J141"/>
    <mergeCell ref="B205:I205"/>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587C4-38DC-4336-B77D-8A93BDA9651F}">
  <dimension ref="A2:K1590"/>
  <sheetViews>
    <sheetView tabSelected="1" view="pageBreakPreview" zoomScaleNormal="100" zoomScaleSheetLayoutView="100" workbookViewId="0">
      <pane xSplit="2" ySplit="5" topLeftCell="C1446" activePane="bottomRight" state="frozen"/>
      <selection pane="topRight"/>
      <selection pane="bottomLeft"/>
      <selection pane="bottomRight" activeCell="B1314" sqref="B1314"/>
    </sheetView>
  </sheetViews>
  <sheetFormatPr baseColWidth="10" defaultColWidth="11.453125" defaultRowHeight="14.5"/>
  <cols>
    <col min="1" max="1" width="2.1796875" style="1" customWidth="1"/>
    <col min="2" max="2" width="47.7265625" style="1" customWidth="1"/>
    <col min="3" max="10" width="16.7265625" style="1" customWidth="1"/>
    <col min="11" max="11" width="2" style="1" customWidth="1"/>
  </cols>
  <sheetData>
    <row r="2" spans="2:10">
      <c r="B2" s="2024" t="s">
        <v>464</v>
      </c>
      <c r="C2" s="2024"/>
      <c r="D2" s="2024"/>
      <c r="E2" s="2024"/>
      <c r="F2" s="2024"/>
      <c r="G2" s="2024"/>
      <c r="H2" s="2024"/>
      <c r="I2" s="2024"/>
      <c r="J2" s="2024"/>
    </row>
    <row r="3" spans="2:10">
      <c r="B3" s="12" t="s">
        <v>463</v>
      </c>
    </row>
    <row r="4" spans="2:10">
      <c r="B4" s="76"/>
    </row>
    <row r="5" spans="2:10">
      <c r="B5" s="61"/>
      <c r="C5" s="60">
        <v>2014</v>
      </c>
      <c r="D5" s="60">
        <v>2015</v>
      </c>
      <c r="E5" s="60">
        <v>2016</v>
      </c>
      <c r="F5" s="60">
        <v>2017</v>
      </c>
      <c r="G5" s="60">
        <v>2018</v>
      </c>
      <c r="H5" s="60">
        <v>2019</v>
      </c>
      <c r="I5" s="60">
        <v>2020</v>
      </c>
      <c r="J5" s="60">
        <v>2021</v>
      </c>
    </row>
    <row r="6" spans="2:10" ht="15.5">
      <c r="B6" s="64" t="s">
        <v>901</v>
      </c>
      <c r="C6" s="98">
        <v>201717.541</v>
      </c>
      <c r="D6" s="98">
        <v>203475.68299999999</v>
      </c>
      <c r="E6" s="98">
        <v>205156.587</v>
      </c>
      <c r="F6" s="98">
        <v>206804.74100000001</v>
      </c>
      <c r="G6" s="98">
        <v>208494.9</v>
      </c>
      <c r="H6" s="98">
        <v>210147.125</v>
      </c>
      <c r="I6" s="98">
        <v>211755.69200000001</v>
      </c>
      <c r="J6" s="98">
        <v>213318</v>
      </c>
    </row>
    <row r="7" spans="2:10">
      <c r="B7" s="64" t="s">
        <v>461</v>
      </c>
      <c r="C7" s="98">
        <v>2175646.7886454333</v>
      </c>
      <c r="D7" s="98">
        <v>1535491.4464249129</v>
      </c>
      <c r="E7" s="98">
        <v>1923637.8141204626</v>
      </c>
      <c r="F7" s="98">
        <v>1990773.5792019321</v>
      </c>
      <c r="G7" s="98">
        <v>1807613.5542479611</v>
      </c>
      <c r="H7" s="98">
        <v>1833212.841574</v>
      </c>
      <c r="I7" s="98">
        <v>1436992.0121180001</v>
      </c>
      <c r="J7" s="98">
        <v>1555324.7142729999</v>
      </c>
    </row>
    <row r="8" spans="2:10">
      <c r="B8" s="64" t="s">
        <v>460</v>
      </c>
      <c r="C8" s="98">
        <f t="shared" ref="C8:H8" si="0">C7*1000/C6</f>
        <v>10785.610303694082</v>
      </c>
      <c r="D8" s="98">
        <f t="shared" si="0"/>
        <v>7546.3142513442899</v>
      </c>
      <c r="E8" s="98">
        <f t="shared" si="0"/>
        <v>9376.4370047765642</v>
      </c>
      <c r="F8" s="98">
        <f t="shared" si="0"/>
        <v>9626.3440072775302</v>
      </c>
      <c r="G8" s="98">
        <f t="shared" si="0"/>
        <v>8669.8214404667033</v>
      </c>
      <c r="H8" s="98">
        <f t="shared" si="0"/>
        <v>8723.4733359973397</v>
      </c>
      <c r="I8" s="98">
        <f>I7*1000/I6</f>
        <v>6786.0844662347963</v>
      </c>
      <c r="J8" s="98">
        <f>J7*1000/J6</f>
        <v>7291.108646588661</v>
      </c>
    </row>
    <row r="9" spans="2:10" ht="15.5">
      <c r="B9" s="64" t="s">
        <v>902</v>
      </c>
      <c r="C9" s="202">
        <v>6.41</v>
      </c>
      <c r="D9" s="202">
        <v>10.67</v>
      </c>
      <c r="E9" s="202">
        <v>6.29</v>
      </c>
      <c r="F9" s="202">
        <v>2.95</v>
      </c>
      <c r="G9" s="202">
        <v>3.75</v>
      </c>
      <c r="H9" s="202">
        <v>4.3099999999999996</v>
      </c>
      <c r="I9" s="202">
        <v>4.5199999999999996</v>
      </c>
      <c r="J9" s="202">
        <v>10.06</v>
      </c>
    </row>
    <row r="10" spans="2:10" ht="15.5">
      <c r="B10" s="64" t="s">
        <v>903</v>
      </c>
      <c r="C10" s="203"/>
      <c r="D10" s="203"/>
      <c r="E10" s="203"/>
      <c r="F10" s="203"/>
      <c r="G10" s="203"/>
      <c r="H10" s="203"/>
      <c r="I10" s="203"/>
      <c r="J10" s="203"/>
    </row>
    <row r="11" spans="2:10">
      <c r="B11" s="190" t="s">
        <v>468</v>
      </c>
      <c r="C11" s="98">
        <v>2.6562000000000001</v>
      </c>
      <c r="D11" s="98">
        <v>3.9047999999999998</v>
      </c>
      <c r="E11" s="98">
        <v>3.2591000000000001</v>
      </c>
      <c r="F11" s="98">
        <v>3.3079999999999998</v>
      </c>
      <c r="G11" s="98">
        <v>3.8748</v>
      </c>
      <c r="H11" s="98">
        <v>4.0307000000000004</v>
      </c>
      <c r="I11" s="98">
        <v>5.1966999999999999</v>
      </c>
      <c r="J11" s="98">
        <v>5.5804999999999998</v>
      </c>
    </row>
    <row r="12" spans="2:10" ht="15" thickBot="1">
      <c r="B12" s="196" t="s">
        <v>456</v>
      </c>
      <c r="C12" s="518">
        <v>2.3546999999999998</v>
      </c>
      <c r="D12" s="518">
        <v>3.3386999999999998</v>
      </c>
      <c r="E12" s="518">
        <v>3.4832999999999998</v>
      </c>
      <c r="F12" s="518">
        <v>3.1924999999999999</v>
      </c>
      <c r="G12" s="518">
        <v>3.6558000000000002</v>
      </c>
      <c r="H12" s="518">
        <v>3.9460999999999999</v>
      </c>
      <c r="I12" s="518">
        <v>5.1577999999999999</v>
      </c>
      <c r="J12" s="518">
        <v>5.3956</v>
      </c>
    </row>
    <row r="13" spans="2:10" ht="15" thickTop="1">
      <c r="B13" s="2066" t="s">
        <v>904</v>
      </c>
      <c r="C13" s="2031"/>
      <c r="D13" s="2031"/>
      <c r="E13" s="2031"/>
      <c r="F13" s="2031"/>
      <c r="G13" s="2031"/>
      <c r="H13" s="2031"/>
      <c r="I13" s="2031"/>
      <c r="J13" s="2031"/>
    </row>
    <row r="14" spans="2:10">
      <c r="B14" s="64"/>
    </row>
    <row r="15" spans="2:10">
      <c r="B15" s="2024" t="s">
        <v>454</v>
      </c>
      <c r="C15" s="2024"/>
      <c r="D15" s="2024"/>
      <c r="E15" s="2024"/>
      <c r="F15" s="2024"/>
      <c r="G15" s="2024"/>
      <c r="H15" s="2024"/>
      <c r="I15" s="2024"/>
      <c r="J15" s="2024"/>
    </row>
    <row r="16" spans="2:10">
      <c r="B16" s="12" t="s">
        <v>453</v>
      </c>
    </row>
    <row r="17" spans="2:10">
      <c r="B17" s="62" t="s">
        <v>242</v>
      </c>
    </row>
    <row r="18" spans="2:10">
      <c r="B18" s="64"/>
    </row>
    <row r="19" spans="2:10">
      <c r="B19" s="61"/>
      <c r="C19" s="60">
        <v>2014</v>
      </c>
      <c r="D19" s="60">
        <v>2015</v>
      </c>
      <c r="E19" s="60">
        <v>2016</v>
      </c>
      <c r="F19" s="60">
        <v>2017</v>
      </c>
      <c r="G19" s="60">
        <v>2018</v>
      </c>
      <c r="H19" s="60">
        <v>2019</v>
      </c>
      <c r="I19" s="60">
        <v>2020</v>
      </c>
      <c r="J19" s="60">
        <v>2021</v>
      </c>
    </row>
    <row r="20" spans="2:10">
      <c r="B20" s="188" t="s">
        <v>413</v>
      </c>
      <c r="C20" s="55">
        <v>67107.750169414896</v>
      </c>
      <c r="D20" s="55">
        <v>47449.39996926859</v>
      </c>
      <c r="E20" s="55">
        <v>58903.828664355176</v>
      </c>
      <c r="F20" s="55">
        <v>61641.365175332518</v>
      </c>
      <c r="G20" s="55">
        <v>56301.4008464953</v>
      </c>
      <c r="H20" s="55">
        <v>56642.554395018233</v>
      </c>
      <c r="I20" s="55">
        <v>59439.532395558723</v>
      </c>
      <c r="J20" s="55">
        <v>51240.02399999999</v>
      </c>
    </row>
    <row r="21" spans="2:10">
      <c r="B21" s="197" t="s">
        <v>452</v>
      </c>
      <c r="C21" s="55">
        <v>69689.755665989011</v>
      </c>
      <c r="D21" s="55">
        <v>41472.078467527142</v>
      </c>
      <c r="E21" s="55">
        <v>52485.3726488908</v>
      </c>
      <c r="F21" s="55">
        <v>54392.359733978243</v>
      </c>
      <c r="G21" s="55">
        <v>49568.899298028286</v>
      </c>
      <c r="H21" s="55">
        <v>54435.368298310459</v>
      </c>
      <c r="I21" s="55">
        <v>63928.671849442922</v>
      </c>
      <c r="J21" s="55">
        <v>65849.88</v>
      </c>
    </row>
    <row r="22" spans="2:10">
      <c r="B22" s="194" t="s">
        <v>379</v>
      </c>
      <c r="C22" s="55"/>
      <c r="D22" s="55"/>
      <c r="E22" s="55"/>
      <c r="F22" s="55"/>
      <c r="G22" s="55"/>
      <c r="H22" s="55"/>
      <c r="I22" s="55"/>
      <c r="J22" s="55"/>
    </row>
    <row r="23" spans="2:10">
      <c r="B23" s="198" t="s">
        <v>451</v>
      </c>
      <c r="C23" s="55">
        <v>69689.755665989011</v>
      </c>
      <c r="D23" s="55">
        <v>41472.078467527142</v>
      </c>
      <c r="E23" s="55">
        <v>52485.3726488908</v>
      </c>
      <c r="F23" s="55">
        <v>54392.359733978243</v>
      </c>
      <c r="G23" s="55">
        <v>49568.899298028286</v>
      </c>
      <c r="H23" s="55">
        <v>54435.368298310459</v>
      </c>
      <c r="I23" s="55">
        <v>63928.671849442922</v>
      </c>
      <c r="J23" s="55">
        <v>65849.88</v>
      </c>
    </row>
    <row r="24" spans="2:10">
      <c r="B24" s="198" t="s">
        <v>450</v>
      </c>
      <c r="C24" s="55">
        <v>0</v>
      </c>
      <c r="D24" s="55">
        <v>0</v>
      </c>
      <c r="E24" s="55">
        <v>0</v>
      </c>
      <c r="F24" s="55">
        <v>0</v>
      </c>
      <c r="G24" s="55">
        <v>0</v>
      </c>
      <c r="H24" s="55">
        <v>0</v>
      </c>
      <c r="I24" s="55">
        <v>0</v>
      </c>
      <c r="J24" s="55">
        <v>0</v>
      </c>
    </row>
    <row r="25" spans="2:10">
      <c r="B25" s="197" t="s">
        <v>449</v>
      </c>
      <c r="C25" s="55">
        <v>136797.50583540395</v>
      </c>
      <c r="D25" s="55">
        <v>88921.478436795733</v>
      </c>
      <c r="E25" s="55">
        <v>111389.20131324598</v>
      </c>
      <c r="F25" s="55">
        <v>116033.72490931077</v>
      </c>
      <c r="G25" s="55">
        <v>105870.30014452359</v>
      </c>
      <c r="H25" s="55">
        <v>111077.92269332868</v>
      </c>
      <c r="I25" s="55">
        <v>123368.20424500165</v>
      </c>
      <c r="J25" s="55">
        <v>117089.90399999999</v>
      </c>
    </row>
    <row r="26" spans="2:10">
      <c r="B26" s="197" t="s">
        <v>448</v>
      </c>
      <c r="C26" s="66"/>
      <c r="D26" s="66"/>
      <c r="E26" s="66"/>
      <c r="F26" s="66"/>
      <c r="G26" s="66"/>
      <c r="H26" s="66"/>
      <c r="I26" s="66"/>
      <c r="J26" s="66"/>
    </row>
    <row r="27" spans="2:10">
      <c r="B27" s="195" t="s">
        <v>447</v>
      </c>
      <c r="C27" s="66">
        <v>0</v>
      </c>
      <c r="D27" s="66">
        <v>0</v>
      </c>
      <c r="E27" s="66">
        <v>0</v>
      </c>
      <c r="F27" s="66">
        <v>0</v>
      </c>
      <c r="G27" s="66">
        <v>0</v>
      </c>
      <c r="H27" s="66">
        <v>0</v>
      </c>
      <c r="I27" s="66">
        <v>0</v>
      </c>
      <c r="J27" s="66">
        <v>0</v>
      </c>
    </row>
    <row r="28" spans="2:10">
      <c r="B28" s="195" t="s">
        <v>445</v>
      </c>
      <c r="C28" s="66">
        <v>0</v>
      </c>
      <c r="D28" s="66">
        <v>0</v>
      </c>
      <c r="E28" s="66">
        <v>0</v>
      </c>
      <c r="F28" s="66">
        <v>0</v>
      </c>
      <c r="G28" s="66">
        <v>0</v>
      </c>
      <c r="H28" s="66">
        <v>0</v>
      </c>
      <c r="I28" s="66">
        <v>0</v>
      </c>
      <c r="J28" s="66">
        <v>0</v>
      </c>
    </row>
    <row r="29" spans="2:10">
      <c r="B29" s="195" t="s">
        <v>444</v>
      </c>
      <c r="C29" s="66">
        <v>0</v>
      </c>
      <c r="D29" s="66">
        <v>0</v>
      </c>
      <c r="E29" s="66">
        <v>0</v>
      </c>
      <c r="F29" s="66">
        <v>0</v>
      </c>
      <c r="G29" s="66">
        <v>0</v>
      </c>
      <c r="H29" s="66">
        <v>0</v>
      </c>
      <c r="I29" s="66">
        <v>0</v>
      </c>
      <c r="J29" s="66">
        <v>0</v>
      </c>
    </row>
    <row r="30" spans="2:10" ht="15" thickBot="1">
      <c r="B30" s="196" t="s">
        <v>443</v>
      </c>
      <c r="C30" s="66">
        <v>0</v>
      </c>
      <c r="D30" s="66">
        <v>0</v>
      </c>
      <c r="E30" s="66">
        <v>0</v>
      </c>
      <c r="F30" s="66">
        <v>0</v>
      </c>
      <c r="G30" s="66">
        <v>0</v>
      </c>
      <c r="H30" s="66">
        <v>0</v>
      </c>
      <c r="I30" s="66">
        <v>0</v>
      </c>
      <c r="J30" s="66">
        <v>0</v>
      </c>
    </row>
    <row r="31" spans="2:10" ht="15" thickTop="1">
      <c r="B31" s="2025" t="s">
        <v>905</v>
      </c>
      <c r="C31" s="2025"/>
      <c r="D31" s="2025"/>
      <c r="E31" s="2025"/>
      <c r="F31" s="2025"/>
      <c r="G31" s="2025"/>
      <c r="H31" s="2025"/>
      <c r="I31" s="2025"/>
      <c r="J31" s="2025"/>
    </row>
    <row r="32" spans="2:10">
      <c r="B32" s="2017"/>
      <c r="C32" s="2017"/>
      <c r="D32" s="2017"/>
      <c r="E32" s="2017"/>
      <c r="F32" s="2017"/>
      <c r="G32" s="2017"/>
      <c r="H32" s="2017"/>
      <c r="I32" s="2017"/>
      <c r="J32" s="2017"/>
    </row>
    <row r="33" spans="2:10">
      <c r="B33" s="64"/>
    </row>
    <row r="34" spans="2:10">
      <c r="B34" s="2024" t="s">
        <v>442</v>
      </c>
      <c r="C34" s="2024"/>
      <c r="D34" s="2024"/>
      <c r="E34" s="2024"/>
      <c r="F34" s="2024"/>
      <c r="G34" s="2024"/>
      <c r="H34" s="2024"/>
      <c r="I34" s="2024"/>
      <c r="J34" s="2024"/>
    </row>
    <row r="35" spans="2:10">
      <c r="B35" s="12" t="s">
        <v>441</v>
      </c>
    </row>
    <row r="36" spans="2:10">
      <c r="B36" s="77" t="s">
        <v>242</v>
      </c>
    </row>
    <row r="37" spans="2:10">
      <c r="B37" s="64"/>
    </row>
    <row r="38" spans="2:10">
      <c r="B38" s="61"/>
      <c r="C38" s="60">
        <v>2014</v>
      </c>
      <c r="D38" s="60">
        <v>2015</v>
      </c>
      <c r="E38" s="60">
        <v>2016</v>
      </c>
      <c r="F38" s="60">
        <v>2017</v>
      </c>
      <c r="G38" s="60">
        <v>2018</v>
      </c>
      <c r="H38" s="60">
        <v>2019</v>
      </c>
      <c r="I38" s="60">
        <v>2020</v>
      </c>
      <c r="J38" s="60">
        <v>2021</v>
      </c>
    </row>
    <row r="39" spans="2:10">
      <c r="B39" s="188" t="s">
        <v>440</v>
      </c>
      <c r="C39" s="55">
        <v>17535.443490701</v>
      </c>
      <c r="D39" s="55">
        <v>9705.7393464453999</v>
      </c>
      <c r="E39" s="55">
        <v>12798.670185020404</v>
      </c>
      <c r="F39" s="55">
        <v>13321.906590084644</v>
      </c>
      <c r="G39" s="55">
        <v>10704.616238257458</v>
      </c>
      <c r="H39" s="55">
        <v>11263.960354280893</v>
      </c>
      <c r="I39" s="55">
        <v>12408.263705813304</v>
      </c>
      <c r="J39" s="55">
        <v>12673.782277573695</v>
      </c>
    </row>
    <row r="40" spans="2:10">
      <c r="B40" s="195" t="s">
        <v>470</v>
      </c>
      <c r="C40" s="55"/>
      <c r="D40" s="55"/>
      <c r="E40" s="55"/>
      <c r="F40" s="55"/>
      <c r="G40" s="55"/>
      <c r="H40" s="55"/>
      <c r="I40" s="55"/>
      <c r="J40" s="55"/>
    </row>
    <row r="41" spans="2:10">
      <c r="B41" s="150" t="s">
        <v>352</v>
      </c>
      <c r="C41" s="55">
        <v>17535.443490701</v>
      </c>
      <c r="D41" s="55">
        <v>9705.7393464453999</v>
      </c>
      <c r="E41" s="55">
        <v>12798.670185020404</v>
      </c>
      <c r="F41" s="55">
        <v>13321.906590084644</v>
      </c>
      <c r="G41" s="55">
        <v>10704.616238257458</v>
      </c>
      <c r="H41" s="55">
        <v>11263.960354280893</v>
      </c>
      <c r="I41" s="55">
        <v>12408.263705813304</v>
      </c>
      <c r="J41" s="55">
        <v>12673.782277573695</v>
      </c>
    </row>
    <row r="42" spans="2:10">
      <c r="B42" s="150" t="s">
        <v>351</v>
      </c>
      <c r="C42" s="55">
        <v>0</v>
      </c>
      <c r="D42" s="55">
        <v>0</v>
      </c>
      <c r="E42" s="55">
        <v>0</v>
      </c>
      <c r="F42" s="55">
        <v>0</v>
      </c>
      <c r="G42" s="55">
        <v>0</v>
      </c>
      <c r="H42" s="55">
        <v>0</v>
      </c>
      <c r="I42" s="55">
        <v>0</v>
      </c>
      <c r="J42" s="55">
        <v>0</v>
      </c>
    </row>
    <row r="43" spans="2:10">
      <c r="B43" s="195" t="s">
        <v>471</v>
      </c>
      <c r="C43" s="55"/>
      <c r="D43" s="55"/>
      <c r="E43" s="55"/>
      <c r="F43" s="55"/>
      <c r="G43" s="55"/>
      <c r="H43" s="55"/>
      <c r="I43" s="55"/>
      <c r="J43" s="55"/>
    </row>
    <row r="44" spans="2:10">
      <c r="B44" s="150" t="s">
        <v>352</v>
      </c>
      <c r="C44" s="55" t="s">
        <v>191</v>
      </c>
      <c r="D44" s="55" t="s">
        <v>191</v>
      </c>
      <c r="E44" s="55" t="s">
        <v>191</v>
      </c>
      <c r="F44" s="55" t="s">
        <v>191</v>
      </c>
      <c r="G44" s="55" t="s">
        <v>191</v>
      </c>
      <c r="H44" s="55" t="s">
        <v>191</v>
      </c>
      <c r="I44" s="55">
        <v>0</v>
      </c>
      <c r="J44" s="55">
        <v>0</v>
      </c>
    </row>
    <row r="45" spans="2:10">
      <c r="B45" s="150" t="s">
        <v>351</v>
      </c>
      <c r="C45" s="55">
        <v>0</v>
      </c>
      <c r="D45" s="55">
        <v>0</v>
      </c>
      <c r="E45" s="55">
        <v>0</v>
      </c>
      <c r="F45" s="55">
        <v>0</v>
      </c>
      <c r="G45" s="55">
        <v>0</v>
      </c>
      <c r="H45" s="55">
        <v>0</v>
      </c>
      <c r="I45" s="55">
        <v>0</v>
      </c>
      <c r="J45" s="55">
        <v>0</v>
      </c>
    </row>
    <row r="46" spans="2:10">
      <c r="B46" s="150"/>
      <c r="C46" s="55"/>
      <c r="D46" s="55"/>
      <c r="E46" s="55"/>
      <c r="F46" s="55"/>
      <c r="G46" s="55"/>
      <c r="H46" s="55"/>
      <c r="I46" s="55"/>
      <c r="J46" s="55"/>
    </row>
    <row r="47" spans="2:10">
      <c r="B47" s="188" t="s">
        <v>437</v>
      </c>
      <c r="C47" s="55"/>
      <c r="D47" s="55"/>
      <c r="E47" s="55"/>
      <c r="F47" s="55"/>
      <c r="G47" s="55"/>
      <c r="H47" s="55"/>
      <c r="I47" s="55"/>
      <c r="J47" s="55"/>
    </row>
    <row r="48" spans="2:10" ht="15" thickBot="1">
      <c r="B48" s="519" t="s">
        <v>436</v>
      </c>
      <c r="C48" s="55">
        <v>30653.177471575935</v>
      </c>
      <c r="D48" s="55">
        <v>17925.293484941612</v>
      </c>
      <c r="E48" s="55">
        <v>19378.360283513855</v>
      </c>
      <c r="F48" s="55">
        <v>18825.96584038694</v>
      </c>
      <c r="G48" s="55">
        <v>23010.738102611747</v>
      </c>
      <c r="H48" s="55">
        <v>22513.111370233455</v>
      </c>
      <c r="I48" s="55">
        <v>40150.613658668008</v>
      </c>
      <c r="J48" s="55">
        <v>32467.484454797956</v>
      </c>
    </row>
    <row r="49" spans="2:10" ht="15" thickTop="1">
      <c r="B49" s="2025" t="s">
        <v>905</v>
      </c>
      <c r="C49" s="2025"/>
      <c r="D49" s="2025"/>
      <c r="E49" s="2025"/>
      <c r="F49" s="2025"/>
      <c r="G49" s="2025"/>
      <c r="H49" s="2025"/>
      <c r="I49" s="2025"/>
      <c r="J49" s="2025"/>
    </row>
    <row r="50" spans="2:10">
      <c r="B50" s="64"/>
    </row>
    <row r="51" spans="2:10">
      <c r="B51" s="2024" t="s">
        <v>434</v>
      </c>
      <c r="C51" s="2024"/>
      <c r="D51" s="2024"/>
      <c r="E51" s="2024"/>
      <c r="F51" s="2024"/>
      <c r="G51" s="2024"/>
      <c r="H51" s="2024"/>
      <c r="I51" s="2024"/>
      <c r="J51" s="2024"/>
    </row>
    <row r="52" spans="2:10">
      <c r="B52" s="12" t="s">
        <v>433</v>
      </c>
    </row>
    <row r="53" spans="2:10">
      <c r="B53" s="62" t="s">
        <v>242</v>
      </c>
    </row>
    <row r="54" spans="2:10">
      <c r="B54" s="64"/>
    </row>
    <row r="55" spans="2:10">
      <c r="B55" s="61"/>
      <c r="C55" s="60">
        <v>2014</v>
      </c>
      <c r="D55" s="60">
        <v>2015</v>
      </c>
      <c r="E55" s="60">
        <v>2016</v>
      </c>
      <c r="F55" s="60">
        <v>2017</v>
      </c>
      <c r="G55" s="60">
        <v>2018</v>
      </c>
      <c r="H55" s="60">
        <v>2019</v>
      </c>
      <c r="I55" s="60">
        <v>2020</v>
      </c>
      <c r="J55" s="60">
        <v>2021</v>
      </c>
    </row>
    <row r="56" spans="2:10">
      <c r="B56" s="64" t="s">
        <v>432</v>
      </c>
      <c r="C56" s="98">
        <v>83254.609216173485</v>
      </c>
      <c r="D56" s="98">
        <v>57745.642030321666</v>
      </c>
      <c r="E56" s="98">
        <v>71229.969009849345</v>
      </c>
      <c r="F56" s="98">
        <v>75684.305018137849</v>
      </c>
      <c r="G56" s="98">
        <v>68382.282956539697</v>
      </c>
      <c r="H56" s="98">
        <v>69648.929530000009</v>
      </c>
      <c r="I56" s="98">
        <v>71238.66</v>
      </c>
      <c r="J56" s="98">
        <v>60755.020000000004</v>
      </c>
    </row>
    <row r="57" spans="2:10">
      <c r="B57" s="62"/>
      <c r="C57" s="98"/>
      <c r="D57" s="98"/>
      <c r="E57" s="98"/>
      <c r="F57" s="98"/>
      <c r="G57" s="98"/>
      <c r="H57" s="98"/>
      <c r="I57" s="98"/>
      <c r="J57" s="98"/>
    </row>
    <row r="58" spans="2:10">
      <c r="B58" s="64" t="s">
        <v>431</v>
      </c>
      <c r="C58" s="98">
        <v>81004.179278668773</v>
      </c>
      <c r="D58" s="98">
        <v>56219.52443146897</v>
      </c>
      <c r="E58" s="98">
        <v>69326.13420883067</v>
      </c>
      <c r="F58" s="98">
        <v>73718.438633615486</v>
      </c>
      <c r="G58" s="98">
        <v>66630.155362857447</v>
      </c>
      <c r="H58" s="98">
        <v>67900.439530000003</v>
      </c>
      <c r="I58" s="98">
        <v>69829.58</v>
      </c>
      <c r="J58" s="98">
        <v>59398.080000000002</v>
      </c>
    </row>
    <row r="59" spans="2:10">
      <c r="B59" s="520" t="s">
        <v>379</v>
      </c>
      <c r="C59" s="98"/>
      <c r="D59" s="98"/>
      <c r="E59" s="98"/>
      <c r="F59" s="98"/>
      <c r="G59" s="98"/>
      <c r="H59" s="98"/>
      <c r="I59" s="98"/>
      <c r="J59" s="98"/>
    </row>
    <row r="60" spans="2:10">
      <c r="B60" s="521" t="s">
        <v>906</v>
      </c>
      <c r="C60" s="98"/>
      <c r="D60" s="98"/>
      <c r="E60" s="98"/>
      <c r="F60" s="98"/>
      <c r="G60" s="98"/>
      <c r="H60" s="98"/>
      <c r="I60" s="98">
        <v>2052.4699999999998</v>
      </c>
      <c r="J60" s="98">
        <v>3344.38</v>
      </c>
    </row>
    <row r="61" spans="2:10">
      <c r="B61" s="521" t="s">
        <v>907</v>
      </c>
      <c r="C61" s="98">
        <v>29978.086740456289</v>
      </c>
      <c r="D61" s="98">
        <v>21667.165795943452</v>
      </c>
      <c r="E61" s="98">
        <v>27480.341505323555</v>
      </c>
      <c r="F61" s="98">
        <v>31706.053506650547</v>
      </c>
      <c r="G61" s="98">
        <v>31573.758387529677</v>
      </c>
      <c r="H61" s="98">
        <v>34262.092409999997</v>
      </c>
      <c r="I61" s="98">
        <v>36283.230000000003</v>
      </c>
      <c r="J61" s="98">
        <v>32340.01</v>
      </c>
    </row>
    <row r="62" spans="2:10">
      <c r="B62" s="521" t="s">
        <v>908</v>
      </c>
      <c r="C62" s="98">
        <v>40368.136435509368</v>
      </c>
      <c r="D62" s="98">
        <v>27704.344396640034</v>
      </c>
      <c r="E62" s="98">
        <v>33931.289006167346</v>
      </c>
      <c r="F62" s="98">
        <v>34072.264812575573</v>
      </c>
      <c r="G62" s="98">
        <v>28345.644678435016</v>
      </c>
      <c r="H62" s="98">
        <v>26864.70507</v>
      </c>
      <c r="I62" s="98">
        <v>25245.75</v>
      </c>
      <c r="J62" s="98">
        <v>18808.27</v>
      </c>
    </row>
    <row r="63" spans="2:10">
      <c r="B63" s="521" t="s">
        <v>909</v>
      </c>
      <c r="C63" s="98">
        <v>5955.6855658459453</v>
      </c>
      <c r="D63" s="98">
        <v>3796.7504097521</v>
      </c>
      <c r="E63" s="98">
        <v>4394.4613543616333</v>
      </c>
      <c r="F63" s="98">
        <v>4306.2457678355504</v>
      </c>
      <c r="G63" s="98">
        <v>3681.7257664911735</v>
      </c>
      <c r="H63" s="98">
        <v>3764.312144</v>
      </c>
      <c r="I63" s="98">
        <v>3676.3</v>
      </c>
      <c r="J63" s="98">
        <v>2692.26</v>
      </c>
    </row>
    <row r="64" spans="2:10">
      <c r="B64" s="521" t="s">
        <v>910</v>
      </c>
      <c r="C64" s="98">
        <v>2706.5473232437316</v>
      </c>
      <c r="D64" s="98">
        <v>1750.8653452161445</v>
      </c>
      <c r="E64" s="98">
        <v>1976.2857844190112</v>
      </c>
      <c r="F64" s="98">
        <v>1961.8969165659009</v>
      </c>
      <c r="G64" s="98">
        <v>1571.7590585320534</v>
      </c>
      <c r="H64" s="98">
        <v>1506.214285</v>
      </c>
      <c r="I64" s="98">
        <v>1311.14</v>
      </c>
      <c r="J64" s="98">
        <v>1061.99</v>
      </c>
    </row>
    <row r="65" spans="2:10">
      <c r="B65" s="521" t="s">
        <v>911</v>
      </c>
      <c r="C65" s="98">
        <v>1107.8770423913861</v>
      </c>
      <c r="D65" s="98">
        <v>687.1878201188282</v>
      </c>
      <c r="E65" s="98">
        <v>788.2050259274032</v>
      </c>
      <c r="F65" s="98">
        <v>858.04685610640865</v>
      </c>
      <c r="G65" s="98">
        <v>743.36481882935891</v>
      </c>
      <c r="H65" s="98">
        <v>763.94149379999999</v>
      </c>
      <c r="I65" s="98">
        <v>651.25</v>
      </c>
      <c r="J65" s="98">
        <v>584.01</v>
      </c>
    </row>
    <row r="66" spans="2:10">
      <c r="B66" s="521" t="s">
        <v>912</v>
      </c>
      <c r="C66" s="98">
        <v>831.74647993373981</v>
      </c>
      <c r="D66" s="98">
        <v>575.03790206924816</v>
      </c>
      <c r="E66" s="98">
        <v>709.86192507133865</v>
      </c>
      <c r="F66" s="98">
        <v>768.94165659008468</v>
      </c>
      <c r="G66" s="98">
        <v>675.50170331371942</v>
      </c>
      <c r="H66" s="98">
        <v>702.26751660000002</v>
      </c>
      <c r="I66" s="98">
        <v>580.85</v>
      </c>
      <c r="J66" s="98">
        <v>540.5</v>
      </c>
    </row>
    <row r="67" spans="2:10">
      <c r="B67" s="521" t="s">
        <v>913</v>
      </c>
      <c r="C67" s="98">
        <v>56.099691288306602</v>
      </c>
      <c r="D67" s="98">
        <v>38.172761729153862</v>
      </c>
      <c r="E67" s="98">
        <v>45.689607560369431</v>
      </c>
      <c r="F67" s="98">
        <v>44.988814993954058</v>
      </c>
      <c r="G67" s="98">
        <v>38.400949726437489</v>
      </c>
      <c r="H67" s="98">
        <v>36.906609680000003</v>
      </c>
      <c r="I67" s="98">
        <v>28.59</v>
      </c>
      <c r="J67" s="98">
        <v>26.65</v>
      </c>
    </row>
    <row r="68" spans="2:10">
      <c r="B68" s="522"/>
      <c r="C68" s="98"/>
      <c r="D68" s="98"/>
      <c r="E68" s="98"/>
      <c r="F68" s="98"/>
      <c r="G68" s="98"/>
      <c r="H68" s="98"/>
      <c r="I68" s="98"/>
      <c r="J68" s="98"/>
    </row>
    <row r="69" spans="2:10">
      <c r="B69" s="64" t="s">
        <v>424</v>
      </c>
      <c r="C69" s="98"/>
      <c r="D69" s="98"/>
      <c r="E69" s="98"/>
      <c r="F69" s="98"/>
      <c r="G69" s="98"/>
      <c r="H69" s="98"/>
    </row>
    <row r="70" spans="2:10">
      <c r="B70" s="520" t="s">
        <v>914</v>
      </c>
      <c r="C70" s="98">
        <v>2250.4299375047058</v>
      </c>
      <c r="D70" s="98">
        <v>1526.1175988526943</v>
      </c>
      <c r="E70" s="98">
        <v>1903.834801018686</v>
      </c>
      <c r="F70" s="98">
        <v>1965.8663845223703</v>
      </c>
      <c r="G70" s="98">
        <v>1752.1275936822547</v>
      </c>
      <c r="H70" s="98">
        <v>1748.49</v>
      </c>
      <c r="I70" s="98">
        <v>1409.08</v>
      </c>
      <c r="J70" s="98">
        <v>1356.94</v>
      </c>
    </row>
    <row r="71" spans="2:10">
      <c r="B71" s="521" t="s">
        <v>913</v>
      </c>
      <c r="C71" s="98">
        <v>1061.8733529101723</v>
      </c>
      <c r="D71" s="98">
        <v>767.59168203237039</v>
      </c>
      <c r="E71" s="98">
        <v>966.71381669786138</v>
      </c>
      <c r="F71" s="98">
        <v>999.43772672309558</v>
      </c>
      <c r="G71" s="98">
        <v>896.69324868380306</v>
      </c>
      <c r="H71" s="98">
        <v>900.64</v>
      </c>
      <c r="I71" s="98">
        <v>726.61</v>
      </c>
      <c r="J71" s="98">
        <v>700.57</v>
      </c>
    </row>
    <row r="72" spans="2:10">
      <c r="B72" s="521" t="s">
        <v>915</v>
      </c>
      <c r="C72" s="98">
        <v>472.74000451773207</v>
      </c>
      <c r="D72" s="98">
        <v>332.92793484941615</v>
      </c>
      <c r="E72" s="98">
        <v>412.17176521125464</v>
      </c>
      <c r="F72" s="98">
        <v>430.66837968561066</v>
      </c>
      <c r="G72" s="98">
        <v>383.83400433570762</v>
      </c>
      <c r="H72" s="98">
        <v>383.11</v>
      </c>
      <c r="I72" s="98">
        <v>311.54000000000002</v>
      </c>
      <c r="J72" s="98">
        <v>300.7</v>
      </c>
    </row>
    <row r="73" spans="2:10">
      <c r="B73" s="521" t="s">
        <v>916</v>
      </c>
      <c r="C73" s="98">
        <v>254.00158120623445</v>
      </c>
      <c r="D73" s="98">
        <v>178.30567506658474</v>
      </c>
      <c r="E73" s="98">
        <v>218.434230308981</v>
      </c>
      <c r="F73" s="98">
        <v>223.86336154776299</v>
      </c>
      <c r="G73" s="98">
        <v>197.21250129038918</v>
      </c>
      <c r="H73" s="98">
        <v>193.88</v>
      </c>
      <c r="I73" s="98">
        <v>154.77000000000001</v>
      </c>
      <c r="J73" s="98">
        <v>148.36000000000001</v>
      </c>
    </row>
    <row r="74" spans="2:10">
      <c r="B74" s="521" t="s">
        <v>917</v>
      </c>
      <c r="C74" s="98">
        <v>233.26217905278216</v>
      </c>
      <c r="D74" s="98">
        <v>163.10899405859456</v>
      </c>
      <c r="E74" s="98">
        <v>201.15952256758001</v>
      </c>
      <c r="F74" s="98">
        <v>204.15175332527207</v>
      </c>
      <c r="G74" s="98">
        <v>179.80153814390422</v>
      </c>
      <c r="H74" s="98">
        <v>177.35</v>
      </c>
      <c r="I74" s="98">
        <v>141.22</v>
      </c>
      <c r="J74" s="98">
        <v>135.29</v>
      </c>
    </row>
    <row r="75" spans="2:10">
      <c r="B75" s="521" t="s">
        <v>918</v>
      </c>
      <c r="C75" s="98">
        <v>107.79534673593857</v>
      </c>
      <c r="D75" s="98">
        <v>75.378508502356084</v>
      </c>
      <c r="E75" s="98">
        <v>94.484366849743793</v>
      </c>
      <c r="F75" s="98">
        <v>97.027811366384526</v>
      </c>
      <c r="G75" s="98">
        <v>85.435635387632914</v>
      </c>
      <c r="H75" s="98">
        <v>84.72</v>
      </c>
      <c r="I75" s="98">
        <v>68.12</v>
      </c>
      <c r="J75" s="98">
        <v>65.66</v>
      </c>
    </row>
    <row r="76" spans="2:10">
      <c r="B76" s="521" t="s">
        <v>919</v>
      </c>
      <c r="C76" s="98">
        <v>120.13289661923046</v>
      </c>
      <c r="D76" s="98">
        <v>8.1719934439664002</v>
      </c>
      <c r="E76" s="98">
        <v>9.7910466079592524</v>
      </c>
      <c r="F76" s="98">
        <v>9.6469165659008471</v>
      </c>
      <c r="G76" s="98">
        <v>8.2357799112212238</v>
      </c>
      <c r="H76" s="98">
        <v>7.92</v>
      </c>
      <c r="I76" s="98">
        <v>6.14</v>
      </c>
      <c r="J76" s="98">
        <v>5.72</v>
      </c>
    </row>
    <row r="77" spans="2:10">
      <c r="B77" s="521" t="s">
        <v>920</v>
      </c>
      <c r="C77" s="98">
        <v>0.62457646261576683</v>
      </c>
      <c r="D77" s="98">
        <v>0.63281089940585955</v>
      </c>
      <c r="E77" s="98">
        <v>1.0803596084808689</v>
      </c>
      <c r="F77" s="98">
        <v>1.0704353083434099</v>
      </c>
      <c r="G77" s="98">
        <v>0.91488592959636628</v>
      </c>
      <c r="H77" s="98">
        <v>0.88022133999999996</v>
      </c>
      <c r="I77" s="98">
        <v>0.68174692299999995</v>
      </c>
      <c r="J77" s="98">
        <v>0.636285663</v>
      </c>
    </row>
    <row r="78" spans="2:10">
      <c r="B78" s="62"/>
      <c r="C78" s="98"/>
      <c r="D78" s="98"/>
      <c r="E78" s="98"/>
      <c r="F78" s="98"/>
      <c r="G78" s="98"/>
      <c r="H78" s="98"/>
      <c r="I78" s="98"/>
      <c r="J78" s="98"/>
    </row>
    <row r="79" spans="2:10">
      <c r="B79" s="197" t="s">
        <v>414</v>
      </c>
      <c r="C79" s="98">
        <v>16146.859046758542</v>
      </c>
      <c r="D79" s="98">
        <v>10296.242061053072</v>
      </c>
      <c r="E79" s="98">
        <v>12326.140345494166</v>
      </c>
      <c r="F79" s="98">
        <v>14042.939842805334</v>
      </c>
      <c r="G79" s="98">
        <v>12080.882110044398</v>
      </c>
      <c r="H79" s="98">
        <v>12996.539530000009</v>
      </c>
      <c r="I79" s="98">
        <v>11836.850000000006</v>
      </c>
      <c r="J79" s="98">
        <v>9510.4000000000015</v>
      </c>
    </row>
    <row r="80" spans="2:10" ht="15" thickBot="1">
      <c r="B80" s="208" t="s">
        <v>413</v>
      </c>
      <c r="C80" s="518">
        <v>67107.75016941494</v>
      </c>
      <c r="D80" s="518">
        <v>47449.39996926859</v>
      </c>
      <c r="E80" s="518">
        <v>58903.828664355176</v>
      </c>
      <c r="F80" s="518">
        <v>61641.365175332518</v>
      </c>
      <c r="G80" s="518">
        <v>56301.4008464953</v>
      </c>
      <c r="H80" s="518">
        <v>56652.39</v>
      </c>
      <c r="I80" s="518">
        <v>59401.81</v>
      </c>
      <c r="J80" s="518">
        <v>51244.62</v>
      </c>
    </row>
    <row r="81" spans="2:10" ht="15" thickTop="1">
      <c r="B81" s="2025" t="s">
        <v>905</v>
      </c>
      <c r="C81" s="2025"/>
      <c r="D81" s="2025"/>
      <c r="E81" s="2025"/>
      <c r="F81" s="2025"/>
      <c r="G81" s="2025"/>
      <c r="H81" s="2025"/>
      <c r="I81" s="2025"/>
      <c r="J81" s="2025"/>
    </row>
    <row r="82" spans="2:10">
      <c r="B82" s="2017"/>
      <c r="C82" s="2017"/>
      <c r="D82" s="2017"/>
      <c r="E82" s="2017"/>
      <c r="F82" s="2017"/>
      <c r="G82" s="2017"/>
      <c r="H82" s="2017"/>
      <c r="I82" s="2017"/>
      <c r="J82" s="2017"/>
    </row>
    <row r="83" spans="2:10">
      <c r="B83" s="64"/>
    </row>
    <row r="84" spans="2:10">
      <c r="B84" s="2024" t="s">
        <v>411</v>
      </c>
      <c r="C84" s="2024"/>
      <c r="D84" s="2024"/>
      <c r="E84" s="2024"/>
      <c r="F84" s="2024"/>
      <c r="G84" s="2024"/>
      <c r="H84" s="2024"/>
      <c r="I84" s="2024"/>
      <c r="J84" s="2024"/>
    </row>
    <row r="85" spans="2:10">
      <c r="B85" s="12" t="s">
        <v>410</v>
      </c>
    </row>
    <row r="86" spans="2:10">
      <c r="B86" s="62" t="s">
        <v>409</v>
      </c>
    </row>
    <row r="87" spans="2:10">
      <c r="B87" s="64"/>
    </row>
    <row r="88" spans="2:10">
      <c r="B88" s="61"/>
      <c r="C88" s="60">
        <v>2014</v>
      </c>
      <c r="D88" s="60">
        <v>2015</v>
      </c>
      <c r="E88" s="60">
        <v>2016</v>
      </c>
      <c r="F88" s="60">
        <v>2017</v>
      </c>
      <c r="G88" s="60">
        <v>2018</v>
      </c>
      <c r="H88" s="60">
        <v>2019</v>
      </c>
      <c r="I88" s="60">
        <v>2020</v>
      </c>
      <c r="J88" s="60">
        <v>2021</v>
      </c>
    </row>
    <row r="89" spans="2:10">
      <c r="B89" s="114" t="s">
        <v>262</v>
      </c>
      <c r="C89" s="67"/>
      <c r="D89" s="67"/>
      <c r="E89" s="67"/>
      <c r="F89" s="67"/>
      <c r="G89" s="67"/>
      <c r="H89" s="67"/>
      <c r="I89" s="67"/>
      <c r="J89" s="67"/>
    </row>
    <row r="90" spans="2:10">
      <c r="B90" s="186" t="s">
        <v>408</v>
      </c>
      <c r="C90" s="67">
        <v>10</v>
      </c>
      <c r="D90" s="67">
        <v>10</v>
      </c>
      <c r="E90" s="67">
        <v>10</v>
      </c>
      <c r="F90" s="67">
        <v>10</v>
      </c>
      <c r="G90" s="67">
        <v>10</v>
      </c>
      <c r="H90" s="67">
        <v>10</v>
      </c>
      <c r="I90" s="67">
        <v>10</v>
      </c>
      <c r="J90" s="67">
        <v>10</v>
      </c>
    </row>
    <row r="91" spans="2:10">
      <c r="B91" s="65" t="s">
        <v>407</v>
      </c>
      <c r="C91" s="67">
        <v>130</v>
      </c>
      <c r="D91" s="67">
        <v>133</v>
      </c>
      <c r="E91" s="67">
        <v>134</v>
      </c>
      <c r="F91" s="67">
        <v>133</v>
      </c>
      <c r="G91" s="67">
        <v>131</v>
      </c>
      <c r="H91" s="67">
        <v>131</v>
      </c>
      <c r="I91" s="67">
        <v>139</v>
      </c>
      <c r="J91" s="67">
        <v>142</v>
      </c>
    </row>
    <row r="92" spans="2:10">
      <c r="B92" s="65" t="s">
        <v>406</v>
      </c>
      <c r="C92" s="67">
        <v>37</v>
      </c>
      <c r="D92" s="67">
        <v>43</v>
      </c>
      <c r="E92" s="67">
        <v>48</v>
      </c>
      <c r="F92" s="67">
        <v>58</v>
      </c>
      <c r="G92" s="67">
        <v>60</v>
      </c>
      <c r="H92" s="67">
        <v>98</v>
      </c>
      <c r="I92" s="67">
        <v>126</v>
      </c>
      <c r="J92" s="67">
        <v>170</v>
      </c>
    </row>
    <row r="93" spans="2:10">
      <c r="B93" s="186" t="s">
        <v>401</v>
      </c>
      <c r="C93" s="66">
        <v>6.4565921240870408</v>
      </c>
      <c r="D93" s="66">
        <v>7.6357910810720142</v>
      </c>
      <c r="E93" s="66">
        <v>11.707646871191434</v>
      </c>
      <c r="F93" s="66">
        <v>14.034865987778113</v>
      </c>
      <c r="G93" s="66">
        <v>9.5940195526659444</v>
      </c>
      <c r="H93" s="66">
        <v>8.9710274826705021</v>
      </c>
      <c r="I93" s="66">
        <v>12.1416148709758</v>
      </c>
      <c r="J93" s="66">
        <v>13.227265855398301</v>
      </c>
    </row>
    <row r="94" spans="2:10">
      <c r="B94" s="186"/>
      <c r="C94" s="67"/>
      <c r="D94" s="66"/>
      <c r="E94" s="66"/>
      <c r="F94" s="66"/>
      <c r="G94" s="66"/>
      <c r="H94" s="66"/>
      <c r="I94" s="66"/>
      <c r="J94" s="66"/>
    </row>
    <row r="95" spans="2:10" ht="15">
      <c r="B95" s="114" t="s">
        <v>921</v>
      </c>
      <c r="C95" s="67"/>
      <c r="D95" s="67"/>
      <c r="E95" s="67"/>
      <c r="F95" s="67"/>
      <c r="G95" s="67"/>
      <c r="H95" s="67"/>
      <c r="I95" s="67"/>
      <c r="J95" s="67"/>
    </row>
    <row r="96" spans="2:10">
      <c r="B96" s="186" t="s">
        <v>399</v>
      </c>
      <c r="C96" s="67">
        <v>152</v>
      </c>
      <c r="D96" s="67">
        <v>153</v>
      </c>
      <c r="E96" s="67">
        <v>154</v>
      </c>
      <c r="F96" s="67">
        <v>152</v>
      </c>
      <c r="G96" s="67">
        <v>151</v>
      </c>
      <c r="H96" s="67">
        <v>152</v>
      </c>
      <c r="I96" s="67">
        <v>157</v>
      </c>
      <c r="J96" s="67">
        <v>157</v>
      </c>
    </row>
    <row r="97" spans="2:10" ht="15.5">
      <c r="B97" s="186" t="s">
        <v>922</v>
      </c>
      <c r="C97" s="67">
        <v>33071</v>
      </c>
      <c r="D97" s="67">
        <v>32961</v>
      </c>
      <c r="E97" s="67">
        <v>33420</v>
      </c>
      <c r="F97" s="67">
        <v>31618</v>
      </c>
      <c r="G97" s="67">
        <v>31710</v>
      </c>
      <c r="H97" s="67">
        <v>31558</v>
      </c>
      <c r="I97" s="67">
        <v>30702</v>
      </c>
      <c r="J97" s="67">
        <v>29617</v>
      </c>
    </row>
    <row r="98" spans="2:10" ht="15.5">
      <c r="B98" s="186" t="s">
        <v>923</v>
      </c>
      <c r="C98" s="67">
        <v>0</v>
      </c>
      <c r="D98" s="67">
        <v>0</v>
      </c>
      <c r="E98" s="67">
        <v>0</v>
      </c>
      <c r="F98" s="67">
        <v>0</v>
      </c>
      <c r="G98" s="67">
        <v>0</v>
      </c>
      <c r="H98" s="67">
        <v>0</v>
      </c>
      <c r="I98" s="67">
        <v>0</v>
      </c>
      <c r="J98" s="67">
        <v>0</v>
      </c>
    </row>
    <row r="99" spans="2:10" ht="15.5">
      <c r="B99" s="186" t="s">
        <v>924</v>
      </c>
      <c r="C99" s="66">
        <v>64.925608011444922</v>
      </c>
      <c r="D99" s="66">
        <v>37.93343064945708</v>
      </c>
      <c r="E99" s="66">
        <v>47.49451075450277</v>
      </c>
      <c r="F99" s="66">
        <v>48.195235792019353</v>
      </c>
      <c r="G99" s="66">
        <v>42.65786827707236</v>
      </c>
      <c r="H99" s="66">
        <v>46.247302205572225</v>
      </c>
      <c r="I99" s="66">
        <v>52.022052456366502</v>
      </c>
      <c r="J99" s="66">
        <v>53.3750475525257</v>
      </c>
    </row>
    <row r="100" spans="2:10">
      <c r="B100" s="186"/>
      <c r="C100" s="67"/>
      <c r="D100" s="67"/>
      <c r="E100" s="67"/>
      <c r="F100" s="67"/>
      <c r="G100" s="67"/>
      <c r="H100" s="67"/>
      <c r="I100" s="66"/>
      <c r="J100" s="66"/>
    </row>
    <row r="101" spans="2:10" ht="26">
      <c r="B101" s="148" t="s">
        <v>404</v>
      </c>
      <c r="C101" s="67"/>
      <c r="D101" s="67"/>
      <c r="E101" s="67"/>
      <c r="F101" s="67"/>
      <c r="G101" s="67"/>
      <c r="H101" s="67"/>
      <c r="I101" s="67"/>
      <c r="J101" s="67"/>
    </row>
    <row r="102" spans="2:10" ht="15.5">
      <c r="B102" s="186" t="s">
        <v>925</v>
      </c>
      <c r="C102" s="67">
        <v>1163</v>
      </c>
      <c r="D102" s="67">
        <v>1113</v>
      </c>
      <c r="E102" s="67">
        <v>1078</v>
      </c>
      <c r="F102" s="67">
        <v>1004</v>
      </c>
      <c r="G102" s="67">
        <v>962</v>
      </c>
      <c r="H102" s="67">
        <v>920</v>
      </c>
      <c r="I102" s="67">
        <v>886</v>
      </c>
      <c r="J102" s="67">
        <v>860</v>
      </c>
    </row>
    <row r="103" spans="2:10" ht="15.5">
      <c r="B103" s="186" t="s">
        <v>926</v>
      </c>
      <c r="C103" s="67">
        <v>5342</v>
      </c>
      <c r="D103" s="67">
        <v>5547</v>
      </c>
      <c r="E103" s="67">
        <v>5727</v>
      </c>
      <c r="F103" s="67">
        <v>5949</v>
      </c>
      <c r="G103" s="67">
        <v>6340</v>
      </c>
      <c r="H103" s="67">
        <v>6948</v>
      </c>
      <c r="I103" s="67">
        <v>7348</v>
      </c>
      <c r="J103" s="67">
        <v>8088</v>
      </c>
    </row>
    <row r="104" spans="2:10">
      <c r="B104" s="186" t="s">
        <v>402</v>
      </c>
      <c r="C104" s="67">
        <v>0</v>
      </c>
      <c r="D104" s="67">
        <v>0</v>
      </c>
      <c r="E104" s="67">
        <v>0</v>
      </c>
      <c r="F104" s="67">
        <v>0</v>
      </c>
      <c r="G104" s="67">
        <v>0</v>
      </c>
      <c r="H104" s="67">
        <v>0</v>
      </c>
      <c r="I104" s="67">
        <v>0</v>
      </c>
      <c r="J104" s="67">
        <v>0</v>
      </c>
    </row>
    <row r="105" spans="2:10" ht="15.5">
      <c r="B105" s="186" t="s">
        <v>924</v>
      </c>
      <c r="C105" s="66">
        <v>4.7780965288758379</v>
      </c>
      <c r="D105" s="66">
        <v>3.5384603564843271</v>
      </c>
      <c r="E105" s="66">
        <v>4.9914546960817399</v>
      </c>
      <c r="F105" s="66">
        <v>6.197122128174124</v>
      </c>
      <c r="G105" s="66">
        <v>6.9110323113451013</v>
      </c>
      <c r="H105" s="66">
        <v>8.1880658446423684</v>
      </c>
      <c r="I105" s="66">
        <v>11.906560701984001</v>
      </c>
      <c r="J105" s="66">
        <v>12.474832604345499</v>
      </c>
    </row>
    <row r="106" spans="2:10">
      <c r="B106" s="186"/>
      <c r="C106" s="67"/>
      <c r="D106" s="67"/>
      <c r="E106" s="67"/>
      <c r="F106" s="67"/>
      <c r="G106" s="67"/>
      <c r="H106" s="67"/>
      <c r="I106" s="66"/>
      <c r="J106" s="66"/>
    </row>
    <row r="107" spans="2:10">
      <c r="B107" s="114" t="s">
        <v>400</v>
      </c>
      <c r="C107" s="67"/>
      <c r="D107" s="67"/>
      <c r="E107" s="67"/>
      <c r="F107" s="67"/>
      <c r="G107" s="67"/>
      <c r="H107" s="67"/>
      <c r="I107" s="67"/>
      <c r="J107" s="67"/>
    </row>
    <row r="108" spans="2:10">
      <c r="B108" s="186" t="s">
        <v>399</v>
      </c>
      <c r="C108" s="67">
        <v>0</v>
      </c>
      <c r="D108" s="67">
        <v>0</v>
      </c>
      <c r="E108" s="67">
        <v>0</v>
      </c>
      <c r="F108" s="67">
        <v>0</v>
      </c>
      <c r="G108" s="67">
        <v>0</v>
      </c>
      <c r="H108" s="67">
        <v>0</v>
      </c>
      <c r="I108" s="67">
        <v>0</v>
      </c>
      <c r="J108" s="67">
        <v>0</v>
      </c>
    </row>
    <row r="109" spans="2:10">
      <c r="B109" s="186" t="s">
        <v>401</v>
      </c>
      <c r="C109" s="67">
        <v>0</v>
      </c>
      <c r="D109" s="67">
        <v>0</v>
      </c>
      <c r="E109" s="67">
        <v>0</v>
      </c>
      <c r="F109" s="67">
        <v>0</v>
      </c>
      <c r="G109" s="67">
        <v>0</v>
      </c>
      <c r="H109" s="67">
        <v>0</v>
      </c>
      <c r="I109" s="67">
        <v>0</v>
      </c>
      <c r="J109" s="67">
        <v>0</v>
      </c>
    </row>
    <row r="110" spans="2:10" ht="15" thickBot="1">
      <c r="B110" s="523" t="s">
        <v>395</v>
      </c>
      <c r="C110" s="117">
        <v>0</v>
      </c>
      <c r="D110" s="117">
        <v>0</v>
      </c>
      <c r="E110" s="117">
        <v>0</v>
      </c>
      <c r="F110" s="117">
        <v>0</v>
      </c>
      <c r="G110" s="117">
        <v>0</v>
      </c>
      <c r="H110" s="117">
        <v>0</v>
      </c>
      <c r="I110" s="117">
        <v>0</v>
      </c>
      <c r="J110" s="117">
        <v>0</v>
      </c>
    </row>
    <row r="111" spans="2:10" ht="15" thickTop="1">
      <c r="B111" s="2025" t="s">
        <v>905</v>
      </c>
      <c r="C111" s="2025"/>
      <c r="D111" s="2025"/>
      <c r="E111" s="2025"/>
      <c r="F111" s="2025"/>
      <c r="G111" s="2025"/>
      <c r="H111" s="2025"/>
      <c r="I111" s="2025"/>
      <c r="J111" s="2025"/>
    </row>
    <row r="112" spans="2:10" ht="112" customHeight="1">
      <c r="B112" s="2066" t="s">
        <v>927</v>
      </c>
      <c r="C112" s="2066"/>
      <c r="D112" s="2066"/>
      <c r="E112" s="2066"/>
      <c r="F112" s="2066"/>
      <c r="G112" s="2066"/>
      <c r="H112" s="2066"/>
      <c r="I112" s="2066"/>
      <c r="J112" s="2066"/>
    </row>
    <row r="113" spans="2:10">
      <c r="B113" s="64"/>
    </row>
    <row r="114" spans="2:10">
      <c r="B114" s="2024" t="s">
        <v>393</v>
      </c>
      <c r="C114" s="2024"/>
      <c r="D114" s="2024"/>
      <c r="E114" s="2024"/>
      <c r="F114" s="2024"/>
      <c r="G114" s="2024"/>
      <c r="H114" s="2024"/>
      <c r="I114" s="2024"/>
      <c r="J114" s="2024"/>
    </row>
    <row r="115" spans="2:10">
      <c r="B115" s="12" t="s">
        <v>392</v>
      </c>
    </row>
    <row r="116" spans="2:10">
      <c r="B116" s="62" t="s">
        <v>269</v>
      </c>
    </row>
    <row r="117" spans="2:10">
      <c r="B117" s="64"/>
    </row>
    <row r="118" spans="2:10">
      <c r="B118" s="61"/>
      <c r="C118" s="60">
        <v>2014</v>
      </c>
      <c r="D118" s="60">
        <v>2015</v>
      </c>
      <c r="E118" s="60">
        <v>2016</v>
      </c>
      <c r="F118" s="60">
        <v>2017</v>
      </c>
      <c r="G118" s="60">
        <v>2018</v>
      </c>
      <c r="H118" s="60">
        <v>2019</v>
      </c>
      <c r="I118" s="60">
        <v>2020</v>
      </c>
      <c r="J118" s="60">
        <v>2021</v>
      </c>
    </row>
    <row r="119" spans="2:10">
      <c r="B119" s="179" t="s">
        <v>391</v>
      </c>
      <c r="C119" s="3"/>
      <c r="D119" s="3"/>
      <c r="E119" s="3"/>
      <c r="F119" s="3"/>
      <c r="G119" s="3"/>
      <c r="H119" s="3"/>
      <c r="I119" s="524"/>
      <c r="J119" s="3"/>
    </row>
    <row r="120" spans="2:10">
      <c r="B120" s="149" t="s">
        <v>390</v>
      </c>
      <c r="C120" s="67">
        <v>350249586</v>
      </c>
      <c r="D120" s="67">
        <v>353167121</v>
      </c>
      <c r="E120" s="67">
        <v>344844385</v>
      </c>
      <c r="F120" s="67">
        <v>334659798</v>
      </c>
      <c r="G120" s="67">
        <v>341301237</v>
      </c>
      <c r="H120" s="67">
        <v>346085738</v>
      </c>
      <c r="I120" s="525">
        <v>379700004</v>
      </c>
      <c r="J120" s="67">
        <v>497737176</v>
      </c>
    </row>
    <row r="121" spans="2:10">
      <c r="B121" s="149" t="s">
        <v>389</v>
      </c>
      <c r="C121" s="67">
        <v>313219778</v>
      </c>
      <c r="D121" s="67">
        <v>317355389</v>
      </c>
      <c r="E121" s="67">
        <v>318393632</v>
      </c>
      <c r="F121" s="67">
        <v>324240935</v>
      </c>
      <c r="G121" s="67">
        <v>329848332</v>
      </c>
      <c r="H121" s="67">
        <v>348826953</v>
      </c>
      <c r="I121" s="67">
        <v>457602278</v>
      </c>
      <c r="J121" s="67">
        <v>458955143</v>
      </c>
    </row>
    <row r="122" spans="2:10">
      <c r="B122" s="149" t="s">
        <v>388</v>
      </c>
      <c r="C122" s="67">
        <v>0</v>
      </c>
      <c r="D122" s="67">
        <v>0</v>
      </c>
      <c r="E122" s="67">
        <v>0</v>
      </c>
      <c r="F122" s="67">
        <v>0</v>
      </c>
      <c r="G122" s="67">
        <v>0</v>
      </c>
      <c r="H122" s="67">
        <v>0</v>
      </c>
      <c r="I122" s="67">
        <v>0</v>
      </c>
      <c r="J122" s="67">
        <v>0</v>
      </c>
    </row>
    <row r="123" spans="2:10">
      <c r="B123" s="149" t="s">
        <v>928</v>
      </c>
      <c r="C123" s="67">
        <v>160025860</v>
      </c>
      <c r="D123" s="67">
        <v>163104063</v>
      </c>
      <c r="E123" s="67">
        <v>148868215</v>
      </c>
      <c r="F123" s="67">
        <v>152245123</v>
      </c>
      <c r="G123" s="67">
        <v>183661150</v>
      </c>
      <c r="H123" s="67">
        <v>217712186</v>
      </c>
      <c r="I123" s="67">
        <v>262990729</v>
      </c>
      <c r="J123" s="67">
        <v>378670820</v>
      </c>
    </row>
    <row r="124" spans="2:10">
      <c r="B124" s="149" t="s">
        <v>386</v>
      </c>
      <c r="C124" s="67">
        <v>2672573</v>
      </c>
      <c r="D124" s="67">
        <v>2435864</v>
      </c>
      <c r="E124" s="67">
        <v>3412774</v>
      </c>
      <c r="F124" s="67">
        <v>6309699</v>
      </c>
      <c r="G124" s="67">
        <v>19878932</v>
      </c>
      <c r="H124" s="67">
        <v>36781038</v>
      </c>
      <c r="I124" s="67">
        <v>66274859</v>
      </c>
      <c r="J124" s="67">
        <v>121039916</v>
      </c>
    </row>
    <row r="125" spans="2:10" ht="26">
      <c r="B125" s="147" t="s">
        <v>385</v>
      </c>
      <c r="C125" s="67">
        <v>0</v>
      </c>
      <c r="D125" s="67">
        <v>0</v>
      </c>
      <c r="E125" s="67">
        <v>0</v>
      </c>
      <c r="F125" s="67">
        <v>0</v>
      </c>
      <c r="G125" s="67">
        <v>0</v>
      </c>
      <c r="H125" s="67">
        <v>0</v>
      </c>
      <c r="I125" s="67">
        <v>0</v>
      </c>
      <c r="J125" s="67">
        <v>0</v>
      </c>
    </row>
    <row r="126" spans="2:10">
      <c r="B126" s="54" t="s">
        <v>384</v>
      </c>
      <c r="C126" s="67">
        <v>0</v>
      </c>
      <c r="D126" s="67">
        <v>0</v>
      </c>
      <c r="E126" s="67">
        <v>0</v>
      </c>
      <c r="F126" s="67">
        <v>0</v>
      </c>
      <c r="G126" s="67">
        <v>0</v>
      </c>
      <c r="H126" s="67">
        <v>0</v>
      </c>
      <c r="I126" s="67">
        <v>0</v>
      </c>
      <c r="J126" s="67">
        <v>0</v>
      </c>
    </row>
    <row r="127" spans="2:10" ht="26">
      <c r="B127" s="147" t="s">
        <v>383</v>
      </c>
      <c r="C127" s="67">
        <v>0</v>
      </c>
      <c r="D127" s="67">
        <v>0</v>
      </c>
      <c r="E127" s="67">
        <v>0</v>
      </c>
      <c r="F127" s="67">
        <v>0</v>
      </c>
      <c r="G127" s="67">
        <v>0</v>
      </c>
      <c r="H127" s="67">
        <v>0</v>
      </c>
      <c r="I127" s="67">
        <v>0</v>
      </c>
      <c r="J127" s="67">
        <v>0</v>
      </c>
    </row>
    <row r="128" spans="2:10">
      <c r="B128" s="149" t="s">
        <v>929</v>
      </c>
      <c r="C128" s="67">
        <v>0</v>
      </c>
      <c r="D128" s="67">
        <v>0</v>
      </c>
      <c r="E128" s="67">
        <v>0</v>
      </c>
      <c r="F128" s="67">
        <v>0</v>
      </c>
      <c r="G128" s="67">
        <v>0</v>
      </c>
      <c r="H128" s="67">
        <v>0</v>
      </c>
      <c r="I128" s="67">
        <v>0</v>
      </c>
      <c r="J128" s="67">
        <v>0</v>
      </c>
    </row>
    <row r="129" spans="2:10">
      <c r="B129" s="149"/>
      <c r="C129" s="67"/>
      <c r="D129" s="67"/>
      <c r="E129" s="67"/>
      <c r="F129" s="67"/>
      <c r="G129" s="67"/>
      <c r="H129" s="67"/>
      <c r="I129" s="67"/>
      <c r="J129" s="67"/>
    </row>
    <row r="130" spans="2:10">
      <c r="B130" s="175" t="s">
        <v>381</v>
      </c>
      <c r="C130" s="67"/>
      <c r="D130" s="67"/>
      <c r="E130" s="67"/>
      <c r="F130" s="67"/>
      <c r="G130" s="67"/>
      <c r="H130" s="67"/>
      <c r="I130" s="67"/>
      <c r="J130" s="67"/>
    </row>
    <row r="131" spans="2:10">
      <c r="B131" s="149" t="s">
        <v>380</v>
      </c>
      <c r="C131" s="67">
        <v>184446</v>
      </c>
      <c r="D131" s="67">
        <v>182378</v>
      </c>
      <c r="E131" s="67">
        <v>180150</v>
      </c>
      <c r="F131" s="67">
        <v>175580</v>
      </c>
      <c r="G131" s="67">
        <v>175570</v>
      </c>
      <c r="H131" s="67">
        <v>171546</v>
      </c>
      <c r="I131" s="67">
        <v>168398</v>
      </c>
      <c r="J131" s="67">
        <v>160816</v>
      </c>
    </row>
    <row r="132" spans="2:10">
      <c r="B132" s="172" t="s">
        <v>379</v>
      </c>
      <c r="C132" s="67"/>
      <c r="D132" s="67"/>
      <c r="E132" s="67"/>
      <c r="F132" s="67"/>
      <c r="G132" s="67"/>
      <c r="H132" s="67"/>
      <c r="I132" s="67"/>
      <c r="J132" s="67"/>
    </row>
    <row r="133" spans="2:10">
      <c r="B133" s="168" t="s">
        <v>378</v>
      </c>
      <c r="C133" s="67">
        <v>168563</v>
      </c>
      <c r="D133" s="67">
        <v>166435</v>
      </c>
      <c r="E133" s="67">
        <v>164193</v>
      </c>
      <c r="F133" s="67">
        <v>161236</v>
      </c>
      <c r="G133" s="67">
        <v>162218</v>
      </c>
      <c r="H133" s="67">
        <v>160111</v>
      </c>
      <c r="I133" s="67">
        <v>157854</v>
      </c>
      <c r="J133" s="67">
        <v>152570</v>
      </c>
    </row>
    <row r="134" spans="2:10">
      <c r="B134" s="168" t="s">
        <v>377</v>
      </c>
      <c r="C134" s="67">
        <v>0</v>
      </c>
      <c r="D134" s="67">
        <v>0</v>
      </c>
      <c r="E134" s="67">
        <v>0</v>
      </c>
      <c r="F134" s="67">
        <v>0</v>
      </c>
      <c r="G134" s="67">
        <v>0</v>
      </c>
      <c r="H134" s="67">
        <v>0</v>
      </c>
      <c r="I134" s="67">
        <v>0</v>
      </c>
      <c r="J134" s="67">
        <v>0</v>
      </c>
    </row>
    <row r="135" spans="2:10">
      <c r="B135" s="149" t="s">
        <v>376</v>
      </c>
      <c r="C135" s="67">
        <v>21</v>
      </c>
      <c r="D135" s="67">
        <v>21</v>
      </c>
      <c r="E135" s="67">
        <v>21</v>
      </c>
      <c r="F135" s="67">
        <v>21</v>
      </c>
      <c r="G135" s="67">
        <v>21</v>
      </c>
      <c r="H135" s="67">
        <v>21</v>
      </c>
      <c r="I135" s="67">
        <v>21</v>
      </c>
      <c r="J135" s="67">
        <v>21</v>
      </c>
    </row>
    <row r="136" spans="2:10">
      <c r="B136" s="149"/>
      <c r="C136" s="526"/>
      <c r="D136" s="526"/>
      <c r="E136" s="526"/>
      <c r="F136" s="526"/>
      <c r="G136" s="526"/>
      <c r="H136" s="526"/>
      <c r="I136" s="526"/>
      <c r="J136" s="526"/>
    </row>
    <row r="137" spans="2:10">
      <c r="B137" s="149" t="s">
        <v>823</v>
      </c>
      <c r="C137" s="67">
        <v>5045797</v>
      </c>
      <c r="D137" s="67">
        <v>5237225</v>
      </c>
      <c r="E137" s="67">
        <v>4922623</v>
      </c>
      <c r="F137" s="67">
        <v>4786545</v>
      </c>
      <c r="G137" s="67">
        <v>8494355</v>
      </c>
      <c r="H137" s="67">
        <v>11342920</v>
      </c>
      <c r="I137" s="67">
        <v>13757302</v>
      </c>
      <c r="J137" s="67">
        <v>19035877</v>
      </c>
    </row>
    <row r="138" spans="2:10">
      <c r="B138" s="168" t="s">
        <v>374</v>
      </c>
      <c r="C138" s="67">
        <v>5045797</v>
      </c>
      <c r="D138" s="67">
        <v>5237225</v>
      </c>
      <c r="E138" s="67">
        <v>4922623</v>
      </c>
      <c r="F138" s="67">
        <v>4786545</v>
      </c>
      <c r="G138" s="67">
        <v>8494355</v>
      </c>
      <c r="H138" s="67">
        <v>11342920</v>
      </c>
      <c r="I138" s="67">
        <v>13757302</v>
      </c>
      <c r="J138" s="67">
        <v>19035877</v>
      </c>
    </row>
    <row r="139" spans="2:10">
      <c r="B139" s="149" t="s">
        <v>478</v>
      </c>
      <c r="C139" s="67">
        <v>0</v>
      </c>
      <c r="D139" s="67">
        <v>0</v>
      </c>
      <c r="E139" s="67">
        <v>0</v>
      </c>
      <c r="F139" s="67">
        <v>0</v>
      </c>
      <c r="G139" s="67">
        <v>0</v>
      </c>
      <c r="H139" s="67">
        <v>0</v>
      </c>
      <c r="I139" s="67">
        <v>0</v>
      </c>
      <c r="J139" s="67">
        <v>0</v>
      </c>
    </row>
    <row r="140" spans="2:10">
      <c r="B140" s="165" t="s">
        <v>373</v>
      </c>
      <c r="C140" s="67">
        <v>0</v>
      </c>
      <c r="D140" s="67">
        <v>0</v>
      </c>
      <c r="E140" s="67">
        <v>0</v>
      </c>
      <c r="F140" s="67">
        <v>0</v>
      </c>
      <c r="G140" s="67">
        <v>0</v>
      </c>
      <c r="H140" s="67">
        <v>0</v>
      </c>
      <c r="I140" s="67">
        <v>0</v>
      </c>
      <c r="J140" s="67">
        <v>0</v>
      </c>
    </row>
    <row r="141" spans="2:10">
      <c r="B141" s="149" t="s">
        <v>372</v>
      </c>
      <c r="C141" s="67">
        <v>0</v>
      </c>
      <c r="D141" s="67">
        <v>0</v>
      </c>
      <c r="E141" s="67">
        <v>0</v>
      </c>
      <c r="F141" s="67">
        <v>0</v>
      </c>
      <c r="G141" s="67">
        <v>0</v>
      </c>
      <c r="H141" s="67">
        <v>0</v>
      </c>
      <c r="I141" s="67">
        <v>0</v>
      </c>
      <c r="J141" s="67">
        <v>0</v>
      </c>
    </row>
    <row r="142" spans="2:10">
      <c r="B142" s="149" t="s">
        <v>371</v>
      </c>
      <c r="C142" s="67">
        <v>8</v>
      </c>
      <c r="D142" s="67">
        <v>9</v>
      </c>
      <c r="E142" s="67">
        <v>12</v>
      </c>
      <c r="F142" s="67">
        <v>12</v>
      </c>
      <c r="G142" s="67">
        <v>16</v>
      </c>
      <c r="H142" s="67">
        <v>17</v>
      </c>
      <c r="I142" s="67">
        <v>17</v>
      </c>
      <c r="J142" s="67">
        <v>21</v>
      </c>
    </row>
    <row r="143" spans="2:10" ht="15">
      <c r="B143" s="147" t="s">
        <v>930</v>
      </c>
      <c r="C143" s="67">
        <v>7</v>
      </c>
      <c r="D143" s="67">
        <v>8</v>
      </c>
      <c r="E143" s="67">
        <v>11</v>
      </c>
      <c r="F143" s="67">
        <v>11</v>
      </c>
      <c r="G143" s="67">
        <v>14</v>
      </c>
      <c r="H143" s="67">
        <v>15</v>
      </c>
      <c r="I143" s="67">
        <v>16</v>
      </c>
      <c r="J143" s="67">
        <v>17</v>
      </c>
    </row>
    <row r="144" spans="2:10" ht="15" thickBot="1">
      <c r="B144" s="527" t="s">
        <v>369</v>
      </c>
      <c r="C144" s="67">
        <v>1</v>
      </c>
      <c r="D144" s="67">
        <v>1</v>
      </c>
      <c r="E144" s="67">
        <v>1</v>
      </c>
      <c r="F144" s="67">
        <v>1</v>
      </c>
      <c r="G144" s="67">
        <v>2</v>
      </c>
      <c r="H144" s="67">
        <v>2</v>
      </c>
      <c r="I144" s="67">
        <v>1</v>
      </c>
      <c r="J144" s="67">
        <v>4</v>
      </c>
    </row>
    <row r="145" spans="2:10" ht="15" thickTop="1">
      <c r="B145" s="2039" t="s">
        <v>931</v>
      </c>
      <c r="C145" s="2025"/>
      <c r="D145" s="2025"/>
      <c r="E145" s="2025"/>
      <c r="F145" s="2025"/>
      <c r="G145" s="2025"/>
      <c r="H145" s="2025"/>
      <c r="I145" s="2025"/>
      <c r="J145" s="2025"/>
    </row>
    <row r="146" spans="2:10">
      <c r="B146" s="2066" t="s">
        <v>932</v>
      </c>
      <c r="C146" s="2066"/>
      <c r="D146" s="2066"/>
      <c r="E146" s="2066"/>
      <c r="F146" s="2066"/>
      <c r="G146" s="2066"/>
      <c r="H146" s="2066"/>
      <c r="I146" s="2066"/>
      <c r="J146" s="2066"/>
    </row>
    <row r="147" spans="2:10">
      <c r="B147" s="64"/>
    </row>
    <row r="148" spans="2:10">
      <c r="B148" s="2024" t="s">
        <v>367</v>
      </c>
      <c r="C148" s="2024"/>
      <c r="D148" s="2024"/>
      <c r="E148" s="2024"/>
      <c r="F148" s="2024"/>
      <c r="G148" s="2024"/>
      <c r="H148" s="2024"/>
      <c r="I148" s="2024"/>
      <c r="J148" s="2024"/>
    </row>
    <row r="149" spans="2:10">
      <c r="B149" s="12" t="s">
        <v>366</v>
      </c>
    </row>
    <row r="150" spans="2:10">
      <c r="B150" s="62" t="s">
        <v>210</v>
      </c>
    </row>
    <row r="151" spans="2:10">
      <c r="B151" s="64"/>
    </row>
    <row r="152" spans="2:10">
      <c r="B152" s="61"/>
      <c r="C152" s="60">
        <v>2014</v>
      </c>
      <c r="D152" s="60">
        <v>2015</v>
      </c>
      <c r="E152" s="60">
        <v>2016</v>
      </c>
      <c r="F152" s="60">
        <v>2017</v>
      </c>
      <c r="G152" s="60">
        <v>2018</v>
      </c>
      <c r="H152" s="60">
        <v>2019</v>
      </c>
      <c r="I152" s="60">
        <v>2020</v>
      </c>
      <c r="J152" s="60">
        <v>2021</v>
      </c>
    </row>
    <row r="153" spans="2:10">
      <c r="B153" s="114" t="s">
        <v>362</v>
      </c>
      <c r="C153" s="267"/>
      <c r="D153" s="267"/>
      <c r="E153" s="267"/>
      <c r="F153" s="267"/>
      <c r="G153" s="267"/>
      <c r="H153" s="267"/>
      <c r="I153" s="267"/>
      <c r="J153" s="267"/>
    </row>
    <row r="154" spans="2:10">
      <c r="B154" s="54" t="s">
        <v>361</v>
      </c>
      <c r="C154" s="55">
        <v>9971358.4580000006</v>
      </c>
      <c r="D154" s="55">
        <v>10054059.325999999</v>
      </c>
      <c r="E154" s="55">
        <v>9948185.6870000008</v>
      </c>
      <c r="F154" s="55">
        <v>10503228.437999999</v>
      </c>
      <c r="G154" s="55">
        <v>10881561.745999999</v>
      </c>
      <c r="H154" s="55">
        <v>11872374</v>
      </c>
      <c r="I154" s="55">
        <v>14662565.412</v>
      </c>
      <c r="J154" s="55">
        <v>23286979.134</v>
      </c>
    </row>
    <row r="155" spans="2:10">
      <c r="B155" s="151" t="s">
        <v>360</v>
      </c>
      <c r="C155" s="55"/>
      <c r="D155" s="55"/>
      <c r="E155" s="55"/>
      <c r="F155" s="55"/>
      <c r="G155" s="55"/>
      <c r="H155" s="55"/>
      <c r="I155" s="55"/>
      <c r="J155" s="55"/>
    </row>
    <row r="156" spans="2:10">
      <c r="B156" s="151" t="s">
        <v>359</v>
      </c>
      <c r="C156" s="55">
        <v>9971358.4580000006</v>
      </c>
      <c r="D156" s="55">
        <v>10054059.325999999</v>
      </c>
      <c r="E156" s="55">
        <v>9948185.6870000008</v>
      </c>
      <c r="F156" s="55">
        <v>10503228.437999999</v>
      </c>
      <c r="G156" s="55">
        <v>10881561.745999999</v>
      </c>
      <c r="H156" s="55">
        <v>11872374</v>
      </c>
      <c r="I156" s="55">
        <v>14662565.412</v>
      </c>
      <c r="J156" s="55">
        <v>23286979.134</v>
      </c>
    </row>
    <row r="157" spans="2:10">
      <c r="B157" s="152" t="s">
        <v>358</v>
      </c>
      <c r="C157" s="55">
        <v>5557064.6809999999</v>
      </c>
      <c r="D157" s="55">
        <v>5427004.4029999999</v>
      </c>
      <c r="E157" s="55">
        <v>5335713.8650000002</v>
      </c>
      <c r="F157" s="55">
        <v>5359119.8169999998</v>
      </c>
      <c r="G157" s="55">
        <v>6428607.9670000002</v>
      </c>
      <c r="H157" s="55">
        <v>6013433.449</v>
      </c>
      <c r="I157" s="55">
        <v>6102619.4869999997</v>
      </c>
      <c r="J157" s="55">
        <v>6711418.54</v>
      </c>
    </row>
    <row r="158" spans="2:10">
      <c r="B158" s="71" t="s">
        <v>357</v>
      </c>
      <c r="C158" s="55">
        <v>10986500.208999999</v>
      </c>
      <c r="D158" s="55">
        <v>11823083.822000001</v>
      </c>
      <c r="E158" s="55">
        <v>12810326.952</v>
      </c>
      <c r="F158" s="55">
        <v>14444438.873</v>
      </c>
      <c r="G158" s="55">
        <f>G159+G161</f>
        <v>16583882.432999998</v>
      </c>
      <c r="H158" s="55">
        <v>20540997.041999999</v>
      </c>
      <c r="I158" s="55">
        <v>20980744</v>
      </c>
      <c r="J158" s="55">
        <v>26217897</v>
      </c>
    </row>
    <row r="159" spans="2:10">
      <c r="B159" s="151" t="s">
        <v>356</v>
      </c>
      <c r="C159" s="55">
        <v>5631910.5379999997</v>
      </c>
      <c r="D159" s="55">
        <v>6211147.7659999998</v>
      </c>
      <c r="E159" s="55">
        <v>6838684.318</v>
      </c>
      <c r="F159" s="55">
        <v>7935827.9819999998</v>
      </c>
      <c r="G159" s="55">
        <v>9032572.4609999992</v>
      </c>
      <c r="H159" s="55">
        <v>10881346.041999999</v>
      </c>
      <c r="I159" s="55">
        <v>11470916</v>
      </c>
      <c r="J159" s="55">
        <v>13518389</v>
      </c>
    </row>
    <row r="160" spans="2:10">
      <c r="B160" s="151" t="s">
        <v>355</v>
      </c>
      <c r="C160" s="55">
        <v>0</v>
      </c>
      <c r="D160" s="55">
        <v>0</v>
      </c>
      <c r="E160" s="55">
        <v>0</v>
      </c>
      <c r="F160" s="55">
        <v>0</v>
      </c>
      <c r="G160" s="55">
        <v>0</v>
      </c>
      <c r="H160" s="55">
        <v>0</v>
      </c>
      <c r="I160" s="55">
        <v>0</v>
      </c>
      <c r="J160" s="55">
        <v>0</v>
      </c>
    </row>
    <row r="161" spans="2:10" ht="15">
      <c r="B161" s="151" t="s">
        <v>933</v>
      </c>
      <c r="C161" s="55">
        <v>5354589.6710000001</v>
      </c>
      <c r="D161" s="55">
        <v>5611936.0559999999</v>
      </c>
      <c r="E161" s="55">
        <v>5971642.6339999996</v>
      </c>
      <c r="F161" s="55">
        <v>6508610.8909999998</v>
      </c>
      <c r="G161" s="55">
        <v>7551309.9720000001</v>
      </c>
      <c r="H161" s="55">
        <v>9659651</v>
      </c>
      <c r="I161" s="55">
        <v>9509828</v>
      </c>
      <c r="J161" s="55">
        <v>12699508</v>
      </c>
    </row>
    <row r="162" spans="2:10">
      <c r="B162" s="71" t="s">
        <v>338</v>
      </c>
      <c r="C162" s="55">
        <v>27775.268</v>
      </c>
      <c r="D162" s="55">
        <v>24366.682000000001</v>
      </c>
      <c r="E162" s="55">
        <v>23400.186000000002</v>
      </c>
      <c r="F162" s="55">
        <v>28384.447</v>
      </c>
      <c r="G162" s="55">
        <v>88339</v>
      </c>
      <c r="H162" s="55">
        <v>458339</v>
      </c>
      <c r="I162" s="55">
        <v>1278388</v>
      </c>
      <c r="J162" s="55">
        <v>3972034</v>
      </c>
    </row>
    <row r="163" spans="2:10">
      <c r="B163" s="71" t="s">
        <v>353</v>
      </c>
      <c r="C163" s="55">
        <v>1164815.814</v>
      </c>
      <c r="D163" s="55">
        <v>1039674.3590000001</v>
      </c>
      <c r="E163" s="55">
        <v>864066.50800000003</v>
      </c>
      <c r="F163" s="55">
        <v>730952.70700000005</v>
      </c>
      <c r="G163" s="55">
        <v>632891.99199999997</v>
      </c>
      <c r="H163" s="55">
        <v>550493.27099999995</v>
      </c>
      <c r="I163" s="55">
        <v>381147.01799999998</v>
      </c>
      <c r="J163" s="55">
        <v>312542.41499999998</v>
      </c>
    </row>
    <row r="164" spans="2:10">
      <c r="B164" s="150" t="s">
        <v>352</v>
      </c>
      <c r="C164" s="55">
        <v>1164815.814</v>
      </c>
      <c r="D164" s="55">
        <v>1039674.3590000001</v>
      </c>
      <c r="E164" s="55">
        <v>864066.50800000003</v>
      </c>
      <c r="F164" s="55">
        <v>730952.70700000005</v>
      </c>
      <c r="G164" s="55">
        <v>632891.99199999997</v>
      </c>
      <c r="H164" s="55">
        <v>550493.27099999995</v>
      </c>
      <c r="I164" s="55">
        <v>381147.01799999998</v>
      </c>
      <c r="J164" s="55">
        <v>312542.41499999998</v>
      </c>
    </row>
    <row r="165" spans="2:10">
      <c r="B165" s="150" t="s">
        <v>351</v>
      </c>
      <c r="C165" s="55">
        <v>0</v>
      </c>
      <c r="D165" s="55">
        <v>0</v>
      </c>
      <c r="E165" s="55">
        <v>0</v>
      </c>
      <c r="F165" s="55">
        <v>0</v>
      </c>
      <c r="G165" s="55">
        <v>0</v>
      </c>
      <c r="H165" s="55">
        <v>0</v>
      </c>
      <c r="I165" s="55">
        <v>0</v>
      </c>
      <c r="J165" s="55">
        <v>0</v>
      </c>
    </row>
    <row r="166" spans="2:10">
      <c r="B166" s="54" t="s">
        <v>350</v>
      </c>
      <c r="C166" s="55">
        <v>0</v>
      </c>
      <c r="D166" s="55">
        <v>0</v>
      </c>
      <c r="E166" s="55">
        <v>0</v>
      </c>
      <c r="F166" s="55">
        <v>0</v>
      </c>
      <c r="G166" s="55">
        <v>0</v>
      </c>
      <c r="H166" s="55">
        <v>0</v>
      </c>
      <c r="I166" s="55">
        <v>0</v>
      </c>
      <c r="J166" s="55">
        <v>0</v>
      </c>
    </row>
    <row r="167" spans="2:10">
      <c r="B167" s="54"/>
      <c r="C167" s="55"/>
      <c r="D167" s="55"/>
      <c r="E167" s="55"/>
      <c r="F167" s="55"/>
      <c r="G167" s="55"/>
      <c r="H167" s="55"/>
      <c r="I167" s="55"/>
      <c r="J167" s="55"/>
    </row>
    <row r="168" spans="2:10">
      <c r="B168" s="54" t="s">
        <v>365</v>
      </c>
      <c r="C168" s="55">
        <v>27704869.014999997</v>
      </c>
      <c r="D168" s="55">
        <v>28368188.592</v>
      </c>
      <c r="E168" s="55">
        <v>28981693.198000003</v>
      </c>
      <c r="F168" s="55">
        <v>31066124.281999998</v>
      </c>
      <c r="G168" s="55">
        <v>34615283.137999997</v>
      </c>
      <c r="H168" s="55">
        <v>39435636.762000002</v>
      </c>
      <c r="I168" s="55">
        <v>43405463.916999996</v>
      </c>
      <c r="J168" s="55">
        <v>60500871.088999994</v>
      </c>
    </row>
    <row r="169" spans="2:10" ht="15">
      <c r="B169" s="147" t="s">
        <v>934</v>
      </c>
      <c r="C169" s="55">
        <v>158738</v>
      </c>
      <c r="D169" s="55">
        <v>125363</v>
      </c>
      <c r="E169" s="55">
        <v>112714</v>
      </c>
      <c r="F169" s="55">
        <v>122296</v>
      </c>
      <c r="G169" s="55">
        <v>104615</v>
      </c>
      <c r="H169" s="55">
        <v>110789</v>
      </c>
      <c r="I169" s="55">
        <v>64106</v>
      </c>
      <c r="J169" s="55">
        <v>66357.813999999998</v>
      </c>
    </row>
    <row r="170" spans="2:10">
      <c r="B170" s="147"/>
      <c r="C170" s="55"/>
      <c r="D170" s="55"/>
      <c r="E170" s="55"/>
      <c r="F170" s="55"/>
      <c r="G170" s="55"/>
      <c r="H170" s="55"/>
      <c r="I170" s="55"/>
      <c r="J170" s="55"/>
    </row>
    <row r="171" spans="2:10">
      <c r="B171" s="54" t="s">
        <v>347</v>
      </c>
      <c r="C171" s="55">
        <v>5184</v>
      </c>
      <c r="D171" s="55">
        <v>5656</v>
      </c>
      <c r="E171" s="55">
        <v>6444</v>
      </c>
      <c r="F171" s="55">
        <v>7531.91</v>
      </c>
      <c r="G171" s="55">
        <v>8947.8770000000004</v>
      </c>
      <c r="H171" s="55">
        <v>10371.049000000001</v>
      </c>
      <c r="I171" s="55">
        <v>12476.612999999999</v>
      </c>
      <c r="J171" s="55">
        <v>18878.620999999999</v>
      </c>
    </row>
    <row r="172" spans="2:10">
      <c r="B172" s="54"/>
      <c r="C172" s="55"/>
      <c r="D172" s="55"/>
      <c r="E172" s="55"/>
      <c r="F172" s="55"/>
      <c r="G172" s="55"/>
      <c r="H172" s="55"/>
      <c r="I172" s="55"/>
      <c r="J172" s="55"/>
    </row>
    <row r="173" spans="2:10">
      <c r="B173" s="114" t="s">
        <v>346</v>
      </c>
      <c r="C173" s="55"/>
      <c r="D173" s="55"/>
      <c r="E173" s="55"/>
      <c r="F173" s="55"/>
      <c r="G173" s="55"/>
      <c r="H173" s="55"/>
      <c r="I173" s="55"/>
      <c r="J173" s="55"/>
    </row>
    <row r="174" spans="2:10">
      <c r="B174" s="54" t="s">
        <v>935</v>
      </c>
      <c r="C174" s="55">
        <v>4567501.9890000001</v>
      </c>
      <c r="D174" s="55">
        <v>4614521.0470000003</v>
      </c>
      <c r="E174" s="55">
        <v>4392538.5470000003</v>
      </c>
      <c r="F174" s="55">
        <v>4488249.3159999996</v>
      </c>
      <c r="G174" s="55">
        <v>4297219.5319999997</v>
      </c>
      <c r="H174" s="55">
        <v>4409995.1830000002</v>
      </c>
      <c r="I174" s="55">
        <v>4229727.4050000003</v>
      </c>
      <c r="J174" s="55">
        <v>3811580.9180000001</v>
      </c>
    </row>
    <row r="175" spans="2:10">
      <c r="B175" s="147" t="s">
        <v>341</v>
      </c>
      <c r="C175" s="55">
        <v>3529105</v>
      </c>
      <c r="D175" s="55">
        <v>3628279.61</v>
      </c>
      <c r="E175" s="55">
        <v>3449018.125</v>
      </c>
      <c r="F175" s="55">
        <v>3567204.5789999999</v>
      </c>
      <c r="G175" s="55">
        <v>3407327.8659999999</v>
      </c>
      <c r="H175" s="55">
        <v>3585065.466</v>
      </c>
      <c r="I175" s="55">
        <v>3226401.0260000001</v>
      </c>
      <c r="J175" s="55">
        <v>2914953.5839999998</v>
      </c>
    </row>
    <row r="176" spans="2:10">
      <c r="B176" s="147" t="s">
        <v>340</v>
      </c>
      <c r="C176" s="55">
        <v>801759.89</v>
      </c>
      <c r="D176" s="55">
        <v>735919.02500000002</v>
      </c>
      <c r="E176" s="55">
        <v>715202.07900000003</v>
      </c>
      <c r="F176" s="55">
        <v>695061.10699999996</v>
      </c>
      <c r="G176" s="55">
        <v>681178.647</v>
      </c>
      <c r="H176" s="55">
        <v>646417.304</v>
      </c>
      <c r="I176" s="55">
        <v>853095.72400000005</v>
      </c>
      <c r="J176" s="55">
        <v>790413.23899999994</v>
      </c>
    </row>
    <row r="177" spans="2:10">
      <c r="B177" s="54" t="s">
        <v>936</v>
      </c>
      <c r="C177" s="55">
        <v>10986508.782</v>
      </c>
      <c r="D177" s="55">
        <v>11823083.822000001</v>
      </c>
      <c r="E177" s="55">
        <v>12815401.435000001</v>
      </c>
      <c r="F177" s="55">
        <v>14472823.32</v>
      </c>
      <c r="G177" s="55">
        <v>16539167.947000001</v>
      </c>
      <c r="H177" s="55">
        <v>20951507.592</v>
      </c>
      <c r="I177" s="55">
        <v>22262686.816</v>
      </c>
      <c r="J177" s="55">
        <v>30208546.464000002</v>
      </c>
    </row>
    <row r="178" spans="2:10">
      <c r="B178" s="54" t="s">
        <v>338</v>
      </c>
      <c r="C178" s="55">
        <v>0</v>
      </c>
      <c r="D178" s="55">
        <v>0</v>
      </c>
      <c r="E178" s="55">
        <v>0</v>
      </c>
      <c r="F178" s="55">
        <v>0</v>
      </c>
      <c r="G178" s="55">
        <v>0</v>
      </c>
      <c r="H178" s="55">
        <v>0</v>
      </c>
      <c r="I178" s="55">
        <v>0</v>
      </c>
      <c r="J178" s="55">
        <v>0</v>
      </c>
    </row>
    <row r="179" spans="2:10">
      <c r="B179" s="147" t="s">
        <v>337</v>
      </c>
      <c r="C179" s="55">
        <v>0</v>
      </c>
      <c r="D179" s="55">
        <v>0</v>
      </c>
      <c r="E179" s="55">
        <v>0</v>
      </c>
      <c r="F179" s="55">
        <v>0</v>
      </c>
      <c r="G179" s="55">
        <v>0</v>
      </c>
      <c r="H179" s="55">
        <v>0</v>
      </c>
      <c r="I179" s="55">
        <v>0</v>
      </c>
      <c r="J179" s="55">
        <v>0</v>
      </c>
    </row>
    <row r="180" spans="2:10">
      <c r="B180" s="147" t="s">
        <v>336</v>
      </c>
      <c r="C180" s="55">
        <v>0</v>
      </c>
      <c r="D180" s="55">
        <v>0</v>
      </c>
      <c r="E180" s="55">
        <v>0</v>
      </c>
      <c r="F180" s="55">
        <v>0</v>
      </c>
      <c r="G180" s="55">
        <v>0</v>
      </c>
      <c r="H180" s="55">
        <v>0</v>
      </c>
      <c r="I180" s="55">
        <v>0</v>
      </c>
      <c r="J180" s="55">
        <v>0</v>
      </c>
    </row>
    <row r="181" spans="2:10">
      <c r="B181" s="147" t="s">
        <v>335</v>
      </c>
      <c r="C181" s="55">
        <v>0</v>
      </c>
      <c r="D181" s="55">
        <v>0</v>
      </c>
      <c r="E181" s="55">
        <v>0</v>
      </c>
      <c r="F181" s="55">
        <v>0</v>
      </c>
      <c r="G181" s="55">
        <v>0</v>
      </c>
      <c r="H181" s="55">
        <v>0</v>
      </c>
      <c r="I181" s="55">
        <v>0</v>
      </c>
      <c r="J181" s="55">
        <v>0</v>
      </c>
    </row>
    <row r="182" spans="2:10">
      <c r="B182" s="147"/>
      <c r="C182" s="55"/>
      <c r="D182" s="55"/>
      <c r="E182" s="55"/>
      <c r="F182" s="55"/>
      <c r="G182" s="55"/>
      <c r="H182" s="55"/>
      <c r="I182" s="55"/>
      <c r="J182" s="55"/>
    </row>
    <row r="183" spans="2:10" ht="26">
      <c r="B183" s="148" t="s">
        <v>345</v>
      </c>
      <c r="C183" s="55"/>
      <c r="D183" s="55"/>
      <c r="E183" s="55"/>
      <c r="F183" s="55"/>
      <c r="G183" s="55"/>
      <c r="H183" s="55"/>
      <c r="I183" s="55"/>
      <c r="J183" s="55"/>
    </row>
    <row r="184" spans="2:10">
      <c r="B184" s="54" t="s">
        <v>342</v>
      </c>
      <c r="C184" s="55">
        <v>4567501.9890000001</v>
      </c>
      <c r="D184" s="55">
        <v>4614521.0470000003</v>
      </c>
      <c r="E184" s="55">
        <v>4392540.335</v>
      </c>
      <c r="F184" s="55">
        <v>4488254.6880000001</v>
      </c>
      <c r="G184" s="55">
        <v>4295926.767</v>
      </c>
      <c r="H184" s="55">
        <v>4478598.2079999996</v>
      </c>
      <c r="I184" s="55">
        <v>4244236.6569999997</v>
      </c>
      <c r="J184" s="55">
        <v>4244236.6569999997</v>
      </c>
    </row>
    <row r="185" spans="2:10">
      <c r="B185" s="147" t="s">
        <v>341</v>
      </c>
      <c r="C185" s="55">
        <v>3529105</v>
      </c>
      <c r="D185" s="55">
        <v>3628279.61</v>
      </c>
      <c r="E185" s="55">
        <v>3449018.125</v>
      </c>
      <c r="F185" s="55">
        <v>3567204.5789999999</v>
      </c>
      <c r="G185" s="55">
        <v>3407327.8659999999</v>
      </c>
      <c r="H185" s="55">
        <v>3585065.466</v>
      </c>
      <c r="I185" s="55">
        <v>3215384.4580000001</v>
      </c>
      <c r="J185" s="55">
        <v>3215384.4580000001</v>
      </c>
    </row>
    <row r="186" spans="2:10">
      <c r="B186" s="147" t="s">
        <v>340</v>
      </c>
      <c r="C186" s="55">
        <v>801759.89</v>
      </c>
      <c r="D186" s="55">
        <v>735919.02500000002</v>
      </c>
      <c r="E186" s="55">
        <v>715202.07900000003</v>
      </c>
      <c r="F186" s="55">
        <v>695061.10699999996</v>
      </c>
      <c r="G186" s="55">
        <v>681178.647</v>
      </c>
      <c r="H186" s="55">
        <v>710864.57900000003</v>
      </c>
      <c r="I186" s="55">
        <v>864065.80500000005</v>
      </c>
      <c r="J186" s="55">
        <v>864065.80500000005</v>
      </c>
    </row>
    <row r="187" spans="2:10">
      <c r="B187" s="54" t="s">
        <v>339</v>
      </c>
      <c r="C187" s="55">
        <v>10860730.380999999</v>
      </c>
      <c r="D187" s="55">
        <v>11727474.909</v>
      </c>
      <c r="E187" s="55">
        <v>12725946.98</v>
      </c>
      <c r="F187" s="55">
        <v>14356569.786</v>
      </c>
      <c r="G187" s="55">
        <v>16443305.919</v>
      </c>
      <c r="H187" s="55">
        <v>20841533.892999999</v>
      </c>
      <c r="I187" s="55">
        <v>22206620.866999999</v>
      </c>
      <c r="J187" s="55">
        <v>30150977.743999999</v>
      </c>
    </row>
    <row r="188" spans="2:10">
      <c r="B188" s="54" t="s">
        <v>338</v>
      </c>
      <c r="C188" s="55">
        <v>0</v>
      </c>
      <c r="D188" s="55">
        <v>0</v>
      </c>
      <c r="E188" s="55">
        <v>0</v>
      </c>
      <c r="F188" s="55">
        <v>0</v>
      </c>
      <c r="G188" s="55">
        <v>0</v>
      </c>
      <c r="H188" s="55">
        <v>0</v>
      </c>
      <c r="I188" s="55">
        <v>0</v>
      </c>
      <c r="J188" s="55">
        <v>0</v>
      </c>
    </row>
    <row r="189" spans="2:10">
      <c r="B189" s="147" t="s">
        <v>337</v>
      </c>
      <c r="C189" s="55">
        <v>0</v>
      </c>
      <c r="D189" s="55">
        <v>0</v>
      </c>
      <c r="E189" s="55">
        <v>0</v>
      </c>
      <c r="F189" s="55">
        <v>0</v>
      </c>
      <c r="G189" s="55">
        <v>0</v>
      </c>
      <c r="H189" s="55">
        <v>0</v>
      </c>
      <c r="I189" s="55">
        <v>0</v>
      </c>
      <c r="J189" s="55">
        <v>0</v>
      </c>
    </row>
    <row r="190" spans="2:10">
      <c r="B190" s="147" t="s">
        <v>336</v>
      </c>
      <c r="C190" s="55">
        <v>0</v>
      </c>
      <c r="D190" s="55">
        <v>0</v>
      </c>
      <c r="E190" s="55">
        <v>0</v>
      </c>
      <c r="F190" s="55">
        <v>0</v>
      </c>
      <c r="G190" s="55">
        <v>0</v>
      </c>
      <c r="H190" s="55">
        <v>0</v>
      </c>
      <c r="I190" s="55">
        <v>0</v>
      </c>
      <c r="J190" s="55">
        <v>0</v>
      </c>
    </row>
    <row r="191" spans="2:10">
      <c r="B191" s="147" t="s">
        <v>335</v>
      </c>
      <c r="C191" s="55">
        <v>0</v>
      </c>
      <c r="D191" s="55">
        <v>0</v>
      </c>
      <c r="E191" s="55">
        <v>0</v>
      </c>
      <c r="F191" s="55">
        <v>0</v>
      </c>
      <c r="G191" s="55">
        <v>0</v>
      </c>
      <c r="H191" s="55">
        <v>0</v>
      </c>
      <c r="I191" s="55">
        <v>0</v>
      </c>
      <c r="J191" s="55">
        <v>0</v>
      </c>
    </row>
    <row r="192" spans="2:10">
      <c r="B192" s="147"/>
      <c r="C192" s="55"/>
      <c r="D192" s="55"/>
      <c r="E192" s="55"/>
      <c r="F192" s="55"/>
      <c r="G192" s="55"/>
      <c r="H192" s="55"/>
      <c r="I192" s="55"/>
      <c r="J192" s="55"/>
    </row>
    <row r="193" spans="2:10" ht="26">
      <c r="B193" s="148" t="s">
        <v>344</v>
      </c>
      <c r="C193" s="55"/>
      <c r="D193" s="55"/>
      <c r="E193" s="55"/>
      <c r="F193" s="55"/>
      <c r="G193" s="55"/>
      <c r="H193" s="55"/>
      <c r="I193" s="55"/>
      <c r="J193" s="55"/>
    </row>
    <row r="194" spans="2:10">
      <c r="B194" s="54" t="s">
        <v>342</v>
      </c>
      <c r="C194" s="55">
        <v>0</v>
      </c>
      <c r="D194" s="55">
        <v>0</v>
      </c>
      <c r="E194" s="55">
        <v>0</v>
      </c>
      <c r="F194" s="55">
        <v>0</v>
      </c>
      <c r="G194" s="55">
        <v>0</v>
      </c>
      <c r="H194" s="55">
        <v>0</v>
      </c>
      <c r="I194" s="55">
        <v>0</v>
      </c>
      <c r="J194" s="55">
        <v>0</v>
      </c>
    </row>
    <row r="195" spans="2:10">
      <c r="B195" s="147" t="s">
        <v>341</v>
      </c>
      <c r="C195" s="55">
        <v>0</v>
      </c>
      <c r="D195" s="55">
        <v>0</v>
      </c>
      <c r="E195" s="55">
        <v>0</v>
      </c>
      <c r="F195" s="55">
        <v>0</v>
      </c>
      <c r="G195" s="55">
        <v>0</v>
      </c>
      <c r="H195" s="55">
        <v>0</v>
      </c>
      <c r="I195" s="55">
        <v>0</v>
      </c>
      <c r="J195" s="55">
        <v>0</v>
      </c>
    </row>
    <row r="196" spans="2:10">
      <c r="B196" s="147" t="s">
        <v>340</v>
      </c>
      <c r="C196" s="55">
        <v>0</v>
      </c>
      <c r="D196" s="55">
        <v>0</v>
      </c>
      <c r="E196" s="55">
        <v>0</v>
      </c>
      <c r="F196" s="55">
        <v>0</v>
      </c>
      <c r="G196" s="55">
        <v>0</v>
      </c>
      <c r="H196" s="55">
        <v>0</v>
      </c>
      <c r="I196" s="55">
        <v>0</v>
      </c>
      <c r="J196" s="55">
        <v>0</v>
      </c>
    </row>
    <row r="197" spans="2:10">
      <c r="B197" s="54" t="s">
        <v>339</v>
      </c>
      <c r="C197" s="55">
        <v>0</v>
      </c>
      <c r="D197" s="55">
        <v>0</v>
      </c>
      <c r="E197" s="55">
        <v>0</v>
      </c>
      <c r="F197" s="55">
        <v>0</v>
      </c>
      <c r="G197" s="55">
        <v>0</v>
      </c>
      <c r="H197" s="55">
        <v>0</v>
      </c>
      <c r="I197" s="55">
        <v>0</v>
      </c>
      <c r="J197" s="55">
        <v>0</v>
      </c>
    </row>
    <row r="198" spans="2:10">
      <c r="B198" s="54" t="s">
        <v>338</v>
      </c>
      <c r="C198" s="55">
        <v>0</v>
      </c>
      <c r="D198" s="55">
        <v>0</v>
      </c>
      <c r="E198" s="55">
        <v>0</v>
      </c>
      <c r="F198" s="55">
        <v>0</v>
      </c>
      <c r="G198" s="55">
        <v>0</v>
      </c>
      <c r="H198" s="55">
        <v>0</v>
      </c>
      <c r="I198" s="55">
        <v>0</v>
      </c>
      <c r="J198" s="55">
        <v>0</v>
      </c>
    </row>
    <row r="199" spans="2:10">
      <c r="B199" s="147" t="s">
        <v>337</v>
      </c>
      <c r="C199" s="55">
        <v>0</v>
      </c>
      <c r="D199" s="55">
        <v>0</v>
      </c>
      <c r="E199" s="55">
        <v>0</v>
      </c>
      <c r="F199" s="55">
        <v>0</v>
      </c>
      <c r="G199" s="55">
        <v>0</v>
      </c>
      <c r="H199" s="55">
        <v>0</v>
      </c>
      <c r="I199" s="55">
        <v>0</v>
      </c>
      <c r="J199" s="55">
        <v>0</v>
      </c>
    </row>
    <row r="200" spans="2:10">
      <c r="B200" s="147" t="s">
        <v>336</v>
      </c>
      <c r="C200" s="55">
        <v>0</v>
      </c>
      <c r="D200" s="55">
        <v>0</v>
      </c>
      <c r="E200" s="55">
        <v>0</v>
      </c>
      <c r="F200" s="55">
        <v>0</v>
      </c>
      <c r="G200" s="55">
        <v>0</v>
      </c>
      <c r="H200" s="55">
        <v>0</v>
      </c>
      <c r="I200" s="55">
        <v>0</v>
      </c>
      <c r="J200" s="55">
        <v>0</v>
      </c>
    </row>
    <row r="201" spans="2:10">
      <c r="B201" s="147" t="s">
        <v>335</v>
      </c>
      <c r="C201" s="55">
        <v>0</v>
      </c>
      <c r="D201" s="55">
        <v>0</v>
      </c>
      <c r="E201" s="55">
        <v>0</v>
      </c>
      <c r="F201" s="55">
        <v>0</v>
      </c>
      <c r="G201" s="55">
        <v>0</v>
      </c>
      <c r="H201" s="55">
        <v>0</v>
      </c>
      <c r="I201" s="55">
        <v>0</v>
      </c>
      <c r="J201" s="55">
        <v>0</v>
      </c>
    </row>
    <row r="202" spans="2:10">
      <c r="B202" s="147"/>
      <c r="C202" s="55"/>
      <c r="D202" s="55"/>
      <c r="E202" s="55"/>
      <c r="F202" s="55"/>
      <c r="G202" s="55"/>
      <c r="H202" s="55"/>
      <c r="I202" s="55"/>
      <c r="J202" s="55"/>
    </row>
    <row r="203" spans="2:10" ht="26">
      <c r="B203" s="148" t="s">
        <v>343</v>
      </c>
      <c r="C203" s="55"/>
      <c r="D203" s="55"/>
      <c r="E203" s="55"/>
      <c r="F203" s="55"/>
      <c r="G203" s="55"/>
      <c r="H203" s="55"/>
      <c r="I203" s="55"/>
      <c r="J203" s="55"/>
    </row>
    <row r="204" spans="2:10">
      <c r="B204" s="54" t="s">
        <v>342</v>
      </c>
      <c r="C204" s="55">
        <v>0</v>
      </c>
      <c r="D204" s="55">
        <v>0</v>
      </c>
      <c r="E204" s="55">
        <v>0</v>
      </c>
      <c r="F204" s="55">
        <v>0</v>
      </c>
      <c r="G204" s="55">
        <v>0</v>
      </c>
      <c r="H204" s="55">
        <v>0</v>
      </c>
      <c r="I204" s="55">
        <v>0</v>
      </c>
      <c r="J204" s="55">
        <v>0</v>
      </c>
    </row>
    <row r="205" spans="2:10">
      <c r="B205" s="147" t="s">
        <v>341</v>
      </c>
      <c r="C205" s="55">
        <v>0</v>
      </c>
      <c r="D205" s="55">
        <v>0</v>
      </c>
      <c r="E205" s="55">
        <v>0</v>
      </c>
      <c r="F205" s="55">
        <v>0</v>
      </c>
      <c r="G205" s="55">
        <v>0</v>
      </c>
      <c r="H205" s="55">
        <v>0</v>
      </c>
      <c r="I205" s="55">
        <v>0</v>
      </c>
      <c r="J205" s="55">
        <v>0</v>
      </c>
    </row>
    <row r="206" spans="2:10">
      <c r="B206" s="147" t="s">
        <v>340</v>
      </c>
      <c r="C206" s="55">
        <v>0</v>
      </c>
      <c r="D206" s="55">
        <v>0</v>
      </c>
      <c r="E206" s="55">
        <v>0</v>
      </c>
      <c r="F206" s="55">
        <v>0</v>
      </c>
      <c r="G206" s="55">
        <v>0</v>
      </c>
      <c r="H206" s="55">
        <v>0</v>
      </c>
      <c r="I206" s="55">
        <v>0</v>
      </c>
      <c r="J206" s="55">
        <v>0</v>
      </c>
    </row>
    <row r="207" spans="2:10">
      <c r="B207" s="54" t="s">
        <v>339</v>
      </c>
      <c r="C207" s="55">
        <v>125778.401</v>
      </c>
      <c r="D207" s="55">
        <v>95608.913</v>
      </c>
      <c r="E207" s="55">
        <v>89454.455000000002</v>
      </c>
      <c r="F207" s="55">
        <v>115981.31600000001</v>
      </c>
      <c r="G207" s="55">
        <v>95862.028000000006</v>
      </c>
      <c r="H207" s="55">
        <v>109973.69899999999</v>
      </c>
      <c r="I207" s="55">
        <v>56065.949000000001</v>
      </c>
      <c r="J207" s="55">
        <v>57568.72</v>
      </c>
    </row>
    <row r="208" spans="2:10">
      <c r="B208" s="54" t="s">
        <v>338</v>
      </c>
      <c r="C208" s="55">
        <v>0</v>
      </c>
      <c r="D208" s="55">
        <v>0</v>
      </c>
      <c r="E208" s="55">
        <v>0</v>
      </c>
      <c r="F208" s="55">
        <v>0</v>
      </c>
      <c r="G208" s="55">
        <v>0</v>
      </c>
      <c r="H208" s="55">
        <v>0</v>
      </c>
      <c r="I208" s="55">
        <v>0</v>
      </c>
      <c r="J208" s="55">
        <v>0</v>
      </c>
    </row>
    <row r="209" spans="2:10">
      <c r="B209" s="147" t="s">
        <v>337</v>
      </c>
      <c r="C209" s="55">
        <v>0</v>
      </c>
      <c r="D209" s="55">
        <v>0</v>
      </c>
      <c r="E209" s="55">
        <v>0</v>
      </c>
      <c r="F209" s="55">
        <v>0</v>
      </c>
      <c r="G209" s="55">
        <v>0</v>
      </c>
      <c r="H209" s="55">
        <v>0</v>
      </c>
      <c r="I209" s="55">
        <v>0</v>
      </c>
      <c r="J209" s="55">
        <v>0</v>
      </c>
    </row>
    <row r="210" spans="2:10">
      <c r="B210" s="147" t="s">
        <v>336</v>
      </c>
      <c r="C210" s="55">
        <v>0</v>
      </c>
      <c r="D210" s="55">
        <v>0</v>
      </c>
      <c r="E210" s="55">
        <v>0</v>
      </c>
      <c r="F210" s="55">
        <v>0</v>
      </c>
      <c r="G210" s="55">
        <v>0</v>
      </c>
      <c r="H210" s="55">
        <v>0</v>
      </c>
      <c r="I210" s="55">
        <v>0</v>
      </c>
      <c r="J210" s="55">
        <v>0</v>
      </c>
    </row>
    <row r="211" spans="2:10" ht="15" thickBot="1">
      <c r="B211" s="146" t="s">
        <v>335</v>
      </c>
      <c r="C211" s="101">
        <v>0</v>
      </c>
      <c r="D211" s="101">
        <v>0</v>
      </c>
      <c r="E211" s="101">
        <v>0</v>
      </c>
      <c r="F211" s="101">
        <v>0</v>
      </c>
      <c r="G211" s="101">
        <v>0</v>
      </c>
      <c r="H211" s="101">
        <v>0</v>
      </c>
      <c r="I211" s="101">
        <v>0</v>
      </c>
      <c r="J211" s="101">
        <v>0</v>
      </c>
    </row>
    <row r="212" spans="2:10" ht="15" thickTop="1">
      <c r="B212" s="2039" t="s">
        <v>937</v>
      </c>
      <c r="C212" s="2039"/>
      <c r="D212" s="2039"/>
      <c r="E212" s="2039"/>
      <c r="F212" s="2039"/>
      <c r="G212" s="2039"/>
      <c r="H212" s="2039"/>
      <c r="I212" s="2039"/>
      <c r="J212" s="2039"/>
    </row>
    <row r="213" spans="2:10">
      <c r="B213" s="2066" t="s">
        <v>938</v>
      </c>
      <c r="C213" s="2066"/>
      <c r="D213" s="2066"/>
      <c r="E213" s="2066"/>
      <c r="F213" s="2066"/>
      <c r="G213" s="2066"/>
      <c r="H213" s="2066"/>
      <c r="I213" s="2066"/>
      <c r="J213" s="2066"/>
    </row>
    <row r="214" spans="2:10">
      <c r="B214" s="64"/>
    </row>
    <row r="215" spans="2:10">
      <c r="B215" s="2024" t="s">
        <v>364</v>
      </c>
      <c r="C215" s="2024"/>
      <c r="D215" s="2024"/>
      <c r="E215" s="2024"/>
      <c r="F215" s="2024"/>
      <c r="G215" s="2024"/>
      <c r="H215" s="2024"/>
      <c r="I215" s="2024"/>
      <c r="J215" s="2024"/>
    </row>
    <row r="216" spans="2:10">
      <c r="B216" s="12" t="s">
        <v>363</v>
      </c>
    </row>
    <row r="217" spans="2:10">
      <c r="B217" s="62" t="s">
        <v>311</v>
      </c>
    </row>
    <row r="218" spans="2:10">
      <c r="B218" s="64"/>
    </row>
    <row r="219" spans="2:10">
      <c r="B219" s="61"/>
      <c r="C219" s="60">
        <v>2014</v>
      </c>
      <c r="D219" s="60">
        <v>2015</v>
      </c>
      <c r="E219" s="60">
        <v>2016</v>
      </c>
      <c r="F219" s="60">
        <v>2017</v>
      </c>
      <c r="G219" s="60">
        <v>2018</v>
      </c>
      <c r="H219" s="60">
        <v>2019</v>
      </c>
      <c r="I219" s="60">
        <v>2020</v>
      </c>
      <c r="J219" s="60">
        <v>2021</v>
      </c>
    </row>
    <row r="220" spans="2:10">
      <c r="B220" s="114" t="s">
        <v>362</v>
      </c>
      <c r="C220" s="66"/>
      <c r="D220" s="66"/>
      <c r="E220" s="66"/>
      <c r="F220" s="66"/>
      <c r="G220" s="66"/>
      <c r="H220" s="66"/>
      <c r="I220" s="66"/>
      <c r="J220" s="66"/>
    </row>
    <row r="221" spans="2:10">
      <c r="B221" s="54" t="s">
        <v>361</v>
      </c>
      <c r="C221" s="55">
        <v>14325897.307512635</v>
      </c>
      <c r="D221" s="55">
        <v>10827413.137149192</v>
      </c>
      <c r="E221" s="55">
        <v>10333102.425851062</v>
      </c>
      <c r="F221" s="55">
        <v>12362997.619006053</v>
      </c>
      <c r="G221" s="55">
        <v>12220459.185825195</v>
      </c>
      <c r="H221" s="55">
        <v>13326530.165366901</v>
      </c>
      <c r="I221" s="55">
        <v>11884884.916901354</v>
      </c>
      <c r="J221" s="55">
        <v>14667550.634376824</v>
      </c>
    </row>
    <row r="222" spans="2:10">
      <c r="B222" s="151" t="s">
        <v>360</v>
      </c>
      <c r="C222" s="55"/>
      <c r="D222" s="55"/>
      <c r="E222" s="55"/>
      <c r="F222" s="55"/>
      <c r="G222" s="55"/>
      <c r="H222" s="55"/>
      <c r="I222" s="55"/>
      <c r="J222" s="55"/>
    </row>
    <row r="223" spans="2:10">
      <c r="B223" s="151" t="s">
        <v>359</v>
      </c>
      <c r="C223" s="55">
        <v>14325897.307512635</v>
      </c>
      <c r="D223" s="55">
        <v>10827413.137149192</v>
      </c>
      <c r="E223" s="55">
        <v>10333102.425851062</v>
      </c>
      <c r="F223" s="55">
        <v>12362997.619006053</v>
      </c>
      <c r="G223" s="55">
        <v>12220459.185825195</v>
      </c>
      <c r="H223" s="55">
        <v>13326530.165366901</v>
      </c>
      <c r="I223" s="55">
        <v>11884884.916901354</v>
      </c>
      <c r="J223" s="55">
        <v>14667550.634376824</v>
      </c>
    </row>
    <row r="224" spans="2:10">
      <c r="B224" s="152" t="s">
        <v>358</v>
      </c>
      <c r="C224" s="55">
        <v>2134491.965855523</v>
      </c>
      <c r="D224" s="55">
        <v>1291924.3080291762</v>
      </c>
      <c r="E224" s="55">
        <v>1870568.9573105965</v>
      </c>
      <c r="F224" s="55">
        <v>2259531.0214402508</v>
      </c>
      <c r="G224" s="55">
        <v>1867174.4983240331</v>
      </c>
      <c r="H224" s="55">
        <v>1312575.7665581866</v>
      </c>
      <c r="I224" s="55">
        <v>823464.66865177022</v>
      </c>
      <c r="J224" s="55">
        <v>887959.53780196828</v>
      </c>
    </row>
    <row r="225" spans="2:10">
      <c r="B225" s="71" t="s">
        <v>357</v>
      </c>
      <c r="C225" s="55">
        <v>411684.34450248443</v>
      </c>
      <c r="D225" s="55">
        <v>318158.10889654356</v>
      </c>
      <c r="E225" s="55">
        <v>324391.47716016427</v>
      </c>
      <c r="F225" s="55">
        <v>392493.44607517618</v>
      </c>
      <c r="G225" s="55">
        <v>392409.02128644893</v>
      </c>
      <c r="H225" s="55">
        <v>446178.44124578696</v>
      </c>
      <c r="I225" s="55">
        <v>378473.55434117839</v>
      </c>
      <c r="J225" s="55">
        <v>460525.60197197716</v>
      </c>
    </row>
    <row r="226" spans="2:10">
      <c r="B226" s="151" t="s">
        <v>356</v>
      </c>
      <c r="C226" s="55">
        <v>148126.7639189706</v>
      </c>
      <c r="D226" s="55">
        <v>116745.38634455627</v>
      </c>
      <c r="E226" s="55">
        <v>123625.87115666179</v>
      </c>
      <c r="F226" s="55">
        <v>155198.93322975724</v>
      </c>
      <c r="G226" s="55">
        <v>153636.69639066688</v>
      </c>
      <c r="H226" s="55">
        <v>169165.02217379186</v>
      </c>
      <c r="I226" s="55">
        <v>157338.23424346233</v>
      </c>
      <c r="J226" s="55">
        <v>168766.28882793387</v>
      </c>
    </row>
    <row r="227" spans="2:10">
      <c r="B227" s="151" t="s">
        <v>355</v>
      </c>
      <c r="C227" s="66">
        <v>0</v>
      </c>
      <c r="D227" s="66">
        <v>0</v>
      </c>
      <c r="E227" s="66">
        <v>0</v>
      </c>
      <c r="F227" s="66">
        <v>0</v>
      </c>
      <c r="G227" s="66">
        <v>0</v>
      </c>
      <c r="H227" s="66">
        <v>0</v>
      </c>
      <c r="I227" s="66">
        <v>0</v>
      </c>
      <c r="J227" s="66">
        <v>0</v>
      </c>
    </row>
    <row r="228" spans="2:10" ht="15">
      <c r="B228" s="151" t="s">
        <v>933</v>
      </c>
      <c r="C228" s="55">
        <v>263557.58058351389</v>
      </c>
      <c r="D228" s="55">
        <v>201412.72255198733</v>
      </c>
      <c r="E228" s="55">
        <v>200765.60600350244</v>
      </c>
      <c r="F228" s="55">
        <v>237294.51284541894</v>
      </c>
      <c r="G228" s="55">
        <v>238772.32489578205</v>
      </c>
      <c r="H228" s="55">
        <v>277013.41907199513</v>
      </c>
      <c r="I228" s="55">
        <v>221135.32009771609</v>
      </c>
      <c r="J228" s="55">
        <v>291759.31314404332</v>
      </c>
    </row>
    <row r="229" spans="2:10">
      <c r="B229" s="71" t="s">
        <v>338</v>
      </c>
      <c r="C229" s="55">
        <v>750.63774093939776</v>
      </c>
      <c r="D229" s="55">
        <v>386.5690897115644</v>
      </c>
      <c r="E229" s="55">
        <v>365.73306921597339</v>
      </c>
      <c r="F229" s="55">
        <v>1089.825215348473</v>
      </c>
      <c r="G229" s="55">
        <v>2745.7421084304392</v>
      </c>
      <c r="H229" s="55">
        <v>6377.2342312663141</v>
      </c>
      <c r="I229" s="55">
        <v>10475.322230408314</v>
      </c>
      <c r="J229" s="55">
        <v>22086.397990955596</v>
      </c>
    </row>
    <row r="230" spans="2:10">
      <c r="B230" s="71" t="s">
        <v>353</v>
      </c>
      <c r="C230" s="55">
        <v>1189640.4988798362</v>
      </c>
      <c r="D230" s="55">
        <v>772499.91254080937</v>
      </c>
      <c r="E230" s="55">
        <v>627892.60394051624</v>
      </c>
      <c r="F230" s="55">
        <v>591473.06411527016</v>
      </c>
      <c r="G230" s="55">
        <v>457722.8734101975</v>
      </c>
      <c r="H230" s="55">
        <v>385597.92623091408</v>
      </c>
      <c r="I230" s="55">
        <v>213928.43071600291</v>
      </c>
      <c r="J230" s="55">
        <v>194275.741613928</v>
      </c>
    </row>
    <row r="231" spans="2:10">
      <c r="B231" s="150" t="s">
        <v>352</v>
      </c>
      <c r="C231" s="55">
        <v>1189640.4988798362</v>
      </c>
      <c r="D231" s="55">
        <v>772499.91254080937</v>
      </c>
      <c r="E231" s="55">
        <v>627892.60394051624</v>
      </c>
      <c r="F231" s="55">
        <v>591473.06411527016</v>
      </c>
      <c r="G231" s="55">
        <v>457722.8734101975</v>
      </c>
      <c r="H231" s="55">
        <v>385597.92623091408</v>
      </c>
      <c r="I231" s="55">
        <v>213928.43071600291</v>
      </c>
      <c r="J231" s="55">
        <v>194275.741613928</v>
      </c>
    </row>
    <row r="232" spans="2:10">
      <c r="B232" s="150" t="s">
        <v>351</v>
      </c>
      <c r="C232" s="66">
        <v>0</v>
      </c>
      <c r="D232" s="66">
        <v>0</v>
      </c>
      <c r="E232" s="66">
        <v>0</v>
      </c>
      <c r="F232" s="66">
        <v>0</v>
      </c>
      <c r="G232" s="66">
        <v>0</v>
      </c>
      <c r="H232" s="66">
        <v>0</v>
      </c>
      <c r="I232" s="66">
        <v>0</v>
      </c>
      <c r="J232" s="66">
        <v>0</v>
      </c>
    </row>
    <row r="233" spans="2:10">
      <c r="B233" s="54" t="s">
        <v>350</v>
      </c>
      <c r="C233" s="66">
        <v>0</v>
      </c>
      <c r="D233" s="66">
        <v>0</v>
      </c>
      <c r="E233" s="66">
        <v>0</v>
      </c>
      <c r="F233" s="66">
        <v>0</v>
      </c>
      <c r="G233" s="66">
        <v>0</v>
      </c>
      <c r="H233" s="66">
        <v>0</v>
      </c>
      <c r="I233" s="66">
        <v>0</v>
      </c>
      <c r="J233" s="66">
        <v>0</v>
      </c>
    </row>
    <row r="234" spans="2:10">
      <c r="B234" s="54"/>
      <c r="C234" s="66"/>
      <c r="D234" s="66"/>
      <c r="E234" s="66"/>
      <c r="F234" s="66"/>
      <c r="G234" s="66"/>
      <c r="H234" s="66"/>
      <c r="I234" s="66"/>
      <c r="J234" s="66"/>
    </row>
    <row r="235" spans="2:10">
      <c r="B235" s="54" t="s">
        <v>349</v>
      </c>
      <c r="C235" s="55">
        <v>18062464.754491422</v>
      </c>
      <c r="D235" s="55">
        <v>13210382.035705432</v>
      </c>
      <c r="E235" s="55">
        <v>13156321.197331553</v>
      </c>
      <c r="F235" s="55">
        <v>15607584.975852096</v>
      </c>
      <c r="G235" s="55">
        <v>14940511.320954304</v>
      </c>
      <c r="H235" s="55">
        <v>15477259.533633057</v>
      </c>
      <c r="I235" s="55">
        <v>13311226.892840713</v>
      </c>
      <c r="J235" s="55">
        <v>16232397.913755652</v>
      </c>
    </row>
    <row r="236" spans="2:10" ht="15">
      <c r="B236" s="147" t="s">
        <v>934</v>
      </c>
      <c r="C236" s="55">
        <v>600650.37754278677</v>
      </c>
      <c r="D236" s="55">
        <v>610361.60511576361</v>
      </c>
      <c r="E236" s="55">
        <v>555198.81951023464</v>
      </c>
      <c r="F236" s="55">
        <v>609455.24259984342</v>
      </c>
      <c r="G236" s="55">
        <v>669657.86968652555</v>
      </c>
      <c r="H236" s="55">
        <v>692037.04163604579</v>
      </c>
      <c r="I236" s="55">
        <v>640655.59288844082</v>
      </c>
      <c r="J236" s="55">
        <v>701234.98850915558</v>
      </c>
    </row>
    <row r="237" spans="2:10">
      <c r="B237" s="147"/>
      <c r="C237" s="55"/>
      <c r="D237" s="55"/>
      <c r="E237" s="55"/>
      <c r="F237" s="55"/>
      <c r="G237" s="55"/>
      <c r="H237" s="55"/>
      <c r="I237" s="55"/>
      <c r="J237" s="55"/>
    </row>
    <row r="238" spans="2:10">
      <c r="B238" s="54" t="s">
        <v>347</v>
      </c>
      <c r="C238" s="55">
        <v>674409.1030704549</v>
      </c>
      <c r="D238" s="55">
        <v>610576.98295743857</v>
      </c>
      <c r="E238" s="55">
        <v>553859.5871730831</v>
      </c>
      <c r="F238" s="55">
        <v>598194.45045559597</v>
      </c>
      <c r="G238" s="55">
        <v>665324.77428818587</v>
      </c>
      <c r="H238" s="55">
        <v>723046.15626555833</v>
      </c>
      <c r="I238" s="55">
        <v>614050.98242173786</v>
      </c>
      <c r="J238" s="55">
        <v>716963.0843650382</v>
      </c>
    </row>
    <row r="239" spans="2:10">
      <c r="B239" s="54"/>
      <c r="C239" s="66"/>
      <c r="D239" s="66"/>
      <c r="E239" s="66"/>
      <c r="F239" s="66"/>
      <c r="G239" s="66"/>
      <c r="H239" s="66"/>
      <c r="I239" s="66"/>
      <c r="J239" s="66"/>
    </row>
    <row r="240" spans="2:10">
      <c r="B240" s="114" t="s">
        <v>346</v>
      </c>
      <c r="C240" s="66"/>
      <c r="D240" s="66"/>
      <c r="E240" s="66"/>
      <c r="F240" s="66"/>
      <c r="G240" s="66"/>
      <c r="H240" s="66"/>
      <c r="I240" s="66"/>
      <c r="J240" s="66"/>
    </row>
    <row r="241" spans="2:10">
      <c r="B241" s="54" t="s">
        <v>935</v>
      </c>
      <c r="C241" s="55">
        <v>782013.89816112455</v>
      </c>
      <c r="D241" s="55">
        <v>648661.88486536685</v>
      </c>
      <c r="E241" s="55">
        <v>615973.27189733868</v>
      </c>
      <c r="F241" s="55">
        <v>684000.74549725919</v>
      </c>
      <c r="G241" s="55">
        <v>593817.227051127</v>
      </c>
      <c r="H241" s="55">
        <v>560036.80008831201</v>
      </c>
      <c r="I241" s="55">
        <v>493311.99559605098</v>
      </c>
      <c r="J241" s="55">
        <v>402917.801811343</v>
      </c>
    </row>
    <row r="242" spans="2:10">
      <c r="B242" s="147" t="s">
        <v>341</v>
      </c>
      <c r="C242" s="55">
        <v>500942.24232386297</v>
      </c>
      <c r="D242" s="55">
        <v>390368.52577350469</v>
      </c>
      <c r="E242" s="55">
        <v>376026.53518215485</v>
      </c>
      <c r="F242" s="55">
        <v>427280.05137039936</v>
      </c>
      <c r="G242" s="55">
        <v>365759.52541167458</v>
      </c>
      <c r="H242" s="55">
        <v>363171.23618753959</v>
      </c>
      <c r="I242" s="55">
        <v>285177.72123762697</v>
      </c>
      <c r="J242" s="55">
        <v>213543.193951753</v>
      </c>
    </row>
    <row r="243" spans="2:10">
      <c r="B243" s="147" t="s">
        <v>340</v>
      </c>
      <c r="C243" s="55">
        <v>188220.59742117894</v>
      </c>
      <c r="D243" s="55">
        <v>177664.92646838591</v>
      </c>
      <c r="E243" s="55">
        <v>163467.72141360203</v>
      </c>
      <c r="F243" s="55">
        <v>167761.02991386061</v>
      </c>
      <c r="G243" s="55">
        <v>143920.89811987799</v>
      </c>
      <c r="H243" s="55">
        <v>147278.30389041299</v>
      </c>
      <c r="I243" s="55">
        <v>167998.25007358199</v>
      </c>
      <c r="J243" s="55">
        <v>153520.12605997501</v>
      </c>
    </row>
    <row r="244" spans="2:10">
      <c r="B244" s="54" t="s">
        <v>936</v>
      </c>
      <c r="C244" s="55">
        <v>411684.34462153568</v>
      </c>
      <c r="D244" s="55">
        <v>318158.10884475993</v>
      </c>
      <c r="E244" s="55">
        <v>324757.21040392731</v>
      </c>
      <c r="F244" s="55">
        <v>393577.92863611301</v>
      </c>
      <c r="G244" s="55">
        <v>392459.06630360801</v>
      </c>
      <c r="H244" s="55">
        <v>454158.88324502198</v>
      </c>
      <c r="I244" s="55">
        <v>389085.79613801598</v>
      </c>
      <c r="J244" s="55">
        <v>484044.15525493398</v>
      </c>
    </row>
    <row r="245" spans="2:10">
      <c r="B245" s="54" t="s">
        <v>338</v>
      </c>
      <c r="C245" s="66">
        <v>0</v>
      </c>
      <c r="D245" s="66">
        <v>0</v>
      </c>
      <c r="E245" s="66">
        <v>0</v>
      </c>
      <c r="F245" s="66">
        <v>0</v>
      </c>
      <c r="G245" s="66">
        <v>0</v>
      </c>
      <c r="H245" s="66">
        <v>0</v>
      </c>
      <c r="I245" s="66">
        <v>0</v>
      </c>
      <c r="J245" s="66">
        <v>0</v>
      </c>
    </row>
    <row r="246" spans="2:10">
      <c r="B246" s="147" t="s">
        <v>337</v>
      </c>
      <c r="C246" s="66">
        <v>0</v>
      </c>
      <c r="D246" s="66">
        <v>0</v>
      </c>
      <c r="E246" s="66">
        <v>0</v>
      </c>
      <c r="F246" s="66">
        <v>0</v>
      </c>
      <c r="G246" s="66">
        <v>0</v>
      </c>
      <c r="H246" s="66">
        <v>0</v>
      </c>
      <c r="I246" s="66">
        <v>0</v>
      </c>
      <c r="J246" s="66">
        <v>0</v>
      </c>
    </row>
    <row r="247" spans="2:10">
      <c r="B247" s="147" t="s">
        <v>336</v>
      </c>
      <c r="C247" s="66">
        <v>0</v>
      </c>
      <c r="D247" s="66">
        <v>0</v>
      </c>
      <c r="E247" s="66">
        <v>0</v>
      </c>
      <c r="F247" s="66">
        <v>0</v>
      </c>
      <c r="G247" s="66">
        <v>0</v>
      </c>
      <c r="H247" s="66">
        <v>0</v>
      </c>
      <c r="I247" s="66">
        <v>0</v>
      </c>
      <c r="J247" s="66">
        <v>0</v>
      </c>
    </row>
    <row r="248" spans="2:10">
      <c r="B248" s="147" t="s">
        <v>335</v>
      </c>
      <c r="C248" s="66">
        <v>0</v>
      </c>
      <c r="D248" s="66">
        <v>0</v>
      </c>
      <c r="E248" s="66">
        <v>0</v>
      </c>
      <c r="F248" s="66">
        <v>0</v>
      </c>
      <c r="G248" s="66">
        <v>0</v>
      </c>
      <c r="H248" s="66">
        <v>0</v>
      </c>
      <c r="I248" s="66">
        <v>0</v>
      </c>
      <c r="J248" s="66">
        <v>0</v>
      </c>
    </row>
    <row r="249" spans="2:10">
      <c r="B249" s="147"/>
      <c r="C249" s="66"/>
      <c r="D249" s="66"/>
      <c r="E249" s="66"/>
      <c r="F249" s="66"/>
      <c r="G249" s="66"/>
      <c r="H249" s="66"/>
      <c r="I249" s="66"/>
      <c r="J249" s="66"/>
    </row>
    <row r="250" spans="2:10" ht="26">
      <c r="B250" s="148" t="s">
        <v>345</v>
      </c>
      <c r="C250" s="66"/>
      <c r="D250" s="66"/>
      <c r="E250" s="66"/>
      <c r="F250" s="66"/>
      <c r="G250" s="66"/>
      <c r="H250" s="66"/>
      <c r="I250" s="66"/>
      <c r="J250" s="66"/>
    </row>
    <row r="251" spans="2:10">
      <c r="B251" s="54" t="s">
        <v>342</v>
      </c>
      <c r="C251" s="55">
        <v>782013.89816112455</v>
      </c>
      <c r="D251" s="55">
        <v>648661.88486536685</v>
      </c>
      <c r="E251" s="55">
        <v>615973.27189733868</v>
      </c>
      <c r="F251" s="55">
        <v>684000.74549725919</v>
      </c>
      <c r="G251" s="55">
        <v>593817.227051127</v>
      </c>
      <c r="H251" s="55">
        <v>560036.80008831201</v>
      </c>
      <c r="I251" s="55">
        <v>493311.99559605098</v>
      </c>
      <c r="J251" s="55">
        <v>402917.801811343</v>
      </c>
    </row>
    <row r="252" spans="2:10">
      <c r="B252" s="147" t="s">
        <v>341</v>
      </c>
      <c r="C252" s="55">
        <v>500942.24232386297</v>
      </c>
      <c r="D252" s="55">
        <v>390368.52577350469</v>
      </c>
      <c r="E252" s="55">
        <v>376026.53518215485</v>
      </c>
      <c r="F252" s="55">
        <v>427280.05137039936</v>
      </c>
      <c r="G252" s="55">
        <v>365759.52541167458</v>
      </c>
      <c r="H252" s="55">
        <v>363171.23618753959</v>
      </c>
      <c r="I252" s="55">
        <v>285177.72123762697</v>
      </c>
      <c r="J252" s="55">
        <v>213543.193951753</v>
      </c>
    </row>
    <row r="253" spans="2:10">
      <c r="B253" s="147" t="s">
        <v>340</v>
      </c>
      <c r="C253" s="55">
        <v>188220.59742117894</v>
      </c>
      <c r="D253" s="55">
        <v>177664.92646838591</v>
      </c>
      <c r="E253" s="55">
        <v>163467.72141360203</v>
      </c>
      <c r="F253" s="55">
        <v>167761.02991386061</v>
      </c>
      <c r="G253" s="55">
        <v>143920.89811987799</v>
      </c>
      <c r="H253" s="55">
        <v>147278.30389041299</v>
      </c>
      <c r="I253" s="55">
        <v>167998.25007358199</v>
      </c>
      <c r="J253" s="55">
        <v>153520.12605997501</v>
      </c>
    </row>
    <row r="254" spans="2:10">
      <c r="B254" s="54" t="s">
        <v>339</v>
      </c>
      <c r="C254" s="55">
        <v>400585.55314902117</v>
      </c>
      <c r="D254" s="55">
        <v>310787.08179830475</v>
      </c>
      <c r="E254" s="55">
        <v>318516.96552120114</v>
      </c>
      <c r="F254" s="55">
        <v>385268.54865527013</v>
      </c>
      <c r="G254" s="55">
        <v>383922.8908209611</v>
      </c>
      <c r="H254" s="55">
        <v>444945.82899748615</v>
      </c>
      <c r="I254" s="55">
        <v>385667.85748447984</v>
      </c>
      <c r="J254" s="55">
        <v>480533.80870712065</v>
      </c>
    </row>
    <row r="255" spans="2:10">
      <c r="B255" s="54" t="s">
        <v>338</v>
      </c>
      <c r="C255" s="66">
        <v>0</v>
      </c>
      <c r="D255" s="66">
        <v>0</v>
      </c>
      <c r="E255" s="66">
        <v>0</v>
      </c>
      <c r="F255" s="66">
        <v>0</v>
      </c>
      <c r="G255" s="66">
        <v>0</v>
      </c>
      <c r="H255" s="66">
        <v>0</v>
      </c>
      <c r="I255" s="66">
        <v>0</v>
      </c>
      <c r="J255" s="66">
        <v>0</v>
      </c>
    </row>
    <row r="256" spans="2:10">
      <c r="B256" s="147" t="s">
        <v>337</v>
      </c>
      <c r="C256" s="66">
        <v>0</v>
      </c>
      <c r="D256" s="66">
        <v>0</v>
      </c>
      <c r="E256" s="66">
        <v>0</v>
      </c>
      <c r="F256" s="66">
        <v>0</v>
      </c>
      <c r="G256" s="66">
        <v>0</v>
      </c>
      <c r="H256" s="66">
        <v>0</v>
      </c>
      <c r="I256" s="66">
        <v>0</v>
      </c>
      <c r="J256" s="66">
        <v>0</v>
      </c>
    </row>
    <row r="257" spans="2:10">
      <c r="B257" s="147" t="s">
        <v>336</v>
      </c>
      <c r="C257" s="66">
        <v>0</v>
      </c>
      <c r="D257" s="66">
        <v>0</v>
      </c>
      <c r="E257" s="66">
        <v>0</v>
      </c>
      <c r="F257" s="66">
        <v>0</v>
      </c>
      <c r="G257" s="66">
        <v>0</v>
      </c>
      <c r="H257" s="66">
        <v>0</v>
      </c>
      <c r="I257" s="66">
        <v>0</v>
      </c>
      <c r="J257" s="66">
        <v>0</v>
      </c>
    </row>
    <row r="258" spans="2:10">
      <c r="B258" s="147" t="s">
        <v>335</v>
      </c>
      <c r="C258" s="66">
        <v>0</v>
      </c>
      <c r="D258" s="66">
        <v>0</v>
      </c>
      <c r="E258" s="66">
        <v>0</v>
      </c>
      <c r="F258" s="66">
        <v>0</v>
      </c>
      <c r="G258" s="66">
        <v>0</v>
      </c>
      <c r="H258" s="66">
        <v>0</v>
      </c>
      <c r="I258" s="66">
        <v>0</v>
      </c>
      <c r="J258" s="66">
        <v>0</v>
      </c>
    </row>
    <row r="259" spans="2:10">
      <c r="B259" s="147"/>
      <c r="C259" s="66"/>
      <c r="D259" s="66"/>
      <c r="E259" s="66"/>
      <c r="F259" s="66"/>
      <c r="G259" s="66"/>
      <c r="H259" s="66"/>
      <c r="I259" s="66"/>
      <c r="J259" s="66"/>
    </row>
    <row r="260" spans="2:10" ht="26">
      <c r="B260" s="148" t="s">
        <v>344</v>
      </c>
      <c r="C260" s="66"/>
      <c r="D260" s="66"/>
      <c r="E260" s="66"/>
      <c r="F260" s="66"/>
      <c r="G260" s="66"/>
      <c r="H260" s="66"/>
      <c r="I260" s="66"/>
      <c r="J260" s="66"/>
    </row>
    <row r="261" spans="2:10">
      <c r="B261" s="54" t="s">
        <v>342</v>
      </c>
      <c r="C261" s="66">
        <v>0</v>
      </c>
      <c r="D261" s="66">
        <v>0</v>
      </c>
      <c r="E261" s="66">
        <v>0</v>
      </c>
      <c r="F261" s="66">
        <v>0</v>
      </c>
      <c r="G261" s="66">
        <v>0</v>
      </c>
      <c r="H261" s="66">
        <v>0</v>
      </c>
      <c r="I261" s="66">
        <v>0</v>
      </c>
      <c r="J261" s="66">
        <v>0</v>
      </c>
    </row>
    <row r="262" spans="2:10">
      <c r="B262" s="147" t="s">
        <v>341</v>
      </c>
      <c r="C262" s="66">
        <v>0</v>
      </c>
      <c r="D262" s="66">
        <v>0</v>
      </c>
      <c r="E262" s="66">
        <v>0</v>
      </c>
      <c r="F262" s="66">
        <v>0</v>
      </c>
      <c r="G262" s="66">
        <v>0</v>
      </c>
      <c r="H262" s="66">
        <v>0</v>
      </c>
      <c r="I262" s="66">
        <v>0</v>
      </c>
      <c r="J262" s="66">
        <v>0</v>
      </c>
    </row>
    <row r="263" spans="2:10">
      <c r="B263" s="147" t="s">
        <v>340</v>
      </c>
      <c r="C263" s="66">
        <v>0</v>
      </c>
      <c r="D263" s="66">
        <v>0</v>
      </c>
      <c r="E263" s="66">
        <v>0</v>
      </c>
      <c r="F263" s="66">
        <v>0</v>
      </c>
      <c r="G263" s="66">
        <v>0</v>
      </c>
      <c r="H263" s="66">
        <v>0</v>
      </c>
      <c r="I263" s="66">
        <v>0</v>
      </c>
      <c r="J263" s="66">
        <v>0</v>
      </c>
    </row>
    <row r="264" spans="2:10">
      <c r="B264" s="54" t="s">
        <v>339</v>
      </c>
      <c r="C264" s="66">
        <v>0</v>
      </c>
      <c r="D264" s="66">
        <v>0</v>
      </c>
      <c r="E264" s="66">
        <v>0</v>
      </c>
      <c r="F264" s="66">
        <v>0</v>
      </c>
      <c r="G264" s="66">
        <v>0</v>
      </c>
      <c r="H264" s="66">
        <v>0</v>
      </c>
      <c r="I264" s="66">
        <v>0</v>
      </c>
      <c r="J264" s="66">
        <v>0</v>
      </c>
    </row>
    <row r="265" spans="2:10">
      <c r="B265" s="54" t="s">
        <v>338</v>
      </c>
      <c r="C265" s="66">
        <v>0</v>
      </c>
      <c r="D265" s="66">
        <v>0</v>
      </c>
      <c r="E265" s="66">
        <v>0</v>
      </c>
      <c r="F265" s="66">
        <v>0</v>
      </c>
      <c r="G265" s="66">
        <v>0</v>
      </c>
      <c r="H265" s="66">
        <v>0</v>
      </c>
      <c r="I265" s="66">
        <v>0</v>
      </c>
      <c r="J265" s="66">
        <v>0</v>
      </c>
    </row>
    <row r="266" spans="2:10">
      <c r="B266" s="147" t="s">
        <v>337</v>
      </c>
      <c r="C266" s="66">
        <v>0</v>
      </c>
      <c r="D266" s="66">
        <v>0</v>
      </c>
      <c r="E266" s="66">
        <v>0</v>
      </c>
      <c r="F266" s="66">
        <v>0</v>
      </c>
      <c r="G266" s="66">
        <v>0</v>
      </c>
      <c r="H266" s="66">
        <v>0</v>
      </c>
      <c r="I266" s="66">
        <v>0</v>
      </c>
      <c r="J266" s="66">
        <v>0</v>
      </c>
    </row>
    <row r="267" spans="2:10">
      <c r="B267" s="147" t="s">
        <v>336</v>
      </c>
      <c r="C267" s="66">
        <v>0</v>
      </c>
      <c r="D267" s="66">
        <v>0</v>
      </c>
      <c r="E267" s="66">
        <v>0</v>
      </c>
      <c r="F267" s="66">
        <v>0</v>
      </c>
      <c r="G267" s="66">
        <v>0</v>
      </c>
      <c r="H267" s="66">
        <v>0</v>
      </c>
      <c r="I267" s="66">
        <v>0</v>
      </c>
      <c r="J267" s="66">
        <v>0</v>
      </c>
    </row>
    <row r="268" spans="2:10">
      <c r="B268" s="147" t="s">
        <v>335</v>
      </c>
      <c r="C268" s="66">
        <v>0</v>
      </c>
      <c r="D268" s="66">
        <v>0</v>
      </c>
      <c r="E268" s="66">
        <v>0</v>
      </c>
      <c r="F268" s="66">
        <v>0</v>
      </c>
      <c r="G268" s="66">
        <v>0</v>
      </c>
      <c r="H268" s="66">
        <v>0</v>
      </c>
      <c r="I268" s="66">
        <v>0</v>
      </c>
      <c r="J268" s="66">
        <v>0</v>
      </c>
    </row>
    <row r="269" spans="2:10">
      <c r="B269" s="147"/>
      <c r="C269" s="66"/>
      <c r="D269" s="66"/>
      <c r="E269" s="66"/>
      <c r="F269" s="66"/>
      <c r="G269" s="66"/>
      <c r="H269" s="66"/>
      <c r="I269" s="66"/>
      <c r="J269" s="66"/>
    </row>
    <row r="270" spans="2:10" ht="26">
      <c r="B270" s="148" t="s">
        <v>343</v>
      </c>
      <c r="C270" s="66"/>
      <c r="D270" s="66"/>
      <c r="E270" s="66"/>
      <c r="F270" s="66"/>
      <c r="G270" s="66"/>
      <c r="H270" s="66"/>
      <c r="I270" s="66"/>
      <c r="J270" s="66"/>
    </row>
    <row r="271" spans="2:10">
      <c r="B271" s="54" t="s">
        <v>342</v>
      </c>
      <c r="C271" s="66">
        <v>0</v>
      </c>
      <c r="D271" s="66">
        <v>0</v>
      </c>
      <c r="E271" s="66">
        <v>0</v>
      </c>
      <c r="F271" s="66">
        <v>0</v>
      </c>
      <c r="G271" s="66">
        <v>0</v>
      </c>
      <c r="H271" s="66">
        <v>0</v>
      </c>
      <c r="I271" s="66">
        <v>0</v>
      </c>
      <c r="J271" s="66">
        <v>0</v>
      </c>
    </row>
    <row r="272" spans="2:10">
      <c r="B272" s="147" t="s">
        <v>341</v>
      </c>
      <c r="C272" s="66">
        <v>0</v>
      </c>
      <c r="D272" s="66">
        <v>0</v>
      </c>
      <c r="E272" s="66">
        <v>0</v>
      </c>
      <c r="F272" s="66">
        <v>0</v>
      </c>
      <c r="G272" s="66">
        <v>0</v>
      </c>
      <c r="H272" s="66">
        <v>0</v>
      </c>
      <c r="I272" s="66">
        <v>0</v>
      </c>
      <c r="J272" s="66">
        <v>0</v>
      </c>
    </row>
    <row r="273" spans="2:10">
      <c r="B273" s="147" t="s">
        <v>340</v>
      </c>
      <c r="C273" s="66">
        <v>0</v>
      </c>
      <c r="D273" s="66">
        <v>0</v>
      </c>
      <c r="E273" s="66">
        <v>0</v>
      </c>
      <c r="F273" s="66">
        <v>0</v>
      </c>
      <c r="G273" s="66">
        <v>0</v>
      </c>
      <c r="H273" s="66">
        <v>0</v>
      </c>
      <c r="I273" s="66">
        <v>0</v>
      </c>
      <c r="J273" s="66">
        <v>0</v>
      </c>
    </row>
    <row r="274" spans="2:10">
      <c r="B274" s="54" t="s">
        <v>339</v>
      </c>
      <c r="C274" s="55">
        <v>11098.791353463288</v>
      </c>
      <c r="D274" s="55">
        <v>7371.0270464552077</v>
      </c>
      <c r="E274" s="55">
        <v>6240.2448827261505</v>
      </c>
      <c r="F274" s="55">
        <v>8309.3801096319494</v>
      </c>
      <c r="G274" s="55">
        <v>8536.1754826467532</v>
      </c>
      <c r="H274" s="55">
        <v>9213.0542475355414</v>
      </c>
      <c r="I274" s="55">
        <v>3417.9386535363915</v>
      </c>
      <c r="J274" s="55">
        <v>3510.3465478130329</v>
      </c>
    </row>
    <row r="275" spans="2:10">
      <c r="B275" s="54" t="s">
        <v>338</v>
      </c>
      <c r="C275" s="66">
        <v>0</v>
      </c>
      <c r="D275" s="66">
        <v>0</v>
      </c>
      <c r="E275" s="66">
        <v>0</v>
      </c>
      <c r="F275" s="66">
        <v>0</v>
      </c>
      <c r="G275" s="66">
        <v>0</v>
      </c>
      <c r="H275" s="66">
        <v>0</v>
      </c>
      <c r="I275" s="66">
        <v>0</v>
      </c>
      <c r="J275" s="66">
        <v>0</v>
      </c>
    </row>
    <row r="276" spans="2:10">
      <c r="B276" s="147" t="s">
        <v>337</v>
      </c>
      <c r="C276" s="66">
        <v>0</v>
      </c>
      <c r="D276" s="66">
        <v>0</v>
      </c>
      <c r="E276" s="66">
        <v>0</v>
      </c>
      <c r="F276" s="66">
        <v>0</v>
      </c>
      <c r="G276" s="66">
        <v>0</v>
      </c>
      <c r="H276" s="66">
        <v>0</v>
      </c>
      <c r="I276" s="66">
        <v>0</v>
      </c>
      <c r="J276" s="66">
        <v>0</v>
      </c>
    </row>
    <row r="277" spans="2:10">
      <c r="B277" s="147" t="s">
        <v>336</v>
      </c>
      <c r="C277" s="66">
        <v>0</v>
      </c>
      <c r="D277" s="66">
        <v>0</v>
      </c>
      <c r="E277" s="66">
        <v>0</v>
      </c>
      <c r="F277" s="66">
        <v>0</v>
      </c>
      <c r="G277" s="66">
        <v>0</v>
      </c>
      <c r="H277" s="66">
        <v>0</v>
      </c>
      <c r="I277" s="66">
        <v>0</v>
      </c>
      <c r="J277" s="66">
        <v>0</v>
      </c>
    </row>
    <row r="278" spans="2:10" ht="15" thickBot="1">
      <c r="B278" s="146" t="s">
        <v>335</v>
      </c>
      <c r="C278" s="109">
        <v>0</v>
      </c>
      <c r="D278" s="109">
        <v>0</v>
      </c>
      <c r="E278" s="109">
        <v>0</v>
      </c>
      <c r="F278" s="109">
        <v>0</v>
      </c>
      <c r="G278" s="109">
        <v>0</v>
      </c>
      <c r="H278" s="109">
        <v>0</v>
      </c>
      <c r="I278" s="109">
        <v>0</v>
      </c>
      <c r="J278" s="109">
        <v>0</v>
      </c>
    </row>
    <row r="279" spans="2:10" ht="15" thickTop="1">
      <c r="B279" s="2039" t="s">
        <v>937</v>
      </c>
      <c r="C279" s="2039"/>
      <c r="D279" s="2039"/>
      <c r="E279" s="2039"/>
      <c r="F279" s="2039"/>
      <c r="G279" s="2039"/>
      <c r="H279" s="2039"/>
      <c r="I279" s="2039"/>
      <c r="J279" s="2039"/>
    </row>
    <row r="280" spans="2:10">
      <c r="B280" s="2066" t="s">
        <v>939</v>
      </c>
      <c r="C280" s="2066"/>
      <c r="D280" s="2066"/>
      <c r="E280" s="2066"/>
      <c r="F280" s="2066"/>
      <c r="G280" s="2066"/>
      <c r="H280" s="2066"/>
      <c r="I280" s="2066"/>
      <c r="J280" s="2066"/>
    </row>
    <row r="281" spans="2:10">
      <c r="B281" s="64"/>
    </row>
    <row r="282" spans="2:10">
      <c r="B282" s="2024" t="s">
        <v>333</v>
      </c>
      <c r="C282" s="2024"/>
      <c r="D282" s="2024"/>
      <c r="E282" s="2024"/>
      <c r="F282" s="2024"/>
      <c r="G282" s="2024"/>
      <c r="H282" s="2024"/>
      <c r="I282" s="2024"/>
      <c r="J282" s="2024"/>
    </row>
    <row r="283" spans="2:10">
      <c r="B283" s="12" t="s">
        <v>332</v>
      </c>
    </row>
    <row r="284" spans="2:10">
      <c r="B284" s="62" t="s">
        <v>269</v>
      </c>
    </row>
    <row r="285" spans="2:10">
      <c r="B285" s="64"/>
    </row>
    <row r="286" spans="2:10">
      <c r="B286" s="61"/>
      <c r="C286" s="60">
        <v>2014</v>
      </c>
      <c r="D286" s="60">
        <v>2015</v>
      </c>
      <c r="E286" s="60">
        <v>2016</v>
      </c>
      <c r="F286" s="60">
        <v>2017</v>
      </c>
      <c r="G286" s="60">
        <v>2018</v>
      </c>
      <c r="H286" s="60">
        <v>2019</v>
      </c>
      <c r="I286" s="60">
        <v>2020</v>
      </c>
      <c r="J286" s="60">
        <v>2021</v>
      </c>
    </row>
    <row r="287" spans="2:10">
      <c r="B287" s="114" t="s">
        <v>310</v>
      </c>
      <c r="C287" s="528"/>
      <c r="D287" s="528"/>
      <c r="E287" s="528"/>
      <c r="F287" s="528"/>
      <c r="G287" s="528"/>
      <c r="H287" s="528"/>
      <c r="I287" s="528"/>
      <c r="J287" s="528"/>
    </row>
    <row r="288" spans="2:10">
      <c r="B288" s="114"/>
      <c r="C288" s="528"/>
      <c r="D288" s="528"/>
      <c r="E288" s="528"/>
      <c r="F288" s="528"/>
      <c r="G288" s="528"/>
      <c r="H288" s="528"/>
      <c r="I288" s="528"/>
      <c r="J288" s="528"/>
    </row>
    <row r="289" spans="2:10">
      <c r="B289" s="59" t="s">
        <v>940</v>
      </c>
      <c r="C289" s="528"/>
      <c r="D289" s="528"/>
      <c r="E289" s="528"/>
      <c r="F289" s="528"/>
      <c r="G289" s="528"/>
      <c r="H289" s="528"/>
      <c r="I289" s="528"/>
      <c r="J289" s="528"/>
    </row>
    <row r="290" spans="2:10">
      <c r="B290" s="71" t="s">
        <v>331</v>
      </c>
      <c r="C290" s="3">
        <v>172</v>
      </c>
      <c r="D290" s="3">
        <v>181</v>
      </c>
      <c r="E290" s="3">
        <v>187</v>
      </c>
      <c r="F290" s="3">
        <v>197</v>
      </c>
      <c r="G290" s="3">
        <v>214</v>
      </c>
      <c r="H290" s="3">
        <v>233</v>
      </c>
      <c r="I290" s="3">
        <v>269</v>
      </c>
      <c r="J290" s="3">
        <v>316</v>
      </c>
    </row>
    <row r="291" spans="2:10">
      <c r="B291" s="133" t="s">
        <v>330</v>
      </c>
      <c r="C291" s="3">
        <v>172</v>
      </c>
      <c r="D291" s="3">
        <v>181</v>
      </c>
      <c r="E291" s="3">
        <v>187</v>
      </c>
      <c r="F291" s="3">
        <v>197</v>
      </c>
      <c r="G291" s="3">
        <v>214</v>
      </c>
      <c r="H291" s="3">
        <v>233</v>
      </c>
      <c r="I291" s="3">
        <v>269</v>
      </c>
      <c r="J291" s="3">
        <v>316</v>
      </c>
    </row>
    <row r="292" spans="2:10">
      <c r="B292" s="52" t="s">
        <v>260</v>
      </c>
      <c r="C292" s="3">
        <v>130</v>
      </c>
      <c r="D292" s="3">
        <v>133</v>
      </c>
      <c r="E292" s="3">
        <v>134</v>
      </c>
      <c r="F292" s="3">
        <v>133</v>
      </c>
      <c r="G292" s="3">
        <v>131</v>
      </c>
      <c r="H292" s="3">
        <v>131</v>
      </c>
      <c r="I292" s="3">
        <v>139</v>
      </c>
      <c r="J292" s="3">
        <v>141</v>
      </c>
    </row>
    <row r="293" spans="2:10">
      <c r="B293" s="52" t="s">
        <v>329</v>
      </c>
      <c r="C293" s="3">
        <v>1</v>
      </c>
      <c r="D293" s="3">
        <v>1</v>
      </c>
      <c r="E293" s="3">
        <v>1</v>
      </c>
      <c r="F293" s="3">
        <v>1</v>
      </c>
      <c r="G293" s="3">
        <v>1</v>
      </c>
      <c r="H293" s="3">
        <v>1</v>
      </c>
      <c r="I293" s="3">
        <v>1</v>
      </c>
      <c r="J293" s="3">
        <v>1</v>
      </c>
    </row>
    <row r="294" spans="2:10">
      <c r="B294" s="52" t="s">
        <v>328</v>
      </c>
      <c r="C294" s="3">
        <v>41</v>
      </c>
      <c r="D294" s="3">
        <v>47</v>
      </c>
      <c r="E294" s="3">
        <v>52</v>
      </c>
      <c r="F294" s="3">
        <v>63</v>
      </c>
      <c r="G294" s="3">
        <v>82</v>
      </c>
      <c r="H294" s="3">
        <v>101</v>
      </c>
      <c r="I294" s="3">
        <v>129</v>
      </c>
      <c r="J294" s="3">
        <v>174</v>
      </c>
    </row>
    <row r="295" spans="2:10">
      <c r="B295" s="136" t="s">
        <v>327</v>
      </c>
      <c r="C295" s="3">
        <v>1</v>
      </c>
      <c r="D295" s="3">
        <v>1</v>
      </c>
      <c r="E295" s="3">
        <v>1</v>
      </c>
      <c r="F295" s="3">
        <v>1</v>
      </c>
      <c r="G295" s="3">
        <v>1</v>
      </c>
      <c r="H295" s="3">
        <v>1</v>
      </c>
      <c r="I295" s="3">
        <v>1</v>
      </c>
      <c r="J295" s="3">
        <v>1</v>
      </c>
    </row>
    <row r="296" spans="2:10">
      <c r="B296" s="136" t="s">
        <v>326</v>
      </c>
      <c r="C296" s="3">
        <v>0</v>
      </c>
      <c r="D296" s="3">
        <v>0</v>
      </c>
      <c r="E296" s="3">
        <v>0</v>
      </c>
      <c r="F296" s="3">
        <v>0</v>
      </c>
      <c r="G296" s="3">
        <v>0</v>
      </c>
      <c r="H296" s="3">
        <v>0</v>
      </c>
      <c r="I296" s="3">
        <v>0</v>
      </c>
      <c r="J296" s="3">
        <v>0</v>
      </c>
    </row>
    <row r="297" spans="2:10">
      <c r="B297" s="136" t="s">
        <v>325</v>
      </c>
      <c r="C297" s="3">
        <v>3</v>
      </c>
      <c r="D297" s="3">
        <v>3</v>
      </c>
      <c r="E297" s="3">
        <v>3</v>
      </c>
      <c r="F297" s="3">
        <v>2</v>
      </c>
      <c r="G297" s="3">
        <v>2</v>
      </c>
      <c r="H297" s="3">
        <v>2</v>
      </c>
      <c r="I297" s="3">
        <v>2</v>
      </c>
      <c r="J297" s="3">
        <v>2</v>
      </c>
    </row>
    <row r="298" spans="2:10">
      <c r="B298" s="136" t="s">
        <v>323</v>
      </c>
      <c r="C298" s="3">
        <v>37</v>
      </c>
      <c r="D298" s="3">
        <v>43</v>
      </c>
      <c r="E298" s="3">
        <v>48</v>
      </c>
      <c r="F298" s="3">
        <v>60</v>
      </c>
      <c r="G298" s="3">
        <v>79</v>
      </c>
      <c r="H298" s="3">
        <v>98</v>
      </c>
      <c r="I298" s="3">
        <v>126</v>
      </c>
      <c r="J298" s="3">
        <v>171</v>
      </c>
    </row>
    <row r="299" spans="2:10">
      <c r="B299" s="136" t="s">
        <v>117</v>
      </c>
      <c r="C299" s="3">
        <v>0</v>
      </c>
      <c r="D299" s="3">
        <v>0</v>
      </c>
      <c r="E299" s="3">
        <v>0</v>
      </c>
      <c r="F299" s="3">
        <v>0</v>
      </c>
      <c r="G299" s="3">
        <v>0</v>
      </c>
      <c r="H299" s="3">
        <v>0</v>
      </c>
      <c r="I299" s="3">
        <v>0</v>
      </c>
      <c r="J299" s="3">
        <v>0</v>
      </c>
    </row>
    <row r="300" spans="2:10">
      <c r="B300" s="133" t="s">
        <v>322</v>
      </c>
      <c r="C300" s="3">
        <v>0</v>
      </c>
      <c r="D300" s="3">
        <v>0</v>
      </c>
      <c r="E300" s="3">
        <v>0</v>
      </c>
      <c r="F300" s="3">
        <v>0</v>
      </c>
      <c r="G300" s="3">
        <v>0</v>
      </c>
      <c r="H300" s="3">
        <v>0</v>
      </c>
      <c r="I300" s="3">
        <v>0</v>
      </c>
      <c r="J300" s="3">
        <v>0</v>
      </c>
    </row>
    <row r="301" spans="2:10">
      <c r="B301" s="133"/>
      <c r="C301" s="3"/>
      <c r="D301" s="3"/>
      <c r="E301" s="3"/>
      <c r="F301" s="3"/>
      <c r="G301" s="3"/>
      <c r="H301" s="3"/>
      <c r="I301" s="3"/>
      <c r="J301" s="3"/>
    </row>
    <row r="302" spans="2:10" ht="15">
      <c r="B302" s="59" t="s">
        <v>941</v>
      </c>
      <c r="C302" s="3"/>
      <c r="D302" s="3"/>
      <c r="E302" s="3"/>
      <c r="F302" s="3"/>
      <c r="G302" s="3"/>
      <c r="H302" s="3"/>
      <c r="I302" s="3"/>
      <c r="J302" s="3"/>
    </row>
    <row r="303" spans="2:10">
      <c r="B303" s="71" t="s">
        <v>331</v>
      </c>
      <c r="C303" s="3">
        <v>0</v>
      </c>
      <c r="D303" s="3">
        <v>0</v>
      </c>
      <c r="E303" s="3">
        <v>0</v>
      </c>
      <c r="F303" s="3">
        <v>0</v>
      </c>
      <c r="G303" s="3">
        <v>0</v>
      </c>
      <c r="H303" s="3">
        <v>0</v>
      </c>
      <c r="I303" s="3">
        <v>0</v>
      </c>
      <c r="J303" s="3">
        <v>0</v>
      </c>
    </row>
    <row r="304" spans="2:10">
      <c r="B304" s="133" t="s">
        <v>330</v>
      </c>
      <c r="C304" s="3">
        <v>0</v>
      </c>
      <c r="D304" s="3">
        <v>0</v>
      </c>
      <c r="E304" s="3">
        <v>0</v>
      </c>
      <c r="F304" s="3">
        <v>0</v>
      </c>
      <c r="G304" s="3">
        <v>0</v>
      </c>
      <c r="H304" s="3">
        <v>0</v>
      </c>
      <c r="I304" s="3">
        <v>0</v>
      </c>
      <c r="J304" s="3">
        <v>0</v>
      </c>
    </row>
    <row r="305" spans="2:10">
      <c r="B305" s="52" t="s">
        <v>260</v>
      </c>
      <c r="C305" s="3">
        <v>0</v>
      </c>
      <c r="D305" s="3">
        <v>0</v>
      </c>
      <c r="E305" s="3">
        <v>0</v>
      </c>
      <c r="F305" s="3">
        <v>0</v>
      </c>
      <c r="G305" s="3">
        <v>0</v>
      </c>
      <c r="H305" s="3">
        <v>0</v>
      </c>
      <c r="I305" s="3">
        <v>0</v>
      </c>
      <c r="J305" s="3">
        <v>0</v>
      </c>
    </row>
    <row r="306" spans="2:10">
      <c r="B306" s="52" t="s">
        <v>329</v>
      </c>
      <c r="C306" s="3">
        <v>0</v>
      </c>
      <c r="D306" s="3">
        <v>0</v>
      </c>
      <c r="E306" s="3">
        <v>0</v>
      </c>
      <c r="F306" s="3">
        <v>0</v>
      </c>
      <c r="G306" s="3">
        <v>0</v>
      </c>
      <c r="H306" s="3">
        <v>0</v>
      </c>
      <c r="I306" s="3">
        <v>0</v>
      </c>
      <c r="J306" s="3">
        <v>0</v>
      </c>
    </row>
    <row r="307" spans="2:10">
      <c r="B307" s="52" t="s">
        <v>328</v>
      </c>
      <c r="C307" s="3">
        <v>0</v>
      </c>
      <c r="D307" s="3">
        <v>0</v>
      </c>
      <c r="E307" s="3">
        <v>0</v>
      </c>
      <c r="F307" s="3">
        <v>0</v>
      </c>
      <c r="G307" s="3">
        <v>0</v>
      </c>
      <c r="H307" s="3">
        <v>0</v>
      </c>
      <c r="I307" s="3">
        <v>0</v>
      </c>
      <c r="J307" s="3">
        <v>0</v>
      </c>
    </row>
    <row r="308" spans="2:10">
      <c r="B308" s="136" t="s">
        <v>327</v>
      </c>
      <c r="C308" s="3">
        <v>0</v>
      </c>
      <c r="D308" s="3">
        <v>0</v>
      </c>
      <c r="E308" s="3">
        <v>0</v>
      </c>
      <c r="F308" s="3">
        <v>0</v>
      </c>
      <c r="G308" s="3">
        <v>0</v>
      </c>
      <c r="H308" s="3">
        <v>0</v>
      </c>
      <c r="I308" s="3">
        <v>0</v>
      </c>
      <c r="J308" s="3">
        <v>0</v>
      </c>
    </row>
    <row r="309" spans="2:10">
      <c r="B309" s="136" t="s">
        <v>326</v>
      </c>
      <c r="C309" s="3">
        <v>0</v>
      </c>
      <c r="D309" s="3">
        <v>0</v>
      </c>
      <c r="E309" s="3">
        <v>0</v>
      </c>
      <c r="F309" s="3">
        <v>0</v>
      </c>
      <c r="G309" s="3">
        <v>0</v>
      </c>
      <c r="H309" s="3">
        <v>0</v>
      </c>
      <c r="I309" s="3">
        <v>0</v>
      </c>
      <c r="J309" s="3">
        <v>0</v>
      </c>
    </row>
    <row r="310" spans="2:10">
      <c r="B310" s="136" t="s">
        <v>325</v>
      </c>
      <c r="C310" s="3">
        <v>0</v>
      </c>
      <c r="D310" s="3">
        <v>0</v>
      </c>
      <c r="E310" s="3">
        <v>0</v>
      </c>
      <c r="F310" s="3">
        <v>0</v>
      </c>
      <c r="G310" s="3">
        <v>0</v>
      </c>
      <c r="H310" s="3">
        <v>0</v>
      </c>
      <c r="I310" s="3">
        <v>0</v>
      </c>
      <c r="J310" s="3">
        <v>0</v>
      </c>
    </row>
    <row r="311" spans="2:10">
      <c r="B311" s="136" t="s">
        <v>323</v>
      </c>
      <c r="C311" s="3">
        <v>0</v>
      </c>
      <c r="D311" s="3">
        <v>0</v>
      </c>
      <c r="E311" s="3">
        <v>0</v>
      </c>
      <c r="F311" s="3">
        <v>0</v>
      </c>
      <c r="G311" s="3">
        <v>0</v>
      </c>
      <c r="H311" s="3">
        <v>0</v>
      </c>
      <c r="I311" s="3">
        <v>0</v>
      </c>
      <c r="J311" s="3">
        <v>0</v>
      </c>
    </row>
    <row r="312" spans="2:10">
      <c r="B312" s="136" t="s">
        <v>117</v>
      </c>
      <c r="C312" s="3">
        <v>0</v>
      </c>
      <c r="D312" s="3">
        <v>0</v>
      </c>
      <c r="E312" s="3">
        <v>0</v>
      </c>
      <c r="F312" s="3">
        <v>0</v>
      </c>
      <c r="G312" s="3">
        <v>0</v>
      </c>
      <c r="H312" s="3">
        <v>0</v>
      </c>
      <c r="I312" s="3">
        <v>0</v>
      </c>
      <c r="J312" s="3">
        <v>0</v>
      </c>
    </row>
    <row r="313" spans="2:10">
      <c r="B313" s="133" t="s">
        <v>322</v>
      </c>
      <c r="C313" s="3">
        <v>0</v>
      </c>
      <c r="D313" s="3">
        <v>0</v>
      </c>
      <c r="E313" s="3">
        <v>0</v>
      </c>
      <c r="F313" s="3">
        <v>0</v>
      </c>
      <c r="G313" s="3">
        <v>0</v>
      </c>
      <c r="H313" s="3">
        <v>0</v>
      </c>
      <c r="I313" s="3">
        <v>0</v>
      </c>
      <c r="J313" s="3">
        <v>0</v>
      </c>
    </row>
    <row r="314" spans="2:10">
      <c r="B314" s="65"/>
      <c r="C314" s="3"/>
      <c r="D314" s="3"/>
      <c r="E314" s="3"/>
      <c r="F314" s="3"/>
      <c r="G314" s="3"/>
      <c r="H314" s="3"/>
      <c r="I314" s="3"/>
      <c r="J314" s="3"/>
    </row>
    <row r="315" spans="2:10">
      <c r="B315" s="59" t="s">
        <v>942</v>
      </c>
      <c r="C315" s="3"/>
      <c r="D315" s="3"/>
      <c r="E315" s="3"/>
      <c r="F315" s="3"/>
      <c r="G315" s="3"/>
      <c r="H315" s="3"/>
      <c r="I315" s="3"/>
      <c r="J315" s="3"/>
    </row>
    <row r="316" spans="2:10">
      <c r="B316" s="71" t="s">
        <v>331</v>
      </c>
      <c r="C316" s="3">
        <v>76</v>
      </c>
      <c r="D316" s="3">
        <v>77</v>
      </c>
      <c r="E316" s="3">
        <v>80</v>
      </c>
      <c r="F316" s="3">
        <v>72</v>
      </c>
      <c r="G316" s="3">
        <v>75</v>
      </c>
      <c r="H316" s="3">
        <v>81</v>
      </c>
      <c r="I316" s="3">
        <v>82</v>
      </c>
      <c r="J316" s="3">
        <v>83</v>
      </c>
    </row>
    <row r="317" spans="2:10">
      <c r="B317" s="133" t="s">
        <v>330</v>
      </c>
      <c r="C317" s="3">
        <v>76</v>
      </c>
      <c r="D317" s="3">
        <v>77</v>
      </c>
      <c r="E317" s="3">
        <v>80</v>
      </c>
      <c r="F317" s="3">
        <v>72</v>
      </c>
      <c r="G317" s="3">
        <v>75</v>
      </c>
      <c r="H317" s="3">
        <v>81</v>
      </c>
      <c r="I317" s="3">
        <v>82</v>
      </c>
      <c r="J317" s="3">
        <v>83</v>
      </c>
    </row>
    <row r="318" spans="2:10">
      <c r="B318" s="52" t="s">
        <v>260</v>
      </c>
      <c r="C318" s="3">
        <v>76</v>
      </c>
      <c r="D318" s="3">
        <v>77</v>
      </c>
      <c r="E318" s="3">
        <v>80</v>
      </c>
      <c r="F318" s="3">
        <v>72</v>
      </c>
      <c r="G318" s="3">
        <v>75</v>
      </c>
      <c r="H318" s="3">
        <v>81</v>
      </c>
      <c r="I318" s="3">
        <v>82</v>
      </c>
      <c r="J318" s="3">
        <v>83</v>
      </c>
    </row>
    <row r="319" spans="2:10">
      <c r="B319" s="52" t="s">
        <v>329</v>
      </c>
      <c r="C319" s="3">
        <v>0</v>
      </c>
      <c r="D319" s="3">
        <v>0</v>
      </c>
      <c r="E319" s="3">
        <v>0</v>
      </c>
      <c r="F319" s="3">
        <v>0</v>
      </c>
      <c r="G319" s="3">
        <v>0</v>
      </c>
      <c r="H319" s="3">
        <v>0</v>
      </c>
      <c r="I319" s="3">
        <v>0</v>
      </c>
      <c r="J319" s="3">
        <v>0</v>
      </c>
    </row>
    <row r="320" spans="2:10">
      <c r="B320" s="52" t="s">
        <v>328</v>
      </c>
      <c r="C320" s="3">
        <v>0</v>
      </c>
      <c r="D320" s="3">
        <v>0</v>
      </c>
      <c r="E320" s="3">
        <v>0</v>
      </c>
      <c r="F320" s="3">
        <v>0</v>
      </c>
      <c r="G320" s="3">
        <v>0</v>
      </c>
      <c r="H320" s="3">
        <v>0</v>
      </c>
      <c r="I320" s="3">
        <v>0</v>
      </c>
      <c r="J320" s="3">
        <v>0</v>
      </c>
    </row>
    <row r="321" spans="2:10">
      <c r="B321" s="136" t="s">
        <v>327</v>
      </c>
      <c r="C321" s="3">
        <v>0</v>
      </c>
      <c r="D321" s="3">
        <v>0</v>
      </c>
      <c r="E321" s="3">
        <v>0</v>
      </c>
      <c r="F321" s="3">
        <v>0</v>
      </c>
      <c r="G321" s="3">
        <v>0</v>
      </c>
      <c r="H321" s="3">
        <v>0</v>
      </c>
      <c r="I321" s="3">
        <v>0</v>
      </c>
      <c r="J321" s="3">
        <v>0</v>
      </c>
    </row>
    <row r="322" spans="2:10">
      <c r="B322" s="136" t="s">
        <v>326</v>
      </c>
      <c r="C322" s="3">
        <v>0</v>
      </c>
      <c r="D322" s="3">
        <v>0</v>
      </c>
      <c r="E322" s="3">
        <v>0</v>
      </c>
      <c r="F322" s="3">
        <v>0</v>
      </c>
      <c r="G322" s="3">
        <v>0</v>
      </c>
      <c r="H322" s="3">
        <v>0</v>
      </c>
      <c r="I322" s="3">
        <v>0</v>
      </c>
      <c r="J322" s="3">
        <v>0</v>
      </c>
    </row>
    <row r="323" spans="2:10">
      <c r="B323" s="136" t="s">
        <v>325</v>
      </c>
      <c r="C323" s="3">
        <v>0</v>
      </c>
      <c r="D323" s="3">
        <v>0</v>
      </c>
      <c r="E323" s="3">
        <v>0</v>
      </c>
      <c r="F323" s="3">
        <v>0</v>
      </c>
      <c r="G323" s="3">
        <v>0</v>
      </c>
      <c r="H323" s="3">
        <v>0</v>
      </c>
      <c r="I323" s="3">
        <v>0</v>
      </c>
      <c r="J323" s="3">
        <v>0</v>
      </c>
    </row>
    <row r="324" spans="2:10">
      <c r="B324" s="136" t="s">
        <v>323</v>
      </c>
      <c r="C324" s="3">
        <v>0</v>
      </c>
      <c r="D324" s="3">
        <v>0</v>
      </c>
      <c r="E324" s="3">
        <v>0</v>
      </c>
      <c r="F324" s="3">
        <v>0</v>
      </c>
      <c r="G324" s="3">
        <v>0</v>
      </c>
      <c r="H324" s="3">
        <v>0</v>
      </c>
      <c r="I324" s="3">
        <v>0</v>
      </c>
      <c r="J324" s="3">
        <v>0</v>
      </c>
    </row>
    <row r="325" spans="2:10">
      <c r="B325" s="136" t="s">
        <v>117</v>
      </c>
      <c r="C325" s="3">
        <v>0</v>
      </c>
      <c r="D325" s="3">
        <v>0</v>
      </c>
      <c r="E325" s="3">
        <v>0</v>
      </c>
      <c r="F325" s="3">
        <v>0</v>
      </c>
      <c r="G325" s="3">
        <v>0</v>
      </c>
      <c r="H325" s="3">
        <v>0</v>
      </c>
      <c r="I325" s="3">
        <v>0</v>
      </c>
      <c r="J325" s="3">
        <v>0</v>
      </c>
    </row>
    <row r="326" spans="2:10">
      <c r="B326" s="133" t="s">
        <v>322</v>
      </c>
      <c r="C326" s="3">
        <v>0</v>
      </c>
      <c r="D326" s="3">
        <v>0</v>
      </c>
      <c r="E326" s="3">
        <v>0</v>
      </c>
      <c r="F326" s="3">
        <v>0</v>
      </c>
      <c r="G326" s="3">
        <v>0</v>
      </c>
      <c r="H326" s="3">
        <v>0</v>
      </c>
      <c r="I326" s="3">
        <v>0</v>
      </c>
      <c r="J326" s="3">
        <v>0</v>
      </c>
    </row>
    <row r="327" spans="2:10">
      <c r="B327" s="65"/>
      <c r="C327" s="3"/>
      <c r="D327" s="3"/>
      <c r="E327" s="3"/>
      <c r="F327" s="3"/>
      <c r="G327" s="3"/>
      <c r="H327" s="3"/>
      <c r="I327" s="3"/>
      <c r="J327" s="3"/>
    </row>
    <row r="328" spans="2:10">
      <c r="B328" s="114" t="s">
        <v>302</v>
      </c>
      <c r="C328" s="3"/>
      <c r="D328" s="3"/>
      <c r="E328" s="3"/>
      <c r="F328" s="3"/>
      <c r="G328" s="3"/>
      <c r="H328" s="3"/>
      <c r="I328" s="3"/>
      <c r="J328" s="3"/>
    </row>
    <row r="329" spans="2:10">
      <c r="B329" s="114"/>
      <c r="C329" s="3"/>
      <c r="D329" s="3"/>
      <c r="E329" s="3"/>
      <c r="F329" s="3"/>
      <c r="G329" s="3"/>
      <c r="H329" s="3"/>
      <c r="I329" s="3"/>
      <c r="J329" s="3"/>
    </row>
    <row r="330" spans="2:10" ht="15">
      <c r="B330" s="59" t="s">
        <v>941</v>
      </c>
      <c r="C330" s="3"/>
      <c r="D330" s="3"/>
      <c r="E330" s="3"/>
      <c r="F330" s="3"/>
      <c r="G330" s="3"/>
      <c r="H330" s="3"/>
      <c r="I330" s="3"/>
      <c r="J330" s="3"/>
    </row>
    <row r="331" spans="2:10">
      <c r="B331" s="71" t="s">
        <v>331</v>
      </c>
      <c r="C331" s="3">
        <v>102</v>
      </c>
      <c r="D331" s="3">
        <v>101</v>
      </c>
      <c r="E331" s="3">
        <v>101</v>
      </c>
      <c r="F331" s="3">
        <v>97</v>
      </c>
      <c r="G331" s="3">
        <v>96</v>
      </c>
      <c r="H331" s="3">
        <v>102</v>
      </c>
      <c r="I331" s="3">
        <v>102</v>
      </c>
      <c r="J331" s="3">
        <v>104</v>
      </c>
    </row>
    <row r="332" spans="2:10">
      <c r="B332" s="133" t="s">
        <v>330</v>
      </c>
      <c r="C332" s="3">
        <v>102</v>
      </c>
      <c r="D332" s="3">
        <v>101</v>
      </c>
      <c r="E332" s="3">
        <v>101</v>
      </c>
      <c r="F332" s="3">
        <v>97</v>
      </c>
      <c r="G332" s="3">
        <v>96</v>
      </c>
      <c r="H332" s="3">
        <v>102</v>
      </c>
      <c r="I332" s="3">
        <v>102</v>
      </c>
      <c r="J332" s="3">
        <v>104</v>
      </c>
    </row>
    <row r="333" spans="2:10">
      <c r="B333" s="52" t="s">
        <v>260</v>
      </c>
      <c r="C333" s="3">
        <v>88</v>
      </c>
      <c r="D333" s="3">
        <v>88</v>
      </c>
      <c r="E333" s="3">
        <v>87</v>
      </c>
      <c r="F333" s="3">
        <v>86</v>
      </c>
      <c r="G333" s="3">
        <v>85</v>
      </c>
      <c r="H333" s="3">
        <v>82</v>
      </c>
      <c r="I333" s="3">
        <v>83</v>
      </c>
      <c r="J333" s="3">
        <v>85</v>
      </c>
    </row>
    <row r="334" spans="2:10">
      <c r="B334" s="52" t="s">
        <v>329</v>
      </c>
      <c r="C334" s="3">
        <v>0</v>
      </c>
      <c r="D334" s="3">
        <v>0</v>
      </c>
      <c r="E334" s="3">
        <v>0</v>
      </c>
      <c r="F334" s="3">
        <v>0</v>
      </c>
      <c r="G334" s="3">
        <v>0</v>
      </c>
      <c r="H334" s="3">
        <v>0</v>
      </c>
      <c r="I334" s="3">
        <v>0</v>
      </c>
      <c r="J334" s="3">
        <v>0</v>
      </c>
    </row>
    <row r="335" spans="2:10">
      <c r="B335" s="52" t="s">
        <v>328</v>
      </c>
      <c r="C335" s="3">
        <v>14</v>
      </c>
      <c r="D335" s="3">
        <v>13</v>
      </c>
      <c r="E335" s="3">
        <v>14</v>
      </c>
      <c r="F335" s="3">
        <v>11</v>
      </c>
      <c r="G335" s="3">
        <v>11</v>
      </c>
      <c r="H335" s="3">
        <v>20</v>
      </c>
      <c r="I335" s="3">
        <v>19</v>
      </c>
      <c r="J335" s="3">
        <v>19</v>
      </c>
    </row>
    <row r="336" spans="2:10">
      <c r="B336" s="136" t="s">
        <v>327</v>
      </c>
      <c r="C336" s="3">
        <v>0</v>
      </c>
      <c r="D336" s="3">
        <v>0</v>
      </c>
      <c r="E336" s="3">
        <v>0</v>
      </c>
      <c r="F336" s="3">
        <v>0</v>
      </c>
      <c r="G336" s="3">
        <v>0</v>
      </c>
      <c r="H336" s="3">
        <v>0</v>
      </c>
      <c r="I336" s="3">
        <v>0</v>
      </c>
      <c r="J336" s="3">
        <v>0</v>
      </c>
    </row>
    <row r="337" spans="2:10">
      <c r="B337" s="136" t="s">
        <v>326</v>
      </c>
      <c r="C337" s="3">
        <v>0</v>
      </c>
      <c r="D337" s="3">
        <v>0</v>
      </c>
      <c r="E337" s="3">
        <v>0</v>
      </c>
      <c r="F337" s="3">
        <v>0</v>
      </c>
      <c r="G337" s="3">
        <v>0</v>
      </c>
      <c r="H337" s="3">
        <v>0</v>
      </c>
      <c r="I337" s="3">
        <v>0</v>
      </c>
      <c r="J337" s="3">
        <v>0</v>
      </c>
    </row>
    <row r="338" spans="2:10">
      <c r="B338" s="136" t="s">
        <v>325</v>
      </c>
      <c r="C338" s="3">
        <v>0</v>
      </c>
      <c r="D338" s="3">
        <v>0</v>
      </c>
      <c r="E338" s="3">
        <v>0</v>
      </c>
      <c r="F338" s="3">
        <v>0</v>
      </c>
      <c r="G338" s="3">
        <v>0</v>
      </c>
      <c r="H338" s="3">
        <v>0</v>
      </c>
      <c r="I338" s="3">
        <v>0</v>
      </c>
      <c r="J338" s="3">
        <v>0</v>
      </c>
    </row>
    <row r="339" spans="2:10">
      <c r="B339" s="136" t="s">
        <v>323</v>
      </c>
      <c r="C339" s="3">
        <v>14</v>
      </c>
      <c r="D339" s="3">
        <v>13</v>
      </c>
      <c r="E339" s="3">
        <v>14</v>
      </c>
      <c r="F339" s="3">
        <v>11</v>
      </c>
      <c r="G339" s="3">
        <v>11</v>
      </c>
      <c r="H339" s="3">
        <v>20</v>
      </c>
      <c r="I339" s="3">
        <v>19</v>
      </c>
      <c r="J339" s="3">
        <v>19</v>
      </c>
    </row>
    <row r="340" spans="2:10">
      <c r="B340" s="136" t="s">
        <v>117</v>
      </c>
      <c r="C340" s="3">
        <v>0</v>
      </c>
      <c r="D340" s="3">
        <v>0</v>
      </c>
      <c r="E340" s="3">
        <v>0</v>
      </c>
      <c r="F340" s="3">
        <v>0</v>
      </c>
      <c r="G340" s="3">
        <v>0</v>
      </c>
      <c r="H340" s="3">
        <v>0</v>
      </c>
      <c r="I340" s="3">
        <v>0</v>
      </c>
      <c r="J340" s="3">
        <v>0</v>
      </c>
    </row>
    <row r="341" spans="2:10">
      <c r="B341" s="133" t="s">
        <v>322</v>
      </c>
      <c r="C341" s="3">
        <v>0</v>
      </c>
      <c r="D341" s="3">
        <v>0</v>
      </c>
      <c r="E341" s="3">
        <v>0</v>
      </c>
      <c r="F341" s="3">
        <v>0</v>
      </c>
      <c r="G341" s="3">
        <v>0</v>
      </c>
      <c r="H341" s="3">
        <v>0</v>
      </c>
      <c r="I341" s="3">
        <v>0</v>
      </c>
      <c r="J341" s="3">
        <v>0</v>
      </c>
    </row>
    <row r="342" spans="2:10">
      <c r="B342" s="133"/>
      <c r="C342" s="3"/>
      <c r="D342" s="3"/>
      <c r="E342" s="3"/>
      <c r="F342" s="3"/>
      <c r="G342" s="3"/>
      <c r="H342" s="3"/>
      <c r="I342" s="3"/>
      <c r="J342" s="3"/>
    </row>
    <row r="343" spans="2:10">
      <c r="B343" s="59" t="s">
        <v>943</v>
      </c>
      <c r="C343" s="3"/>
      <c r="D343" s="3"/>
      <c r="E343" s="3"/>
      <c r="F343" s="3"/>
      <c r="G343" s="3"/>
      <c r="H343" s="3"/>
      <c r="I343" s="3"/>
      <c r="J343" s="3"/>
    </row>
    <row r="344" spans="2:10">
      <c r="B344" s="71" t="s">
        <v>331</v>
      </c>
      <c r="C344" s="3">
        <v>129</v>
      </c>
      <c r="D344" s="3">
        <v>119</v>
      </c>
      <c r="E344" s="3">
        <v>118</v>
      </c>
      <c r="F344" s="3">
        <v>111</v>
      </c>
      <c r="G344" s="3">
        <v>103</v>
      </c>
      <c r="H344" s="3">
        <v>100</v>
      </c>
      <c r="I344" s="3">
        <v>97</v>
      </c>
      <c r="J344" s="3">
        <v>98</v>
      </c>
    </row>
    <row r="345" spans="2:10">
      <c r="B345" s="133" t="s">
        <v>330</v>
      </c>
      <c r="C345" s="3">
        <v>129</v>
      </c>
      <c r="D345" s="3">
        <v>119</v>
      </c>
      <c r="E345" s="3">
        <v>118</v>
      </c>
      <c r="F345" s="3">
        <v>111</v>
      </c>
      <c r="G345" s="3">
        <v>103</v>
      </c>
      <c r="H345" s="3">
        <v>100</v>
      </c>
      <c r="I345" s="3">
        <v>97</v>
      </c>
      <c r="J345" s="3">
        <v>98</v>
      </c>
    </row>
    <row r="346" spans="2:10">
      <c r="B346" s="52" t="s">
        <v>260</v>
      </c>
      <c r="C346" s="3">
        <v>115</v>
      </c>
      <c r="D346" s="3">
        <v>106</v>
      </c>
      <c r="E346" s="3">
        <v>104</v>
      </c>
      <c r="F346" s="3">
        <v>101</v>
      </c>
      <c r="G346" s="3">
        <v>92</v>
      </c>
      <c r="H346" s="3">
        <v>88</v>
      </c>
      <c r="I346" s="3">
        <v>84</v>
      </c>
      <c r="J346" s="3">
        <v>84</v>
      </c>
    </row>
    <row r="347" spans="2:10">
      <c r="B347" s="52" t="s">
        <v>329</v>
      </c>
      <c r="C347" s="3">
        <v>0</v>
      </c>
      <c r="D347" s="3">
        <v>0</v>
      </c>
      <c r="E347" s="3">
        <v>0</v>
      </c>
      <c r="F347" s="3">
        <v>0</v>
      </c>
      <c r="G347" s="3">
        <v>0</v>
      </c>
      <c r="H347" s="3">
        <v>0</v>
      </c>
      <c r="I347" s="3">
        <v>0</v>
      </c>
      <c r="J347" s="3">
        <v>0</v>
      </c>
    </row>
    <row r="348" spans="2:10">
      <c r="B348" s="52" t="s">
        <v>328</v>
      </c>
      <c r="C348" s="3">
        <v>14</v>
      </c>
      <c r="D348" s="3">
        <v>13</v>
      </c>
      <c r="E348" s="3">
        <v>14</v>
      </c>
      <c r="F348" s="3">
        <v>10</v>
      </c>
      <c r="G348" s="3">
        <v>11</v>
      </c>
      <c r="H348" s="3">
        <v>12</v>
      </c>
      <c r="I348" s="3">
        <v>13</v>
      </c>
      <c r="J348" s="3">
        <v>14</v>
      </c>
    </row>
    <row r="349" spans="2:10">
      <c r="B349" s="136" t="s">
        <v>327</v>
      </c>
      <c r="C349" s="3">
        <v>0</v>
      </c>
      <c r="D349" s="3">
        <v>0</v>
      </c>
      <c r="E349" s="3">
        <v>0</v>
      </c>
      <c r="F349" s="3">
        <v>0</v>
      </c>
      <c r="G349" s="3">
        <v>0</v>
      </c>
      <c r="H349" s="3">
        <v>0</v>
      </c>
      <c r="I349" s="3">
        <v>0</v>
      </c>
      <c r="J349" s="3">
        <v>0</v>
      </c>
    </row>
    <row r="350" spans="2:10">
      <c r="B350" s="136" t="s">
        <v>326</v>
      </c>
      <c r="C350" s="3">
        <v>0</v>
      </c>
      <c r="D350" s="3">
        <v>0</v>
      </c>
      <c r="E350" s="3">
        <v>0</v>
      </c>
      <c r="F350" s="3">
        <v>0</v>
      </c>
      <c r="G350" s="3">
        <v>0</v>
      </c>
      <c r="H350" s="3">
        <v>0</v>
      </c>
      <c r="I350" s="3">
        <v>0</v>
      </c>
      <c r="J350" s="3">
        <v>0</v>
      </c>
    </row>
    <row r="351" spans="2:10">
      <c r="B351" s="136" t="s">
        <v>325</v>
      </c>
      <c r="C351" s="3">
        <v>0</v>
      </c>
      <c r="D351" s="3">
        <v>0</v>
      </c>
      <c r="E351" s="3">
        <v>0</v>
      </c>
      <c r="F351" s="3">
        <v>0</v>
      </c>
      <c r="G351" s="3">
        <v>0</v>
      </c>
      <c r="H351" s="3">
        <v>0</v>
      </c>
      <c r="I351" s="3">
        <v>0</v>
      </c>
      <c r="J351" s="3">
        <v>0</v>
      </c>
    </row>
    <row r="352" spans="2:10">
      <c r="B352" s="136" t="s">
        <v>323</v>
      </c>
      <c r="C352" s="3">
        <v>14</v>
      </c>
      <c r="D352" s="3">
        <v>13</v>
      </c>
      <c r="E352" s="3">
        <v>14</v>
      </c>
      <c r="F352" s="3">
        <v>10</v>
      </c>
      <c r="G352" s="3">
        <v>11</v>
      </c>
      <c r="H352" s="3">
        <v>12</v>
      </c>
      <c r="I352" s="3">
        <v>13</v>
      </c>
      <c r="J352" s="3">
        <v>14</v>
      </c>
    </row>
    <row r="353" spans="2:10">
      <c r="B353" s="136" t="s">
        <v>117</v>
      </c>
      <c r="C353" s="3">
        <v>0</v>
      </c>
      <c r="D353" s="3">
        <v>0</v>
      </c>
      <c r="E353" s="3">
        <v>0</v>
      </c>
      <c r="F353" s="3">
        <v>0</v>
      </c>
      <c r="G353" s="3">
        <v>0</v>
      </c>
      <c r="H353" s="3">
        <v>0</v>
      </c>
      <c r="I353" s="3">
        <v>0</v>
      </c>
      <c r="J353" s="3">
        <v>0</v>
      </c>
    </row>
    <row r="354" spans="2:10">
      <c r="B354" s="133" t="s">
        <v>322</v>
      </c>
      <c r="C354" s="3">
        <v>0</v>
      </c>
      <c r="D354" s="3">
        <v>0</v>
      </c>
      <c r="E354" s="3">
        <v>0</v>
      </c>
      <c r="F354" s="3">
        <v>0</v>
      </c>
      <c r="G354" s="3">
        <v>0</v>
      </c>
      <c r="H354" s="3">
        <v>0</v>
      </c>
      <c r="I354" s="3">
        <v>0</v>
      </c>
      <c r="J354" s="3">
        <v>0</v>
      </c>
    </row>
    <row r="355" spans="2:10">
      <c r="B355" s="54"/>
      <c r="C355" s="3"/>
      <c r="D355" s="3"/>
      <c r="E355" s="3"/>
      <c r="F355" s="3"/>
      <c r="G355" s="3"/>
      <c r="H355" s="3"/>
      <c r="I355" s="3"/>
      <c r="J355" s="3"/>
    </row>
    <row r="356" spans="2:10">
      <c r="B356" s="59" t="s">
        <v>944</v>
      </c>
      <c r="C356" s="3"/>
      <c r="D356" s="3"/>
      <c r="E356" s="3"/>
      <c r="F356" s="3"/>
      <c r="G356" s="3"/>
      <c r="H356" s="3"/>
      <c r="I356" s="3"/>
      <c r="J356" s="3"/>
    </row>
    <row r="357" spans="2:10">
      <c r="B357" s="71" t="s">
        <v>331</v>
      </c>
      <c r="C357" s="3">
        <v>122</v>
      </c>
      <c r="D357" s="3">
        <v>122</v>
      </c>
      <c r="E357" s="3">
        <v>120</v>
      </c>
      <c r="F357" s="3">
        <v>113</v>
      </c>
      <c r="G357" s="3">
        <v>111</v>
      </c>
      <c r="H357" s="3">
        <v>122</v>
      </c>
      <c r="I357" s="3">
        <v>126</v>
      </c>
      <c r="J357" s="3">
        <v>133</v>
      </c>
    </row>
    <row r="358" spans="2:10">
      <c r="B358" s="133" t="s">
        <v>330</v>
      </c>
      <c r="C358" s="3">
        <v>122</v>
      </c>
      <c r="D358" s="3">
        <v>122</v>
      </c>
      <c r="E358" s="3">
        <v>120</v>
      </c>
      <c r="F358" s="3">
        <v>113</v>
      </c>
      <c r="G358" s="3">
        <v>111</v>
      </c>
      <c r="H358" s="3">
        <v>122</v>
      </c>
      <c r="I358" s="3">
        <v>126</v>
      </c>
      <c r="J358" s="3">
        <v>133</v>
      </c>
    </row>
    <row r="359" spans="2:10">
      <c r="B359" s="52" t="s">
        <v>260</v>
      </c>
      <c r="C359" s="3">
        <v>107</v>
      </c>
      <c r="D359" s="3">
        <v>107</v>
      </c>
      <c r="E359" s="3">
        <v>105</v>
      </c>
      <c r="F359" s="3">
        <v>102</v>
      </c>
      <c r="G359" s="3">
        <v>95</v>
      </c>
      <c r="H359" s="3">
        <v>92</v>
      </c>
      <c r="I359" s="3">
        <v>96</v>
      </c>
      <c r="J359" s="3">
        <v>98</v>
      </c>
    </row>
    <row r="360" spans="2:10">
      <c r="B360" s="52" t="s">
        <v>329</v>
      </c>
      <c r="C360" s="3">
        <v>0</v>
      </c>
      <c r="D360" s="3">
        <v>0</v>
      </c>
      <c r="E360" s="3">
        <v>0</v>
      </c>
      <c r="F360" s="3">
        <v>0</v>
      </c>
      <c r="G360" s="3">
        <v>0</v>
      </c>
      <c r="H360" s="3">
        <v>0</v>
      </c>
      <c r="I360" s="3">
        <v>0</v>
      </c>
      <c r="J360" s="3">
        <v>0</v>
      </c>
    </row>
    <row r="361" spans="2:10">
      <c r="B361" s="52" t="s">
        <v>328</v>
      </c>
      <c r="C361" s="3">
        <v>15</v>
      </c>
      <c r="D361" s="3">
        <v>15</v>
      </c>
      <c r="E361" s="3">
        <v>15</v>
      </c>
      <c r="F361" s="3">
        <v>11</v>
      </c>
      <c r="G361" s="3">
        <v>16</v>
      </c>
      <c r="H361" s="3">
        <v>30</v>
      </c>
      <c r="I361" s="3">
        <v>30</v>
      </c>
      <c r="J361" s="3">
        <v>35</v>
      </c>
    </row>
    <row r="362" spans="2:10">
      <c r="B362" s="136" t="s">
        <v>327</v>
      </c>
      <c r="C362" s="3">
        <v>0</v>
      </c>
      <c r="D362" s="3">
        <v>0</v>
      </c>
      <c r="E362" s="3">
        <v>0</v>
      </c>
      <c r="F362" s="3">
        <v>0</v>
      </c>
      <c r="G362" s="3">
        <v>0</v>
      </c>
      <c r="H362" s="3">
        <v>0</v>
      </c>
      <c r="I362" s="3">
        <v>0</v>
      </c>
      <c r="J362" s="3">
        <v>0</v>
      </c>
    </row>
    <row r="363" spans="2:10">
      <c r="B363" s="136" t="s">
        <v>326</v>
      </c>
      <c r="C363" s="3">
        <v>0</v>
      </c>
      <c r="D363" s="3">
        <v>0</v>
      </c>
      <c r="E363" s="3">
        <v>0</v>
      </c>
      <c r="F363" s="3">
        <v>0</v>
      </c>
      <c r="G363" s="3">
        <v>0</v>
      </c>
      <c r="H363" s="3">
        <v>0</v>
      </c>
      <c r="I363" s="3">
        <v>0</v>
      </c>
      <c r="J363" s="3">
        <v>0</v>
      </c>
    </row>
    <row r="364" spans="2:10">
      <c r="B364" s="136" t="s">
        <v>325</v>
      </c>
      <c r="C364" s="3">
        <v>0</v>
      </c>
      <c r="D364" s="3">
        <v>0</v>
      </c>
      <c r="E364" s="3">
        <v>0</v>
      </c>
      <c r="F364" s="3">
        <v>0</v>
      </c>
      <c r="G364" s="3">
        <v>0</v>
      </c>
      <c r="H364" s="3">
        <v>0</v>
      </c>
      <c r="I364" s="3">
        <v>0</v>
      </c>
      <c r="J364" s="3">
        <v>0</v>
      </c>
    </row>
    <row r="365" spans="2:10">
      <c r="B365" s="136" t="s">
        <v>323</v>
      </c>
      <c r="C365" s="3">
        <v>15</v>
      </c>
      <c r="D365" s="3">
        <v>15</v>
      </c>
      <c r="E365" s="3">
        <v>15</v>
      </c>
      <c r="F365" s="3">
        <v>11</v>
      </c>
      <c r="G365" s="3">
        <v>16</v>
      </c>
      <c r="H365" s="3">
        <v>30</v>
      </c>
      <c r="I365" s="3">
        <v>30</v>
      </c>
      <c r="J365" s="3">
        <v>35</v>
      </c>
    </row>
    <row r="366" spans="2:10">
      <c r="B366" s="136" t="s">
        <v>117</v>
      </c>
      <c r="C366" s="3">
        <v>0</v>
      </c>
      <c r="D366" s="3">
        <v>0</v>
      </c>
      <c r="E366" s="3">
        <v>0</v>
      </c>
      <c r="F366" s="3">
        <v>0</v>
      </c>
      <c r="G366" s="3">
        <v>0</v>
      </c>
      <c r="H366" s="3">
        <v>0</v>
      </c>
      <c r="I366" s="3">
        <v>0</v>
      </c>
      <c r="J366" s="3">
        <v>0</v>
      </c>
    </row>
    <row r="367" spans="2:10">
      <c r="B367" s="133" t="s">
        <v>322</v>
      </c>
      <c r="C367" s="3">
        <v>0</v>
      </c>
      <c r="D367" s="3">
        <v>0</v>
      </c>
      <c r="E367" s="3">
        <v>0</v>
      </c>
      <c r="F367" s="3">
        <v>0</v>
      </c>
      <c r="G367" s="3">
        <v>0</v>
      </c>
      <c r="H367" s="3">
        <v>0</v>
      </c>
      <c r="I367" s="3">
        <v>0</v>
      </c>
      <c r="J367" s="3">
        <v>0</v>
      </c>
    </row>
    <row r="368" spans="2:10">
      <c r="B368" s="133"/>
      <c r="C368" s="3"/>
      <c r="D368" s="3"/>
      <c r="E368" s="3"/>
      <c r="F368" s="3"/>
      <c r="G368" s="3"/>
      <c r="H368" s="3"/>
      <c r="I368" s="3"/>
      <c r="J368" s="3"/>
    </row>
    <row r="369" spans="2:10">
      <c r="B369" s="59" t="s">
        <v>945</v>
      </c>
      <c r="C369" s="3"/>
      <c r="D369" s="3"/>
      <c r="E369" s="3"/>
      <c r="F369" s="3"/>
      <c r="G369" s="3"/>
      <c r="H369" s="3"/>
      <c r="I369" s="3"/>
      <c r="J369" s="3"/>
    </row>
    <row r="370" spans="2:10">
      <c r="B370" s="71" t="s">
        <v>331</v>
      </c>
      <c r="C370" s="3"/>
      <c r="D370" s="3"/>
      <c r="E370" s="3"/>
      <c r="F370" s="3"/>
      <c r="G370" s="3"/>
      <c r="H370" s="3"/>
      <c r="I370" s="3">
        <v>734</v>
      </c>
      <c r="J370" s="3">
        <v>766</v>
      </c>
    </row>
    <row r="371" spans="2:10">
      <c r="B371" s="133" t="s">
        <v>330</v>
      </c>
      <c r="C371" s="3"/>
      <c r="D371" s="3"/>
      <c r="E371" s="3"/>
      <c r="F371" s="3"/>
      <c r="G371" s="3"/>
      <c r="H371" s="3"/>
      <c r="I371" s="3">
        <v>90</v>
      </c>
      <c r="J371" s="3">
        <v>111</v>
      </c>
    </row>
    <row r="372" spans="2:10">
      <c r="B372" s="52" t="s">
        <v>260</v>
      </c>
      <c r="C372" s="3"/>
      <c r="D372" s="3"/>
      <c r="E372" s="3"/>
      <c r="F372" s="3"/>
      <c r="G372" s="3"/>
      <c r="H372" s="3"/>
      <c r="I372" s="3">
        <v>53</v>
      </c>
      <c r="J372" s="3">
        <v>62</v>
      </c>
    </row>
    <row r="373" spans="2:10">
      <c r="B373" s="52" t="s">
        <v>329</v>
      </c>
      <c r="C373" s="3"/>
      <c r="D373" s="3"/>
      <c r="E373" s="3"/>
      <c r="F373" s="3"/>
      <c r="G373" s="3"/>
      <c r="H373" s="3"/>
      <c r="I373" s="3">
        <v>0</v>
      </c>
      <c r="J373" s="3">
        <v>0</v>
      </c>
    </row>
    <row r="374" spans="2:10">
      <c r="B374" s="52" t="s">
        <v>328</v>
      </c>
      <c r="C374" s="3"/>
      <c r="D374" s="3"/>
      <c r="E374" s="3"/>
      <c r="F374" s="3"/>
      <c r="G374" s="3"/>
      <c r="H374" s="3"/>
      <c r="I374" s="3">
        <v>37</v>
      </c>
      <c r="J374" s="3">
        <v>49</v>
      </c>
    </row>
    <row r="375" spans="2:10">
      <c r="B375" s="136" t="s">
        <v>327</v>
      </c>
      <c r="C375" s="3"/>
      <c r="D375" s="3"/>
      <c r="E375" s="3"/>
      <c r="F375" s="3"/>
      <c r="G375" s="3"/>
      <c r="H375" s="3"/>
      <c r="I375" s="3">
        <v>1</v>
      </c>
      <c r="J375" s="3">
        <v>1</v>
      </c>
    </row>
    <row r="376" spans="2:10">
      <c r="B376" s="136" t="s">
        <v>326</v>
      </c>
      <c r="C376" s="3"/>
      <c r="D376" s="3"/>
      <c r="E376" s="3"/>
      <c r="F376" s="3"/>
      <c r="G376" s="3"/>
      <c r="H376" s="3"/>
      <c r="I376" s="3">
        <v>0</v>
      </c>
      <c r="J376" s="3">
        <v>0</v>
      </c>
    </row>
    <row r="377" spans="2:10">
      <c r="B377" s="136" t="s">
        <v>325</v>
      </c>
      <c r="C377" s="3"/>
      <c r="D377" s="3"/>
      <c r="E377" s="3"/>
      <c r="F377" s="3"/>
      <c r="G377" s="3"/>
      <c r="H377" s="3"/>
      <c r="I377" s="3">
        <v>0</v>
      </c>
      <c r="J377" s="3">
        <v>0</v>
      </c>
    </row>
    <row r="378" spans="2:10">
      <c r="B378" s="136" t="s">
        <v>323</v>
      </c>
      <c r="C378" s="3"/>
      <c r="D378" s="3"/>
      <c r="E378" s="3"/>
      <c r="F378" s="3"/>
      <c r="G378" s="3"/>
      <c r="H378" s="3"/>
      <c r="I378" s="3">
        <v>36</v>
      </c>
      <c r="J378" s="3">
        <v>48</v>
      </c>
    </row>
    <row r="379" spans="2:10">
      <c r="B379" s="136" t="s">
        <v>117</v>
      </c>
      <c r="C379" s="3"/>
      <c r="D379" s="3"/>
      <c r="E379" s="3"/>
      <c r="F379" s="3"/>
      <c r="G379" s="3"/>
      <c r="H379" s="3"/>
      <c r="I379" s="3">
        <v>0</v>
      </c>
      <c r="J379" s="3">
        <v>0</v>
      </c>
    </row>
    <row r="380" spans="2:10" ht="15" thickBot="1">
      <c r="B380" s="133" t="s">
        <v>322</v>
      </c>
      <c r="C380" s="3"/>
      <c r="D380" s="3"/>
      <c r="E380" s="3"/>
      <c r="F380" s="3"/>
      <c r="G380" s="3"/>
      <c r="H380" s="3"/>
      <c r="I380" s="3">
        <v>644</v>
      </c>
      <c r="J380" s="3">
        <v>655</v>
      </c>
    </row>
    <row r="381" spans="2:10" ht="15" thickTop="1">
      <c r="B381" s="2025"/>
      <c r="C381" s="2025"/>
      <c r="D381" s="2025"/>
      <c r="E381" s="2025"/>
      <c r="F381" s="2025"/>
      <c r="G381" s="2025"/>
      <c r="H381" s="2025"/>
      <c r="I381" s="2025"/>
      <c r="J381" s="2025"/>
    </row>
    <row r="382" spans="2:10">
      <c r="B382" s="2066"/>
      <c r="C382" s="2066"/>
      <c r="D382" s="2066"/>
      <c r="E382" s="2066"/>
      <c r="F382" s="2066"/>
      <c r="G382" s="2066"/>
      <c r="H382" s="2066"/>
      <c r="I382" s="2066"/>
      <c r="J382" s="2066"/>
    </row>
    <row r="383" spans="2:10">
      <c r="B383" s="64"/>
    </row>
    <row r="384" spans="2:10">
      <c r="B384" s="2024" t="s">
        <v>320</v>
      </c>
      <c r="C384" s="2024"/>
      <c r="D384" s="2024"/>
      <c r="E384" s="2024"/>
      <c r="F384" s="2024"/>
      <c r="G384" s="2024"/>
      <c r="H384" s="2024"/>
      <c r="I384" s="2024"/>
      <c r="J384" s="2024"/>
    </row>
    <row r="385" spans="2:11">
      <c r="B385" s="12" t="s">
        <v>319</v>
      </c>
    </row>
    <row r="386" spans="2:11">
      <c r="B386" s="62" t="s">
        <v>242</v>
      </c>
    </row>
    <row r="387" spans="2:11">
      <c r="B387" s="64"/>
    </row>
    <row r="388" spans="2:11">
      <c r="B388" s="61"/>
      <c r="C388" s="60">
        <v>2014</v>
      </c>
      <c r="D388" s="60">
        <v>2015</v>
      </c>
      <c r="E388" s="60">
        <v>2016</v>
      </c>
      <c r="F388" s="60">
        <v>2017</v>
      </c>
      <c r="G388" s="60">
        <v>2018</v>
      </c>
      <c r="H388" s="60">
        <v>2019</v>
      </c>
      <c r="I388" s="60">
        <v>2020</v>
      </c>
      <c r="J388" s="60">
        <v>2021</v>
      </c>
    </row>
    <row r="389" spans="2:11">
      <c r="B389" s="114" t="s">
        <v>310</v>
      </c>
      <c r="C389" s="529"/>
      <c r="D389" s="529"/>
      <c r="E389" s="529"/>
      <c r="F389" s="529"/>
      <c r="G389" s="529"/>
      <c r="H389" s="529"/>
      <c r="I389" s="529"/>
      <c r="J389" s="529"/>
    </row>
    <row r="390" spans="2:11">
      <c r="B390" s="114"/>
      <c r="C390" s="529"/>
      <c r="D390" s="529"/>
      <c r="E390" s="529"/>
      <c r="F390" s="529"/>
      <c r="G390" s="529"/>
      <c r="H390" s="529"/>
      <c r="I390" s="529"/>
      <c r="J390" s="529"/>
    </row>
    <row r="391" spans="2:11">
      <c r="B391" s="59" t="s">
        <v>940</v>
      </c>
      <c r="C391" s="529"/>
      <c r="D391" s="529"/>
      <c r="E391" s="529"/>
      <c r="F391" s="529"/>
      <c r="G391" s="529"/>
      <c r="H391" s="529"/>
      <c r="I391" s="529"/>
      <c r="J391" s="529"/>
    </row>
    <row r="392" spans="2:11">
      <c r="B392" s="71" t="s">
        <v>297</v>
      </c>
      <c r="C392" s="102">
        <v>36.502000000000002</v>
      </c>
      <c r="D392" s="102">
        <v>42.537999999999997</v>
      </c>
      <c r="E392" s="102">
        <v>69.584999999999994</v>
      </c>
      <c r="F392" s="102">
        <v>74.602999999999994</v>
      </c>
      <c r="G392" s="102">
        <v>78.497</v>
      </c>
      <c r="H392" s="102">
        <v>213.56100000000001</v>
      </c>
      <c r="I392" s="102">
        <v>532.05758700000001</v>
      </c>
      <c r="J392" s="102">
        <v>417.25</v>
      </c>
    </row>
    <row r="393" spans="2:11">
      <c r="B393" s="133" t="s">
        <v>296</v>
      </c>
      <c r="C393" s="102">
        <v>36.502000000000002</v>
      </c>
      <c r="D393" s="102">
        <v>42.537999999999997</v>
      </c>
      <c r="E393" s="102">
        <v>69.584999999999994</v>
      </c>
      <c r="F393" s="102">
        <v>74.602999999999994</v>
      </c>
      <c r="G393" s="102">
        <v>78.497</v>
      </c>
      <c r="H393" s="102">
        <v>213.56100000000001</v>
      </c>
      <c r="I393" s="102">
        <v>532.05758700000001</v>
      </c>
      <c r="J393" s="102">
        <v>417.25</v>
      </c>
    </row>
    <row r="394" spans="2:11">
      <c r="B394" s="132" t="s">
        <v>295</v>
      </c>
      <c r="C394" s="102">
        <v>0</v>
      </c>
      <c r="D394" s="102">
        <v>0</v>
      </c>
      <c r="E394" s="102">
        <v>0</v>
      </c>
      <c r="F394" s="102">
        <v>0</v>
      </c>
      <c r="G394" s="102">
        <v>0</v>
      </c>
      <c r="H394" s="102">
        <v>0</v>
      </c>
      <c r="I394" s="102">
        <v>0</v>
      </c>
      <c r="J394" s="102">
        <v>0</v>
      </c>
    </row>
    <row r="395" spans="2:11">
      <c r="B395" s="132" t="s">
        <v>303</v>
      </c>
      <c r="C395" s="102">
        <v>0</v>
      </c>
      <c r="D395" s="102">
        <v>0</v>
      </c>
      <c r="E395" s="102">
        <v>0</v>
      </c>
      <c r="F395" s="102">
        <v>0</v>
      </c>
      <c r="G395" s="102">
        <v>0</v>
      </c>
      <c r="H395" s="102">
        <v>0</v>
      </c>
      <c r="I395" s="102">
        <v>0</v>
      </c>
      <c r="J395" s="102">
        <v>0</v>
      </c>
    </row>
    <row r="396" spans="2:11">
      <c r="B396" s="65" t="s">
        <v>287</v>
      </c>
      <c r="C396" s="530">
        <v>0.47720000000000001</v>
      </c>
      <c r="D396" s="530">
        <v>0.51239999999999997</v>
      </c>
      <c r="E396" s="530">
        <v>0.6492</v>
      </c>
      <c r="F396" s="530">
        <v>0.58819999999999995</v>
      </c>
      <c r="G396" s="530">
        <v>0.41649999999999998</v>
      </c>
      <c r="H396" s="530">
        <v>0.57079999999999997</v>
      </c>
      <c r="I396" s="530">
        <v>0.62139999999999995</v>
      </c>
      <c r="J396" s="530">
        <v>0.51719999999999999</v>
      </c>
      <c r="K396" s="531"/>
    </row>
    <row r="397" spans="2:11">
      <c r="B397" s="65"/>
      <c r="C397" s="102"/>
      <c r="D397" s="102"/>
      <c r="E397" s="102"/>
      <c r="F397" s="102"/>
      <c r="G397" s="102"/>
      <c r="H397" s="102"/>
      <c r="I397" s="102"/>
      <c r="J397" s="102"/>
    </row>
    <row r="398" spans="2:11" ht="15">
      <c r="B398" s="59" t="s">
        <v>941</v>
      </c>
      <c r="C398" s="102"/>
      <c r="D398" s="102"/>
      <c r="E398" s="102"/>
      <c r="F398" s="102"/>
      <c r="G398" s="102"/>
      <c r="H398" s="102"/>
      <c r="I398" s="102"/>
      <c r="J398" s="102"/>
    </row>
    <row r="399" spans="2:11">
      <c r="B399" s="71" t="s">
        <v>297</v>
      </c>
      <c r="C399" s="102">
        <v>0</v>
      </c>
      <c r="D399" s="102">
        <v>0</v>
      </c>
      <c r="E399" s="102">
        <v>0</v>
      </c>
      <c r="F399" s="102">
        <v>0</v>
      </c>
      <c r="G399" s="102">
        <v>0</v>
      </c>
      <c r="H399" s="102">
        <v>0</v>
      </c>
      <c r="I399" s="102">
        <v>0</v>
      </c>
      <c r="J399" s="102">
        <v>0</v>
      </c>
    </row>
    <row r="400" spans="2:11">
      <c r="B400" s="133" t="s">
        <v>296</v>
      </c>
      <c r="C400" s="102">
        <v>0</v>
      </c>
      <c r="D400" s="102">
        <v>0</v>
      </c>
      <c r="E400" s="102">
        <v>0</v>
      </c>
      <c r="F400" s="102">
        <v>0</v>
      </c>
      <c r="G400" s="102">
        <v>0</v>
      </c>
      <c r="H400" s="102">
        <v>0</v>
      </c>
      <c r="I400" s="102">
        <v>0</v>
      </c>
      <c r="J400" s="102">
        <v>0</v>
      </c>
    </row>
    <row r="401" spans="2:10">
      <c r="B401" s="132" t="s">
        <v>295</v>
      </c>
      <c r="C401" s="102">
        <v>0</v>
      </c>
      <c r="D401" s="102">
        <v>0</v>
      </c>
      <c r="E401" s="102">
        <v>0</v>
      </c>
      <c r="F401" s="102">
        <v>0</v>
      </c>
      <c r="G401" s="102">
        <v>0</v>
      </c>
      <c r="H401" s="102">
        <v>0</v>
      </c>
      <c r="I401" s="102">
        <v>0</v>
      </c>
      <c r="J401" s="102">
        <v>0</v>
      </c>
    </row>
    <row r="402" spans="2:10">
      <c r="B402" s="132" t="s">
        <v>303</v>
      </c>
      <c r="C402" s="102">
        <v>0</v>
      </c>
      <c r="D402" s="102">
        <v>0</v>
      </c>
      <c r="E402" s="102">
        <v>0</v>
      </c>
      <c r="F402" s="102">
        <v>0</v>
      </c>
      <c r="G402" s="102">
        <v>0</v>
      </c>
      <c r="H402" s="102">
        <v>0</v>
      </c>
      <c r="I402" s="102">
        <v>0</v>
      </c>
      <c r="J402" s="102">
        <v>0</v>
      </c>
    </row>
    <row r="403" spans="2:10">
      <c r="B403" s="65" t="s">
        <v>287</v>
      </c>
      <c r="C403" s="530">
        <v>0</v>
      </c>
      <c r="D403" s="530">
        <v>0</v>
      </c>
      <c r="E403" s="102">
        <v>0</v>
      </c>
      <c r="F403" s="102">
        <v>0</v>
      </c>
      <c r="G403" s="102">
        <v>0</v>
      </c>
      <c r="H403" s="102">
        <v>0</v>
      </c>
      <c r="I403" s="102">
        <v>0</v>
      </c>
      <c r="J403" s="102">
        <v>0</v>
      </c>
    </row>
    <row r="404" spans="2:10">
      <c r="B404" s="59"/>
      <c r="C404" s="102"/>
      <c r="D404" s="102"/>
      <c r="E404" s="102"/>
      <c r="F404" s="102"/>
      <c r="G404" s="102"/>
      <c r="H404" s="102"/>
      <c r="I404" s="102"/>
      <c r="J404" s="102"/>
    </row>
    <row r="405" spans="2:10">
      <c r="B405" s="59" t="s">
        <v>942</v>
      </c>
      <c r="C405" s="102"/>
      <c r="D405" s="102"/>
      <c r="E405" s="102"/>
      <c r="F405" s="102"/>
      <c r="G405" s="102"/>
      <c r="H405" s="102"/>
      <c r="I405" s="102"/>
      <c r="J405" s="102"/>
    </row>
    <row r="406" spans="2:10">
      <c r="B406" s="71" t="s">
        <v>297</v>
      </c>
      <c r="C406" s="102">
        <v>2.9000000000000001E-2</v>
      </c>
      <c r="D406" s="102">
        <v>3.2000000000000001E-2</v>
      </c>
      <c r="E406" s="102">
        <v>2.4E-2</v>
      </c>
      <c r="F406" s="102">
        <v>2.4E-2</v>
      </c>
      <c r="G406" s="102">
        <v>2.1000000000000001E-2</v>
      </c>
      <c r="H406" s="102">
        <v>2.1999999999999999E-2</v>
      </c>
      <c r="I406" s="102">
        <v>1.7377E-2</v>
      </c>
      <c r="J406" s="102">
        <v>1.8329000000000002E-2</v>
      </c>
    </row>
    <row r="407" spans="2:10">
      <c r="B407" s="133" t="s">
        <v>296</v>
      </c>
      <c r="C407" s="102">
        <v>2.9000000000000001E-2</v>
      </c>
      <c r="D407" s="102">
        <v>3.2000000000000001E-2</v>
      </c>
      <c r="E407" s="102">
        <v>2.4E-2</v>
      </c>
      <c r="F407" s="102">
        <v>2.4E-2</v>
      </c>
      <c r="G407" s="102">
        <v>2.1000000000000001E-2</v>
      </c>
      <c r="H407" s="102">
        <v>2.1999999999999999E-2</v>
      </c>
      <c r="I407" s="102">
        <v>1.7377E-2</v>
      </c>
      <c r="J407" s="102">
        <v>1.8329000000000002E-2</v>
      </c>
    </row>
    <row r="408" spans="2:10">
      <c r="B408" s="132" t="s">
        <v>295</v>
      </c>
      <c r="C408" s="102">
        <v>0</v>
      </c>
      <c r="D408" s="102">
        <v>0</v>
      </c>
      <c r="E408" s="102">
        <v>0</v>
      </c>
      <c r="F408" s="102">
        <v>0</v>
      </c>
      <c r="G408" s="102">
        <v>0</v>
      </c>
      <c r="H408" s="102">
        <v>0</v>
      </c>
      <c r="I408" s="102">
        <v>0</v>
      </c>
      <c r="J408" s="102">
        <v>0</v>
      </c>
    </row>
    <row r="409" spans="2:10">
      <c r="B409" s="132" t="s">
        <v>303</v>
      </c>
      <c r="C409" s="102">
        <v>0</v>
      </c>
      <c r="D409" s="102">
        <v>0</v>
      </c>
      <c r="E409" s="102">
        <v>0</v>
      </c>
      <c r="F409" s="102">
        <v>0</v>
      </c>
      <c r="G409" s="102">
        <v>0</v>
      </c>
      <c r="H409" s="102">
        <v>0</v>
      </c>
      <c r="I409" s="102">
        <v>0</v>
      </c>
      <c r="J409" s="102">
        <v>0</v>
      </c>
    </row>
    <row r="410" spans="2:10">
      <c r="B410" s="65" t="s">
        <v>287</v>
      </c>
      <c r="C410" s="530">
        <v>0.47289999999999999</v>
      </c>
      <c r="D410" s="530">
        <v>0.34749999999999998</v>
      </c>
      <c r="E410" s="530">
        <v>0.2596</v>
      </c>
      <c r="F410" s="530">
        <v>0.218</v>
      </c>
      <c r="G410" s="530">
        <v>0.19189999999999999</v>
      </c>
      <c r="H410" s="530">
        <v>0.2155</v>
      </c>
      <c r="I410" s="530">
        <v>0.22170000000000001</v>
      </c>
      <c r="J410" s="530">
        <v>0.2109</v>
      </c>
    </row>
    <row r="411" spans="2:10">
      <c r="B411" s="65"/>
      <c r="C411" s="102"/>
      <c r="D411" s="102"/>
      <c r="E411" s="102"/>
      <c r="F411" s="102"/>
      <c r="G411" s="102"/>
      <c r="H411" s="102"/>
      <c r="I411" s="102"/>
      <c r="J411" s="102"/>
    </row>
    <row r="412" spans="2:10">
      <c r="B412" s="532" t="s">
        <v>302</v>
      </c>
      <c r="C412" s="102"/>
      <c r="D412" s="102"/>
      <c r="E412" s="102"/>
      <c r="F412" s="102"/>
      <c r="G412" s="102"/>
      <c r="H412" s="102"/>
      <c r="I412" s="102"/>
      <c r="J412" s="102"/>
    </row>
    <row r="413" spans="2:10">
      <c r="B413" s="532"/>
      <c r="C413" s="102"/>
      <c r="D413" s="102"/>
      <c r="E413" s="102"/>
      <c r="F413" s="102"/>
      <c r="G413" s="102"/>
      <c r="H413" s="102"/>
      <c r="I413" s="102"/>
      <c r="J413" s="102"/>
    </row>
    <row r="414" spans="2:10" ht="15">
      <c r="B414" s="59" t="s">
        <v>941</v>
      </c>
      <c r="C414" s="102"/>
      <c r="D414" s="102"/>
      <c r="E414" s="102"/>
      <c r="F414" s="102"/>
      <c r="G414" s="102"/>
      <c r="H414" s="102"/>
      <c r="I414" s="102"/>
      <c r="J414" s="102"/>
    </row>
    <row r="415" spans="2:10">
      <c r="B415" s="71" t="s">
        <v>297</v>
      </c>
      <c r="C415" s="102">
        <v>226.941</v>
      </c>
      <c r="D415" s="102">
        <v>294.10000000000002</v>
      </c>
      <c r="E415" s="102">
        <v>411.31099999999998</v>
      </c>
      <c r="F415" s="102">
        <v>534.58500000000004</v>
      </c>
      <c r="G415" s="102">
        <v>637.29499999999996</v>
      </c>
      <c r="H415" s="102">
        <v>839.47446000000002</v>
      </c>
      <c r="I415" s="102">
        <v>1331.5828690000001</v>
      </c>
      <c r="J415" s="102">
        <v>893.43643499999996</v>
      </c>
    </row>
    <row r="416" spans="2:10">
      <c r="B416" s="133" t="s">
        <v>296</v>
      </c>
      <c r="C416" s="102">
        <v>226.941</v>
      </c>
      <c r="D416" s="102">
        <v>294.10000000000002</v>
      </c>
      <c r="E416" s="102">
        <v>411.31099999999998</v>
      </c>
      <c r="F416" s="102">
        <v>534.58500000000004</v>
      </c>
      <c r="G416" s="102">
        <v>637.29499999999996</v>
      </c>
      <c r="H416" s="102">
        <v>839.47446000000002</v>
      </c>
      <c r="I416" s="102">
        <v>1331.5828690000001</v>
      </c>
      <c r="J416" s="102">
        <v>893.43643499999996</v>
      </c>
    </row>
    <row r="417" spans="2:10">
      <c r="B417" s="131" t="s">
        <v>294</v>
      </c>
      <c r="C417" s="102">
        <v>226.941</v>
      </c>
      <c r="D417" s="102">
        <v>294.10000000000002</v>
      </c>
      <c r="E417" s="102">
        <v>411.31099999999998</v>
      </c>
      <c r="F417" s="102">
        <v>534.58500000000004</v>
      </c>
      <c r="G417" s="102">
        <v>637.29499999999996</v>
      </c>
      <c r="H417" s="102">
        <v>839.47446000000002</v>
      </c>
      <c r="I417" s="102">
        <v>1331.5828690000001</v>
      </c>
      <c r="J417" s="102">
        <v>893.43643499999996</v>
      </c>
    </row>
    <row r="418" spans="2:10">
      <c r="B418" s="131" t="s">
        <v>293</v>
      </c>
      <c r="C418" s="102">
        <v>0</v>
      </c>
      <c r="D418" s="102">
        <v>0</v>
      </c>
      <c r="E418" s="102">
        <v>0</v>
      </c>
      <c r="F418" s="102">
        <v>0</v>
      </c>
      <c r="G418" s="102">
        <v>0</v>
      </c>
      <c r="H418" s="102">
        <v>0</v>
      </c>
      <c r="I418" s="102">
        <v>0</v>
      </c>
      <c r="J418" s="102">
        <v>0</v>
      </c>
    </row>
    <row r="419" spans="2:10">
      <c r="B419" s="131" t="s">
        <v>292</v>
      </c>
      <c r="C419" s="102">
        <v>0</v>
      </c>
      <c r="D419" s="102">
        <v>0</v>
      </c>
      <c r="E419" s="102">
        <v>0</v>
      </c>
      <c r="F419" s="102">
        <v>0</v>
      </c>
      <c r="G419" s="102">
        <v>0</v>
      </c>
      <c r="H419" s="102">
        <v>0</v>
      </c>
      <c r="I419" s="102">
        <v>0</v>
      </c>
      <c r="J419" s="102">
        <v>0</v>
      </c>
    </row>
    <row r="420" spans="2:10">
      <c r="B420" s="131" t="s">
        <v>291</v>
      </c>
      <c r="C420" s="102">
        <v>0</v>
      </c>
      <c r="D420" s="102">
        <v>0</v>
      </c>
      <c r="E420" s="102">
        <v>0</v>
      </c>
      <c r="F420" s="102">
        <v>0</v>
      </c>
      <c r="G420" s="102">
        <v>0</v>
      </c>
      <c r="H420" s="102">
        <v>0</v>
      </c>
      <c r="I420" s="102">
        <v>0</v>
      </c>
      <c r="J420" s="102">
        <v>0</v>
      </c>
    </row>
    <row r="421" spans="2:10">
      <c r="B421" s="131" t="s">
        <v>290</v>
      </c>
      <c r="C421" s="102">
        <v>0</v>
      </c>
      <c r="D421" s="102">
        <v>0</v>
      </c>
      <c r="E421" s="102">
        <v>0</v>
      </c>
      <c r="F421" s="102">
        <v>0</v>
      </c>
      <c r="G421" s="102">
        <v>0</v>
      </c>
      <c r="H421" s="102">
        <v>0</v>
      </c>
      <c r="I421" s="102">
        <v>0</v>
      </c>
      <c r="J421" s="102">
        <v>0</v>
      </c>
    </row>
    <row r="422" spans="2:10">
      <c r="B422" s="131" t="s">
        <v>289</v>
      </c>
      <c r="C422" s="102">
        <v>0</v>
      </c>
      <c r="D422" s="102">
        <v>0</v>
      </c>
      <c r="E422" s="102">
        <v>0</v>
      </c>
      <c r="F422" s="102">
        <v>0</v>
      </c>
      <c r="G422" s="102">
        <v>0</v>
      </c>
      <c r="H422" s="102">
        <v>0</v>
      </c>
      <c r="I422" s="102">
        <v>0</v>
      </c>
      <c r="J422" s="102">
        <v>0</v>
      </c>
    </row>
    <row r="423" spans="2:10">
      <c r="B423" s="131" t="s">
        <v>288</v>
      </c>
      <c r="C423" s="102">
        <v>0</v>
      </c>
      <c r="D423" s="102">
        <v>0</v>
      </c>
      <c r="E423" s="102">
        <v>0</v>
      </c>
      <c r="F423" s="102">
        <v>0</v>
      </c>
      <c r="G423" s="102">
        <v>0</v>
      </c>
      <c r="H423" s="102">
        <v>0</v>
      </c>
      <c r="I423" s="102">
        <v>0</v>
      </c>
      <c r="J423" s="102">
        <v>0</v>
      </c>
    </row>
    <row r="424" spans="2:10">
      <c r="B424" s="132" t="s">
        <v>295</v>
      </c>
      <c r="C424" s="102">
        <v>0</v>
      </c>
      <c r="D424" s="102">
        <v>0</v>
      </c>
      <c r="E424" s="102">
        <v>0</v>
      </c>
      <c r="F424" s="102">
        <v>0</v>
      </c>
      <c r="G424" s="102">
        <v>0</v>
      </c>
      <c r="H424" s="102">
        <v>0</v>
      </c>
      <c r="I424" s="102">
        <v>0</v>
      </c>
      <c r="J424" s="102">
        <v>0</v>
      </c>
    </row>
    <row r="425" spans="2:10">
      <c r="B425" s="131" t="s">
        <v>294</v>
      </c>
      <c r="C425" s="102">
        <v>0</v>
      </c>
      <c r="D425" s="102">
        <v>0</v>
      </c>
      <c r="E425" s="102">
        <v>0</v>
      </c>
      <c r="F425" s="102">
        <v>0</v>
      </c>
      <c r="G425" s="102">
        <v>0</v>
      </c>
      <c r="H425" s="102">
        <v>0</v>
      </c>
      <c r="I425" s="102">
        <v>0</v>
      </c>
      <c r="J425" s="102">
        <v>0</v>
      </c>
    </row>
    <row r="426" spans="2:10">
      <c r="B426" s="131" t="s">
        <v>293</v>
      </c>
      <c r="C426" s="102">
        <v>0</v>
      </c>
      <c r="D426" s="102">
        <v>0</v>
      </c>
      <c r="E426" s="102">
        <v>0</v>
      </c>
      <c r="F426" s="102">
        <v>0</v>
      </c>
      <c r="G426" s="102">
        <v>0</v>
      </c>
      <c r="H426" s="102">
        <v>0</v>
      </c>
      <c r="I426" s="102">
        <v>0</v>
      </c>
      <c r="J426" s="102">
        <v>0</v>
      </c>
    </row>
    <row r="427" spans="2:10">
      <c r="B427" s="131" t="s">
        <v>292</v>
      </c>
      <c r="C427" s="102">
        <v>0</v>
      </c>
      <c r="D427" s="102">
        <v>0</v>
      </c>
      <c r="E427" s="102">
        <v>0</v>
      </c>
      <c r="F427" s="102">
        <v>0</v>
      </c>
      <c r="G427" s="102">
        <v>0</v>
      </c>
      <c r="H427" s="102">
        <v>0</v>
      </c>
      <c r="I427" s="102">
        <v>0</v>
      </c>
      <c r="J427" s="102">
        <v>0</v>
      </c>
    </row>
    <row r="428" spans="2:10">
      <c r="B428" s="131" t="s">
        <v>291</v>
      </c>
      <c r="C428" s="102">
        <v>0</v>
      </c>
      <c r="D428" s="102">
        <v>0</v>
      </c>
      <c r="E428" s="102">
        <v>0</v>
      </c>
      <c r="F428" s="102">
        <v>0</v>
      </c>
      <c r="G428" s="102">
        <v>0</v>
      </c>
      <c r="H428" s="102">
        <v>0</v>
      </c>
      <c r="I428" s="102">
        <v>0</v>
      </c>
      <c r="J428" s="102">
        <v>0</v>
      </c>
    </row>
    <row r="429" spans="2:10">
      <c r="B429" s="131" t="s">
        <v>290</v>
      </c>
      <c r="C429" s="102">
        <v>0</v>
      </c>
      <c r="D429" s="102">
        <v>0</v>
      </c>
      <c r="E429" s="102">
        <v>0</v>
      </c>
      <c r="F429" s="102">
        <v>0</v>
      </c>
      <c r="G429" s="102">
        <v>0</v>
      </c>
      <c r="H429" s="102">
        <v>0</v>
      </c>
      <c r="I429" s="102">
        <v>0</v>
      </c>
      <c r="J429" s="102">
        <v>0</v>
      </c>
    </row>
    <row r="430" spans="2:10">
      <c r="B430" s="131" t="s">
        <v>289</v>
      </c>
      <c r="C430" s="102">
        <v>0</v>
      </c>
      <c r="D430" s="102">
        <v>0</v>
      </c>
      <c r="E430" s="102">
        <v>0</v>
      </c>
      <c r="F430" s="102">
        <v>0</v>
      </c>
      <c r="G430" s="102">
        <v>0</v>
      </c>
      <c r="H430" s="102">
        <v>0</v>
      </c>
      <c r="I430" s="102">
        <v>0</v>
      </c>
      <c r="J430" s="102">
        <v>0</v>
      </c>
    </row>
    <row r="431" spans="2:10">
      <c r="B431" s="131" t="s">
        <v>288</v>
      </c>
      <c r="C431" s="102">
        <v>0</v>
      </c>
      <c r="D431" s="102">
        <v>0</v>
      </c>
      <c r="E431" s="102">
        <v>0</v>
      </c>
      <c r="F431" s="102">
        <v>0</v>
      </c>
      <c r="G431" s="102">
        <v>0</v>
      </c>
      <c r="H431" s="102">
        <v>0</v>
      </c>
      <c r="I431" s="102">
        <v>0</v>
      </c>
      <c r="J431" s="102">
        <v>0</v>
      </c>
    </row>
    <row r="432" spans="2:10">
      <c r="B432" s="65" t="s">
        <v>287</v>
      </c>
      <c r="C432" s="102">
        <v>80.849999999999994</v>
      </c>
      <c r="D432" s="102">
        <v>81.53</v>
      </c>
      <c r="E432" s="102">
        <v>82.38</v>
      </c>
      <c r="F432" s="530">
        <v>84.49</v>
      </c>
      <c r="G432" s="530">
        <v>82.35</v>
      </c>
      <c r="H432" s="530">
        <v>78.4065587891739</v>
      </c>
      <c r="I432" s="530">
        <v>71.28</v>
      </c>
      <c r="J432" s="530">
        <v>74.685275959199998</v>
      </c>
    </row>
    <row r="433" spans="2:10">
      <c r="B433" s="65"/>
      <c r="C433" s="102"/>
      <c r="D433" s="102"/>
      <c r="E433" s="102"/>
      <c r="F433" s="102"/>
      <c r="G433" s="102"/>
      <c r="H433" s="102"/>
      <c r="I433" s="102"/>
      <c r="J433" s="102"/>
    </row>
    <row r="434" spans="2:10">
      <c r="B434" s="532" t="s">
        <v>943</v>
      </c>
      <c r="C434" s="102"/>
      <c r="D434" s="102"/>
      <c r="E434" s="102"/>
      <c r="F434" s="102"/>
      <c r="G434" s="102"/>
      <c r="H434" s="102"/>
      <c r="I434" s="102"/>
      <c r="J434" s="102"/>
    </row>
    <row r="435" spans="2:10">
      <c r="B435" s="71" t="s">
        <v>297</v>
      </c>
      <c r="C435" s="102">
        <v>799.73500000000001</v>
      </c>
      <c r="D435" s="102">
        <v>711.6</v>
      </c>
      <c r="E435" s="102">
        <v>694.33</v>
      </c>
      <c r="F435" s="102">
        <v>517.53700000000003</v>
      </c>
      <c r="G435" s="102">
        <v>449.25900000000001</v>
      </c>
      <c r="H435" s="102">
        <v>399.74299999999999</v>
      </c>
      <c r="I435" s="102">
        <v>294.96826800000002</v>
      </c>
      <c r="J435" s="102">
        <v>239.621793</v>
      </c>
    </row>
    <row r="436" spans="2:10">
      <c r="B436" s="133" t="s">
        <v>296</v>
      </c>
      <c r="C436" s="102">
        <v>799.73500000000001</v>
      </c>
      <c r="D436" s="102">
        <v>711.6</v>
      </c>
      <c r="E436" s="102">
        <v>694.33</v>
      </c>
      <c r="F436" s="102">
        <v>517.53700000000003</v>
      </c>
      <c r="G436" s="102">
        <v>449.25900000000001</v>
      </c>
      <c r="H436" s="102">
        <v>399.74299999999999</v>
      </c>
      <c r="I436" s="102">
        <v>294.96826800000002</v>
      </c>
      <c r="J436" s="102">
        <v>239.621793</v>
      </c>
    </row>
    <row r="437" spans="2:10">
      <c r="B437" s="131" t="s">
        <v>294</v>
      </c>
      <c r="C437" s="102">
        <v>0</v>
      </c>
      <c r="D437" s="102">
        <v>0</v>
      </c>
      <c r="E437" s="102">
        <v>0</v>
      </c>
      <c r="F437" s="102">
        <v>0</v>
      </c>
      <c r="G437" s="102">
        <v>0</v>
      </c>
      <c r="H437" s="102">
        <v>0</v>
      </c>
      <c r="I437" s="102">
        <v>0</v>
      </c>
      <c r="J437" s="102">
        <v>0</v>
      </c>
    </row>
    <row r="438" spans="2:10">
      <c r="B438" s="131" t="s">
        <v>293</v>
      </c>
      <c r="C438" s="102">
        <v>0</v>
      </c>
      <c r="D438" s="102">
        <v>0</v>
      </c>
      <c r="E438" s="102">
        <v>0</v>
      </c>
      <c r="F438" s="102">
        <v>0</v>
      </c>
      <c r="G438" s="102">
        <v>0</v>
      </c>
      <c r="H438" s="102">
        <v>0</v>
      </c>
      <c r="I438" s="102">
        <v>0</v>
      </c>
      <c r="J438" s="102">
        <v>0</v>
      </c>
    </row>
    <row r="439" spans="2:10">
      <c r="B439" s="131" t="s">
        <v>292</v>
      </c>
      <c r="C439" s="102">
        <v>0</v>
      </c>
      <c r="D439" s="102">
        <v>0</v>
      </c>
      <c r="E439" s="102">
        <v>0</v>
      </c>
      <c r="F439" s="102">
        <v>0</v>
      </c>
      <c r="G439" s="102">
        <v>0</v>
      </c>
      <c r="H439" s="102">
        <v>0</v>
      </c>
      <c r="I439" s="102">
        <v>0</v>
      </c>
      <c r="J439" s="102">
        <v>0</v>
      </c>
    </row>
    <row r="440" spans="2:10">
      <c r="B440" s="131" t="s">
        <v>291</v>
      </c>
      <c r="C440" s="102">
        <v>0</v>
      </c>
      <c r="D440" s="102">
        <v>0</v>
      </c>
      <c r="E440" s="102">
        <v>0</v>
      </c>
      <c r="F440" s="102">
        <v>0</v>
      </c>
      <c r="G440" s="102">
        <v>0</v>
      </c>
      <c r="H440" s="102">
        <v>0</v>
      </c>
      <c r="I440" s="102">
        <v>0</v>
      </c>
      <c r="J440" s="102">
        <v>0</v>
      </c>
    </row>
    <row r="441" spans="2:10">
      <c r="B441" s="131" t="s">
        <v>290</v>
      </c>
      <c r="C441" s="102">
        <v>0</v>
      </c>
      <c r="D441" s="102">
        <v>0</v>
      </c>
      <c r="E441" s="102">
        <v>0</v>
      </c>
      <c r="F441" s="102">
        <v>0</v>
      </c>
      <c r="G441" s="102">
        <v>0</v>
      </c>
      <c r="H441" s="102">
        <v>0</v>
      </c>
      <c r="I441" s="102">
        <v>0</v>
      </c>
      <c r="J441" s="102">
        <v>0</v>
      </c>
    </row>
    <row r="442" spans="2:10">
      <c r="B442" s="131" t="s">
        <v>289</v>
      </c>
      <c r="C442" s="102">
        <v>799.73500000000001</v>
      </c>
      <c r="D442" s="102">
        <v>711.6</v>
      </c>
      <c r="E442" s="102">
        <v>694.33</v>
      </c>
      <c r="F442" s="102">
        <v>517.53700000000003</v>
      </c>
      <c r="G442" s="102">
        <v>449.25900000000001</v>
      </c>
      <c r="H442" s="102">
        <v>399.74299999999999</v>
      </c>
      <c r="I442" s="102">
        <v>294.96826800000002</v>
      </c>
      <c r="J442" s="102">
        <v>239.621793</v>
      </c>
    </row>
    <row r="443" spans="2:10">
      <c r="B443" s="131" t="s">
        <v>288</v>
      </c>
      <c r="C443" s="102">
        <v>0</v>
      </c>
      <c r="D443" s="102">
        <v>0</v>
      </c>
      <c r="E443" s="102">
        <v>0</v>
      </c>
      <c r="F443" s="102">
        <v>0</v>
      </c>
      <c r="G443" s="102">
        <v>0</v>
      </c>
      <c r="H443" s="102">
        <v>0</v>
      </c>
      <c r="I443" s="102">
        <v>0</v>
      </c>
      <c r="J443" s="102">
        <v>0</v>
      </c>
    </row>
    <row r="444" spans="2:10">
      <c r="B444" s="132" t="s">
        <v>295</v>
      </c>
      <c r="C444" s="102">
        <v>0</v>
      </c>
      <c r="D444" s="102">
        <v>0</v>
      </c>
      <c r="E444" s="102">
        <v>0</v>
      </c>
      <c r="F444" s="102">
        <v>0</v>
      </c>
      <c r="G444" s="102">
        <v>0</v>
      </c>
      <c r="H444" s="102">
        <v>0</v>
      </c>
      <c r="I444" s="102">
        <v>0</v>
      </c>
      <c r="J444" s="102">
        <v>0</v>
      </c>
    </row>
    <row r="445" spans="2:10">
      <c r="B445" s="131" t="s">
        <v>294</v>
      </c>
      <c r="C445" s="102">
        <v>0</v>
      </c>
      <c r="D445" s="102">
        <v>0</v>
      </c>
      <c r="E445" s="102">
        <v>0</v>
      </c>
      <c r="F445" s="102">
        <v>0</v>
      </c>
      <c r="G445" s="102">
        <v>0</v>
      </c>
      <c r="H445" s="102">
        <v>0</v>
      </c>
      <c r="I445" s="102">
        <v>0</v>
      </c>
      <c r="J445" s="102">
        <v>0</v>
      </c>
    </row>
    <row r="446" spans="2:10">
      <c r="B446" s="131" t="s">
        <v>293</v>
      </c>
      <c r="C446" s="102">
        <v>0</v>
      </c>
      <c r="D446" s="102">
        <v>0</v>
      </c>
      <c r="E446" s="102">
        <v>0</v>
      </c>
      <c r="F446" s="102">
        <v>0</v>
      </c>
      <c r="G446" s="102">
        <v>0</v>
      </c>
      <c r="H446" s="102">
        <v>0</v>
      </c>
      <c r="I446" s="102">
        <v>0</v>
      </c>
      <c r="J446" s="102">
        <v>0</v>
      </c>
    </row>
    <row r="447" spans="2:10">
      <c r="B447" s="131" t="s">
        <v>292</v>
      </c>
      <c r="C447" s="102">
        <v>0</v>
      </c>
      <c r="D447" s="102">
        <v>0</v>
      </c>
      <c r="E447" s="102">
        <v>0</v>
      </c>
      <c r="F447" s="102">
        <v>0</v>
      </c>
      <c r="G447" s="102">
        <v>0</v>
      </c>
      <c r="H447" s="102">
        <v>0</v>
      </c>
      <c r="I447" s="102">
        <v>0</v>
      </c>
      <c r="J447" s="102">
        <v>0</v>
      </c>
    </row>
    <row r="448" spans="2:10">
      <c r="B448" s="131" t="s">
        <v>291</v>
      </c>
      <c r="C448" s="102">
        <v>0</v>
      </c>
      <c r="D448" s="102">
        <v>0</v>
      </c>
      <c r="E448" s="102">
        <v>0</v>
      </c>
      <c r="F448" s="102">
        <v>0</v>
      </c>
      <c r="G448" s="102">
        <v>0</v>
      </c>
      <c r="H448" s="102">
        <v>0</v>
      </c>
      <c r="I448" s="102">
        <v>0</v>
      </c>
      <c r="J448" s="102">
        <v>0</v>
      </c>
    </row>
    <row r="449" spans="2:11">
      <c r="B449" s="131" t="s">
        <v>290</v>
      </c>
      <c r="C449" s="102">
        <v>0</v>
      </c>
      <c r="D449" s="102">
        <v>0</v>
      </c>
      <c r="E449" s="102">
        <v>0</v>
      </c>
      <c r="F449" s="102">
        <v>0</v>
      </c>
      <c r="G449" s="102">
        <v>0</v>
      </c>
      <c r="H449" s="102">
        <v>0</v>
      </c>
      <c r="I449" s="102">
        <v>0</v>
      </c>
      <c r="J449" s="102">
        <v>0</v>
      </c>
    </row>
    <row r="450" spans="2:11">
      <c r="B450" s="131" t="s">
        <v>289</v>
      </c>
      <c r="C450" s="102">
        <v>0</v>
      </c>
      <c r="D450" s="102">
        <v>0</v>
      </c>
      <c r="E450" s="102">
        <v>0</v>
      </c>
      <c r="F450" s="102">
        <v>0</v>
      </c>
      <c r="G450" s="102">
        <v>0</v>
      </c>
      <c r="H450" s="102">
        <v>0</v>
      </c>
      <c r="I450" s="102">
        <v>0</v>
      </c>
      <c r="J450" s="102">
        <v>0</v>
      </c>
    </row>
    <row r="451" spans="2:11">
      <c r="B451" s="131" t="s">
        <v>288</v>
      </c>
      <c r="C451" s="102">
        <v>0</v>
      </c>
      <c r="D451" s="102">
        <v>0</v>
      </c>
      <c r="E451" s="102">
        <v>0</v>
      </c>
      <c r="F451" s="102">
        <v>0</v>
      </c>
      <c r="G451" s="102">
        <v>0</v>
      </c>
      <c r="H451" s="102">
        <v>0</v>
      </c>
      <c r="I451" s="102">
        <v>0</v>
      </c>
      <c r="J451" s="102">
        <v>0</v>
      </c>
    </row>
    <row r="452" spans="2:11">
      <c r="B452" s="65" t="s">
        <v>287</v>
      </c>
      <c r="C452" s="530">
        <v>0.79059999999999997</v>
      </c>
      <c r="D452" s="530">
        <v>0.78420000000000001</v>
      </c>
      <c r="E452" s="530">
        <v>0.68689999999999996</v>
      </c>
      <c r="F452" s="530">
        <v>0.79300000000000004</v>
      </c>
      <c r="G452" s="530">
        <v>0.79310000000000003</v>
      </c>
      <c r="H452" s="530">
        <v>0.78180000000000005</v>
      </c>
      <c r="I452" s="530">
        <v>0.76980000000000004</v>
      </c>
      <c r="J452" s="530">
        <v>0.75347085396360403</v>
      </c>
      <c r="K452" s="531"/>
    </row>
    <row r="453" spans="2:11">
      <c r="B453" s="65"/>
      <c r="C453" s="102"/>
      <c r="D453" s="102"/>
      <c r="E453" s="102"/>
      <c r="F453" s="102"/>
      <c r="G453" s="102"/>
      <c r="H453" s="102"/>
      <c r="I453" s="102"/>
      <c r="J453" s="102"/>
    </row>
    <row r="454" spans="2:11">
      <c r="B454" s="532" t="s">
        <v>944</v>
      </c>
      <c r="C454" s="102"/>
      <c r="D454" s="102"/>
      <c r="E454" s="102"/>
      <c r="F454" s="102"/>
      <c r="G454" s="102"/>
      <c r="H454" s="102"/>
      <c r="I454" s="102"/>
      <c r="J454" s="102"/>
    </row>
    <row r="455" spans="2:11">
      <c r="B455" s="71" t="s">
        <v>297</v>
      </c>
      <c r="C455" s="102">
        <v>5877.518</v>
      </c>
      <c r="D455" s="102">
        <v>6582.2920000000004</v>
      </c>
      <c r="E455" s="102">
        <v>7613.3819999999996</v>
      </c>
      <c r="F455" s="102">
        <v>9144.8639999999996</v>
      </c>
      <c r="G455" s="102">
        <v>3899.893</v>
      </c>
      <c r="H455" s="102">
        <v>4279.01</v>
      </c>
      <c r="I455" s="102">
        <v>4976.7767720000002</v>
      </c>
      <c r="J455" s="102">
        <v>5398.9395160000004</v>
      </c>
    </row>
    <row r="456" spans="2:11">
      <c r="B456" s="133" t="s">
        <v>296</v>
      </c>
      <c r="C456" s="102">
        <v>5877.518</v>
      </c>
      <c r="D456" s="102">
        <v>6582.2920000000004</v>
      </c>
      <c r="E456" s="102">
        <v>7613.3819999999996</v>
      </c>
      <c r="F456" s="102">
        <v>9144.8639999999996</v>
      </c>
      <c r="G456" s="102">
        <v>3899.893</v>
      </c>
      <c r="H456" s="102">
        <v>4279.01</v>
      </c>
      <c r="I456" s="102">
        <v>4976.7767720000002</v>
      </c>
      <c r="J456" s="102">
        <v>5398.9395160000004</v>
      </c>
    </row>
    <row r="457" spans="2:11">
      <c r="B457" s="131" t="s">
        <v>294</v>
      </c>
      <c r="C457" s="102">
        <v>5877.518</v>
      </c>
      <c r="D457" s="102">
        <v>6582.2920000000004</v>
      </c>
      <c r="E457" s="102">
        <v>7613.3819999999996</v>
      </c>
      <c r="F457" s="102">
        <v>9144.8639999999996</v>
      </c>
      <c r="G457" s="102">
        <v>3899.893</v>
      </c>
      <c r="H457" s="102">
        <v>4279.01</v>
      </c>
      <c r="I457" s="102">
        <v>4976.7767720000002</v>
      </c>
      <c r="J457" s="102">
        <v>5398.9395160000004</v>
      </c>
    </row>
    <row r="458" spans="2:11">
      <c r="B458" s="131" t="s">
        <v>293</v>
      </c>
      <c r="C458" s="102">
        <v>0</v>
      </c>
      <c r="D458" s="102">
        <v>0</v>
      </c>
      <c r="E458" s="102">
        <v>0</v>
      </c>
      <c r="F458" s="102">
        <v>0</v>
      </c>
      <c r="G458" s="102">
        <v>0</v>
      </c>
      <c r="H458" s="102">
        <v>0</v>
      </c>
      <c r="I458" s="102">
        <v>0</v>
      </c>
      <c r="J458" s="102">
        <v>0</v>
      </c>
    </row>
    <row r="459" spans="2:11">
      <c r="B459" s="131" t="s">
        <v>292</v>
      </c>
      <c r="C459" s="102">
        <v>0</v>
      </c>
      <c r="D459" s="102">
        <v>0</v>
      </c>
      <c r="E459" s="102">
        <v>0</v>
      </c>
      <c r="F459" s="102">
        <v>0</v>
      </c>
      <c r="G459" s="102">
        <v>0</v>
      </c>
      <c r="H459" s="102">
        <v>0</v>
      </c>
      <c r="I459" s="102">
        <v>0</v>
      </c>
      <c r="J459" s="102">
        <v>0</v>
      </c>
    </row>
    <row r="460" spans="2:11">
      <c r="B460" s="131" t="s">
        <v>291</v>
      </c>
      <c r="C460" s="102">
        <v>0</v>
      </c>
      <c r="D460" s="102">
        <v>0</v>
      </c>
      <c r="E460" s="102">
        <v>0</v>
      </c>
      <c r="F460" s="102">
        <v>0</v>
      </c>
      <c r="G460" s="102">
        <v>0</v>
      </c>
      <c r="H460" s="102">
        <v>0</v>
      </c>
      <c r="I460" s="102">
        <v>0</v>
      </c>
      <c r="J460" s="102">
        <v>0</v>
      </c>
    </row>
    <row r="461" spans="2:11">
      <c r="B461" s="131" t="s">
        <v>290</v>
      </c>
      <c r="C461" s="102">
        <v>0</v>
      </c>
      <c r="D461" s="102">
        <v>0</v>
      </c>
      <c r="E461" s="102">
        <v>0</v>
      </c>
      <c r="F461" s="102">
        <v>0</v>
      </c>
      <c r="G461" s="102">
        <v>0</v>
      </c>
      <c r="H461" s="102">
        <v>0</v>
      </c>
      <c r="I461" s="102">
        <v>0</v>
      </c>
      <c r="J461" s="102">
        <v>0</v>
      </c>
    </row>
    <row r="462" spans="2:11">
      <c r="B462" s="131" t="s">
        <v>289</v>
      </c>
      <c r="C462" s="102">
        <v>0</v>
      </c>
      <c r="D462" s="102">
        <v>0</v>
      </c>
      <c r="E462" s="102">
        <v>0</v>
      </c>
      <c r="F462" s="102">
        <v>0</v>
      </c>
      <c r="G462" s="102">
        <v>0</v>
      </c>
      <c r="H462" s="102">
        <v>0</v>
      </c>
      <c r="I462" s="102">
        <v>0</v>
      </c>
      <c r="J462" s="102">
        <v>0</v>
      </c>
    </row>
    <row r="463" spans="2:11">
      <c r="B463" s="131" t="s">
        <v>288</v>
      </c>
      <c r="C463" s="102">
        <v>0</v>
      </c>
      <c r="D463" s="102">
        <v>0</v>
      </c>
      <c r="E463" s="102">
        <v>0</v>
      </c>
      <c r="F463" s="102">
        <v>0</v>
      </c>
      <c r="G463" s="102">
        <v>0</v>
      </c>
      <c r="H463" s="102">
        <v>0</v>
      </c>
      <c r="I463" s="102">
        <v>0</v>
      </c>
      <c r="J463" s="102">
        <v>0</v>
      </c>
    </row>
    <row r="464" spans="2:11">
      <c r="B464" s="132" t="s">
        <v>295</v>
      </c>
      <c r="C464" s="102">
        <v>0</v>
      </c>
      <c r="D464" s="102">
        <v>0</v>
      </c>
      <c r="E464" s="102">
        <v>0</v>
      </c>
      <c r="F464" s="102">
        <v>0</v>
      </c>
      <c r="G464" s="102">
        <v>0</v>
      </c>
      <c r="H464" s="102">
        <v>0</v>
      </c>
      <c r="I464" s="102">
        <v>0</v>
      </c>
      <c r="J464" s="102">
        <v>0</v>
      </c>
    </row>
    <row r="465" spans="2:10">
      <c r="B465" s="131" t="s">
        <v>294</v>
      </c>
      <c r="C465" s="102">
        <v>0</v>
      </c>
      <c r="D465" s="102">
        <v>0</v>
      </c>
      <c r="E465" s="102">
        <v>0</v>
      </c>
      <c r="F465" s="102">
        <v>0</v>
      </c>
      <c r="G465" s="102">
        <v>0</v>
      </c>
      <c r="H465" s="102">
        <v>0</v>
      </c>
      <c r="I465" s="102">
        <v>0</v>
      </c>
      <c r="J465" s="102">
        <v>0</v>
      </c>
    </row>
    <row r="466" spans="2:10">
      <c r="B466" s="131" t="s">
        <v>293</v>
      </c>
      <c r="C466" s="102">
        <v>0</v>
      </c>
      <c r="D466" s="102">
        <v>0</v>
      </c>
      <c r="E466" s="102">
        <v>0</v>
      </c>
      <c r="F466" s="102">
        <v>0</v>
      </c>
      <c r="G466" s="102">
        <v>0</v>
      </c>
      <c r="H466" s="102">
        <v>0</v>
      </c>
      <c r="I466" s="102">
        <v>0</v>
      </c>
      <c r="J466" s="102">
        <v>0</v>
      </c>
    </row>
    <row r="467" spans="2:10">
      <c r="B467" s="131" t="s">
        <v>292</v>
      </c>
      <c r="C467" s="102">
        <v>0</v>
      </c>
      <c r="D467" s="102">
        <v>0</v>
      </c>
      <c r="E467" s="102">
        <v>0</v>
      </c>
      <c r="F467" s="102">
        <v>0</v>
      </c>
      <c r="G467" s="102">
        <v>0</v>
      </c>
      <c r="H467" s="102">
        <v>0</v>
      </c>
      <c r="I467" s="102">
        <v>0</v>
      </c>
      <c r="J467" s="102">
        <v>0</v>
      </c>
    </row>
    <row r="468" spans="2:10">
      <c r="B468" s="131" t="s">
        <v>291</v>
      </c>
      <c r="C468" s="102">
        <v>0</v>
      </c>
      <c r="D468" s="102">
        <v>0</v>
      </c>
      <c r="E468" s="102">
        <v>0</v>
      </c>
      <c r="F468" s="102">
        <v>0</v>
      </c>
      <c r="G468" s="102">
        <v>0</v>
      </c>
      <c r="H468" s="102">
        <v>0</v>
      </c>
      <c r="I468" s="102">
        <v>0</v>
      </c>
      <c r="J468" s="102">
        <v>0</v>
      </c>
    </row>
    <row r="469" spans="2:10">
      <c r="B469" s="131" t="s">
        <v>290</v>
      </c>
      <c r="C469" s="102">
        <v>0</v>
      </c>
      <c r="D469" s="102">
        <v>0</v>
      </c>
      <c r="E469" s="102">
        <v>0</v>
      </c>
      <c r="F469" s="102">
        <v>0</v>
      </c>
      <c r="G469" s="102">
        <v>0</v>
      </c>
      <c r="H469" s="102">
        <v>0</v>
      </c>
      <c r="I469" s="102">
        <v>0</v>
      </c>
      <c r="J469" s="102">
        <v>0</v>
      </c>
    </row>
    <row r="470" spans="2:10">
      <c r="B470" s="131" t="s">
        <v>289</v>
      </c>
      <c r="C470" s="102">
        <v>0</v>
      </c>
      <c r="D470" s="102">
        <v>0</v>
      </c>
      <c r="E470" s="102">
        <v>0</v>
      </c>
      <c r="F470" s="102">
        <v>0</v>
      </c>
      <c r="G470" s="102">
        <v>0</v>
      </c>
      <c r="H470" s="102">
        <v>0</v>
      </c>
      <c r="I470" s="102">
        <v>0</v>
      </c>
      <c r="J470" s="102">
        <v>0</v>
      </c>
    </row>
    <row r="471" spans="2:10">
      <c r="B471" s="131" t="s">
        <v>288</v>
      </c>
      <c r="C471" s="102">
        <v>0</v>
      </c>
      <c r="D471" s="102">
        <v>0</v>
      </c>
      <c r="E471" s="102">
        <v>0</v>
      </c>
      <c r="F471" s="102">
        <v>0</v>
      </c>
      <c r="G471" s="102">
        <v>0</v>
      </c>
      <c r="H471" s="102">
        <v>0</v>
      </c>
      <c r="I471" s="102">
        <v>0</v>
      </c>
      <c r="J471" s="102">
        <v>0</v>
      </c>
    </row>
    <row r="472" spans="2:10">
      <c r="B472" s="65" t="s">
        <v>287</v>
      </c>
      <c r="C472" s="530">
        <v>0.85150000000000003</v>
      </c>
      <c r="D472" s="530">
        <v>0.84419999999999995</v>
      </c>
      <c r="E472" s="530">
        <v>0.82930000000000004</v>
      </c>
      <c r="F472" s="530">
        <v>0.79820000000000002</v>
      </c>
      <c r="G472" s="530">
        <v>0.86160000000000003</v>
      </c>
      <c r="H472" s="530">
        <v>0.83930000000000005</v>
      </c>
      <c r="I472" s="530">
        <v>0.81340000000000001</v>
      </c>
      <c r="J472" s="530">
        <v>0.75155682277511904</v>
      </c>
    </row>
    <row r="473" spans="2:10">
      <c r="B473" s="65"/>
      <c r="C473" s="530"/>
      <c r="D473" s="530"/>
      <c r="E473" s="530"/>
      <c r="F473" s="530"/>
      <c r="G473" s="530"/>
      <c r="H473" s="530"/>
      <c r="I473" s="530"/>
      <c r="J473" s="530"/>
    </row>
    <row r="474" spans="2:10">
      <c r="B474" s="532" t="s">
        <v>945</v>
      </c>
      <c r="C474" s="102"/>
      <c r="D474" s="102"/>
      <c r="E474" s="102"/>
      <c r="F474" s="102"/>
      <c r="G474" s="102"/>
      <c r="H474" s="102"/>
      <c r="I474" s="102"/>
      <c r="J474" s="102"/>
    </row>
    <row r="475" spans="2:10">
      <c r="B475" s="71" t="s">
        <v>297</v>
      </c>
      <c r="C475" s="102"/>
      <c r="D475" s="102"/>
      <c r="E475" s="102"/>
      <c r="F475" s="102"/>
      <c r="G475" s="102"/>
      <c r="H475" s="102"/>
      <c r="I475" s="102">
        <v>154.41584800000001</v>
      </c>
      <c r="J475" s="102">
        <v>7979.11</v>
      </c>
    </row>
    <row r="476" spans="2:10">
      <c r="B476" s="133" t="s">
        <v>296</v>
      </c>
      <c r="C476" s="102"/>
      <c r="D476" s="102"/>
      <c r="E476" s="102"/>
      <c r="F476" s="102"/>
      <c r="G476" s="102"/>
      <c r="H476" s="102"/>
      <c r="I476" s="102">
        <v>154.41584800000001</v>
      </c>
      <c r="J476" s="102">
        <v>7979.11</v>
      </c>
    </row>
    <row r="477" spans="2:10">
      <c r="B477" s="131" t="s">
        <v>294</v>
      </c>
      <c r="C477" s="102"/>
      <c r="D477" s="102"/>
      <c r="E477" s="102"/>
      <c r="F477" s="102"/>
      <c r="G477" s="102"/>
      <c r="H477" s="102"/>
      <c r="I477" s="102">
        <v>154.41584800000001</v>
      </c>
      <c r="J477" s="102">
        <v>7979.11</v>
      </c>
    </row>
    <row r="478" spans="2:10">
      <c r="B478" s="131" t="s">
        <v>293</v>
      </c>
      <c r="C478" s="102"/>
      <c r="D478" s="102"/>
      <c r="E478" s="102"/>
      <c r="F478" s="102"/>
      <c r="G478" s="102"/>
      <c r="H478" s="102"/>
      <c r="I478" s="102">
        <v>0</v>
      </c>
      <c r="J478" s="102">
        <v>0</v>
      </c>
    </row>
    <row r="479" spans="2:10">
      <c r="B479" s="131" t="s">
        <v>292</v>
      </c>
      <c r="C479" s="102"/>
      <c r="D479" s="102"/>
      <c r="E479" s="102"/>
      <c r="F479" s="102"/>
      <c r="G479" s="102"/>
      <c r="H479" s="102"/>
      <c r="I479" s="102">
        <v>0</v>
      </c>
      <c r="J479" s="102">
        <v>0</v>
      </c>
    </row>
    <row r="480" spans="2:10">
      <c r="B480" s="131" t="s">
        <v>291</v>
      </c>
      <c r="C480" s="102"/>
      <c r="D480" s="102"/>
      <c r="E480" s="102"/>
      <c r="F480" s="102"/>
      <c r="G480" s="102"/>
      <c r="H480" s="102"/>
      <c r="I480" s="102">
        <v>0</v>
      </c>
      <c r="J480" s="102">
        <v>0</v>
      </c>
    </row>
    <row r="481" spans="2:10">
      <c r="B481" s="131" t="s">
        <v>290</v>
      </c>
      <c r="C481" s="102"/>
      <c r="D481" s="102"/>
      <c r="E481" s="102"/>
      <c r="F481" s="102"/>
      <c r="G481" s="102"/>
      <c r="H481" s="102"/>
      <c r="I481" s="102">
        <v>0</v>
      </c>
      <c r="J481" s="102">
        <v>0</v>
      </c>
    </row>
    <row r="482" spans="2:10">
      <c r="B482" s="131" t="s">
        <v>289</v>
      </c>
      <c r="C482" s="102"/>
      <c r="D482" s="102"/>
      <c r="E482" s="102"/>
      <c r="F482" s="102"/>
      <c r="G482" s="102"/>
      <c r="H482" s="102"/>
      <c r="I482" s="102">
        <v>0</v>
      </c>
      <c r="J482" s="102">
        <v>0</v>
      </c>
    </row>
    <row r="483" spans="2:10">
      <c r="B483" s="131" t="s">
        <v>288</v>
      </c>
      <c r="C483" s="102"/>
      <c r="D483" s="102"/>
      <c r="E483" s="102"/>
      <c r="F483" s="102"/>
      <c r="G483" s="102"/>
      <c r="H483" s="102"/>
      <c r="I483" s="102">
        <v>0</v>
      </c>
      <c r="J483" s="102">
        <v>0</v>
      </c>
    </row>
    <row r="484" spans="2:10">
      <c r="B484" s="132" t="s">
        <v>295</v>
      </c>
      <c r="C484" s="102"/>
      <c r="D484" s="102"/>
      <c r="E484" s="102"/>
      <c r="F484" s="102"/>
      <c r="G484" s="102"/>
      <c r="H484" s="102"/>
      <c r="I484" s="102">
        <v>0</v>
      </c>
      <c r="J484" s="102">
        <v>0</v>
      </c>
    </row>
    <row r="485" spans="2:10">
      <c r="B485" s="131" t="s">
        <v>294</v>
      </c>
      <c r="C485" s="102"/>
      <c r="D485" s="102"/>
      <c r="E485" s="102"/>
      <c r="F485" s="102"/>
      <c r="G485" s="102"/>
      <c r="H485" s="102"/>
      <c r="I485" s="102">
        <v>0</v>
      </c>
      <c r="J485" s="102">
        <v>0</v>
      </c>
    </row>
    <row r="486" spans="2:10">
      <c r="B486" s="131" t="s">
        <v>293</v>
      </c>
      <c r="C486" s="102"/>
      <c r="D486" s="102"/>
      <c r="E486" s="102"/>
      <c r="F486" s="102"/>
      <c r="G486" s="102"/>
      <c r="H486" s="102"/>
      <c r="I486" s="102">
        <v>0</v>
      </c>
      <c r="J486" s="102">
        <v>0</v>
      </c>
    </row>
    <row r="487" spans="2:10">
      <c r="B487" s="131" t="s">
        <v>292</v>
      </c>
      <c r="C487" s="102"/>
      <c r="D487" s="102"/>
      <c r="E487" s="102"/>
      <c r="F487" s="102"/>
      <c r="G487" s="102"/>
      <c r="H487" s="102"/>
      <c r="I487" s="102">
        <v>0</v>
      </c>
      <c r="J487" s="102">
        <v>0</v>
      </c>
    </row>
    <row r="488" spans="2:10">
      <c r="B488" s="131" t="s">
        <v>291</v>
      </c>
      <c r="C488" s="102"/>
      <c r="D488" s="102"/>
      <c r="E488" s="102"/>
      <c r="F488" s="102"/>
      <c r="G488" s="102"/>
      <c r="H488" s="102"/>
      <c r="I488" s="102">
        <v>0</v>
      </c>
      <c r="J488" s="102">
        <v>0</v>
      </c>
    </row>
    <row r="489" spans="2:10">
      <c r="B489" s="131" t="s">
        <v>290</v>
      </c>
      <c r="C489" s="102"/>
      <c r="D489" s="102"/>
      <c r="E489" s="102"/>
      <c r="F489" s="102"/>
      <c r="G489" s="102"/>
      <c r="H489" s="102"/>
      <c r="I489" s="102">
        <v>0</v>
      </c>
      <c r="J489" s="102">
        <v>0</v>
      </c>
    </row>
    <row r="490" spans="2:10">
      <c r="B490" s="131" t="s">
        <v>289</v>
      </c>
      <c r="C490" s="102"/>
      <c r="D490" s="102"/>
      <c r="E490" s="102"/>
      <c r="F490" s="102"/>
      <c r="G490" s="102"/>
      <c r="H490" s="102"/>
      <c r="I490" s="102">
        <v>0</v>
      </c>
      <c r="J490" s="102">
        <v>0</v>
      </c>
    </row>
    <row r="491" spans="2:10">
      <c r="B491" s="131" t="s">
        <v>288</v>
      </c>
      <c r="C491" s="102"/>
      <c r="D491" s="102"/>
      <c r="E491" s="102"/>
      <c r="F491" s="102"/>
      <c r="G491" s="102"/>
      <c r="H491" s="102"/>
      <c r="I491" s="102">
        <v>0</v>
      </c>
      <c r="J491" s="102">
        <v>0</v>
      </c>
    </row>
    <row r="492" spans="2:10" ht="15" thickBot="1">
      <c r="B492" s="533" t="s">
        <v>287</v>
      </c>
      <c r="C492" s="530"/>
      <c r="D492" s="530"/>
      <c r="E492" s="530"/>
      <c r="F492" s="530"/>
      <c r="G492" s="530"/>
      <c r="H492" s="530"/>
      <c r="I492" s="530">
        <v>0.64029999999999998</v>
      </c>
      <c r="J492" s="530">
        <v>0.59399999999999997</v>
      </c>
    </row>
    <row r="493" spans="2:10" ht="15" thickTop="1">
      <c r="B493" s="2025"/>
      <c r="C493" s="2025"/>
      <c r="D493" s="2025"/>
      <c r="E493" s="2025"/>
      <c r="F493" s="2025"/>
      <c r="G493" s="2025"/>
      <c r="H493" s="2025"/>
      <c r="I493" s="2025"/>
      <c r="J493" s="2025"/>
    </row>
    <row r="494" spans="2:10">
      <c r="B494" s="2066"/>
      <c r="C494" s="2066"/>
      <c r="D494" s="2066"/>
      <c r="E494" s="2066"/>
      <c r="F494" s="2066"/>
      <c r="G494" s="2066"/>
      <c r="H494" s="2066"/>
      <c r="I494" s="2066"/>
      <c r="J494" s="2066"/>
    </row>
    <row r="495" spans="2:10">
      <c r="B495" s="64"/>
    </row>
    <row r="496" spans="2:10">
      <c r="B496" s="2024" t="s">
        <v>313</v>
      </c>
      <c r="C496" s="2024"/>
      <c r="D496" s="2024"/>
      <c r="E496" s="2024"/>
      <c r="F496" s="2024"/>
      <c r="G496" s="2024"/>
      <c r="H496" s="2024"/>
      <c r="I496" s="2024"/>
      <c r="J496" s="2024"/>
    </row>
    <row r="497" spans="2:10">
      <c r="B497" s="12" t="s">
        <v>312</v>
      </c>
    </row>
    <row r="498" spans="2:10">
      <c r="B498" s="62" t="s">
        <v>311</v>
      </c>
    </row>
    <row r="499" spans="2:10">
      <c r="B499" s="64"/>
    </row>
    <row r="500" spans="2:10">
      <c r="B500" s="61"/>
      <c r="C500" s="60">
        <v>2014</v>
      </c>
      <c r="D500" s="60">
        <v>2015</v>
      </c>
      <c r="E500" s="60">
        <v>2016</v>
      </c>
      <c r="F500" s="60">
        <v>2017</v>
      </c>
      <c r="G500" s="60">
        <v>2018</v>
      </c>
      <c r="H500" s="60">
        <v>2019</v>
      </c>
      <c r="I500" s="60">
        <v>2020</v>
      </c>
      <c r="J500" s="60">
        <v>2021</v>
      </c>
    </row>
    <row r="501" spans="2:10">
      <c r="B501" s="114" t="s">
        <v>310</v>
      </c>
      <c r="C501" s="107"/>
      <c r="D501" s="107"/>
      <c r="E501" s="107"/>
      <c r="F501" s="107"/>
      <c r="G501" s="107"/>
      <c r="H501" s="107"/>
      <c r="I501" s="107"/>
      <c r="J501" s="107"/>
    </row>
    <row r="502" spans="2:10">
      <c r="B502" s="114"/>
      <c r="C502" s="107"/>
      <c r="D502" s="107"/>
      <c r="E502" s="107"/>
      <c r="F502" s="107"/>
      <c r="G502" s="107"/>
      <c r="H502" s="107"/>
      <c r="I502" s="107"/>
      <c r="J502" s="107"/>
    </row>
    <row r="503" spans="2:10">
      <c r="B503" s="59" t="s">
        <v>940</v>
      </c>
      <c r="C503" s="107"/>
      <c r="D503" s="107"/>
      <c r="E503" s="107"/>
      <c r="F503" s="107"/>
      <c r="G503" s="107"/>
      <c r="H503" s="107"/>
      <c r="I503" s="107"/>
      <c r="J503" s="107"/>
    </row>
    <row r="504" spans="2:10">
      <c r="B504" s="71" t="s">
        <v>297</v>
      </c>
      <c r="C504" s="102">
        <v>113277194.98747188</v>
      </c>
      <c r="D504" s="102">
        <v>83545793.854494259</v>
      </c>
      <c r="E504" s="102">
        <v>89879150.519048035</v>
      </c>
      <c r="F504" s="102">
        <v>92884398.242756456</v>
      </c>
      <c r="G504" s="102">
        <v>96522701.851851851</v>
      </c>
      <c r="H504" s="102">
        <v>99990433.476090327</v>
      </c>
      <c r="I504" s="102">
        <v>115761499.88561015</v>
      </c>
      <c r="J504" s="102">
        <v>171333136.37964267</v>
      </c>
    </row>
    <row r="505" spans="2:10">
      <c r="B505" s="133" t="s">
        <v>296</v>
      </c>
      <c r="C505" s="102">
        <v>113277194.98747188</v>
      </c>
      <c r="D505" s="102">
        <v>83545793.854494259</v>
      </c>
      <c r="E505" s="102">
        <v>89879150.519048035</v>
      </c>
      <c r="F505" s="102">
        <v>92884398.242756456</v>
      </c>
      <c r="G505" s="102">
        <v>96522701.851851851</v>
      </c>
      <c r="H505" s="102">
        <v>99990433.476090327</v>
      </c>
      <c r="I505" s="102">
        <v>115761499.88632673</v>
      </c>
      <c r="J505" s="102">
        <v>171333136.37964267</v>
      </c>
    </row>
    <row r="506" spans="2:10">
      <c r="B506" s="132" t="s">
        <v>295</v>
      </c>
      <c r="C506" s="129">
        <v>0</v>
      </c>
      <c r="D506" s="129">
        <v>0</v>
      </c>
      <c r="E506" s="129">
        <v>0</v>
      </c>
      <c r="F506" s="129">
        <v>0</v>
      </c>
      <c r="G506" s="129">
        <v>0</v>
      </c>
      <c r="H506" s="129">
        <v>0</v>
      </c>
      <c r="I506" s="129">
        <v>0</v>
      </c>
      <c r="J506" s="129">
        <v>0</v>
      </c>
    </row>
    <row r="507" spans="2:10">
      <c r="B507" s="132" t="s">
        <v>303</v>
      </c>
      <c r="C507" s="129">
        <v>0</v>
      </c>
      <c r="D507" s="129">
        <v>0</v>
      </c>
      <c r="E507" s="129">
        <v>0</v>
      </c>
      <c r="F507" s="129">
        <v>0</v>
      </c>
      <c r="G507" s="129">
        <v>0</v>
      </c>
      <c r="H507" s="129">
        <v>0</v>
      </c>
      <c r="I507" s="129">
        <v>0</v>
      </c>
      <c r="J507" s="129">
        <v>0</v>
      </c>
    </row>
    <row r="508" spans="2:10">
      <c r="B508" s="65" t="s">
        <v>287</v>
      </c>
      <c r="C508" s="534">
        <v>0.60419999999999996</v>
      </c>
      <c r="D508" s="534">
        <v>0.58479999999999999</v>
      </c>
      <c r="E508" s="534">
        <v>0.62080000000000002</v>
      </c>
      <c r="F508" s="534">
        <v>0.5857</v>
      </c>
      <c r="G508" s="534">
        <v>0.60580000000000001</v>
      </c>
      <c r="H508" s="534">
        <v>0.58460000000000001</v>
      </c>
      <c r="I508" s="534">
        <v>0.62860000000000005</v>
      </c>
      <c r="J508" s="534">
        <v>0.71479999999999999</v>
      </c>
    </row>
    <row r="509" spans="2:10">
      <c r="B509" s="65"/>
      <c r="C509" s="529"/>
      <c r="D509" s="529"/>
      <c r="E509" s="529"/>
      <c r="F509" s="529"/>
      <c r="G509" s="529"/>
      <c r="H509" s="529"/>
      <c r="I509" s="529"/>
      <c r="J509" s="529"/>
    </row>
    <row r="510" spans="2:10" ht="15">
      <c r="B510" s="59" t="s">
        <v>941</v>
      </c>
      <c r="C510" s="529"/>
      <c r="D510" s="529"/>
      <c r="E510" s="529"/>
      <c r="F510" s="529"/>
      <c r="G510" s="529"/>
      <c r="H510" s="529"/>
      <c r="I510" s="529"/>
      <c r="J510" s="529"/>
    </row>
    <row r="511" spans="2:10">
      <c r="B511" s="71" t="s">
        <v>297</v>
      </c>
      <c r="C511" s="129">
        <v>0</v>
      </c>
      <c r="D511" s="129">
        <v>0</v>
      </c>
      <c r="E511" s="129">
        <v>0</v>
      </c>
      <c r="F511" s="129">
        <v>0</v>
      </c>
      <c r="G511" s="129">
        <v>0</v>
      </c>
      <c r="H511" s="129">
        <v>0</v>
      </c>
      <c r="I511" s="129">
        <v>0</v>
      </c>
      <c r="J511" s="129">
        <v>0</v>
      </c>
    </row>
    <row r="512" spans="2:10">
      <c r="B512" s="133" t="s">
        <v>296</v>
      </c>
      <c r="C512" s="129">
        <v>0</v>
      </c>
      <c r="D512" s="129">
        <v>0</v>
      </c>
      <c r="E512" s="129">
        <v>0</v>
      </c>
      <c r="F512" s="129">
        <v>0</v>
      </c>
      <c r="G512" s="129">
        <v>0</v>
      </c>
      <c r="H512" s="129">
        <v>0</v>
      </c>
      <c r="I512" s="129">
        <v>0</v>
      </c>
      <c r="J512" s="129">
        <v>0</v>
      </c>
    </row>
    <row r="513" spans="2:10">
      <c r="B513" s="132" t="s">
        <v>295</v>
      </c>
      <c r="C513" s="129">
        <v>0</v>
      </c>
      <c r="D513" s="129">
        <v>0</v>
      </c>
      <c r="E513" s="129">
        <v>0</v>
      </c>
      <c r="F513" s="129">
        <v>0</v>
      </c>
      <c r="G513" s="129">
        <v>0</v>
      </c>
      <c r="H513" s="129">
        <v>0</v>
      </c>
      <c r="I513" s="129">
        <v>0</v>
      </c>
      <c r="J513" s="129">
        <v>0</v>
      </c>
    </row>
    <row r="514" spans="2:10">
      <c r="B514" s="132" t="s">
        <v>303</v>
      </c>
      <c r="C514" s="129">
        <v>0</v>
      </c>
      <c r="D514" s="129">
        <v>0</v>
      </c>
      <c r="E514" s="129">
        <v>0</v>
      </c>
      <c r="F514" s="129">
        <v>0</v>
      </c>
      <c r="G514" s="129">
        <v>0</v>
      </c>
      <c r="H514" s="129">
        <v>0</v>
      </c>
      <c r="I514" s="129">
        <v>0</v>
      </c>
      <c r="J514" s="129">
        <v>0</v>
      </c>
    </row>
    <row r="515" spans="2:10">
      <c r="B515" s="65" t="s">
        <v>287</v>
      </c>
      <c r="C515" s="534" t="s">
        <v>2086</v>
      </c>
      <c r="D515" s="535" t="s">
        <v>2086</v>
      </c>
      <c r="E515" s="129">
        <v>0</v>
      </c>
      <c r="F515" s="129">
        <v>0</v>
      </c>
      <c r="G515" s="129">
        <v>0</v>
      </c>
      <c r="H515" s="129">
        <v>0</v>
      </c>
      <c r="I515" s="129">
        <v>0</v>
      </c>
      <c r="J515" s="129">
        <v>0</v>
      </c>
    </row>
    <row r="516" spans="2:10">
      <c r="B516" s="59"/>
      <c r="C516" s="529"/>
      <c r="D516" s="529"/>
      <c r="E516" s="529"/>
      <c r="F516" s="529"/>
      <c r="G516" s="529"/>
      <c r="H516" s="529"/>
      <c r="I516" s="529"/>
      <c r="J516" s="529"/>
    </row>
    <row r="517" spans="2:10">
      <c r="B517" s="59" t="s">
        <v>942</v>
      </c>
      <c r="C517" s="529"/>
      <c r="D517" s="529"/>
      <c r="E517" s="529"/>
      <c r="F517" s="529"/>
      <c r="G517" s="529"/>
      <c r="H517" s="529"/>
      <c r="I517" s="529"/>
      <c r="J517" s="529"/>
    </row>
    <row r="518" spans="2:10">
      <c r="B518" s="71" t="s">
        <v>297</v>
      </c>
      <c r="C518" s="102">
        <v>352642.12001528859</v>
      </c>
      <c r="D518" s="102">
        <v>325998.44250756287</v>
      </c>
      <c r="E518" s="102">
        <v>302587.48887549166</v>
      </c>
      <c r="F518" s="102">
        <v>320197.33750978857</v>
      </c>
      <c r="G518" s="102">
        <v>298661.57886098803</v>
      </c>
      <c r="H518" s="102">
        <v>338155.64734801452</v>
      </c>
      <c r="I518" s="102">
        <v>265811.72704701847</v>
      </c>
      <c r="J518" s="102">
        <v>290703.9381538587</v>
      </c>
    </row>
    <row r="519" spans="2:10">
      <c r="B519" s="133" t="s">
        <v>296</v>
      </c>
      <c r="C519" s="102">
        <v>352642.12001528859</v>
      </c>
      <c r="D519" s="102">
        <v>325998.44250756287</v>
      </c>
      <c r="E519" s="102">
        <v>302587.48887549166</v>
      </c>
      <c r="F519" s="102">
        <v>320197.33750978857</v>
      </c>
      <c r="G519" s="102">
        <v>298661.57886098803</v>
      </c>
      <c r="H519" s="102">
        <v>338155.64734801452</v>
      </c>
      <c r="I519" s="102">
        <v>265811.72704701847</v>
      </c>
      <c r="J519" s="102">
        <v>290703.9381538587</v>
      </c>
    </row>
    <row r="520" spans="2:10">
      <c r="B520" s="132" t="s">
        <v>295</v>
      </c>
      <c r="C520" s="129">
        <v>0</v>
      </c>
      <c r="D520" s="129">
        <v>0</v>
      </c>
      <c r="E520" s="129">
        <v>0</v>
      </c>
      <c r="F520" s="129">
        <v>0</v>
      </c>
      <c r="G520" s="129">
        <v>0</v>
      </c>
      <c r="H520" s="129">
        <v>0</v>
      </c>
      <c r="I520" s="129">
        <v>0</v>
      </c>
      <c r="J520" s="129">
        <v>0</v>
      </c>
    </row>
    <row r="521" spans="2:10">
      <c r="B521" s="132" t="s">
        <v>303</v>
      </c>
      <c r="C521" s="129">
        <v>0</v>
      </c>
      <c r="D521" s="129">
        <v>0</v>
      </c>
      <c r="E521" s="129">
        <v>0</v>
      </c>
      <c r="F521" s="129">
        <v>0</v>
      </c>
      <c r="G521" s="129">
        <v>0</v>
      </c>
      <c r="H521" s="129">
        <v>0</v>
      </c>
      <c r="I521" s="129">
        <v>0</v>
      </c>
      <c r="J521" s="129">
        <v>0</v>
      </c>
    </row>
    <row r="522" spans="2:10">
      <c r="B522" s="65" t="s">
        <v>287</v>
      </c>
      <c r="C522" s="536">
        <v>0.61539999999999995</v>
      </c>
      <c r="D522" s="537">
        <v>0.40820000000000001</v>
      </c>
      <c r="E522" s="537">
        <v>0.40739999999999998</v>
      </c>
      <c r="F522" s="537">
        <v>0.41399999999999998</v>
      </c>
      <c r="G522" s="537">
        <v>0.42249999999999999</v>
      </c>
      <c r="H522" s="537">
        <v>0.42030000000000001</v>
      </c>
      <c r="I522" s="537">
        <v>0.44919999999999999</v>
      </c>
      <c r="J522" s="537">
        <v>0.45140000000000002</v>
      </c>
    </row>
    <row r="523" spans="2:10">
      <c r="B523" s="65"/>
      <c r="C523" s="529"/>
      <c r="D523" s="529"/>
      <c r="E523" s="529"/>
      <c r="F523" s="529"/>
      <c r="G523" s="529"/>
      <c r="H523" s="529"/>
      <c r="I523" s="529"/>
      <c r="J523" s="529"/>
    </row>
    <row r="524" spans="2:10">
      <c r="B524" s="532" t="s">
        <v>302</v>
      </c>
      <c r="C524" s="529"/>
      <c r="D524" s="529"/>
      <c r="E524" s="529"/>
      <c r="F524" s="529"/>
      <c r="G524" s="529"/>
      <c r="H524" s="529"/>
      <c r="I524" s="529"/>
      <c r="J524" s="529"/>
    </row>
    <row r="525" spans="2:10">
      <c r="B525" s="532"/>
      <c r="C525" s="529"/>
      <c r="D525" s="529"/>
      <c r="E525" s="529"/>
      <c r="F525" s="529"/>
      <c r="G525" s="529"/>
      <c r="H525" s="529"/>
      <c r="I525" s="529"/>
      <c r="J525" s="529"/>
    </row>
    <row r="526" spans="2:10" ht="15">
      <c r="B526" s="59" t="s">
        <v>941</v>
      </c>
      <c r="C526" s="529"/>
      <c r="D526" s="529"/>
      <c r="E526" s="529"/>
      <c r="F526" s="529"/>
      <c r="G526" s="529"/>
      <c r="H526" s="529"/>
      <c r="I526" s="529"/>
      <c r="J526" s="529"/>
    </row>
    <row r="527" spans="2:10">
      <c r="B527" s="71" t="s">
        <v>297</v>
      </c>
      <c r="C527" s="102">
        <v>1647164.5649127278</v>
      </c>
      <c r="D527" s="102">
        <v>1237583.5612663613</v>
      </c>
      <c r="E527" s="102">
        <v>1247815.5895271725</v>
      </c>
      <c r="F527" s="102">
        <v>1468621.1022709475</v>
      </c>
      <c r="G527" s="102">
        <v>1440468.9679413533</v>
      </c>
      <c r="H527" s="102">
        <v>1502080.5488993512</v>
      </c>
      <c r="I527" s="102">
        <v>1304857.2628106945</v>
      </c>
      <c r="J527" s="102">
        <v>1305793.857563941</v>
      </c>
    </row>
    <row r="528" spans="2:10">
      <c r="B528" s="133" t="s">
        <v>296</v>
      </c>
      <c r="C528" s="102">
        <v>1647164.5649127278</v>
      </c>
      <c r="D528" s="102">
        <v>1237583.5612663613</v>
      </c>
      <c r="E528" s="102">
        <v>1247815.5895271725</v>
      </c>
      <c r="F528" s="102">
        <v>1468621.1022709475</v>
      </c>
      <c r="G528" s="102">
        <v>1440468.9679413533</v>
      </c>
      <c r="H528" s="102">
        <v>1502080.5488993512</v>
      </c>
      <c r="I528" s="102">
        <v>1304857.2628106945</v>
      </c>
      <c r="J528" s="102">
        <v>1305793.857563941</v>
      </c>
    </row>
    <row r="529" spans="2:10">
      <c r="B529" s="131" t="s">
        <v>294</v>
      </c>
      <c r="C529" s="102">
        <v>1647164.5649127278</v>
      </c>
      <c r="D529" s="102">
        <v>1237583.5612663613</v>
      </c>
      <c r="E529" s="102">
        <v>1247815.5895271725</v>
      </c>
      <c r="F529" s="102">
        <v>1468621.1022709475</v>
      </c>
      <c r="G529" s="102">
        <v>1440468.9679413533</v>
      </c>
      <c r="H529" s="102">
        <v>1502080.5488993512</v>
      </c>
      <c r="I529" s="102">
        <v>1304857.2628106945</v>
      </c>
      <c r="J529" s="102">
        <v>1305793.857563941</v>
      </c>
    </row>
    <row r="530" spans="2:10">
      <c r="B530" s="131" t="s">
        <v>293</v>
      </c>
      <c r="C530" s="129">
        <v>0</v>
      </c>
      <c r="D530" s="129">
        <v>0</v>
      </c>
      <c r="E530" s="129">
        <v>0</v>
      </c>
      <c r="F530" s="129">
        <v>0</v>
      </c>
      <c r="G530" s="129">
        <v>0</v>
      </c>
      <c r="H530" s="129">
        <v>0</v>
      </c>
      <c r="I530" s="129">
        <v>0</v>
      </c>
      <c r="J530" s="129">
        <v>0</v>
      </c>
    </row>
    <row r="531" spans="2:10">
      <c r="B531" s="131" t="s">
        <v>292</v>
      </c>
      <c r="C531" s="129">
        <v>0</v>
      </c>
      <c r="D531" s="129">
        <v>0</v>
      </c>
      <c r="E531" s="129">
        <v>0</v>
      </c>
      <c r="F531" s="129">
        <v>0</v>
      </c>
      <c r="G531" s="129">
        <v>0</v>
      </c>
      <c r="H531" s="129">
        <v>0</v>
      </c>
      <c r="I531" s="129">
        <v>0</v>
      </c>
      <c r="J531" s="129">
        <v>0</v>
      </c>
    </row>
    <row r="532" spans="2:10">
      <c r="B532" s="131" t="s">
        <v>291</v>
      </c>
      <c r="C532" s="129">
        <v>0</v>
      </c>
      <c r="D532" s="129">
        <v>0</v>
      </c>
      <c r="E532" s="129">
        <v>0</v>
      </c>
      <c r="F532" s="129">
        <v>0</v>
      </c>
      <c r="G532" s="129">
        <v>0</v>
      </c>
      <c r="H532" s="129">
        <v>0</v>
      </c>
      <c r="I532" s="129">
        <v>0</v>
      </c>
      <c r="J532" s="129">
        <v>0</v>
      </c>
    </row>
    <row r="533" spans="2:10">
      <c r="B533" s="131" t="s">
        <v>290</v>
      </c>
      <c r="C533" s="129">
        <v>0</v>
      </c>
      <c r="D533" s="129">
        <v>0</v>
      </c>
      <c r="E533" s="129">
        <v>0</v>
      </c>
      <c r="F533" s="129">
        <v>0</v>
      </c>
      <c r="G533" s="129">
        <v>0</v>
      </c>
      <c r="H533" s="129">
        <v>0</v>
      </c>
      <c r="I533" s="129">
        <v>0</v>
      </c>
      <c r="J533" s="129">
        <v>0</v>
      </c>
    </row>
    <row r="534" spans="2:10">
      <c r="B534" s="131" t="s">
        <v>289</v>
      </c>
      <c r="C534" s="129">
        <v>0</v>
      </c>
      <c r="D534" s="129">
        <v>0</v>
      </c>
      <c r="E534" s="129">
        <v>0</v>
      </c>
      <c r="F534" s="129">
        <v>0</v>
      </c>
      <c r="G534" s="129">
        <v>0</v>
      </c>
      <c r="H534" s="129">
        <v>0</v>
      </c>
      <c r="I534" s="129">
        <v>0</v>
      </c>
      <c r="J534" s="129">
        <v>0</v>
      </c>
    </row>
    <row r="535" spans="2:10">
      <c r="B535" s="131" t="s">
        <v>288</v>
      </c>
      <c r="C535" s="129">
        <v>0</v>
      </c>
      <c r="D535" s="129">
        <v>0</v>
      </c>
      <c r="E535" s="129">
        <v>0</v>
      </c>
      <c r="F535" s="129">
        <v>0</v>
      </c>
      <c r="G535" s="129">
        <v>0</v>
      </c>
      <c r="H535" s="129">
        <v>0</v>
      </c>
      <c r="I535" s="129">
        <v>0</v>
      </c>
      <c r="J535" s="129">
        <v>0</v>
      </c>
    </row>
    <row r="536" spans="2:10">
      <c r="B536" s="132" t="s">
        <v>295</v>
      </c>
      <c r="C536" s="129">
        <v>0</v>
      </c>
      <c r="D536" s="129">
        <v>0</v>
      </c>
      <c r="E536" s="129">
        <v>0</v>
      </c>
      <c r="F536" s="129">
        <v>0</v>
      </c>
      <c r="G536" s="129">
        <v>0</v>
      </c>
      <c r="H536" s="129">
        <v>0</v>
      </c>
      <c r="I536" s="129">
        <v>0</v>
      </c>
      <c r="J536" s="129">
        <v>0</v>
      </c>
    </row>
    <row r="537" spans="2:10">
      <c r="B537" s="131" t="s">
        <v>294</v>
      </c>
      <c r="C537" s="129">
        <v>0</v>
      </c>
      <c r="D537" s="129">
        <v>0</v>
      </c>
      <c r="E537" s="129">
        <v>0</v>
      </c>
      <c r="F537" s="129">
        <v>0</v>
      </c>
      <c r="G537" s="129">
        <v>0</v>
      </c>
      <c r="H537" s="129">
        <v>0</v>
      </c>
      <c r="I537" s="129">
        <v>0</v>
      </c>
      <c r="J537" s="129">
        <v>0</v>
      </c>
    </row>
    <row r="538" spans="2:10">
      <c r="B538" s="131" t="s">
        <v>293</v>
      </c>
      <c r="C538" s="129">
        <v>0</v>
      </c>
      <c r="D538" s="129">
        <v>0</v>
      </c>
      <c r="E538" s="129">
        <v>0</v>
      </c>
      <c r="F538" s="129">
        <v>0</v>
      </c>
      <c r="G538" s="129">
        <v>0</v>
      </c>
      <c r="H538" s="129">
        <v>0</v>
      </c>
      <c r="I538" s="129">
        <v>0</v>
      </c>
      <c r="J538" s="129">
        <v>0</v>
      </c>
    </row>
    <row r="539" spans="2:10">
      <c r="B539" s="131" t="s">
        <v>292</v>
      </c>
      <c r="C539" s="129">
        <v>0</v>
      </c>
      <c r="D539" s="129">
        <v>0</v>
      </c>
      <c r="E539" s="129">
        <v>0</v>
      </c>
      <c r="F539" s="129">
        <v>0</v>
      </c>
      <c r="G539" s="129">
        <v>0</v>
      </c>
      <c r="H539" s="129">
        <v>0</v>
      </c>
      <c r="I539" s="129">
        <v>0</v>
      </c>
      <c r="J539" s="129">
        <v>0</v>
      </c>
    </row>
    <row r="540" spans="2:10">
      <c r="B540" s="131" t="s">
        <v>291</v>
      </c>
      <c r="C540" s="129">
        <v>0</v>
      </c>
      <c r="D540" s="129">
        <v>0</v>
      </c>
      <c r="E540" s="129">
        <v>0</v>
      </c>
      <c r="F540" s="129">
        <v>0</v>
      </c>
      <c r="G540" s="129">
        <v>0</v>
      </c>
      <c r="H540" s="129">
        <v>0</v>
      </c>
      <c r="I540" s="129">
        <v>0</v>
      </c>
      <c r="J540" s="129">
        <v>0</v>
      </c>
    </row>
    <row r="541" spans="2:10">
      <c r="B541" s="131" t="s">
        <v>290</v>
      </c>
      <c r="C541" s="129">
        <v>0</v>
      </c>
      <c r="D541" s="129">
        <v>0</v>
      </c>
      <c r="E541" s="129">
        <v>0</v>
      </c>
      <c r="F541" s="129">
        <v>0</v>
      </c>
      <c r="G541" s="129">
        <v>0</v>
      </c>
      <c r="H541" s="129">
        <v>0</v>
      </c>
      <c r="I541" s="129">
        <v>0</v>
      </c>
      <c r="J541" s="129">
        <v>0</v>
      </c>
    </row>
    <row r="542" spans="2:10">
      <c r="B542" s="131" t="s">
        <v>289</v>
      </c>
      <c r="C542" s="129">
        <v>0</v>
      </c>
      <c r="D542" s="129">
        <v>0</v>
      </c>
      <c r="E542" s="129">
        <v>0</v>
      </c>
      <c r="F542" s="129">
        <v>0</v>
      </c>
      <c r="G542" s="129">
        <v>0</v>
      </c>
      <c r="H542" s="129">
        <v>0</v>
      </c>
      <c r="I542" s="129">
        <v>0</v>
      </c>
      <c r="J542" s="129">
        <v>0</v>
      </c>
    </row>
    <row r="543" spans="2:10">
      <c r="B543" s="131" t="s">
        <v>288</v>
      </c>
      <c r="C543" s="129">
        <v>0</v>
      </c>
      <c r="D543" s="129">
        <v>0</v>
      </c>
      <c r="E543" s="129">
        <v>0</v>
      </c>
      <c r="F543" s="129">
        <v>0</v>
      </c>
      <c r="G543" s="129">
        <v>0</v>
      </c>
      <c r="H543" s="129">
        <v>0</v>
      </c>
      <c r="I543" s="129">
        <v>0</v>
      </c>
      <c r="J543" s="129">
        <v>0</v>
      </c>
    </row>
    <row r="544" spans="2:10">
      <c r="B544" s="65" t="s">
        <v>287</v>
      </c>
      <c r="C544" s="129">
        <v>81.75</v>
      </c>
      <c r="D544" s="536">
        <v>81.55</v>
      </c>
      <c r="E544" s="536">
        <v>82.28</v>
      </c>
      <c r="F544" s="537">
        <v>84.15</v>
      </c>
      <c r="G544" s="537">
        <v>83.45</v>
      </c>
      <c r="H544" s="537">
        <v>82.224778541295507</v>
      </c>
      <c r="I544" s="537">
        <v>79.723299999999995</v>
      </c>
      <c r="J544" s="537">
        <v>78.921099999999996</v>
      </c>
    </row>
    <row r="545" spans="2:10">
      <c r="B545" s="65"/>
      <c r="C545" s="529"/>
      <c r="D545" s="529"/>
      <c r="E545" s="529"/>
      <c r="F545" s="529"/>
      <c r="G545" s="529"/>
      <c r="H545" s="529"/>
      <c r="I545" s="529"/>
      <c r="J545" s="529"/>
    </row>
    <row r="546" spans="2:10">
      <c r="B546" s="532" t="s">
        <v>943</v>
      </c>
      <c r="C546" s="529"/>
      <c r="D546" s="529"/>
      <c r="E546" s="529"/>
      <c r="F546" s="529"/>
      <c r="G546" s="529"/>
      <c r="H546" s="529"/>
      <c r="I546" s="529"/>
      <c r="J546" s="529"/>
    </row>
    <row r="547" spans="2:10">
      <c r="B547" s="71" t="s">
        <v>297</v>
      </c>
      <c r="C547" s="102">
        <v>469096.70021658816</v>
      </c>
      <c r="D547" s="102">
        <v>311848.62371581758</v>
      </c>
      <c r="E547" s="102">
        <v>299885.74053340225</v>
      </c>
      <c r="F547" s="102">
        <v>253468.03445575567</v>
      </c>
      <c r="G547" s="102">
        <v>207551.80808578149</v>
      </c>
      <c r="H547" s="102">
        <v>223535.49073769039</v>
      </c>
      <c r="I547" s="102">
        <v>136063.47417018886</v>
      </c>
      <c r="J547" s="102">
        <v>129825.65453091408</v>
      </c>
    </row>
    <row r="548" spans="2:10">
      <c r="B548" s="133" t="s">
        <v>296</v>
      </c>
      <c r="C548" s="102">
        <v>469096.70021658816</v>
      </c>
      <c r="D548" s="102">
        <v>311848.62371581758</v>
      </c>
      <c r="E548" s="102">
        <v>299885.74053340225</v>
      </c>
      <c r="F548" s="102">
        <v>253468.03445575567</v>
      </c>
      <c r="G548" s="102">
        <v>207551.80808578149</v>
      </c>
      <c r="H548" s="102">
        <v>223535.49073769039</v>
      </c>
      <c r="I548" s="102">
        <v>136063.47417018886</v>
      </c>
      <c r="J548" s="102">
        <v>129825.65453091408</v>
      </c>
    </row>
    <row r="549" spans="2:10">
      <c r="B549" s="131" t="s">
        <v>294</v>
      </c>
      <c r="C549" s="538">
        <v>0</v>
      </c>
      <c r="D549" s="538">
        <v>0</v>
      </c>
      <c r="E549" s="538">
        <v>0</v>
      </c>
      <c r="F549" s="538">
        <v>0</v>
      </c>
      <c r="G549" s="538">
        <v>0</v>
      </c>
      <c r="H549" s="538">
        <v>0</v>
      </c>
      <c r="I549" s="538">
        <v>0</v>
      </c>
      <c r="J549" s="538">
        <v>0</v>
      </c>
    </row>
    <row r="550" spans="2:10">
      <c r="B550" s="131" t="s">
        <v>293</v>
      </c>
      <c r="C550" s="538">
        <v>0</v>
      </c>
      <c r="D550" s="538">
        <v>0</v>
      </c>
      <c r="E550" s="538">
        <v>0</v>
      </c>
      <c r="F550" s="538">
        <v>0</v>
      </c>
      <c r="G550" s="538">
        <v>0</v>
      </c>
      <c r="H550" s="538">
        <v>0</v>
      </c>
      <c r="I550" s="538">
        <v>0</v>
      </c>
      <c r="J550" s="538">
        <v>0</v>
      </c>
    </row>
    <row r="551" spans="2:10">
      <c r="B551" s="131" t="s">
        <v>292</v>
      </c>
      <c r="C551" s="538">
        <v>0</v>
      </c>
      <c r="D551" s="538">
        <v>0</v>
      </c>
      <c r="E551" s="538">
        <v>0</v>
      </c>
      <c r="F551" s="538">
        <v>0</v>
      </c>
      <c r="G551" s="538">
        <v>0</v>
      </c>
      <c r="H551" s="538">
        <v>0</v>
      </c>
      <c r="I551" s="538">
        <v>0</v>
      </c>
      <c r="J551" s="538">
        <v>0</v>
      </c>
    </row>
    <row r="552" spans="2:10">
      <c r="B552" s="131" t="s">
        <v>291</v>
      </c>
      <c r="C552" s="538">
        <v>0</v>
      </c>
      <c r="D552" s="538">
        <v>0</v>
      </c>
      <c r="E552" s="538">
        <v>0</v>
      </c>
      <c r="F552" s="538">
        <v>0</v>
      </c>
      <c r="G552" s="538">
        <v>0</v>
      </c>
      <c r="H552" s="538">
        <v>0</v>
      </c>
      <c r="I552" s="538">
        <v>0</v>
      </c>
      <c r="J552" s="538">
        <v>0</v>
      </c>
    </row>
    <row r="553" spans="2:10">
      <c r="B553" s="131" t="s">
        <v>290</v>
      </c>
      <c r="C553" s="538">
        <v>0</v>
      </c>
      <c r="D553" s="538">
        <v>0</v>
      </c>
      <c r="E553" s="538">
        <v>0</v>
      </c>
      <c r="F553" s="538">
        <v>0</v>
      </c>
      <c r="G553" s="538">
        <v>0</v>
      </c>
      <c r="H553" s="538">
        <v>0</v>
      </c>
      <c r="I553" s="538">
        <v>0</v>
      </c>
      <c r="J553" s="538">
        <v>0</v>
      </c>
    </row>
    <row r="554" spans="2:10">
      <c r="B554" s="131" t="s">
        <v>289</v>
      </c>
      <c r="C554" s="102">
        <v>469096.70021658816</v>
      </c>
      <c r="D554" s="102">
        <v>311848.62371581758</v>
      </c>
      <c r="E554" s="102">
        <v>299885.74053340225</v>
      </c>
      <c r="F554" s="102">
        <v>253468.03445575567</v>
      </c>
      <c r="G554" s="102">
        <v>207551.80808578149</v>
      </c>
      <c r="H554" s="102">
        <v>223535.49073769039</v>
      </c>
      <c r="I554" s="102">
        <v>136063.47417018886</v>
      </c>
      <c r="J554" s="102">
        <v>129825.65453091408</v>
      </c>
    </row>
    <row r="555" spans="2:10">
      <c r="B555" s="131" t="s">
        <v>288</v>
      </c>
      <c r="C555" s="538">
        <v>0</v>
      </c>
      <c r="D555" s="538">
        <v>0</v>
      </c>
      <c r="E555" s="538">
        <v>0</v>
      </c>
      <c r="F555" s="538">
        <v>0</v>
      </c>
      <c r="G555" s="538">
        <v>0</v>
      </c>
      <c r="H555" s="538">
        <v>0</v>
      </c>
      <c r="I555" s="538">
        <v>0</v>
      </c>
      <c r="J555" s="538">
        <v>0</v>
      </c>
    </row>
    <row r="556" spans="2:10">
      <c r="B556" s="132" t="s">
        <v>295</v>
      </c>
      <c r="C556" s="129">
        <v>0</v>
      </c>
      <c r="D556" s="129">
        <v>0</v>
      </c>
      <c r="E556" s="129">
        <v>0</v>
      </c>
      <c r="F556" s="129">
        <v>0</v>
      </c>
      <c r="G556" s="129">
        <v>0</v>
      </c>
      <c r="H556" s="129">
        <v>0</v>
      </c>
      <c r="I556" s="129">
        <v>0</v>
      </c>
      <c r="J556" s="129">
        <v>0</v>
      </c>
    </row>
    <row r="557" spans="2:10">
      <c r="B557" s="131" t="s">
        <v>294</v>
      </c>
      <c r="C557" s="129">
        <v>0</v>
      </c>
      <c r="D557" s="129">
        <v>0</v>
      </c>
      <c r="E557" s="129">
        <v>0</v>
      </c>
      <c r="F557" s="129">
        <v>0</v>
      </c>
      <c r="G557" s="129">
        <v>0</v>
      </c>
      <c r="H557" s="129">
        <v>0</v>
      </c>
      <c r="I557" s="129">
        <v>0</v>
      </c>
      <c r="J557" s="129">
        <v>0</v>
      </c>
    </row>
    <row r="558" spans="2:10">
      <c r="B558" s="131" t="s">
        <v>293</v>
      </c>
      <c r="C558" s="129">
        <v>0</v>
      </c>
      <c r="D558" s="129">
        <v>0</v>
      </c>
      <c r="E558" s="129">
        <v>0</v>
      </c>
      <c r="F558" s="129">
        <v>0</v>
      </c>
      <c r="G558" s="129">
        <v>0</v>
      </c>
      <c r="H558" s="129">
        <v>0</v>
      </c>
      <c r="I558" s="129">
        <v>0</v>
      </c>
      <c r="J558" s="129">
        <v>0</v>
      </c>
    </row>
    <row r="559" spans="2:10">
      <c r="B559" s="131" t="s">
        <v>292</v>
      </c>
      <c r="C559" s="129">
        <v>0</v>
      </c>
      <c r="D559" s="129">
        <v>0</v>
      </c>
      <c r="E559" s="129">
        <v>0</v>
      </c>
      <c r="F559" s="129">
        <v>0</v>
      </c>
      <c r="G559" s="129">
        <v>0</v>
      </c>
      <c r="H559" s="129">
        <v>0</v>
      </c>
      <c r="I559" s="129">
        <v>0</v>
      </c>
      <c r="J559" s="129">
        <v>0</v>
      </c>
    </row>
    <row r="560" spans="2:10">
      <c r="B560" s="131" t="s">
        <v>291</v>
      </c>
      <c r="C560" s="129">
        <v>0</v>
      </c>
      <c r="D560" s="129">
        <v>0</v>
      </c>
      <c r="E560" s="129">
        <v>0</v>
      </c>
      <c r="F560" s="129">
        <v>0</v>
      </c>
      <c r="G560" s="129">
        <v>0</v>
      </c>
      <c r="H560" s="129">
        <v>0</v>
      </c>
      <c r="I560" s="129">
        <v>0</v>
      </c>
      <c r="J560" s="129">
        <v>0</v>
      </c>
    </row>
    <row r="561" spans="2:10">
      <c r="B561" s="131" t="s">
        <v>290</v>
      </c>
      <c r="C561" s="129">
        <v>0</v>
      </c>
      <c r="D561" s="129">
        <v>0</v>
      </c>
      <c r="E561" s="129">
        <v>0</v>
      </c>
      <c r="F561" s="129">
        <v>0</v>
      </c>
      <c r="G561" s="129">
        <v>0</v>
      </c>
      <c r="H561" s="129">
        <v>0</v>
      </c>
      <c r="I561" s="129">
        <v>0</v>
      </c>
      <c r="J561" s="129">
        <v>0</v>
      </c>
    </row>
    <row r="562" spans="2:10">
      <c r="B562" s="131" t="s">
        <v>289</v>
      </c>
      <c r="C562" s="129">
        <v>0</v>
      </c>
      <c r="D562" s="129">
        <v>0</v>
      </c>
      <c r="E562" s="129">
        <v>0</v>
      </c>
      <c r="F562" s="129">
        <v>0</v>
      </c>
      <c r="G562" s="129">
        <v>0</v>
      </c>
      <c r="H562" s="129">
        <v>0</v>
      </c>
      <c r="I562" s="129">
        <v>0</v>
      </c>
      <c r="J562" s="129">
        <v>0</v>
      </c>
    </row>
    <row r="563" spans="2:10">
      <c r="B563" s="131" t="s">
        <v>288</v>
      </c>
      <c r="C563" s="129">
        <v>0</v>
      </c>
      <c r="D563" s="129">
        <v>0</v>
      </c>
      <c r="E563" s="129">
        <v>0</v>
      </c>
      <c r="F563" s="129">
        <v>0</v>
      </c>
      <c r="G563" s="129">
        <v>0</v>
      </c>
      <c r="H563" s="129">
        <v>0</v>
      </c>
      <c r="I563" s="129">
        <v>0</v>
      </c>
      <c r="J563" s="129">
        <v>0</v>
      </c>
    </row>
    <row r="564" spans="2:10">
      <c r="B564" s="65" t="s">
        <v>287</v>
      </c>
      <c r="C564" s="539">
        <v>0.79810000000000003</v>
      </c>
      <c r="D564" s="539">
        <v>0.78900000000000003</v>
      </c>
      <c r="E564" s="539">
        <v>0.69379999999999997</v>
      </c>
      <c r="F564" s="539">
        <v>0.79330000000000001</v>
      </c>
      <c r="G564" s="539">
        <v>0.79390000000000005</v>
      </c>
      <c r="H564" s="539">
        <v>0.80200000000000005</v>
      </c>
      <c r="I564" s="539">
        <v>0.77310000000000001</v>
      </c>
      <c r="J564" s="539">
        <v>0.75010100000000002</v>
      </c>
    </row>
    <row r="565" spans="2:10">
      <c r="B565" s="65"/>
      <c r="C565" s="529"/>
      <c r="D565" s="529"/>
      <c r="E565" s="529"/>
      <c r="F565" s="529"/>
      <c r="G565" s="529"/>
      <c r="H565" s="529"/>
      <c r="I565" s="529"/>
      <c r="J565" s="529"/>
    </row>
    <row r="566" spans="2:10">
      <c r="B566" s="532" t="s">
        <v>944</v>
      </c>
      <c r="C566" s="529"/>
      <c r="D566" s="529"/>
      <c r="E566" s="529"/>
      <c r="F566" s="529"/>
      <c r="G566" s="529"/>
      <c r="H566" s="529"/>
      <c r="I566" s="529"/>
      <c r="J566" s="529"/>
    </row>
    <row r="567" spans="2:10">
      <c r="B567" s="71" t="s">
        <v>297</v>
      </c>
      <c r="C567" s="102">
        <v>1402971.9284834587</v>
      </c>
      <c r="D567" s="102">
        <v>1032752.8678827089</v>
      </c>
      <c r="E567" s="102">
        <v>1036377.5729911291</v>
      </c>
      <c r="F567" s="102">
        <v>1285917.9326546595</v>
      </c>
      <c r="G567" s="102">
        <v>1420812.4076809452</v>
      </c>
      <c r="H567" s="102">
        <v>1472718.6335875927</v>
      </c>
      <c r="I567" s="102">
        <v>1268168.9778609097</v>
      </c>
      <c r="J567" s="102">
        <v>1486847.211659871</v>
      </c>
    </row>
    <row r="568" spans="2:10">
      <c r="B568" s="133" t="s">
        <v>296</v>
      </c>
      <c r="C568" s="102">
        <v>1402971.9284834587</v>
      </c>
      <c r="D568" s="102">
        <v>1032752.8678827089</v>
      </c>
      <c r="E568" s="102">
        <v>1036377.5729911291</v>
      </c>
      <c r="F568" s="102">
        <v>1285917.9326546595</v>
      </c>
      <c r="G568" s="102">
        <v>1420812.4076809452</v>
      </c>
      <c r="H568" s="102">
        <v>1472718.6335875927</v>
      </c>
      <c r="I568" s="102">
        <v>1268168.9778609097</v>
      </c>
      <c r="J568" s="102">
        <v>1486847.211659871</v>
      </c>
    </row>
    <row r="569" spans="2:10">
      <c r="B569" s="131" t="s">
        <v>294</v>
      </c>
      <c r="C569" s="102">
        <v>1234735.2104302035</v>
      </c>
      <c r="D569" s="102">
        <v>884247.76110462158</v>
      </c>
      <c r="E569" s="102">
        <v>858766.68676255282</v>
      </c>
      <c r="F569" s="102">
        <v>962609.55364134698</v>
      </c>
      <c r="G569" s="102">
        <v>900976.53044477268</v>
      </c>
      <c r="H569" s="102">
        <v>928099.89609994681</v>
      </c>
      <c r="I569" s="102">
        <v>775829.30861026014</v>
      </c>
      <c r="J569" s="102">
        <v>903318.04216491221</v>
      </c>
    </row>
    <row r="570" spans="2:10">
      <c r="B570" s="131" t="s">
        <v>293</v>
      </c>
      <c r="C570" s="102">
        <v>0</v>
      </c>
      <c r="D570" s="102">
        <v>0</v>
      </c>
      <c r="E570" s="102">
        <v>0</v>
      </c>
      <c r="F570" s="102">
        <v>0</v>
      </c>
      <c r="G570" s="102">
        <v>0</v>
      </c>
      <c r="H570" s="102">
        <v>0</v>
      </c>
      <c r="I570" s="102">
        <v>0</v>
      </c>
      <c r="J570" s="102">
        <v>0</v>
      </c>
    </row>
    <row r="571" spans="2:10">
      <c r="B571" s="131" t="s">
        <v>292</v>
      </c>
      <c r="C571" s="102">
        <v>168237.01533104008</v>
      </c>
      <c r="D571" s="102">
        <v>148504.98697097672</v>
      </c>
      <c r="E571" s="102">
        <v>177610.91493698503</v>
      </c>
      <c r="F571" s="102">
        <v>323308.37901331246</v>
      </c>
      <c r="G571" s="102">
        <v>519835.87723617262</v>
      </c>
      <c r="H571" s="102">
        <v>544618.73748764605</v>
      </c>
      <c r="I571" s="102">
        <v>492339.66925064946</v>
      </c>
      <c r="J571" s="102">
        <v>583529.16949495883</v>
      </c>
    </row>
    <row r="572" spans="2:10">
      <c r="B572" s="131" t="s">
        <v>291</v>
      </c>
      <c r="C572" s="538">
        <v>0</v>
      </c>
      <c r="D572" s="538">
        <v>0</v>
      </c>
      <c r="E572" s="538">
        <v>0</v>
      </c>
      <c r="F572" s="538">
        <v>0</v>
      </c>
      <c r="G572" s="538">
        <v>0</v>
      </c>
      <c r="H572" s="538">
        <v>0</v>
      </c>
      <c r="I572" s="538">
        <v>0</v>
      </c>
      <c r="J572" s="538">
        <v>0</v>
      </c>
    </row>
    <row r="573" spans="2:10">
      <c r="B573" s="131" t="s">
        <v>290</v>
      </c>
      <c r="C573" s="538">
        <v>0</v>
      </c>
      <c r="D573" s="538">
        <v>0</v>
      </c>
      <c r="E573" s="538">
        <v>0</v>
      </c>
      <c r="F573" s="538">
        <v>0</v>
      </c>
      <c r="G573" s="538">
        <v>0</v>
      </c>
      <c r="H573" s="538">
        <v>0</v>
      </c>
      <c r="I573" s="538">
        <v>0</v>
      </c>
      <c r="J573" s="538">
        <v>0</v>
      </c>
    </row>
    <row r="574" spans="2:10">
      <c r="B574" s="131" t="s">
        <v>289</v>
      </c>
      <c r="C574" s="538">
        <v>0</v>
      </c>
      <c r="D574" s="538">
        <v>0</v>
      </c>
      <c r="E574" s="538">
        <v>0</v>
      </c>
      <c r="F574" s="538">
        <v>0</v>
      </c>
      <c r="G574" s="538">
        <v>0</v>
      </c>
      <c r="H574" s="538">
        <v>0</v>
      </c>
      <c r="I574" s="538">
        <v>0</v>
      </c>
      <c r="J574" s="538">
        <v>0</v>
      </c>
    </row>
    <row r="575" spans="2:10">
      <c r="B575" s="131" t="s">
        <v>288</v>
      </c>
      <c r="C575" s="538">
        <v>0</v>
      </c>
      <c r="D575" s="538">
        <v>0</v>
      </c>
      <c r="E575" s="538">
        <v>0</v>
      </c>
      <c r="F575" s="538">
        <v>0</v>
      </c>
      <c r="G575" s="538">
        <v>0</v>
      </c>
      <c r="H575" s="538">
        <v>0</v>
      </c>
      <c r="I575" s="538">
        <v>0</v>
      </c>
      <c r="J575" s="538">
        <v>0</v>
      </c>
    </row>
    <row r="576" spans="2:10">
      <c r="B576" s="132" t="s">
        <v>295</v>
      </c>
      <c r="C576" s="129">
        <v>0</v>
      </c>
      <c r="D576" s="129">
        <v>0</v>
      </c>
      <c r="E576" s="129">
        <v>0</v>
      </c>
      <c r="F576" s="129">
        <v>0</v>
      </c>
      <c r="G576" s="129">
        <v>0</v>
      </c>
      <c r="H576" s="129">
        <v>0</v>
      </c>
      <c r="I576" s="129">
        <v>0</v>
      </c>
      <c r="J576" s="129">
        <v>0</v>
      </c>
    </row>
    <row r="577" spans="2:10">
      <c r="B577" s="131" t="s">
        <v>294</v>
      </c>
      <c r="C577" s="129">
        <v>0</v>
      </c>
      <c r="D577" s="129">
        <v>0</v>
      </c>
      <c r="E577" s="129">
        <v>0</v>
      </c>
      <c r="F577" s="129">
        <v>0</v>
      </c>
      <c r="G577" s="129">
        <v>0</v>
      </c>
      <c r="H577" s="129">
        <v>0</v>
      </c>
      <c r="I577" s="129">
        <v>0</v>
      </c>
      <c r="J577" s="129">
        <v>0</v>
      </c>
    </row>
    <row r="578" spans="2:10">
      <c r="B578" s="131" t="s">
        <v>293</v>
      </c>
      <c r="C578" s="129">
        <v>0</v>
      </c>
      <c r="D578" s="129">
        <v>0</v>
      </c>
      <c r="E578" s="129">
        <v>0</v>
      </c>
      <c r="F578" s="129">
        <v>0</v>
      </c>
      <c r="G578" s="129">
        <v>0</v>
      </c>
      <c r="H578" s="129">
        <v>0</v>
      </c>
      <c r="I578" s="129">
        <v>0</v>
      </c>
      <c r="J578" s="129">
        <v>0</v>
      </c>
    </row>
    <row r="579" spans="2:10">
      <c r="B579" s="131" t="s">
        <v>292</v>
      </c>
      <c r="C579" s="129">
        <v>0</v>
      </c>
      <c r="D579" s="129">
        <v>0</v>
      </c>
      <c r="E579" s="129">
        <v>0</v>
      </c>
      <c r="F579" s="129">
        <v>0</v>
      </c>
      <c r="G579" s="129">
        <v>0</v>
      </c>
      <c r="H579" s="129">
        <v>0</v>
      </c>
      <c r="I579" s="129">
        <v>0</v>
      </c>
      <c r="J579" s="129">
        <v>0</v>
      </c>
    </row>
    <row r="580" spans="2:10">
      <c r="B580" s="131" t="s">
        <v>291</v>
      </c>
      <c r="C580" s="129">
        <v>0</v>
      </c>
      <c r="D580" s="129">
        <v>0</v>
      </c>
      <c r="E580" s="129">
        <v>0</v>
      </c>
      <c r="F580" s="129">
        <v>0</v>
      </c>
      <c r="G580" s="129">
        <v>0</v>
      </c>
      <c r="H580" s="129">
        <v>0</v>
      </c>
      <c r="I580" s="129">
        <v>0</v>
      </c>
      <c r="J580" s="129">
        <v>0</v>
      </c>
    </row>
    <row r="581" spans="2:10">
      <c r="B581" s="131" t="s">
        <v>290</v>
      </c>
      <c r="C581" s="129">
        <v>0</v>
      </c>
      <c r="D581" s="129">
        <v>0</v>
      </c>
      <c r="E581" s="129">
        <v>0</v>
      </c>
      <c r="F581" s="129">
        <v>0</v>
      </c>
      <c r="G581" s="129">
        <v>0</v>
      </c>
      <c r="H581" s="129">
        <v>0</v>
      </c>
      <c r="I581" s="129">
        <v>0</v>
      </c>
      <c r="J581" s="129">
        <v>0</v>
      </c>
    </row>
    <row r="582" spans="2:10">
      <c r="B582" s="131" t="s">
        <v>289</v>
      </c>
      <c r="C582" s="129">
        <v>0</v>
      </c>
      <c r="D582" s="129">
        <v>0</v>
      </c>
      <c r="E582" s="129">
        <v>0</v>
      </c>
      <c r="F582" s="129">
        <v>0</v>
      </c>
      <c r="G582" s="129">
        <v>0</v>
      </c>
      <c r="H582" s="129">
        <v>0</v>
      </c>
      <c r="I582" s="129">
        <v>0</v>
      </c>
      <c r="J582" s="129">
        <v>0</v>
      </c>
    </row>
    <row r="583" spans="2:10">
      <c r="B583" s="131" t="s">
        <v>288</v>
      </c>
      <c r="C583" s="129">
        <v>0</v>
      </c>
      <c r="D583" s="129">
        <v>0</v>
      </c>
      <c r="E583" s="129">
        <v>0</v>
      </c>
      <c r="F583" s="129">
        <v>0</v>
      </c>
      <c r="G583" s="129">
        <v>0</v>
      </c>
      <c r="H583" s="129">
        <v>0</v>
      </c>
      <c r="I583" s="129">
        <v>0</v>
      </c>
      <c r="J583" s="129">
        <v>0</v>
      </c>
    </row>
    <row r="584" spans="2:10">
      <c r="B584" s="65" t="s">
        <v>287</v>
      </c>
      <c r="C584" s="539">
        <v>0.8165</v>
      </c>
      <c r="D584" s="539">
        <v>0.81630000000000003</v>
      </c>
      <c r="E584" s="539">
        <v>0.81879999999999997</v>
      </c>
      <c r="F584" s="539">
        <v>0.82979999999999998</v>
      </c>
      <c r="G584" s="539">
        <v>0.80889999999999995</v>
      </c>
      <c r="H584" s="539">
        <v>0.80279999999999996</v>
      </c>
      <c r="I584" s="539">
        <v>0.80198999999999998</v>
      </c>
      <c r="J584" s="539">
        <v>0.75930399999999998</v>
      </c>
    </row>
    <row r="585" spans="2:10">
      <c r="B585" s="65"/>
      <c r="C585" s="539"/>
      <c r="D585" s="539"/>
      <c r="E585" s="539"/>
      <c r="F585" s="539"/>
      <c r="G585" s="539"/>
      <c r="H585" s="539"/>
      <c r="I585" s="539"/>
      <c r="J585" s="539"/>
    </row>
    <row r="586" spans="2:10">
      <c r="B586" s="532" t="s">
        <v>945</v>
      </c>
      <c r="C586" s="529"/>
      <c r="D586" s="529"/>
      <c r="E586" s="529"/>
      <c r="F586" s="529"/>
      <c r="G586" s="529"/>
      <c r="H586" s="529"/>
      <c r="I586" s="529"/>
      <c r="J586" s="529"/>
    </row>
    <row r="587" spans="2:10">
      <c r="B587" s="71" t="s">
        <v>297</v>
      </c>
      <c r="C587" s="129"/>
      <c r="D587" s="129"/>
      <c r="E587" s="129"/>
      <c r="F587" s="129"/>
      <c r="G587" s="129"/>
      <c r="H587" s="129"/>
      <c r="I587" s="102">
        <v>25799.870543867542</v>
      </c>
      <c r="J587" s="102">
        <v>838115.04077396402</v>
      </c>
    </row>
    <row r="588" spans="2:10">
      <c r="B588" s="133" t="s">
        <v>296</v>
      </c>
      <c r="C588" s="129"/>
      <c r="D588" s="129"/>
      <c r="E588" s="129"/>
      <c r="F588" s="129"/>
      <c r="G588" s="129"/>
      <c r="H588" s="129"/>
      <c r="I588" s="102">
        <v>25799.870543867542</v>
      </c>
      <c r="J588" s="102">
        <v>838115.04077396402</v>
      </c>
    </row>
    <row r="589" spans="2:10">
      <c r="B589" s="131" t="s">
        <v>294</v>
      </c>
      <c r="C589" s="129"/>
      <c r="D589" s="129"/>
      <c r="E589" s="129"/>
      <c r="F589" s="129"/>
      <c r="G589" s="129"/>
      <c r="H589" s="129"/>
      <c r="I589" s="102">
        <v>25799.870543867542</v>
      </c>
      <c r="J589" s="102">
        <v>838115.04077396402</v>
      </c>
    </row>
    <row r="590" spans="2:10">
      <c r="B590" s="131" t="s">
        <v>293</v>
      </c>
      <c r="C590" s="214"/>
      <c r="D590" s="214"/>
      <c r="E590" s="214"/>
      <c r="F590" s="214"/>
      <c r="G590" s="214"/>
      <c r="H590" s="214"/>
      <c r="I590" s="214">
        <v>0</v>
      </c>
      <c r="J590" s="214">
        <v>0</v>
      </c>
    </row>
    <row r="591" spans="2:10">
      <c r="B591" s="131" t="s">
        <v>292</v>
      </c>
      <c r="C591" s="129"/>
      <c r="D591" s="129"/>
      <c r="E591" s="129"/>
      <c r="F591" s="129"/>
      <c r="G591" s="129"/>
      <c r="H591" s="129"/>
      <c r="I591" s="129">
        <v>0</v>
      </c>
      <c r="J591" s="129">
        <v>0</v>
      </c>
    </row>
    <row r="592" spans="2:10">
      <c r="B592" s="131" t="s">
        <v>291</v>
      </c>
      <c r="C592" s="538"/>
      <c r="D592" s="538"/>
      <c r="E592" s="538"/>
      <c r="F592" s="538"/>
      <c r="G592" s="538"/>
      <c r="H592" s="538"/>
      <c r="I592" s="538">
        <v>0</v>
      </c>
      <c r="J592" s="538">
        <v>0</v>
      </c>
    </row>
    <row r="593" spans="2:10">
      <c r="B593" s="131" t="s">
        <v>290</v>
      </c>
      <c r="C593" s="538"/>
      <c r="D593" s="538"/>
      <c r="E593" s="538"/>
      <c r="F593" s="538"/>
      <c r="G593" s="538"/>
      <c r="H593" s="538"/>
      <c r="I593" s="538">
        <v>0</v>
      </c>
      <c r="J593" s="538">
        <v>0</v>
      </c>
    </row>
    <row r="594" spans="2:10">
      <c r="B594" s="131" t="s">
        <v>289</v>
      </c>
      <c r="C594" s="538"/>
      <c r="D594" s="538"/>
      <c r="E594" s="538"/>
      <c r="F594" s="538"/>
      <c r="G594" s="538"/>
      <c r="H594" s="538"/>
      <c r="I594" s="538">
        <v>0</v>
      </c>
      <c r="J594" s="538">
        <v>0</v>
      </c>
    </row>
    <row r="595" spans="2:10">
      <c r="B595" s="131" t="s">
        <v>288</v>
      </c>
      <c r="C595" s="538"/>
      <c r="D595" s="538"/>
      <c r="E595" s="538"/>
      <c r="F595" s="538"/>
      <c r="G595" s="538"/>
      <c r="H595" s="538"/>
      <c r="I595" s="538">
        <v>0</v>
      </c>
      <c r="J595" s="538">
        <v>0</v>
      </c>
    </row>
    <row r="596" spans="2:10">
      <c r="B596" s="132" t="s">
        <v>295</v>
      </c>
      <c r="C596" s="129"/>
      <c r="D596" s="129"/>
      <c r="E596" s="129"/>
      <c r="F596" s="129"/>
      <c r="G596" s="129"/>
      <c r="H596" s="129"/>
      <c r="I596" s="129">
        <v>0</v>
      </c>
      <c r="J596" s="129">
        <v>0</v>
      </c>
    </row>
    <row r="597" spans="2:10">
      <c r="B597" s="131" t="s">
        <v>294</v>
      </c>
      <c r="C597" s="129"/>
      <c r="D597" s="129"/>
      <c r="E597" s="129"/>
      <c r="F597" s="129"/>
      <c r="G597" s="129"/>
      <c r="H597" s="129"/>
      <c r="I597" s="129">
        <v>0</v>
      </c>
      <c r="J597" s="129">
        <v>0</v>
      </c>
    </row>
    <row r="598" spans="2:10">
      <c r="B598" s="131" t="s">
        <v>293</v>
      </c>
      <c r="C598" s="129"/>
      <c r="D598" s="129"/>
      <c r="E598" s="129"/>
      <c r="F598" s="129"/>
      <c r="G598" s="129"/>
      <c r="H598" s="129"/>
      <c r="I598" s="129">
        <v>0</v>
      </c>
      <c r="J598" s="129">
        <v>0</v>
      </c>
    </row>
    <row r="599" spans="2:10">
      <c r="B599" s="131" t="s">
        <v>292</v>
      </c>
      <c r="C599" s="129"/>
      <c r="D599" s="129"/>
      <c r="E599" s="129"/>
      <c r="F599" s="129"/>
      <c r="G599" s="129"/>
      <c r="H599" s="129"/>
      <c r="I599" s="129">
        <v>0</v>
      </c>
      <c r="J599" s="129">
        <v>0</v>
      </c>
    </row>
    <row r="600" spans="2:10">
      <c r="B600" s="131" t="s">
        <v>291</v>
      </c>
      <c r="C600" s="129"/>
      <c r="D600" s="129"/>
      <c r="E600" s="129"/>
      <c r="F600" s="129"/>
      <c r="G600" s="129"/>
      <c r="H600" s="129"/>
      <c r="I600" s="129">
        <v>0</v>
      </c>
      <c r="J600" s="129">
        <v>0</v>
      </c>
    </row>
    <row r="601" spans="2:10">
      <c r="B601" s="131" t="s">
        <v>290</v>
      </c>
      <c r="C601" s="129"/>
      <c r="D601" s="129"/>
      <c r="E601" s="129"/>
      <c r="F601" s="129"/>
      <c r="G601" s="129"/>
      <c r="H601" s="129"/>
      <c r="I601" s="129">
        <v>0</v>
      </c>
      <c r="J601" s="129">
        <v>0</v>
      </c>
    </row>
    <row r="602" spans="2:10">
      <c r="B602" s="131" t="s">
        <v>289</v>
      </c>
      <c r="C602" s="129"/>
      <c r="D602" s="129"/>
      <c r="E602" s="129"/>
      <c r="F602" s="129"/>
      <c r="G602" s="129"/>
      <c r="H602" s="129"/>
      <c r="I602" s="129">
        <v>0</v>
      </c>
      <c r="J602" s="129">
        <v>0</v>
      </c>
    </row>
    <row r="603" spans="2:10">
      <c r="B603" s="131" t="s">
        <v>288</v>
      </c>
      <c r="C603" s="129"/>
      <c r="D603" s="129"/>
      <c r="E603" s="129"/>
      <c r="F603" s="129"/>
      <c r="G603" s="129"/>
      <c r="H603" s="129"/>
      <c r="I603" s="129">
        <v>0</v>
      </c>
      <c r="J603" s="129">
        <v>0</v>
      </c>
    </row>
    <row r="604" spans="2:10" ht="15" thickBot="1">
      <c r="B604" s="533" t="s">
        <v>287</v>
      </c>
      <c r="C604" s="540"/>
      <c r="D604" s="540"/>
      <c r="E604" s="540"/>
      <c r="F604" s="540"/>
      <c r="G604" s="540"/>
      <c r="H604" s="540"/>
      <c r="I604" s="540">
        <v>0.77503999999999995</v>
      </c>
      <c r="J604" s="540">
        <v>0.69169999999999998</v>
      </c>
    </row>
    <row r="605" spans="2:10" ht="15" thickTop="1">
      <c r="B605" s="2025"/>
      <c r="C605" s="2025"/>
      <c r="D605" s="2025"/>
      <c r="E605" s="2025"/>
      <c r="F605" s="2025"/>
      <c r="G605" s="2025"/>
      <c r="H605" s="2025"/>
      <c r="I605" s="2025"/>
      <c r="J605" s="2025"/>
    </row>
    <row r="606" spans="2:10">
      <c r="B606" s="2066"/>
      <c r="C606" s="2066"/>
      <c r="D606" s="2066"/>
      <c r="E606" s="2066"/>
      <c r="F606" s="2066"/>
      <c r="G606" s="2066"/>
      <c r="H606" s="2066"/>
      <c r="I606" s="2066"/>
      <c r="J606" s="2066"/>
    </row>
    <row r="607" spans="2:10">
      <c r="B607" s="64"/>
    </row>
    <row r="608" spans="2:10">
      <c r="B608" s="2024" t="s">
        <v>271</v>
      </c>
      <c r="C608" s="2024"/>
      <c r="D608" s="2024"/>
      <c r="E608" s="2024"/>
      <c r="F608" s="2024"/>
      <c r="G608" s="2024"/>
      <c r="H608" s="2024"/>
      <c r="I608" s="2024"/>
      <c r="J608" s="2024"/>
    </row>
    <row r="609" spans="2:10">
      <c r="B609" s="12" t="s">
        <v>270</v>
      </c>
    </row>
    <row r="610" spans="2:10">
      <c r="B610" s="77" t="s">
        <v>269</v>
      </c>
    </row>
    <row r="611" spans="2:10">
      <c r="B611" s="76"/>
    </row>
    <row r="612" spans="2:10">
      <c r="B612" s="61"/>
      <c r="C612" s="60">
        <v>2014</v>
      </c>
      <c r="D612" s="60">
        <v>2015</v>
      </c>
      <c r="E612" s="60">
        <v>2016</v>
      </c>
      <c r="F612" s="60">
        <v>2017</v>
      </c>
      <c r="G612" s="60">
        <v>2018</v>
      </c>
      <c r="H612" s="60">
        <v>2019</v>
      </c>
      <c r="I612" s="60">
        <v>2020</v>
      </c>
      <c r="J612" s="60">
        <v>2021</v>
      </c>
    </row>
    <row r="613" spans="2:10" ht="15.5">
      <c r="B613" s="76" t="s">
        <v>946</v>
      </c>
    </row>
    <row r="614" spans="2:10">
      <c r="B614" s="71" t="s">
        <v>265</v>
      </c>
      <c r="C614" s="3">
        <v>72</v>
      </c>
      <c r="D614" s="3">
        <v>98</v>
      </c>
      <c r="E614" s="3">
        <v>88</v>
      </c>
      <c r="F614" s="3">
        <v>85</v>
      </c>
      <c r="G614" s="3">
        <v>0</v>
      </c>
      <c r="H614" s="3">
        <v>0</v>
      </c>
      <c r="I614" s="3">
        <v>0</v>
      </c>
      <c r="J614" s="3">
        <v>0</v>
      </c>
    </row>
    <row r="615" spans="2:10">
      <c r="B615" s="52" t="s">
        <v>262</v>
      </c>
      <c r="C615" s="3">
        <v>0</v>
      </c>
      <c r="D615" s="3">
        <v>0</v>
      </c>
      <c r="E615" s="3">
        <v>0</v>
      </c>
      <c r="F615" s="3">
        <v>0</v>
      </c>
      <c r="G615" s="3">
        <v>0</v>
      </c>
      <c r="H615" s="3">
        <v>0</v>
      </c>
      <c r="I615" s="3">
        <v>0</v>
      </c>
      <c r="J615" s="3">
        <v>0</v>
      </c>
    </row>
    <row r="616" spans="2:10">
      <c r="B616" s="52" t="s">
        <v>261</v>
      </c>
      <c r="C616" s="3">
        <v>0</v>
      </c>
      <c r="D616" s="3">
        <v>0</v>
      </c>
      <c r="E616" s="3">
        <v>0</v>
      </c>
      <c r="F616" s="3">
        <v>0</v>
      </c>
      <c r="G616" s="3">
        <v>0</v>
      </c>
      <c r="H616" s="3">
        <v>0</v>
      </c>
      <c r="I616" s="3">
        <v>0</v>
      </c>
      <c r="J616" s="3">
        <v>0</v>
      </c>
    </row>
    <row r="617" spans="2:10">
      <c r="B617" s="52" t="s">
        <v>260</v>
      </c>
      <c r="C617" s="3">
        <v>0</v>
      </c>
      <c r="D617" s="3">
        <v>6</v>
      </c>
      <c r="E617" s="3">
        <v>8</v>
      </c>
      <c r="F617" s="3">
        <v>10</v>
      </c>
      <c r="G617" s="3">
        <v>0</v>
      </c>
      <c r="H617" s="3">
        <v>0</v>
      </c>
      <c r="I617" s="3">
        <v>0</v>
      </c>
      <c r="J617" s="3">
        <v>0</v>
      </c>
    </row>
    <row r="618" spans="2:10">
      <c r="B618" s="52" t="s">
        <v>117</v>
      </c>
      <c r="C618" s="3">
        <v>72</v>
      </c>
      <c r="D618" s="3">
        <v>92</v>
      </c>
      <c r="E618" s="3">
        <v>80</v>
      </c>
      <c r="F618" s="3">
        <v>75</v>
      </c>
      <c r="G618" s="3">
        <v>0</v>
      </c>
      <c r="H618" s="3">
        <v>0</v>
      </c>
      <c r="I618" s="3">
        <v>0</v>
      </c>
      <c r="J618" s="3">
        <v>0</v>
      </c>
    </row>
    <row r="619" spans="2:10">
      <c r="B619" s="52"/>
      <c r="C619" s="3"/>
      <c r="D619" s="3"/>
      <c r="E619" s="3"/>
      <c r="F619" s="3"/>
      <c r="G619" s="3"/>
      <c r="H619" s="3"/>
      <c r="I619" s="3"/>
      <c r="J619" s="3"/>
    </row>
    <row r="620" spans="2:10">
      <c r="B620" s="71" t="s">
        <v>264</v>
      </c>
      <c r="C620" s="3">
        <v>72</v>
      </c>
      <c r="D620" s="3">
        <v>98</v>
      </c>
      <c r="E620" s="3">
        <v>88</v>
      </c>
      <c r="F620" s="3">
        <v>85</v>
      </c>
      <c r="G620" s="3">
        <v>0</v>
      </c>
      <c r="H620" s="3">
        <v>0</v>
      </c>
      <c r="I620" s="3">
        <v>0</v>
      </c>
      <c r="J620" s="3">
        <v>0</v>
      </c>
    </row>
    <row r="621" spans="2:10">
      <c r="B621" s="52" t="s">
        <v>262</v>
      </c>
      <c r="C621" s="3">
        <v>0</v>
      </c>
      <c r="D621" s="3">
        <v>0</v>
      </c>
      <c r="E621" s="3">
        <v>0</v>
      </c>
      <c r="F621" s="3">
        <v>0</v>
      </c>
      <c r="G621" s="3">
        <v>0</v>
      </c>
      <c r="H621" s="3">
        <v>0</v>
      </c>
      <c r="I621" s="3">
        <v>0</v>
      </c>
      <c r="J621" s="3">
        <v>0</v>
      </c>
    </row>
    <row r="622" spans="2:10">
      <c r="B622" s="52" t="s">
        <v>261</v>
      </c>
      <c r="C622" s="3">
        <v>0</v>
      </c>
      <c r="D622" s="3">
        <v>0</v>
      </c>
      <c r="E622" s="3">
        <v>0</v>
      </c>
      <c r="F622" s="3">
        <v>0</v>
      </c>
      <c r="G622" s="3">
        <v>0</v>
      </c>
      <c r="H622" s="3">
        <v>0</v>
      </c>
      <c r="I622" s="3">
        <v>0</v>
      </c>
      <c r="J622" s="3">
        <v>0</v>
      </c>
    </row>
    <row r="623" spans="2:10">
      <c r="B623" s="52" t="s">
        <v>260</v>
      </c>
      <c r="C623" s="3">
        <v>0</v>
      </c>
      <c r="D623" s="3">
        <v>6</v>
      </c>
      <c r="E623" s="3">
        <v>8</v>
      </c>
      <c r="F623" s="3">
        <v>10</v>
      </c>
      <c r="G623" s="3">
        <v>0</v>
      </c>
      <c r="H623" s="3">
        <v>0</v>
      </c>
      <c r="I623" s="3">
        <v>0</v>
      </c>
      <c r="J623" s="3">
        <v>0</v>
      </c>
    </row>
    <row r="624" spans="2:10">
      <c r="B624" s="52" t="s">
        <v>117</v>
      </c>
      <c r="C624" s="3">
        <v>72</v>
      </c>
      <c r="D624" s="3">
        <v>92</v>
      </c>
      <c r="E624" s="3">
        <v>80</v>
      </c>
      <c r="F624" s="3">
        <v>75</v>
      </c>
      <c r="G624" s="3">
        <v>0</v>
      </c>
      <c r="H624" s="3">
        <v>0</v>
      </c>
      <c r="I624" s="3">
        <v>0</v>
      </c>
      <c r="J624" s="3">
        <v>0</v>
      </c>
    </row>
    <row r="625" spans="2:10">
      <c r="B625" s="52"/>
      <c r="C625" s="3"/>
      <c r="D625" s="3"/>
      <c r="E625" s="3"/>
      <c r="F625" s="3"/>
      <c r="G625" s="3"/>
      <c r="H625" s="3"/>
      <c r="I625" s="3"/>
      <c r="J625" s="3"/>
    </row>
    <row r="626" spans="2:10">
      <c r="B626" s="71" t="s">
        <v>263</v>
      </c>
      <c r="C626" s="3">
        <v>0</v>
      </c>
      <c r="D626" s="3">
        <v>0</v>
      </c>
      <c r="E626" s="3">
        <v>0</v>
      </c>
      <c r="F626" s="3">
        <v>0</v>
      </c>
      <c r="G626" s="3">
        <v>0</v>
      </c>
      <c r="H626" s="3">
        <v>0</v>
      </c>
      <c r="I626" s="3">
        <v>0</v>
      </c>
      <c r="J626" s="3">
        <v>0</v>
      </c>
    </row>
    <row r="627" spans="2:10">
      <c r="B627" s="52" t="s">
        <v>262</v>
      </c>
      <c r="C627" s="3">
        <v>0</v>
      </c>
      <c r="D627" s="3">
        <v>0</v>
      </c>
      <c r="E627" s="3">
        <v>0</v>
      </c>
      <c r="F627" s="3">
        <v>0</v>
      </c>
      <c r="G627" s="3">
        <v>0</v>
      </c>
      <c r="H627" s="3">
        <v>0</v>
      </c>
      <c r="I627" s="3">
        <v>0</v>
      </c>
      <c r="J627" s="3">
        <v>0</v>
      </c>
    </row>
    <row r="628" spans="2:10">
      <c r="B628" s="52" t="s">
        <v>261</v>
      </c>
      <c r="C628" s="3">
        <v>0</v>
      </c>
      <c r="D628" s="3">
        <v>0</v>
      </c>
      <c r="E628" s="3">
        <v>0</v>
      </c>
      <c r="F628" s="3">
        <v>0</v>
      </c>
      <c r="G628" s="3">
        <v>0</v>
      </c>
      <c r="H628" s="3">
        <v>0</v>
      </c>
      <c r="I628" s="3">
        <v>0</v>
      </c>
      <c r="J628" s="3">
        <v>0</v>
      </c>
    </row>
    <row r="629" spans="2:10">
      <c r="B629" s="52" t="s">
        <v>260</v>
      </c>
      <c r="C629" s="3">
        <v>0</v>
      </c>
      <c r="D629" s="3">
        <v>0</v>
      </c>
      <c r="E629" s="3">
        <v>0</v>
      </c>
      <c r="F629" s="3">
        <v>0</v>
      </c>
      <c r="G629" s="3">
        <v>0</v>
      </c>
      <c r="H629" s="3">
        <v>0</v>
      </c>
      <c r="I629" s="3">
        <v>0</v>
      </c>
      <c r="J629" s="3">
        <v>0</v>
      </c>
    </row>
    <row r="630" spans="2:10">
      <c r="B630" s="52" t="s">
        <v>117</v>
      </c>
      <c r="C630" s="3">
        <v>0</v>
      </c>
      <c r="D630" s="3">
        <v>0</v>
      </c>
      <c r="E630" s="3">
        <v>0</v>
      </c>
      <c r="F630" s="3">
        <v>0</v>
      </c>
      <c r="G630" s="3">
        <v>0</v>
      </c>
      <c r="H630" s="3">
        <v>0</v>
      </c>
      <c r="I630" s="3">
        <v>0</v>
      </c>
      <c r="J630" s="3">
        <v>0</v>
      </c>
    </row>
    <row r="631" spans="2:10">
      <c r="B631" s="52"/>
      <c r="C631" s="3"/>
      <c r="D631" s="3"/>
      <c r="E631" s="3"/>
      <c r="F631" s="3"/>
      <c r="G631" s="3"/>
      <c r="H631" s="3"/>
      <c r="I631" s="3"/>
      <c r="J631" s="3"/>
    </row>
    <row r="632" spans="2:10" ht="15">
      <c r="B632" s="59" t="s">
        <v>947</v>
      </c>
      <c r="C632" s="3"/>
      <c r="D632" s="3"/>
      <c r="E632" s="3"/>
      <c r="F632" s="3"/>
      <c r="G632" s="3"/>
      <c r="H632" s="3"/>
      <c r="I632" s="3"/>
      <c r="J632" s="3"/>
    </row>
    <row r="633" spans="2:10">
      <c r="B633" s="71" t="s">
        <v>265</v>
      </c>
      <c r="C633" s="3">
        <v>0</v>
      </c>
      <c r="D633" s="3">
        <v>0</v>
      </c>
      <c r="E633" s="3">
        <v>0</v>
      </c>
      <c r="F633" s="3">
        <v>0</v>
      </c>
      <c r="G633" s="3">
        <v>87</v>
      </c>
      <c r="H633" s="3">
        <v>89</v>
      </c>
      <c r="I633" s="3">
        <v>90</v>
      </c>
      <c r="J633" s="3">
        <v>91</v>
      </c>
    </row>
    <row r="634" spans="2:10">
      <c r="B634" s="52" t="s">
        <v>262</v>
      </c>
      <c r="C634" s="3">
        <v>0</v>
      </c>
      <c r="D634" s="3">
        <v>0</v>
      </c>
      <c r="E634" s="3">
        <v>0</v>
      </c>
      <c r="F634" s="3">
        <v>0</v>
      </c>
      <c r="G634" s="3">
        <v>0</v>
      </c>
      <c r="H634" s="3">
        <v>0</v>
      </c>
      <c r="I634" s="3">
        <v>0</v>
      </c>
      <c r="J634" s="3">
        <v>0</v>
      </c>
    </row>
    <row r="635" spans="2:10">
      <c r="B635" s="52" t="s">
        <v>261</v>
      </c>
      <c r="C635" s="3">
        <v>0</v>
      </c>
      <c r="D635" s="3">
        <v>0</v>
      </c>
      <c r="E635" s="3">
        <v>0</v>
      </c>
      <c r="F635" s="3">
        <v>0</v>
      </c>
      <c r="G635" s="3">
        <v>0</v>
      </c>
      <c r="H635" s="3">
        <v>0</v>
      </c>
      <c r="I635" s="3">
        <v>0</v>
      </c>
      <c r="J635" s="3">
        <v>0</v>
      </c>
    </row>
    <row r="636" spans="2:10">
      <c r="B636" s="52" t="s">
        <v>260</v>
      </c>
      <c r="C636" s="3">
        <v>0</v>
      </c>
      <c r="D636" s="3">
        <v>0</v>
      </c>
      <c r="E636" s="3">
        <v>0</v>
      </c>
      <c r="F636" s="3">
        <v>0</v>
      </c>
      <c r="G636" s="3">
        <v>9</v>
      </c>
      <c r="H636" s="3">
        <v>9</v>
      </c>
      <c r="I636" s="3">
        <v>10</v>
      </c>
      <c r="J636" s="3">
        <v>12</v>
      </c>
    </row>
    <row r="637" spans="2:10">
      <c r="B637" s="52" t="s">
        <v>117</v>
      </c>
      <c r="C637" s="3">
        <v>0</v>
      </c>
      <c r="D637" s="3">
        <v>0</v>
      </c>
      <c r="E637" s="3">
        <v>0</v>
      </c>
      <c r="F637" s="3">
        <v>0</v>
      </c>
      <c r="G637" s="3">
        <v>78</v>
      </c>
      <c r="H637" s="3">
        <v>80</v>
      </c>
      <c r="I637" s="3">
        <v>80</v>
      </c>
      <c r="J637" s="3">
        <v>79</v>
      </c>
    </row>
    <row r="638" spans="2:10">
      <c r="B638" s="52"/>
      <c r="C638" s="3"/>
      <c r="D638" s="3"/>
      <c r="E638" s="3"/>
      <c r="F638" s="3"/>
      <c r="G638" s="3"/>
      <c r="H638" s="3"/>
      <c r="I638" s="3"/>
      <c r="J638" s="3"/>
    </row>
    <row r="639" spans="2:10">
      <c r="B639" s="71" t="s">
        <v>264</v>
      </c>
      <c r="C639" s="3">
        <v>0</v>
      </c>
      <c r="D639" s="3">
        <v>0</v>
      </c>
      <c r="E639" s="3">
        <v>0</v>
      </c>
      <c r="F639" s="3">
        <v>0</v>
      </c>
      <c r="G639" s="3">
        <v>87</v>
      </c>
      <c r="H639" s="3">
        <v>89</v>
      </c>
      <c r="I639" s="3">
        <v>90</v>
      </c>
      <c r="J639" s="3">
        <v>91</v>
      </c>
    </row>
    <row r="640" spans="2:10">
      <c r="B640" s="52" t="s">
        <v>262</v>
      </c>
      <c r="C640" s="3">
        <v>0</v>
      </c>
      <c r="D640" s="3">
        <v>0</v>
      </c>
      <c r="E640" s="3">
        <v>0</v>
      </c>
      <c r="F640" s="3">
        <v>0</v>
      </c>
      <c r="G640" s="3">
        <v>0</v>
      </c>
      <c r="H640" s="3">
        <v>0</v>
      </c>
      <c r="I640" s="3">
        <v>0</v>
      </c>
      <c r="J640" s="3">
        <v>0</v>
      </c>
    </row>
    <row r="641" spans="2:10">
      <c r="B641" s="52" t="s">
        <v>261</v>
      </c>
      <c r="C641" s="3">
        <v>0</v>
      </c>
      <c r="D641" s="3">
        <v>0</v>
      </c>
      <c r="E641" s="3">
        <v>0</v>
      </c>
      <c r="F641" s="3">
        <v>0</v>
      </c>
      <c r="G641" s="3">
        <v>0</v>
      </c>
      <c r="H641" s="3">
        <v>0</v>
      </c>
      <c r="I641" s="3">
        <v>0</v>
      </c>
      <c r="J641" s="3">
        <v>0</v>
      </c>
    </row>
    <row r="642" spans="2:10">
      <c r="B642" s="52" t="s">
        <v>260</v>
      </c>
      <c r="C642" s="3">
        <v>0</v>
      </c>
      <c r="D642" s="3">
        <v>0</v>
      </c>
      <c r="E642" s="3">
        <v>0</v>
      </c>
      <c r="F642" s="3">
        <v>0</v>
      </c>
      <c r="G642" s="3">
        <v>9</v>
      </c>
      <c r="H642" s="3">
        <v>9</v>
      </c>
      <c r="I642" s="3">
        <v>10</v>
      </c>
      <c r="J642" s="3">
        <v>12</v>
      </c>
    </row>
    <row r="643" spans="2:10">
      <c r="B643" s="52" t="s">
        <v>117</v>
      </c>
      <c r="C643" s="3">
        <v>0</v>
      </c>
      <c r="D643" s="3">
        <v>0</v>
      </c>
      <c r="E643" s="3">
        <v>0</v>
      </c>
      <c r="F643" s="3">
        <v>0</v>
      </c>
      <c r="G643" s="3">
        <v>78</v>
      </c>
      <c r="H643" s="3">
        <v>80</v>
      </c>
      <c r="I643" s="3">
        <v>80</v>
      </c>
      <c r="J643" s="3">
        <v>79</v>
      </c>
    </row>
    <row r="644" spans="2:10">
      <c r="B644" s="52"/>
      <c r="C644" s="3"/>
      <c r="D644" s="3"/>
      <c r="E644" s="3"/>
      <c r="F644" s="3"/>
      <c r="G644" s="3"/>
      <c r="H644" s="3"/>
      <c r="I644" s="3"/>
      <c r="J644" s="3"/>
    </row>
    <row r="645" spans="2:10">
      <c r="B645" s="71" t="s">
        <v>263</v>
      </c>
      <c r="C645" s="3">
        <v>0</v>
      </c>
      <c r="D645" s="3">
        <v>0</v>
      </c>
      <c r="E645" s="3">
        <v>0</v>
      </c>
      <c r="F645" s="3">
        <v>0</v>
      </c>
      <c r="G645" s="3">
        <v>0</v>
      </c>
      <c r="H645" s="3">
        <v>0</v>
      </c>
      <c r="I645" s="3">
        <v>0</v>
      </c>
      <c r="J645" s="3">
        <v>0</v>
      </c>
    </row>
    <row r="646" spans="2:10">
      <c r="B646" s="52" t="s">
        <v>262</v>
      </c>
      <c r="C646" s="3">
        <v>0</v>
      </c>
      <c r="D646" s="3">
        <v>0</v>
      </c>
      <c r="E646" s="3">
        <v>0</v>
      </c>
      <c r="F646" s="3">
        <v>0</v>
      </c>
      <c r="G646" s="3">
        <v>0</v>
      </c>
      <c r="H646" s="3">
        <v>0</v>
      </c>
      <c r="I646" s="3">
        <v>0</v>
      </c>
      <c r="J646" s="3">
        <v>0</v>
      </c>
    </row>
    <row r="647" spans="2:10">
      <c r="B647" s="52" t="s">
        <v>261</v>
      </c>
      <c r="C647" s="3">
        <v>0</v>
      </c>
      <c r="D647" s="3">
        <v>0</v>
      </c>
      <c r="E647" s="3">
        <v>0</v>
      </c>
      <c r="F647" s="3">
        <v>0</v>
      </c>
      <c r="G647" s="3">
        <v>0</v>
      </c>
      <c r="H647" s="3">
        <v>0</v>
      </c>
      <c r="I647" s="3">
        <v>0</v>
      </c>
      <c r="J647" s="3">
        <v>0</v>
      </c>
    </row>
    <row r="648" spans="2:10">
      <c r="B648" s="52" t="s">
        <v>260</v>
      </c>
      <c r="C648" s="3">
        <v>0</v>
      </c>
      <c r="D648" s="3">
        <v>0</v>
      </c>
      <c r="E648" s="3">
        <v>0</v>
      </c>
      <c r="F648" s="3">
        <v>0</v>
      </c>
      <c r="G648" s="3">
        <v>0</v>
      </c>
      <c r="H648" s="3">
        <v>0</v>
      </c>
      <c r="I648" s="3">
        <v>0</v>
      </c>
      <c r="J648" s="3">
        <v>0</v>
      </c>
    </row>
    <row r="649" spans="2:10" ht="15" thickBot="1">
      <c r="B649" s="52" t="s">
        <v>117</v>
      </c>
      <c r="C649" s="100">
        <v>0</v>
      </c>
      <c r="D649" s="100">
        <v>0</v>
      </c>
      <c r="E649" s="100">
        <v>0</v>
      </c>
      <c r="F649" s="100">
        <v>0</v>
      </c>
      <c r="G649" s="100">
        <v>0</v>
      </c>
      <c r="H649" s="100">
        <v>0</v>
      </c>
      <c r="I649" s="100">
        <v>0</v>
      </c>
      <c r="J649" s="100">
        <v>0</v>
      </c>
    </row>
    <row r="650" spans="2:10" ht="15" thickTop="1">
      <c r="B650" s="2025" t="s">
        <v>948</v>
      </c>
      <c r="C650" s="2025"/>
      <c r="D650" s="2025"/>
      <c r="E650" s="2025"/>
      <c r="F650" s="2025"/>
      <c r="G650" s="2025"/>
      <c r="H650" s="2025"/>
      <c r="I650" s="2025"/>
      <c r="J650" s="2025"/>
    </row>
    <row r="651" spans="2:10">
      <c r="B651" s="2066" t="s">
        <v>949</v>
      </c>
      <c r="C651" s="2066"/>
      <c r="D651" s="2066"/>
      <c r="E651" s="2066"/>
      <c r="F651" s="2066"/>
      <c r="G651" s="2066"/>
      <c r="H651" s="2066"/>
      <c r="I651" s="2066"/>
      <c r="J651" s="2066"/>
    </row>
    <row r="652" spans="2:10">
      <c r="B652" s="62"/>
    </row>
    <row r="653" spans="2:10">
      <c r="B653" s="2024" t="s">
        <v>258</v>
      </c>
      <c r="C653" s="2024"/>
      <c r="D653" s="2024"/>
      <c r="E653" s="2024"/>
      <c r="F653" s="2024"/>
      <c r="G653" s="2024"/>
      <c r="H653" s="2024"/>
      <c r="I653" s="2024"/>
      <c r="J653" s="2024"/>
    </row>
    <row r="654" spans="2:10">
      <c r="B654" s="12" t="s">
        <v>257</v>
      </c>
    </row>
    <row r="655" spans="2:10">
      <c r="B655" s="77" t="s">
        <v>256</v>
      </c>
    </row>
    <row r="656" spans="2:10">
      <c r="B656" s="62"/>
    </row>
    <row r="657" spans="2:10">
      <c r="B657" s="61"/>
      <c r="C657" s="60">
        <v>2014</v>
      </c>
      <c r="D657" s="60">
        <v>2015</v>
      </c>
      <c r="E657" s="60">
        <v>2016</v>
      </c>
      <c r="F657" s="60">
        <v>2017</v>
      </c>
      <c r="G657" s="60">
        <v>2018</v>
      </c>
      <c r="H657" s="60">
        <v>2019</v>
      </c>
      <c r="I657" s="60">
        <v>2020</v>
      </c>
      <c r="J657" s="60">
        <v>2021</v>
      </c>
    </row>
    <row r="658" spans="2:10" ht="15">
      <c r="B658" s="59" t="s">
        <v>950</v>
      </c>
    </row>
    <row r="659" spans="2:10">
      <c r="B659" s="71" t="s">
        <v>247</v>
      </c>
      <c r="C659" s="535">
        <v>1.2050000000000001</v>
      </c>
      <c r="D659" s="535">
        <v>1.224</v>
      </c>
      <c r="E659" s="535">
        <v>1.262</v>
      </c>
      <c r="F659" s="535">
        <v>1.26</v>
      </c>
      <c r="G659" s="535" t="s">
        <v>2086</v>
      </c>
      <c r="H659" s="535" t="s">
        <v>2086</v>
      </c>
      <c r="I659" s="535" t="s">
        <v>2086</v>
      </c>
      <c r="J659" s="535" t="s">
        <v>2086</v>
      </c>
    </row>
    <row r="660" spans="2:10">
      <c r="B660" s="52" t="s">
        <v>121</v>
      </c>
      <c r="C660" s="541">
        <v>0.28000000000000003</v>
      </c>
      <c r="D660" s="541">
        <v>0.29699999999999999</v>
      </c>
      <c r="E660" s="541">
        <v>0.313</v>
      </c>
      <c r="F660" s="541">
        <v>0.32800000000000001</v>
      </c>
      <c r="G660" s="541">
        <v>0</v>
      </c>
      <c r="H660" s="541">
        <v>0</v>
      </c>
      <c r="I660" s="541">
        <v>0</v>
      </c>
      <c r="J660" s="541">
        <v>0</v>
      </c>
    </row>
    <row r="661" spans="2:10">
      <c r="B661" s="53" t="s">
        <v>120</v>
      </c>
      <c r="C661" s="541">
        <v>0</v>
      </c>
      <c r="D661" s="541">
        <v>0</v>
      </c>
      <c r="E661" s="541">
        <v>0</v>
      </c>
      <c r="F661" s="541">
        <v>0</v>
      </c>
      <c r="G661" s="541">
        <v>0</v>
      </c>
      <c r="H661" s="541">
        <v>0</v>
      </c>
      <c r="I661" s="541">
        <v>0</v>
      </c>
      <c r="J661" s="541">
        <v>0</v>
      </c>
    </row>
    <row r="662" spans="2:10">
      <c r="B662" s="53" t="s">
        <v>119</v>
      </c>
      <c r="C662" s="541">
        <v>0.28000000000000003</v>
      </c>
      <c r="D662" s="541">
        <v>0.29699999999999999</v>
      </c>
      <c r="E662" s="541">
        <v>0.313</v>
      </c>
      <c r="F662" s="541">
        <v>0.32800000000000001</v>
      </c>
      <c r="G662" s="541">
        <v>0</v>
      </c>
      <c r="H662" s="541">
        <v>0</v>
      </c>
      <c r="I662" s="541">
        <v>0</v>
      </c>
      <c r="J662" s="541">
        <v>0</v>
      </c>
    </row>
    <row r="663" spans="2:10">
      <c r="B663" s="52" t="s">
        <v>118</v>
      </c>
      <c r="C663" s="541">
        <v>0.752</v>
      </c>
      <c r="D663" s="541">
        <v>0.75700000000000001</v>
      </c>
      <c r="E663" s="541">
        <v>0.77800000000000002</v>
      </c>
      <c r="F663" s="541">
        <v>0.748</v>
      </c>
      <c r="G663" s="541">
        <v>0</v>
      </c>
      <c r="H663" s="541">
        <v>0</v>
      </c>
      <c r="I663" s="541">
        <v>0</v>
      </c>
      <c r="J663" s="541">
        <v>0</v>
      </c>
    </row>
    <row r="664" spans="2:10">
      <c r="B664" s="52" t="s">
        <v>117</v>
      </c>
      <c r="C664" s="541">
        <v>0.17299999999999999</v>
      </c>
      <c r="D664" s="541">
        <v>0.17</v>
      </c>
      <c r="E664" s="541">
        <v>0.17100000000000001</v>
      </c>
      <c r="F664" s="541">
        <v>0.184</v>
      </c>
      <c r="G664" s="541">
        <v>0</v>
      </c>
      <c r="H664" s="541">
        <v>0</v>
      </c>
      <c r="I664" s="541">
        <v>0</v>
      </c>
      <c r="J664" s="541">
        <v>0</v>
      </c>
    </row>
    <row r="665" spans="2:10">
      <c r="B665" s="52"/>
      <c r="C665" s="541"/>
      <c r="D665" s="541"/>
      <c r="E665" s="541"/>
      <c r="F665" s="541"/>
      <c r="G665" s="541"/>
      <c r="H665" s="541"/>
      <c r="I665" s="541"/>
      <c r="J665" s="541"/>
    </row>
    <row r="666" spans="2:10" ht="15">
      <c r="B666" s="59" t="s">
        <v>951</v>
      </c>
      <c r="C666" s="541"/>
      <c r="D666" s="541"/>
      <c r="E666" s="541"/>
      <c r="F666" s="541"/>
      <c r="G666" s="541"/>
      <c r="H666" s="541"/>
      <c r="I666" s="541"/>
      <c r="J666" s="541"/>
    </row>
    <row r="667" spans="2:10">
      <c r="B667" s="71" t="s">
        <v>247</v>
      </c>
      <c r="C667" s="541">
        <v>0</v>
      </c>
      <c r="D667" s="541">
        <v>0</v>
      </c>
      <c r="E667" s="541">
        <v>0</v>
      </c>
      <c r="F667" s="541">
        <v>0</v>
      </c>
      <c r="G667" s="541">
        <v>1.129</v>
      </c>
      <c r="H667" s="541">
        <v>1.3</v>
      </c>
      <c r="I667" s="541">
        <v>1.7150000000000001</v>
      </c>
      <c r="J667" s="541">
        <v>1.9550000000000001</v>
      </c>
    </row>
    <row r="668" spans="2:10">
      <c r="B668" s="52" t="s">
        <v>121</v>
      </c>
      <c r="C668" s="535" t="s">
        <v>2086</v>
      </c>
      <c r="D668" s="535" t="s">
        <v>2086</v>
      </c>
      <c r="E668" s="535" t="s">
        <v>2086</v>
      </c>
      <c r="F668" s="535" t="s">
        <v>2086</v>
      </c>
      <c r="G668" s="535">
        <v>0.17599999999999999</v>
      </c>
      <c r="H668" s="535">
        <v>0.127</v>
      </c>
      <c r="I668" s="535">
        <v>7.2999999999999995E-2</v>
      </c>
      <c r="J668" s="535">
        <v>0.05</v>
      </c>
    </row>
    <row r="669" spans="2:10">
      <c r="B669" s="53" t="s">
        <v>120</v>
      </c>
      <c r="C669" s="541">
        <v>0</v>
      </c>
      <c r="D669" s="541">
        <v>0</v>
      </c>
      <c r="E669" s="541">
        <v>0</v>
      </c>
      <c r="F669" s="541">
        <v>0</v>
      </c>
      <c r="G669" s="541">
        <v>0</v>
      </c>
      <c r="H669" s="541">
        <v>0</v>
      </c>
      <c r="I669" s="541">
        <v>0</v>
      </c>
      <c r="J669" s="541">
        <v>0</v>
      </c>
    </row>
    <row r="670" spans="2:10">
      <c r="B670" s="53" t="s">
        <v>119</v>
      </c>
      <c r="C670" s="541">
        <v>0</v>
      </c>
      <c r="D670" s="541">
        <v>0</v>
      </c>
      <c r="E670" s="541">
        <v>0</v>
      </c>
      <c r="F670" s="541">
        <v>0</v>
      </c>
      <c r="G670" s="541">
        <v>0.17599999999999999</v>
      </c>
      <c r="H670" s="541">
        <v>0.127</v>
      </c>
      <c r="I670" s="541">
        <v>7.2999999999999995E-2</v>
      </c>
      <c r="J670" s="541">
        <v>0.05</v>
      </c>
    </row>
    <row r="671" spans="2:10">
      <c r="B671" s="52" t="s">
        <v>118</v>
      </c>
      <c r="C671" s="541">
        <v>0</v>
      </c>
      <c r="D671" s="541">
        <v>0</v>
      </c>
      <c r="E671" s="541">
        <v>0</v>
      </c>
      <c r="F671" s="541">
        <v>0</v>
      </c>
      <c r="G671" s="541">
        <v>0.73899999999999999</v>
      </c>
      <c r="H671" s="541">
        <v>0.90100000000000002</v>
      </c>
      <c r="I671" s="541">
        <v>1.3029999999999999</v>
      </c>
      <c r="J671" s="541">
        <v>1.8660000000000001</v>
      </c>
    </row>
    <row r="672" spans="2:10" ht="15" thickBot="1">
      <c r="B672" s="50" t="s">
        <v>117</v>
      </c>
      <c r="C672" s="541">
        <v>0</v>
      </c>
      <c r="D672" s="541">
        <v>0</v>
      </c>
      <c r="E672" s="541">
        <v>0</v>
      </c>
      <c r="F672" s="541">
        <v>0</v>
      </c>
      <c r="G672" s="541">
        <v>0.214</v>
      </c>
      <c r="H672" s="541">
        <v>0.27200000000000002</v>
      </c>
      <c r="I672" s="541">
        <v>0.33900000000000002</v>
      </c>
      <c r="J672" s="541">
        <v>3.9E-2</v>
      </c>
    </row>
    <row r="673" spans="2:10" ht="15" thickTop="1">
      <c r="B673" s="2025" t="s">
        <v>948</v>
      </c>
      <c r="C673" s="2025"/>
      <c r="D673" s="2025"/>
      <c r="E673" s="2025"/>
      <c r="F673" s="2025"/>
      <c r="G673" s="2025"/>
      <c r="H673" s="2025"/>
      <c r="I673" s="2025"/>
      <c r="J673" s="2025"/>
    </row>
    <row r="674" spans="2:10">
      <c r="B674" s="2066" t="s">
        <v>952</v>
      </c>
      <c r="C674" s="2066"/>
      <c r="D674" s="2066"/>
      <c r="E674" s="2066"/>
      <c r="F674" s="2066"/>
      <c r="G674" s="2066"/>
      <c r="H674" s="2066"/>
      <c r="I674" s="2066"/>
      <c r="J674" s="2066"/>
    </row>
    <row r="675" spans="2:10">
      <c r="B675" s="64"/>
    </row>
    <row r="676" spans="2:10">
      <c r="B676" s="2024" t="s">
        <v>244</v>
      </c>
      <c r="C676" s="2024"/>
      <c r="D676" s="2024"/>
      <c r="E676" s="2024"/>
      <c r="F676" s="2024"/>
      <c r="G676" s="2024"/>
      <c r="H676" s="2024"/>
      <c r="I676" s="2024"/>
      <c r="J676" s="2024"/>
    </row>
    <row r="677" spans="2:10">
      <c r="B677" s="12" t="s">
        <v>243</v>
      </c>
    </row>
    <row r="678" spans="2:10">
      <c r="B678" s="62" t="s">
        <v>242</v>
      </c>
    </row>
    <row r="679" spans="2:10">
      <c r="B679" s="64"/>
    </row>
    <row r="680" spans="2:10">
      <c r="B680" s="61"/>
      <c r="C680" s="60">
        <v>2014</v>
      </c>
      <c r="D680" s="60">
        <v>2015</v>
      </c>
      <c r="E680" s="60">
        <v>2016</v>
      </c>
      <c r="F680" s="60">
        <v>2017</v>
      </c>
      <c r="G680" s="60">
        <v>2018</v>
      </c>
      <c r="H680" s="60">
        <v>2019</v>
      </c>
      <c r="I680" s="60">
        <v>2020</v>
      </c>
      <c r="J680" s="60">
        <v>2021</v>
      </c>
    </row>
    <row r="681" spans="2:10" ht="14.25" customHeight="1">
      <c r="B681" s="114" t="s">
        <v>953</v>
      </c>
      <c r="C681" s="121"/>
      <c r="D681" s="121"/>
      <c r="E681" s="121"/>
      <c r="F681" s="121"/>
      <c r="G681" s="121"/>
      <c r="H681" s="121"/>
      <c r="I681" s="121"/>
      <c r="J681" s="121"/>
    </row>
    <row r="682" spans="2:10">
      <c r="B682" s="71" t="s">
        <v>239</v>
      </c>
      <c r="C682" s="98">
        <v>841860.62526134693</v>
      </c>
      <c r="D682" s="98">
        <v>488379.14648588415</v>
      </c>
      <c r="E682" s="98">
        <v>757312.731919938</v>
      </c>
      <c r="F682" s="98">
        <v>955552.06344556529</v>
      </c>
      <c r="G682" s="55">
        <v>0</v>
      </c>
      <c r="H682" s="55">
        <v>0</v>
      </c>
      <c r="I682" s="55">
        <v>0</v>
      </c>
      <c r="J682" s="55">
        <v>0</v>
      </c>
    </row>
    <row r="683" spans="2:10">
      <c r="B683" s="71"/>
      <c r="C683" s="121"/>
      <c r="D683" s="121"/>
      <c r="E683" s="121"/>
      <c r="F683" s="121"/>
      <c r="G683" s="121"/>
      <c r="H683" s="121"/>
      <c r="I683" s="121"/>
      <c r="J683" s="121"/>
    </row>
    <row r="684" spans="2:10" ht="15">
      <c r="B684" s="59" t="s">
        <v>951</v>
      </c>
      <c r="C684" s="121"/>
      <c r="D684" s="121"/>
      <c r="E684" s="121"/>
      <c r="F684" s="121"/>
      <c r="G684" s="121"/>
      <c r="H684" s="121"/>
      <c r="I684" s="121"/>
      <c r="J684" s="121"/>
    </row>
    <row r="685" spans="2:10" ht="15" thickBot="1">
      <c r="B685" s="278" t="s">
        <v>239</v>
      </c>
      <c r="C685" s="100">
        <v>0</v>
      </c>
      <c r="D685" s="100">
        <v>0</v>
      </c>
      <c r="E685" s="100">
        <v>0</v>
      </c>
      <c r="F685" s="100">
        <v>0</v>
      </c>
      <c r="G685" s="100">
        <v>918110.22501334269</v>
      </c>
      <c r="H685" s="101">
        <v>1184209.6934028431</v>
      </c>
      <c r="I685" s="101">
        <v>988644.6714260974</v>
      </c>
      <c r="J685" s="101">
        <v>2103337.0559985666</v>
      </c>
    </row>
    <row r="686" spans="2:10" ht="15.5" thickTop="1" thickBot="1">
      <c r="B686" s="2025" t="s">
        <v>948</v>
      </c>
      <c r="C686" s="2025"/>
      <c r="D686" s="2025"/>
      <c r="E686" s="2025"/>
      <c r="F686" s="2025"/>
      <c r="G686" s="2025"/>
      <c r="H686" s="2025"/>
      <c r="I686" s="2025"/>
      <c r="J686" s="2025"/>
    </row>
    <row r="687" spans="2:10" ht="15" thickTop="1">
      <c r="B687" s="2039" t="s">
        <v>954</v>
      </c>
      <c r="C687" s="2025"/>
      <c r="D687" s="2025"/>
      <c r="E687" s="2025"/>
      <c r="F687" s="2025"/>
      <c r="G687" s="2025"/>
      <c r="H687" s="2025"/>
      <c r="I687" s="2025"/>
      <c r="J687" s="2025"/>
    </row>
    <row r="688" spans="2:10">
      <c r="B688" s="64"/>
    </row>
    <row r="689" spans="2:10">
      <c r="B689" s="2024" t="s">
        <v>238</v>
      </c>
      <c r="C689" s="2024"/>
      <c r="D689" s="2024"/>
      <c r="E689" s="2024"/>
      <c r="F689" s="2024"/>
      <c r="G689" s="2024"/>
      <c r="H689" s="2024"/>
      <c r="I689" s="2024"/>
      <c r="J689" s="2024"/>
    </row>
    <row r="690" spans="2:10">
      <c r="B690" s="12" t="s">
        <v>237</v>
      </c>
    </row>
    <row r="691" spans="2:10">
      <c r="B691" s="62" t="s">
        <v>236</v>
      </c>
    </row>
    <row r="692" spans="2:10">
      <c r="B692" s="64"/>
    </row>
    <row r="693" spans="2:10">
      <c r="B693" s="61"/>
      <c r="C693" s="60">
        <v>2014</v>
      </c>
      <c r="D693" s="60">
        <v>2015</v>
      </c>
      <c r="E693" s="60">
        <v>2016</v>
      </c>
      <c r="F693" s="60">
        <v>2017</v>
      </c>
      <c r="G693" s="60">
        <v>2018</v>
      </c>
      <c r="H693" s="60">
        <v>2019</v>
      </c>
      <c r="I693" s="60">
        <v>2020</v>
      </c>
      <c r="J693" s="60">
        <v>2021</v>
      </c>
    </row>
    <row r="694" spans="2:10" ht="15">
      <c r="B694" s="114" t="s">
        <v>953</v>
      </c>
      <c r="C694" s="66"/>
      <c r="D694" s="66"/>
      <c r="E694" s="66"/>
      <c r="F694" s="66"/>
      <c r="G694" s="66"/>
      <c r="H694" s="66"/>
      <c r="I694" s="66"/>
      <c r="J694" s="66"/>
    </row>
    <row r="695" spans="2:10">
      <c r="B695" s="71" t="s">
        <v>231</v>
      </c>
      <c r="C695" s="55">
        <v>203848.39</v>
      </c>
      <c r="D695" s="55">
        <v>230217.75799999997</v>
      </c>
      <c r="E695" s="55">
        <v>245610.30300000001</v>
      </c>
      <c r="F695" s="55">
        <v>245395.59299999999</v>
      </c>
      <c r="G695" s="66">
        <v>0</v>
      </c>
      <c r="H695" s="66">
        <v>0</v>
      </c>
      <c r="I695" s="66">
        <v>0</v>
      </c>
      <c r="J695" s="66">
        <v>0</v>
      </c>
    </row>
    <row r="696" spans="2:10">
      <c r="B696" s="52" t="s">
        <v>121</v>
      </c>
      <c r="C696" s="55">
        <v>2.0019999999999998</v>
      </c>
      <c r="D696" s="55">
        <v>1.8680000000000001</v>
      </c>
      <c r="E696" s="55">
        <v>2.9089999999999998</v>
      </c>
      <c r="F696" s="55">
        <v>2.5049999999999999</v>
      </c>
      <c r="G696" s="66">
        <v>0</v>
      </c>
      <c r="H696" s="66">
        <v>0</v>
      </c>
      <c r="I696" s="66">
        <v>0</v>
      </c>
      <c r="J696" s="66">
        <v>0</v>
      </c>
    </row>
    <row r="697" spans="2:10">
      <c r="B697" s="53" t="s">
        <v>120</v>
      </c>
      <c r="C697" s="55">
        <v>0</v>
      </c>
      <c r="D697" s="55">
        <v>0</v>
      </c>
      <c r="E697" s="55">
        <v>0</v>
      </c>
      <c r="F697" s="55">
        <v>0</v>
      </c>
      <c r="G697" s="67">
        <v>0</v>
      </c>
      <c r="H697" s="67">
        <v>0</v>
      </c>
      <c r="I697" s="67">
        <v>0</v>
      </c>
      <c r="J697" s="67">
        <v>0</v>
      </c>
    </row>
    <row r="698" spans="2:10">
      <c r="B698" s="53" t="s">
        <v>119</v>
      </c>
      <c r="C698" s="55">
        <v>2.0019999999999998</v>
      </c>
      <c r="D698" s="55">
        <v>1.8680000000000001</v>
      </c>
      <c r="E698" s="55">
        <v>2.9089999999999998</v>
      </c>
      <c r="F698" s="55">
        <v>2.5049999999999999</v>
      </c>
      <c r="G698" s="66">
        <v>0</v>
      </c>
      <c r="H698" s="66">
        <v>0</v>
      </c>
      <c r="I698" s="66">
        <v>0</v>
      </c>
      <c r="J698" s="66">
        <v>0</v>
      </c>
    </row>
    <row r="699" spans="2:10">
      <c r="B699" s="52" t="s">
        <v>118</v>
      </c>
      <c r="C699" s="55">
        <v>201405.68700000001</v>
      </c>
      <c r="D699" s="55">
        <v>224808.49799999999</v>
      </c>
      <c r="E699" s="55">
        <v>238942.88399999999</v>
      </c>
      <c r="F699" s="55">
        <v>241591.546</v>
      </c>
      <c r="G699" s="66">
        <v>0</v>
      </c>
      <c r="H699" s="66">
        <v>0</v>
      </c>
      <c r="I699" s="66">
        <v>0</v>
      </c>
      <c r="J699" s="66">
        <v>0</v>
      </c>
    </row>
    <row r="700" spans="2:10">
      <c r="B700" s="52" t="s">
        <v>117</v>
      </c>
      <c r="C700" s="55">
        <v>2440.701</v>
      </c>
      <c r="D700" s="55">
        <v>5407.3919999999998</v>
      </c>
      <c r="E700" s="55">
        <v>6664.51</v>
      </c>
      <c r="F700" s="55">
        <v>3801.5419999999999</v>
      </c>
      <c r="G700" s="66">
        <v>0</v>
      </c>
      <c r="H700" s="66">
        <v>0</v>
      </c>
      <c r="I700" s="66">
        <v>0</v>
      </c>
      <c r="J700" s="66">
        <v>0</v>
      </c>
    </row>
    <row r="701" spans="2:10">
      <c r="B701" s="52"/>
      <c r="C701" s="55"/>
      <c r="D701" s="55"/>
      <c r="E701" s="55"/>
      <c r="F701" s="55"/>
      <c r="G701" s="66"/>
      <c r="H701" s="66"/>
      <c r="I701" s="66"/>
      <c r="J701" s="66"/>
    </row>
    <row r="702" spans="2:10">
      <c r="B702" s="71" t="s">
        <v>230</v>
      </c>
      <c r="C702" s="55">
        <v>24284.106</v>
      </c>
      <c r="D702" s="55">
        <v>14628.089</v>
      </c>
      <c r="E702" s="55">
        <v>16248.282999999999</v>
      </c>
      <c r="F702" s="55">
        <v>17249.356</v>
      </c>
      <c r="G702" s="66">
        <v>0</v>
      </c>
      <c r="H702" s="66">
        <v>0</v>
      </c>
      <c r="I702" s="66">
        <v>0</v>
      </c>
      <c r="J702" s="66">
        <v>0</v>
      </c>
    </row>
    <row r="703" spans="2:10">
      <c r="B703" s="52" t="s">
        <v>169</v>
      </c>
      <c r="C703" s="55">
        <v>0</v>
      </c>
      <c r="D703" s="55">
        <v>0</v>
      </c>
      <c r="E703" s="55">
        <v>0</v>
      </c>
      <c r="F703" s="55">
        <v>0</v>
      </c>
      <c r="G703" s="67">
        <v>0</v>
      </c>
      <c r="H703" s="67">
        <v>0</v>
      </c>
      <c r="I703" s="67">
        <v>0</v>
      </c>
      <c r="J703" s="67">
        <v>0</v>
      </c>
    </row>
    <row r="704" spans="2:10">
      <c r="B704" s="52" t="s">
        <v>168</v>
      </c>
      <c r="C704" s="55">
        <v>24136.701000000001</v>
      </c>
      <c r="D704" s="55">
        <v>14509.598</v>
      </c>
      <c r="E704" s="55">
        <v>16124.859</v>
      </c>
      <c r="F704" s="55">
        <v>17117.995999999999</v>
      </c>
      <c r="G704" s="66">
        <v>0</v>
      </c>
      <c r="H704" s="66">
        <v>0</v>
      </c>
      <c r="I704" s="66">
        <v>0</v>
      </c>
      <c r="J704" s="66">
        <v>0</v>
      </c>
    </row>
    <row r="705" spans="2:10">
      <c r="B705" s="52" t="s">
        <v>167</v>
      </c>
      <c r="C705" s="55">
        <v>147.405</v>
      </c>
      <c r="D705" s="55">
        <v>118.491</v>
      </c>
      <c r="E705" s="55">
        <v>123.42400000000001</v>
      </c>
      <c r="F705" s="55">
        <v>131.36000000000001</v>
      </c>
      <c r="G705" s="66">
        <v>0</v>
      </c>
      <c r="H705" s="66">
        <v>0</v>
      </c>
      <c r="I705" s="66">
        <v>0</v>
      </c>
      <c r="J705" s="66">
        <v>0</v>
      </c>
    </row>
    <row r="706" spans="2:10">
      <c r="B706" s="52" t="s">
        <v>166</v>
      </c>
      <c r="C706" s="66">
        <v>0</v>
      </c>
      <c r="D706" s="66">
        <v>0</v>
      </c>
      <c r="E706" s="66">
        <v>0</v>
      </c>
      <c r="F706" s="66">
        <v>0</v>
      </c>
      <c r="G706" s="66">
        <v>0</v>
      </c>
      <c r="H706" s="66">
        <v>0</v>
      </c>
      <c r="I706" s="66">
        <v>0</v>
      </c>
      <c r="J706" s="66">
        <v>0</v>
      </c>
    </row>
    <row r="707" spans="2:10">
      <c r="B707" s="52" t="s">
        <v>165</v>
      </c>
      <c r="C707" s="66">
        <v>0</v>
      </c>
      <c r="D707" s="66">
        <v>0</v>
      </c>
      <c r="E707" s="66">
        <v>0</v>
      </c>
      <c r="F707" s="66">
        <v>0</v>
      </c>
      <c r="G707" s="66">
        <v>0</v>
      </c>
      <c r="H707" s="66">
        <v>0</v>
      </c>
      <c r="I707" s="66">
        <v>0</v>
      </c>
      <c r="J707" s="66">
        <v>0</v>
      </c>
    </row>
    <row r="708" spans="2:10">
      <c r="B708" s="52" t="s">
        <v>164</v>
      </c>
      <c r="C708" s="66">
        <v>0</v>
      </c>
      <c r="D708" s="66">
        <v>0</v>
      </c>
      <c r="E708" s="66">
        <v>0</v>
      </c>
      <c r="F708" s="66">
        <v>0</v>
      </c>
      <c r="G708" s="66">
        <v>0</v>
      </c>
      <c r="H708" s="66">
        <v>0</v>
      </c>
      <c r="I708" s="66">
        <v>0</v>
      </c>
      <c r="J708" s="66">
        <v>0</v>
      </c>
    </row>
    <row r="709" spans="2:10">
      <c r="B709" s="71"/>
      <c r="C709" s="66"/>
      <c r="D709" s="66"/>
      <c r="E709" s="66"/>
      <c r="F709" s="66"/>
      <c r="G709" s="66"/>
      <c r="H709" s="66"/>
      <c r="I709" s="66"/>
      <c r="J709" s="66"/>
    </row>
    <row r="710" spans="2:10" ht="15">
      <c r="B710" s="59" t="s">
        <v>951</v>
      </c>
      <c r="C710" s="66"/>
      <c r="D710" s="66"/>
      <c r="E710" s="66"/>
      <c r="F710" s="66"/>
      <c r="G710" s="55">
        <v>626747.228</v>
      </c>
      <c r="H710" s="55">
        <v>972399.16400000011</v>
      </c>
      <c r="I710" s="55">
        <f>I711+I718</f>
        <v>2003963.0595</v>
      </c>
      <c r="J710" s="55">
        <f>J711+J718</f>
        <v>2340755.9689999996</v>
      </c>
    </row>
    <row r="711" spans="2:10">
      <c r="B711" s="71" t="s">
        <v>231</v>
      </c>
      <c r="C711" s="66">
        <v>0</v>
      </c>
      <c r="D711" s="66">
        <v>0</v>
      </c>
      <c r="E711" s="66">
        <v>0</v>
      </c>
      <c r="F711" s="66">
        <v>0</v>
      </c>
      <c r="G711" s="55">
        <v>284719.96000000002</v>
      </c>
      <c r="H711" s="55">
        <v>406413.02299999999</v>
      </c>
      <c r="I711" s="55">
        <v>895353.80999999994</v>
      </c>
      <c r="J711" s="55">
        <v>870073.82199999993</v>
      </c>
    </row>
    <row r="712" spans="2:10">
      <c r="B712" s="52" t="s">
        <v>121</v>
      </c>
      <c r="C712" s="66">
        <v>0</v>
      </c>
      <c r="D712" s="66">
        <v>0</v>
      </c>
      <c r="E712" s="66">
        <v>0</v>
      </c>
      <c r="F712" s="66">
        <v>0</v>
      </c>
      <c r="G712" s="55">
        <v>7.6040000000000001</v>
      </c>
      <c r="H712" s="55">
        <v>30.401</v>
      </c>
      <c r="I712" s="55">
        <v>49.170999999999999</v>
      </c>
      <c r="J712" s="55">
        <v>10.282</v>
      </c>
    </row>
    <row r="713" spans="2:10">
      <c r="B713" s="53" t="s">
        <v>120</v>
      </c>
      <c r="C713" s="66">
        <v>0</v>
      </c>
      <c r="D713" s="66">
        <v>0</v>
      </c>
      <c r="E713" s="66">
        <v>0</v>
      </c>
      <c r="F713" s="66">
        <v>0</v>
      </c>
      <c r="G713" s="55">
        <v>0</v>
      </c>
      <c r="H713" s="55">
        <v>0</v>
      </c>
      <c r="I713" s="55">
        <v>0</v>
      </c>
      <c r="J713" s="55">
        <v>0</v>
      </c>
    </row>
    <row r="714" spans="2:10">
      <c r="B714" s="53" t="s">
        <v>119</v>
      </c>
      <c r="C714" s="66">
        <v>0</v>
      </c>
      <c r="D714" s="66">
        <v>0</v>
      </c>
      <c r="E714" s="66">
        <v>0</v>
      </c>
      <c r="F714" s="66">
        <v>0</v>
      </c>
      <c r="G714" s="55">
        <v>7.6040000000000001</v>
      </c>
      <c r="H714" s="55">
        <v>30.401</v>
      </c>
      <c r="I714" s="55">
        <v>49.170999999999999</v>
      </c>
      <c r="J714" s="55">
        <v>10.282</v>
      </c>
    </row>
    <row r="715" spans="2:10">
      <c r="B715" s="52" t="s">
        <v>118</v>
      </c>
      <c r="C715" s="66">
        <v>0</v>
      </c>
      <c r="D715" s="66">
        <v>0</v>
      </c>
      <c r="E715" s="66">
        <v>0</v>
      </c>
      <c r="F715" s="66">
        <v>0</v>
      </c>
      <c r="G715" s="55">
        <v>280416.24600000004</v>
      </c>
      <c r="H715" s="55">
        <v>382209.85499999998</v>
      </c>
      <c r="I715" s="55">
        <v>785750.51775</v>
      </c>
      <c r="J715" s="55">
        <v>793517.69</v>
      </c>
    </row>
    <row r="716" spans="2:10">
      <c r="B716" s="52" t="s">
        <v>117</v>
      </c>
      <c r="C716" s="66">
        <v>0</v>
      </c>
      <c r="D716" s="66">
        <v>0</v>
      </c>
      <c r="E716" s="66">
        <v>0</v>
      </c>
      <c r="F716" s="66">
        <v>0</v>
      </c>
      <c r="G716" s="55">
        <v>4296.1099999999997</v>
      </c>
      <c r="H716" s="55">
        <v>24172.767</v>
      </c>
      <c r="I716" s="55">
        <v>109554.12125</v>
      </c>
      <c r="J716" s="55">
        <v>76545.850000000006</v>
      </c>
    </row>
    <row r="717" spans="2:10">
      <c r="B717" s="52"/>
      <c r="C717" s="66"/>
      <c r="D717" s="66"/>
      <c r="E717" s="66"/>
      <c r="F717" s="66"/>
      <c r="G717" s="66"/>
      <c r="H717" s="66"/>
      <c r="I717" s="66"/>
      <c r="J717" s="66"/>
    </row>
    <row r="718" spans="2:10">
      <c r="B718" s="71" t="s">
        <v>230</v>
      </c>
      <c r="C718" s="55">
        <v>44327.616999999998</v>
      </c>
      <c r="D718" s="55">
        <v>72366.225999999995</v>
      </c>
      <c r="E718" s="55">
        <v>118805.21399999999</v>
      </c>
      <c r="F718" s="55">
        <v>145407.50399999999</v>
      </c>
      <c r="G718" s="55">
        <v>342027.26799999998</v>
      </c>
      <c r="H718" s="55">
        <v>565986.14100000006</v>
      </c>
      <c r="I718" s="55">
        <v>1108609.2494999999</v>
      </c>
      <c r="J718" s="55">
        <v>1470682.1469999999</v>
      </c>
    </row>
    <row r="719" spans="2:10">
      <c r="B719" s="52" t="s">
        <v>169</v>
      </c>
      <c r="C719" s="55">
        <v>43763.802000000003</v>
      </c>
      <c r="D719" s="55">
        <v>71919.971999999994</v>
      </c>
      <c r="E719" s="55">
        <v>118425.549</v>
      </c>
      <c r="F719" s="55">
        <v>145011.53099999999</v>
      </c>
      <c r="G719" s="55">
        <v>317534.86</v>
      </c>
      <c r="H719" s="55">
        <v>540254.08900000004</v>
      </c>
      <c r="I719" s="55">
        <v>1107471.0915000001</v>
      </c>
      <c r="J719" s="55">
        <v>1462850</v>
      </c>
    </row>
    <row r="720" spans="2:10">
      <c r="B720" s="52" t="s">
        <v>168</v>
      </c>
      <c r="C720" s="55">
        <v>27.596</v>
      </c>
      <c r="D720" s="55">
        <v>31.792999999999999</v>
      </c>
      <c r="E720" s="55">
        <v>27.042000000000002</v>
      </c>
      <c r="F720" s="55">
        <v>25.654</v>
      </c>
      <c r="G720" s="55">
        <v>23932.749</v>
      </c>
      <c r="H720" s="55">
        <v>24955.892</v>
      </c>
      <c r="I720" s="55">
        <v>38.426250000000003</v>
      </c>
      <c r="J720" s="55">
        <v>5878.8630000000003</v>
      </c>
    </row>
    <row r="721" spans="2:11">
      <c r="B721" s="52" t="s">
        <v>167</v>
      </c>
      <c r="C721" s="55">
        <v>7.1999999999999995E-2</v>
      </c>
      <c r="D721" s="55">
        <v>0.155</v>
      </c>
      <c r="E721" s="55">
        <v>6.7000000000000004E-2</v>
      </c>
      <c r="F721" s="55">
        <v>6.0000000000000001E-3</v>
      </c>
      <c r="G721" s="55">
        <v>190.11699999999999</v>
      </c>
      <c r="H721" s="55">
        <v>308.41899999999998</v>
      </c>
      <c r="I721" s="55">
        <v>26.030750000000001</v>
      </c>
      <c r="J721" s="55">
        <v>42.265000000000001</v>
      </c>
    </row>
    <row r="722" spans="2:11">
      <c r="B722" s="52" t="s">
        <v>166</v>
      </c>
      <c r="C722" s="55">
        <v>529.822</v>
      </c>
      <c r="D722" s="55">
        <v>407.67399999999998</v>
      </c>
      <c r="E722" s="55">
        <v>346.36799999999999</v>
      </c>
      <c r="F722" s="55">
        <v>360.666</v>
      </c>
      <c r="G722" s="55">
        <v>362.005</v>
      </c>
      <c r="H722" s="55">
        <v>457.91699999999997</v>
      </c>
      <c r="I722" s="55">
        <v>1059.21</v>
      </c>
      <c r="J722" s="55">
        <v>1909.49</v>
      </c>
    </row>
    <row r="723" spans="2:11">
      <c r="B723" s="52" t="s">
        <v>165</v>
      </c>
      <c r="C723" s="55">
        <v>6.3209999999999997</v>
      </c>
      <c r="D723" s="55">
        <v>6.6319999999999997</v>
      </c>
      <c r="E723" s="55">
        <v>6.1879999999999997</v>
      </c>
      <c r="F723" s="55">
        <v>9.6470000000000002</v>
      </c>
      <c r="G723" s="55">
        <v>7.5369999999999999</v>
      </c>
      <c r="H723" s="55">
        <v>9.8239999999999998</v>
      </c>
      <c r="I723" s="55">
        <v>14.491</v>
      </c>
      <c r="J723" s="55">
        <v>1.5289999999999999</v>
      </c>
    </row>
    <row r="724" spans="2:11" ht="15" thickBot="1">
      <c r="B724" s="50" t="s">
        <v>164</v>
      </c>
      <c r="C724" s="117">
        <v>4.0000000000000001E-3</v>
      </c>
      <c r="D724" s="117">
        <v>0</v>
      </c>
      <c r="E724" s="117">
        <v>0</v>
      </c>
      <c r="F724" s="117">
        <v>0</v>
      </c>
      <c r="G724" s="117">
        <v>0</v>
      </c>
      <c r="H724" s="117">
        <v>0</v>
      </c>
      <c r="I724" s="117">
        <v>0</v>
      </c>
      <c r="J724" s="117">
        <v>0</v>
      </c>
      <c r="K724" s="526"/>
    </row>
    <row r="725" spans="2:11" ht="15" thickTop="1">
      <c r="B725" s="2025" t="s">
        <v>948</v>
      </c>
      <c r="C725" s="2025"/>
      <c r="D725" s="2025"/>
      <c r="E725" s="2025"/>
      <c r="F725" s="2025"/>
      <c r="G725" s="2025"/>
      <c r="H725" s="2025"/>
      <c r="I725" s="2025"/>
      <c r="J725" s="2025"/>
    </row>
    <row r="726" spans="2:11">
      <c r="B726" s="2066" t="s">
        <v>955</v>
      </c>
      <c r="C726" s="2066"/>
      <c r="D726" s="2066"/>
      <c r="E726" s="2066"/>
      <c r="F726" s="2066"/>
      <c r="G726" s="2066"/>
      <c r="H726" s="2066"/>
      <c r="I726" s="2066"/>
      <c r="J726" s="2066"/>
    </row>
    <row r="727" spans="2:11">
      <c r="B727" s="64"/>
    </row>
    <row r="728" spans="2:11">
      <c r="B728" s="2024" t="s">
        <v>228</v>
      </c>
      <c r="C728" s="2024"/>
      <c r="D728" s="2024"/>
      <c r="E728" s="2024"/>
      <c r="F728" s="2024"/>
      <c r="G728" s="2024"/>
      <c r="H728" s="2024"/>
      <c r="I728" s="2024"/>
      <c r="J728" s="2024"/>
    </row>
    <row r="729" spans="2:11">
      <c r="B729" s="12" t="s">
        <v>227</v>
      </c>
    </row>
    <row r="730" spans="2:11">
      <c r="B730" s="62" t="s">
        <v>127</v>
      </c>
    </row>
    <row r="731" spans="2:11">
      <c r="B731" s="62"/>
    </row>
    <row r="732" spans="2:11">
      <c r="B732" s="61"/>
      <c r="C732" s="60">
        <v>2014</v>
      </c>
      <c r="D732" s="60">
        <v>2015</v>
      </c>
      <c r="E732" s="60">
        <v>2016</v>
      </c>
      <c r="F732" s="60">
        <v>2017</v>
      </c>
      <c r="G732" s="60">
        <v>2018</v>
      </c>
      <c r="H732" s="60">
        <v>2019</v>
      </c>
      <c r="I732" s="60">
        <v>2020</v>
      </c>
      <c r="J732" s="60">
        <v>2021</v>
      </c>
    </row>
    <row r="733" spans="2:11" ht="15">
      <c r="B733" s="59" t="s">
        <v>953</v>
      </c>
      <c r="C733" s="66"/>
      <c r="D733" s="66"/>
      <c r="E733" s="66"/>
      <c r="F733" s="66"/>
      <c r="G733" s="66"/>
      <c r="H733" s="66"/>
      <c r="I733" s="66"/>
      <c r="J733" s="66"/>
    </row>
    <row r="734" spans="2:11">
      <c r="B734" s="71" t="s">
        <v>222</v>
      </c>
      <c r="C734" s="227">
        <v>1054072.0074421698</v>
      </c>
      <c r="D734" s="227">
        <v>706685.06784572592</v>
      </c>
      <c r="E734" s="227">
        <v>737316.68620524893</v>
      </c>
      <c r="F734" s="227">
        <v>909316.41781299922</v>
      </c>
      <c r="G734" s="227" t="s">
        <v>2086</v>
      </c>
      <c r="H734" s="227" t="s">
        <v>2086</v>
      </c>
      <c r="I734" s="227" t="s">
        <v>2086</v>
      </c>
      <c r="J734" s="227" t="s">
        <v>2086</v>
      </c>
    </row>
    <row r="735" spans="2:11">
      <c r="B735" s="52" t="s">
        <v>121</v>
      </c>
      <c r="C735" s="227">
        <v>534.71268920032264</v>
      </c>
      <c r="D735" s="227">
        <v>532.38144749153855</v>
      </c>
      <c r="E735" s="227">
        <v>655.11181682599829</v>
      </c>
      <c r="F735" s="227">
        <v>533.14840845732181</v>
      </c>
      <c r="G735" s="227" t="s">
        <v>2086</v>
      </c>
      <c r="H735" s="227" t="s">
        <v>2086</v>
      </c>
      <c r="I735" s="227" t="s">
        <v>2086</v>
      </c>
      <c r="J735" s="227" t="s">
        <v>2086</v>
      </c>
    </row>
    <row r="736" spans="2:11">
      <c r="B736" s="53" t="s">
        <v>120</v>
      </c>
      <c r="C736" s="227">
        <v>0</v>
      </c>
      <c r="D736" s="227">
        <v>0</v>
      </c>
      <c r="E736" s="227">
        <v>0</v>
      </c>
      <c r="F736" s="227">
        <v>0</v>
      </c>
      <c r="G736" s="227" t="s">
        <v>2086</v>
      </c>
      <c r="H736" s="227" t="s">
        <v>2086</v>
      </c>
      <c r="I736" s="227" t="s">
        <v>2086</v>
      </c>
      <c r="J736" s="227" t="s">
        <v>2086</v>
      </c>
    </row>
    <row r="737" spans="2:10">
      <c r="B737" s="53" t="s">
        <v>119</v>
      </c>
      <c r="C737" s="227">
        <v>534.71268920032264</v>
      </c>
      <c r="D737" s="227">
        <v>532.38144749153855</v>
      </c>
      <c r="E737" s="227">
        <v>655.11181682599829</v>
      </c>
      <c r="F737" s="227">
        <v>533.14840845732181</v>
      </c>
      <c r="G737" s="227" t="s">
        <v>2086</v>
      </c>
      <c r="H737" s="227" t="s">
        <v>2086</v>
      </c>
      <c r="I737" s="227" t="s">
        <v>2086</v>
      </c>
      <c r="J737" s="227" t="s">
        <v>2086</v>
      </c>
    </row>
    <row r="738" spans="2:10">
      <c r="B738" s="52" t="s">
        <v>118</v>
      </c>
      <c r="C738" s="227">
        <v>1035526.073063557</v>
      </c>
      <c r="D738" s="227">
        <v>686402.12758717628</v>
      </c>
      <c r="E738" s="227">
        <v>715183.62714518385</v>
      </c>
      <c r="F738" s="227">
        <v>896272.07795646053</v>
      </c>
      <c r="G738" s="227" t="s">
        <v>2086</v>
      </c>
      <c r="H738" s="227" t="s">
        <v>2086</v>
      </c>
      <c r="I738" s="227" t="s">
        <v>2086</v>
      </c>
      <c r="J738" s="227" t="s">
        <v>2086</v>
      </c>
    </row>
    <row r="739" spans="2:10">
      <c r="B739" s="52" t="s">
        <v>117</v>
      </c>
      <c r="C739" s="227">
        <v>18011.221689412669</v>
      </c>
      <c r="D739" s="227">
        <v>19750.558811058199</v>
      </c>
      <c r="E739" s="227">
        <v>21477.94724323917</v>
      </c>
      <c r="F739" s="227">
        <v>12511.191448081441</v>
      </c>
      <c r="G739" s="227" t="s">
        <v>2086</v>
      </c>
      <c r="H739" s="227" t="s">
        <v>2086</v>
      </c>
      <c r="I739" s="227" t="s">
        <v>2086</v>
      </c>
      <c r="J739" s="227" t="s">
        <v>2086</v>
      </c>
    </row>
    <row r="740" spans="2:10">
      <c r="B740" s="52"/>
      <c r="C740" s="542"/>
      <c r="D740" s="542"/>
      <c r="E740" s="542"/>
      <c r="F740" s="542"/>
      <c r="G740" s="542"/>
      <c r="H740" s="542"/>
      <c r="I740" s="542"/>
      <c r="J740" s="542"/>
    </row>
    <row r="741" spans="2:10">
      <c r="B741" s="71" t="s">
        <v>221</v>
      </c>
      <c r="C741" s="227">
        <v>33227.439588907298</v>
      </c>
      <c r="D741" s="227">
        <v>17340.764928367335</v>
      </c>
      <c r="E741" s="227">
        <v>20731.16986765424</v>
      </c>
      <c r="F741" s="227">
        <v>14443.219107282694</v>
      </c>
      <c r="G741" s="227" t="s">
        <v>2086</v>
      </c>
      <c r="H741" s="227" t="s">
        <v>2086</v>
      </c>
      <c r="I741" s="227" t="s">
        <v>2086</v>
      </c>
      <c r="J741" s="227" t="s">
        <v>2086</v>
      </c>
    </row>
    <row r="742" spans="2:10">
      <c r="B742" s="52" t="s">
        <v>169</v>
      </c>
      <c r="C742" s="227">
        <v>0</v>
      </c>
      <c r="D742" s="227">
        <v>0</v>
      </c>
      <c r="E742" s="227">
        <v>0</v>
      </c>
      <c r="F742" s="227">
        <v>0</v>
      </c>
      <c r="G742" s="227" t="s">
        <v>2086</v>
      </c>
      <c r="H742" s="227" t="s">
        <v>2086</v>
      </c>
      <c r="I742" s="227" t="s">
        <v>2086</v>
      </c>
      <c r="J742" s="227" t="s">
        <v>2086</v>
      </c>
    </row>
    <row r="743" spans="2:10">
      <c r="B743" s="52" t="s">
        <v>168</v>
      </c>
      <c r="C743" s="227">
        <v>24553.887968743365</v>
      </c>
      <c r="D743" s="227">
        <v>12437.546033300392</v>
      </c>
      <c r="E743" s="227">
        <v>16096.276985085982</v>
      </c>
      <c r="F743" s="227">
        <v>9670.3501957713397</v>
      </c>
      <c r="G743" s="227" t="s">
        <v>2086</v>
      </c>
      <c r="H743" s="227" t="s">
        <v>2086</v>
      </c>
      <c r="I743" s="227" t="s">
        <v>2086</v>
      </c>
      <c r="J743" s="227" t="s">
        <v>2086</v>
      </c>
    </row>
    <row r="744" spans="2:10">
      <c r="B744" s="52" t="s">
        <v>167</v>
      </c>
      <c r="C744" s="227">
        <v>8673.5516201639293</v>
      </c>
      <c r="D744" s="227">
        <v>4903.2188950669424</v>
      </c>
      <c r="E744" s="227">
        <v>4634.8927740935324</v>
      </c>
      <c r="F744" s="227">
        <v>4772.8689115113548</v>
      </c>
      <c r="G744" s="227" t="s">
        <v>2086</v>
      </c>
      <c r="H744" s="227" t="s">
        <v>2086</v>
      </c>
      <c r="I744" s="227" t="s">
        <v>2086</v>
      </c>
      <c r="J744" s="227" t="s">
        <v>2086</v>
      </c>
    </row>
    <row r="745" spans="2:10">
      <c r="B745" s="52" t="s">
        <v>166</v>
      </c>
      <c r="C745" s="200">
        <v>0</v>
      </c>
      <c r="D745" s="200">
        <v>0</v>
      </c>
      <c r="E745" s="200">
        <v>0</v>
      </c>
      <c r="F745" s="200">
        <v>0</v>
      </c>
      <c r="G745" s="200">
        <v>0</v>
      </c>
      <c r="H745" s="200">
        <v>0</v>
      </c>
      <c r="I745" s="200">
        <v>0</v>
      </c>
      <c r="J745" s="200">
        <v>0</v>
      </c>
    </row>
    <row r="746" spans="2:10">
      <c r="B746" s="52" t="s">
        <v>165</v>
      </c>
      <c r="C746" s="200">
        <v>0</v>
      </c>
      <c r="D746" s="200">
        <v>0</v>
      </c>
      <c r="E746" s="200">
        <v>0</v>
      </c>
      <c r="F746" s="200">
        <v>0</v>
      </c>
      <c r="G746" s="200">
        <v>0</v>
      </c>
      <c r="H746" s="200">
        <v>0</v>
      </c>
      <c r="I746" s="200">
        <v>0</v>
      </c>
      <c r="J746" s="200">
        <v>0</v>
      </c>
    </row>
    <row r="747" spans="2:10">
      <c r="B747" s="52" t="s">
        <v>164</v>
      </c>
      <c r="C747" s="200">
        <v>0</v>
      </c>
      <c r="D747" s="200">
        <v>0</v>
      </c>
      <c r="E747" s="200">
        <v>0</v>
      </c>
      <c r="F747" s="200">
        <v>0</v>
      </c>
      <c r="G747" s="200">
        <v>0</v>
      </c>
      <c r="H747" s="200">
        <v>0</v>
      </c>
      <c r="I747" s="200">
        <v>0</v>
      </c>
      <c r="J747" s="200">
        <v>0</v>
      </c>
    </row>
    <row r="748" spans="2:10">
      <c r="B748" s="71"/>
      <c r="C748" s="260"/>
      <c r="D748" s="260"/>
      <c r="E748" s="260"/>
      <c r="F748" s="260"/>
      <c r="G748" s="260"/>
      <c r="H748" s="260"/>
      <c r="I748" s="260"/>
      <c r="J748" s="260"/>
    </row>
    <row r="749" spans="2:10" ht="15">
      <c r="B749" s="59" t="s">
        <v>951</v>
      </c>
      <c r="C749" s="260"/>
      <c r="D749" s="260"/>
      <c r="E749" s="260"/>
      <c r="F749" s="260"/>
      <c r="G749" s="200">
        <v>52219082.095091194</v>
      </c>
      <c r="H749" s="200">
        <v>70457756.607562631</v>
      </c>
      <c r="I749" s="200">
        <v>73520392.978304699</v>
      </c>
      <c r="J749" s="200">
        <f>J750+J757</f>
        <v>102207964.73441321</v>
      </c>
    </row>
    <row r="750" spans="2:10">
      <c r="B750" s="71" t="s">
        <v>222</v>
      </c>
      <c r="C750" s="227" t="s">
        <v>2086</v>
      </c>
      <c r="D750" s="227" t="s">
        <v>2086</v>
      </c>
      <c r="E750" s="227" t="s">
        <v>2086</v>
      </c>
      <c r="F750" s="227" t="s">
        <v>2086</v>
      </c>
      <c r="G750" s="227">
        <v>1615497.7623564035</v>
      </c>
      <c r="H750" s="227">
        <v>2143164.6233335352</v>
      </c>
      <c r="I750" s="227">
        <v>2905422.8462716662</v>
      </c>
      <c r="J750" s="227">
        <v>2601190.9615242048</v>
      </c>
    </row>
    <row r="751" spans="2:10">
      <c r="B751" s="52" t="s">
        <v>121</v>
      </c>
      <c r="C751" s="227" t="s">
        <v>2086</v>
      </c>
      <c r="D751" s="227" t="s">
        <v>2086</v>
      </c>
      <c r="E751" s="227" t="s">
        <v>2086</v>
      </c>
      <c r="F751" s="227" t="s">
        <v>2086</v>
      </c>
      <c r="G751" s="227">
        <v>372.88015134854066</v>
      </c>
      <c r="H751" s="227">
        <v>3034.6295269912043</v>
      </c>
      <c r="I751" s="227">
        <v>1465.0468222885727</v>
      </c>
      <c r="J751" s="227">
        <v>804.80298761954191</v>
      </c>
    </row>
    <row r="752" spans="2:10">
      <c r="B752" s="53" t="s">
        <v>120</v>
      </c>
      <c r="C752" s="227" t="s">
        <v>2086</v>
      </c>
      <c r="D752" s="227" t="s">
        <v>2086</v>
      </c>
      <c r="E752" s="227" t="s">
        <v>2086</v>
      </c>
      <c r="F752" s="227" t="s">
        <v>2086</v>
      </c>
      <c r="G752" s="227">
        <v>0</v>
      </c>
      <c r="H752" s="227">
        <v>0</v>
      </c>
      <c r="I752" s="227">
        <v>0</v>
      </c>
      <c r="J752" s="227">
        <v>0</v>
      </c>
    </row>
    <row r="753" spans="2:10">
      <c r="B753" s="53" t="s">
        <v>119</v>
      </c>
      <c r="C753" s="227" t="s">
        <v>2086</v>
      </c>
      <c r="D753" s="227" t="s">
        <v>2086</v>
      </c>
      <c r="E753" s="227" t="s">
        <v>2086</v>
      </c>
      <c r="F753" s="227" t="s">
        <v>2086</v>
      </c>
      <c r="G753" s="227">
        <v>372.88015134854066</v>
      </c>
      <c r="H753" s="227">
        <v>3034.6295269912043</v>
      </c>
      <c r="I753" s="227">
        <v>1465.0468222885727</v>
      </c>
      <c r="J753" s="227">
        <v>804.80298761954191</v>
      </c>
    </row>
    <row r="754" spans="2:10">
      <c r="B754" s="52" t="s">
        <v>118</v>
      </c>
      <c r="C754" s="227" t="s">
        <v>2086</v>
      </c>
      <c r="D754" s="227" t="s">
        <v>2086</v>
      </c>
      <c r="E754" s="227" t="s">
        <v>2086</v>
      </c>
      <c r="F754" s="227" t="s">
        <v>2086</v>
      </c>
      <c r="G754" s="227">
        <v>0</v>
      </c>
      <c r="H754" s="227">
        <v>2031184.8236068531</v>
      </c>
      <c r="I754" s="227">
        <v>2745669.6843615496</v>
      </c>
      <c r="J754" s="227">
        <v>2480584.1474534804</v>
      </c>
    </row>
    <row r="755" spans="2:10">
      <c r="B755" s="52" t="s">
        <v>117</v>
      </c>
      <c r="C755" s="227" t="s">
        <v>2086</v>
      </c>
      <c r="D755" s="227" t="s">
        <v>2086</v>
      </c>
      <c r="E755" s="227" t="s">
        <v>2086</v>
      </c>
      <c r="F755" s="227" t="s">
        <v>2086</v>
      </c>
      <c r="G755" s="227">
        <v>1615124.8822050551</v>
      </c>
      <c r="H755" s="227">
        <v>108945.17019969078</v>
      </c>
      <c r="I755" s="227">
        <v>158288.11508782813</v>
      </c>
      <c r="J755" s="227">
        <v>119802.01108310476</v>
      </c>
    </row>
    <row r="756" spans="2:10">
      <c r="B756" s="52"/>
      <c r="C756" s="227"/>
      <c r="D756" s="227"/>
      <c r="E756" s="227"/>
      <c r="F756" s="227"/>
      <c r="G756" s="227"/>
      <c r="H756" s="227"/>
      <c r="I756" s="227"/>
      <c r="J756" s="227"/>
    </row>
    <row r="757" spans="2:10">
      <c r="B757" s="71" t="s">
        <v>221</v>
      </c>
      <c r="C757" s="227">
        <v>20061918.187879562</v>
      </c>
      <c r="D757" s="227">
        <v>17952441.703347407</v>
      </c>
      <c r="E757" s="227">
        <v>16797659.898050699</v>
      </c>
      <c r="F757" s="227">
        <v>21194737.766953796</v>
      </c>
      <c r="G757" s="227">
        <v>50603584.332734793</v>
      </c>
      <c r="H757" s="227">
        <v>68314591.984229103</v>
      </c>
      <c r="I757" s="227">
        <v>70614970.132033035</v>
      </c>
      <c r="J757" s="227">
        <v>99606773.772889003</v>
      </c>
    </row>
    <row r="758" spans="2:10">
      <c r="B758" s="52" t="s">
        <v>169</v>
      </c>
      <c r="C758" s="227">
        <v>20012304.872382894</v>
      </c>
      <c r="D758" s="227">
        <v>17897872.034485877</v>
      </c>
      <c r="E758" s="227">
        <v>16763935.700054547</v>
      </c>
      <c r="F758" s="227">
        <v>21164518.45199687</v>
      </c>
      <c r="G758" s="227">
        <v>50431544.41157537</v>
      </c>
      <c r="H758" s="227">
        <v>68141381.344966844</v>
      </c>
      <c r="I758" s="227">
        <v>70555510.839796036</v>
      </c>
      <c r="J758" s="227">
        <v>99452921.006560907</v>
      </c>
    </row>
    <row r="759" spans="2:10">
      <c r="B759" s="52" t="s">
        <v>168</v>
      </c>
      <c r="C759" s="227">
        <v>13381.656261944197</v>
      </c>
      <c r="D759" s="227">
        <v>13569.367634408603</v>
      </c>
      <c r="E759" s="227">
        <v>9977.951367955673</v>
      </c>
      <c r="F759" s="227">
        <v>11810.66436961629</v>
      </c>
      <c r="G759" s="227">
        <v>131066.43682851357</v>
      </c>
      <c r="H759" s="227">
        <v>122226.39785587775</v>
      </c>
      <c r="I759" s="227">
        <v>16298.719706076236</v>
      </c>
      <c r="J759" s="227">
        <v>62308.612017199201</v>
      </c>
    </row>
    <row r="760" spans="2:10">
      <c r="B760" s="52" t="s">
        <v>167</v>
      </c>
      <c r="C760" s="227">
        <v>10284.626067014908</v>
      </c>
      <c r="D760" s="227">
        <v>26696.669517177346</v>
      </c>
      <c r="E760" s="227">
        <v>9471.1153216777184</v>
      </c>
      <c r="F760" s="227">
        <v>3925.6908379013312</v>
      </c>
      <c r="G760" s="227">
        <v>17760.679548405264</v>
      </c>
      <c r="H760" s="227">
        <v>23567.22569367203</v>
      </c>
      <c r="I760" s="227">
        <v>563.14135871883354</v>
      </c>
      <c r="J760" s="227">
        <v>1539.1904514789828</v>
      </c>
    </row>
    <row r="761" spans="2:10">
      <c r="B761" s="52" t="s">
        <v>166</v>
      </c>
      <c r="C761" s="200">
        <v>25782.654690618765</v>
      </c>
      <c r="D761" s="200">
        <v>14238.07102405128</v>
      </c>
      <c r="E761" s="200">
        <v>14210.359716360923</v>
      </c>
      <c r="F761" s="200">
        <v>14363.689018010964</v>
      </c>
      <c r="G761" s="200">
        <v>23040.685163931299</v>
      </c>
      <c r="H761" s="200">
        <v>27117.447359795817</v>
      </c>
      <c r="I761" s="200">
        <v>42176.752103610066</v>
      </c>
      <c r="J761" s="200">
        <v>89149.730706501592</v>
      </c>
    </row>
    <row r="762" spans="2:10">
      <c r="B762" s="52" t="s">
        <v>165</v>
      </c>
      <c r="C762" s="200">
        <v>153.3583896037712</v>
      </c>
      <c r="D762" s="200">
        <v>65.56068589570792</v>
      </c>
      <c r="E762" s="200">
        <v>64.771337524761009</v>
      </c>
      <c r="F762" s="200">
        <v>119.27088018794049</v>
      </c>
      <c r="G762" s="200">
        <v>172.11961855954925</v>
      </c>
      <c r="H762" s="200">
        <v>299.56835292567388</v>
      </c>
      <c r="I762" s="200">
        <v>420.67906859513744</v>
      </c>
      <c r="J762" s="200">
        <v>855.2331529394321</v>
      </c>
    </row>
    <row r="763" spans="2:10" ht="15" thickBot="1">
      <c r="B763" s="50" t="s">
        <v>164</v>
      </c>
      <c r="C763" s="543">
        <v>11.020087484605259</v>
      </c>
      <c r="D763" s="543">
        <v>0</v>
      </c>
      <c r="E763" s="543">
        <v>0</v>
      </c>
      <c r="F763" s="543">
        <v>0</v>
      </c>
      <c r="G763" s="543">
        <v>0</v>
      </c>
      <c r="H763" s="543">
        <v>0</v>
      </c>
      <c r="I763" s="543">
        <v>0</v>
      </c>
      <c r="J763" s="543">
        <v>0</v>
      </c>
    </row>
    <row r="764" spans="2:10" ht="15" thickTop="1">
      <c r="B764" s="2025" t="s">
        <v>948</v>
      </c>
      <c r="C764" s="2025"/>
      <c r="D764" s="2025"/>
      <c r="E764" s="2025"/>
      <c r="F764" s="2025"/>
      <c r="G764" s="2025"/>
      <c r="H764" s="2025"/>
      <c r="I764" s="2025"/>
      <c r="J764" s="2025"/>
    </row>
    <row r="765" spans="2:10">
      <c r="B765" s="2066" t="s">
        <v>956</v>
      </c>
      <c r="C765" s="2066"/>
      <c r="D765" s="2066"/>
      <c r="E765" s="2066"/>
      <c r="F765" s="2066"/>
      <c r="G765" s="2066"/>
      <c r="H765" s="2066"/>
      <c r="I765" s="2066"/>
      <c r="J765" s="2066"/>
    </row>
    <row r="766" spans="2:10">
      <c r="B766" s="64"/>
    </row>
    <row r="767" spans="2:10">
      <c r="B767" s="2024" t="s">
        <v>219</v>
      </c>
      <c r="C767" s="2024"/>
      <c r="D767" s="2024"/>
      <c r="E767" s="2024"/>
      <c r="F767" s="2024"/>
      <c r="G767" s="2024"/>
      <c r="H767" s="2024"/>
      <c r="I767" s="2024"/>
      <c r="J767" s="2024"/>
    </row>
    <row r="768" spans="2:10">
      <c r="B768" s="12" t="s">
        <v>218</v>
      </c>
    </row>
    <row r="769" spans="2:10">
      <c r="B769" s="77" t="s">
        <v>269</v>
      </c>
    </row>
    <row r="770" spans="2:10">
      <c r="B770" s="76"/>
    </row>
    <row r="771" spans="2:10">
      <c r="B771" s="61"/>
      <c r="C771" s="60">
        <v>2014</v>
      </c>
      <c r="D771" s="60">
        <v>2015</v>
      </c>
      <c r="E771" s="60">
        <v>2016</v>
      </c>
      <c r="F771" s="60">
        <v>2017</v>
      </c>
      <c r="G771" s="60">
        <v>2018</v>
      </c>
      <c r="H771" s="60">
        <v>2019</v>
      </c>
      <c r="I771" s="60">
        <v>2020</v>
      </c>
      <c r="J771" s="60">
        <v>2021</v>
      </c>
    </row>
    <row r="772" spans="2:10" ht="15">
      <c r="B772" s="59" t="s">
        <v>957</v>
      </c>
      <c r="C772" s="66"/>
      <c r="D772" s="66"/>
      <c r="E772" s="66"/>
      <c r="F772" s="66"/>
      <c r="G772" s="66"/>
      <c r="H772" s="66"/>
      <c r="I772" s="66"/>
      <c r="J772" s="66"/>
    </row>
    <row r="773" spans="2:10">
      <c r="B773" s="71" t="s">
        <v>217</v>
      </c>
      <c r="C773" s="67">
        <v>79</v>
      </c>
      <c r="D773" s="67">
        <v>70</v>
      </c>
      <c r="E773" s="67">
        <v>68</v>
      </c>
      <c r="F773" s="67">
        <v>62</v>
      </c>
      <c r="G773" s="67">
        <v>0</v>
      </c>
      <c r="H773" s="67">
        <v>0</v>
      </c>
      <c r="I773" s="67">
        <v>0</v>
      </c>
      <c r="J773" s="67">
        <v>0</v>
      </c>
    </row>
    <row r="774" spans="2:10">
      <c r="B774" s="52" t="s">
        <v>150</v>
      </c>
      <c r="C774" s="67">
        <v>0</v>
      </c>
      <c r="D774" s="67">
        <v>0</v>
      </c>
      <c r="E774" s="67">
        <v>0</v>
      </c>
      <c r="F774" s="67">
        <v>0</v>
      </c>
      <c r="G774" s="67">
        <v>0</v>
      </c>
      <c r="H774" s="67">
        <v>0</v>
      </c>
      <c r="I774" s="67">
        <v>0</v>
      </c>
      <c r="J774" s="67">
        <v>0</v>
      </c>
    </row>
    <row r="775" spans="2:10">
      <c r="B775" s="52" t="s">
        <v>214</v>
      </c>
      <c r="C775" s="67">
        <v>0</v>
      </c>
      <c r="D775" s="67">
        <v>0</v>
      </c>
      <c r="E775" s="67">
        <v>0</v>
      </c>
      <c r="F775" s="67">
        <v>0</v>
      </c>
      <c r="G775" s="67">
        <v>0</v>
      </c>
      <c r="H775" s="67">
        <v>0</v>
      </c>
      <c r="I775" s="67">
        <v>0</v>
      </c>
      <c r="J775" s="67">
        <v>0</v>
      </c>
    </row>
    <row r="776" spans="2:10">
      <c r="B776" s="52" t="s">
        <v>147</v>
      </c>
      <c r="C776" s="67">
        <v>22</v>
      </c>
      <c r="D776" s="67">
        <v>23</v>
      </c>
      <c r="E776" s="67">
        <v>23</v>
      </c>
      <c r="F776" s="67">
        <v>25</v>
      </c>
      <c r="G776" s="67">
        <v>0</v>
      </c>
      <c r="H776" s="67">
        <v>0</v>
      </c>
      <c r="I776" s="67">
        <v>0</v>
      </c>
      <c r="J776" s="67">
        <v>0</v>
      </c>
    </row>
    <row r="777" spans="2:10">
      <c r="B777" s="52" t="s">
        <v>146</v>
      </c>
      <c r="C777" s="67">
        <v>57</v>
      </c>
      <c r="D777" s="67">
        <v>47</v>
      </c>
      <c r="E777" s="67">
        <v>45</v>
      </c>
      <c r="F777" s="67">
        <v>37</v>
      </c>
      <c r="G777" s="67">
        <v>0</v>
      </c>
      <c r="H777" s="67">
        <v>0</v>
      </c>
      <c r="I777" s="67">
        <v>0</v>
      </c>
      <c r="J777" s="67">
        <v>0</v>
      </c>
    </row>
    <row r="778" spans="2:10">
      <c r="B778" s="52"/>
      <c r="C778" s="67"/>
      <c r="D778" s="67"/>
      <c r="E778" s="67"/>
      <c r="F778" s="67"/>
      <c r="G778" s="67"/>
      <c r="H778" s="67"/>
      <c r="I778" s="67"/>
      <c r="J778" s="67"/>
    </row>
    <row r="779" spans="2:10">
      <c r="B779" s="71" t="s">
        <v>216</v>
      </c>
      <c r="C779" s="67">
        <v>79</v>
      </c>
      <c r="D779" s="67">
        <v>70</v>
      </c>
      <c r="E779" s="67">
        <v>68</v>
      </c>
      <c r="F779" s="67">
        <v>62</v>
      </c>
      <c r="G779" s="67">
        <v>0</v>
      </c>
      <c r="H779" s="67">
        <v>0</v>
      </c>
      <c r="I779" s="67">
        <v>0</v>
      </c>
      <c r="J779" s="67">
        <v>0</v>
      </c>
    </row>
    <row r="780" spans="2:10">
      <c r="B780" s="52" t="s">
        <v>150</v>
      </c>
      <c r="C780" s="67">
        <v>0</v>
      </c>
      <c r="D780" s="67">
        <v>0</v>
      </c>
      <c r="E780" s="67">
        <v>0</v>
      </c>
      <c r="F780" s="67">
        <v>0</v>
      </c>
      <c r="G780" s="67">
        <v>0</v>
      </c>
      <c r="H780" s="67">
        <v>0</v>
      </c>
      <c r="I780" s="67">
        <v>0</v>
      </c>
      <c r="J780" s="67">
        <v>0</v>
      </c>
    </row>
    <row r="781" spans="2:10">
      <c r="B781" s="52" t="s">
        <v>214</v>
      </c>
      <c r="C781" s="67">
        <v>0</v>
      </c>
      <c r="D781" s="67">
        <v>0</v>
      </c>
      <c r="E781" s="67">
        <v>0</v>
      </c>
      <c r="F781" s="67">
        <v>0</v>
      </c>
      <c r="G781" s="67">
        <v>0</v>
      </c>
      <c r="H781" s="67">
        <v>0</v>
      </c>
      <c r="I781" s="67">
        <v>0</v>
      </c>
      <c r="J781" s="67">
        <v>0</v>
      </c>
    </row>
    <row r="782" spans="2:10">
      <c r="B782" s="52" t="s">
        <v>147</v>
      </c>
      <c r="C782" s="67">
        <v>22</v>
      </c>
      <c r="D782" s="67">
        <v>23</v>
      </c>
      <c r="E782" s="67">
        <v>23</v>
      </c>
      <c r="F782" s="67">
        <v>25</v>
      </c>
      <c r="G782" s="67">
        <v>0</v>
      </c>
      <c r="H782" s="67">
        <v>0</v>
      </c>
      <c r="I782" s="67">
        <v>0</v>
      </c>
      <c r="J782" s="67">
        <v>0</v>
      </c>
    </row>
    <row r="783" spans="2:10">
      <c r="B783" s="52" t="s">
        <v>146</v>
      </c>
      <c r="C783" s="67">
        <v>57</v>
      </c>
      <c r="D783" s="67">
        <v>47</v>
      </c>
      <c r="E783" s="67">
        <v>45</v>
      </c>
      <c r="F783" s="67">
        <v>37</v>
      </c>
      <c r="G783" s="67">
        <v>0</v>
      </c>
      <c r="H783" s="67">
        <v>0</v>
      </c>
      <c r="I783" s="67">
        <v>0</v>
      </c>
      <c r="J783" s="67">
        <v>0</v>
      </c>
    </row>
    <row r="784" spans="2:10">
      <c r="B784" s="52"/>
      <c r="C784" s="67"/>
      <c r="D784" s="67"/>
      <c r="E784" s="67"/>
      <c r="F784" s="67"/>
      <c r="G784" s="67"/>
      <c r="H784" s="67"/>
      <c r="I784" s="67"/>
      <c r="J784" s="67"/>
    </row>
    <row r="785" spans="2:10">
      <c r="B785" s="71" t="s">
        <v>215</v>
      </c>
      <c r="C785" s="67">
        <v>0</v>
      </c>
      <c r="D785" s="67">
        <v>0</v>
      </c>
      <c r="E785" s="67">
        <v>0</v>
      </c>
      <c r="F785" s="67">
        <v>0</v>
      </c>
      <c r="G785" s="67">
        <v>0</v>
      </c>
      <c r="H785" s="67">
        <v>0</v>
      </c>
      <c r="I785" s="67">
        <v>0</v>
      </c>
      <c r="J785" s="67">
        <v>0</v>
      </c>
    </row>
    <row r="786" spans="2:10">
      <c r="B786" s="52" t="s">
        <v>150</v>
      </c>
      <c r="C786" s="67">
        <v>0</v>
      </c>
      <c r="D786" s="67">
        <v>0</v>
      </c>
      <c r="E786" s="67">
        <v>0</v>
      </c>
      <c r="F786" s="67">
        <v>0</v>
      </c>
      <c r="G786" s="67">
        <v>0</v>
      </c>
      <c r="H786" s="67">
        <v>0</v>
      </c>
      <c r="I786" s="67">
        <v>0</v>
      </c>
      <c r="J786" s="67">
        <v>0</v>
      </c>
    </row>
    <row r="787" spans="2:10">
      <c r="B787" s="52" t="s">
        <v>214</v>
      </c>
      <c r="C787" s="67">
        <v>0</v>
      </c>
      <c r="D787" s="67">
        <v>0</v>
      </c>
      <c r="E787" s="67">
        <v>0</v>
      </c>
      <c r="F787" s="67">
        <v>0</v>
      </c>
      <c r="G787" s="67">
        <v>0</v>
      </c>
      <c r="H787" s="67">
        <v>0</v>
      </c>
      <c r="I787" s="67">
        <v>0</v>
      </c>
      <c r="J787" s="67">
        <v>0</v>
      </c>
    </row>
    <row r="788" spans="2:10">
      <c r="B788" s="52" t="s">
        <v>147</v>
      </c>
      <c r="C788" s="67">
        <v>0</v>
      </c>
      <c r="D788" s="67">
        <v>0</v>
      </c>
      <c r="E788" s="67">
        <v>0</v>
      </c>
      <c r="F788" s="67">
        <v>0</v>
      </c>
      <c r="G788" s="67">
        <v>0</v>
      </c>
      <c r="H788" s="67">
        <v>0</v>
      </c>
      <c r="I788" s="67">
        <v>0</v>
      </c>
      <c r="J788" s="67">
        <v>0</v>
      </c>
    </row>
    <row r="789" spans="2:10">
      <c r="B789" s="52" t="s">
        <v>146</v>
      </c>
      <c r="C789" s="67">
        <v>0</v>
      </c>
      <c r="D789" s="67">
        <v>0</v>
      </c>
      <c r="E789" s="67">
        <v>0</v>
      </c>
      <c r="F789" s="67">
        <v>0</v>
      </c>
      <c r="G789" s="67">
        <v>0</v>
      </c>
      <c r="H789" s="67">
        <v>0</v>
      </c>
      <c r="I789" s="67">
        <v>0</v>
      </c>
      <c r="J789" s="67">
        <v>0</v>
      </c>
    </row>
    <row r="790" spans="2:10">
      <c r="B790" s="52"/>
      <c r="C790" s="67"/>
      <c r="D790" s="67"/>
      <c r="E790" s="67"/>
      <c r="F790" s="67"/>
      <c r="G790" s="67"/>
      <c r="H790" s="67"/>
      <c r="I790" s="67"/>
      <c r="J790" s="67"/>
    </row>
    <row r="791" spans="2:10" ht="15">
      <c r="B791" s="59" t="s">
        <v>958</v>
      </c>
      <c r="C791" s="67"/>
      <c r="D791" s="67"/>
      <c r="E791" s="67"/>
      <c r="F791" s="67"/>
      <c r="G791" s="67"/>
      <c r="H791" s="67"/>
      <c r="I791" s="67"/>
      <c r="J791" s="67"/>
    </row>
    <row r="792" spans="2:10">
      <c r="B792" s="71" t="s">
        <v>217</v>
      </c>
      <c r="C792" s="67">
        <v>69</v>
      </c>
      <c r="D792" s="67">
        <v>58</v>
      </c>
      <c r="E792" s="67">
        <v>57</v>
      </c>
      <c r="F792" s="67">
        <v>56</v>
      </c>
      <c r="G792" s="67">
        <v>62</v>
      </c>
      <c r="H792" s="67">
        <v>67</v>
      </c>
      <c r="I792" s="67">
        <v>69</v>
      </c>
      <c r="J792" s="67">
        <v>70</v>
      </c>
    </row>
    <row r="793" spans="2:10">
      <c r="B793" s="52" t="s">
        <v>150</v>
      </c>
      <c r="C793" s="67">
        <v>1</v>
      </c>
      <c r="D793" s="67">
        <v>1</v>
      </c>
      <c r="E793" s="67">
        <v>1</v>
      </c>
      <c r="F793" s="67">
        <v>1</v>
      </c>
      <c r="G793" s="67">
        <v>1</v>
      </c>
      <c r="H793" s="67">
        <v>1</v>
      </c>
      <c r="I793" s="67">
        <v>1</v>
      </c>
      <c r="J793" s="67">
        <v>1</v>
      </c>
    </row>
    <row r="794" spans="2:10">
      <c r="B794" s="52" t="s">
        <v>214</v>
      </c>
      <c r="C794" s="67">
        <v>0</v>
      </c>
      <c r="D794" s="67">
        <v>0</v>
      </c>
      <c r="E794" s="67">
        <v>0</v>
      </c>
      <c r="F794" s="67">
        <v>0</v>
      </c>
      <c r="G794" s="67">
        <v>0</v>
      </c>
      <c r="H794" s="67">
        <v>0</v>
      </c>
      <c r="I794" s="67">
        <v>0</v>
      </c>
      <c r="J794" s="67">
        <v>0</v>
      </c>
    </row>
    <row r="795" spans="2:10">
      <c r="B795" s="52" t="s">
        <v>147</v>
      </c>
      <c r="C795" s="67">
        <v>28</v>
      </c>
      <c r="D795" s="67">
        <v>29</v>
      </c>
      <c r="E795" s="67">
        <v>28</v>
      </c>
      <c r="F795" s="67">
        <v>29</v>
      </c>
      <c r="G795" s="67">
        <v>32</v>
      </c>
      <c r="H795" s="67">
        <v>33</v>
      </c>
      <c r="I795" s="67">
        <v>34</v>
      </c>
      <c r="J795" s="67">
        <v>34</v>
      </c>
    </row>
    <row r="796" spans="2:10">
      <c r="B796" s="52" t="s">
        <v>146</v>
      </c>
      <c r="C796" s="67">
        <v>40</v>
      </c>
      <c r="D796" s="67">
        <v>28</v>
      </c>
      <c r="E796" s="67">
        <v>28</v>
      </c>
      <c r="F796" s="67">
        <v>26</v>
      </c>
      <c r="G796" s="67">
        <v>29</v>
      </c>
      <c r="H796" s="67">
        <v>33</v>
      </c>
      <c r="I796" s="67">
        <v>34</v>
      </c>
      <c r="J796" s="67">
        <v>35</v>
      </c>
    </row>
    <row r="797" spans="2:10">
      <c r="B797" s="52"/>
      <c r="C797" s="67"/>
      <c r="D797" s="67"/>
      <c r="E797" s="67"/>
      <c r="F797" s="67"/>
      <c r="G797" s="67"/>
      <c r="H797" s="67"/>
      <c r="I797" s="67"/>
      <c r="J797" s="67"/>
    </row>
    <row r="798" spans="2:10">
      <c r="B798" s="71" t="s">
        <v>216</v>
      </c>
      <c r="C798" s="67">
        <v>69</v>
      </c>
      <c r="D798" s="67">
        <v>58</v>
      </c>
      <c r="E798" s="67">
        <v>57</v>
      </c>
      <c r="F798" s="67">
        <v>56</v>
      </c>
      <c r="G798" s="67">
        <v>62</v>
      </c>
      <c r="H798" s="67">
        <v>67</v>
      </c>
      <c r="I798" s="67">
        <v>69</v>
      </c>
      <c r="J798" s="67">
        <v>70</v>
      </c>
    </row>
    <row r="799" spans="2:10">
      <c r="B799" s="52" t="s">
        <v>150</v>
      </c>
      <c r="C799" s="67">
        <v>1</v>
      </c>
      <c r="D799" s="67">
        <v>1</v>
      </c>
      <c r="E799" s="67">
        <v>1</v>
      </c>
      <c r="F799" s="67">
        <v>1</v>
      </c>
      <c r="G799" s="67">
        <v>1</v>
      </c>
      <c r="H799" s="67">
        <v>1</v>
      </c>
      <c r="I799" s="67">
        <v>1</v>
      </c>
      <c r="J799" s="67">
        <v>1</v>
      </c>
    </row>
    <row r="800" spans="2:10">
      <c r="B800" s="52" t="s">
        <v>214</v>
      </c>
      <c r="C800" s="67">
        <v>0</v>
      </c>
      <c r="D800" s="67">
        <v>0</v>
      </c>
      <c r="E800" s="67">
        <v>0</v>
      </c>
      <c r="F800" s="67">
        <v>0</v>
      </c>
      <c r="G800" s="67">
        <v>0</v>
      </c>
      <c r="H800" s="67">
        <v>0</v>
      </c>
      <c r="I800" s="67">
        <v>0</v>
      </c>
      <c r="J800" s="67">
        <v>0</v>
      </c>
    </row>
    <row r="801" spans="2:10">
      <c r="B801" s="52" t="s">
        <v>147</v>
      </c>
      <c r="C801" s="67">
        <v>28</v>
      </c>
      <c r="D801" s="67">
        <v>29</v>
      </c>
      <c r="E801" s="67">
        <v>28</v>
      </c>
      <c r="F801" s="67">
        <v>29</v>
      </c>
      <c r="G801" s="67">
        <v>32</v>
      </c>
      <c r="H801" s="67">
        <v>33</v>
      </c>
      <c r="I801" s="67">
        <v>34</v>
      </c>
      <c r="J801" s="67">
        <v>34</v>
      </c>
    </row>
    <row r="802" spans="2:10">
      <c r="B802" s="52" t="s">
        <v>146</v>
      </c>
      <c r="C802" s="67">
        <v>40</v>
      </c>
      <c r="D802" s="67">
        <v>28</v>
      </c>
      <c r="E802" s="67">
        <v>28</v>
      </c>
      <c r="F802" s="67">
        <v>26</v>
      </c>
      <c r="G802" s="67">
        <v>29</v>
      </c>
      <c r="H802" s="67">
        <v>33</v>
      </c>
      <c r="I802" s="67">
        <v>34</v>
      </c>
      <c r="J802" s="67">
        <v>35</v>
      </c>
    </row>
    <row r="803" spans="2:10">
      <c r="B803" s="52"/>
      <c r="C803" s="67"/>
      <c r="D803" s="67"/>
      <c r="E803" s="67"/>
      <c r="F803" s="67"/>
      <c r="G803" s="67"/>
      <c r="H803" s="67"/>
      <c r="I803" s="67"/>
      <c r="J803" s="67"/>
    </row>
    <row r="804" spans="2:10">
      <c r="B804" s="71" t="s">
        <v>215</v>
      </c>
      <c r="C804" s="67">
        <v>0</v>
      </c>
      <c r="D804" s="67">
        <v>0</v>
      </c>
      <c r="E804" s="67">
        <v>0</v>
      </c>
      <c r="F804" s="67">
        <v>0</v>
      </c>
      <c r="G804" s="67">
        <v>0</v>
      </c>
      <c r="H804" s="67">
        <v>0</v>
      </c>
      <c r="I804" s="67">
        <v>0</v>
      </c>
      <c r="J804" s="67">
        <v>0</v>
      </c>
    </row>
    <row r="805" spans="2:10">
      <c r="B805" s="52" t="s">
        <v>150</v>
      </c>
      <c r="C805" s="67">
        <v>0</v>
      </c>
      <c r="D805" s="67">
        <v>0</v>
      </c>
      <c r="E805" s="67">
        <v>0</v>
      </c>
      <c r="F805" s="67">
        <v>0</v>
      </c>
      <c r="G805" s="67">
        <v>0</v>
      </c>
      <c r="H805" s="67">
        <v>0</v>
      </c>
      <c r="I805" s="67">
        <v>0</v>
      </c>
      <c r="J805" s="67">
        <v>0</v>
      </c>
    </row>
    <row r="806" spans="2:10">
      <c r="B806" s="52" t="s">
        <v>214</v>
      </c>
      <c r="C806" s="67">
        <v>0</v>
      </c>
      <c r="D806" s="67">
        <v>0</v>
      </c>
      <c r="E806" s="67">
        <v>0</v>
      </c>
      <c r="F806" s="67">
        <v>0</v>
      </c>
      <c r="G806" s="67">
        <v>0</v>
      </c>
      <c r="H806" s="67">
        <v>0</v>
      </c>
      <c r="I806" s="67">
        <v>0</v>
      </c>
      <c r="J806" s="67">
        <v>0</v>
      </c>
    </row>
    <row r="807" spans="2:10">
      <c r="B807" s="52" t="s">
        <v>147</v>
      </c>
      <c r="C807" s="67">
        <v>0</v>
      </c>
      <c r="D807" s="67">
        <v>0</v>
      </c>
      <c r="E807" s="67">
        <v>0</v>
      </c>
      <c r="F807" s="67">
        <v>0</v>
      </c>
      <c r="G807" s="67">
        <v>0</v>
      </c>
      <c r="H807" s="67">
        <v>0</v>
      </c>
      <c r="I807" s="67">
        <v>0</v>
      </c>
      <c r="J807" s="67">
        <v>0</v>
      </c>
    </row>
    <row r="808" spans="2:10">
      <c r="B808" s="52" t="s">
        <v>146</v>
      </c>
      <c r="C808" s="67">
        <v>0</v>
      </c>
      <c r="D808" s="67">
        <v>0</v>
      </c>
      <c r="E808" s="67">
        <v>0</v>
      </c>
      <c r="F808" s="67">
        <v>0</v>
      </c>
      <c r="G808" s="67">
        <v>0</v>
      </c>
      <c r="H808" s="67">
        <v>0</v>
      </c>
      <c r="I808" s="67">
        <v>0</v>
      </c>
      <c r="J808" s="67">
        <v>0</v>
      </c>
    </row>
    <row r="809" spans="2:10">
      <c r="B809" s="52"/>
      <c r="C809" s="67"/>
      <c r="D809" s="67"/>
      <c r="E809" s="67"/>
      <c r="F809" s="67"/>
      <c r="G809" s="67"/>
      <c r="H809" s="67"/>
      <c r="I809" s="67"/>
      <c r="J809" s="67"/>
    </row>
    <row r="810" spans="2:10">
      <c r="B810" s="59" t="s">
        <v>959</v>
      </c>
      <c r="C810" s="67"/>
      <c r="D810" s="67"/>
      <c r="E810" s="67"/>
      <c r="F810" s="67"/>
      <c r="G810" s="67"/>
      <c r="H810" s="67"/>
      <c r="I810" s="67"/>
      <c r="J810" s="67"/>
    </row>
    <row r="811" spans="2:10">
      <c r="B811" s="71" t="s">
        <v>217</v>
      </c>
      <c r="C811" s="67">
        <v>54</v>
      </c>
      <c r="D811" s="67">
        <v>43</v>
      </c>
      <c r="E811" s="67">
        <v>40</v>
      </c>
      <c r="F811" s="67">
        <v>38</v>
      </c>
      <c r="G811" s="67">
        <v>0</v>
      </c>
      <c r="H811" s="67">
        <v>0</v>
      </c>
      <c r="I811" s="67">
        <v>0</v>
      </c>
      <c r="J811" s="67">
        <v>0</v>
      </c>
    </row>
    <row r="812" spans="2:10">
      <c r="B812" s="52" t="s">
        <v>150</v>
      </c>
      <c r="C812" s="67">
        <v>0</v>
      </c>
      <c r="D812" s="67">
        <v>0</v>
      </c>
      <c r="E812" s="67">
        <v>0</v>
      </c>
      <c r="F812" s="67">
        <v>0</v>
      </c>
      <c r="G812" s="67">
        <v>0</v>
      </c>
      <c r="H812" s="67">
        <v>0</v>
      </c>
      <c r="I812" s="67">
        <v>0</v>
      </c>
      <c r="J812" s="67">
        <v>0</v>
      </c>
    </row>
    <row r="813" spans="2:10">
      <c r="B813" s="52" t="s">
        <v>214</v>
      </c>
      <c r="C813" s="67">
        <v>0</v>
      </c>
      <c r="D813" s="67">
        <v>0</v>
      </c>
      <c r="E813" s="67">
        <v>0</v>
      </c>
      <c r="F813" s="67">
        <v>0</v>
      </c>
      <c r="G813" s="67">
        <v>0</v>
      </c>
      <c r="H813" s="67">
        <v>0</v>
      </c>
      <c r="I813" s="67">
        <v>0</v>
      </c>
      <c r="J813" s="67">
        <v>0</v>
      </c>
    </row>
    <row r="814" spans="2:10">
      <c r="B814" s="52" t="s">
        <v>147</v>
      </c>
      <c r="C814" s="67">
        <v>24</v>
      </c>
      <c r="D814" s="67">
        <v>22</v>
      </c>
      <c r="E814" s="67">
        <v>20</v>
      </c>
      <c r="F814" s="67">
        <v>18</v>
      </c>
      <c r="G814" s="67">
        <v>0</v>
      </c>
      <c r="H814" s="67">
        <v>0</v>
      </c>
      <c r="I814" s="67">
        <v>0</v>
      </c>
      <c r="J814" s="67">
        <v>0</v>
      </c>
    </row>
    <row r="815" spans="2:10">
      <c r="B815" s="52" t="s">
        <v>146</v>
      </c>
      <c r="C815" s="67">
        <v>30</v>
      </c>
      <c r="D815" s="67">
        <v>21</v>
      </c>
      <c r="E815" s="67">
        <v>20</v>
      </c>
      <c r="F815" s="67">
        <v>20</v>
      </c>
      <c r="G815" s="67">
        <v>0</v>
      </c>
      <c r="H815" s="67">
        <v>0</v>
      </c>
      <c r="I815" s="67">
        <v>0</v>
      </c>
      <c r="J815" s="67">
        <v>0</v>
      </c>
    </row>
    <row r="816" spans="2:10">
      <c r="B816" s="52"/>
      <c r="C816" s="67"/>
      <c r="D816" s="67"/>
      <c r="E816" s="67"/>
      <c r="F816" s="67"/>
      <c r="G816" s="67"/>
      <c r="H816" s="67"/>
      <c r="I816" s="67"/>
      <c r="J816" s="67"/>
    </row>
    <row r="817" spans="2:10">
      <c r="B817" s="71" t="s">
        <v>216</v>
      </c>
      <c r="C817" s="67">
        <v>54</v>
      </c>
      <c r="D817" s="67">
        <v>43</v>
      </c>
      <c r="E817" s="67">
        <v>40</v>
      </c>
      <c r="F817" s="67">
        <v>38</v>
      </c>
      <c r="G817" s="67">
        <v>0</v>
      </c>
      <c r="H817" s="67">
        <v>0</v>
      </c>
      <c r="I817" s="67">
        <v>0</v>
      </c>
      <c r="J817" s="67">
        <v>0</v>
      </c>
    </row>
    <row r="818" spans="2:10">
      <c r="B818" s="52" t="s">
        <v>150</v>
      </c>
      <c r="C818" s="67">
        <v>0</v>
      </c>
      <c r="D818" s="67">
        <v>0</v>
      </c>
      <c r="E818" s="67">
        <v>0</v>
      </c>
      <c r="F818" s="67">
        <v>0</v>
      </c>
      <c r="G818" s="67">
        <v>0</v>
      </c>
      <c r="H818" s="67">
        <v>0</v>
      </c>
      <c r="I818" s="67">
        <v>0</v>
      </c>
      <c r="J818" s="67">
        <v>0</v>
      </c>
    </row>
    <row r="819" spans="2:10">
      <c r="B819" s="52" t="s">
        <v>214</v>
      </c>
      <c r="C819" s="67">
        <v>0</v>
      </c>
      <c r="D819" s="67">
        <v>0</v>
      </c>
      <c r="E819" s="67">
        <v>0</v>
      </c>
      <c r="F819" s="67">
        <v>0</v>
      </c>
      <c r="G819" s="67">
        <v>0</v>
      </c>
      <c r="H819" s="67">
        <v>0</v>
      </c>
      <c r="I819" s="67">
        <v>0</v>
      </c>
      <c r="J819" s="67">
        <v>0</v>
      </c>
    </row>
    <row r="820" spans="2:10">
      <c r="B820" s="52" t="s">
        <v>147</v>
      </c>
      <c r="C820" s="67">
        <v>24</v>
      </c>
      <c r="D820" s="67">
        <v>22</v>
      </c>
      <c r="E820" s="67">
        <v>20</v>
      </c>
      <c r="F820" s="67">
        <v>18</v>
      </c>
      <c r="G820" s="67">
        <v>0</v>
      </c>
      <c r="H820" s="67">
        <v>0</v>
      </c>
      <c r="I820" s="67">
        <v>0</v>
      </c>
      <c r="J820" s="67">
        <v>0</v>
      </c>
    </row>
    <row r="821" spans="2:10">
      <c r="B821" s="52" t="s">
        <v>146</v>
      </c>
      <c r="C821" s="67">
        <v>30</v>
      </c>
      <c r="D821" s="67">
        <v>21</v>
      </c>
      <c r="E821" s="67">
        <v>20</v>
      </c>
      <c r="F821" s="67">
        <v>20</v>
      </c>
      <c r="G821" s="67">
        <v>0</v>
      </c>
      <c r="H821" s="67">
        <v>0</v>
      </c>
      <c r="I821" s="67">
        <v>0</v>
      </c>
      <c r="J821" s="67">
        <v>0</v>
      </c>
    </row>
    <row r="822" spans="2:10">
      <c r="B822" s="52"/>
      <c r="C822" s="67"/>
      <c r="D822" s="67"/>
      <c r="E822" s="67"/>
      <c r="F822" s="67"/>
      <c r="G822" s="67"/>
      <c r="H822" s="67"/>
      <c r="I822" s="67"/>
      <c r="J822" s="67"/>
    </row>
    <row r="823" spans="2:10">
      <c r="B823" s="71" t="s">
        <v>215</v>
      </c>
      <c r="C823" s="67">
        <v>0</v>
      </c>
      <c r="D823" s="67">
        <v>0</v>
      </c>
      <c r="E823" s="67">
        <v>0</v>
      </c>
      <c r="F823" s="67">
        <v>0</v>
      </c>
      <c r="G823" s="67">
        <v>0</v>
      </c>
      <c r="H823" s="67">
        <v>0</v>
      </c>
      <c r="I823" s="67">
        <v>0</v>
      </c>
      <c r="J823" s="67">
        <v>0</v>
      </c>
    </row>
    <row r="824" spans="2:10">
      <c r="B824" s="52" t="s">
        <v>150</v>
      </c>
      <c r="C824" s="67">
        <v>0</v>
      </c>
      <c r="D824" s="67">
        <v>0</v>
      </c>
      <c r="E824" s="67">
        <v>0</v>
      </c>
      <c r="F824" s="67">
        <v>0</v>
      </c>
      <c r="G824" s="67">
        <v>0</v>
      </c>
      <c r="H824" s="67">
        <v>0</v>
      </c>
      <c r="I824" s="67">
        <v>0</v>
      </c>
      <c r="J824" s="67">
        <v>0</v>
      </c>
    </row>
    <row r="825" spans="2:10">
      <c r="B825" s="52" t="s">
        <v>214</v>
      </c>
      <c r="C825" s="67">
        <v>0</v>
      </c>
      <c r="D825" s="67">
        <v>0</v>
      </c>
      <c r="E825" s="67">
        <v>0</v>
      </c>
      <c r="F825" s="67">
        <v>0</v>
      </c>
      <c r="G825" s="67">
        <v>0</v>
      </c>
      <c r="H825" s="67">
        <v>0</v>
      </c>
      <c r="I825" s="67">
        <v>0</v>
      </c>
      <c r="J825" s="67">
        <v>0</v>
      </c>
    </row>
    <row r="826" spans="2:10">
      <c r="B826" s="52" t="s">
        <v>147</v>
      </c>
      <c r="C826" s="67">
        <v>0</v>
      </c>
      <c r="D826" s="67">
        <v>0</v>
      </c>
      <c r="E826" s="67">
        <v>0</v>
      </c>
      <c r="F826" s="67">
        <v>0</v>
      </c>
      <c r="G826" s="67">
        <v>0</v>
      </c>
      <c r="H826" s="67">
        <v>0</v>
      </c>
      <c r="I826" s="67">
        <v>0</v>
      </c>
      <c r="J826" s="67">
        <v>0</v>
      </c>
    </row>
    <row r="827" spans="2:10">
      <c r="B827" s="52" t="s">
        <v>146</v>
      </c>
      <c r="C827" s="67">
        <v>0</v>
      </c>
      <c r="D827" s="67">
        <v>0</v>
      </c>
      <c r="E827" s="67">
        <v>0</v>
      </c>
      <c r="F827" s="67">
        <v>0</v>
      </c>
      <c r="G827" s="67">
        <v>0</v>
      </c>
      <c r="H827" s="67">
        <v>0</v>
      </c>
      <c r="I827" s="67">
        <v>0</v>
      </c>
      <c r="J827" s="67">
        <v>0</v>
      </c>
    </row>
    <row r="828" spans="2:10">
      <c r="B828" s="52"/>
      <c r="C828" s="67"/>
      <c r="D828" s="67"/>
      <c r="E828" s="67"/>
      <c r="F828" s="67"/>
      <c r="G828" s="67"/>
      <c r="H828" s="67"/>
      <c r="I828" s="67"/>
      <c r="J828" s="67"/>
    </row>
    <row r="829" spans="2:10">
      <c r="B829" s="59" t="s">
        <v>960</v>
      </c>
      <c r="C829" s="67"/>
      <c r="D829" s="67"/>
      <c r="E829" s="67"/>
      <c r="F829" s="67"/>
      <c r="G829" s="67"/>
      <c r="H829" s="67"/>
      <c r="I829" s="67"/>
      <c r="J829" s="67"/>
    </row>
    <row r="830" spans="2:10">
      <c r="B830" s="71" t="s">
        <v>217</v>
      </c>
      <c r="C830" s="67">
        <v>699</v>
      </c>
      <c r="D830" s="67">
        <v>700</v>
      </c>
      <c r="E830" s="67">
        <v>698</v>
      </c>
      <c r="F830" s="67">
        <v>749</v>
      </c>
      <c r="G830" s="67">
        <v>969</v>
      </c>
      <c r="H830" s="67">
        <v>936</v>
      </c>
      <c r="I830" s="67">
        <v>930</v>
      </c>
      <c r="J830" s="67">
        <v>933</v>
      </c>
    </row>
    <row r="831" spans="2:10">
      <c r="B831" s="52" t="s">
        <v>150</v>
      </c>
      <c r="C831" s="67">
        <v>1</v>
      </c>
      <c r="D831" s="67">
        <v>1</v>
      </c>
      <c r="E831" s="67">
        <v>1</v>
      </c>
      <c r="F831" s="67">
        <v>1</v>
      </c>
      <c r="G831" s="67">
        <v>1</v>
      </c>
      <c r="H831" s="67">
        <v>1</v>
      </c>
      <c r="I831" s="67">
        <v>1</v>
      </c>
      <c r="J831" s="67">
        <v>1</v>
      </c>
    </row>
    <row r="832" spans="2:10">
      <c r="B832" s="52" t="s">
        <v>214</v>
      </c>
      <c r="C832" s="67">
        <v>0</v>
      </c>
      <c r="D832" s="67">
        <v>0</v>
      </c>
      <c r="E832" s="67">
        <v>0</v>
      </c>
      <c r="F832" s="67">
        <v>0</v>
      </c>
      <c r="G832" s="67">
        <v>0</v>
      </c>
      <c r="H832" s="67">
        <v>0</v>
      </c>
      <c r="I832" s="67">
        <v>0</v>
      </c>
      <c r="J832" s="67">
        <v>0</v>
      </c>
    </row>
    <row r="833" spans="2:10">
      <c r="B833" s="52" t="s">
        <v>147</v>
      </c>
      <c r="C833" s="67">
        <v>185</v>
      </c>
      <c r="D833" s="67">
        <v>185</v>
      </c>
      <c r="E833" s="67">
        <v>183</v>
      </c>
      <c r="F833" s="67">
        <v>181</v>
      </c>
      <c r="G833" s="67">
        <v>182</v>
      </c>
      <c r="H833" s="67">
        <v>179</v>
      </c>
      <c r="I833" s="67">
        <v>181</v>
      </c>
      <c r="J833" s="67">
        <v>181</v>
      </c>
    </row>
    <row r="834" spans="2:10">
      <c r="B834" s="52" t="s">
        <v>146</v>
      </c>
      <c r="C834" s="67">
        <v>513</v>
      </c>
      <c r="D834" s="67">
        <v>514</v>
      </c>
      <c r="E834" s="67">
        <v>514</v>
      </c>
      <c r="F834" s="67">
        <v>567</v>
      </c>
      <c r="G834" s="67">
        <v>786</v>
      </c>
      <c r="H834" s="67">
        <v>756</v>
      </c>
      <c r="I834" s="67">
        <v>748</v>
      </c>
      <c r="J834" s="67">
        <v>751</v>
      </c>
    </row>
    <row r="835" spans="2:10">
      <c r="B835" s="52"/>
      <c r="C835" s="67"/>
      <c r="D835" s="67"/>
      <c r="E835" s="67"/>
      <c r="F835" s="67"/>
      <c r="G835" s="67"/>
      <c r="H835" s="67"/>
      <c r="I835" s="67"/>
      <c r="J835" s="67"/>
    </row>
    <row r="836" spans="2:10">
      <c r="B836" s="71" t="s">
        <v>216</v>
      </c>
      <c r="C836" s="67">
        <v>699</v>
      </c>
      <c r="D836" s="67">
        <v>700</v>
      </c>
      <c r="E836" s="67">
        <v>698</v>
      </c>
      <c r="F836" s="67">
        <v>749</v>
      </c>
      <c r="G836" s="67">
        <v>969</v>
      </c>
      <c r="H836" s="67">
        <v>936</v>
      </c>
      <c r="I836" s="67">
        <v>930</v>
      </c>
      <c r="J836" s="67">
        <v>933</v>
      </c>
    </row>
    <row r="837" spans="2:10">
      <c r="B837" s="52" t="s">
        <v>150</v>
      </c>
      <c r="C837" s="67">
        <v>1</v>
      </c>
      <c r="D837" s="67">
        <v>1</v>
      </c>
      <c r="E837" s="67">
        <v>1</v>
      </c>
      <c r="F837" s="67">
        <v>1</v>
      </c>
      <c r="G837" s="67">
        <v>1</v>
      </c>
      <c r="H837" s="67">
        <v>1</v>
      </c>
      <c r="I837" s="67">
        <v>1</v>
      </c>
      <c r="J837" s="67">
        <v>1</v>
      </c>
    </row>
    <row r="838" spans="2:10">
      <c r="B838" s="52" t="s">
        <v>214</v>
      </c>
      <c r="C838" s="67">
        <v>0</v>
      </c>
      <c r="D838" s="67">
        <v>0</v>
      </c>
      <c r="E838" s="67">
        <v>0</v>
      </c>
      <c r="F838" s="67">
        <v>0</v>
      </c>
      <c r="G838" s="67">
        <v>0</v>
      </c>
      <c r="H838" s="67">
        <v>0</v>
      </c>
      <c r="I838" s="67"/>
      <c r="J838" s="67"/>
    </row>
    <row r="839" spans="2:10">
      <c r="B839" s="52" t="s">
        <v>147</v>
      </c>
      <c r="C839" s="67">
        <v>185</v>
      </c>
      <c r="D839" s="67">
        <v>185</v>
      </c>
      <c r="E839" s="67">
        <v>183</v>
      </c>
      <c r="F839" s="67">
        <v>181</v>
      </c>
      <c r="G839" s="67">
        <v>182</v>
      </c>
      <c r="H839" s="67">
        <v>179</v>
      </c>
      <c r="I839" s="67">
        <v>181</v>
      </c>
      <c r="J839" s="67">
        <v>181</v>
      </c>
    </row>
    <row r="840" spans="2:10">
      <c r="B840" s="52" t="s">
        <v>146</v>
      </c>
      <c r="C840" s="67">
        <v>513</v>
      </c>
      <c r="D840" s="67">
        <v>514</v>
      </c>
      <c r="E840" s="67">
        <v>514</v>
      </c>
      <c r="F840" s="67">
        <v>567</v>
      </c>
      <c r="G840" s="67">
        <v>786</v>
      </c>
      <c r="H840" s="67">
        <v>756</v>
      </c>
      <c r="I840" s="67">
        <v>748</v>
      </c>
      <c r="J840" s="67">
        <v>751</v>
      </c>
    </row>
    <row r="841" spans="2:10">
      <c r="B841" s="52"/>
      <c r="C841" s="67"/>
      <c r="D841" s="67"/>
      <c r="E841" s="67"/>
      <c r="F841" s="67"/>
      <c r="G841" s="67"/>
      <c r="H841" s="67"/>
      <c r="I841" s="67"/>
      <c r="J841" s="67"/>
    </row>
    <row r="842" spans="2:10">
      <c r="B842" s="71" t="s">
        <v>215</v>
      </c>
      <c r="C842" s="67">
        <v>0</v>
      </c>
      <c r="D842" s="67">
        <v>0</v>
      </c>
      <c r="E842" s="67">
        <v>0</v>
      </c>
      <c r="F842" s="67">
        <v>0</v>
      </c>
      <c r="G842" s="67">
        <v>0</v>
      </c>
      <c r="H842" s="67">
        <v>0</v>
      </c>
      <c r="I842" s="67">
        <v>0</v>
      </c>
      <c r="J842" s="67">
        <v>0</v>
      </c>
    </row>
    <row r="843" spans="2:10">
      <c r="B843" s="52" t="s">
        <v>150</v>
      </c>
      <c r="C843" s="67">
        <v>0</v>
      </c>
      <c r="D843" s="67">
        <v>0</v>
      </c>
      <c r="E843" s="67">
        <v>0</v>
      </c>
      <c r="F843" s="67">
        <v>0</v>
      </c>
      <c r="G843" s="67">
        <v>0</v>
      </c>
      <c r="H843" s="67">
        <v>0</v>
      </c>
      <c r="I843" s="67">
        <v>0</v>
      </c>
      <c r="J843" s="67">
        <v>0</v>
      </c>
    </row>
    <row r="844" spans="2:10">
      <c r="B844" s="52" t="s">
        <v>214</v>
      </c>
      <c r="C844" s="67">
        <v>0</v>
      </c>
      <c r="D844" s="67">
        <v>0</v>
      </c>
      <c r="E844" s="67">
        <v>0</v>
      </c>
      <c r="F844" s="67">
        <v>0</v>
      </c>
      <c r="G844" s="67">
        <v>0</v>
      </c>
      <c r="H844" s="67">
        <v>0</v>
      </c>
      <c r="I844" s="67">
        <v>0</v>
      </c>
      <c r="J844" s="67">
        <v>0</v>
      </c>
    </row>
    <row r="845" spans="2:10">
      <c r="B845" s="52" t="s">
        <v>147</v>
      </c>
      <c r="C845" s="67">
        <v>0</v>
      </c>
      <c r="D845" s="67">
        <v>0</v>
      </c>
      <c r="E845" s="67">
        <v>0</v>
      </c>
      <c r="F845" s="67">
        <v>0</v>
      </c>
      <c r="G845" s="67">
        <v>0</v>
      </c>
      <c r="H845" s="67">
        <v>0</v>
      </c>
      <c r="I845" s="67">
        <v>0</v>
      </c>
      <c r="J845" s="67">
        <v>0</v>
      </c>
    </row>
    <row r="846" spans="2:10" ht="15" thickBot="1">
      <c r="B846" s="50" t="s">
        <v>146</v>
      </c>
      <c r="C846" s="117">
        <v>0</v>
      </c>
      <c r="D846" s="117">
        <v>0</v>
      </c>
      <c r="E846" s="117">
        <v>0</v>
      </c>
      <c r="F846" s="117">
        <v>0</v>
      </c>
      <c r="G846" s="117">
        <v>0</v>
      </c>
      <c r="H846" s="117">
        <v>0</v>
      </c>
      <c r="I846" s="117">
        <v>0</v>
      </c>
      <c r="J846" s="117">
        <v>0</v>
      </c>
    </row>
    <row r="847" spans="2:10" ht="15" thickTop="1">
      <c r="B847" s="2025" t="s">
        <v>948</v>
      </c>
      <c r="C847" s="2025"/>
      <c r="D847" s="2025"/>
      <c r="E847" s="2025"/>
      <c r="F847" s="2025"/>
      <c r="G847" s="2025"/>
      <c r="H847" s="2025"/>
      <c r="I847" s="2025"/>
      <c r="J847" s="2025"/>
    </row>
    <row r="848" spans="2:10">
      <c r="B848" s="2066" t="s">
        <v>961</v>
      </c>
      <c r="C848" s="2031"/>
      <c r="D848" s="2031"/>
      <c r="E848" s="2031"/>
      <c r="F848" s="2031"/>
      <c r="G848" s="2031"/>
      <c r="H848" s="2031"/>
      <c r="I848" s="2031"/>
      <c r="J848" s="2031"/>
    </row>
    <row r="849" spans="2:10">
      <c r="B849" s="2017"/>
      <c r="C849" s="2017"/>
      <c r="D849" s="2017"/>
      <c r="E849" s="2017"/>
      <c r="F849" s="2017"/>
      <c r="G849" s="2017"/>
      <c r="H849" s="2017"/>
      <c r="I849" s="2017"/>
      <c r="J849" s="2017"/>
    </row>
    <row r="850" spans="2:10">
      <c r="B850" s="2024" t="s">
        <v>212</v>
      </c>
      <c r="C850" s="2024"/>
      <c r="D850" s="2024"/>
      <c r="E850" s="2024"/>
      <c r="F850" s="2024"/>
      <c r="G850" s="2024"/>
      <c r="H850" s="2024"/>
      <c r="I850" s="2024"/>
      <c r="J850" s="2024"/>
    </row>
    <row r="851" spans="2:10">
      <c r="B851" s="12" t="s">
        <v>211</v>
      </c>
    </row>
    <row r="852" spans="2:10">
      <c r="B852" s="64" t="s">
        <v>210</v>
      </c>
    </row>
    <row r="853" spans="2:10">
      <c r="B853" s="64"/>
    </row>
    <row r="854" spans="2:10">
      <c r="B854" s="61"/>
      <c r="C854" s="60">
        <v>2014</v>
      </c>
      <c r="D854" s="60">
        <v>2015</v>
      </c>
      <c r="E854" s="60">
        <v>2016</v>
      </c>
      <c r="F854" s="60">
        <v>2017</v>
      </c>
      <c r="G854" s="60">
        <v>2018</v>
      </c>
      <c r="H854" s="60">
        <v>2019</v>
      </c>
      <c r="I854" s="60">
        <v>2020</v>
      </c>
      <c r="J854" s="60">
        <v>2021</v>
      </c>
    </row>
    <row r="855" spans="2:10" ht="15">
      <c r="B855" s="59" t="s">
        <v>962</v>
      </c>
    </row>
    <row r="856" spans="2:10">
      <c r="B856" s="71" t="s">
        <v>209</v>
      </c>
      <c r="C856" s="55">
        <v>228132.49600000001</v>
      </c>
      <c r="D856" s="55">
        <v>244845.84699999998</v>
      </c>
      <c r="E856" s="55">
        <v>260474.37700000001</v>
      </c>
      <c r="F856" s="55">
        <v>168684.16200000001</v>
      </c>
      <c r="G856" s="55">
        <v>0</v>
      </c>
      <c r="H856" s="55">
        <v>0</v>
      </c>
      <c r="I856" s="55">
        <v>0</v>
      </c>
      <c r="J856" s="55">
        <v>0</v>
      </c>
    </row>
    <row r="857" spans="2:10">
      <c r="B857" s="71"/>
      <c r="C857" s="55"/>
      <c r="D857" s="55"/>
      <c r="E857" s="55"/>
      <c r="F857" s="55"/>
      <c r="G857" s="55"/>
      <c r="H857" s="55"/>
      <c r="I857" s="55"/>
      <c r="J857" s="55"/>
    </row>
    <row r="858" spans="2:10">
      <c r="B858" s="71" t="s">
        <v>208</v>
      </c>
      <c r="C858" s="55">
        <v>203848.39</v>
      </c>
      <c r="D858" s="55">
        <v>230217.75799999997</v>
      </c>
      <c r="E858" s="55">
        <v>244226.09400000001</v>
      </c>
      <c r="F858" s="55">
        <v>157655.20300000001</v>
      </c>
      <c r="G858" s="55">
        <v>0</v>
      </c>
      <c r="H858" s="55">
        <v>0</v>
      </c>
      <c r="I858" s="55">
        <v>0</v>
      </c>
      <c r="J858" s="55">
        <v>0</v>
      </c>
    </row>
    <row r="859" spans="2:10">
      <c r="B859" s="52" t="s">
        <v>121</v>
      </c>
      <c r="C859" s="55">
        <v>2.0019999999999998</v>
      </c>
      <c r="D859" s="55">
        <v>1.8680000000000001</v>
      </c>
      <c r="E859" s="55">
        <v>2.9089999999999998</v>
      </c>
      <c r="F859" s="55">
        <v>2.5049999999999999</v>
      </c>
      <c r="G859" s="55">
        <v>0</v>
      </c>
      <c r="H859" s="55">
        <v>0</v>
      </c>
      <c r="I859" s="55">
        <v>0</v>
      </c>
      <c r="J859" s="55">
        <v>0</v>
      </c>
    </row>
    <row r="860" spans="2:10">
      <c r="B860" s="53" t="s">
        <v>120</v>
      </c>
      <c r="C860" s="55">
        <v>0</v>
      </c>
      <c r="D860" s="55">
        <v>0</v>
      </c>
      <c r="E860" s="55">
        <v>0</v>
      </c>
      <c r="F860" s="55">
        <v>0</v>
      </c>
      <c r="G860" s="55">
        <v>0</v>
      </c>
      <c r="H860" s="55">
        <v>0</v>
      </c>
      <c r="I860" s="55">
        <v>0</v>
      </c>
      <c r="J860" s="55">
        <v>0</v>
      </c>
    </row>
    <row r="861" spans="2:10">
      <c r="B861" s="53" t="s">
        <v>119</v>
      </c>
      <c r="C861" s="55">
        <v>2.0019999999999998</v>
      </c>
      <c r="D861" s="55">
        <v>1.8680000000000001</v>
      </c>
      <c r="E861" s="55">
        <v>2.9089999999999998</v>
      </c>
      <c r="F861" s="55">
        <v>2.5049999999999999</v>
      </c>
      <c r="G861" s="55">
        <v>0</v>
      </c>
      <c r="H861" s="55">
        <v>0</v>
      </c>
      <c r="I861" s="55">
        <v>0</v>
      </c>
      <c r="J861" s="55">
        <v>0</v>
      </c>
    </row>
    <row r="862" spans="2:10">
      <c r="B862" s="53" t="s">
        <v>172</v>
      </c>
      <c r="C862" s="55">
        <v>0</v>
      </c>
      <c r="D862" s="55">
        <v>0</v>
      </c>
      <c r="E862" s="55">
        <v>0</v>
      </c>
      <c r="F862" s="55">
        <v>0</v>
      </c>
      <c r="G862" s="55">
        <v>0</v>
      </c>
      <c r="H862" s="55">
        <v>0</v>
      </c>
      <c r="I862" s="55">
        <v>0</v>
      </c>
      <c r="J862" s="55">
        <v>0</v>
      </c>
    </row>
    <row r="863" spans="2:10">
      <c r="B863" s="52" t="s">
        <v>118</v>
      </c>
      <c r="C863" s="55">
        <v>201405.68700000001</v>
      </c>
      <c r="D863" s="55">
        <v>224808.49799999999</v>
      </c>
      <c r="E863" s="55">
        <v>237558.67499999999</v>
      </c>
      <c r="F863" s="55">
        <v>153857.38</v>
      </c>
      <c r="G863" s="55">
        <v>0</v>
      </c>
      <c r="H863" s="55">
        <v>0</v>
      </c>
      <c r="I863" s="55">
        <v>0</v>
      </c>
      <c r="J863" s="55">
        <v>0</v>
      </c>
    </row>
    <row r="864" spans="2:10">
      <c r="B864" s="52" t="s">
        <v>117</v>
      </c>
      <c r="C864" s="55">
        <v>2440.701</v>
      </c>
      <c r="D864" s="55">
        <v>5407.3919999999998</v>
      </c>
      <c r="E864" s="55">
        <v>6664.51</v>
      </c>
      <c r="F864" s="55">
        <v>3795.3180000000002</v>
      </c>
      <c r="G864" s="55">
        <v>0</v>
      </c>
      <c r="H864" s="55">
        <v>0</v>
      </c>
      <c r="I864" s="55">
        <v>0</v>
      </c>
      <c r="J864" s="55">
        <v>0</v>
      </c>
    </row>
    <row r="865" spans="2:10">
      <c r="B865" s="52"/>
      <c r="C865" s="55"/>
      <c r="D865" s="55"/>
      <c r="E865" s="55"/>
      <c r="F865" s="55"/>
      <c r="G865" s="55"/>
      <c r="H865" s="55"/>
      <c r="I865" s="55"/>
      <c r="J865" s="55"/>
    </row>
    <row r="866" spans="2:10">
      <c r="B866" s="83" t="s">
        <v>205</v>
      </c>
      <c r="C866" s="55">
        <v>1518.3689999999999</v>
      </c>
      <c r="D866" s="55">
        <v>1519.4449999999999</v>
      </c>
      <c r="E866" s="55">
        <v>1384.2090000000001</v>
      </c>
      <c r="F866" s="55">
        <v>941.59900000000005</v>
      </c>
      <c r="G866" s="55">
        <v>0</v>
      </c>
      <c r="H866" s="55">
        <v>0</v>
      </c>
      <c r="I866" s="55">
        <v>0</v>
      </c>
      <c r="J866" s="55">
        <v>0</v>
      </c>
    </row>
    <row r="867" spans="2:10">
      <c r="B867" s="81" t="s">
        <v>121</v>
      </c>
      <c r="C867" s="55">
        <v>0</v>
      </c>
      <c r="D867" s="55">
        <v>0</v>
      </c>
      <c r="E867" s="55">
        <v>0</v>
      </c>
      <c r="F867" s="55">
        <v>0</v>
      </c>
      <c r="G867" s="55">
        <v>0</v>
      </c>
      <c r="H867" s="55">
        <v>0</v>
      </c>
      <c r="I867" s="55">
        <v>0</v>
      </c>
      <c r="J867" s="55">
        <v>0</v>
      </c>
    </row>
    <row r="868" spans="2:10">
      <c r="B868" s="82" t="s">
        <v>120</v>
      </c>
      <c r="C868" s="55">
        <v>0</v>
      </c>
      <c r="D868" s="55">
        <v>0</v>
      </c>
      <c r="E868" s="55">
        <v>0</v>
      </c>
      <c r="F868" s="55">
        <v>0</v>
      </c>
      <c r="G868" s="55">
        <v>0</v>
      </c>
      <c r="H868" s="55">
        <v>0</v>
      </c>
      <c r="I868" s="55">
        <v>0</v>
      </c>
      <c r="J868" s="55">
        <v>0</v>
      </c>
    </row>
    <row r="869" spans="2:10">
      <c r="B869" s="82" t="s">
        <v>119</v>
      </c>
      <c r="C869" s="55">
        <v>0</v>
      </c>
      <c r="D869" s="55">
        <v>0</v>
      </c>
      <c r="E869" s="55">
        <v>0</v>
      </c>
      <c r="F869" s="55">
        <v>0</v>
      </c>
      <c r="G869" s="55">
        <v>0</v>
      </c>
      <c r="H869" s="55">
        <v>0</v>
      </c>
      <c r="I869" s="55">
        <v>0</v>
      </c>
      <c r="J869" s="55">
        <v>0</v>
      </c>
    </row>
    <row r="870" spans="2:10">
      <c r="B870" s="82" t="s">
        <v>172</v>
      </c>
      <c r="C870" s="55">
        <v>0</v>
      </c>
      <c r="D870" s="55">
        <v>0</v>
      </c>
      <c r="E870" s="55">
        <v>0</v>
      </c>
      <c r="F870" s="55">
        <v>0</v>
      </c>
      <c r="G870" s="55">
        <v>0</v>
      </c>
      <c r="H870" s="55">
        <v>0</v>
      </c>
      <c r="I870" s="55">
        <v>0</v>
      </c>
      <c r="J870" s="55">
        <v>0</v>
      </c>
    </row>
    <row r="871" spans="2:10">
      <c r="B871" s="81" t="s">
        <v>118</v>
      </c>
      <c r="C871" s="55">
        <v>1518.3689999999999</v>
      </c>
      <c r="D871" s="55">
        <v>1519.4449999999999</v>
      </c>
      <c r="E871" s="55">
        <v>1384.2090000000001</v>
      </c>
      <c r="F871" s="55">
        <v>941.59900000000005</v>
      </c>
      <c r="G871" s="55">
        <v>0</v>
      </c>
      <c r="H871" s="55">
        <v>0</v>
      </c>
      <c r="I871" s="55">
        <v>0</v>
      </c>
      <c r="J871" s="55">
        <v>0</v>
      </c>
    </row>
    <row r="872" spans="2:10">
      <c r="B872" s="81" t="s">
        <v>117</v>
      </c>
      <c r="C872" s="55">
        <v>0</v>
      </c>
      <c r="D872" s="55">
        <v>0</v>
      </c>
      <c r="E872" s="55">
        <v>0</v>
      </c>
      <c r="F872" s="55">
        <v>0</v>
      </c>
      <c r="G872" s="55">
        <v>0</v>
      </c>
      <c r="H872" s="55">
        <v>0</v>
      </c>
      <c r="I872" s="55">
        <v>0</v>
      </c>
      <c r="J872" s="55">
        <v>0</v>
      </c>
    </row>
    <row r="873" spans="2:10">
      <c r="B873" s="81"/>
      <c r="C873" s="55"/>
      <c r="D873" s="55"/>
      <c r="E873" s="55"/>
      <c r="F873" s="55"/>
      <c r="G873" s="55"/>
      <c r="H873" s="55"/>
      <c r="I873" s="55"/>
      <c r="J873" s="55"/>
    </row>
    <row r="874" spans="2:10">
      <c r="B874" s="83" t="s">
        <v>204</v>
      </c>
      <c r="C874" s="55">
        <v>203848.39</v>
      </c>
      <c r="D874" s="55">
        <v>230217.758</v>
      </c>
      <c r="E874" s="55">
        <v>244226.09400000001</v>
      </c>
      <c r="F874" s="55">
        <v>157655.20300000001</v>
      </c>
      <c r="G874" s="55">
        <v>0</v>
      </c>
      <c r="H874" s="55">
        <v>0</v>
      </c>
      <c r="I874" s="55">
        <v>0</v>
      </c>
      <c r="J874" s="55">
        <v>0</v>
      </c>
    </row>
    <row r="875" spans="2:10">
      <c r="B875" s="81" t="s">
        <v>121</v>
      </c>
      <c r="C875" s="55">
        <v>2.0019999999999998</v>
      </c>
      <c r="D875" s="55">
        <v>1.8680000000000001</v>
      </c>
      <c r="E875" s="55">
        <v>2.9089999999999998</v>
      </c>
      <c r="F875" s="55">
        <v>2.5049999999999999</v>
      </c>
      <c r="G875" s="55">
        <v>0</v>
      </c>
      <c r="H875" s="55">
        <v>0</v>
      </c>
      <c r="I875" s="55">
        <v>0</v>
      </c>
      <c r="J875" s="55">
        <v>0</v>
      </c>
    </row>
    <row r="876" spans="2:10">
      <c r="B876" s="82" t="s">
        <v>120</v>
      </c>
      <c r="C876" s="55">
        <v>0</v>
      </c>
      <c r="D876" s="55">
        <v>0</v>
      </c>
      <c r="E876" s="55">
        <v>0</v>
      </c>
      <c r="F876" s="55">
        <v>0</v>
      </c>
      <c r="G876" s="55">
        <v>0</v>
      </c>
      <c r="H876" s="55">
        <v>0</v>
      </c>
      <c r="I876" s="55">
        <v>0</v>
      </c>
      <c r="J876" s="55">
        <v>0</v>
      </c>
    </row>
    <row r="877" spans="2:10">
      <c r="B877" s="82" t="s">
        <v>119</v>
      </c>
      <c r="C877" s="55">
        <v>2.0019999999999998</v>
      </c>
      <c r="D877" s="55">
        <v>1.8680000000000001</v>
      </c>
      <c r="E877" s="55">
        <v>2.9089999999999998</v>
      </c>
      <c r="F877" s="55">
        <v>2.5049999999999999</v>
      </c>
      <c r="G877" s="55">
        <v>0</v>
      </c>
      <c r="H877" s="55">
        <v>0</v>
      </c>
      <c r="I877" s="55">
        <v>0</v>
      </c>
      <c r="J877" s="55">
        <v>0</v>
      </c>
    </row>
    <row r="878" spans="2:10">
      <c r="B878" s="82" t="s">
        <v>172</v>
      </c>
      <c r="C878" s="55">
        <v>0</v>
      </c>
      <c r="D878" s="55">
        <v>0</v>
      </c>
      <c r="E878" s="55">
        <v>0</v>
      </c>
      <c r="F878" s="55">
        <v>0</v>
      </c>
      <c r="G878" s="55">
        <v>0</v>
      </c>
      <c r="H878" s="55">
        <v>0</v>
      </c>
      <c r="I878" s="55">
        <v>0</v>
      </c>
      <c r="J878" s="55">
        <v>0</v>
      </c>
    </row>
    <row r="879" spans="2:10">
      <c r="B879" s="81" t="s">
        <v>118</v>
      </c>
      <c r="C879" s="55">
        <v>201405.68700000001</v>
      </c>
      <c r="D879" s="55">
        <v>224808.49799999999</v>
      </c>
      <c r="E879" s="55">
        <v>237558.67499999999</v>
      </c>
      <c r="F879" s="55">
        <v>153857.38</v>
      </c>
      <c r="G879" s="55">
        <v>0</v>
      </c>
      <c r="H879" s="55">
        <v>0</v>
      </c>
      <c r="I879" s="55">
        <v>0</v>
      </c>
      <c r="J879" s="55">
        <v>0</v>
      </c>
    </row>
    <row r="880" spans="2:10">
      <c r="B880" s="81" t="s">
        <v>117</v>
      </c>
      <c r="C880" s="55">
        <v>2440.701</v>
      </c>
      <c r="D880" s="55">
        <v>5407.3919999999998</v>
      </c>
      <c r="E880" s="55">
        <v>6664.51</v>
      </c>
      <c r="F880" s="55">
        <v>3795.3180000000002</v>
      </c>
      <c r="G880" s="55">
        <v>0</v>
      </c>
      <c r="H880" s="55">
        <v>0</v>
      </c>
      <c r="I880" s="55">
        <v>0</v>
      </c>
      <c r="J880" s="55">
        <v>0</v>
      </c>
    </row>
    <row r="881" spans="2:10">
      <c r="B881" s="81"/>
      <c r="C881" s="55"/>
      <c r="D881" s="55"/>
      <c r="E881" s="55"/>
      <c r="F881" s="55"/>
      <c r="G881" s="55"/>
      <c r="H881" s="55"/>
      <c r="I881" s="55"/>
      <c r="J881" s="55"/>
    </row>
    <row r="882" spans="2:10">
      <c r="B882" s="71" t="s">
        <v>203</v>
      </c>
      <c r="C882" s="55">
        <v>24284.106</v>
      </c>
      <c r="D882" s="55">
        <v>14628.089</v>
      </c>
      <c r="E882" s="55">
        <v>16248.283000000001</v>
      </c>
      <c r="F882" s="55">
        <v>11028.959000000001</v>
      </c>
      <c r="G882" s="55">
        <v>0</v>
      </c>
      <c r="H882" s="55">
        <v>0</v>
      </c>
      <c r="I882" s="55">
        <v>0</v>
      </c>
      <c r="J882" s="55">
        <v>0</v>
      </c>
    </row>
    <row r="883" spans="2:10">
      <c r="B883" s="52" t="s">
        <v>169</v>
      </c>
      <c r="C883" s="55">
        <v>0</v>
      </c>
      <c r="D883" s="55">
        <v>0</v>
      </c>
      <c r="E883" s="55">
        <v>0</v>
      </c>
      <c r="F883" s="55">
        <v>0</v>
      </c>
      <c r="G883" s="55">
        <v>0</v>
      </c>
      <c r="H883" s="55">
        <v>0</v>
      </c>
      <c r="I883" s="55">
        <v>0</v>
      </c>
      <c r="J883" s="55">
        <v>0</v>
      </c>
    </row>
    <row r="884" spans="2:10">
      <c r="B884" s="52" t="s">
        <v>168</v>
      </c>
      <c r="C884" s="55">
        <v>24136.701000000001</v>
      </c>
      <c r="D884" s="55">
        <v>14509.598</v>
      </c>
      <c r="E884" s="55">
        <v>16124.859</v>
      </c>
      <c r="F884" s="55">
        <v>10945.905000000001</v>
      </c>
      <c r="G884" s="55">
        <v>0</v>
      </c>
      <c r="H884" s="55">
        <v>0</v>
      </c>
      <c r="I884" s="55">
        <v>0</v>
      </c>
      <c r="J884" s="55">
        <v>0</v>
      </c>
    </row>
    <row r="885" spans="2:10">
      <c r="B885" s="52" t="s">
        <v>167</v>
      </c>
      <c r="C885" s="55">
        <v>147.405</v>
      </c>
      <c r="D885" s="55">
        <v>118.491</v>
      </c>
      <c r="E885" s="55">
        <v>123.42400000000001</v>
      </c>
      <c r="F885" s="55">
        <v>83.054000000000002</v>
      </c>
      <c r="G885" s="55">
        <v>0</v>
      </c>
      <c r="H885" s="55">
        <v>0</v>
      </c>
      <c r="I885" s="55">
        <v>0</v>
      </c>
      <c r="J885" s="55">
        <v>0</v>
      </c>
    </row>
    <row r="886" spans="2:10">
      <c r="B886" s="52" t="s">
        <v>166</v>
      </c>
      <c r="C886" s="55">
        <v>0</v>
      </c>
      <c r="D886" s="55">
        <v>0</v>
      </c>
      <c r="E886" s="55">
        <v>0</v>
      </c>
      <c r="F886" s="55">
        <v>0</v>
      </c>
      <c r="G886" s="55">
        <v>0</v>
      </c>
      <c r="H886" s="55">
        <v>0</v>
      </c>
      <c r="I886" s="55">
        <v>0</v>
      </c>
      <c r="J886" s="55">
        <v>0</v>
      </c>
    </row>
    <row r="887" spans="2:10">
      <c r="B887" s="52" t="s">
        <v>165</v>
      </c>
      <c r="C887" s="55">
        <v>0</v>
      </c>
      <c r="D887" s="55">
        <v>0</v>
      </c>
      <c r="E887" s="55">
        <v>0</v>
      </c>
      <c r="F887" s="55">
        <v>0</v>
      </c>
      <c r="G887" s="55">
        <v>0</v>
      </c>
      <c r="H887" s="55">
        <v>0</v>
      </c>
      <c r="I887" s="55">
        <v>0</v>
      </c>
      <c r="J887" s="55">
        <v>0</v>
      </c>
    </row>
    <row r="888" spans="2:10">
      <c r="B888" s="52" t="s">
        <v>164</v>
      </c>
      <c r="C888" s="55">
        <v>0</v>
      </c>
      <c r="D888" s="55">
        <v>0</v>
      </c>
      <c r="E888" s="55">
        <v>0</v>
      </c>
      <c r="F888" s="55">
        <v>0</v>
      </c>
      <c r="G888" s="55">
        <v>0</v>
      </c>
      <c r="H888" s="55">
        <v>0</v>
      </c>
      <c r="I888" s="55">
        <v>0</v>
      </c>
      <c r="J888" s="55">
        <v>0</v>
      </c>
    </row>
    <row r="889" spans="2:10">
      <c r="B889" s="52"/>
      <c r="C889" s="55"/>
      <c r="D889" s="55"/>
      <c r="E889" s="55"/>
      <c r="F889" s="55"/>
      <c r="G889" s="55"/>
      <c r="H889" s="55"/>
      <c r="I889" s="55"/>
      <c r="J889" s="55"/>
    </row>
    <row r="890" spans="2:10">
      <c r="B890" s="80" t="s">
        <v>202</v>
      </c>
      <c r="C890" s="55">
        <v>0</v>
      </c>
      <c r="D890" s="55">
        <v>0</v>
      </c>
      <c r="E890" s="55">
        <v>0</v>
      </c>
      <c r="F890" s="55">
        <v>0</v>
      </c>
      <c r="G890" s="55">
        <v>0</v>
      </c>
      <c r="H890" s="55">
        <v>0</v>
      </c>
      <c r="I890" s="55">
        <v>0</v>
      </c>
      <c r="J890" s="55">
        <v>0</v>
      </c>
    </row>
    <row r="891" spans="2:10">
      <c r="B891" s="52" t="s">
        <v>169</v>
      </c>
      <c r="C891" s="55">
        <v>0</v>
      </c>
      <c r="D891" s="55">
        <v>0</v>
      </c>
      <c r="E891" s="55">
        <v>0</v>
      </c>
      <c r="F891" s="55">
        <v>0</v>
      </c>
      <c r="G891" s="55">
        <v>0</v>
      </c>
      <c r="H891" s="55">
        <v>0</v>
      </c>
      <c r="I891" s="55">
        <v>0</v>
      </c>
      <c r="J891" s="55">
        <v>0</v>
      </c>
    </row>
    <row r="892" spans="2:10">
      <c r="B892" s="52" t="s">
        <v>168</v>
      </c>
      <c r="C892" s="55">
        <v>0</v>
      </c>
      <c r="D892" s="55">
        <v>0</v>
      </c>
      <c r="E892" s="55">
        <v>0</v>
      </c>
      <c r="F892" s="55">
        <v>0</v>
      </c>
      <c r="G892" s="55">
        <v>0</v>
      </c>
      <c r="H892" s="55">
        <v>0</v>
      </c>
      <c r="I892" s="55">
        <v>0</v>
      </c>
      <c r="J892" s="55">
        <v>0</v>
      </c>
    </row>
    <row r="893" spans="2:10">
      <c r="B893" s="52" t="s">
        <v>167</v>
      </c>
      <c r="C893" s="55">
        <v>0</v>
      </c>
      <c r="D893" s="55">
        <v>0</v>
      </c>
      <c r="E893" s="55">
        <v>0</v>
      </c>
      <c r="F893" s="55">
        <v>0</v>
      </c>
      <c r="G893" s="55">
        <v>0</v>
      </c>
      <c r="H893" s="55">
        <v>0</v>
      </c>
      <c r="I893" s="55">
        <v>0</v>
      </c>
      <c r="J893" s="55">
        <v>0</v>
      </c>
    </row>
    <row r="894" spans="2:10">
      <c r="B894" s="52" t="s">
        <v>166</v>
      </c>
      <c r="C894" s="55">
        <v>0</v>
      </c>
      <c r="D894" s="55">
        <v>0</v>
      </c>
      <c r="E894" s="55">
        <v>0</v>
      </c>
      <c r="F894" s="55">
        <v>0</v>
      </c>
      <c r="G894" s="55">
        <v>0</v>
      </c>
      <c r="H894" s="55">
        <v>0</v>
      </c>
      <c r="I894" s="55">
        <v>0</v>
      </c>
      <c r="J894" s="55">
        <v>0</v>
      </c>
    </row>
    <row r="895" spans="2:10">
      <c r="B895" s="52" t="s">
        <v>165</v>
      </c>
      <c r="C895" s="55">
        <v>0</v>
      </c>
      <c r="D895" s="55">
        <v>0</v>
      </c>
      <c r="E895" s="55">
        <v>0</v>
      </c>
      <c r="F895" s="55">
        <v>0</v>
      </c>
      <c r="G895" s="55">
        <v>0</v>
      </c>
      <c r="H895" s="55">
        <v>0</v>
      </c>
      <c r="I895" s="55">
        <v>0</v>
      </c>
      <c r="J895" s="55">
        <v>0</v>
      </c>
    </row>
    <row r="896" spans="2:10">
      <c r="B896" s="52" t="s">
        <v>164</v>
      </c>
      <c r="C896" s="55">
        <v>0</v>
      </c>
      <c r="D896" s="55">
        <v>0</v>
      </c>
      <c r="E896" s="55">
        <v>0</v>
      </c>
      <c r="F896" s="55">
        <v>0</v>
      </c>
      <c r="G896" s="55">
        <v>0</v>
      </c>
      <c r="H896" s="55">
        <v>0</v>
      </c>
      <c r="I896" s="55">
        <v>0</v>
      </c>
      <c r="J896" s="55">
        <v>0</v>
      </c>
    </row>
    <row r="897" spans="2:10">
      <c r="B897" s="71"/>
      <c r="C897" s="55"/>
      <c r="D897" s="55"/>
      <c r="E897" s="55"/>
      <c r="F897" s="55"/>
      <c r="G897" s="55"/>
      <c r="H897" s="55"/>
      <c r="I897" s="55"/>
      <c r="J897" s="55"/>
    </row>
    <row r="898" spans="2:10" ht="15">
      <c r="B898" s="59" t="s">
        <v>963</v>
      </c>
      <c r="C898" s="55"/>
      <c r="D898" s="55"/>
      <c r="E898" s="55"/>
      <c r="F898" s="55"/>
      <c r="G898" s="55"/>
      <c r="H898" s="55"/>
      <c r="I898" s="55"/>
      <c r="J898" s="55"/>
    </row>
    <row r="899" spans="2:10">
      <c r="B899" s="71" t="s">
        <v>964</v>
      </c>
      <c r="C899" s="55">
        <v>637526.88399999996</v>
      </c>
      <c r="D899" s="55">
        <v>701326.28499999992</v>
      </c>
      <c r="E899" s="55">
        <v>794111.81799999997</v>
      </c>
      <c r="F899" s="55">
        <v>1195345.8469999998</v>
      </c>
      <c r="G899" s="55">
        <v>644907.54100000008</v>
      </c>
      <c r="H899" s="55">
        <v>993950.86100000003</v>
      </c>
      <c r="I899" s="55">
        <v>1982346.7080000001</v>
      </c>
      <c r="J899" s="55">
        <v>1593134.4</v>
      </c>
    </row>
    <row r="900" spans="2:10">
      <c r="B900" s="71"/>
      <c r="C900" s="55"/>
      <c r="D900" s="55"/>
      <c r="E900" s="55"/>
      <c r="F900" s="55"/>
      <c r="G900" s="55"/>
      <c r="H900" s="55"/>
      <c r="I900" s="55"/>
      <c r="J900" s="55"/>
    </row>
    <row r="901" spans="2:10">
      <c r="B901" s="71" t="s">
        <v>208</v>
      </c>
      <c r="C901" s="55">
        <v>0</v>
      </c>
      <c r="D901" s="55">
        <v>0</v>
      </c>
      <c r="E901" s="55">
        <v>0</v>
      </c>
      <c r="F901" s="55">
        <v>87746.614000000001</v>
      </c>
      <c r="G901" s="55">
        <v>302017.61099999998</v>
      </c>
      <c r="H901" s="55">
        <v>426792.45400000003</v>
      </c>
      <c r="I901" s="55">
        <v>882580.46499999997</v>
      </c>
      <c r="J901" s="55">
        <v>633310.29150000005</v>
      </c>
    </row>
    <row r="902" spans="2:10">
      <c r="B902" s="52" t="s">
        <v>121</v>
      </c>
      <c r="C902" s="55">
        <v>0</v>
      </c>
      <c r="D902" s="55">
        <v>0</v>
      </c>
      <c r="E902" s="55">
        <v>0</v>
      </c>
      <c r="F902" s="55">
        <v>0</v>
      </c>
      <c r="G902" s="55">
        <v>7.6109999999999998</v>
      </c>
      <c r="H902" s="55">
        <v>30.454000000000001</v>
      </c>
      <c r="I902" s="55">
        <v>49.045999999999999</v>
      </c>
      <c r="J902" s="55">
        <v>113.583</v>
      </c>
    </row>
    <row r="903" spans="2:10">
      <c r="B903" s="53" t="s">
        <v>120</v>
      </c>
      <c r="C903" s="55">
        <v>0</v>
      </c>
      <c r="D903" s="55">
        <v>0</v>
      </c>
      <c r="E903" s="55">
        <v>0</v>
      </c>
      <c r="F903" s="55">
        <v>0</v>
      </c>
      <c r="G903" s="55">
        <v>0</v>
      </c>
      <c r="H903" s="55">
        <v>0</v>
      </c>
      <c r="I903" s="55">
        <v>0</v>
      </c>
      <c r="J903" s="55">
        <v>0</v>
      </c>
    </row>
    <row r="904" spans="2:10">
      <c r="B904" s="53" t="s">
        <v>119</v>
      </c>
      <c r="C904" s="55">
        <v>0</v>
      </c>
      <c r="D904" s="55">
        <v>0</v>
      </c>
      <c r="E904" s="55">
        <v>0</v>
      </c>
      <c r="F904" s="55">
        <v>0</v>
      </c>
      <c r="G904" s="55">
        <v>7.6109999999999998</v>
      </c>
      <c r="H904" s="55">
        <v>30.454000000000001</v>
      </c>
      <c r="I904" s="55">
        <v>49.045999999999999</v>
      </c>
      <c r="J904" s="55">
        <v>113.583</v>
      </c>
    </row>
    <row r="905" spans="2:10">
      <c r="B905" s="53" t="s">
        <v>172</v>
      </c>
      <c r="C905" s="55">
        <v>0</v>
      </c>
      <c r="D905" s="55">
        <v>0</v>
      </c>
      <c r="E905" s="55">
        <v>0</v>
      </c>
      <c r="F905" s="55">
        <v>0</v>
      </c>
      <c r="G905" s="55">
        <v>0</v>
      </c>
      <c r="H905" s="55">
        <v>0</v>
      </c>
      <c r="I905" s="55">
        <v>0</v>
      </c>
      <c r="J905" s="55">
        <v>0</v>
      </c>
    </row>
    <row r="906" spans="2:10">
      <c r="B906" s="52" t="s">
        <v>118</v>
      </c>
      <c r="C906" s="55">
        <v>0</v>
      </c>
      <c r="D906" s="55">
        <v>0</v>
      </c>
      <c r="E906" s="55">
        <v>0</v>
      </c>
      <c r="F906" s="55">
        <v>87740.39</v>
      </c>
      <c r="G906" s="55">
        <v>302010</v>
      </c>
      <c r="H906" s="55">
        <v>426762</v>
      </c>
      <c r="I906" s="55">
        <v>882531.41899999999</v>
      </c>
      <c r="J906" s="55">
        <v>633196.70850000007</v>
      </c>
    </row>
    <row r="907" spans="2:10">
      <c r="B907" s="52" t="s">
        <v>117</v>
      </c>
      <c r="C907" s="55">
        <v>0</v>
      </c>
      <c r="D907" s="55">
        <v>0</v>
      </c>
      <c r="E907" s="55">
        <v>0</v>
      </c>
      <c r="F907" s="55">
        <v>6.2240000000000002</v>
      </c>
      <c r="G907" s="55">
        <v>0</v>
      </c>
      <c r="H907" s="55">
        <v>0</v>
      </c>
      <c r="I907" s="55">
        <v>0</v>
      </c>
      <c r="J907" s="55">
        <v>0</v>
      </c>
    </row>
    <row r="908" spans="2:10">
      <c r="B908" s="52"/>
      <c r="C908" s="55"/>
      <c r="D908" s="55"/>
      <c r="E908" s="55"/>
      <c r="F908" s="55"/>
      <c r="G908" s="55"/>
      <c r="H908" s="55"/>
      <c r="I908" s="55"/>
      <c r="J908" s="55"/>
    </row>
    <row r="909" spans="2:10">
      <c r="B909" s="83" t="s">
        <v>205</v>
      </c>
      <c r="C909" s="55">
        <v>0</v>
      </c>
      <c r="D909" s="55">
        <v>0</v>
      </c>
      <c r="E909" s="55">
        <v>0</v>
      </c>
      <c r="F909" s="55">
        <v>680.322</v>
      </c>
      <c r="G909" s="55">
        <v>1712.3140000000001</v>
      </c>
      <c r="H909" s="55">
        <v>2237.6959999999999</v>
      </c>
      <c r="I909" s="55">
        <v>4353.4530000000004</v>
      </c>
      <c r="J909" s="55">
        <v>6866.2309999999998</v>
      </c>
    </row>
    <row r="910" spans="2:10">
      <c r="B910" s="81" t="s">
        <v>121</v>
      </c>
      <c r="C910" s="55">
        <v>0</v>
      </c>
      <c r="D910" s="55">
        <v>0</v>
      </c>
      <c r="E910" s="55">
        <v>0</v>
      </c>
      <c r="F910" s="55">
        <v>0</v>
      </c>
      <c r="G910" s="55">
        <v>0</v>
      </c>
      <c r="H910" s="55">
        <v>0</v>
      </c>
      <c r="I910" s="55">
        <v>0</v>
      </c>
      <c r="J910" s="55">
        <v>0</v>
      </c>
    </row>
    <row r="911" spans="2:10">
      <c r="B911" s="82" t="s">
        <v>120</v>
      </c>
      <c r="C911" s="55">
        <v>0</v>
      </c>
      <c r="D911" s="55">
        <v>0</v>
      </c>
      <c r="E911" s="55">
        <v>0</v>
      </c>
      <c r="F911" s="55">
        <v>0</v>
      </c>
      <c r="G911" s="55">
        <v>0</v>
      </c>
      <c r="H911" s="55">
        <v>0</v>
      </c>
      <c r="I911" s="55">
        <v>0</v>
      </c>
      <c r="J911" s="55">
        <v>0</v>
      </c>
    </row>
    <row r="912" spans="2:10">
      <c r="B912" s="82" t="s">
        <v>119</v>
      </c>
      <c r="C912" s="55">
        <v>0</v>
      </c>
      <c r="D912" s="55">
        <v>0</v>
      </c>
      <c r="E912" s="55">
        <v>0</v>
      </c>
      <c r="F912" s="55">
        <v>0</v>
      </c>
      <c r="G912" s="55">
        <v>0</v>
      </c>
      <c r="H912" s="55">
        <v>0</v>
      </c>
      <c r="I912" s="55">
        <v>0</v>
      </c>
      <c r="J912" s="55">
        <v>0</v>
      </c>
    </row>
    <row r="913" spans="2:10">
      <c r="B913" s="82" t="s">
        <v>172</v>
      </c>
      <c r="C913" s="55">
        <v>0</v>
      </c>
      <c r="D913" s="55">
        <v>0</v>
      </c>
      <c r="E913" s="55">
        <v>0</v>
      </c>
      <c r="F913" s="55">
        <v>0</v>
      </c>
      <c r="G913" s="55">
        <v>0</v>
      </c>
      <c r="H913" s="55">
        <v>0</v>
      </c>
      <c r="I913" s="55">
        <v>0</v>
      </c>
      <c r="J913" s="55">
        <v>0</v>
      </c>
    </row>
    <row r="914" spans="2:10">
      <c r="B914" s="81" t="s">
        <v>118</v>
      </c>
      <c r="C914" s="55">
        <v>0</v>
      </c>
      <c r="D914" s="55">
        <v>0</v>
      </c>
      <c r="E914" s="55">
        <v>0</v>
      </c>
      <c r="F914" s="55">
        <v>680.322</v>
      </c>
      <c r="G914" s="55">
        <v>1712.3140000000001</v>
      </c>
      <c r="H914" s="55">
        <v>2237.6959999999999</v>
      </c>
      <c r="I914" s="55">
        <v>4353.4530000000004</v>
      </c>
      <c r="J914" s="55">
        <v>6866.2309999999998</v>
      </c>
    </row>
    <row r="915" spans="2:10">
      <c r="B915" s="81" t="s">
        <v>117</v>
      </c>
      <c r="C915" s="55">
        <v>0</v>
      </c>
      <c r="D915" s="55">
        <v>0</v>
      </c>
      <c r="E915" s="55">
        <v>0</v>
      </c>
      <c r="F915" s="55">
        <v>0</v>
      </c>
      <c r="G915" s="55">
        <v>0</v>
      </c>
      <c r="H915" s="55">
        <v>0</v>
      </c>
      <c r="I915" s="55">
        <v>0</v>
      </c>
      <c r="J915" s="55">
        <v>0</v>
      </c>
    </row>
    <row r="916" spans="2:10">
      <c r="B916" s="81"/>
      <c r="C916" s="55"/>
      <c r="D916" s="55"/>
      <c r="E916" s="55"/>
      <c r="F916" s="55"/>
      <c r="G916" s="55"/>
      <c r="H916" s="55"/>
      <c r="I916" s="55"/>
      <c r="J916" s="55"/>
    </row>
    <row r="917" spans="2:10">
      <c r="B917" s="83" t="s">
        <v>204</v>
      </c>
      <c r="C917" s="55">
        <v>0</v>
      </c>
      <c r="D917" s="55">
        <v>0</v>
      </c>
      <c r="E917" s="55">
        <v>0</v>
      </c>
      <c r="F917" s="55">
        <v>87066.292000000001</v>
      </c>
      <c r="G917" s="55">
        <v>300305.29699999996</v>
      </c>
      <c r="H917" s="55">
        <v>424554.75800000003</v>
      </c>
      <c r="I917" s="55">
        <v>878227.01199999999</v>
      </c>
      <c r="J917" s="55">
        <v>626444.06050000002</v>
      </c>
    </row>
    <row r="918" spans="2:10">
      <c r="B918" s="81" t="s">
        <v>121</v>
      </c>
      <c r="C918" s="55">
        <v>0</v>
      </c>
      <c r="D918" s="55">
        <v>0</v>
      </c>
      <c r="E918" s="55">
        <v>0</v>
      </c>
      <c r="F918" s="55">
        <v>0</v>
      </c>
      <c r="G918" s="55">
        <v>7.6109999999999998</v>
      </c>
      <c r="H918" s="55">
        <v>30.454499999999999</v>
      </c>
      <c r="I918" s="55">
        <v>49.045999999999999</v>
      </c>
      <c r="J918" s="55">
        <v>113.583</v>
      </c>
    </row>
    <row r="919" spans="2:10">
      <c r="B919" s="82" t="s">
        <v>120</v>
      </c>
      <c r="C919" s="55">
        <v>0</v>
      </c>
      <c r="D919" s="55">
        <v>0</v>
      </c>
      <c r="E919" s="55">
        <v>0</v>
      </c>
      <c r="F919" s="55">
        <v>0</v>
      </c>
      <c r="G919" s="55">
        <v>0</v>
      </c>
      <c r="H919" s="55">
        <v>0</v>
      </c>
      <c r="I919" s="55">
        <v>0</v>
      </c>
      <c r="J919" s="55">
        <v>0</v>
      </c>
    </row>
    <row r="920" spans="2:10">
      <c r="B920" s="82" t="s">
        <v>119</v>
      </c>
      <c r="C920" s="55">
        <v>0</v>
      </c>
      <c r="D920" s="55">
        <v>0</v>
      </c>
      <c r="E920" s="55">
        <v>0</v>
      </c>
      <c r="F920" s="55">
        <v>0</v>
      </c>
      <c r="G920" s="55">
        <v>7.6109999999999998</v>
      </c>
      <c r="H920" s="55">
        <v>30.454499999999999</v>
      </c>
      <c r="I920" s="55">
        <v>49.045999999999999</v>
      </c>
      <c r="J920" s="55">
        <v>113.583</v>
      </c>
    </row>
    <row r="921" spans="2:10">
      <c r="B921" s="82" t="s">
        <v>172</v>
      </c>
      <c r="C921" s="55">
        <v>0</v>
      </c>
      <c r="D921" s="55">
        <v>0</v>
      </c>
      <c r="E921" s="55">
        <v>0</v>
      </c>
      <c r="F921" s="55">
        <v>0</v>
      </c>
      <c r="G921" s="55">
        <v>0</v>
      </c>
      <c r="H921" s="55">
        <v>0</v>
      </c>
      <c r="I921" s="55">
        <v>0</v>
      </c>
      <c r="J921" s="55">
        <v>0</v>
      </c>
    </row>
    <row r="922" spans="2:10">
      <c r="B922" s="81" t="s">
        <v>118</v>
      </c>
      <c r="C922" s="55">
        <v>0</v>
      </c>
      <c r="D922" s="55">
        <v>0</v>
      </c>
      <c r="E922" s="55">
        <v>0</v>
      </c>
      <c r="F922" s="55">
        <v>87740.39</v>
      </c>
      <c r="G922" s="55">
        <v>300297.68599999999</v>
      </c>
      <c r="H922" s="55">
        <v>424524.304</v>
      </c>
      <c r="I922" s="55">
        <v>878177.96600000001</v>
      </c>
      <c r="J922" s="55">
        <v>626330.47750000004</v>
      </c>
    </row>
    <row r="923" spans="2:10">
      <c r="B923" s="81" t="s">
        <v>117</v>
      </c>
      <c r="C923" s="55">
        <v>0</v>
      </c>
      <c r="D923" s="55">
        <v>0</v>
      </c>
      <c r="E923" s="55">
        <v>0</v>
      </c>
      <c r="F923" s="55">
        <v>6.2240000000000002</v>
      </c>
      <c r="G923" s="55">
        <v>0</v>
      </c>
      <c r="H923" s="55">
        <v>0</v>
      </c>
      <c r="I923" s="55">
        <v>0</v>
      </c>
      <c r="J923" s="55">
        <v>0</v>
      </c>
    </row>
    <row r="924" spans="2:10">
      <c r="B924" s="81"/>
      <c r="C924" s="55"/>
      <c r="D924" s="55"/>
      <c r="E924" s="55"/>
      <c r="F924" s="55"/>
      <c r="G924" s="55"/>
      <c r="H924" s="55"/>
      <c r="I924" s="55"/>
      <c r="J924" s="55"/>
    </row>
    <row r="925" spans="2:10">
      <c r="B925" s="71" t="s">
        <v>203</v>
      </c>
      <c r="C925" s="55">
        <v>634527.69700000004</v>
      </c>
      <c r="D925" s="55">
        <v>696529.73399999994</v>
      </c>
      <c r="E925" s="55">
        <v>791189.34499999997</v>
      </c>
      <c r="F925" s="55">
        <v>1104940.4119999998</v>
      </c>
      <c r="G925" s="55">
        <v>342840.98200000002</v>
      </c>
      <c r="H925" s="55">
        <v>567007.43599999999</v>
      </c>
      <c r="I925" s="55">
        <v>1099766.2430000002</v>
      </c>
      <c r="J925" s="55">
        <v>959824.10849999997</v>
      </c>
    </row>
    <row r="926" spans="2:10">
      <c r="B926" s="52" t="s">
        <v>169</v>
      </c>
      <c r="C926" s="55">
        <v>579790.55200000003</v>
      </c>
      <c r="D926" s="55">
        <v>659355.98300000001</v>
      </c>
      <c r="E926" s="55">
        <v>746900.478</v>
      </c>
      <c r="F926" s="55">
        <v>992554.06599999999</v>
      </c>
      <c r="G926" s="55">
        <v>342414.76250000001</v>
      </c>
      <c r="H926" s="55">
        <v>566439.25899999996</v>
      </c>
      <c r="I926" s="55">
        <v>1098563.6285000001</v>
      </c>
      <c r="J926" s="55">
        <v>958257.10499999998</v>
      </c>
    </row>
    <row r="927" spans="2:10">
      <c r="B927" s="52" t="s">
        <v>168</v>
      </c>
      <c r="C927" s="55">
        <v>52007.199000000001</v>
      </c>
      <c r="D927" s="55">
        <v>34733.650999999998</v>
      </c>
      <c r="E927" s="55">
        <v>42192.360999999997</v>
      </c>
      <c r="F927" s="55">
        <v>109944.63400000001</v>
      </c>
      <c r="G927" s="55">
        <v>48.105499999999999</v>
      </c>
      <c r="H927" s="55">
        <v>84.718000000000004</v>
      </c>
      <c r="I927" s="55">
        <v>76.852500000000006</v>
      </c>
      <c r="J927" s="55">
        <v>62.814</v>
      </c>
    </row>
    <row r="928" spans="2:10">
      <c r="B928" s="52" t="s">
        <v>167</v>
      </c>
      <c r="C928" s="55">
        <v>193.06299999999999</v>
      </c>
      <c r="D928" s="55">
        <v>523.54300000000001</v>
      </c>
      <c r="E928" s="55">
        <v>189.69900000000001</v>
      </c>
      <c r="F928" s="55">
        <v>66.335999999999999</v>
      </c>
      <c r="G928" s="55">
        <v>7.1364999999999998</v>
      </c>
      <c r="H928" s="55">
        <v>14.069000000000001</v>
      </c>
      <c r="I928" s="55">
        <v>52.061500000000002</v>
      </c>
      <c r="J928" s="55">
        <v>42.287999999999997</v>
      </c>
    </row>
    <row r="929" spans="2:10">
      <c r="B929" s="52" t="s">
        <v>166</v>
      </c>
      <c r="C929" s="55">
        <v>2175.5819999999999</v>
      </c>
      <c r="D929" s="55">
        <v>1534.2139999999999</v>
      </c>
      <c r="E929" s="55">
        <v>1529.09</v>
      </c>
      <c r="F929" s="55">
        <v>1696.3789999999999</v>
      </c>
      <c r="G929" s="55">
        <v>363.30399999999997</v>
      </c>
      <c r="H929" s="55">
        <v>458.93</v>
      </c>
      <c r="I929" s="55">
        <v>1059.21</v>
      </c>
      <c r="J929" s="55">
        <v>1441.04</v>
      </c>
    </row>
    <row r="930" spans="2:10">
      <c r="B930" s="52" t="s">
        <v>165</v>
      </c>
      <c r="C930" s="55">
        <v>360.26100000000002</v>
      </c>
      <c r="D930" s="55">
        <v>382.34300000000002</v>
      </c>
      <c r="E930" s="55">
        <v>377.71699999999998</v>
      </c>
      <c r="F930" s="55">
        <v>678.99699999999996</v>
      </c>
      <c r="G930" s="55">
        <v>7.6734999999999998</v>
      </c>
      <c r="H930" s="55">
        <v>10.46</v>
      </c>
      <c r="I930" s="55">
        <v>14.490500000000001</v>
      </c>
      <c r="J930" s="55">
        <v>20.861499999999999</v>
      </c>
    </row>
    <row r="931" spans="2:10">
      <c r="B931" s="52" t="s">
        <v>164</v>
      </c>
      <c r="C931" s="55">
        <v>1.04</v>
      </c>
      <c r="D931" s="55">
        <v>0</v>
      </c>
      <c r="E931" s="55">
        <v>0</v>
      </c>
      <c r="F931" s="55">
        <v>0</v>
      </c>
      <c r="G931" s="55">
        <v>0</v>
      </c>
      <c r="H931" s="55">
        <v>0</v>
      </c>
      <c r="I931" s="55">
        <v>0</v>
      </c>
      <c r="J931" s="55">
        <v>0</v>
      </c>
    </row>
    <row r="932" spans="2:10">
      <c r="B932" s="52"/>
      <c r="C932" s="55"/>
      <c r="D932" s="55"/>
      <c r="E932" s="55"/>
      <c r="F932" s="55"/>
      <c r="G932" s="55"/>
      <c r="H932" s="55"/>
      <c r="I932" s="55"/>
      <c r="J932" s="55"/>
    </row>
    <row r="933" spans="2:10">
      <c r="B933" s="80" t="s">
        <v>202</v>
      </c>
      <c r="C933" s="55">
        <v>2999.1869999999999</v>
      </c>
      <c r="D933" s="55">
        <v>4796.5510000000004</v>
      </c>
      <c r="E933" s="55">
        <v>2922.473</v>
      </c>
      <c r="F933" s="55">
        <v>2658.8209999999999</v>
      </c>
      <c r="G933" s="55">
        <v>48.93</v>
      </c>
      <c r="H933" s="55">
        <v>151.40700000000001</v>
      </c>
      <c r="I933" s="55">
        <v>0</v>
      </c>
      <c r="J933" s="55">
        <v>0</v>
      </c>
    </row>
    <row r="934" spans="2:10">
      <c r="B934" s="52" t="s">
        <v>169</v>
      </c>
      <c r="C934" s="55">
        <v>0</v>
      </c>
      <c r="D934" s="55">
        <v>0</v>
      </c>
      <c r="E934" s="55">
        <v>0</v>
      </c>
      <c r="F934" s="55">
        <v>0</v>
      </c>
      <c r="G934" s="55">
        <v>0</v>
      </c>
      <c r="H934" s="55">
        <v>0</v>
      </c>
      <c r="I934" s="55">
        <v>0</v>
      </c>
      <c r="J934" s="55">
        <v>0</v>
      </c>
    </row>
    <row r="935" spans="2:10">
      <c r="B935" s="52" t="s">
        <v>168</v>
      </c>
      <c r="C935" s="55">
        <v>582.95299999999997</v>
      </c>
      <c r="D935" s="55">
        <v>700.78</v>
      </c>
      <c r="E935" s="55">
        <v>1630.597</v>
      </c>
      <c r="F935" s="55">
        <v>2212.8710000000001</v>
      </c>
      <c r="G935" s="55">
        <v>46.804000000000002</v>
      </c>
      <c r="H935" s="55">
        <v>149.88300000000001</v>
      </c>
      <c r="I935" s="55">
        <v>0</v>
      </c>
      <c r="J935" s="55">
        <v>0</v>
      </c>
    </row>
    <row r="936" spans="2:10">
      <c r="B936" s="52" t="s">
        <v>167</v>
      </c>
      <c r="C936" s="55">
        <v>2416.2339999999999</v>
      </c>
      <c r="D936" s="55">
        <v>4095.7710000000002</v>
      </c>
      <c r="E936" s="55">
        <v>1291.876</v>
      </c>
      <c r="F936" s="55">
        <v>445.95</v>
      </c>
      <c r="G936" s="55">
        <v>2.1259999999999999</v>
      </c>
      <c r="H936" s="55">
        <v>1.524</v>
      </c>
      <c r="I936" s="55">
        <v>0</v>
      </c>
      <c r="J936" s="55">
        <v>0</v>
      </c>
    </row>
    <row r="937" spans="2:10">
      <c r="B937" s="52" t="s">
        <v>166</v>
      </c>
      <c r="C937" s="55">
        <v>0</v>
      </c>
      <c r="D937" s="55">
        <v>0</v>
      </c>
      <c r="E937" s="55">
        <v>0</v>
      </c>
      <c r="F937" s="55">
        <v>0</v>
      </c>
      <c r="G937" s="55">
        <v>0</v>
      </c>
      <c r="H937" s="55">
        <v>0</v>
      </c>
      <c r="I937" s="55">
        <v>0</v>
      </c>
      <c r="J937" s="55">
        <v>0</v>
      </c>
    </row>
    <row r="938" spans="2:10">
      <c r="B938" s="52" t="s">
        <v>165</v>
      </c>
      <c r="C938" s="55">
        <v>0</v>
      </c>
      <c r="D938" s="55">
        <v>0</v>
      </c>
      <c r="E938" s="55">
        <v>0</v>
      </c>
      <c r="F938" s="55">
        <v>0</v>
      </c>
      <c r="G938" s="55">
        <v>0</v>
      </c>
      <c r="H938" s="55">
        <v>0</v>
      </c>
      <c r="I938" s="55">
        <v>0</v>
      </c>
      <c r="J938" s="55">
        <v>0</v>
      </c>
    </row>
    <row r="939" spans="2:10">
      <c r="B939" s="52" t="s">
        <v>164</v>
      </c>
      <c r="C939" s="55">
        <v>0</v>
      </c>
      <c r="D939" s="55">
        <v>0</v>
      </c>
      <c r="E939" s="55">
        <v>0</v>
      </c>
      <c r="F939" s="55">
        <v>0</v>
      </c>
      <c r="G939" s="55">
        <v>0</v>
      </c>
      <c r="H939" s="55">
        <v>0</v>
      </c>
      <c r="I939" s="55">
        <v>0</v>
      </c>
      <c r="J939" s="55">
        <v>0</v>
      </c>
    </row>
    <row r="940" spans="2:10">
      <c r="B940" s="52"/>
      <c r="C940" s="55"/>
      <c r="D940" s="55"/>
      <c r="E940" s="55"/>
      <c r="F940" s="55"/>
      <c r="G940" s="55"/>
      <c r="H940" s="55"/>
      <c r="I940" s="55"/>
      <c r="J940" s="55"/>
    </row>
    <row r="941" spans="2:10">
      <c r="B941" s="59" t="s">
        <v>965</v>
      </c>
      <c r="C941" s="55"/>
      <c r="D941" s="55"/>
      <c r="E941" s="55"/>
      <c r="F941" s="55"/>
      <c r="G941" s="55"/>
      <c r="H941" s="55"/>
      <c r="I941" s="55"/>
      <c r="J941" s="55"/>
    </row>
    <row r="942" spans="2:10">
      <c r="B942" s="71" t="s">
        <v>209</v>
      </c>
      <c r="C942" s="55">
        <v>1E-3</v>
      </c>
      <c r="D942" s="55">
        <v>0</v>
      </c>
      <c r="E942" s="55">
        <v>0</v>
      </c>
      <c r="F942" s="55">
        <v>0</v>
      </c>
      <c r="G942" s="55">
        <v>0</v>
      </c>
      <c r="H942" s="55">
        <v>0</v>
      </c>
      <c r="I942" s="55">
        <v>0</v>
      </c>
      <c r="J942" s="55">
        <v>0</v>
      </c>
    </row>
    <row r="943" spans="2:10">
      <c r="B943" s="71"/>
      <c r="C943" s="55"/>
      <c r="D943" s="55"/>
      <c r="E943" s="55"/>
      <c r="F943" s="55"/>
      <c r="G943" s="55"/>
      <c r="H943" s="55"/>
      <c r="I943" s="55"/>
      <c r="J943" s="55"/>
    </row>
    <row r="944" spans="2:10">
      <c r="B944" s="71" t="s">
        <v>208</v>
      </c>
      <c r="C944" s="55">
        <v>1E-3</v>
      </c>
      <c r="D944" s="55">
        <v>0</v>
      </c>
      <c r="E944" s="55">
        <v>0</v>
      </c>
      <c r="F944" s="55">
        <v>0</v>
      </c>
      <c r="G944" s="55">
        <v>0</v>
      </c>
      <c r="H944" s="55">
        <v>0</v>
      </c>
      <c r="I944" s="55">
        <v>0</v>
      </c>
      <c r="J944" s="55">
        <v>0</v>
      </c>
    </row>
    <row r="945" spans="2:10">
      <c r="B945" s="52" t="s">
        <v>121</v>
      </c>
      <c r="C945" s="55">
        <v>1E-3</v>
      </c>
      <c r="D945" s="55">
        <v>0</v>
      </c>
      <c r="E945" s="55">
        <v>0</v>
      </c>
      <c r="F945" s="55">
        <v>0</v>
      </c>
      <c r="G945" s="55">
        <v>0</v>
      </c>
      <c r="H945" s="55">
        <v>0</v>
      </c>
      <c r="I945" s="55">
        <v>0</v>
      </c>
      <c r="J945" s="55">
        <v>0</v>
      </c>
    </row>
    <row r="946" spans="2:10">
      <c r="B946" s="53" t="s">
        <v>120</v>
      </c>
      <c r="C946" s="55">
        <v>0</v>
      </c>
      <c r="D946" s="55">
        <v>0</v>
      </c>
      <c r="E946" s="55">
        <v>0</v>
      </c>
      <c r="F946" s="55">
        <v>0</v>
      </c>
      <c r="G946" s="55">
        <v>0</v>
      </c>
      <c r="H946" s="55">
        <v>0</v>
      </c>
      <c r="I946" s="55">
        <v>0</v>
      </c>
      <c r="J946" s="55">
        <v>0</v>
      </c>
    </row>
    <row r="947" spans="2:10">
      <c r="B947" s="53" t="s">
        <v>119</v>
      </c>
      <c r="C947" s="55">
        <v>0</v>
      </c>
      <c r="D947" s="55">
        <v>0</v>
      </c>
      <c r="E947" s="55">
        <v>0</v>
      </c>
      <c r="F947" s="55">
        <v>0</v>
      </c>
      <c r="G947" s="55">
        <v>0</v>
      </c>
      <c r="H947" s="55">
        <v>0</v>
      </c>
      <c r="I947" s="55">
        <v>0</v>
      </c>
      <c r="J947" s="55">
        <v>0</v>
      </c>
    </row>
    <row r="948" spans="2:10">
      <c r="B948" s="53" t="s">
        <v>172</v>
      </c>
      <c r="C948" s="55">
        <v>1E-3</v>
      </c>
      <c r="D948" s="55">
        <v>0</v>
      </c>
      <c r="E948" s="55">
        <v>0</v>
      </c>
      <c r="F948" s="55">
        <v>0</v>
      </c>
      <c r="G948" s="55">
        <v>0</v>
      </c>
      <c r="H948" s="55">
        <v>0</v>
      </c>
      <c r="I948" s="55">
        <v>0</v>
      </c>
      <c r="J948" s="55">
        <v>0</v>
      </c>
    </row>
    <row r="949" spans="2:10">
      <c r="B949" s="52" t="s">
        <v>118</v>
      </c>
      <c r="C949" s="55">
        <v>0</v>
      </c>
      <c r="D949" s="55">
        <v>0</v>
      </c>
      <c r="E949" s="55">
        <v>0</v>
      </c>
      <c r="F949" s="55">
        <v>0</v>
      </c>
      <c r="G949" s="55">
        <v>0</v>
      </c>
      <c r="H949" s="55">
        <v>0</v>
      </c>
      <c r="I949" s="55">
        <v>0</v>
      </c>
      <c r="J949" s="55">
        <v>0</v>
      </c>
    </row>
    <row r="950" spans="2:10">
      <c r="B950" s="52" t="s">
        <v>117</v>
      </c>
      <c r="C950" s="55">
        <v>0</v>
      </c>
      <c r="D950" s="55">
        <v>0</v>
      </c>
      <c r="E950" s="55">
        <v>0</v>
      </c>
      <c r="F950" s="55">
        <v>0</v>
      </c>
      <c r="G950" s="55">
        <v>0</v>
      </c>
      <c r="H950" s="55">
        <v>0</v>
      </c>
      <c r="I950" s="55">
        <v>0</v>
      </c>
      <c r="J950" s="55">
        <v>0</v>
      </c>
    </row>
    <row r="951" spans="2:10">
      <c r="B951" s="52"/>
      <c r="C951" s="55"/>
      <c r="D951" s="55"/>
      <c r="E951" s="55"/>
      <c r="F951" s="55"/>
      <c r="G951" s="55"/>
      <c r="H951" s="55"/>
      <c r="I951" s="55"/>
      <c r="J951" s="55"/>
    </row>
    <row r="952" spans="2:10">
      <c r="B952" s="83" t="s">
        <v>205</v>
      </c>
      <c r="C952" s="55">
        <v>1E-3</v>
      </c>
      <c r="D952" s="55">
        <v>0</v>
      </c>
      <c r="E952" s="55">
        <v>0</v>
      </c>
      <c r="F952" s="55">
        <v>0</v>
      </c>
      <c r="G952" s="55">
        <v>0</v>
      </c>
      <c r="H952" s="55">
        <v>0</v>
      </c>
      <c r="I952" s="55">
        <v>0</v>
      </c>
      <c r="J952" s="55">
        <v>0</v>
      </c>
    </row>
    <row r="953" spans="2:10">
      <c r="B953" s="81" t="s">
        <v>121</v>
      </c>
      <c r="C953" s="55">
        <v>1E-3</v>
      </c>
      <c r="D953" s="55">
        <v>0</v>
      </c>
      <c r="E953" s="55">
        <v>0</v>
      </c>
      <c r="F953" s="55">
        <v>0</v>
      </c>
      <c r="G953" s="55">
        <v>0</v>
      </c>
      <c r="H953" s="55">
        <v>0</v>
      </c>
      <c r="I953" s="55">
        <v>0</v>
      </c>
      <c r="J953" s="55">
        <v>0</v>
      </c>
    </row>
    <row r="954" spans="2:10">
      <c r="B954" s="82" t="s">
        <v>120</v>
      </c>
      <c r="C954" s="55">
        <v>0</v>
      </c>
      <c r="D954" s="55">
        <v>0</v>
      </c>
      <c r="E954" s="55">
        <v>0</v>
      </c>
      <c r="F954" s="55">
        <v>0</v>
      </c>
      <c r="G954" s="55">
        <v>0</v>
      </c>
      <c r="H954" s="55">
        <v>0</v>
      </c>
      <c r="I954" s="55">
        <v>0</v>
      </c>
      <c r="J954" s="55">
        <v>0</v>
      </c>
    </row>
    <row r="955" spans="2:10">
      <c r="B955" s="82" t="s">
        <v>119</v>
      </c>
      <c r="C955" s="55">
        <v>0</v>
      </c>
      <c r="D955" s="55">
        <v>0</v>
      </c>
      <c r="E955" s="55">
        <v>0</v>
      </c>
      <c r="F955" s="55">
        <v>0</v>
      </c>
      <c r="G955" s="55">
        <v>0</v>
      </c>
      <c r="H955" s="55">
        <v>0</v>
      </c>
      <c r="I955" s="55">
        <v>0</v>
      </c>
      <c r="J955" s="55">
        <v>0</v>
      </c>
    </row>
    <row r="956" spans="2:10">
      <c r="B956" s="82" t="s">
        <v>172</v>
      </c>
      <c r="C956" s="55">
        <v>1E-3</v>
      </c>
      <c r="D956" s="55">
        <v>0</v>
      </c>
      <c r="E956" s="55">
        <v>0</v>
      </c>
      <c r="F956" s="55">
        <v>0</v>
      </c>
      <c r="G956" s="55">
        <v>0</v>
      </c>
      <c r="H956" s="55">
        <v>0</v>
      </c>
      <c r="I956" s="55">
        <v>0</v>
      </c>
      <c r="J956" s="55">
        <v>0</v>
      </c>
    </row>
    <row r="957" spans="2:10">
      <c r="B957" s="81" t="s">
        <v>118</v>
      </c>
      <c r="C957" s="55">
        <v>0</v>
      </c>
      <c r="D957" s="55">
        <v>0</v>
      </c>
      <c r="E957" s="55">
        <v>0</v>
      </c>
      <c r="F957" s="55">
        <v>0</v>
      </c>
      <c r="G957" s="55">
        <v>0</v>
      </c>
      <c r="H957" s="55">
        <v>0</v>
      </c>
      <c r="I957" s="55">
        <v>0</v>
      </c>
      <c r="J957" s="55">
        <v>0</v>
      </c>
    </row>
    <row r="958" spans="2:10">
      <c r="B958" s="81" t="s">
        <v>117</v>
      </c>
      <c r="C958" s="55">
        <v>0</v>
      </c>
      <c r="D958" s="55">
        <v>0</v>
      </c>
      <c r="E958" s="55">
        <v>0</v>
      </c>
      <c r="F958" s="55">
        <v>0</v>
      </c>
      <c r="G958" s="55">
        <v>0</v>
      </c>
      <c r="H958" s="55">
        <v>0</v>
      </c>
      <c r="I958" s="55">
        <v>0</v>
      </c>
      <c r="J958" s="55">
        <v>0</v>
      </c>
    </row>
    <row r="959" spans="2:10">
      <c r="B959" s="81"/>
      <c r="C959" s="55"/>
      <c r="D959" s="55"/>
      <c r="E959" s="55"/>
      <c r="F959" s="55"/>
      <c r="G959" s="55"/>
      <c r="H959" s="55"/>
      <c r="I959" s="55"/>
      <c r="J959" s="55"/>
    </row>
    <row r="960" spans="2:10">
      <c r="B960" s="83" t="s">
        <v>204</v>
      </c>
      <c r="C960" s="55">
        <v>0</v>
      </c>
      <c r="D960" s="55">
        <v>0</v>
      </c>
      <c r="E960" s="55">
        <v>0</v>
      </c>
      <c r="F960" s="55">
        <v>0</v>
      </c>
      <c r="G960" s="55">
        <v>0</v>
      </c>
      <c r="H960" s="55">
        <v>0</v>
      </c>
      <c r="I960" s="55">
        <v>0</v>
      </c>
      <c r="J960" s="55">
        <v>0</v>
      </c>
    </row>
    <row r="961" spans="2:10">
      <c r="B961" s="81" t="s">
        <v>121</v>
      </c>
      <c r="C961" s="55">
        <v>0</v>
      </c>
      <c r="D961" s="55">
        <v>0</v>
      </c>
      <c r="E961" s="55">
        <v>0</v>
      </c>
      <c r="F961" s="55">
        <v>0</v>
      </c>
      <c r="G961" s="55">
        <v>0</v>
      </c>
      <c r="H961" s="55">
        <v>0</v>
      </c>
      <c r="I961" s="55">
        <v>0</v>
      </c>
      <c r="J961" s="55">
        <v>0</v>
      </c>
    </row>
    <row r="962" spans="2:10">
      <c r="B962" s="82" t="s">
        <v>120</v>
      </c>
      <c r="C962" s="55">
        <v>0</v>
      </c>
      <c r="D962" s="55">
        <v>0</v>
      </c>
      <c r="E962" s="55">
        <v>0</v>
      </c>
      <c r="F962" s="55">
        <v>0</v>
      </c>
      <c r="G962" s="55">
        <v>0</v>
      </c>
      <c r="H962" s="55">
        <v>0</v>
      </c>
      <c r="I962" s="55">
        <v>0</v>
      </c>
      <c r="J962" s="55">
        <v>0</v>
      </c>
    </row>
    <row r="963" spans="2:10">
      <c r="B963" s="82" t="s">
        <v>119</v>
      </c>
      <c r="C963" s="55">
        <v>0</v>
      </c>
      <c r="D963" s="55">
        <v>0</v>
      </c>
      <c r="E963" s="55">
        <v>0</v>
      </c>
      <c r="F963" s="55">
        <v>0</v>
      </c>
      <c r="G963" s="55">
        <v>0</v>
      </c>
      <c r="H963" s="55">
        <v>0</v>
      </c>
      <c r="I963" s="55">
        <v>0</v>
      </c>
      <c r="J963" s="55">
        <v>0</v>
      </c>
    </row>
    <row r="964" spans="2:10">
      <c r="B964" s="82" t="s">
        <v>172</v>
      </c>
      <c r="C964" s="55">
        <v>0</v>
      </c>
      <c r="D964" s="55">
        <v>0</v>
      </c>
      <c r="E964" s="55">
        <v>0</v>
      </c>
      <c r="F964" s="55">
        <v>0</v>
      </c>
      <c r="G964" s="55">
        <v>0</v>
      </c>
      <c r="H964" s="55">
        <v>0</v>
      </c>
      <c r="I964" s="55">
        <v>0</v>
      </c>
      <c r="J964" s="55">
        <v>0</v>
      </c>
    </row>
    <row r="965" spans="2:10">
      <c r="B965" s="81" t="s">
        <v>118</v>
      </c>
      <c r="C965" s="55">
        <v>0</v>
      </c>
      <c r="D965" s="55">
        <v>0</v>
      </c>
      <c r="E965" s="55">
        <v>0</v>
      </c>
      <c r="F965" s="55">
        <v>0</v>
      </c>
      <c r="G965" s="55">
        <v>0</v>
      </c>
      <c r="H965" s="55">
        <v>0</v>
      </c>
      <c r="I965" s="55">
        <v>0</v>
      </c>
      <c r="J965" s="55">
        <v>0</v>
      </c>
    </row>
    <row r="966" spans="2:10">
      <c r="B966" s="81" t="s">
        <v>117</v>
      </c>
      <c r="C966" s="55">
        <v>0</v>
      </c>
      <c r="D966" s="55">
        <v>0</v>
      </c>
      <c r="E966" s="55">
        <v>0</v>
      </c>
      <c r="F966" s="55">
        <v>0</v>
      </c>
      <c r="G966" s="55">
        <v>0</v>
      </c>
      <c r="H966" s="55">
        <v>0</v>
      </c>
      <c r="I966" s="55">
        <v>0</v>
      </c>
      <c r="J966" s="55">
        <v>0</v>
      </c>
    </row>
    <row r="967" spans="2:10">
      <c r="B967" s="81"/>
      <c r="C967" s="55"/>
      <c r="D967" s="55"/>
      <c r="E967" s="55"/>
      <c r="F967" s="55"/>
      <c r="G967" s="55"/>
      <c r="H967" s="55"/>
      <c r="I967" s="55"/>
      <c r="J967" s="55"/>
    </row>
    <row r="968" spans="2:10">
      <c r="B968" s="71" t="s">
        <v>203</v>
      </c>
      <c r="C968" s="55">
        <v>0</v>
      </c>
      <c r="D968" s="55">
        <v>0</v>
      </c>
      <c r="E968" s="55">
        <v>0</v>
      </c>
      <c r="F968" s="55">
        <v>0</v>
      </c>
      <c r="G968" s="55">
        <v>0</v>
      </c>
      <c r="H968" s="55">
        <v>0</v>
      </c>
      <c r="I968" s="55">
        <v>0</v>
      </c>
      <c r="J968" s="55">
        <v>0</v>
      </c>
    </row>
    <row r="969" spans="2:10">
      <c r="B969" s="52" t="s">
        <v>169</v>
      </c>
      <c r="C969" s="55">
        <v>0</v>
      </c>
      <c r="D969" s="55">
        <v>0</v>
      </c>
      <c r="E969" s="55">
        <v>0</v>
      </c>
      <c r="F969" s="55">
        <v>0</v>
      </c>
      <c r="G969" s="55">
        <v>0</v>
      </c>
      <c r="H969" s="55">
        <v>0</v>
      </c>
      <c r="I969" s="55">
        <v>0</v>
      </c>
      <c r="J969" s="55">
        <v>0</v>
      </c>
    </row>
    <row r="970" spans="2:10">
      <c r="B970" s="52" t="s">
        <v>168</v>
      </c>
      <c r="C970" s="55">
        <v>0</v>
      </c>
      <c r="D970" s="55">
        <v>0</v>
      </c>
      <c r="E970" s="55">
        <v>0</v>
      </c>
      <c r="F970" s="55">
        <v>0</v>
      </c>
      <c r="G970" s="55">
        <v>0</v>
      </c>
      <c r="H970" s="55">
        <v>0</v>
      </c>
      <c r="I970" s="55">
        <v>0</v>
      </c>
      <c r="J970" s="55">
        <v>0</v>
      </c>
    </row>
    <row r="971" spans="2:10">
      <c r="B971" s="52" t="s">
        <v>167</v>
      </c>
      <c r="C971" s="55">
        <v>0</v>
      </c>
      <c r="D971" s="55">
        <v>0</v>
      </c>
      <c r="E971" s="55">
        <v>0</v>
      </c>
      <c r="F971" s="55">
        <v>0</v>
      </c>
      <c r="G971" s="55">
        <v>0</v>
      </c>
      <c r="H971" s="55">
        <v>0</v>
      </c>
      <c r="I971" s="55">
        <v>0</v>
      </c>
      <c r="J971" s="55">
        <v>0</v>
      </c>
    </row>
    <row r="972" spans="2:10">
      <c r="B972" s="52" t="s">
        <v>166</v>
      </c>
      <c r="C972" s="55">
        <v>0</v>
      </c>
      <c r="D972" s="55">
        <v>0</v>
      </c>
      <c r="E972" s="55">
        <v>0</v>
      </c>
      <c r="F972" s="55">
        <v>0</v>
      </c>
      <c r="G972" s="55">
        <v>0</v>
      </c>
      <c r="H972" s="55">
        <v>0</v>
      </c>
      <c r="I972" s="55">
        <v>0</v>
      </c>
      <c r="J972" s="55">
        <v>0</v>
      </c>
    </row>
    <row r="973" spans="2:10">
      <c r="B973" s="52" t="s">
        <v>165</v>
      </c>
      <c r="C973" s="55">
        <v>0</v>
      </c>
      <c r="D973" s="55">
        <v>0</v>
      </c>
      <c r="E973" s="55">
        <v>0</v>
      </c>
      <c r="F973" s="55">
        <v>0</v>
      </c>
      <c r="G973" s="55">
        <v>0</v>
      </c>
      <c r="H973" s="55">
        <v>0</v>
      </c>
      <c r="I973" s="55">
        <v>0</v>
      </c>
      <c r="J973" s="55">
        <v>0</v>
      </c>
    </row>
    <row r="974" spans="2:10">
      <c r="B974" s="52" t="s">
        <v>164</v>
      </c>
      <c r="C974" s="55">
        <v>0</v>
      </c>
      <c r="D974" s="55">
        <v>0</v>
      </c>
      <c r="E974" s="55">
        <v>0</v>
      </c>
      <c r="F974" s="55">
        <v>0</v>
      </c>
      <c r="G974" s="55">
        <v>0</v>
      </c>
      <c r="H974" s="55">
        <v>0</v>
      </c>
      <c r="I974" s="55">
        <v>0</v>
      </c>
      <c r="J974" s="55">
        <v>0</v>
      </c>
    </row>
    <row r="975" spans="2:10">
      <c r="B975" s="52"/>
      <c r="C975" s="55"/>
      <c r="D975" s="55"/>
      <c r="E975" s="55"/>
      <c r="F975" s="55"/>
      <c r="G975" s="55"/>
      <c r="H975" s="55"/>
      <c r="I975" s="55"/>
      <c r="J975" s="55"/>
    </row>
    <row r="976" spans="2:10">
      <c r="B976" s="80" t="s">
        <v>202</v>
      </c>
      <c r="C976" s="55">
        <v>0</v>
      </c>
      <c r="D976" s="55">
        <v>0</v>
      </c>
      <c r="E976" s="55">
        <v>0</v>
      </c>
      <c r="F976" s="55">
        <v>0</v>
      </c>
      <c r="G976" s="55">
        <v>0</v>
      </c>
      <c r="H976" s="55">
        <v>0</v>
      </c>
      <c r="I976" s="55">
        <v>0</v>
      </c>
      <c r="J976" s="55">
        <v>0</v>
      </c>
    </row>
    <row r="977" spans="2:10">
      <c r="B977" s="52" t="s">
        <v>169</v>
      </c>
      <c r="C977" s="55">
        <v>0</v>
      </c>
      <c r="D977" s="55">
        <v>0</v>
      </c>
      <c r="E977" s="55">
        <v>0</v>
      </c>
      <c r="F977" s="55">
        <v>0</v>
      </c>
      <c r="G977" s="55">
        <v>0</v>
      </c>
      <c r="H977" s="55">
        <v>0</v>
      </c>
      <c r="I977" s="55">
        <v>0</v>
      </c>
      <c r="J977" s="55">
        <v>0</v>
      </c>
    </row>
    <row r="978" spans="2:10">
      <c r="B978" s="52" t="s">
        <v>168</v>
      </c>
      <c r="C978" s="55">
        <v>0</v>
      </c>
      <c r="D978" s="55">
        <v>0</v>
      </c>
      <c r="E978" s="55">
        <v>0</v>
      </c>
      <c r="F978" s="55">
        <v>0</v>
      </c>
      <c r="G978" s="55">
        <v>0</v>
      </c>
      <c r="H978" s="55">
        <v>0</v>
      </c>
      <c r="I978" s="55">
        <v>0</v>
      </c>
      <c r="J978" s="55">
        <v>0</v>
      </c>
    </row>
    <row r="979" spans="2:10">
      <c r="B979" s="52" t="s">
        <v>167</v>
      </c>
      <c r="C979" s="55">
        <v>0</v>
      </c>
      <c r="D979" s="55">
        <v>0</v>
      </c>
      <c r="E979" s="55">
        <v>0</v>
      </c>
      <c r="F979" s="55">
        <v>0</v>
      </c>
      <c r="G979" s="55">
        <v>0</v>
      </c>
      <c r="H979" s="55">
        <v>0</v>
      </c>
      <c r="I979" s="55">
        <v>0</v>
      </c>
      <c r="J979" s="55">
        <v>0</v>
      </c>
    </row>
    <row r="980" spans="2:10">
      <c r="B980" s="52" t="s">
        <v>166</v>
      </c>
      <c r="C980" s="55">
        <v>0</v>
      </c>
      <c r="D980" s="55">
        <v>0</v>
      </c>
      <c r="E980" s="55">
        <v>0</v>
      </c>
      <c r="F980" s="55">
        <v>0</v>
      </c>
      <c r="G980" s="55">
        <v>0</v>
      </c>
      <c r="H980" s="55">
        <v>0</v>
      </c>
      <c r="I980" s="55">
        <v>0</v>
      </c>
      <c r="J980" s="55">
        <v>0</v>
      </c>
    </row>
    <row r="981" spans="2:10">
      <c r="B981" s="52" t="s">
        <v>165</v>
      </c>
      <c r="C981" s="55">
        <v>0</v>
      </c>
      <c r="D981" s="55">
        <v>0</v>
      </c>
      <c r="E981" s="55">
        <v>0</v>
      </c>
      <c r="F981" s="55">
        <v>0</v>
      </c>
      <c r="G981" s="55">
        <v>0</v>
      </c>
      <c r="H981" s="55">
        <v>0</v>
      </c>
      <c r="I981" s="55">
        <v>0</v>
      </c>
      <c r="J981" s="55">
        <v>0</v>
      </c>
    </row>
    <row r="982" spans="2:10">
      <c r="B982" s="52" t="s">
        <v>164</v>
      </c>
      <c r="C982" s="55">
        <v>0</v>
      </c>
      <c r="D982" s="55">
        <v>0</v>
      </c>
      <c r="E982" s="55">
        <v>0</v>
      </c>
      <c r="F982" s="55">
        <v>0</v>
      </c>
      <c r="G982" s="55">
        <v>0</v>
      </c>
      <c r="H982" s="55">
        <v>0</v>
      </c>
      <c r="I982" s="55">
        <v>0</v>
      </c>
      <c r="J982" s="55">
        <v>0</v>
      </c>
    </row>
    <row r="983" spans="2:10">
      <c r="B983" s="71"/>
      <c r="C983" s="55"/>
      <c r="D983" s="55"/>
      <c r="E983" s="55"/>
      <c r="F983" s="55"/>
      <c r="G983" s="55"/>
      <c r="H983" s="55"/>
      <c r="I983" s="55"/>
      <c r="J983" s="55"/>
    </row>
    <row r="984" spans="2:10">
      <c r="B984" s="59" t="s">
        <v>960</v>
      </c>
      <c r="C984" s="55"/>
      <c r="D984" s="55"/>
      <c r="E984" s="55"/>
      <c r="F984" s="55"/>
      <c r="G984" s="55"/>
      <c r="H984" s="55"/>
      <c r="I984" s="55"/>
      <c r="J984" s="55"/>
    </row>
    <row r="985" spans="2:10">
      <c r="B985" s="71" t="s">
        <v>966</v>
      </c>
      <c r="C985" s="55">
        <v>116942.351</v>
      </c>
      <c r="D985" s="55">
        <v>310380.59999999998</v>
      </c>
      <c r="E985" s="55">
        <v>405716.16399999999</v>
      </c>
      <c r="F985" s="55">
        <v>413074.74899999995</v>
      </c>
      <c r="G985" s="55">
        <v>478268.45999999996</v>
      </c>
      <c r="H985" s="55">
        <v>582905.40800000005</v>
      </c>
      <c r="I985" s="55">
        <v>674741.35</v>
      </c>
      <c r="J985" s="55">
        <v>865958.21</v>
      </c>
    </row>
    <row r="986" spans="2:10">
      <c r="B986" s="71"/>
      <c r="C986" s="55"/>
      <c r="D986" s="55"/>
      <c r="E986" s="55"/>
      <c r="F986" s="55"/>
      <c r="G986" s="55"/>
      <c r="H986" s="55"/>
      <c r="I986" s="55"/>
      <c r="J986" s="55"/>
    </row>
    <row r="987" spans="2:10">
      <c r="B987" s="71" t="s">
        <v>208</v>
      </c>
      <c r="C987" s="55">
        <v>116391.177</v>
      </c>
      <c r="D987" s="55">
        <v>309817.72399999999</v>
      </c>
      <c r="E987" s="55">
        <v>405352.54499999998</v>
      </c>
      <c r="F987" s="55">
        <v>412900.32299999997</v>
      </c>
      <c r="G987" s="55">
        <v>478115.22499999998</v>
      </c>
      <c r="H987" s="55">
        <v>582739.255</v>
      </c>
      <c r="I987" s="55">
        <v>674549.81799999997</v>
      </c>
      <c r="J987" s="55">
        <v>865958.21</v>
      </c>
    </row>
    <row r="988" spans="2:10">
      <c r="B988" s="52" t="s">
        <v>121</v>
      </c>
      <c r="C988" s="55">
        <v>116391.177</v>
      </c>
      <c r="D988" s="55">
        <v>309817.72399999999</v>
      </c>
      <c r="E988" s="55">
        <v>405352.54499999998</v>
      </c>
      <c r="F988" s="55">
        <v>412900.32300000003</v>
      </c>
      <c r="G988" s="55">
        <v>478115.22499999998</v>
      </c>
      <c r="H988" s="55">
        <v>582739.255</v>
      </c>
      <c r="I988" s="55">
        <v>674549.81799999997</v>
      </c>
      <c r="J988" s="55">
        <v>865958.21</v>
      </c>
    </row>
    <row r="989" spans="2:10">
      <c r="B989" s="53" t="s">
        <v>120</v>
      </c>
      <c r="C989" s="55">
        <v>3810.4459999999999</v>
      </c>
      <c r="D989" s="55">
        <v>19234.184000000001</v>
      </c>
      <c r="E989" s="55">
        <v>77447.051999999996</v>
      </c>
      <c r="F989" s="55">
        <v>113177.39</v>
      </c>
      <c r="G989" s="55">
        <v>111573.024</v>
      </c>
      <c r="H989" s="55">
        <v>131358.217</v>
      </c>
      <c r="I989" s="55">
        <v>156671.981</v>
      </c>
      <c r="J989" s="55">
        <v>204804.06599999999</v>
      </c>
    </row>
    <row r="990" spans="2:10">
      <c r="B990" s="53" t="s">
        <v>119</v>
      </c>
      <c r="C990" s="55">
        <v>112554.234</v>
      </c>
      <c r="D990" s="55">
        <v>290562.22399999999</v>
      </c>
      <c r="E990" s="55">
        <v>327886.75400000002</v>
      </c>
      <c r="F990" s="55">
        <v>299706.337</v>
      </c>
      <c r="G990" s="55">
        <v>366413.68300000002</v>
      </c>
      <c r="H990" s="55">
        <v>451163.755</v>
      </c>
      <c r="I990" s="55">
        <v>517637.36</v>
      </c>
      <c r="J990" s="55">
        <v>658941.03700000001</v>
      </c>
    </row>
    <row r="991" spans="2:10">
      <c r="B991" s="53" t="s">
        <v>172</v>
      </c>
      <c r="C991" s="55">
        <v>26.497</v>
      </c>
      <c r="D991" s="55">
        <v>21.315999999999999</v>
      </c>
      <c r="E991" s="55">
        <v>18.739000000000001</v>
      </c>
      <c r="F991" s="55">
        <v>16.596</v>
      </c>
      <c r="G991" s="55">
        <v>128.518</v>
      </c>
      <c r="H991" s="55">
        <v>217.28299999999999</v>
      </c>
      <c r="I991" s="55">
        <v>240.477</v>
      </c>
      <c r="J991" s="55">
        <v>2213.10699999996</v>
      </c>
    </row>
    <row r="992" spans="2:10">
      <c r="B992" s="52" t="s">
        <v>118</v>
      </c>
      <c r="C992" s="55">
        <v>0</v>
      </c>
      <c r="D992" s="55">
        <v>0</v>
      </c>
      <c r="E992" s="55">
        <v>0</v>
      </c>
      <c r="F992" s="55">
        <v>0</v>
      </c>
      <c r="G992" s="55">
        <v>0</v>
      </c>
      <c r="H992" s="55">
        <v>0</v>
      </c>
      <c r="I992" s="55">
        <v>0</v>
      </c>
      <c r="J992" s="55">
        <v>0</v>
      </c>
    </row>
    <row r="993" spans="2:10">
      <c r="B993" s="52" t="s">
        <v>117</v>
      </c>
      <c r="C993" s="55">
        <v>0</v>
      </c>
      <c r="D993" s="55">
        <v>0</v>
      </c>
      <c r="E993" s="55">
        <v>0</v>
      </c>
      <c r="F993" s="55">
        <v>0</v>
      </c>
      <c r="G993" s="55">
        <v>0</v>
      </c>
      <c r="H993" s="55">
        <v>0</v>
      </c>
      <c r="I993" s="55">
        <v>0</v>
      </c>
      <c r="J993" s="55">
        <v>0</v>
      </c>
    </row>
    <row r="994" spans="2:10">
      <c r="B994" s="52"/>
      <c r="C994" s="55"/>
      <c r="D994" s="55"/>
      <c r="E994" s="55"/>
      <c r="F994" s="55"/>
      <c r="G994" s="55"/>
      <c r="H994" s="55"/>
      <c r="I994" s="55"/>
      <c r="J994" s="55"/>
    </row>
    <row r="995" spans="2:10">
      <c r="B995" s="83" t="s">
        <v>205</v>
      </c>
      <c r="C995" s="55">
        <v>92152.145999999993</v>
      </c>
      <c r="D995" s="55">
        <v>120314.546</v>
      </c>
      <c r="E995" s="55">
        <v>132164.56299999999</v>
      </c>
      <c r="F995" s="55">
        <v>43089.889000000003</v>
      </c>
      <c r="G995" s="55">
        <v>1433.943</v>
      </c>
      <c r="H995" s="55">
        <v>1063.393</v>
      </c>
      <c r="I995" s="55">
        <v>821.03300000000002</v>
      </c>
      <c r="J995" s="55">
        <v>831.23800000000006</v>
      </c>
    </row>
    <row r="996" spans="2:10">
      <c r="B996" s="81" t="s">
        <v>121</v>
      </c>
      <c r="C996" s="55">
        <v>92152.145999999993</v>
      </c>
      <c r="D996" s="55">
        <v>120314.546</v>
      </c>
      <c r="E996" s="55">
        <v>132164.56299999999</v>
      </c>
      <c r="F996" s="55">
        <v>43089.888999999996</v>
      </c>
      <c r="G996" s="55">
        <v>1433.943</v>
      </c>
      <c r="H996" s="55">
        <v>1063.393</v>
      </c>
      <c r="I996" s="55">
        <v>821.03300000000002</v>
      </c>
      <c r="J996" s="55">
        <v>831.23800000000006</v>
      </c>
    </row>
    <row r="997" spans="2:10">
      <c r="B997" s="82" t="s">
        <v>120</v>
      </c>
      <c r="C997" s="55">
        <v>2.2890000000000001</v>
      </c>
      <c r="D997" s="55">
        <v>2.052</v>
      </c>
      <c r="E997" s="55">
        <v>0.34799999999999998</v>
      </c>
      <c r="F997" s="55">
        <v>2.609</v>
      </c>
      <c r="G997" s="55">
        <v>6.95</v>
      </c>
      <c r="H997" s="55">
        <v>1.4810000000000001</v>
      </c>
      <c r="I997" s="55">
        <v>7.7939999999999996</v>
      </c>
      <c r="J997" s="55">
        <v>5.258</v>
      </c>
    </row>
    <row r="998" spans="2:10">
      <c r="B998" s="82" t="s">
        <v>119</v>
      </c>
      <c r="C998" s="55">
        <v>92149.767000000007</v>
      </c>
      <c r="D998" s="55">
        <v>120312.46</v>
      </c>
      <c r="E998" s="55">
        <v>132164.14799999999</v>
      </c>
      <c r="F998" s="55">
        <v>43087.207999999999</v>
      </c>
      <c r="G998" s="55">
        <v>1426.9169999999999</v>
      </c>
      <c r="H998" s="55">
        <v>1061.8520000000001</v>
      </c>
      <c r="I998" s="55">
        <v>813.22400000000005</v>
      </c>
      <c r="J998" s="55">
        <v>825.96799999999996</v>
      </c>
    </row>
    <row r="999" spans="2:10">
      <c r="B999" s="82" t="s">
        <v>172</v>
      </c>
      <c r="C999" s="55">
        <v>0.09</v>
      </c>
      <c r="D999" s="55">
        <v>3.4000000000000002E-2</v>
      </c>
      <c r="E999" s="55">
        <v>6.7000000000000004E-2</v>
      </c>
      <c r="F999" s="55">
        <v>7.1999999999999995E-2</v>
      </c>
      <c r="G999" s="55">
        <v>7.5999999999999998E-2</v>
      </c>
      <c r="H999" s="55">
        <v>0.06</v>
      </c>
      <c r="I999" s="55">
        <v>1.4999999999999999E-2</v>
      </c>
      <c r="J999" s="55">
        <v>1.2000000000057298E-2</v>
      </c>
    </row>
    <row r="1000" spans="2:10">
      <c r="B1000" s="81" t="s">
        <v>118</v>
      </c>
      <c r="C1000" s="55">
        <v>0</v>
      </c>
      <c r="D1000" s="55">
        <v>0</v>
      </c>
      <c r="E1000" s="55">
        <v>0</v>
      </c>
      <c r="F1000" s="55">
        <v>0</v>
      </c>
      <c r="G1000" s="55">
        <v>0</v>
      </c>
      <c r="H1000" s="55">
        <v>0</v>
      </c>
      <c r="I1000" s="55">
        <v>0</v>
      </c>
      <c r="J1000" s="55">
        <v>0</v>
      </c>
    </row>
    <row r="1001" spans="2:10">
      <c r="B1001" s="81" t="s">
        <v>117</v>
      </c>
      <c r="C1001" s="55">
        <v>0</v>
      </c>
      <c r="D1001" s="55">
        <v>0</v>
      </c>
      <c r="E1001" s="55">
        <v>0</v>
      </c>
      <c r="F1001" s="55">
        <v>0</v>
      </c>
      <c r="G1001" s="55">
        <v>0</v>
      </c>
      <c r="H1001" s="55">
        <v>0</v>
      </c>
      <c r="I1001" s="55">
        <v>0</v>
      </c>
      <c r="J1001" s="55">
        <v>0</v>
      </c>
    </row>
    <row r="1002" spans="2:10">
      <c r="B1002" s="81"/>
      <c r="C1002" s="55"/>
      <c r="D1002" s="55"/>
      <c r="E1002" s="55"/>
      <c r="F1002" s="55"/>
      <c r="G1002" s="55"/>
      <c r="H1002" s="55"/>
      <c r="I1002" s="55"/>
      <c r="J1002" s="55"/>
    </row>
    <row r="1003" spans="2:10">
      <c r="B1003" s="83" t="s">
        <v>204</v>
      </c>
      <c r="C1003" s="55">
        <v>24239.030999999999</v>
      </c>
      <c r="D1003" s="55">
        <v>189503.17799999999</v>
      </c>
      <c r="E1003" s="55">
        <v>273534.64799999999</v>
      </c>
      <c r="F1003" s="55">
        <v>369810.43399999995</v>
      </c>
      <c r="G1003" s="55">
        <v>476681.28200000001</v>
      </c>
      <c r="H1003" s="55">
        <v>581675.86199999996</v>
      </c>
      <c r="I1003" s="55">
        <v>673728.78500000003</v>
      </c>
      <c r="J1003" s="55">
        <f>J987-J995</f>
        <v>865126.97199999995</v>
      </c>
    </row>
    <row r="1004" spans="2:10">
      <c r="B1004" s="81" t="s">
        <v>121</v>
      </c>
      <c r="C1004" s="55">
        <v>24239.030999999999</v>
      </c>
      <c r="D1004" s="55">
        <v>189503.17799999999</v>
      </c>
      <c r="E1004" s="55">
        <v>273534.64799999999</v>
      </c>
      <c r="F1004" s="55">
        <v>369810.43399999995</v>
      </c>
      <c r="G1004" s="55">
        <v>476681.28200000001</v>
      </c>
      <c r="H1004" s="55">
        <v>581675.86199999996</v>
      </c>
      <c r="I1004" s="55">
        <v>673728.78500000003</v>
      </c>
      <c r="J1004" s="55">
        <f>J988-J996</f>
        <v>865126.97199999995</v>
      </c>
    </row>
    <row r="1005" spans="2:10">
      <c r="B1005" s="82" t="s">
        <v>120</v>
      </c>
      <c r="C1005" s="55">
        <v>3808.1570000000002</v>
      </c>
      <c r="D1005" s="55">
        <v>19232.132000000001</v>
      </c>
      <c r="E1005" s="55">
        <v>77566.585000000006</v>
      </c>
      <c r="F1005" s="55">
        <v>113174.781</v>
      </c>
      <c r="G1005" s="55">
        <v>111566.07399999999</v>
      </c>
      <c r="H1005" s="55">
        <v>131356.736</v>
      </c>
      <c r="I1005" s="55">
        <v>156664.18700000001</v>
      </c>
      <c r="J1005" s="55">
        <f>J989-J997</f>
        <v>204798.80799999999</v>
      </c>
    </row>
    <row r="1006" spans="2:10">
      <c r="B1006" s="82" t="s">
        <v>119</v>
      </c>
      <c r="C1006" s="55">
        <v>20404.467000000001</v>
      </c>
      <c r="D1006" s="55">
        <v>170249.76399999997</v>
      </c>
      <c r="E1006" s="55">
        <v>195950.67199999999</v>
      </c>
      <c r="F1006" s="55">
        <v>256619.12899999999</v>
      </c>
      <c r="G1006" s="55">
        <v>364986.766</v>
      </c>
      <c r="H1006" s="55">
        <v>450101.90299999999</v>
      </c>
      <c r="I1006" s="55">
        <v>516824.136</v>
      </c>
      <c r="J1006" s="55">
        <f>J990-J998</f>
        <v>658115.06900000002</v>
      </c>
    </row>
    <row r="1007" spans="2:10">
      <c r="B1007" s="82" t="s">
        <v>172</v>
      </c>
      <c r="C1007" s="55">
        <v>26.407</v>
      </c>
      <c r="D1007" s="55">
        <v>21.282</v>
      </c>
      <c r="E1007" s="55">
        <v>17.390999999999998</v>
      </c>
      <c r="F1007" s="55">
        <v>16.524000000000001</v>
      </c>
      <c r="G1007" s="55">
        <v>128.44200000000001</v>
      </c>
      <c r="H1007" s="55">
        <v>217.22300000000001</v>
      </c>
      <c r="I1007" s="55">
        <v>240.46199999999999</v>
      </c>
      <c r="J1007" s="55">
        <v>2213.0949999999721</v>
      </c>
    </row>
    <row r="1008" spans="2:10">
      <c r="B1008" s="81" t="s">
        <v>118</v>
      </c>
      <c r="C1008" s="55">
        <v>0</v>
      </c>
      <c r="D1008" s="55">
        <v>0</v>
      </c>
      <c r="E1008" s="55">
        <v>0</v>
      </c>
      <c r="F1008" s="55">
        <v>0</v>
      </c>
      <c r="G1008" s="55">
        <v>0</v>
      </c>
      <c r="H1008" s="55">
        <v>0</v>
      </c>
      <c r="I1008" s="55">
        <v>0</v>
      </c>
      <c r="J1008" s="55">
        <v>0</v>
      </c>
    </row>
    <row r="1009" spans="2:10">
      <c r="B1009" s="81" t="s">
        <v>117</v>
      </c>
      <c r="C1009" s="55">
        <v>0</v>
      </c>
      <c r="D1009" s="55">
        <v>0</v>
      </c>
      <c r="E1009" s="55">
        <v>0</v>
      </c>
      <c r="F1009" s="55">
        <v>0</v>
      </c>
      <c r="G1009" s="55">
        <v>0</v>
      </c>
      <c r="H1009" s="55">
        <v>0</v>
      </c>
      <c r="I1009" s="55">
        <v>0</v>
      </c>
      <c r="J1009" s="55">
        <v>0</v>
      </c>
    </row>
    <row r="1010" spans="2:10">
      <c r="B1010" s="81"/>
      <c r="C1010" s="55"/>
      <c r="D1010" s="55"/>
      <c r="E1010" s="55"/>
      <c r="F1010" s="55"/>
      <c r="G1010" s="55"/>
      <c r="H1010" s="55"/>
      <c r="I1010" s="55"/>
      <c r="J1010" s="55"/>
    </row>
    <row r="1011" spans="2:10">
      <c r="B1011" s="71" t="s">
        <v>203</v>
      </c>
      <c r="C1011" s="55">
        <v>0</v>
      </c>
      <c r="D1011" s="55">
        <v>0</v>
      </c>
      <c r="E1011" s="55">
        <v>0</v>
      </c>
      <c r="F1011" s="55">
        <v>0</v>
      </c>
      <c r="G1011" s="55">
        <v>0</v>
      </c>
      <c r="H1011" s="55">
        <v>0</v>
      </c>
      <c r="I1011" s="55">
        <v>0</v>
      </c>
      <c r="J1011" s="55">
        <v>0</v>
      </c>
    </row>
    <row r="1012" spans="2:10">
      <c r="B1012" s="52" t="s">
        <v>169</v>
      </c>
      <c r="C1012" s="55">
        <v>0</v>
      </c>
      <c r="D1012" s="55">
        <v>0</v>
      </c>
      <c r="E1012" s="55">
        <v>0</v>
      </c>
      <c r="F1012" s="55">
        <v>0</v>
      </c>
      <c r="G1012" s="55">
        <v>0</v>
      </c>
      <c r="H1012" s="55">
        <v>0</v>
      </c>
      <c r="I1012" s="55">
        <v>0</v>
      </c>
      <c r="J1012" s="55">
        <v>0</v>
      </c>
    </row>
    <row r="1013" spans="2:10">
      <c r="B1013" s="52" t="s">
        <v>168</v>
      </c>
      <c r="C1013" s="55">
        <v>0</v>
      </c>
      <c r="D1013" s="55">
        <v>0</v>
      </c>
      <c r="E1013" s="55">
        <v>0</v>
      </c>
      <c r="F1013" s="55">
        <v>0</v>
      </c>
      <c r="G1013" s="55">
        <v>0</v>
      </c>
      <c r="H1013" s="55">
        <v>0</v>
      </c>
      <c r="I1013" s="55">
        <v>0</v>
      </c>
      <c r="J1013" s="55">
        <v>0</v>
      </c>
    </row>
    <row r="1014" spans="2:10">
      <c r="B1014" s="52" t="s">
        <v>167</v>
      </c>
      <c r="C1014" s="55">
        <v>0</v>
      </c>
      <c r="D1014" s="55">
        <v>0</v>
      </c>
      <c r="E1014" s="55">
        <v>0</v>
      </c>
      <c r="F1014" s="55">
        <v>0</v>
      </c>
      <c r="G1014" s="55">
        <v>0</v>
      </c>
      <c r="H1014" s="55">
        <v>0</v>
      </c>
      <c r="I1014" s="55">
        <v>0</v>
      </c>
      <c r="J1014" s="55">
        <v>0</v>
      </c>
    </row>
    <row r="1015" spans="2:10">
      <c r="B1015" s="52" t="s">
        <v>166</v>
      </c>
      <c r="C1015" s="55">
        <v>0</v>
      </c>
      <c r="D1015" s="55">
        <v>0</v>
      </c>
      <c r="E1015" s="55">
        <v>0</v>
      </c>
      <c r="F1015" s="55">
        <v>0</v>
      </c>
      <c r="G1015" s="55">
        <v>0</v>
      </c>
      <c r="H1015" s="55">
        <v>0</v>
      </c>
      <c r="I1015" s="55">
        <v>0</v>
      </c>
      <c r="J1015" s="55">
        <v>0</v>
      </c>
    </row>
    <row r="1016" spans="2:10">
      <c r="B1016" s="52" t="s">
        <v>165</v>
      </c>
      <c r="C1016" s="55">
        <v>0</v>
      </c>
      <c r="D1016" s="55">
        <v>0</v>
      </c>
      <c r="E1016" s="55">
        <v>0</v>
      </c>
      <c r="F1016" s="55">
        <v>0</v>
      </c>
      <c r="G1016" s="55">
        <v>0</v>
      </c>
      <c r="H1016" s="55">
        <v>0</v>
      </c>
      <c r="I1016" s="55">
        <v>0</v>
      </c>
      <c r="J1016" s="55">
        <v>0</v>
      </c>
    </row>
    <row r="1017" spans="2:10">
      <c r="B1017" s="52" t="s">
        <v>164</v>
      </c>
      <c r="C1017" s="55">
        <v>0</v>
      </c>
      <c r="D1017" s="55">
        <v>0</v>
      </c>
      <c r="E1017" s="55">
        <v>0</v>
      </c>
      <c r="F1017" s="55">
        <v>0</v>
      </c>
      <c r="G1017" s="55">
        <v>0</v>
      </c>
      <c r="H1017" s="55">
        <v>0</v>
      </c>
      <c r="I1017" s="55">
        <v>0</v>
      </c>
      <c r="J1017" s="55">
        <v>0</v>
      </c>
    </row>
    <row r="1018" spans="2:10">
      <c r="B1018" s="52"/>
      <c r="C1018" s="55"/>
      <c r="D1018" s="55"/>
      <c r="E1018" s="55"/>
      <c r="F1018" s="55"/>
      <c r="G1018" s="55"/>
      <c r="H1018" s="55"/>
      <c r="I1018" s="55"/>
      <c r="J1018" s="55"/>
    </row>
    <row r="1019" spans="2:10">
      <c r="B1019" s="80" t="s">
        <v>202</v>
      </c>
      <c r="C1019" s="55">
        <v>551.17399999999998</v>
      </c>
      <c r="D1019" s="55">
        <v>562.87599999999998</v>
      </c>
      <c r="E1019" s="55">
        <v>363.61900000000003</v>
      </c>
      <c r="F1019" s="55">
        <v>174.42599999999999</v>
      </c>
      <c r="G1019" s="55">
        <v>153.23500000000001</v>
      </c>
      <c r="H1019" s="55">
        <v>166.15299999999999</v>
      </c>
      <c r="I1019" s="55">
        <v>191.40700000000001</v>
      </c>
      <c r="J1019" s="55">
        <v>320.93400000000003</v>
      </c>
    </row>
    <row r="1020" spans="2:10">
      <c r="B1020" s="52" t="s">
        <v>169</v>
      </c>
      <c r="C1020" s="55">
        <v>0</v>
      </c>
      <c r="D1020" s="55">
        <v>0</v>
      </c>
      <c r="E1020" s="55">
        <v>0</v>
      </c>
      <c r="F1020" s="55">
        <v>0</v>
      </c>
      <c r="G1020" s="55">
        <v>0</v>
      </c>
      <c r="H1020" s="55">
        <v>0</v>
      </c>
      <c r="I1020" s="55">
        <v>0</v>
      </c>
      <c r="J1020" s="55">
        <v>0</v>
      </c>
    </row>
    <row r="1021" spans="2:10">
      <c r="B1021" s="52" t="s">
        <v>168</v>
      </c>
      <c r="C1021" s="55">
        <v>0</v>
      </c>
      <c r="D1021" s="55">
        <v>0</v>
      </c>
      <c r="E1021" s="55">
        <v>0</v>
      </c>
      <c r="F1021" s="55">
        <v>0</v>
      </c>
      <c r="G1021" s="55">
        <v>0</v>
      </c>
      <c r="H1021" s="55">
        <v>0</v>
      </c>
      <c r="I1021" s="55">
        <v>0</v>
      </c>
      <c r="J1021" s="55">
        <v>0</v>
      </c>
    </row>
    <row r="1022" spans="2:10">
      <c r="B1022" s="52" t="s">
        <v>167</v>
      </c>
      <c r="C1022" s="55">
        <v>551.17399999999998</v>
      </c>
      <c r="D1022" s="55">
        <v>562.87599999999998</v>
      </c>
      <c r="E1022" s="55">
        <v>363.61900000000003</v>
      </c>
      <c r="F1022" s="55">
        <v>174.42599999999999</v>
      </c>
      <c r="G1022" s="55">
        <v>153.23500000000001</v>
      </c>
      <c r="H1022" s="55">
        <v>166.15299999999999</v>
      </c>
      <c r="I1022" s="55">
        <v>191.40700000000001</v>
      </c>
      <c r="J1022" s="55">
        <v>320.93400000000003</v>
      </c>
    </row>
    <row r="1023" spans="2:10">
      <c r="B1023" s="52" t="s">
        <v>166</v>
      </c>
      <c r="C1023" s="55">
        <v>0</v>
      </c>
      <c r="D1023" s="55">
        <v>0</v>
      </c>
      <c r="E1023" s="55">
        <v>0</v>
      </c>
      <c r="F1023" s="55">
        <v>0</v>
      </c>
      <c r="G1023" s="55">
        <v>0</v>
      </c>
      <c r="H1023" s="55">
        <v>0</v>
      </c>
      <c r="I1023" s="55">
        <v>0</v>
      </c>
      <c r="J1023" s="55">
        <v>0</v>
      </c>
    </row>
    <row r="1024" spans="2:10">
      <c r="B1024" s="52" t="s">
        <v>165</v>
      </c>
      <c r="C1024" s="55">
        <v>0</v>
      </c>
      <c r="D1024" s="55">
        <v>0</v>
      </c>
      <c r="E1024" s="55">
        <v>0</v>
      </c>
      <c r="F1024" s="55">
        <v>0</v>
      </c>
      <c r="G1024" s="55">
        <v>0</v>
      </c>
      <c r="H1024" s="55">
        <v>0</v>
      </c>
      <c r="I1024" s="55">
        <v>0</v>
      </c>
      <c r="J1024" s="55">
        <v>0</v>
      </c>
    </row>
    <row r="1025" spans="2:10" ht="15" thickBot="1">
      <c r="B1025" s="50" t="s">
        <v>164</v>
      </c>
      <c r="C1025" s="101">
        <v>0</v>
      </c>
      <c r="D1025" s="101">
        <v>0</v>
      </c>
      <c r="E1025" s="101">
        <v>0</v>
      </c>
      <c r="F1025" s="101">
        <v>0</v>
      </c>
      <c r="G1025" s="101">
        <v>0</v>
      </c>
      <c r="H1025" s="101">
        <v>0</v>
      </c>
      <c r="I1025" s="101">
        <v>0</v>
      </c>
      <c r="J1025" s="101">
        <v>0</v>
      </c>
    </row>
    <row r="1026" spans="2:10" ht="15" thickTop="1">
      <c r="B1026" s="2025" t="s">
        <v>948</v>
      </c>
      <c r="C1026" s="2025"/>
      <c r="D1026" s="2025"/>
      <c r="E1026" s="2025"/>
      <c r="F1026" s="2025"/>
      <c r="G1026" s="2025"/>
      <c r="H1026" s="2025"/>
      <c r="I1026" s="2025"/>
      <c r="J1026" s="2025"/>
    </row>
    <row r="1027" spans="2:10">
      <c r="B1027" s="2066" t="s">
        <v>967</v>
      </c>
      <c r="C1027" s="2066"/>
      <c r="D1027" s="2066"/>
      <c r="E1027" s="2066"/>
      <c r="F1027" s="2066"/>
      <c r="G1027" s="2066"/>
      <c r="H1027" s="2066"/>
      <c r="I1027" s="2066"/>
      <c r="J1027" s="2066"/>
    </row>
    <row r="1028" spans="2:10">
      <c r="B1028" s="64"/>
    </row>
    <row r="1029" spans="2:10">
      <c r="B1029" s="2024" t="s">
        <v>199</v>
      </c>
      <c r="C1029" s="2024"/>
      <c r="D1029" s="2024"/>
      <c r="E1029" s="2024"/>
      <c r="F1029" s="2024"/>
      <c r="G1029" s="2024"/>
      <c r="H1029" s="2024"/>
      <c r="I1029" s="2024"/>
      <c r="J1029" s="2024"/>
    </row>
    <row r="1030" spans="2:10">
      <c r="B1030" s="12" t="s">
        <v>198</v>
      </c>
    </row>
    <row r="1031" spans="2:10">
      <c r="B1031" s="62" t="s">
        <v>127</v>
      </c>
    </row>
    <row r="1032" spans="2:10">
      <c r="B1032" s="62"/>
    </row>
    <row r="1033" spans="2:10">
      <c r="B1033" s="61"/>
      <c r="C1033" s="60">
        <v>2014</v>
      </c>
      <c r="D1033" s="60">
        <v>2015</v>
      </c>
      <c r="E1033" s="60">
        <v>2016</v>
      </c>
      <c r="F1033" s="60">
        <v>2017</v>
      </c>
      <c r="G1033" s="60">
        <v>2018</v>
      </c>
      <c r="H1033" s="60">
        <v>2019</v>
      </c>
      <c r="I1033" s="60">
        <v>2020</v>
      </c>
      <c r="J1033" s="60">
        <v>2021</v>
      </c>
    </row>
    <row r="1034" spans="2:10" ht="15">
      <c r="B1034" s="59" t="s">
        <v>962</v>
      </c>
    </row>
    <row r="1035" spans="2:10">
      <c r="B1035" s="71" t="s">
        <v>186</v>
      </c>
      <c r="C1035" s="55">
        <v>1087299.4470633203</v>
      </c>
      <c r="D1035" s="55">
        <v>724025.83277409349</v>
      </c>
      <c r="E1035" s="55">
        <v>758047.85596579686</v>
      </c>
      <c r="F1035" s="55">
        <v>575773.56104171032</v>
      </c>
      <c r="G1035" s="55">
        <v>0</v>
      </c>
      <c r="H1035" s="55">
        <v>0</v>
      </c>
      <c r="I1035" s="55">
        <v>0</v>
      </c>
      <c r="J1035" s="55">
        <v>0</v>
      </c>
    </row>
    <row r="1036" spans="2:10">
      <c r="B1036" s="71"/>
      <c r="C1036" s="55"/>
      <c r="D1036" s="55"/>
      <c r="E1036" s="55"/>
      <c r="F1036" s="55"/>
      <c r="G1036" s="55"/>
      <c r="H1036" s="55"/>
      <c r="I1036" s="55"/>
      <c r="J1036" s="55"/>
    </row>
    <row r="1037" spans="2:10">
      <c r="B1037" s="71" t="s">
        <v>190</v>
      </c>
      <c r="C1037" s="55">
        <v>1054072.0074744131</v>
      </c>
      <c r="D1037" s="55">
        <v>706685.06784572615</v>
      </c>
      <c r="E1037" s="55">
        <v>737316.68620524893</v>
      </c>
      <c r="F1037" s="55">
        <v>561330.34198857332</v>
      </c>
      <c r="G1037" s="55">
        <v>0</v>
      </c>
      <c r="H1037" s="55">
        <v>0</v>
      </c>
      <c r="I1037" s="55">
        <v>0</v>
      </c>
      <c r="J1037" s="55">
        <v>0</v>
      </c>
    </row>
    <row r="1038" spans="2:10">
      <c r="B1038" s="52" t="s">
        <v>121</v>
      </c>
      <c r="C1038" s="55">
        <v>534.71270225506441</v>
      </c>
      <c r="D1038" s="55">
        <v>532.38144749153855</v>
      </c>
      <c r="E1038" s="55">
        <v>655.11181682599829</v>
      </c>
      <c r="F1038" s="55">
        <v>533.14840845732181</v>
      </c>
      <c r="G1038" s="55">
        <v>0</v>
      </c>
      <c r="H1038" s="55">
        <v>0</v>
      </c>
      <c r="I1038" s="55">
        <v>0</v>
      </c>
      <c r="J1038" s="55">
        <v>0</v>
      </c>
    </row>
    <row r="1039" spans="2:10">
      <c r="B1039" s="53" t="s">
        <v>120</v>
      </c>
      <c r="C1039" s="55">
        <v>0</v>
      </c>
      <c r="D1039" s="55">
        <v>0</v>
      </c>
      <c r="E1039" s="55">
        <v>0</v>
      </c>
      <c r="F1039" s="55">
        <v>0</v>
      </c>
      <c r="G1039" s="55">
        <v>0</v>
      </c>
      <c r="H1039" s="55">
        <v>0</v>
      </c>
      <c r="I1039" s="55">
        <v>0</v>
      </c>
      <c r="J1039" s="55">
        <v>0</v>
      </c>
    </row>
    <row r="1040" spans="2:10">
      <c r="B1040" s="53" t="s">
        <v>119</v>
      </c>
      <c r="C1040" s="55">
        <v>534.71270225506441</v>
      </c>
      <c r="D1040" s="55">
        <v>532.38144749153855</v>
      </c>
      <c r="E1040" s="55">
        <v>655.11181682599829</v>
      </c>
      <c r="F1040" s="55">
        <v>533.14840845732181</v>
      </c>
      <c r="G1040" s="55">
        <v>0</v>
      </c>
      <c r="H1040" s="55">
        <v>0</v>
      </c>
      <c r="I1040" s="55">
        <v>0</v>
      </c>
      <c r="J1040" s="55">
        <v>0</v>
      </c>
    </row>
    <row r="1041" spans="2:10">
      <c r="B1041" s="53" t="s">
        <v>197</v>
      </c>
      <c r="C1041" s="55">
        <v>0</v>
      </c>
      <c r="D1041" s="55">
        <v>0</v>
      </c>
      <c r="E1041" s="55">
        <v>0</v>
      </c>
      <c r="F1041" s="55">
        <v>0</v>
      </c>
      <c r="G1041" s="55">
        <v>0</v>
      </c>
      <c r="H1041" s="55">
        <v>0</v>
      </c>
      <c r="I1041" s="55">
        <v>0</v>
      </c>
      <c r="J1041" s="55">
        <v>0</v>
      </c>
    </row>
    <row r="1042" spans="2:10">
      <c r="B1042" s="52" t="s">
        <v>118</v>
      </c>
      <c r="C1042" s="55">
        <v>1035526.0729604621</v>
      </c>
      <c r="D1042" s="55">
        <v>686402.12758717628</v>
      </c>
      <c r="E1042" s="55">
        <v>715183.62714518385</v>
      </c>
      <c r="F1042" s="55">
        <v>548316.70791283168</v>
      </c>
      <c r="G1042" s="55">
        <v>0</v>
      </c>
      <c r="H1042" s="55">
        <v>0</v>
      </c>
      <c r="I1042" s="55">
        <v>0</v>
      </c>
      <c r="J1042" s="55">
        <v>0</v>
      </c>
    </row>
    <row r="1043" spans="2:10">
      <c r="B1043" s="52" t="s">
        <v>117</v>
      </c>
      <c r="C1043" s="55">
        <v>18011.221811695759</v>
      </c>
      <c r="D1043" s="55">
        <v>19750.558811058199</v>
      </c>
      <c r="E1043" s="55">
        <v>21477.94724323917</v>
      </c>
      <c r="F1043" s="55">
        <v>12480.485667284256</v>
      </c>
      <c r="G1043" s="55">
        <v>0</v>
      </c>
      <c r="H1043" s="55">
        <v>0</v>
      </c>
      <c r="I1043" s="55">
        <v>0</v>
      </c>
      <c r="J1043" s="55">
        <v>0</v>
      </c>
    </row>
    <row r="1044" spans="2:10">
      <c r="B1044" s="52"/>
      <c r="C1044" s="55"/>
      <c r="D1044" s="55"/>
      <c r="E1044" s="55"/>
      <c r="F1044" s="55"/>
      <c r="G1044" s="55"/>
      <c r="H1044" s="55"/>
      <c r="I1044" s="55"/>
      <c r="J1044" s="55"/>
    </row>
    <row r="1045" spans="2:10">
      <c r="B1045" s="83" t="s">
        <v>187</v>
      </c>
      <c r="C1045" s="55">
        <v>312149.19182910782</v>
      </c>
      <c r="D1045" s="55">
        <v>199398.64175333965</v>
      </c>
      <c r="E1045" s="55">
        <v>198876.06694800907</v>
      </c>
      <c r="F1045" s="55">
        <v>136647.00391337197</v>
      </c>
      <c r="G1045" s="55">
        <v>0</v>
      </c>
      <c r="H1045" s="55">
        <v>0</v>
      </c>
      <c r="I1045" s="55">
        <v>0</v>
      </c>
      <c r="J1045" s="55">
        <v>0</v>
      </c>
    </row>
    <row r="1046" spans="2:10">
      <c r="B1046" s="81" t="s">
        <v>121</v>
      </c>
      <c r="C1046" s="55">
        <v>0</v>
      </c>
      <c r="D1046" s="55">
        <v>0</v>
      </c>
      <c r="E1046" s="55">
        <v>0</v>
      </c>
      <c r="F1046" s="55">
        <v>0</v>
      </c>
      <c r="G1046" s="55">
        <v>0</v>
      </c>
      <c r="H1046" s="55">
        <v>0</v>
      </c>
      <c r="I1046" s="55">
        <v>0</v>
      </c>
      <c r="J1046" s="55">
        <v>0</v>
      </c>
    </row>
    <row r="1047" spans="2:10">
      <c r="B1047" s="82" t="s">
        <v>120</v>
      </c>
      <c r="C1047" s="55">
        <v>0</v>
      </c>
      <c r="D1047" s="55">
        <v>0</v>
      </c>
      <c r="E1047" s="55">
        <v>0</v>
      </c>
      <c r="F1047" s="55">
        <v>0</v>
      </c>
      <c r="G1047" s="55">
        <v>0</v>
      </c>
      <c r="H1047" s="55">
        <v>0</v>
      </c>
      <c r="I1047" s="55">
        <v>0</v>
      </c>
      <c r="J1047" s="55">
        <v>0</v>
      </c>
    </row>
    <row r="1048" spans="2:10">
      <c r="B1048" s="82" t="s">
        <v>119</v>
      </c>
      <c r="C1048" s="55">
        <v>0</v>
      </c>
      <c r="D1048" s="55">
        <v>0</v>
      </c>
      <c r="E1048" s="55">
        <v>0</v>
      </c>
      <c r="F1048" s="55">
        <v>0</v>
      </c>
      <c r="G1048" s="55">
        <v>0</v>
      </c>
      <c r="H1048" s="55">
        <v>0</v>
      </c>
      <c r="I1048" s="55">
        <v>0</v>
      </c>
      <c r="J1048" s="55">
        <v>0</v>
      </c>
    </row>
    <row r="1049" spans="2:10">
      <c r="B1049" s="82" t="s">
        <v>172</v>
      </c>
      <c r="C1049" s="55">
        <v>0</v>
      </c>
      <c r="D1049" s="55">
        <v>0</v>
      </c>
      <c r="E1049" s="55">
        <v>0</v>
      </c>
      <c r="F1049" s="55">
        <v>0</v>
      </c>
      <c r="G1049" s="55">
        <v>0</v>
      </c>
      <c r="H1049" s="55">
        <v>0</v>
      </c>
      <c r="I1049" s="55">
        <v>0</v>
      </c>
      <c r="J1049" s="55">
        <v>0</v>
      </c>
    </row>
    <row r="1050" spans="2:10">
      <c r="B1050" s="81" t="s">
        <v>118</v>
      </c>
      <c r="C1050" s="55">
        <v>312149.19182910782</v>
      </c>
      <c r="D1050" s="55">
        <v>199398.64175333967</v>
      </c>
      <c r="E1050" s="55">
        <v>198876.06694800907</v>
      </c>
      <c r="F1050" s="55">
        <v>136647.00391337197</v>
      </c>
      <c r="G1050" s="55">
        <v>0</v>
      </c>
      <c r="H1050" s="55">
        <v>0</v>
      </c>
      <c r="I1050" s="55">
        <v>0</v>
      </c>
      <c r="J1050" s="55">
        <v>0</v>
      </c>
    </row>
    <row r="1051" spans="2:10">
      <c r="B1051" s="81" t="s">
        <v>117</v>
      </c>
      <c r="C1051" s="55">
        <v>0</v>
      </c>
      <c r="D1051" s="55">
        <v>0</v>
      </c>
      <c r="E1051" s="55">
        <v>0</v>
      </c>
      <c r="F1051" s="55">
        <v>0</v>
      </c>
      <c r="G1051" s="55">
        <v>0</v>
      </c>
      <c r="H1051" s="55">
        <v>0</v>
      </c>
      <c r="I1051" s="55">
        <v>0</v>
      </c>
      <c r="J1051" s="55">
        <v>0</v>
      </c>
    </row>
    <row r="1052" spans="2:10">
      <c r="B1052" s="81"/>
      <c r="C1052" s="55"/>
      <c r="D1052" s="55"/>
      <c r="E1052" s="55"/>
      <c r="F1052" s="55"/>
      <c r="G1052" s="55"/>
      <c r="H1052" s="55"/>
      <c r="I1052" s="55"/>
      <c r="J1052" s="55"/>
    </row>
    <row r="1053" spans="2:10">
      <c r="B1053" s="83" t="s">
        <v>173</v>
      </c>
      <c r="C1053" s="55">
        <v>741922.81564530521</v>
      </c>
      <c r="D1053" s="55">
        <v>507286.42609238642</v>
      </c>
      <c r="E1053" s="55">
        <v>538440.61925723986</v>
      </c>
      <c r="F1053" s="55">
        <v>424683.33807520138</v>
      </c>
      <c r="G1053" s="55">
        <v>0</v>
      </c>
      <c r="H1053" s="55">
        <v>0</v>
      </c>
      <c r="I1053" s="55">
        <v>0</v>
      </c>
      <c r="J1053" s="55">
        <v>0</v>
      </c>
    </row>
    <row r="1054" spans="2:10">
      <c r="B1054" s="81" t="s">
        <v>121</v>
      </c>
      <c r="C1054" s="55">
        <v>534.71270225506441</v>
      </c>
      <c r="D1054" s="55">
        <v>532.38144749153855</v>
      </c>
      <c r="E1054" s="55">
        <v>655.11181682599829</v>
      </c>
      <c r="F1054" s="55">
        <v>533.14840845732181</v>
      </c>
      <c r="G1054" s="55">
        <v>0</v>
      </c>
      <c r="H1054" s="55">
        <v>0</v>
      </c>
      <c r="I1054" s="55">
        <v>0</v>
      </c>
      <c r="J1054" s="55">
        <v>0</v>
      </c>
    </row>
    <row r="1055" spans="2:10">
      <c r="B1055" s="82" t="s">
        <v>120</v>
      </c>
      <c r="C1055" s="55">
        <v>0</v>
      </c>
      <c r="D1055" s="55">
        <v>0</v>
      </c>
      <c r="E1055" s="55">
        <v>0</v>
      </c>
      <c r="F1055" s="55">
        <v>0</v>
      </c>
      <c r="G1055" s="55">
        <v>0</v>
      </c>
      <c r="H1055" s="55">
        <v>0</v>
      </c>
      <c r="I1055" s="55">
        <v>0</v>
      </c>
      <c r="J1055" s="55">
        <v>0</v>
      </c>
    </row>
    <row r="1056" spans="2:10">
      <c r="B1056" s="82" t="s">
        <v>119</v>
      </c>
      <c r="C1056" s="55">
        <v>534.71270225506441</v>
      </c>
      <c r="D1056" s="55">
        <v>532.38144749153855</v>
      </c>
      <c r="E1056" s="55">
        <v>655.11181682599829</v>
      </c>
      <c r="F1056" s="55">
        <v>533.14840845732181</v>
      </c>
      <c r="G1056" s="55">
        <v>0</v>
      </c>
      <c r="H1056" s="55">
        <v>0</v>
      </c>
      <c r="I1056" s="55">
        <v>0</v>
      </c>
      <c r="J1056" s="55">
        <v>0</v>
      </c>
    </row>
    <row r="1057" spans="2:10">
      <c r="B1057" s="82" t="s">
        <v>197</v>
      </c>
      <c r="C1057" s="55">
        <v>0</v>
      </c>
      <c r="D1057" s="55">
        <v>0</v>
      </c>
      <c r="E1057" s="55">
        <v>0</v>
      </c>
      <c r="F1057" s="55">
        <v>0</v>
      </c>
      <c r="G1057" s="55">
        <v>0</v>
      </c>
      <c r="H1057" s="55">
        <v>0</v>
      </c>
      <c r="I1057" s="55">
        <v>0</v>
      </c>
      <c r="J1057" s="55">
        <v>0</v>
      </c>
    </row>
    <row r="1058" spans="2:10">
      <c r="B1058" s="81" t="s">
        <v>118</v>
      </c>
      <c r="C1058" s="55">
        <v>723376.88113135437</v>
      </c>
      <c r="D1058" s="55">
        <v>487003.48583383654</v>
      </c>
      <c r="E1058" s="55">
        <v>516307.56019717478</v>
      </c>
      <c r="F1058" s="55">
        <v>411669.70399945974</v>
      </c>
      <c r="G1058" s="55">
        <v>0</v>
      </c>
      <c r="H1058" s="55">
        <v>0</v>
      </c>
      <c r="I1058" s="55">
        <v>0</v>
      </c>
      <c r="J1058" s="55">
        <v>0</v>
      </c>
    </row>
    <row r="1059" spans="2:10">
      <c r="B1059" s="81" t="s">
        <v>117</v>
      </c>
      <c r="C1059" s="55">
        <v>18011.221811695759</v>
      </c>
      <c r="D1059" s="55">
        <v>19750.558811058199</v>
      </c>
      <c r="E1059" s="55">
        <v>21477.94724323917</v>
      </c>
      <c r="F1059" s="55">
        <v>12480.485667284256</v>
      </c>
      <c r="G1059" s="55">
        <v>0</v>
      </c>
      <c r="H1059" s="55">
        <v>0</v>
      </c>
      <c r="I1059" s="55">
        <v>0</v>
      </c>
      <c r="J1059" s="55">
        <v>0</v>
      </c>
    </row>
    <row r="1060" spans="2:10">
      <c r="B1060" s="81"/>
      <c r="C1060" s="55"/>
      <c r="D1060" s="55"/>
      <c r="E1060" s="55"/>
      <c r="F1060" s="55"/>
      <c r="G1060" s="55"/>
      <c r="H1060" s="55"/>
      <c r="I1060" s="55"/>
      <c r="J1060" s="55"/>
    </row>
    <row r="1061" spans="2:10">
      <c r="B1061" s="71" t="s">
        <v>171</v>
      </c>
      <c r="C1061" s="55">
        <v>33227.439790780147</v>
      </c>
      <c r="D1061" s="55">
        <v>17340.764928367335</v>
      </c>
      <c r="E1061" s="55">
        <v>20731.169760548906</v>
      </c>
      <c r="F1061" s="55">
        <v>14443.219053137042</v>
      </c>
      <c r="G1061" s="55">
        <v>0</v>
      </c>
      <c r="H1061" s="55">
        <v>0</v>
      </c>
      <c r="I1061" s="55">
        <v>0</v>
      </c>
      <c r="J1061" s="55">
        <v>0</v>
      </c>
    </row>
    <row r="1062" spans="2:10">
      <c r="B1062" s="52" t="s">
        <v>169</v>
      </c>
      <c r="C1062" s="55">
        <v>0</v>
      </c>
      <c r="D1062" s="55">
        <v>0</v>
      </c>
      <c r="E1062" s="55">
        <v>0</v>
      </c>
      <c r="F1062" s="55">
        <v>0</v>
      </c>
      <c r="G1062" s="55">
        <v>0</v>
      </c>
      <c r="H1062" s="55">
        <v>0</v>
      </c>
      <c r="I1062" s="55">
        <v>0</v>
      </c>
      <c r="J1062" s="55">
        <v>0</v>
      </c>
    </row>
    <row r="1063" spans="2:10">
      <c r="B1063" s="52" t="s">
        <v>168</v>
      </c>
      <c r="C1063" s="55">
        <v>24553.888075720904</v>
      </c>
      <c r="D1063" s="55">
        <v>12437.546033300392</v>
      </c>
      <c r="E1063" s="55">
        <v>16096.276985085982</v>
      </c>
      <c r="F1063" s="55">
        <v>9670.3501642537194</v>
      </c>
      <c r="G1063" s="55">
        <v>0</v>
      </c>
      <c r="H1063" s="55">
        <v>0</v>
      </c>
      <c r="I1063" s="55">
        <v>0</v>
      </c>
      <c r="J1063" s="55">
        <v>0</v>
      </c>
    </row>
    <row r="1064" spans="2:10">
      <c r="B1064" s="52" t="s">
        <v>167</v>
      </c>
      <c r="C1064" s="55">
        <v>8673.5517150592477</v>
      </c>
      <c r="D1064" s="55">
        <v>4903.2188950669424</v>
      </c>
      <c r="E1064" s="55">
        <v>4634.892775462924</v>
      </c>
      <c r="F1064" s="55">
        <v>4772.8688888833212</v>
      </c>
      <c r="G1064" s="55">
        <v>0</v>
      </c>
      <c r="H1064" s="55">
        <v>0</v>
      </c>
      <c r="I1064" s="55">
        <v>0</v>
      </c>
      <c r="J1064" s="55">
        <v>0</v>
      </c>
    </row>
    <row r="1065" spans="2:10">
      <c r="B1065" s="52" t="s">
        <v>166</v>
      </c>
      <c r="C1065" s="55">
        <v>0</v>
      </c>
      <c r="D1065" s="55">
        <v>0</v>
      </c>
      <c r="E1065" s="55">
        <v>0</v>
      </c>
      <c r="F1065" s="55">
        <v>0</v>
      </c>
      <c r="G1065" s="55">
        <v>0</v>
      </c>
      <c r="H1065" s="55">
        <v>0</v>
      </c>
      <c r="I1065" s="55">
        <v>0</v>
      </c>
      <c r="J1065" s="55">
        <v>0</v>
      </c>
    </row>
    <row r="1066" spans="2:10">
      <c r="B1066" s="52" t="s">
        <v>165</v>
      </c>
      <c r="C1066" s="55">
        <v>0</v>
      </c>
      <c r="D1066" s="55">
        <v>0</v>
      </c>
      <c r="E1066" s="55">
        <v>0</v>
      </c>
      <c r="F1066" s="55">
        <v>0</v>
      </c>
      <c r="G1066" s="55">
        <v>0</v>
      </c>
      <c r="H1066" s="55">
        <v>0</v>
      </c>
      <c r="I1066" s="55">
        <v>0</v>
      </c>
      <c r="J1066" s="55">
        <v>0</v>
      </c>
    </row>
    <row r="1067" spans="2:10">
      <c r="B1067" s="52" t="s">
        <v>164</v>
      </c>
      <c r="C1067" s="55">
        <v>0</v>
      </c>
      <c r="D1067" s="55">
        <v>0</v>
      </c>
      <c r="E1067" s="55">
        <v>0</v>
      </c>
      <c r="F1067" s="55">
        <v>0</v>
      </c>
      <c r="G1067" s="55">
        <v>0</v>
      </c>
      <c r="H1067" s="55">
        <v>0</v>
      </c>
      <c r="I1067" s="55">
        <v>0</v>
      </c>
      <c r="J1067" s="55">
        <v>0</v>
      </c>
    </row>
    <row r="1068" spans="2:10">
      <c r="B1068" s="52"/>
      <c r="C1068" s="55"/>
      <c r="D1068" s="55"/>
      <c r="E1068" s="55"/>
      <c r="F1068" s="55"/>
      <c r="G1068" s="55"/>
      <c r="H1068" s="55"/>
      <c r="I1068" s="55"/>
      <c r="J1068" s="55"/>
    </row>
    <row r="1069" spans="2:10">
      <c r="B1069" s="80" t="s">
        <v>170</v>
      </c>
      <c r="C1069" s="55">
        <v>0</v>
      </c>
      <c r="D1069" s="55">
        <v>0</v>
      </c>
      <c r="E1069" s="55">
        <v>0</v>
      </c>
      <c r="F1069" s="55">
        <v>0</v>
      </c>
      <c r="G1069" s="55">
        <v>0</v>
      </c>
      <c r="H1069" s="55">
        <v>0</v>
      </c>
      <c r="I1069" s="55">
        <v>0</v>
      </c>
      <c r="J1069" s="55">
        <v>0</v>
      </c>
    </row>
    <row r="1070" spans="2:10">
      <c r="B1070" s="52" t="s">
        <v>169</v>
      </c>
      <c r="C1070" s="55">
        <v>0</v>
      </c>
      <c r="D1070" s="55">
        <v>0</v>
      </c>
      <c r="E1070" s="55">
        <v>0</v>
      </c>
      <c r="F1070" s="55">
        <v>0</v>
      </c>
      <c r="G1070" s="55">
        <v>0</v>
      </c>
      <c r="H1070" s="55">
        <v>0</v>
      </c>
      <c r="I1070" s="55">
        <v>0</v>
      </c>
      <c r="J1070" s="55">
        <v>0</v>
      </c>
    </row>
    <row r="1071" spans="2:10">
      <c r="B1071" s="52" t="s">
        <v>168</v>
      </c>
      <c r="C1071" s="55">
        <v>0</v>
      </c>
      <c r="D1071" s="55">
        <v>0</v>
      </c>
      <c r="E1071" s="55">
        <v>0</v>
      </c>
      <c r="F1071" s="55">
        <v>0</v>
      </c>
      <c r="G1071" s="55">
        <v>0</v>
      </c>
      <c r="H1071" s="55">
        <v>0</v>
      </c>
      <c r="I1071" s="55">
        <v>0</v>
      </c>
      <c r="J1071" s="55">
        <v>0</v>
      </c>
    </row>
    <row r="1072" spans="2:10">
      <c r="B1072" s="52" t="s">
        <v>167</v>
      </c>
      <c r="C1072" s="55">
        <v>0</v>
      </c>
      <c r="D1072" s="55">
        <v>0</v>
      </c>
      <c r="E1072" s="55">
        <v>0</v>
      </c>
      <c r="F1072" s="55">
        <v>0</v>
      </c>
      <c r="G1072" s="55">
        <v>0</v>
      </c>
      <c r="H1072" s="55">
        <v>0</v>
      </c>
      <c r="I1072" s="55">
        <v>0</v>
      </c>
      <c r="J1072" s="55">
        <v>0</v>
      </c>
    </row>
    <row r="1073" spans="2:10">
      <c r="B1073" s="52" t="s">
        <v>166</v>
      </c>
      <c r="C1073" s="55">
        <v>0</v>
      </c>
      <c r="D1073" s="55">
        <v>0</v>
      </c>
      <c r="E1073" s="55">
        <v>0</v>
      </c>
      <c r="F1073" s="55">
        <v>0</v>
      </c>
      <c r="G1073" s="55">
        <v>0</v>
      </c>
      <c r="H1073" s="55">
        <v>0</v>
      </c>
      <c r="I1073" s="55">
        <v>0</v>
      </c>
      <c r="J1073" s="55">
        <v>0</v>
      </c>
    </row>
    <row r="1074" spans="2:10">
      <c r="B1074" s="52" t="s">
        <v>165</v>
      </c>
      <c r="C1074" s="55">
        <v>0</v>
      </c>
      <c r="D1074" s="55">
        <v>0</v>
      </c>
      <c r="E1074" s="55">
        <v>0</v>
      </c>
      <c r="F1074" s="55">
        <v>0</v>
      </c>
      <c r="G1074" s="55">
        <v>0</v>
      </c>
      <c r="H1074" s="55">
        <v>0</v>
      </c>
      <c r="I1074" s="55">
        <v>0</v>
      </c>
      <c r="J1074" s="55">
        <v>0</v>
      </c>
    </row>
    <row r="1075" spans="2:10">
      <c r="B1075" s="52" t="s">
        <v>164</v>
      </c>
      <c r="C1075" s="55">
        <v>0</v>
      </c>
      <c r="D1075" s="55">
        <v>0</v>
      </c>
      <c r="E1075" s="55">
        <v>0</v>
      </c>
      <c r="F1075" s="55">
        <v>0</v>
      </c>
      <c r="G1075" s="55">
        <v>0</v>
      </c>
      <c r="H1075" s="55">
        <v>0</v>
      </c>
      <c r="I1075" s="55">
        <v>0</v>
      </c>
      <c r="J1075" s="55">
        <v>0</v>
      </c>
    </row>
    <row r="1076" spans="2:10">
      <c r="B1076" s="71"/>
      <c r="C1076" s="55"/>
      <c r="D1076" s="55"/>
      <c r="E1076" s="55"/>
      <c r="F1076" s="55"/>
      <c r="G1076" s="55"/>
      <c r="H1076" s="55"/>
      <c r="I1076" s="55"/>
      <c r="J1076" s="55"/>
    </row>
    <row r="1077" spans="2:10" ht="15">
      <c r="B1077" s="59" t="s">
        <v>951</v>
      </c>
      <c r="C1077" s="55"/>
      <c r="D1077" s="55"/>
      <c r="E1077" s="55"/>
      <c r="F1077" s="55"/>
      <c r="G1077" s="55"/>
      <c r="H1077" s="55"/>
      <c r="I1077" s="55"/>
      <c r="J1077" s="55"/>
    </row>
    <row r="1078" spans="2:10">
      <c r="B1078" s="71" t="s">
        <v>968</v>
      </c>
      <c r="C1078" s="55">
        <v>20157493.391963735</v>
      </c>
      <c r="D1078" s="55">
        <v>18048638.28240782</v>
      </c>
      <c r="E1078" s="55">
        <v>16915418.934792008</v>
      </c>
      <c r="F1078" s="55">
        <v>8202049.2402411727</v>
      </c>
      <c r="G1078" s="55">
        <v>26232403.923901744</v>
      </c>
      <c r="H1078" s="55">
        <v>35563849.991637319</v>
      </c>
      <c r="I1078" s="55">
        <v>38950301.346116565</v>
      </c>
      <c r="J1078" s="55">
        <v>33649002.090000436</v>
      </c>
    </row>
    <row r="1079" spans="2:10">
      <c r="B1079" s="71"/>
      <c r="C1079" s="55"/>
      <c r="D1079" s="55"/>
      <c r="E1079" s="55"/>
      <c r="F1079" s="55"/>
      <c r="G1079" s="55"/>
      <c r="H1079" s="55"/>
      <c r="I1079" s="55"/>
      <c r="J1079" s="55"/>
    </row>
    <row r="1080" spans="2:10">
      <c r="B1080" s="71" t="s">
        <v>190</v>
      </c>
      <c r="C1080" s="55">
        <v>0</v>
      </c>
      <c r="D1080" s="55">
        <v>0</v>
      </c>
      <c r="E1080" s="55">
        <v>0</v>
      </c>
      <c r="F1080" s="55">
        <v>350208.47025630373</v>
      </c>
      <c r="G1080" s="55">
        <v>807748.88122982648</v>
      </c>
      <c r="H1080" s="55">
        <v>1071582.3116494766</v>
      </c>
      <c r="I1080" s="55">
        <v>1420394.8177517545</v>
      </c>
      <c r="J1080" s="55">
        <v>1034188.1854053767</v>
      </c>
    </row>
    <row r="1081" spans="2:10">
      <c r="B1081" s="52" t="s">
        <v>121</v>
      </c>
      <c r="C1081" s="55">
        <v>0</v>
      </c>
      <c r="D1081" s="55">
        <v>0</v>
      </c>
      <c r="E1081" s="55">
        <v>0</v>
      </c>
      <c r="F1081" s="55">
        <v>0</v>
      </c>
      <c r="G1081" s="55">
        <v>186.4401772525849</v>
      </c>
      <c r="H1081" s="55">
        <v>1517.3148171612477</v>
      </c>
      <c r="I1081" s="55">
        <v>716.13536779246965</v>
      </c>
      <c r="J1081" s="55">
        <v>673.40666468974723</v>
      </c>
    </row>
    <row r="1082" spans="2:10">
      <c r="B1082" s="53" t="s">
        <v>120</v>
      </c>
      <c r="C1082" s="55">
        <v>0</v>
      </c>
      <c r="D1082" s="55">
        <v>0</v>
      </c>
      <c r="E1082" s="55">
        <v>0</v>
      </c>
      <c r="F1082" s="55">
        <v>0</v>
      </c>
      <c r="G1082" s="55">
        <v>0</v>
      </c>
      <c r="H1082" s="55">
        <v>0</v>
      </c>
      <c r="I1082" s="55">
        <v>0</v>
      </c>
      <c r="J1082" s="55">
        <v>0</v>
      </c>
    </row>
    <row r="1083" spans="2:10">
      <c r="B1083" s="53" t="s">
        <v>119</v>
      </c>
      <c r="C1083" s="55">
        <v>0</v>
      </c>
      <c r="D1083" s="55">
        <v>0</v>
      </c>
      <c r="E1083" s="55">
        <v>0</v>
      </c>
      <c r="F1083" s="55">
        <v>0</v>
      </c>
      <c r="G1083" s="55">
        <v>186.44007567427033</v>
      </c>
      <c r="H1083" s="55">
        <v>1517.3147634956022</v>
      </c>
      <c r="I1083" s="55">
        <v>716.13543036759859</v>
      </c>
      <c r="J1083" s="55">
        <v>673.40666468974723</v>
      </c>
    </row>
    <row r="1084" spans="2:10">
      <c r="B1084" s="53" t="s">
        <v>197</v>
      </c>
      <c r="C1084" s="55">
        <v>0</v>
      </c>
      <c r="D1084" s="55">
        <v>0</v>
      </c>
      <c r="E1084" s="55">
        <v>0</v>
      </c>
      <c r="F1084" s="55">
        <v>0</v>
      </c>
      <c r="G1084" s="55">
        <v>0</v>
      </c>
      <c r="H1084" s="55">
        <v>0</v>
      </c>
      <c r="I1084" s="55">
        <v>0</v>
      </c>
      <c r="J1084" s="55">
        <v>0</v>
      </c>
    </row>
    <row r="1085" spans="2:10">
      <c r="B1085" s="52" t="s">
        <v>118</v>
      </c>
      <c r="C1085" s="55">
        <v>0</v>
      </c>
      <c r="D1085" s="55">
        <v>0</v>
      </c>
      <c r="E1085" s="55">
        <v>0</v>
      </c>
      <c r="F1085" s="55">
        <v>350177.76447553007</v>
      </c>
      <c r="G1085" s="55">
        <v>807562.44105257397</v>
      </c>
      <c r="H1085" s="55">
        <v>1070064.9968323156</v>
      </c>
      <c r="I1085" s="55">
        <v>1419678.6823839622</v>
      </c>
      <c r="J1085" s="55">
        <v>1033514.7787406868</v>
      </c>
    </row>
    <row r="1086" spans="2:10">
      <c r="B1086" s="52" t="s">
        <v>117</v>
      </c>
      <c r="C1086" s="55">
        <v>0</v>
      </c>
      <c r="D1086" s="55">
        <v>0</v>
      </c>
      <c r="E1086" s="55">
        <v>0</v>
      </c>
      <c r="F1086" s="55">
        <v>30.705780773688335</v>
      </c>
      <c r="G1086" s="55">
        <v>0</v>
      </c>
      <c r="H1086" s="55">
        <v>0</v>
      </c>
      <c r="I1086" s="55">
        <v>0</v>
      </c>
      <c r="J1086" s="55">
        <v>0</v>
      </c>
    </row>
    <row r="1087" spans="2:10">
      <c r="B1087" s="52"/>
      <c r="C1087" s="55"/>
      <c r="D1087" s="55"/>
      <c r="E1087" s="55"/>
      <c r="F1087" s="55"/>
      <c r="G1087" s="55"/>
      <c r="H1087" s="55"/>
      <c r="I1087" s="55"/>
      <c r="J1087" s="55"/>
    </row>
    <row r="1088" spans="2:10">
      <c r="B1088" s="83" t="s">
        <v>187</v>
      </c>
      <c r="C1088" s="55">
        <v>0</v>
      </c>
      <c r="D1088" s="55">
        <v>0</v>
      </c>
      <c r="E1088" s="55">
        <v>0</v>
      </c>
      <c r="F1088" s="55">
        <v>102735.24162327332</v>
      </c>
      <c r="G1088" s="55">
        <v>202374.48623101646</v>
      </c>
      <c r="H1088" s="55">
        <v>239941.96475615166</v>
      </c>
      <c r="I1088" s="55">
        <v>237439.96025437204</v>
      </c>
      <c r="J1088" s="55">
        <v>233834.95722974648</v>
      </c>
    </row>
    <row r="1089" spans="2:10">
      <c r="B1089" s="81" t="s">
        <v>121</v>
      </c>
      <c r="C1089" s="55">
        <v>0</v>
      </c>
      <c r="D1089" s="55">
        <v>0</v>
      </c>
      <c r="E1089" s="55">
        <v>0</v>
      </c>
      <c r="F1089" s="55">
        <v>0</v>
      </c>
      <c r="G1089" s="55">
        <v>0</v>
      </c>
      <c r="H1089" s="55">
        <v>0</v>
      </c>
      <c r="I1089" s="55">
        <v>0</v>
      </c>
      <c r="J1089" s="55">
        <v>0</v>
      </c>
    </row>
    <row r="1090" spans="2:10">
      <c r="B1090" s="82" t="s">
        <v>120</v>
      </c>
      <c r="C1090" s="55">
        <v>0</v>
      </c>
      <c r="D1090" s="55">
        <v>0</v>
      </c>
      <c r="E1090" s="55">
        <v>0</v>
      </c>
      <c r="F1090" s="55">
        <v>0</v>
      </c>
      <c r="G1090" s="55">
        <v>0</v>
      </c>
      <c r="H1090" s="55">
        <v>0</v>
      </c>
      <c r="I1090" s="55">
        <v>0</v>
      </c>
      <c r="J1090" s="55">
        <v>0</v>
      </c>
    </row>
    <row r="1091" spans="2:10">
      <c r="B1091" s="82" t="s">
        <v>119</v>
      </c>
      <c r="C1091" s="55">
        <v>0</v>
      </c>
      <c r="D1091" s="55">
        <v>0</v>
      </c>
      <c r="E1091" s="55">
        <v>0</v>
      </c>
      <c r="F1091" s="55">
        <v>0</v>
      </c>
      <c r="G1091" s="55">
        <v>0</v>
      </c>
      <c r="H1091" s="55">
        <v>0</v>
      </c>
      <c r="I1091" s="55">
        <v>0</v>
      </c>
      <c r="J1091" s="55">
        <v>0</v>
      </c>
    </row>
    <row r="1092" spans="2:10">
      <c r="B1092" s="82" t="s">
        <v>172</v>
      </c>
      <c r="C1092" s="55">
        <v>0</v>
      </c>
      <c r="D1092" s="55">
        <v>0</v>
      </c>
      <c r="E1092" s="55">
        <v>0</v>
      </c>
      <c r="F1092" s="55">
        <v>0</v>
      </c>
      <c r="G1092" s="55">
        <v>0</v>
      </c>
      <c r="H1092" s="55">
        <v>0</v>
      </c>
      <c r="I1092" s="55">
        <v>0</v>
      </c>
      <c r="J1092" s="55">
        <v>0</v>
      </c>
    </row>
    <row r="1093" spans="2:10">
      <c r="B1093" s="81" t="s">
        <v>118</v>
      </c>
      <c r="C1093" s="55">
        <v>0</v>
      </c>
      <c r="D1093" s="55">
        <v>0</v>
      </c>
      <c r="E1093" s="55">
        <v>0</v>
      </c>
      <c r="F1093" s="55">
        <v>102735.24162327332</v>
      </c>
      <c r="G1093" s="55">
        <v>202374.4862957492</v>
      </c>
      <c r="H1093" s="55">
        <v>239941.96472466487</v>
      </c>
      <c r="I1093" s="55">
        <v>237439.96025437204</v>
      </c>
      <c r="J1093" s="55">
        <v>233834.95722974648</v>
      </c>
    </row>
    <row r="1094" spans="2:10">
      <c r="B1094" s="81" t="s">
        <v>117</v>
      </c>
      <c r="C1094" s="55">
        <v>0</v>
      </c>
      <c r="D1094" s="55">
        <v>0</v>
      </c>
      <c r="E1094" s="55">
        <v>0</v>
      </c>
      <c r="F1094" s="55">
        <v>0</v>
      </c>
      <c r="G1094" s="55">
        <v>0</v>
      </c>
      <c r="H1094" s="55">
        <v>0</v>
      </c>
      <c r="I1094" s="55">
        <v>0</v>
      </c>
      <c r="J1094" s="55">
        <v>0</v>
      </c>
    </row>
    <row r="1095" spans="2:10">
      <c r="B1095" s="81"/>
      <c r="C1095" s="55"/>
      <c r="D1095" s="55"/>
      <c r="E1095" s="55"/>
      <c r="F1095" s="55"/>
      <c r="G1095" s="55"/>
      <c r="H1095" s="55"/>
      <c r="I1095" s="55"/>
      <c r="J1095" s="55"/>
    </row>
    <row r="1096" spans="2:10">
      <c r="B1096" s="83" t="s">
        <v>173</v>
      </c>
      <c r="C1096" s="55">
        <v>0</v>
      </c>
      <c r="D1096" s="55">
        <v>0</v>
      </c>
      <c r="E1096" s="55">
        <v>0</v>
      </c>
      <c r="F1096" s="55">
        <v>247473.22863303041</v>
      </c>
      <c r="G1096" s="55">
        <v>605374.39499881002</v>
      </c>
      <c r="H1096" s="55">
        <v>831640.34689332498</v>
      </c>
      <c r="I1096" s="55">
        <v>1182954.8574973824</v>
      </c>
      <c r="J1096" s="55">
        <v>800353.22817563021</v>
      </c>
    </row>
    <row r="1097" spans="2:10">
      <c r="B1097" s="81" t="s">
        <v>121</v>
      </c>
      <c r="C1097" s="55">
        <v>0</v>
      </c>
      <c r="D1097" s="55">
        <v>0</v>
      </c>
      <c r="E1097" s="55">
        <v>0</v>
      </c>
      <c r="F1097" s="55">
        <v>0</v>
      </c>
      <c r="G1097" s="55">
        <v>186.44007567427033</v>
      </c>
      <c r="H1097" s="55">
        <v>1517.3147634956022</v>
      </c>
      <c r="I1097" s="55">
        <v>716.13543036759859</v>
      </c>
      <c r="J1097" s="55">
        <v>673.40666468974723</v>
      </c>
    </row>
    <row r="1098" spans="2:10">
      <c r="B1098" s="82" t="s">
        <v>120</v>
      </c>
      <c r="C1098" s="55">
        <v>0</v>
      </c>
      <c r="D1098" s="55">
        <v>0</v>
      </c>
      <c r="E1098" s="55">
        <v>0</v>
      </c>
      <c r="F1098" s="55">
        <v>0</v>
      </c>
      <c r="G1098" s="55">
        <v>0</v>
      </c>
      <c r="H1098" s="55">
        <v>0</v>
      </c>
      <c r="I1098" s="55">
        <v>0</v>
      </c>
      <c r="J1098" s="55">
        <v>0</v>
      </c>
    </row>
    <row r="1099" spans="2:10">
      <c r="B1099" s="82" t="s">
        <v>119</v>
      </c>
      <c r="C1099" s="55">
        <v>0</v>
      </c>
      <c r="D1099" s="55">
        <v>0</v>
      </c>
      <c r="E1099" s="55">
        <v>0</v>
      </c>
      <c r="F1099" s="55">
        <v>0</v>
      </c>
      <c r="G1099" s="55">
        <v>186.44007567427033</v>
      </c>
      <c r="H1099" s="55">
        <v>172.72436802159032</v>
      </c>
      <c r="I1099" s="55">
        <v>716.13543036759859</v>
      </c>
      <c r="J1099" s="55">
        <v>673.40666468974723</v>
      </c>
    </row>
    <row r="1100" spans="2:10">
      <c r="B1100" s="82" t="s">
        <v>197</v>
      </c>
      <c r="C1100" s="55">
        <v>0</v>
      </c>
      <c r="D1100" s="55">
        <v>0</v>
      </c>
      <c r="E1100" s="55">
        <v>0</v>
      </c>
      <c r="F1100" s="55">
        <v>0</v>
      </c>
      <c r="G1100" s="55">
        <v>0</v>
      </c>
      <c r="H1100" s="55">
        <v>0</v>
      </c>
      <c r="I1100" s="55">
        <v>0</v>
      </c>
      <c r="J1100" s="55">
        <v>0</v>
      </c>
    </row>
    <row r="1101" spans="2:10">
      <c r="B1101" s="81" t="s">
        <v>118</v>
      </c>
      <c r="C1101" s="55">
        <v>0</v>
      </c>
      <c r="D1101" s="55">
        <v>0</v>
      </c>
      <c r="E1101" s="55">
        <v>0</v>
      </c>
      <c r="F1101" s="55">
        <v>247442.52285225675</v>
      </c>
      <c r="G1101" s="55">
        <v>605187.95475682477</v>
      </c>
      <c r="H1101" s="55">
        <v>830123.03210765077</v>
      </c>
      <c r="I1101" s="55">
        <v>1182238.7221295901</v>
      </c>
      <c r="J1101" s="55">
        <v>799679.82151094032</v>
      </c>
    </row>
    <row r="1102" spans="2:10">
      <c r="B1102" s="81" t="s">
        <v>117</v>
      </c>
      <c r="C1102" s="55">
        <v>0</v>
      </c>
      <c r="D1102" s="55">
        <v>0</v>
      </c>
      <c r="E1102" s="55">
        <v>0</v>
      </c>
      <c r="F1102" s="55">
        <v>30.705780773688335</v>
      </c>
      <c r="G1102" s="55">
        <v>0</v>
      </c>
      <c r="H1102" s="55">
        <v>0</v>
      </c>
      <c r="I1102" s="55">
        <v>0</v>
      </c>
      <c r="J1102" s="55">
        <v>0</v>
      </c>
    </row>
    <row r="1103" spans="2:10">
      <c r="B1103" s="81"/>
      <c r="C1103" s="55"/>
      <c r="D1103" s="55"/>
      <c r="E1103" s="55"/>
      <c r="F1103" s="55"/>
      <c r="G1103" s="55"/>
      <c r="H1103" s="55"/>
      <c r="I1103" s="55"/>
      <c r="J1103" s="55"/>
    </row>
    <row r="1104" spans="2:10">
      <c r="B1104" s="71" t="s">
        <v>171</v>
      </c>
      <c r="C1104" s="55">
        <v>20061918.18791651</v>
      </c>
      <c r="D1104" s="55">
        <v>17952441.703347407</v>
      </c>
      <c r="E1104" s="55">
        <v>16797659.898050699</v>
      </c>
      <c r="F1104" s="55">
        <v>7817544.4571071872</v>
      </c>
      <c r="G1104" s="55">
        <v>25301792.165873405</v>
      </c>
      <c r="H1104" s="55">
        <v>34157295.999341123</v>
      </c>
      <c r="I1104" s="55">
        <v>37529906.528364807</v>
      </c>
      <c r="J1104" s="55">
        <v>32614813.904595062</v>
      </c>
    </row>
    <row r="1105" spans="2:10">
      <c r="B1105" s="52" t="s">
        <v>169</v>
      </c>
      <c r="C1105" s="55">
        <v>20012304.872454245</v>
      </c>
      <c r="D1105" s="55">
        <v>17897872.034485877</v>
      </c>
      <c r="E1105" s="55">
        <v>16763935.700183446</v>
      </c>
      <c r="F1105" s="55">
        <v>7801932.8914762717</v>
      </c>
      <c r="G1105" s="55">
        <v>25281393.651184417</v>
      </c>
      <c r="H1105" s="55">
        <v>34130438.052760951</v>
      </c>
      <c r="I1105" s="55">
        <v>37491745.957578816</v>
      </c>
      <c r="J1105" s="55">
        <v>32574075.627209075</v>
      </c>
    </row>
    <row r="1106" spans="2:10">
      <c r="B1106" s="52" t="s">
        <v>168</v>
      </c>
      <c r="C1106" s="55">
        <v>13381.6561888988</v>
      </c>
      <c r="D1106" s="55">
        <v>13569.367634408603</v>
      </c>
      <c r="E1106" s="55">
        <v>9977.9512726437588</v>
      </c>
      <c r="F1106" s="55">
        <v>7088.6338018073602</v>
      </c>
      <c r="G1106" s="55">
        <v>8698.0803107390984</v>
      </c>
      <c r="H1106" s="55">
        <v>12987.687590279011</v>
      </c>
      <c r="I1106" s="55">
        <v>16298.719803016789</v>
      </c>
      <c r="J1106" s="55">
        <v>6931.5221662095037</v>
      </c>
    </row>
    <row r="1107" spans="2:10">
      <c r="B1107" s="52" t="s">
        <v>167</v>
      </c>
      <c r="C1107" s="55">
        <v>10284.626133265385</v>
      </c>
      <c r="D1107" s="55">
        <v>26696.669517177346</v>
      </c>
      <c r="E1107" s="55">
        <v>9471.1153785203678</v>
      </c>
      <c r="F1107" s="55">
        <v>3040.8361050681265</v>
      </c>
      <c r="G1107" s="55">
        <v>94.032222769298087</v>
      </c>
      <c r="H1107" s="55">
        <v>161.75109601885404</v>
      </c>
      <c r="I1107" s="55">
        <v>563.14145565938964</v>
      </c>
      <c r="J1107" s="55">
        <v>4907.5520794721624</v>
      </c>
    </row>
    <row r="1108" spans="2:10">
      <c r="B1108" s="52" t="s">
        <v>166</v>
      </c>
      <c r="C1108" s="55">
        <v>25782.654565337412</v>
      </c>
      <c r="D1108" s="55">
        <v>14238.07102405128</v>
      </c>
      <c r="E1108" s="55">
        <v>14210.359742485574</v>
      </c>
      <c r="F1108" s="55">
        <v>5453.1734891151127</v>
      </c>
      <c r="G1108" s="55">
        <v>11520.34246950052</v>
      </c>
      <c r="H1108" s="55">
        <v>13558.723803248778</v>
      </c>
      <c r="I1108" s="55">
        <v>21088.376051805033</v>
      </c>
      <c r="J1108" s="55">
        <v>28636.341178712155</v>
      </c>
    </row>
    <row r="1109" spans="2:10">
      <c r="B1109" s="52" t="s">
        <v>165</v>
      </c>
      <c r="C1109" s="55">
        <v>153.35841848218459</v>
      </c>
      <c r="D1109" s="55">
        <v>65.56068589570792</v>
      </c>
      <c r="E1109" s="55">
        <v>64.771473602618215</v>
      </c>
      <c r="F1109" s="55">
        <v>28.92223492560689</v>
      </c>
      <c r="G1109" s="55">
        <v>86.059685978445216</v>
      </c>
      <c r="H1109" s="55">
        <v>149.78409062111959</v>
      </c>
      <c r="I1109" s="55">
        <v>210.33347551281554</v>
      </c>
      <c r="J1109" s="55">
        <v>262.86196159833941</v>
      </c>
    </row>
    <row r="1110" spans="2:10">
      <c r="B1110" s="52" t="s">
        <v>164</v>
      </c>
      <c r="C1110" s="55">
        <v>11.020156283178325</v>
      </c>
      <c r="D1110" s="55">
        <v>0</v>
      </c>
      <c r="E1110" s="55">
        <v>0</v>
      </c>
      <c r="F1110" s="55">
        <v>0</v>
      </c>
      <c r="G1110" s="55">
        <v>0</v>
      </c>
      <c r="H1110" s="55">
        <v>0</v>
      </c>
      <c r="I1110" s="55">
        <v>0</v>
      </c>
      <c r="J1110" s="55">
        <v>0</v>
      </c>
    </row>
    <row r="1111" spans="2:10">
      <c r="B1111" s="52"/>
      <c r="C1111" s="55"/>
      <c r="D1111" s="55"/>
      <c r="E1111" s="55"/>
      <c r="F1111" s="55"/>
      <c r="G1111" s="55"/>
      <c r="H1111" s="55"/>
      <c r="I1111" s="55"/>
      <c r="J1111" s="55"/>
    </row>
    <row r="1112" spans="2:10">
      <c r="B1112" s="80" t="s">
        <v>170</v>
      </c>
      <c r="C1112" s="55">
        <v>95575.204047224703</v>
      </c>
      <c r="D1112" s="55">
        <v>96196.57906041274</v>
      </c>
      <c r="E1112" s="55">
        <v>117759.03674130853</v>
      </c>
      <c r="F1112" s="55">
        <v>34296.312877682067</v>
      </c>
      <c r="G1112" s="55">
        <v>122862.87672742204</v>
      </c>
      <c r="H1112" s="55">
        <v>334971.68061801512</v>
      </c>
      <c r="I1112" s="55">
        <v>0</v>
      </c>
      <c r="J1112" s="55">
        <v>0</v>
      </c>
    </row>
    <row r="1113" spans="2:10">
      <c r="B1113" s="52" t="s">
        <v>169</v>
      </c>
      <c r="C1113" s="55">
        <v>0</v>
      </c>
      <c r="D1113" s="55">
        <v>0</v>
      </c>
      <c r="E1113" s="55">
        <v>0</v>
      </c>
      <c r="F1113" s="55">
        <v>0</v>
      </c>
      <c r="G1113" s="55">
        <v>0</v>
      </c>
      <c r="H1113" s="55">
        <v>0</v>
      </c>
      <c r="I1113" s="55">
        <v>0</v>
      </c>
      <c r="J1113" s="55">
        <v>0</v>
      </c>
    </row>
    <row r="1114" spans="2:10">
      <c r="B1114" s="52" t="s">
        <v>168</v>
      </c>
      <c r="C1114" s="55">
        <v>44269.241603176626</v>
      </c>
      <c r="D1114" s="55">
        <v>34858.601272950553</v>
      </c>
      <c r="E1114" s="55">
        <v>99620.699608704381</v>
      </c>
      <c r="F1114" s="55">
        <v>32292.56830007831</v>
      </c>
      <c r="G1114" s="55">
        <v>115981.43153380095</v>
      </c>
      <c r="H1114" s="55">
        <v>325361.60484171187</v>
      </c>
      <c r="I1114" s="55">
        <v>0</v>
      </c>
      <c r="J1114" s="55">
        <v>0</v>
      </c>
    </row>
    <row r="1115" spans="2:10">
      <c r="B1115" s="52" t="s">
        <v>167</v>
      </c>
      <c r="C1115" s="55">
        <v>51305.962444048077</v>
      </c>
      <c r="D1115" s="55">
        <v>61337.977787462194</v>
      </c>
      <c r="E1115" s="55">
        <v>18138.337132604142</v>
      </c>
      <c r="F1115" s="55">
        <v>2003.7445776037591</v>
      </c>
      <c r="G1115" s="55">
        <v>6881.4451936210944</v>
      </c>
      <c r="H1115" s="55">
        <v>9610.0757763031834</v>
      </c>
      <c r="I1115" s="55">
        <v>0</v>
      </c>
      <c r="J1115" s="55">
        <v>0</v>
      </c>
    </row>
    <row r="1116" spans="2:10">
      <c r="B1116" s="52" t="s">
        <v>166</v>
      </c>
      <c r="C1116" s="55">
        <v>0</v>
      </c>
      <c r="D1116" s="55">
        <v>0</v>
      </c>
      <c r="E1116" s="55">
        <v>0</v>
      </c>
      <c r="F1116" s="55">
        <v>0</v>
      </c>
      <c r="G1116" s="55">
        <v>0</v>
      </c>
      <c r="H1116" s="55">
        <v>0</v>
      </c>
      <c r="I1116" s="55">
        <v>0</v>
      </c>
      <c r="J1116" s="55">
        <v>0</v>
      </c>
    </row>
    <row r="1117" spans="2:10">
      <c r="B1117" s="52" t="s">
        <v>165</v>
      </c>
      <c r="C1117" s="55">
        <v>0</v>
      </c>
      <c r="D1117" s="55">
        <v>0</v>
      </c>
      <c r="E1117" s="55">
        <v>0</v>
      </c>
      <c r="F1117" s="55">
        <v>0</v>
      </c>
      <c r="G1117" s="55">
        <v>0</v>
      </c>
      <c r="H1117" s="55">
        <v>0</v>
      </c>
      <c r="I1117" s="55">
        <v>0</v>
      </c>
      <c r="J1117" s="55">
        <v>0</v>
      </c>
    </row>
    <row r="1118" spans="2:10">
      <c r="B1118" s="52" t="s">
        <v>164</v>
      </c>
      <c r="C1118" s="55">
        <v>0</v>
      </c>
      <c r="D1118" s="55">
        <v>0</v>
      </c>
      <c r="E1118" s="55">
        <v>0</v>
      </c>
      <c r="F1118" s="55">
        <v>0</v>
      </c>
      <c r="G1118" s="55">
        <v>0</v>
      </c>
      <c r="H1118" s="55">
        <v>0</v>
      </c>
      <c r="I1118" s="55">
        <v>0</v>
      </c>
      <c r="J1118" s="55">
        <v>0</v>
      </c>
    </row>
    <row r="1119" spans="2:10">
      <c r="B1119" s="52"/>
      <c r="C1119" s="55"/>
      <c r="D1119" s="55"/>
      <c r="E1119" s="55"/>
      <c r="F1119" s="55"/>
      <c r="G1119" s="55"/>
      <c r="H1119" s="55"/>
      <c r="I1119" s="55"/>
      <c r="J1119" s="55"/>
    </row>
    <row r="1120" spans="2:10">
      <c r="B1120" s="59" t="s">
        <v>965</v>
      </c>
      <c r="C1120" s="55"/>
      <c r="D1120" s="55"/>
      <c r="E1120" s="55"/>
      <c r="F1120" s="55"/>
      <c r="G1120" s="55"/>
      <c r="H1120" s="55"/>
      <c r="I1120" s="55"/>
      <c r="J1120" s="55"/>
    </row>
    <row r="1121" spans="2:10">
      <c r="B1121" s="71" t="s">
        <v>186</v>
      </c>
      <c r="C1121" s="55">
        <v>8.4936509958805804</v>
      </c>
      <c r="D1121" s="55">
        <v>0</v>
      </c>
      <c r="E1121" s="55">
        <v>0</v>
      </c>
      <c r="F1121" s="55">
        <v>0</v>
      </c>
      <c r="G1121" s="55">
        <v>0</v>
      </c>
      <c r="H1121" s="55">
        <v>0</v>
      </c>
      <c r="I1121" s="55">
        <v>0</v>
      </c>
      <c r="J1121" s="55">
        <v>0</v>
      </c>
    </row>
    <row r="1122" spans="2:10">
      <c r="B1122" s="71"/>
      <c r="C1122" s="55">
        <v>0</v>
      </c>
      <c r="D1122" s="55">
        <v>0</v>
      </c>
      <c r="E1122" s="55">
        <v>0</v>
      </c>
      <c r="F1122" s="55">
        <v>0</v>
      </c>
      <c r="G1122" s="55">
        <v>0</v>
      </c>
      <c r="H1122" s="55">
        <v>0</v>
      </c>
      <c r="I1122" s="55">
        <v>0</v>
      </c>
      <c r="J1122" s="55">
        <v>0</v>
      </c>
    </row>
    <row r="1123" spans="2:10">
      <c r="B1123" s="71" t="s">
        <v>190</v>
      </c>
      <c r="C1123" s="55">
        <v>8.4936509958805804</v>
      </c>
      <c r="D1123" s="55">
        <v>0</v>
      </c>
      <c r="E1123" s="55">
        <v>0</v>
      </c>
      <c r="F1123" s="55">
        <v>0</v>
      </c>
      <c r="G1123" s="55">
        <v>0</v>
      </c>
      <c r="H1123" s="55">
        <v>0</v>
      </c>
      <c r="I1123" s="55">
        <v>0</v>
      </c>
      <c r="J1123" s="55">
        <v>0</v>
      </c>
    </row>
    <row r="1124" spans="2:10">
      <c r="B1124" s="52" t="s">
        <v>121</v>
      </c>
      <c r="C1124" s="55">
        <v>8.4936509958805804</v>
      </c>
      <c r="D1124" s="55">
        <v>0</v>
      </c>
      <c r="E1124" s="55">
        <v>0</v>
      </c>
      <c r="F1124" s="55">
        <v>0</v>
      </c>
      <c r="G1124" s="55">
        <v>0</v>
      </c>
      <c r="H1124" s="55">
        <v>0</v>
      </c>
      <c r="I1124" s="55">
        <v>0</v>
      </c>
      <c r="J1124" s="55">
        <v>0</v>
      </c>
    </row>
    <row r="1125" spans="2:10">
      <c r="B1125" s="53" t="s">
        <v>120</v>
      </c>
      <c r="C1125" s="55">
        <v>0</v>
      </c>
      <c r="D1125" s="55">
        <v>0</v>
      </c>
      <c r="E1125" s="55">
        <v>0</v>
      </c>
      <c r="F1125" s="55">
        <v>0</v>
      </c>
      <c r="G1125" s="55">
        <v>0</v>
      </c>
      <c r="H1125" s="55">
        <v>0</v>
      </c>
      <c r="I1125" s="55">
        <v>0</v>
      </c>
      <c r="J1125" s="55">
        <v>0</v>
      </c>
    </row>
    <row r="1126" spans="2:10">
      <c r="B1126" s="53" t="s">
        <v>119</v>
      </c>
      <c r="C1126" s="55">
        <v>0</v>
      </c>
      <c r="D1126" s="55">
        <v>0</v>
      </c>
      <c r="E1126" s="55">
        <v>0</v>
      </c>
      <c r="F1126" s="55">
        <v>0</v>
      </c>
      <c r="G1126" s="55">
        <v>0</v>
      </c>
      <c r="H1126" s="55">
        <v>0</v>
      </c>
      <c r="I1126" s="55">
        <v>0</v>
      </c>
      <c r="J1126" s="55">
        <v>0</v>
      </c>
    </row>
    <row r="1127" spans="2:10">
      <c r="B1127" s="53" t="s">
        <v>197</v>
      </c>
      <c r="C1127" s="55">
        <v>8.4936509958805804</v>
      </c>
      <c r="D1127" s="55">
        <v>0</v>
      </c>
      <c r="E1127" s="55">
        <v>0</v>
      </c>
      <c r="F1127" s="55">
        <v>0</v>
      </c>
      <c r="G1127" s="55">
        <v>0</v>
      </c>
      <c r="H1127" s="55">
        <v>0</v>
      </c>
      <c r="I1127" s="55">
        <v>0</v>
      </c>
      <c r="J1127" s="55">
        <v>0</v>
      </c>
    </row>
    <row r="1128" spans="2:10">
      <c r="B1128" s="52" t="s">
        <v>118</v>
      </c>
      <c r="C1128" s="55">
        <v>0</v>
      </c>
      <c r="D1128" s="55">
        <v>0</v>
      </c>
      <c r="E1128" s="55">
        <v>0</v>
      </c>
      <c r="F1128" s="55">
        <v>0</v>
      </c>
      <c r="G1128" s="55">
        <v>0</v>
      </c>
      <c r="H1128" s="55">
        <v>0</v>
      </c>
      <c r="I1128" s="55">
        <v>0</v>
      </c>
      <c r="J1128" s="55">
        <v>0</v>
      </c>
    </row>
    <row r="1129" spans="2:10">
      <c r="B1129" s="52" t="s">
        <v>117</v>
      </c>
      <c r="C1129" s="55">
        <v>0</v>
      </c>
      <c r="D1129" s="55">
        <v>0</v>
      </c>
      <c r="E1129" s="55">
        <v>0</v>
      </c>
      <c r="F1129" s="55">
        <v>0</v>
      </c>
      <c r="G1129" s="55">
        <v>0</v>
      </c>
      <c r="H1129" s="55">
        <v>0</v>
      </c>
      <c r="I1129" s="55">
        <v>0</v>
      </c>
      <c r="J1129" s="55">
        <v>0</v>
      </c>
    </row>
    <row r="1130" spans="2:10">
      <c r="B1130" s="52"/>
      <c r="C1130" s="55"/>
      <c r="D1130" s="55"/>
      <c r="E1130" s="55"/>
      <c r="F1130" s="55"/>
      <c r="G1130" s="55"/>
      <c r="H1130" s="55"/>
      <c r="I1130" s="55"/>
      <c r="J1130" s="55"/>
    </row>
    <row r="1131" spans="2:10">
      <c r="B1131" s="83" t="s">
        <v>187</v>
      </c>
      <c r="C1131" s="55">
        <v>8.4936509958805804</v>
      </c>
      <c r="D1131" s="55">
        <v>0</v>
      </c>
      <c r="E1131" s="55">
        <v>0</v>
      </c>
      <c r="F1131" s="55">
        <v>0</v>
      </c>
      <c r="G1131" s="55">
        <v>0</v>
      </c>
      <c r="H1131" s="55">
        <v>0</v>
      </c>
      <c r="I1131" s="55">
        <v>0</v>
      </c>
      <c r="J1131" s="55">
        <v>0</v>
      </c>
    </row>
    <row r="1132" spans="2:10">
      <c r="B1132" s="81" t="s">
        <v>121</v>
      </c>
      <c r="C1132" s="55">
        <v>8.4936509958805804</v>
      </c>
      <c r="D1132" s="55">
        <v>0</v>
      </c>
      <c r="E1132" s="55">
        <v>0</v>
      </c>
      <c r="F1132" s="55">
        <v>0</v>
      </c>
      <c r="G1132" s="55">
        <v>0</v>
      </c>
      <c r="H1132" s="55">
        <v>0</v>
      </c>
      <c r="I1132" s="55">
        <v>0</v>
      </c>
      <c r="J1132" s="55">
        <v>0</v>
      </c>
    </row>
    <row r="1133" spans="2:10">
      <c r="B1133" s="82" t="s">
        <v>120</v>
      </c>
      <c r="C1133" s="55">
        <v>0</v>
      </c>
      <c r="D1133" s="55">
        <v>0</v>
      </c>
      <c r="E1133" s="55">
        <v>0</v>
      </c>
      <c r="F1133" s="55">
        <v>0</v>
      </c>
      <c r="G1133" s="55">
        <v>0</v>
      </c>
      <c r="H1133" s="55">
        <v>0</v>
      </c>
      <c r="I1133" s="55">
        <v>0</v>
      </c>
      <c r="J1133" s="55">
        <v>0</v>
      </c>
    </row>
    <row r="1134" spans="2:10">
      <c r="B1134" s="82" t="s">
        <v>119</v>
      </c>
      <c r="C1134" s="55">
        <v>0</v>
      </c>
      <c r="D1134" s="55">
        <v>0</v>
      </c>
      <c r="E1134" s="55">
        <v>0</v>
      </c>
      <c r="F1134" s="55">
        <v>0</v>
      </c>
      <c r="G1134" s="55">
        <v>0</v>
      </c>
      <c r="H1134" s="55">
        <v>0</v>
      </c>
      <c r="I1134" s="55">
        <v>0</v>
      </c>
      <c r="J1134" s="55">
        <v>0</v>
      </c>
    </row>
    <row r="1135" spans="2:10">
      <c r="B1135" s="82" t="s">
        <v>172</v>
      </c>
      <c r="C1135" s="55">
        <v>8.4936509958805804</v>
      </c>
      <c r="D1135" s="55">
        <v>0</v>
      </c>
      <c r="E1135" s="55">
        <v>0</v>
      </c>
      <c r="F1135" s="55">
        <v>0</v>
      </c>
      <c r="G1135" s="55">
        <v>0</v>
      </c>
      <c r="H1135" s="55">
        <v>0</v>
      </c>
      <c r="I1135" s="55">
        <v>0</v>
      </c>
      <c r="J1135" s="55">
        <v>0</v>
      </c>
    </row>
    <row r="1136" spans="2:10">
      <c r="B1136" s="81" t="s">
        <v>118</v>
      </c>
      <c r="C1136" s="55">
        <v>0</v>
      </c>
      <c r="D1136" s="55">
        <v>0</v>
      </c>
      <c r="E1136" s="55">
        <v>0</v>
      </c>
      <c r="F1136" s="55">
        <v>0</v>
      </c>
      <c r="G1136" s="55">
        <v>0</v>
      </c>
      <c r="H1136" s="55">
        <v>0</v>
      </c>
      <c r="I1136" s="55">
        <v>0</v>
      </c>
      <c r="J1136" s="55">
        <v>0</v>
      </c>
    </row>
    <row r="1137" spans="2:10">
      <c r="B1137" s="81" t="s">
        <v>117</v>
      </c>
      <c r="C1137" s="55">
        <v>0</v>
      </c>
      <c r="D1137" s="55">
        <v>0</v>
      </c>
      <c r="E1137" s="55">
        <v>0</v>
      </c>
      <c r="F1137" s="55">
        <v>0</v>
      </c>
      <c r="G1137" s="55">
        <v>0</v>
      </c>
      <c r="H1137" s="55">
        <v>0</v>
      </c>
      <c r="I1137" s="55">
        <v>0</v>
      </c>
      <c r="J1137" s="55">
        <v>0</v>
      </c>
    </row>
    <row r="1138" spans="2:10">
      <c r="B1138" s="81"/>
      <c r="C1138" s="55"/>
      <c r="D1138" s="55"/>
      <c r="E1138" s="55"/>
      <c r="F1138" s="55"/>
      <c r="G1138" s="55"/>
      <c r="H1138" s="55"/>
      <c r="I1138" s="55"/>
      <c r="J1138" s="55"/>
    </row>
    <row r="1139" spans="2:10">
      <c r="B1139" s="83" t="s">
        <v>173</v>
      </c>
      <c r="C1139" s="55">
        <v>0</v>
      </c>
      <c r="D1139" s="55">
        <v>0</v>
      </c>
      <c r="E1139" s="55">
        <v>0</v>
      </c>
      <c r="F1139" s="55">
        <v>0</v>
      </c>
      <c r="G1139" s="55">
        <v>0</v>
      </c>
      <c r="H1139" s="55">
        <v>0</v>
      </c>
      <c r="I1139" s="55">
        <v>0</v>
      </c>
      <c r="J1139" s="55">
        <v>0</v>
      </c>
    </row>
    <row r="1140" spans="2:10">
      <c r="B1140" s="81" t="s">
        <v>121</v>
      </c>
      <c r="C1140" s="55">
        <v>0</v>
      </c>
      <c r="D1140" s="55">
        <v>0</v>
      </c>
      <c r="E1140" s="55">
        <v>0</v>
      </c>
      <c r="F1140" s="55">
        <v>0</v>
      </c>
      <c r="G1140" s="55">
        <v>0</v>
      </c>
      <c r="H1140" s="55">
        <v>0</v>
      </c>
      <c r="I1140" s="55">
        <v>0</v>
      </c>
      <c r="J1140" s="55">
        <v>0</v>
      </c>
    </row>
    <row r="1141" spans="2:10">
      <c r="B1141" s="82" t="s">
        <v>120</v>
      </c>
      <c r="C1141" s="55">
        <v>0</v>
      </c>
      <c r="D1141" s="55">
        <v>0</v>
      </c>
      <c r="E1141" s="55">
        <v>0</v>
      </c>
      <c r="F1141" s="55">
        <v>0</v>
      </c>
      <c r="G1141" s="55">
        <v>0</v>
      </c>
      <c r="H1141" s="55">
        <v>0</v>
      </c>
      <c r="I1141" s="55">
        <v>0</v>
      </c>
      <c r="J1141" s="55">
        <v>0</v>
      </c>
    </row>
    <row r="1142" spans="2:10">
      <c r="B1142" s="82" t="s">
        <v>119</v>
      </c>
      <c r="C1142" s="55">
        <v>0</v>
      </c>
      <c r="D1142" s="55">
        <v>0</v>
      </c>
      <c r="E1142" s="55">
        <v>0</v>
      </c>
      <c r="F1142" s="55">
        <v>0</v>
      </c>
      <c r="G1142" s="55">
        <v>0</v>
      </c>
      <c r="H1142" s="55">
        <v>0</v>
      </c>
      <c r="I1142" s="55">
        <v>0</v>
      </c>
      <c r="J1142" s="55">
        <v>0</v>
      </c>
    </row>
    <row r="1143" spans="2:10">
      <c r="B1143" s="82" t="s">
        <v>197</v>
      </c>
      <c r="C1143" s="55">
        <v>0</v>
      </c>
      <c r="D1143" s="55">
        <v>0</v>
      </c>
      <c r="E1143" s="55">
        <v>0</v>
      </c>
      <c r="F1143" s="55">
        <v>0</v>
      </c>
      <c r="G1143" s="55">
        <v>0</v>
      </c>
      <c r="H1143" s="55">
        <v>0</v>
      </c>
      <c r="I1143" s="55">
        <v>0</v>
      </c>
      <c r="J1143" s="55">
        <v>0</v>
      </c>
    </row>
    <row r="1144" spans="2:10">
      <c r="B1144" s="81" t="s">
        <v>118</v>
      </c>
      <c r="C1144" s="55">
        <v>0</v>
      </c>
      <c r="D1144" s="55">
        <v>0</v>
      </c>
      <c r="E1144" s="55">
        <v>0</v>
      </c>
      <c r="F1144" s="55">
        <v>0</v>
      </c>
      <c r="G1144" s="55">
        <v>0</v>
      </c>
      <c r="H1144" s="55">
        <v>0</v>
      </c>
      <c r="I1144" s="55">
        <v>0</v>
      </c>
      <c r="J1144" s="55">
        <v>0</v>
      </c>
    </row>
    <row r="1145" spans="2:10">
      <c r="B1145" s="81" t="s">
        <v>117</v>
      </c>
      <c r="C1145" s="55">
        <v>0</v>
      </c>
      <c r="D1145" s="55">
        <v>0</v>
      </c>
      <c r="E1145" s="55">
        <v>0</v>
      </c>
      <c r="F1145" s="55">
        <v>0</v>
      </c>
      <c r="G1145" s="55">
        <v>0</v>
      </c>
      <c r="H1145" s="55">
        <v>0</v>
      </c>
      <c r="I1145" s="55">
        <v>0</v>
      </c>
      <c r="J1145" s="55">
        <v>0</v>
      </c>
    </row>
    <row r="1146" spans="2:10">
      <c r="B1146" s="81"/>
      <c r="C1146" s="55"/>
      <c r="D1146" s="55"/>
      <c r="E1146" s="55"/>
      <c r="F1146" s="55"/>
      <c r="G1146" s="55"/>
      <c r="H1146" s="55"/>
      <c r="I1146" s="55"/>
      <c r="J1146" s="55"/>
    </row>
    <row r="1147" spans="2:10">
      <c r="B1147" s="71" t="s">
        <v>171</v>
      </c>
      <c r="C1147" s="55">
        <v>0</v>
      </c>
      <c r="D1147" s="55">
        <v>0</v>
      </c>
      <c r="E1147" s="55">
        <v>0</v>
      </c>
      <c r="F1147" s="55">
        <v>0</v>
      </c>
      <c r="G1147" s="55">
        <v>0</v>
      </c>
      <c r="H1147" s="55">
        <v>0</v>
      </c>
      <c r="I1147" s="55">
        <v>0</v>
      </c>
      <c r="J1147" s="55">
        <v>0</v>
      </c>
    </row>
    <row r="1148" spans="2:10">
      <c r="B1148" s="52" t="s">
        <v>169</v>
      </c>
      <c r="C1148" s="55">
        <v>0</v>
      </c>
      <c r="D1148" s="55">
        <v>0</v>
      </c>
      <c r="E1148" s="55">
        <v>0</v>
      </c>
      <c r="F1148" s="55">
        <v>0</v>
      </c>
      <c r="G1148" s="55">
        <v>0</v>
      </c>
      <c r="H1148" s="55">
        <v>0</v>
      </c>
      <c r="I1148" s="55">
        <v>0</v>
      </c>
      <c r="J1148" s="55">
        <v>0</v>
      </c>
    </row>
    <row r="1149" spans="2:10">
      <c r="B1149" s="52" t="s">
        <v>168</v>
      </c>
      <c r="C1149" s="55">
        <v>0</v>
      </c>
      <c r="D1149" s="55">
        <v>0</v>
      </c>
      <c r="E1149" s="55">
        <v>0</v>
      </c>
      <c r="F1149" s="55">
        <v>0</v>
      </c>
      <c r="G1149" s="55">
        <v>0</v>
      </c>
      <c r="H1149" s="55">
        <v>0</v>
      </c>
      <c r="I1149" s="55">
        <v>0</v>
      </c>
      <c r="J1149" s="55">
        <v>0</v>
      </c>
    </row>
    <row r="1150" spans="2:10">
      <c r="B1150" s="52" t="s">
        <v>167</v>
      </c>
      <c r="C1150" s="55">
        <v>0</v>
      </c>
      <c r="D1150" s="55">
        <v>0</v>
      </c>
      <c r="E1150" s="55">
        <v>0</v>
      </c>
      <c r="F1150" s="55">
        <v>0</v>
      </c>
      <c r="G1150" s="55">
        <v>0</v>
      </c>
      <c r="H1150" s="55">
        <v>0</v>
      </c>
      <c r="I1150" s="55">
        <v>0</v>
      </c>
      <c r="J1150" s="55">
        <v>0</v>
      </c>
    </row>
    <row r="1151" spans="2:10">
      <c r="B1151" s="52" t="s">
        <v>166</v>
      </c>
      <c r="C1151" s="55">
        <v>0</v>
      </c>
      <c r="D1151" s="55">
        <v>0</v>
      </c>
      <c r="E1151" s="55">
        <v>0</v>
      </c>
      <c r="F1151" s="55">
        <v>0</v>
      </c>
      <c r="G1151" s="55">
        <v>0</v>
      </c>
      <c r="H1151" s="55">
        <v>0</v>
      </c>
      <c r="I1151" s="55">
        <v>0</v>
      </c>
      <c r="J1151" s="55">
        <v>0</v>
      </c>
    </row>
    <row r="1152" spans="2:10">
      <c r="B1152" s="52" t="s">
        <v>165</v>
      </c>
      <c r="C1152" s="55">
        <v>0</v>
      </c>
      <c r="D1152" s="55">
        <v>0</v>
      </c>
      <c r="E1152" s="55">
        <v>0</v>
      </c>
      <c r="F1152" s="55">
        <v>0</v>
      </c>
      <c r="G1152" s="55">
        <v>0</v>
      </c>
      <c r="H1152" s="55">
        <v>0</v>
      </c>
      <c r="I1152" s="55">
        <v>0</v>
      </c>
      <c r="J1152" s="55">
        <v>0</v>
      </c>
    </row>
    <row r="1153" spans="2:10">
      <c r="B1153" s="52" t="s">
        <v>164</v>
      </c>
      <c r="C1153" s="55">
        <v>0</v>
      </c>
      <c r="D1153" s="55">
        <v>0</v>
      </c>
      <c r="E1153" s="55">
        <v>0</v>
      </c>
      <c r="F1153" s="55">
        <v>0</v>
      </c>
      <c r="G1153" s="55">
        <v>0</v>
      </c>
      <c r="H1153" s="55">
        <v>0</v>
      </c>
      <c r="I1153" s="55">
        <v>0</v>
      </c>
      <c r="J1153" s="55">
        <v>0</v>
      </c>
    </row>
    <row r="1154" spans="2:10">
      <c r="B1154" s="52"/>
      <c r="C1154" s="55"/>
      <c r="D1154" s="55"/>
      <c r="E1154" s="55"/>
      <c r="F1154" s="55"/>
      <c r="G1154" s="55"/>
      <c r="H1154" s="55"/>
      <c r="I1154" s="55"/>
      <c r="J1154" s="55"/>
    </row>
    <row r="1155" spans="2:10">
      <c r="B1155" s="80" t="s">
        <v>170</v>
      </c>
      <c r="C1155" s="55">
        <v>0</v>
      </c>
      <c r="D1155" s="55">
        <v>0</v>
      </c>
      <c r="E1155" s="55">
        <v>0</v>
      </c>
      <c r="F1155" s="55">
        <v>0</v>
      </c>
      <c r="G1155" s="55">
        <v>0</v>
      </c>
      <c r="H1155" s="55">
        <v>0</v>
      </c>
      <c r="I1155" s="55">
        <v>0</v>
      </c>
      <c r="J1155" s="55">
        <v>0</v>
      </c>
    </row>
    <row r="1156" spans="2:10">
      <c r="B1156" s="52" t="s">
        <v>169</v>
      </c>
      <c r="C1156" s="55">
        <v>0</v>
      </c>
      <c r="D1156" s="55">
        <v>0</v>
      </c>
      <c r="E1156" s="55">
        <v>0</v>
      </c>
      <c r="F1156" s="55">
        <v>0</v>
      </c>
      <c r="G1156" s="55">
        <v>0</v>
      </c>
      <c r="H1156" s="55">
        <v>0</v>
      </c>
      <c r="I1156" s="55">
        <v>0</v>
      </c>
      <c r="J1156" s="55">
        <v>0</v>
      </c>
    </row>
    <row r="1157" spans="2:10">
      <c r="B1157" s="52" t="s">
        <v>168</v>
      </c>
      <c r="C1157" s="55">
        <v>0</v>
      </c>
      <c r="D1157" s="55">
        <v>0</v>
      </c>
      <c r="E1157" s="55">
        <v>0</v>
      </c>
      <c r="F1157" s="55">
        <v>0</v>
      </c>
      <c r="G1157" s="55">
        <v>0</v>
      </c>
      <c r="H1157" s="55">
        <v>0</v>
      </c>
      <c r="I1157" s="55">
        <v>0</v>
      </c>
      <c r="J1157" s="55">
        <v>0</v>
      </c>
    </row>
    <row r="1158" spans="2:10">
      <c r="B1158" s="52" t="s">
        <v>167</v>
      </c>
      <c r="C1158" s="55">
        <v>0</v>
      </c>
      <c r="D1158" s="55">
        <v>0</v>
      </c>
      <c r="E1158" s="55">
        <v>0</v>
      </c>
      <c r="F1158" s="55">
        <v>0</v>
      </c>
      <c r="G1158" s="55">
        <v>0</v>
      </c>
      <c r="H1158" s="55">
        <v>0</v>
      </c>
      <c r="I1158" s="55">
        <v>0</v>
      </c>
      <c r="J1158" s="55">
        <v>0</v>
      </c>
    </row>
    <row r="1159" spans="2:10">
      <c r="B1159" s="52" t="s">
        <v>166</v>
      </c>
      <c r="C1159" s="55">
        <v>0</v>
      </c>
      <c r="D1159" s="55">
        <v>0</v>
      </c>
      <c r="E1159" s="55">
        <v>0</v>
      </c>
      <c r="F1159" s="55">
        <v>0</v>
      </c>
      <c r="G1159" s="55">
        <v>0</v>
      </c>
      <c r="H1159" s="55">
        <v>0</v>
      </c>
      <c r="I1159" s="55">
        <v>0</v>
      </c>
      <c r="J1159" s="55">
        <v>0</v>
      </c>
    </row>
    <row r="1160" spans="2:10">
      <c r="B1160" s="52" t="s">
        <v>165</v>
      </c>
      <c r="C1160" s="55">
        <v>0</v>
      </c>
      <c r="D1160" s="55">
        <v>0</v>
      </c>
      <c r="E1160" s="55">
        <v>0</v>
      </c>
      <c r="F1160" s="55">
        <v>0</v>
      </c>
      <c r="G1160" s="55">
        <v>0</v>
      </c>
      <c r="H1160" s="55">
        <v>0</v>
      </c>
      <c r="I1160" s="55">
        <v>0</v>
      </c>
      <c r="J1160" s="55">
        <v>0</v>
      </c>
    </row>
    <row r="1161" spans="2:10">
      <c r="B1161" s="52" t="s">
        <v>164</v>
      </c>
      <c r="C1161" s="55">
        <v>0</v>
      </c>
      <c r="D1161" s="55">
        <v>0</v>
      </c>
      <c r="E1161" s="55">
        <v>0</v>
      </c>
      <c r="F1161" s="55">
        <v>0</v>
      </c>
      <c r="G1161" s="55">
        <v>0</v>
      </c>
      <c r="H1161" s="55">
        <v>0</v>
      </c>
      <c r="I1161" s="55">
        <v>0</v>
      </c>
      <c r="J1161" s="55">
        <v>0</v>
      </c>
    </row>
    <row r="1162" spans="2:10">
      <c r="B1162" s="71"/>
      <c r="C1162" s="55"/>
      <c r="D1162" s="55"/>
      <c r="E1162" s="55"/>
      <c r="F1162" s="55"/>
      <c r="G1162" s="55"/>
      <c r="H1162" s="55"/>
      <c r="I1162" s="55"/>
      <c r="J1162" s="55"/>
    </row>
    <row r="1163" spans="2:10">
      <c r="B1163" s="59" t="s">
        <v>960</v>
      </c>
      <c r="C1163" s="55"/>
      <c r="D1163" s="55"/>
      <c r="E1163" s="55"/>
      <c r="F1163" s="55"/>
      <c r="G1163" s="55"/>
      <c r="H1163" s="55"/>
      <c r="I1163" s="55"/>
      <c r="J1163" s="55"/>
    </row>
    <row r="1164" spans="2:10">
      <c r="B1164" s="71" t="s">
        <v>969</v>
      </c>
      <c r="C1164" s="55">
        <v>9105011.621013293</v>
      </c>
      <c r="D1164" s="55">
        <v>8267231.9573486689</v>
      </c>
      <c r="E1164" s="55">
        <v>6656877.9088795111</v>
      </c>
      <c r="F1164" s="55">
        <v>7943936.3812059518</v>
      </c>
      <c r="G1164" s="55">
        <v>6656287.6431634938</v>
      </c>
      <c r="H1164" s="55">
        <v>7263192.1604923848</v>
      </c>
      <c r="I1164" s="55">
        <v>6992756.2391032334</v>
      </c>
      <c r="J1164" s="55">
        <v>8921022.0049970858</v>
      </c>
    </row>
    <row r="1165" spans="2:10">
      <c r="B1165" s="71"/>
      <c r="C1165" s="55"/>
      <c r="D1165" s="55"/>
      <c r="E1165" s="55"/>
      <c r="F1165" s="55"/>
      <c r="G1165" s="55"/>
      <c r="H1165" s="55"/>
      <c r="I1165" s="55"/>
      <c r="J1165" s="55"/>
    </row>
    <row r="1166" spans="2:10">
      <c r="B1166" s="71" t="s">
        <v>190</v>
      </c>
      <c r="C1166" s="55">
        <v>8743193.2645347603</v>
      </c>
      <c r="D1166" s="55">
        <v>7752719.2206547465</v>
      </c>
      <c r="E1166" s="55">
        <v>6178634.0366893467</v>
      </c>
      <c r="F1166" s="55">
        <v>6948124.0172278779</v>
      </c>
      <c r="G1166" s="55">
        <v>6401934.4695356144</v>
      </c>
      <c r="H1166" s="55">
        <v>7086382.0621447759</v>
      </c>
      <c r="I1166" s="55">
        <v>6830828.147636028</v>
      </c>
      <c r="J1166" s="55">
        <v>8689313.9008555859</v>
      </c>
    </row>
    <row r="1167" spans="2:10">
      <c r="B1167" s="52" t="s">
        <v>121</v>
      </c>
      <c r="C1167" s="55">
        <v>8743193.2645347603</v>
      </c>
      <c r="D1167" s="55">
        <v>7752719.2206547465</v>
      </c>
      <c r="E1167" s="55">
        <v>6178634.0366893467</v>
      </c>
      <c r="F1167" s="55">
        <v>6948124.0172278779</v>
      </c>
      <c r="G1167" s="55">
        <v>6401934.4695356144</v>
      </c>
      <c r="H1167" s="55">
        <v>7086382.0621447759</v>
      </c>
      <c r="I1167" s="55">
        <v>6830828.147636028</v>
      </c>
      <c r="J1167" s="55">
        <v>8689313.9008555859</v>
      </c>
    </row>
    <row r="1168" spans="2:10">
      <c r="B1168" s="53" t="s">
        <v>120</v>
      </c>
      <c r="C1168" s="55">
        <v>3693043.8365821554</v>
      </c>
      <c r="D1168" s="55">
        <v>3258471.0923413308</v>
      </c>
      <c r="E1168" s="55">
        <v>2598020.8681422789</v>
      </c>
      <c r="F1168" s="55">
        <v>2989941.6789350044</v>
      </c>
      <c r="G1168" s="55">
        <v>2417583.2266327478</v>
      </c>
      <c r="H1168" s="55">
        <v>2726928.9811249333</v>
      </c>
      <c r="I1168" s="55">
        <v>2380192.2313316725</v>
      </c>
      <c r="J1168" s="55">
        <v>1963067.8875648121</v>
      </c>
    </row>
    <row r="1169" spans="2:10">
      <c r="B1169" s="53" t="s">
        <v>119</v>
      </c>
      <c r="C1169" s="55">
        <v>5047057.7644710578</v>
      </c>
      <c r="D1169" s="55">
        <v>4492145.5506634321</v>
      </c>
      <c r="E1169" s="55">
        <v>3578128.7945339191</v>
      </c>
      <c r="F1169" s="55">
        <v>3958182.3398590446</v>
      </c>
      <c r="G1169" s="55">
        <v>3984351.2418622458</v>
      </c>
      <c r="H1169" s="55">
        <v>4359453.0802564556</v>
      </c>
      <c r="I1169" s="55">
        <v>4413177.7274770057</v>
      </c>
      <c r="J1169" s="55">
        <v>6705439.5406102566</v>
      </c>
    </row>
    <row r="1170" spans="2:10">
      <c r="B1170" s="53" t="s">
        <v>197</v>
      </c>
      <c r="C1170" s="55">
        <v>3091.6634815475431</v>
      </c>
      <c r="D1170" s="55">
        <v>2102.5776499835265</v>
      </c>
      <c r="E1170" s="55">
        <v>2484.374013148451</v>
      </c>
      <c r="F1170" s="55">
        <v>3198.7461237274861</v>
      </c>
      <c r="G1170" s="55">
        <v>18121.227116680344</v>
      </c>
      <c r="H1170" s="55">
        <v>17488.089235549021</v>
      </c>
      <c r="I1170" s="55">
        <v>37458.188827321726</v>
      </c>
      <c r="J1170" s="55">
        <v>20806.472680517472</v>
      </c>
    </row>
    <row r="1171" spans="2:10">
      <c r="B1171" s="52" t="s">
        <v>118</v>
      </c>
      <c r="C1171" s="55">
        <v>0</v>
      </c>
      <c r="D1171" s="55">
        <v>0</v>
      </c>
      <c r="E1171" s="55">
        <v>0</v>
      </c>
      <c r="F1171" s="55">
        <v>0</v>
      </c>
      <c r="G1171" s="55">
        <v>0</v>
      </c>
      <c r="H1171" s="55">
        <v>0</v>
      </c>
      <c r="I1171" s="55">
        <v>0</v>
      </c>
      <c r="J1171" s="55">
        <v>0</v>
      </c>
    </row>
    <row r="1172" spans="2:10">
      <c r="B1172" s="52" t="s">
        <v>117</v>
      </c>
      <c r="C1172" s="55">
        <v>0</v>
      </c>
      <c r="D1172" s="55">
        <v>0</v>
      </c>
      <c r="E1172" s="55">
        <v>0</v>
      </c>
      <c r="F1172" s="55">
        <v>0</v>
      </c>
      <c r="G1172" s="55">
        <v>0</v>
      </c>
      <c r="H1172" s="55">
        <v>0</v>
      </c>
      <c r="I1172" s="55">
        <v>0</v>
      </c>
      <c r="J1172" s="55">
        <v>0</v>
      </c>
    </row>
    <row r="1173" spans="2:10">
      <c r="B1173" s="52"/>
      <c r="C1173" s="55"/>
      <c r="D1173" s="55"/>
      <c r="E1173" s="55"/>
      <c r="F1173" s="55"/>
      <c r="G1173" s="55"/>
      <c r="H1173" s="55"/>
      <c r="I1173" s="55"/>
      <c r="J1173" s="55"/>
    </row>
    <row r="1174" spans="2:10">
      <c r="B1174" s="83" t="s">
        <v>187</v>
      </c>
      <c r="C1174" s="55">
        <v>2119264.609079713</v>
      </c>
      <c r="D1174" s="55">
        <v>1955346.020606823</v>
      </c>
      <c r="E1174" s="55">
        <v>1695300.4099560762</v>
      </c>
      <c r="F1174" s="55">
        <v>1263152.7483163667</v>
      </c>
      <c r="G1174" s="55">
        <v>836531.6819847913</v>
      </c>
      <c r="H1174" s="55">
        <v>1110150.0488006638</v>
      </c>
      <c r="I1174" s="55">
        <v>1200439.8501627282</v>
      </c>
      <c r="J1174" s="55">
        <v>1439170.5096940878</v>
      </c>
    </row>
    <row r="1175" spans="2:10">
      <c r="B1175" s="81" t="s">
        <v>121</v>
      </c>
      <c r="C1175" s="55">
        <v>2119264.609079713</v>
      </c>
      <c r="D1175" s="55">
        <v>1955346.020606823</v>
      </c>
      <c r="E1175" s="55">
        <v>1695300.4099560762</v>
      </c>
      <c r="F1175" s="55">
        <v>1263152.7483163667</v>
      </c>
      <c r="G1175" s="55">
        <v>836531.6819847913</v>
      </c>
      <c r="H1175" s="55">
        <v>1110150.0488006638</v>
      </c>
      <c r="I1175" s="55">
        <v>1200439.8501627282</v>
      </c>
      <c r="J1175" s="55">
        <v>1439170.5096940878</v>
      </c>
    </row>
    <row r="1176" spans="2:10">
      <c r="B1176" s="82" t="s">
        <v>120</v>
      </c>
      <c r="C1176" s="55">
        <v>9774.0285386673459</v>
      </c>
      <c r="D1176" s="55">
        <v>6988.7132716326723</v>
      </c>
      <c r="E1176" s="55">
        <v>821.22642321936098</v>
      </c>
      <c r="F1176" s="55">
        <v>1179.1320281910728</v>
      </c>
      <c r="G1176" s="55">
        <v>7219.9247770665788</v>
      </c>
      <c r="H1176" s="55">
        <v>2455.4259238539321</v>
      </c>
      <c r="I1176" s="55">
        <v>32944.026981451389</v>
      </c>
      <c r="J1176" s="55">
        <v>5969.1454351879302</v>
      </c>
    </row>
    <row r="1177" spans="2:10">
      <c r="B1177" s="82" t="s">
        <v>119</v>
      </c>
      <c r="C1177" s="55">
        <v>2109486.9499299275</v>
      </c>
      <c r="D1177" s="55">
        <v>1948355.3706532484</v>
      </c>
      <c r="E1177" s="55">
        <v>1694474.6524847129</v>
      </c>
      <c r="F1177" s="55">
        <v>1261973.6162881756</v>
      </c>
      <c r="G1177" s="55">
        <v>829311.75720772462</v>
      </c>
      <c r="H1177" s="55">
        <v>1107694.6227921238</v>
      </c>
      <c r="I1177" s="55">
        <v>1167494.7756795532</v>
      </c>
      <c r="J1177" s="55">
        <v>1433201.2169156664</v>
      </c>
    </row>
    <row r="1178" spans="2:10">
      <c r="B1178" s="82" t="s">
        <v>172</v>
      </c>
      <c r="C1178" s="55">
        <v>3.6306111181891536</v>
      </c>
      <c r="D1178" s="55">
        <v>1.9366819420732622</v>
      </c>
      <c r="E1178" s="55">
        <v>4.5310481440013781</v>
      </c>
      <c r="F1178" s="55">
        <v>3.3879404855129214</v>
      </c>
      <c r="G1178" s="55">
        <v>2.4801684993708628</v>
      </c>
      <c r="H1178" s="55">
        <v>2.4853361850941433</v>
      </c>
      <c r="I1178" s="55">
        <v>1.0474633991236575</v>
      </c>
      <c r="J1178" s="55">
        <v>0.14734323346056044</v>
      </c>
    </row>
    <row r="1179" spans="2:10">
      <c r="B1179" s="81" t="s">
        <v>118</v>
      </c>
      <c r="C1179" s="55">
        <v>0</v>
      </c>
      <c r="D1179" s="55">
        <v>0</v>
      </c>
      <c r="E1179" s="55">
        <v>0</v>
      </c>
      <c r="F1179" s="55">
        <v>0</v>
      </c>
      <c r="G1179" s="55">
        <v>0</v>
      </c>
      <c r="H1179" s="55">
        <v>0</v>
      </c>
      <c r="I1179" s="55">
        <v>0</v>
      </c>
      <c r="J1179" s="55">
        <v>0</v>
      </c>
    </row>
    <row r="1180" spans="2:10">
      <c r="B1180" s="81" t="s">
        <v>117</v>
      </c>
      <c r="C1180" s="55">
        <v>0</v>
      </c>
      <c r="D1180" s="55">
        <v>0</v>
      </c>
      <c r="E1180" s="55">
        <v>0</v>
      </c>
      <c r="F1180" s="55">
        <v>0</v>
      </c>
      <c r="G1180" s="55">
        <v>0</v>
      </c>
      <c r="H1180" s="55">
        <v>0</v>
      </c>
      <c r="I1180" s="55">
        <v>0</v>
      </c>
      <c r="J1180" s="55">
        <v>0</v>
      </c>
    </row>
    <row r="1181" spans="2:10">
      <c r="B1181" s="81"/>
      <c r="C1181" s="55"/>
      <c r="D1181" s="55"/>
      <c r="E1181" s="55"/>
      <c r="F1181" s="55"/>
      <c r="G1181" s="55"/>
      <c r="H1181" s="55"/>
      <c r="I1181" s="55"/>
      <c r="J1181" s="55"/>
    </row>
    <row r="1182" spans="2:10">
      <c r="B1182" s="83" t="s">
        <v>173</v>
      </c>
      <c r="C1182" s="55">
        <v>6623928.6554550482</v>
      </c>
      <c r="D1182" s="55">
        <v>5797373.2000479233</v>
      </c>
      <c r="E1182" s="55">
        <v>4960056.9175781589</v>
      </c>
      <c r="F1182" s="55">
        <v>5684971.2689115116</v>
      </c>
      <c r="G1182" s="55">
        <v>5565402.7875475409</v>
      </c>
      <c r="H1182" s="55">
        <v>5976232.0133439051</v>
      </c>
      <c r="I1182" s="55">
        <v>5630388.2974733002</v>
      </c>
      <c r="J1182" s="55">
        <v>7250143.3911614977</v>
      </c>
    </row>
    <row r="1183" spans="2:10">
      <c r="B1183" s="81" t="s">
        <v>121</v>
      </c>
      <c r="C1183" s="55">
        <v>6623928.6554550482</v>
      </c>
      <c r="D1183" s="55">
        <v>5797373.2000479233</v>
      </c>
      <c r="E1183" s="55">
        <v>4960056.9175781589</v>
      </c>
      <c r="F1183" s="55">
        <v>5684971.2689115116</v>
      </c>
      <c r="G1183" s="55">
        <v>5565402.7875475409</v>
      </c>
      <c r="H1183" s="55">
        <v>5976232.0133439051</v>
      </c>
      <c r="I1183" s="55">
        <v>5630388.2974733002</v>
      </c>
      <c r="J1183" s="55">
        <v>7250143.3911614977</v>
      </c>
    </row>
    <row r="1184" spans="2:10">
      <c r="B1184" s="82" t="s">
        <v>120</v>
      </c>
      <c r="C1184" s="55">
        <v>3683269.8080434874</v>
      </c>
      <c r="D1184" s="55">
        <v>3251482.379069698</v>
      </c>
      <c r="E1184" s="55">
        <v>2907864.2695145407</v>
      </c>
      <c r="F1184" s="55">
        <v>2988762.546906813</v>
      </c>
      <c r="G1184" s="55">
        <v>2410363.3018809231</v>
      </c>
      <c r="H1184" s="55">
        <v>2724473.55520111</v>
      </c>
      <c r="I1184" s="55">
        <v>2347248.204350221</v>
      </c>
      <c r="J1184" s="55">
        <v>1957098.7421296241</v>
      </c>
    </row>
    <row r="1185" spans="2:10">
      <c r="B1185" s="82" t="s">
        <v>119</v>
      </c>
      <c r="C1185" s="55">
        <v>2937570.8145411308</v>
      </c>
      <c r="D1185" s="55">
        <v>2543790.1800101837</v>
      </c>
      <c r="E1185" s="55">
        <v>2049755.7078058163</v>
      </c>
      <c r="F1185" s="55">
        <v>2693013.3638214567</v>
      </c>
      <c r="G1185" s="55">
        <v>3136920.738594179</v>
      </c>
      <c r="H1185" s="55">
        <v>3234272.8542434303</v>
      </c>
      <c r="I1185" s="55">
        <v>3245682.9517974528</v>
      </c>
      <c r="J1185" s="55">
        <v>5272238.3236945905</v>
      </c>
    </row>
    <row r="1186" spans="2:10">
      <c r="B1186" s="82" t="s">
        <v>197</v>
      </c>
      <c r="C1186" s="55">
        <v>3088.0328704293543</v>
      </c>
      <c r="D1186" s="55">
        <v>2100.6409680414536</v>
      </c>
      <c r="E1186" s="55">
        <v>2437.5144259753679</v>
      </c>
      <c r="F1186" s="55">
        <v>3195.3581832419736</v>
      </c>
      <c r="G1186" s="55">
        <v>18118.747072427373</v>
      </c>
      <c r="H1186" s="55">
        <v>17485.60389936393</v>
      </c>
      <c r="I1186" s="55">
        <v>37457.141363922601</v>
      </c>
      <c r="J1186" s="55">
        <v>20806.325337284012</v>
      </c>
    </row>
    <row r="1187" spans="2:10">
      <c r="B1187" s="81" t="s">
        <v>118</v>
      </c>
      <c r="C1187" s="55">
        <v>0</v>
      </c>
      <c r="D1187" s="55">
        <v>0</v>
      </c>
      <c r="E1187" s="55">
        <v>0</v>
      </c>
      <c r="F1187" s="55">
        <v>0</v>
      </c>
      <c r="G1187" s="55">
        <v>0</v>
      </c>
      <c r="H1187" s="55">
        <v>0</v>
      </c>
      <c r="I1187" s="55">
        <v>0</v>
      </c>
      <c r="J1187" s="55">
        <v>0</v>
      </c>
    </row>
    <row r="1188" spans="2:10">
      <c r="B1188" s="81" t="s">
        <v>117</v>
      </c>
      <c r="C1188" s="55">
        <v>0</v>
      </c>
      <c r="D1188" s="55">
        <v>0</v>
      </c>
      <c r="E1188" s="55">
        <v>0</v>
      </c>
      <c r="F1188" s="55">
        <v>0</v>
      </c>
      <c r="G1188" s="55">
        <v>0.27353793971223805</v>
      </c>
      <c r="H1188" s="55">
        <v>0.50682952788829483</v>
      </c>
      <c r="I1188" s="55">
        <v>0</v>
      </c>
      <c r="J1188" s="55">
        <v>0</v>
      </c>
    </row>
    <row r="1189" spans="2:10">
      <c r="B1189" s="81"/>
      <c r="C1189" s="55"/>
      <c r="D1189" s="55"/>
      <c r="E1189" s="55"/>
      <c r="F1189" s="55"/>
      <c r="G1189" s="55"/>
      <c r="H1189" s="55"/>
      <c r="I1189" s="55"/>
      <c r="J1189" s="55"/>
    </row>
    <row r="1190" spans="2:10">
      <c r="B1190" s="71" t="s">
        <v>171</v>
      </c>
      <c r="C1190" s="55">
        <v>0</v>
      </c>
      <c r="D1190" s="55">
        <v>0</v>
      </c>
      <c r="E1190" s="55">
        <v>0</v>
      </c>
      <c r="F1190" s="55">
        <v>0</v>
      </c>
      <c r="G1190" s="55">
        <v>0</v>
      </c>
      <c r="H1190" s="55">
        <v>0</v>
      </c>
      <c r="I1190" s="55">
        <v>0</v>
      </c>
      <c r="J1190" s="55">
        <v>0</v>
      </c>
    </row>
    <row r="1191" spans="2:10">
      <c r="B1191" s="52" t="s">
        <v>169</v>
      </c>
      <c r="C1191" s="55">
        <v>0</v>
      </c>
      <c r="D1191" s="55">
        <v>0</v>
      </c>
      <c r="E1191" s="55">
        <v>0</v>
      </c>
      <c r="F1191" s="55">
        <v>0</v>
      </c>
      <c r="G1191" s="55">
        <v>0</v>
      </c>
      <c r="H1191" s="55">
        <v>0</v>
      </c>
      <c r="I1191" s="55">
        <v>0</v>
      </c>
      <c r="J1191" s="55">
        <v>0</v>
      </c>
    </row>
    <row r="1192" spans="2:10">
      <c r="B1192" s="52" t="s">
        <v>168</v>
      </c>
      <c r="C1192" s="55">
        <v>0</v>
      </c>
      <c r="D1192" s="55">
        <v>0</v>
      </c>
      <c r="E1192" s="55">
        <v>0</v>
      </c>
      <c r="F1192" s="55">
        <v>0</v>
      </c>
      <c r="G1192" s="55">
        <v>0</v>
      </c>
      <c r="H1192" s="55">
        <v>0</v>
      </c>
      <c r="I1192" s="55">
        <v>0</v>
      </c>
      <c r="J1192" s="55">
        <v>0</v>
      </c>
    </row>
    <row r="1193" spans="2:10">
      <c r="B1193" s="52" t="s">
        <v>167</v>
      </c>
      <c r="C1193" s="55">
        <v>0</v>
      </c>
      <c r="D1193" s="55">
        <v>0</v>
      </c>
      <c r="E1193" s="55">
        <v>0</v>
      </c>
      <c r="F1193" s="55">
        <v>0</v>
      </c>
      <c r="G1193" s="55">
        <v>0</v>
      </c>
      <c r="H1193" s="55">
        <v>0</v>
      </c>
      <c r="I1193" s="55">
        <v>0</v>
      </c>
      <c r="J1193" s="55">
        <v>0</v>
      </c>
    </row>
    <row r="1194" spans="2:10">
      <c r="B1194" s="52" t="s">
        <v>166</v>
      </c>
      <c r="C1194" s="55">
        <v>0</v>
      </c>
      <c r="D1194" s="55">
        <v>0</v>
      </c>
      <c r="E1194" s="55">
        <v>0</v>
      </c>
      <c r="F1194" s="55">
        <v>0</v>
      </c>
      <c r="G1194" s="55">
        <v>0</v>
      </c>
      <c r="H1194" s="55">
        <v>0</v>
      </c>
      <c r="I1194" s="55">
        <v>0</v>
      </c>
      <c r="J1194" s="55">
        <v>0</v>
      </c>
    </row>
    <row r="1195" spans="2:10">
      <c r="B1195" s="52" t="s">
        <v>165</v>
      </c>
      <c r="C1195" s="55">
        <v>0</v>
      </c>
      <c r="D1195" s="55">
        <v>0</v>
      </c>
      <c r="E1195" s="55">
        <v>0</v>
      </c>
      <c r="F1195" s="55">
        <v>0</v>
      </c>
      <c r="G1195" s="55">
        <v>0</v>
      </c>
      <c r="H1195" s="55">
        <v>0</v>
      </c>
      <c r="I1195" s="55">
        <v>0</v>
      </c>
      <c r="J1195" s="55">
        <v>0</v>
      </c>
    </row>
    <row r="1196" spans="2:10">
      <c r="B1196" s="52" t="s">
        <v>164</v>
      </c>
      <c r="C1196" s="55">
        <v>0</v>
      </c>
      <c r="D1196" s="55">
        <v>0</v>
      </c>
      <c r="E1196" s="55">
        <v>0</v>
      </c>
      <c r="F1196" s="55">
        <v>0</v>
      </c>
      <c r="G1196" s="55">
        <v>0</v>
      </c>
      <c r="H1196" s="55">
        <v>0</v>
      </c>
      <c r="I1196" s="55">
        <v>0</v>
      </c>
      <c r="J1196" s="55">
        <v>0</v>
      </c>
    </row>
    <row r="1197" spans="2:10">
      <c r="B1197" s="52"/>
      <c r="C1197" s="55"/>
      <c r="D1197" s="55"/>
      <c r="E1197" s="55"/>
      <c r="F1197" s="55"/>
      <c r="G1197" s="55"/>
      <c r="H1197" s="55"/>
      <c r="I1197" s="55"/>
      <c r="J1197" s="55"/>
    </row>
    <row r="1198" spans="2:10">
      <c r="B1198" s="80" t="s">
        <v>170</v>
      </c>
      <c r="C1198" s="55">
        <v>361818.35647853231</v>
      </c>
      <c r="D1198" s="55">
        <v>514512.73669392284</v>
      </c>
      <c r="E1198" s="55">
        <v>478243.87219016446</v>
      </c>
      <c r="F1198" s="55">
        <v>995812.3639780737</v>
      </c>
      <c r="G1198" s="55">
        <v>254353.17358717654</v>
      </c>
      <c r="H1198" s="55">
        <v>176810.09834759636</v>
      </c>
      <c r="I1198" s="55">
        <v>161928.09146720593</v>
      </c>
      <c r="J1198" s="55">
        <v>231708.10414150046</v>
      </c>
    </row>
    <row r="1199" spans="2:10">
      <c r="B1199" s="52" t="s">
        <v>169</v>
      </c>
      <c r="C1199" s="55">
        <v>0</v>
      </c>
      <c r="D1199" s="55">
        <v>0</v>
      </c>
      <c r="E1199" s="55">
        <v>0</v>
      </c>
      <c r="F1199" s="55">
        <v>0</v>
      </c>
      <c r="G1199" s="55">
        <v>0</v>
      </c>
      <c r="H1199" s="55">
        <v>0</v>
      </c>
      <c r="I1199" s="55">
        <v>0</v>
      </c>
      <c r="J1199" s="55">
        <v>0</v>
      </c>
    </row>
    <row r="1200" spans="2:10">
      <c r="B1200" s="52" t="s">
        <v>168</v>
      </c>
      <c r="C1200" s="55">
        <v>0</v>
      </c>
      <c r="D1200" s="55">
        <v>0</v>
      </c>
      <c r="E1200" s="55">
        <v>0</v>
      </c>
      <c r="F1200" s="55">
        <v>0</v>
      </c>
      <c r="G1200" s="55">
        <v>0</v>
      </c>
      <c r="H1200" s="55">
        <v>0</v>
      </c>
      <c r="I1200" s="55">
        <v>0</v>
      </c>
      <c r="J1200" s="55">
        <v>0</v>
      </c>
    </row>
    <row r="1201" spans="2:10">
      <c r="B1201" s="52" t="s">
        <v>167</v>
      </c>
      <c r="C1201" s="55">
        <v>361818.35647853231</v>
      </c>
      <c r="D1201" s="55">
        <v>514512.73669392284</v>
      </c>
      <c r="E1201" s="55">
        <v>478243.87219016446</v>
      </c>
      <c r="F1201" s="55">
        <v>995812.3639780737</v>
      </c>
      <c r="G1201" s="55">
        <v>254353.17358717654</v>
      </c>
      <c r="H1201" s="55">
        <v>176810.09834759636</v>
      </c>
      <c r="I1201" s="55">
        <v>161928.09146720593</v>
      </c>
      <c r="J1201" s="55">
        <v>231708.10414150046</v>
      </c>
    </row>
    <row r="1202" spans="2:10">
      <c r="B1202" s="52" t="s">
        <v>166</v>
      </c>
      <c r="C1202" s="55">
        <v>0</v>
      </c>
      <c r="D1202" s="55">
        <v>0</v>
      </c>
      <c r="E1202" s="55">
        <v>0</v>
      </c>
      <c r="F1202" s="55">
        <v>0</v>
      </c>
      <c r="G1202" s="55">
        <v>0</v>
      </c>
      <c r="H1202" s="55">
        <v>0</v>
      </c>
      <c r="I1202" s="55">
        <v>0</v>
      </c>
      <c r="J1202" s="55">
        <v>0</v>
      </c>
    </row>
    <row r="1203" spans="2:10">
      <c r="B1203" s="52" t="s">
        <v>165</v>
      </c>
      <c r="C1203" s="55">
        <v>0</v>
      </c>
      <c r="D1203" s="55">
        <v>0</v>
      </c>
      <c r="E1203" s="55">
        <v>0</v>
      </c>
      <c r="F1203" s="55">
        <v>0</v>
      </c>
      <c r="G1203" s="55">
        <v>0</v>
      </c>
      <c r="H1203" s="55">
        <v>0</v>
      </c>
      <c r="I1203" s="55">
        <v>0</v>
      </c>
      <c r="J1203" s="55">
        <v>0</v>
      </c>
    </row>
    <row r="1204" spans="2:10" ht="15" thickBot="1">
      <c r="B1204" s="50" t="s">
        <v>164</v>
      </c>
      <c r="C1204" s="101">
        <v>0</v>
      </c>
      <c r="D1204" s="101">
        <v>0</v>
      </c>
      <c r="E1204" s="101">
        <v>0</v>
      </c>
      <c r="F1204" s="101">
        <v>0</v>
      </c>
      <c r="G1204" s="101">
        <v>0</v>
      </c>
      <c r="H1204" s="101">
        <v>0</v>
      </c>
      <c r="I1204" s="101">
        <v>0</v>
      </c>
      <c r="J1204" s="101">
        <v>0</v>
      </c>
    </row>
    <row r="1205" spans="2:10" ht="15" thickTop="1">
      <c r="B1205" s="2025" t="s">
        <v>948</v>
      </c>
      <c r="C1205" s="2025"/>
      <c r="D1205" s="2025"/>
      <c r="E1205" s="2025"/>
      <c r="F1205" s="2025"/>
      <c r="G1205" s="2025"/>
      <c r="H1205" s="2025"/>
      <c r="I1205" s="2025"/>
      <c r="J1205" s="2025"/>
    </row>
    <row r="1206" spans="2:10">
      <c r="B1206" s="2066" t="s">
        <v>967</v>
      </c>
      <c r="C1206" s="2066"/>
      <c r="D1206" s="2066"/>
      <c r="E1206" s="2066"/>
      <c r="F1206" s="2066"/>
      <c r="G1206" s="2066"/>
      <c r="H1206" s="2066"/>
      <c r="I1206" s="2066"/>
      <c r="J1206" s="2066"/>
    </row>
    <row r="1207" spans="2:10">
      <c r="B1207" s="64"/>
    </row>
    <row r="1208" spans="2:10">
      <c r="B1208" s="2024" t="s">
        <v>161</v>
      </c>
      <c r="C1208" s="2024"/>
      <c r="D1208" s="2024"/>
      <c r="E1208" s="2024"/>
      <c r="F1208" s="2024"/>
      <c r="G1208" s="2024"/>
      <c r="H1208" s="2024"/>
      <c r="I1208" s="2024"/>
      <c r="J1208" s="2024"/>
    </row>
    <row r="1209" spans="2:10">
      <c r="B1209" s="12" t="s">
        <v>160</v>
      </c>
    </row>
    <row r="1210" spans="2:10">
      <c r="B1210" s="77" t="s">
        <v>269</v>
      </c>
    </row>
    <row r="1211" spans="2:10">
      <c r="B1211" s="76"/>
    </row>
    <row r="1212" spans="2:10">
      <c r="B1212" s="61"/>
      <c r="C1212" s="60">
        <v>2014</v>
      </c>
      <c r="D1212" s="60">
        <v>2015</v>
      </c>
      <c r="E1212" s="60">
        <v>2016</v>
      </c>
      <c r="F1212" s="60">
        <v>2017</v>
      </c>
      <c r="G1212" s="60">
        <v>2018</v>
      </c>
      <c r="H1212" s="60">
        <v>2019</v>
      </c>
      <c r="I1212" s="60">
        <v>2020</v>
      </c>
      <c r="J1212" s="60">
        <v>2021</v>
      </c>
    </row>
    <row r="1213" spans="2:10" ht="15">
      <c r="B1213" s="59" t="s">
        <v>970</v>
      </c>
    </row>
    <row r="1214" spans="2:10">
      <c r="B1214" s="71" t="s">
        <v>516</v>
      </c>
      <c r="C1214" s="3">
        <v>193</v>
      </c>
      <c r="D1214" s="3">
        <v>193</v>
      </c>
      <c r="E1214" s="3">
        <v>186</v>
      </c>
      <c r="F1214" s="3">
        <v>192</v>
      </c>
      <c r="G1214" s="3">
        <v>0</v>
      </c>
      <c r="H1214" s="3">
        <v>0</v>
      </c>
      <c r="I1214" s="3">
        <v>0</v>
      </c>
      <c r="J1214" s="3">
        <v>0</v>
      </c>
    </row>
    <row r="1215" spans="2:10">
      <c r="B1215" s="52" t="s">
        <v>150</v>
      </c>
      <c r="C1215" s="3">
        <v>0</v>
      </c>
      <c r="D1215" s="3">
        <v>0</v>
      </c>
      <c r="E1215" s="3">
        <v>0</v>
      </c>
      <c r="F1215" s="3">
        <v>0</v>
      </c>
      <c r="G1215" s="3">
        <v>0</v>
      </c>
      <c r="H1215" s="3">
        <v>0</v>
      </c>
      <c r="I1215" s="3">
        <v>0</v>
      </c>
      <c r="J1215" s="3">
        <v>0</v>
      </c>
    </row>
    <row r="1216" spans="2:10">
      <c r="B1216" s="52" t="s">
        <v>149</v>
      </c>
      <c r="C1216" s="3">
        <v>0</v>
      </c>
      <c r="D1216" s="3">
        <v>0</v>
      </c>
      <c r="E1216" s="3">
        <v>0</v>
      </c>
      <c r="F1216" s="3">
        <v>0</v>
      </c>
      <c r="G1216" s="3">
        <v>0</v>
      </c>
      <c r="H1216" s="3">
        <v>0</v>
      </c>
      <c r="I1216" s="3">
        <v>0</v>
      </c>
      <c r="J1216" s="3">
        <v>0</v>
      </c>
    </row>
    <row r="1217" spans="2:10">
      <c r="B1217" s="52" t="s">
        <v>148</v>
      </c>
      <c r="C1217" s="3">
        <v>0</v>
      </c>
      <c r="D1217" s="3">
        <v>0</v>
      </c>
      <c r="E1217" s="3">
        <v>0</v>
      </c>
      <c r="F1217" s="3">
        <v>0</v>
      </c>
      <c r="G1217" s="3">
        <v>0</v>
      </c>
      <c r="H1217" s="3">
        <v>0</v>
      </c>
      <c r="I1217" s="3">
        <v>0</v>
      </c>
      <c r="J1217" s="3">
        <v>0</v>
      </c>
    </row>
    <row r="1218" spans="2:10">
      <c r="B1218" s="52" t="s">
        <v>147</v>
      </c>
      <c r="C1218" s="3">
        <v>45</v>
      </c>
      <c r="D1218" s="3">
        <v>66</v>
      </c>
      <c r="E1218" s="3">
        <v>69</v>
      </c>
      <c r="F1218" s="3">
        <v>77</v>
      </c>
      <c r="G1218" s="3">
        <v>0</v>
      </c>
      <c r="H1218" s="3">
        <v>0</v>
      </c>
      <c r="I1218" s="3">
        <v>0</v>
      </c>
      <c r="J1218" s="3">
        <v>0</v>
      </c>
    </row>
    <row r="1219" spans="2:10">
      <c r="B1219" s="52" t="s">
        <v>146</v>
      </c>
      <c r="C1219" s="3">
        <v>148</v>
      </c>
      <c r="D1219" s="3">
        <v>127</v>
      </c>
      <c r="E1219" s="3">
        <v>117</v>
      </c>
      <c r="F1219" s="3">
        <v>115</v>
      </c>
      <c r="G1219" s="3">
        <v>0</v>
      </c>
      <c r="H1219" s="3">
        <v>0</v>
      </c>
      <c r="I1219" s="3">
        <v>0</v>
      </c>
      <c r="J1219" s="3">
        <v>0</v>
      </c>
    </row>
    <row r="1220" spans="2:10">
      <c r="B1220" s="52"/>
      <c r="C1220" s="3"/>
      <c r="D1220" s="3"/>
      <c r="E1220" s="3"/>
      <c r="F1220" s="3"/>
      <c r="G1220" s="3"/>
      <c r="H1220" s="3"/>
      <c r="I1220" s="3"/>
      <c r="J1220" s="3"/>
    </row>
    <row r="1221" spans="2:10">
      <c r="B1221" s="71" t="s">
        <v>152</v>
      </c>
      <c r="C1221" s="3">
        <v>193</v>
      </c>
      <c r="D1221" s="3">
        <v>193</v>
      </c>
      <c r="E1221" s="3">
        <v>186</v>
      </c>
      <c r="F1221" s="3">
        <v>192</v>
      </c>
      <c r="G1221" s="3">
        <v>0</v>
      </c>
      <c r="H1221" s="3">
        <v>0</v>
      </c>
      <c r="I1221" s="3">
        <v>0</v>
      </c>
      <c r="J1221" s="3">
        <v>0</v>
      </c>
    </row>
    <row r="1222" spans="2:10">
      <c r="B1222" s="52" t="s">
        <v>150</v>
      </c>
      <c r="C1222" s="3">
        <v>0</v>
      </c>
      <c r="D1222" s="3">
        <v>0</v>
      </c>
      <c r="E1222" s="3">
        <v>0</v>
      </c>
      <c r="F1222" s="3">
        <v>0</v>
      </c>
      <c r="G1222" s="3">
        <v>0</v>
      </c>
      <c r="H1222" s="3">
        <v>0</v>
      </c>
      <c r="I1222" s="3">
        <v>0</v>
      </c>
      <c r="J1222" s="3">
        <v>0</v>
      </c>
    </row>
    <row r="1223" spans="2:10">
      <c r="B1223" s="52" t="s">
        <v>149</v>
      </c>
      <c r="C1223" s="3">
        <v>0</v>
      </c>
      <c r="D1223" s="3">
        <v>0</v>
      </c>
      <c r="E1223" s="3">
        <v>0</v>
      </c>
      <c r="F1223" s="3">
        <v>0</v>
      </c>
      <c r="G1223" s="3">
        <v>0</v>
      </c>
      <c r="H1223" s="3">
        <v>0</v>
      </c>
      <c r="I1223" s="3">
        <v>0</v>
      </c>
      <c r="J1223" s="3">
        <v>0</v>
      </c>
    </row>
    <row r="1224" spans="2:10">
      <c r="B1224" s="52" t="s">
        <v>148</v>
      </c>
      <c r="C1224" s="3">
        <v>0</v>
      </c>
      <c r="D1224" s="3">
        <v>0</v>
      </c>
      <c r="E1224" s="3">
        <v>0</v>
      </c>
      <c r="F1224" s="3">
        <v>0</v>
      </c>
      <c r="G1224" s="3">
        <v>0</v>
      </c>
      <c r="H1224" s="3">
        <v>0</v>
      </c>
      <c r="I1224" s="3">
        <v>0</v>
      </c>
      <c r="J1224" s="3">
        <v>0</v>
      </c>
    </row>
    <row r="1225" spans="2:10">
      <c r="B1225" s="52" t="s">
        <v>147</v>
      </c>
      <c r="C1225" s="3">
        <v>45</v>
      </c>
      <c r="D1225" s="3">
        <v>66</v>
      </c>
      <c r="E1225" s="3">
        <v>69</v>
      </c>
      <c r="F1225" s="3">
        <v>77</v>
      </c>
      <c r="G1225" s="3">
        <v>0</v>
      </c>
      <c r="H1225" s="3">
        <v>0</v>
      </c>
      <c r="I1225" s="3">
        <v>0</v>
      </c>
      <c r="J1225" s="3">
        <v>0</v>
      </c>
    </row>
    <row r="1226" spans="2:10">
      <c r="B1226" s="52" t="s">
        <v>146</v>
      </c>
      <c r="C1226" s="3">
        <v>148</v>
      </c>
      <c r="D1226" s="3">
        <v>127</v>
      </c>
      <c r="E1226" s="3">
        <v>117</v>
      </c>
      <c r="F1226" s="3">
        <v>115</v>
      </c>
      <c r="G1226" s="3">
        <v>0</v>
      </c>
      <c r="H1226" s="3">
        <v>0</v>
      </c>
      <c r="I1226" s="3">
        <v>0</v>
      </c>
      <c r="J1226" s="3">
        <v>0</v>
      </c>
    </row>
    <row r="1227" spans="2:10">
      <c r="B1227" s="52"/>
      <c r="C1227" s="3"/>
      <c r="D1227" s="3"/>
      <c r="E1227" s="3"/>
      <c r="F1227" s="3"/>
      <c r="G1227" s="3"/>
      <c r="H1227" s="3"/>
      <c r="I1227" s="3"/>
      <c r="J1227" s="3"/>
    </row>
    <row r="1228" spans="2:10">
      <c r="B1228" s="71" t="s">
        <v>151</v>
      </c>
      <c r="C1228" s="3">
        <v>0</v>
      </c>
      <c r="D1228" s="3">
        <v>0</v>
      </c>
      <c r="E1228" s="3">
        <v>0</v>
      </c>
      <c r="F1228" s="3">
        <v>0</v>
      </c>
      <c r="G1228" s="3">
        <v>0</v>
      </c>
      <c r="H1228" s="3">
        <v>0</v>
      </c>
      <c r="I1228" s="3">
        <v>0</v>
      </c>
      <c r="J1228" s="3">
        <v>0</v>
      </c>
    </row>
    <row r="1229" spans="2:10">
      <c r="B1229" s="52" t="s">
        <v>150</v>
      </c>
      <c r="C1229" s="3">
        <v>0</v>
      </c>
      <c r="D1229" s="3">
        <v>0</v>
      </c>
      <c r="E1229" s="3">
        <v>0</v>
      </c>
      <c r="F1229" s="3">
        <v>0</v>
      </c>
      <c r="G1229" s="3">
        <v>0</v>
      </c>
      <c r="H1229" s="3">
        <v>0</v>
      </c>
      <c r="I1229" s="3">
        <v>0</v>
      </c>
      <c r="J1229" s="3">
        <v>0</v>
      </c>
    </row>
    <row r="1230" spans="2:10">
      <c r="B1230" s="52" t="s">
        <v>149</v>
      </c>
      <c r="C1230" s="3">
        <v>0</v>
      </c>
      <c r="D1230" s="3">
        <v>0</v>
      </c>
      <c r="E1230" s="3">
        <v>0</v>
      </c>
      <c r="F1230" s="3">
        <v>0</v>
      </c>
      <c r="G1230" s="3">
        <v>0</v>
      </c>
      <c r="H1230" s="3">
        <v>0</v>
      </c>
      <c r="I1230" s="3">
        <v>0</v>
      </c>
      <c r="J1230" s="3">
        <v>0</v>
      </c>
    </row>
    <row r="1231" spans="2:10">
      <c r="B1231" s="52" t="s">
        <v>148</v>
      </c>
      <c r="C1231" s="3">
        <v>0</v>
      </c>
      <c r="D1231" s="3">
        <v>0</v>
      </c>
      <c r="E1231" s="3">
        <v>0</v>
      </c>
      <c r="F1231" s="3">
        <v>0</v>
      </c>
      <c r="G1231" s="3">
        <v>0</v>
      </c>
      <c r="H1231" s="3">
        <v>0</v>
      </c>
      <c r="I1231" s="3">
        <v>0</v>
      </c>
      <c r="J1231" s="3">
        <v>0</v>
      </c>
    </row>
    <row r="1232" spans="2:10">
      <c r="B1232" s="52" t="s">
        <v>147</v>
      </c>
      <c r="C1232" s="3">
        <v>0</v>
      </c>
      <c r="D1232" s="3">
        <v>0</v>
      </c>
      <c r="E1232" s="3">
        <v>0</v>
      </c>
      <c r="F1232" s="3">
        <v>0</v>
      </c>
      <c r="G1232" s="3">
        <v>0</v>
      </c>
      <c r="H1232" s="3">
        <v>0</v>
      </c>
      <c r="I1232" s="3">
        <v>0</v>
      </c>
      <c r="J1232" s="3">
        <v>0</v>
      </c>
    </row>
    <row r="1233" spans="2:10">
      <c r="B1233" s="52" t="s">
        <v>146</v>
      </c>
      <c r="C1233" s="3">
        <v>0</v>
      </c>
      <c r="D1233" s="3">
        <v>0</v>
      </c>
      <c r="E1233" s="3">
        <v>0</v>
      </c>
      <c r="F1233" s="3">
        <v>0</v>
      </c>
      <c r="G1233" s="3">
        <v>0</v>
      </c>
      <c r="H1233" s="3">
        <v>0</v>
      </c>
      <c r="I1233" s="3">
        <v>0</v>
      </c>
      <c r="J1233" s="3">
        <v>0</v>
      </c>
    </row>
    <row r="1234" spans="2:10">
      <c r="B1234" s="52"/>
      <c r="C1234" s="3"/>
      <c r="D1234" s="3"/>
      <c r="E1234" s="3"/>
      <c r="F1234" s="3"/>
      <c r="G1234" s="3"/>
      <c r="H1234" s="3"/>
      <c r="I1234" s="3"/>
      <c r="J1234" s="3"/>
    </row>
    <row r="1235" spans="2:10">
      <c r="B1235" s="59" t="s">
        <v>971</v>
      </c>
    </row>
    <row r="1236" spans="2:10">
      <c r="B1236" s="71" t="s">
        <v>516</v>
      </c>
      <c r="C1236" s="3">
        <v>0</v>
      </c>
      <c r="D1236" s="3">
        <v>0</v>
      </c>
      <c r="E1236" s="3">
        <v>0</v>
      </c>
      <c r="F1236" s="3">
        <v>0</v>
      </c>
      <c r="G1236" s="3">
        <v>177</v>
      </c>
      <c r="H1236" s="3">
        <v>180</v>
      </c>
      <c r="I1236" s="3">
        <v>183</v>
      </c>
      <c r="J1236" s="3">
        <v>187</v>
      </c>
    </row>
    <row r="1237" spans="2:10">
      <c r="B1237" s="52" t="s">
        <v>150</v>
      </c>
      <c r="C1237" s="3">
        <v>0</v>
      </c>
      <c r="D1237" s="3">
        <v>0</v>
      </c>
      <c r="E1237" s="3">
        <v>0</v>
      </c>
      <c r="F1237" s="3">
        <v>0</v>
      </c>
      <c r="G1237" s="3">
        <v>0</v>
      </c>
      <c r="H1237" s="3">
        <v>0</v>
      </c>
      <c r="I1237" s="3">
        <v>0</v>
      </c>
      <c r="J1237" s="3">
        <v>0</v>
      </c>
    </row>
    <row r="1238" spans="2:10">
      <c r="B1238" s="52" t="s">
        <v>149</v>
      </c>
      <c r="C1238" s="3">
        <v>0</v>
      </c>
      <c r="D1238" s="3">
        <v>0</v>
      </c>
      <c r="E1238" s="3">
        <v>0</v>
      </c>
      <c r="F1238" s="3">
        <v>0</v>
      </c>
      <c r="G1238" s="3">
        <v>0</v>
      </c>
      <c r="H1238" s="3">
        <v>0</v>
      </c>
      <c r="I1238" s="3">
        <v>0</v>
      </c>
      <c r="J1238" s="3">
        <v>0</v>
      </c>
    </row>
    <row r="1239" spans="2:10">
      <c r="B1239" s="52" t="s">
        <v>148</v>
      </c>
      <c r="C1239" s="3">
        <v>0</v>
      </c>
      <c r="D1239" s="3">
        <v>0</v>
      </c>
      <c r="E1239" s="3">
        <v>0</v>
      </c>
      <c r="F1239" s="3">
        <v>0</v>
      </c>
      <c r="G1239" s="3">
        <v>0</v>
      </c>
      <c r="H1239" s="3">
        <v>0</v>
      </c>
      <c r="I1239" s="3">
        <v>0</v>
      </c>
      <c r="J1239" s="3">
        <v>0</v>
      </c>
    </row>
    <row r="1240" spans="2:10">
      <c r="B1240" s="52" t="s">
        <v>147</v>
      </c>
      <c r="C1240" s="3">
        <v>0</v>
      </c>
      <c r="D1240" s="3">
        <v>0</v>
      </c>
      <c r="E1240" s="3">
        <v>0</v>
      </c>
      <c r="F1240" s="3">
        <v>0</v>
      </c>
      <c r="G1240" s="3">
        <v>50</v>
      </c>
      <c r="H1240" s="3">
        <v>52</v>
      </c>
      <c r="I1240" s="3">
        <v>53</v>
      </c>
      <c r="J1240" s="3">
        <v>56</v>
      </c>
    </row>
    <row r="1241" spans="2:10">
      <c r="B1241" s="52" t="s">
        <v>146</v>
      </c>
      <c r="C1241" s="3">
        <v>0</v>
      </c>
      <c r="D1241" s="3">
        <v>0</v>
      </c>
      <c r="E1241" s="3">
        <v>0</v>
      </c>
      <c r="F1241" s="3">
        <v>0</v>
      </c>
      <c r="G1241" s="3">
        <v>127</v>
      </c>
      <c r="H1241" s="3">
        <v>128</v>
      </c>
      <c r="I1241" s="3">
        <v>130</v>
      </c>
      <c r="J1241" s="3">
        <v>131</v>
      </c>
    </row>
    <row r="1242" spans="2:10">
      <c r="B1242" s="52"/>
      <c r="C1242" s="3"/>
      <c r="D1242" s="3"/>
      <c r="E1242" s="3"/>
      <c r="F1242" s="3"/>
      <c r="G1242" s="3"/>
      <c r="H1242" s="3"/>
      <c r="I1242" s="3"/>
      <c r="J1242" s="3"/>
    </row>
    <row r="1243" spans="2:10">
      <c r="B1243" s="71" t="s">
        <v>152</v>
      </c>
      <c r="C1243" s="3">
        <v>0</v>
      </c>
      <c r="D1243" s="3">
        <v>0</v>
      </c>
      <c r="E1243" s="3">
        <v>0</v>
      </c>
      <c r="F1243" s="3">
        <v>0</v>
      </c>
      <c r="G1243" s="3">
        <v>177</v>
      </c>
      <c r="H1243" s="3">
        <v>180</v>
      </c>
      <c r="I1243" s="3">
        <v>183</v>
      </c>
      <c r="J1243" s="3">
        <v>187</v>
      </c>
    </row>
    <row r="1244" spans="2:10">
      <c r="B1244" s="52" t="s">
        <v>150</v>
      </c>
      <c r="C1244" s="3">
        <v>0</v>
      </c>
      <c r="D1244" s="3">
        <v>0</v>
      </c>
      <c r="E1244" s="3">
        <v>0</v>
      </c>
      <c r="F1244" s="3">
        <v>0</v>
      </c>
      <c r="G1244" s="3">
        <v>0</v>
      </c>
      <c r="H1244" s="3">
        <v>0</v>
      </c>
      <c r="I1244" s="3">
        <v>0</v>
      </c>
      <c r="J1244" s="3">
        <v>0</v>
      </c>
    </row>
    <row r="1245" spans="2:10">
      <c r="B1245" s="52" t="s">
        <v>149</v>
      </c>
      <c r="C1245" s="3">
        <v>0</v>
      </c>
      <c r="D1245" s="3">
        <v>0</v>
      </c>
      <c r="E1245" s="3">
        <v>0</v>
      </c>
      <c r="F1245" s="3">
        <v>0</v>
      </c>
      <c r="G1245" s="3">
        <v>0</v>
      </c>
      <c r="H1245" s="3">
        <v>0</v>
      </c>
      <c r="I1245" s="3">
        <v>0</v>
      </c>
      <c r="J1245" s="3">
        <v>0</v>
      </c>
    </row>
    <row r="1246" spans="2:10">
      <c r="B1246" s="52" t="s">
        <v>148</v>
      </c>
      <c r="C1246" s="3">
        <v>0</v>
      </c>
      <c r="D1246" s="3">
        <v>0</v>
      </c>
      <c r="E1246" s="3">
        <v>0</v>
      </c>
      <c r="F1246" s="3">
        <v>0</v>
      </c>
      <c r="G1246" s="3">
        <v>0</v>
      </c>
      <c r="H1246" s="3">
        <v>0</v>
      </c>
      <c r="I1246" s="3">
        <v>0</v>
      </c>
      <c r="J1246" s="3">
        <v>0</v>
      </c>
    </row>
    <row r="1247" spans="2:10">
      <c r="B1247" s="52" t="s">
        <v>147</v>
      </c>
      <c r="C1247" s="3">
        <v>0</v>
      </c>
      <c r="D1247" s="3">
        <v>0</v>
      </c>
      <c r="E1247" s="3">
        <v>0</v>
      </c>
      <c r="F1247" s="3">
        <v>0</v>
      </c>
      <c r="G1247" s="3">
        <v>50</v>
      </c>
      <c r="H1247" s="3">
        <v>52</v>
      </c>
      <c r="I1247" s="3">
        <v>53</v>
      </c>
      <c r="J1247" s="3">
        <v>56</v>
      </c>
    </row>
    <row r="1248" spans="2:10">
      <c r="B1248" s="52" t="s">
        <v>146</v>
      </c>
      <c r="C1248" s="3">
        <v>0</v>
      </c>
      <c r="D1248" s="3">
        <v>0</v>
      </c>
      <c r="E1248" s="3">
        <v>0</v>
      </c>
      <c r="F1248" s="3">
        <v>0</v>
      </c>
      <c r="G1248" s="3">
        <v>127</v>
      </c>
      <c r="H1248" s="3">
        <v>128</v>
      </c>
      <c r="I1248" s="3">
        <v>130</v>
      </c>
      <c r="J1248" s="3">
        <v>131</v>
      </c>
    </row>
    <row r="1249" spans="2:10">
      <c r="B1249" s="52"/>
      <c r="C1249" s="3"/>
      <c r="D1249" s="3"/>
      <c r="E1249" s="3"/>
      <c r="F1249" s="3"/>
      <c r="G1249" s="3"/>
      <c r="H1249" s="3"/>
      <c r="I1249" s="3"/>
      <c r="J1249" s="3"/>
    </row>
    <row r="1250" spans="2:10">
      <c r="B1250" s="71" t="s">
        <v>151</v>
      </c>
      <c r="C1250" s="3">
        <v>0</v>
      </c>
      <c r="D1250" s="3">
        <v>0</v>
      </c>
      <c r="E1250" s="3">
        <v>0</v>
      </c>
      <c r="F1250" s="3">
        <v>0</v>
      </c>
      <c r="G1250" s="3">
        <v>0</v>
      </c>
      <c r="H1250" s="3">
        <v>0</v>
      </c>
      <c r="I1250" s="3">
        <v>0</v>
      </c>
      <c r="J1250" s="3">
        <v>0</v>
      </c>
    </row>
    <row r="1251" spans="2:10">
      <c r="B1251" s="52" t="s">
        <v>150</v>
      </c>
      <c r="C1251" s="3">
        <v>0</v>
      </c>
      <c r="D1251" s="3">
        <v>0</v>
      </c>
      <c r="E1251" s="3">
        <v>0</v>
      </c>
      <c r="F1251" s="3">
        <v>0</v>
      </c>
      <c r="G1251" s="3">
        <v>0</v>
      </c>
      <c r="H1251" s="3">
        <v>0</v>
      </c>
      <c r="I1251" s="3">
        <v>0</v>
      </c>
      <c r="J1251" s="3">
        <v>0</v>
      </c>
    </row>
    <row r="1252" spans="2:10">
      <c r="B1252" s="52" t="s">
        <v>149</v>
      </c>
      <c r="C1252" s="3">
        <v>0</v>
      </c>
      <c r="D1252" s="3">
        <v>0</v>
      </c>
      <c r="E1252" s="3">
        <v>0</v>
      </c>
      <c r="F1252" s="3">
        <v>0</v>
      </c>
      <c r="G1252" s="3">
        <v>0</v>
      </c>
      <c r="H1252" s="3">
        <v>0</v>
      </c>
      <c r="I1252" s="3">
        <v>0</v>
      </c>
      <c r="J1252" s="3">
        <v>0</v>
      </c>
    </row>
    <row r="1253" spans="2:10">
      <c r="B1253" s="52" t="s">
        <v>148</v>
      </c>
      <c r="C1253" s="3">
        <v>0</v>
      </c>
      <c r="D1253" s="3">
        <v>0</v>
      </c>
      <c r="E1253" s="3">
        <v>0</v>
      </c>
      <c r="F1253" s="3">
        <v>0</v>
      </c>
      <c r="G1253" s="3">
        <v>0</v>
      </c>
      <c r="H1253" s="3">
        <v>0</v>
      </c>
      <c r="I1253" s="3">
        <v>0</v>
      </c>
      <c r="J1253" s="3">
        <v>0</v>
      </c>
    </row>
    <row r="1254" spans="2:10">
      <c r="B1254" s="52" t="s">
        <v>147</v>
      </c>
      <c r="C1254" s="3">
        <v>0</v>
      </c>
      <c r="D1254" s="3">
        <v>0</v>
      </c>
      <c r="E1254" s="3">
        <v>0</v>
      </c>
      <c r="F1254" s="3">
        <v>0</v>
      </c>
      <c r="G1254" s="3">
        <v>0</v>
      </c>
      <c r="H1254" s="3">
        <v>0</v>
      </c>
      <c r="I1254" s="3">
        <v>0</v>
      </c>
      <c r="J1254" s="3">
        <v>0</v>
      </c>
    </row>
    <row r="1255" spans="2:10">
      <c r="B1255" s="52" t="s">
        <v>146</v>
      </c>
      <c r="C1255" s="3">
        <v>0</v>
      </c>
      <c r="D1255" s="3">
        <v>0</v>
      </c>
      <c r="E1255" s="3">
        <v>0</v>
      </c>
      <c r="F1255" s="3">
        <v>0</v>
      </c>
      <c r="G1255" s="3">
        <v>0</v>
      </c>
      <c r="H1255" s="3">
        <v>0</v>
      </c>
      <c r="I1255" s="3">
        <v>0</v>
      </c>
      <c r="J1255" s="3">
        <v>0</v>
      </c>
    </row>
    <row r="1256" spans="2:10">
      <c r="B1256" s="52"/>
      <c r="C1256" s="3"/>
      <c r="D1256" s="3"/>
      <c r="E1256" s="3"/>
      <c r="F1256" s="3"/>
      <c r="G1256" s="3"/>
      <c r="H1256" s="3"/>
      <c r="I1256" s="3"/>
      <c r="J1256" s="3"/>
    </row>
    <row r="1257" spans="2:10">
      <c r="B1257" s="59" t="s">
        <v>960</v>
      </c>
      <c r="C1257" s="3"/>
      <c r="D1257" s="3"/>
      <c r="E1257" s="3"/>
      <c r="F1257" s="3"/>
      <c r="G1257" s="3"/>
      <c r="H1257" s="3"/>
      <c r="I1257" s="3"/>
      <c r="J1257" s="3"/>
    </row>
    <row r="1258" spans="2:10">
      <c r="B1258" s="71" t="s">
        <v>516</v>
      </c>
      <c r="C1258" s="3">
        <v>699</v>
      </c>
      <c r="D1258" s="3">
        <v>700</v>
      </c>
      <c r="E1258" s="3">
        <v>698</v>
      </c>
      <c r="F1258" s="3">
        <v>749</v>
      </c>
      <c r="G1258" s="3">
        <v>949</v>
      </c>
      <c r="H1258" s="3">
        <v>936</v>
      </c>
      <c r="I1258" s="3">
        <v>930</v>
      </c>
      <c r="J1258" s="3">
        <v>933</v>
      </c>
    </row>
    <row r="1259" spans="2:10">
      <c r="B1259" s="52" t="s">
        <v>150</v>
      </c>
      <c r="C1259" s="3">
        <v>1</v>
      </c>
      <c r="D1259" s="3">
        <v>1</v>
      </c>
      <c r="E1259" s="3">
        <v>1</v>
      </c>
      <c r="F1259" s="3">
        <v>1</v>
      </c>
      <c r="G1259" s="3">
        <v>1</v>
      </c>
      <c r="H1259" s="3">
        <v>1</v>
      </c>
      <c r="I1259" s="3">
        <v>1</v>
      </c>
      <c r="J1259" s="3">
        <v>1</v>
      </c>
    </row>
    <row r="1260" spans="2:10">
      <c r="B1260" s="52" t="s">
        <v>149</v>
      </c>
      <c r="C1260" s="3">
        <v>0</v>
      </c>
      <c r="D1260" s="3">
        <v>0</v>
      </c>
      <c r="E1260" s="3">
        <v>0</v>
      </c>
      <c r="F1260" s="3">
        <v>0</v>
      </c>
      <c r="G1260" s="3">
        <v>0</v>
      </c>
      <c r="H1260" s="3">
        <v>0</v>
      </c>
      <c r="I1260" s="3">
        <v>0</v>
      </c>
      <c r="J1260" s="3">
        <v>0</v>
      </c>
    </row>
    <row r="1261" spans="2:10">
      <c r="B1261" s="52" t="s">
        <v>148</v>
      </c>
      <c r="C1261" s="3"/>
      <c r="D1261" s="3"/>
      <c r="E1261" s="3"/>
      <c r="F1261" s="3"/>
      <c r="G1261" s="3"/>
      <c r="H1261" s="3"/>
      <c r="I1261" s="3">
        <v>0</v>
      </c>
      <c r="J1261" s="3">
        <v>0</v>
      </c>
    </row>
    <row r="1262" spans="2:10">
      <c r="B1262" s="52" t="s">
        <v>147</v>
      </c>
      <c r="C1262" s="3">
        <v>185</v>
      </c>
      <c r="D1262" s="3">
        <v>185</v>
      </c>
      <c r="E1262" s="3">
        <v>183</v>
      </c>
      <c r="F1262" s="3">
        <v>181</v>
      </c>
      <c r="G1262" s="3">
        <v>182</v>
      </c>
      <c r="H1262" s="3">
        <v>179</v>
      </c>
      <c r="I1262" s="3">
        <v>181</v>
      </c>
      <c r="J1262" s="3">
        <v>181</v>
      </c>
    </row>
    <row r="1263" spans="2:10">
      <c r="B1263" s="52" t="s">
        <v>146</v>
      </c>
      <c r="C1263" s="3">
        <v>513</v>
      </c>
      <c r="D1263" s="3">
        <v>514</v>
      </c>
      <c r="E1263" s="3">
        <v>514</v>
      </c>
      <c r="F1263" s="3">
        <v>567</v>
      </c>
      <c r="G1263" s="3">
        <v>766</v>
      </c>
      <c r="H1263" s="3">
        <v>756</v>
      </c>
      <c r="I1263" s="3">
        <v>748</v>
      </c>
      <c r="J1263" s="3">
        <v>751</v>
      </c>
    </row>
    <row r="1264" spans="2:10">
      <c r="B1264" s="52"/>
      <c r="C1264" s="3"/>
      <c r="D1264" s="3"/>
      <c r="E1264" s="3"/>
      <c r="F1264" s="3"/>
      <c r="G1264" s="3"/>
      <c r="H1264" s="3"/>
      <c r="I1264" s="3"/>
      <c r="J1264" s="3"/>
    </row>
    <row r="1265" spans="2:10">
      <c r="B1265" s="71" t="s">
        <v>152</v>
      </c>
      <c r="C1265" s="3">
        <v>699</v>
      </c>
      <c r="D1265" s="3">
        <v>700</v>
      </c>
      <c r="E1265" s="3">
        <v>698</v>
      </c>
      <c r="F1265" s="3">
        <v>749</v>
      </c>
      <c r="G1265" s="3">
        <v>949</v>
      </c>
      <c r="H1265" s="3">
        <v>936</v>
      </c>
      <c r="I1265" s="3">
        <v>930</v>
      </c>
      <c r="J1265" s="3">
        <v>933</v>
      </c>
    </row>
    <row r="1266" spans="2:10">
      <c r="B1266" s="52" t="s">
        <v>150</v>
      </c>
      <c r="C1266" s="3">
        <v>1</v>
      </c>
      <c r="D1266" s="3">
        <v>1</v>
      </c>
      <c r="E1266" s="3">
        <v>1</v>
      </c>
      <c r="F1266" s="3">
        <v>1</v>
      </c>
      <c r="G1266" s="3">
        <v>1</v>
      </c>
      <c r="H1266" s="3">
        <v>1</v>
      </c>
      <c r="I1266" s="3">
        <v>1</v>
      </c>
      <c r="J1266" s="3">
        <v>1</v>
      </c>
    </row>
    <row r="1267" spans="2:10">
      <c r="B1267" s="52" t="s">
        <v>149</v>
      </c>
      <c r="C1267" s="3">
        <v>0</v>
      </c>
      <c r="D1267" s="3">
        <v>0</v>
      </c>
      <c r="E1267" s="3">
        <v>0</v>
      </c>
      <c r="F1267" s="3">
        <v>0</v>
      </c>
      <c r="G1267" s="3">
        <v>0</v>
      </c>
      <c r="H1267" s="3">
        <v>0</v>
      </c>
      <c r="I1267" s="3">
        <v>0</v>
      </c>
      <c r="J1267" s="3">
        <v>0</v>
      </c>
    </row>
    <row r="1268" spans="2:10">
      <c r="B1268" s="52" t="s">
        <v>148</v>
      </c>
      <c r="C1268" s="3"/>
      <c r="D1268" s="3"/>
      <c r="E1268" s="3"/>
      <c r="F1268" s="3"/>
      <c r="G1268" s="3"/>
      <c r="H1268" s="3"/>
      <c r="I1268" s="3">
        <v>0</v>
      </c>
      <c r="J1268" s="3">
        <v>0</v>
      </c>
    </row>
    <row r="1269" spans="2:10">
      <c r="B1269" s="52" t="s">
        <v>147</v>
      </c>
      <c r="C1269" s="3">
        <v>185</v>
      </c>
      <c r="D1269" s="3">
        <v>185</v>
      </c>
      <c r="E1269" s="3">
        <v>183</v>
      </c>
      <c r="F1269" s="3">
        <v>181</v>
      </c>
      <c r="G1269" s="3">
        <v>182</v>
      </c>
      <c r="H1269" s="3">
        <v>179</v>
      </c>
      <c r="I1269" s="3">
        <v>181</v>
      </c>
      <c r="J1269" s="3">
        <v>181</v>
      </c>
    </row>
    <row r="1270" spans="2:10">
      <c r="B1270" s="52" t="s">
        <v>146</v>
      </c>
      <c r="C1270" s="3">
        <v>513</v>
      </c>
      <c r="D1270" s="3">
        <v>514</v>
      </c>
      <c r="E1270" s="3">
        <v>514</v>
      </c>
      <c r="F1270" s="3">
        <v>567</v>
      </c>
      <c r="G1270" s="3">
        <v>766</v>
      </c>
      <c r="H1270" s="3">
        <v>756</v>
      </c>
      <c r="I1270" s="3">
        <v>748</v>
      </c>
      <c r="J1270" s="3">
        <v>751</v>
      </c>
    </row>
    <row r="1271" spans="2:10">
      <c r="B1271" s="52"/>
      <c r="C1271" s="3"/>
      <c r="D1271" s="3"/>
      <c r="E1271" s="3"/>
      <c r="F1271" s="3"/>
      <c r="G1271" s="3"/>
      <c r="H1271" s="3"/>
      <c r="I1271" s="3"/>
      <c r="J1271" s="3"/>
    </row>
    <row r="1272" spans="2:10">
      <c r="B1272" s="71" t="s">
        <v>151</v>
      </c>
      <c r="C1272" s="3">
        <v>0</v>
      </c>
      <c r="D1272" s="3">
        <v>0</v>
      </c>
      <c r="E1272" s="3">
        <v>0</v>
      </c>
      <c r="F1272" s="3">
        <v>0</v>
      </c>
      <c r="G1272" s="3">
        <v>0</v>
      </c>
      <c r="H1272" s="3">
        <v>0</v>
      </c>
      <c r="I1272" s="3">
        <v>0</v>
      </c>
      <c r="J1272" s="3">
        <v>0</v>
      </c>
    </row>
    <row r="1273" spans="2:10">
      <c r="B1273" s="52" t="s">
        <v>150</v>
      </c>
      <c r="C1273" s="3">
        <v>0</v>
      </c>
      <c r="D1273" s="3">
        <v>0</v>
      </c>
      <c r="E1273" s="3">
        <v>0</v>
      </c>
      <c r="F1273" s="3">
        <v>0</v>
      </c>
      <c r="G1273" s="3">
        <v>0</v>
      </c>
      <c r="H1273" s="3">
        <v>0</v>
      </c>
      <c r="I1273" s="3">
        <v>0</v>
      </c>
      <c r="J1273" s="3">
        <v>0</v>
      </c>
    </row>
    <row r="1274" spans="2:10">
      <c r="B1274" s="52" t="s">
        <v>149</v>
      </c>
      <c r="C1274" s="3">
        <v>0</v>
      </c>
      <c r="D1274" s="3">
        <v>0</v>
      </c>
      <c r="E1274" s="3">
        <v>0</v>
      </c>
      <c r="F1274" s="3">
        <v>0</v>
      </c>
      <c r="G1274" s="3">
        <v>0</v>
      </c>
      <c r="H1274" s="3">
        <v>0</v>
      </c>
      <c r="I1274" s="3">
        <v>0</v>
      </c>
      <c r="J1274" s="3">
        <v>0</v>
      </c>
    </row>
    <row r="1275" spans="2:10">
      <c r="B1275" s="52" t="s">
        <v>148</v>
      </c>
      <c r="C1275" s="3">
        <v>0</v>
      </c>
      <c r="D1275" s="3">
        <v>0</v>
      </c>
      <c r="E1275" s="3">
        <v>0</v>
      </c>
      <c r="F1275" s="3">
        <v>0</v>
      </c>
      <c r="G1275" s="3">
        <v>0</v>
      </c>
      <c r="H1275" s="3">
        <v>0</v>
      </c>
      <c r="I1275" s="3">
        <v>0</v>
      </c>
      <c r="J1275" s="3">
        <v>0</v>
      </c>
    </row>
    <row r="1276" spans="2:10">
      <c r="B1276" s="52" t="s">
        <v>147</v>
      </c>
      <c r="C1276" s="3">
        <v>0</v>
      </c>
      <c r="D1276" s="3">
        <v>0</v>
      </c>
      <c r="E1276" s="3">
        <v>0</v>
      </c>
      <c r="F1276" s="3">
        <v>0</v>
      </c>
      <c r="G1276" s="3">
        <v>0</v>
      </c>
      <c r="H1276" s="3">
        <v>0</v>
      </c>
      <c r="I1276" s="3">
        <v>0</v>
      </c>
      <c r="J1276" s="3">
        <v>0</v>
      </c>
    </row>
    <row r="1277" spans="2:10">
      <c r="B1277" s="52" t="s">
        <v>146</v>
      </c>
      <c r="C1277" s="3">
        <v>0</v>
      </c>
      <c r="D1277" s="3">
        <v>0</v>
      </c>
      <c r="E1277" s="3">
        <v>0</v>
      </c>
      <c r="F1277" s="3">
        <v>0</v>
      </c>
      <c r="G1277" s="3">
        <v>0</v>
      </c>
      <c r="H1277" s="3">
        <v>0</v>
      </c>
      <c r="I1277" s="3">
        <v>0</v>
      </c>
      <c r="J1277" s="3">
        <v>0</v>
      </c>
    </row>
    <row r="1278" spans="2:10">
      <c r="B1278" s="52"/>
      <c r="C1278" s="3"/>
      <c r="D1278" s="3"/>
      <c r="E1278" s="3"/>
      <c r="F1278" s="3"/>
      <c r="G1278" s="3"/>
      <c r="H1278" s="3"/>
      <c r="I1278" s="3"/>
      <c r="J1278" s="3"/>
    </row>
    <row r="1279" spans="2:10">
      <c r="B1279" s="59" t="s">
        <v>972</v>
      </c>
      <c r="C1279" s="3"/>
      <c r="D1279" s="3"/>
      <c r="E1279" s="3"/>
      <c r="F1279" s="3"/>
      <c r="G1279" s="3"/>
      <c r="H1279" s="3"/>
      <c r="I1279" s="3"/>
      <c r="J1279" s="3"/>
    </row>
    <row r="1280" spans="2:10">
      <c r="B1280" s="71" t="s">
        <v>973</v>
      </c>
      <c r="C1280" s="3">
        <v>486</v>
      </c>
      <c r="D1280" s="3">
        <v>484</v>
      </c>
      <c r="E1280" s="3">
        <v>471</v>
      </c>
      <c r="F1280" s="3">
        <v>466</v>
      </c>
      <c r="G1280" s="3">
        <v>462</v>
      </c>
      <c r="H1280" s="3">
        <v>467</v>
      </c>
      <c r="I1280" s="3">
        <v>476</v>
      </c>
      <c r="J1280" s="3">
        <v>494</v>
      </c>
    </row>
    <row r="1281" spans="2:10">
      <c r="B1281" s="52" t="s">
        <v>150</v>
      </c>
      <c r="C1281" s="3">
        <v>1</v>
      </c>
      <c r="D1281" s="3">
        <v>1</v>
      </c>
      <c r="E1281" s="3">
        <v>1</v>
      </c>
      <c r="F1281" s="3">
        <v>1</v>
      </c>
      <c r="G1281" s="3">
        <v>1</v>
      </c>
      <c r="H1281" s="3">
        <v>1</v>
      </c>
      <c r="I1281" s="3">
        <v>1</v>
      </c>
      <c r="J1281" s="3">
        <v>1</v>
      </c>
    </row>
    <row r="1282" spans="2:10">
      <c r="B1282" s="52" t="s">
        <v>155</v>
      </c>
      <c r="C1282" s="3">
        <v>4</v>
      </c>
      <c r="D1282" s="3">
        <v>4</v>
      </c>
      <c r="E1282" s="3">
        <v>4</v>
      </c>
      <c r="F1282" s="3">
        <v>3</v>
      </c>
      <c r="G1282" s="3">
        <v>2</v>
      </c>
      <c r="H1282" s="3">
        <v>2</v>
      </c>
      <c r="I1282" s="3">
        <v>2</v>
      </c>
      <c r="J1282" s="3">
        <v>2</v>
      </c>
    </row>
    <row r="1283" spans="2:10">
      <c r="B1283" s="52" t="s">
        <v>148</v>
      </c>
      <c r="C1283" s="3">
        <v>1</v>
      </c>
      <c r="D1283" s="3">
        <v>1</v>
      </c>
      <c r="E1283" s="3">
        <v>1</v>
      </c>
      <c r="F1283" s="3">
        <v>1</v>
      </c>
      <c r="G1283" s="3">
        <v>1</v>
      </c>
      <c r="H1283" s="3">
        <v>1</v>
      </c>
      <c r="I1283" s="3">
        <v>1</v>
      </c>
      <c r="J1283" s="3">
        <v>1</v>
      </c>
    </row>
    <row r="1284" spans="2:10">
      <c r="B1284" s="52" t="s">
        <v>147</v>
      </c>
      <c r="C1284" s="3">
        <v>163</v>
      </c>
      <c r="D1284" s="3">
        <v>164</v>
      </c>
      <c r="E1284" s="3">
        <v>165</v>
      </c>
      <c r="F1284" s="3">
        <v>165</v>
      </c>
      <c r="G1284" s="3">
        <v>160</v>
      </c>
      <c r="H1284" s="3">
        <v>164</v>
      </c>
      <c r="I1284" s="3">
        <v>166</v>
      </c>
      <c r="J1284" s="3">
        <v>166</v>
      </c>
    </row>
    <row r="1285" spans="2:10">
      <c r="B1285" s="52" t="s">
        <v>146</v>
      </c>
      <c r="C1285" s="3">
        <v>317</v>
      </c>
      <c r="D1285" s="3">
        <v>314</v>
      </c>
      <c r="E1285" s="3">
        <v>300</v>
      </c>
      <c r="F1285" s="3">
        <v>296</v>
      </c>
      <c r="G1285" s="3">
        <v>298</v>
      </c>
      <c r="H1285" s="3">
        <v>299</v>
      </c>
      <c r="I1285" s="3">
        <v>306</v>
      </c>
      <c r="J1285" s="3">
        <v>324</v>
      </c>
    </row>
    <row r="1286" spans="2:10">
      <c r="B1286" s="52"/>
      <c r="C1286" s="3"/>
      <c r="D1286" s="3"/>
      <c r="E1286" s="3"/>
      <c r="F1286" s="3"/>
      <c r="G1286" s="3"/>
      <c r="H1286" s="3"/>
      <c r="I1286" s="3"/>
      <c r="J1286" s="3"/>
    </row>
    <row r="1287" spans="2:10">
      <c r="B1287" s="71" t="s">
        <v>152</v>
      </c>
      <c r="C1287" s="3">
        <v>486</v>
      </c>
      <c r="D1287" s="3">
        <v>484</v>
      </c>
      <c r="E1287" s="3">
        <v>471</v>
      </c>
      <c r="F1287" s="3">
        <v>466</v>
      </c>
      <c r="G1287" s="3">
        <v>462</v>
      </c>
      <c r="H1287" s="3">
        <v>467</v>
      </c>
      <c r="I1287" s="3">
        <v>476</v>
      </c>
      <c r="J1287" s="3">
        <v>494</v>
      </c>
    </row>
    <row r="1288" spans="2:10">
      <c r="B1288" s="52" t="s">
        <v>150</v>
      </c>
      <c r="C1288" s="3">
        <v>1</v>
      </c>
      <c r="D1288" s="3">
        <v>1</v>
      </c>
      <c r="E1288" s="3">
        <v>1</v>
      </c>
      <c r="F1288" s="3">
        <v>1</v>
      </c>
      <c r="G1288" s="3">
        <v>1</v>
      </c>
      <c r="H1288" s="3">
        <v>1</v>
      </c>
      <c r="I1288" s="3">
        <v>1</v>
      </c>
      <c r="J1288" s="3">
        <v>1</v>
      </c>
    </row>
    <row r="1289" spans="2:10">
      <c r="B1289" s="52" t="s">
        <v>149</v>
      </c>
      <c r="C1289" s="3">
        <v>4</v>
      </c>
      <c r="D1289" s="3">
        <v>4</v>
      </c>
      <c r="E1289" s="3">
        <v>4</v>
      </c>
      <c r="F1289" s="3">
        <v>3</v>
      </c>
      <c r="G1289" s="3">
        <v>2</v>
      </c>
      <c r="H1289" s="3">
        <v>2</v>
      </c>
      <c r="I1289" s="3">
        <v>2</v>
      </c>
      <c r="J1289" s="3">
        <v>2</v>
      </c>
    </row>
    <row r="1290" spans="2:10">
      <c r="B1290" s="52" t="s">
        <v>148</v>
      </c>
      <c r="C1290" s="3">
        <v>1</v>
      </c>
      <c r="D1290" s="3">
        <v>1</v>
      </c>
      <c r="E1290" s="3">
        <v>1</v>
      </c>
      <c r="F1290" s="3">
        <v>1</v>
      </c>
      <c r="G1290" s="3">
        <v>1</v>
      </c>
      <c r="H1290" s="3">
        <v>1</v>
      </c>
      <c r="I1290" s="3">
        <v>1</v>
      </c>
      <c r="J1290" s="3">
        <v>1</v>
      </c>
    </row>
    <row r="1291" spans="2:10">
      <c r="B1291" s="52" t="s">
        <v>147</v>
      </c>
      <c r="C1291" s="3">
        <v>163</v>
      </c>
      <c r="D1291" s="3">
        <v>164</v>
      </c>
      <c r="E1291" s="3">
        <v>165</v>
      </c>
      <c r="F1291" s="3">
        <v>165</v>
      </c>
      <c r="G1291" s="3">
        <v>160</v>
      </c>
      <c r="H1291" s="3">
        <v>164</v>
      </c>
      <c r="I1291" s="3">
        <v>166</v>
      </c>
      <c r="J1291" s="3">
        <v>166</v>
      </c>
    </row>
    <row r="1292" spans="2:10">
      <c r="B1292" s="52" t="s">
        <v>146</v>
      </c>
      <c r="C1292" s="3">
        <v>317</v>
      </c>
      <c r="D1292" s="3">
        <v>314</v>
      </c>
      <c r="E1292" s="3">
        <v>300</v>
      </c>
      <c r="F1292" s="3">
        <v>296</v>
      </c>
      <c r="G1292" s="3">
        <v>298</v>
      </c>
      <c r="H1292" s="3">
        <v>299</v>
      </c>
      <c r="I1292" s="3">
        <v>306</v>
      </c>
      <c r="J1292" s="3">
        <v>324</v>
      </c>
    </row>
    <row r="1293" spans="2:10">
      <c r="B1293" s="52"/>
      <c r="C1293" s="3"/>
      <c r="D1293" s="3"/>
      <c r="E1293" s="3"/>
      <c r="F1293" s="3"/>
      <c r="G1293" s="3"/>
      <c r="H1293" s="3"/>
      <c r="I1293" s="3"/>
      <c r="J1293" s="3"/>
    </row>
    <row r="1294" spans="2:10">
      <c r="B1294" s="71" t="s">
        <v>151</v>
      </c>
      <c r="C1294" s="3">
        <v>0</v>
      </c>
      <c r="D1294" s="3">
        <v>0</v>
      </c>
      <c r="E1294" s="3">
        <v>0</v>
      </c>
      <c r="F1294" s="3">
        <v>0</v>
      </c>
      <c r="G1294" s="3">
        <v>0</v>
      </c>
      <c r="H1294" s="3">
        <v>0</v>
      </c>
      <c r="I1294" s="3">
        <v>0</v>
      </c>
      <c r="J1294" s="3">
        <v>0</v>
      </c>
    </row>
    <row r="1295" spans="2:10">
      <c r="B1295" s="52" t="s">
        <v>150</v>
      </c>
      <c r="C1295" s="3">
        <v>0</v>
      </c>
      <c r="D1295" s="3">
        <v>0</v>
      </c>
      <c r="E1295" s="3">
        <v>0</v>
      </c>
      <c r="F1295" s="3">
        <v>0</v>
      </c>
      <c r="G1295" s="3">
        <v>0</v>
      </c>
      <c r="H1295" s="3">
        <v>0</v>
      </c>
      <c r="I1295" s="3">
        <v>0</v>
      </c>
      <c r="J1295" s="3">
        <v>0</v>
      </c>
    </row>
    <row r="1296" spans="2:10">
      <c r="B1296" s="52" t="s">
        <v>149</v>
      </c>
      <c r="C1296" s="3">
        <v>0</v>
      </c>
      <c r="D1296" s="3">
        <v>0</v>
      </c>
      <c r="E1296" s="3">
        <v>0</v>
      </c>
      <c r="F1296" s="3">
        <v>0</v>
      </c>
      <c r="G1296" s="3">
        <v>0</v>
      </c>
      <c r="H1296" s="3">
        <v>0</v>
      </c>
      <c r="I1296" s="3">
        <v>0</v>
      </c>
      <c r="J1296" s="3">
        <v>0</v>
      </c>
    </row>
    <row r="1297" spans="2:10">
      <c r="B1297" s="52" t="s">
        <v>148</v>
      </c>
      <c r="C1297" s="3">
        <v>0</v>
      </c>
      <c r="D1297" s="3">
        <v>0</v>
      </c>
      <c r="E1297" s="3">
        <v>0</v>
      </c>
      <c r="F1297" s="3">
        <v>0</v>
      </c>
      <c r="G1297" s="3">
        <v>0</v>
      </c>
      <c r="H1297" s="3">
        <v>0</v>
      </c>
      <c r="I1297" s="3">
        <v>0</v>
      </c>
      <c r="J1297" s="3">
        <v>0</v>
      </c>
    </row>
    <row r="1298" spans="2:10">
      <c r="B1298" s="52" t="s">
        <v>147</v>
      </c>
      <c r="C1298" s="3">
        <v>0</v>
      </c>
      <c r="D1298" s="3">
        <v>0</v>
      </c>
      <c r="E1298" s="3">
        <v>0</v>
      </c>
      <c r="F1298" s="3">
        <v>0</v>
      </c>
      <c r="G1298" s="3">
        <v>0</v>
      </c>
      <c r="H1298" s="3">
        <v>0</v>
      </c>
      <c r="I1298" s="3">
        <v>0</v>
      </c>
      <c r="J1298" s="3">
        <v>0</v>
      </c>
    </row>
    <row r="1299" spans="2:10" ht="15" thickBot="1">
      <c r="B1299" s="544" t="s">
        <v>146</v>
      </c>
      <c r="C1299" s="100">
        <v>0</v>
      </c>
      <c r="D1299" s="100">
        <v>0</v>
      </c>
      <c r="E1299" s="100">
        <v>0</v>
      </c>
      <c r="F1299" s="100">
        <v>0</v>
      </c>
      <c r="G1299" s="100">
        <v>0</v>
      </c>
      <c r="H1299" s="100">
        <v>0</v>
      </c>
      <c r="I1299" s="100">
        <v>0</v>
      </c>
      <c r="J1299" s="100">
        <v>0</v>
      </c>
    </row>
    <row r="1300" spans="2:10" ht="15" thickTop="1">
      <c r="B1300" s="2025" t="s">
        <v>974</v>
      </c>
      <c r="C1300" s="2025"/>
      <c r="D1300" s="2025"/>
      <c r="E1300" s="2025"/>
      <c r="F1300" s="2025"/>
      <c r="G1300" s="2025"/>
      <c r="H1300" s="2025"/>
      <c r="I1300" s="2025"/>
      <c r="J1300" s="2025"/>
    </row>
    <row r="1301" spans="2:10">
      <c r="B1301" s="2066" t="s">
        <v>975</v>
      </c>
      <c r="C1301" s="2066"/>
      <c r="D1301" s="2066"/>
      <c r="E1301" s="2066"/>
      <c r="F1301" s="2066"/>
      <c r="G1301" s="2066"/>
      <c r="H1301" s="2066"/>
      <c r="I1301" s="2066"/>
      <c r="J1301" s="2066"/>
    </row>
    <row r="1302" spans="2:10">
      <c r="B1302" s="62"/>
    </row>
    <row r="1303" spans="2:10">
      <c r="B1303" s="2024" t="s">
        <v>144</v>
      </c>
      <c r="C1303" s="2024"/>
      <c r="D1303" s="2024"/>
      <c r="E1303" s="2024"/>
      <c r="F1303" s="2024"/>
      <c r="G1303" s="2024"/>
      <c r="H1303" s="2024"/>
      <c r="I1303" s="2024"/>
      <c r="J1303" s="2024"/>
    </row>
    <row r="1304" spans="2:10">
      <c r="B1304" s="12" t="s">
        <v>143</v>
      </c>
    </row>
    <row r="1305" spans="2:10">
      <c r="B1305" s="62" t="s">
        <v>142</v>
      </c>
    </row>
    <row r="1306" spans="2:10">
      <c r="B1306" s="62"/>
    </row>
    <row r="1307" spans="2:10">
      <c r="B1307" s="61"/>
      <c r="C1307" s="60">
        <v>2014</v>
      </c>
      <c r="D1307" s="60">
        <v>2015</v>
      </c>
      <c r="E1307" s="60">
        <v>2016</v>
      </c>
      <c r="F1307" s="60">
        <v>2017</v>
      </c>
      <c r="G1307" s="60">
        <v>2018</v>
      </c>
      <c r="H1307" s="60">
        <v>2019</v>
      </c>
      <c r="I1307" s="60">
        <v>2020</v>
      </c>
      <c r="J1307" s="60">
        <v>2021</v>
      </c>
    </row>
    <row r="1308" spans="2:10" ht="15">
      <c r="B1308" s="59" t="s">
        <v>962</v>
      </c>
    </row>
    <row r="1309" spans="2:10">
      <c r="B1309" s="545" t="s">
        <v>141</v>
      </c>
      <c r="C1309" s="55">
        <v>1.3220000000000001</v>
      </c>
      <c r="D1309" s="55">
        <v>1.337</v>
      </c>
      <c r="E1309" s="55">
        <v>1.387</v>
      </c>
      <c r="F1309" s="55">
        <v>1.423</v>
      </c>
      <c r="G1309" s="55">
        <v>0</v>
      </c>
      <c r="H1309" s="55">
        <v>0</v>
      </c>
      <c r="I1309" s="55">
        <v>0</v>
      </c>
      <c r="J1309" s="55">
        <v>0</v>
      </c>
    </row>
    <row r="1310" spans="2:10">
      <c r="B1310" s="546" t="s">
        <v>121</v>
      </c>
      <c r="C1310" s="55">
        <v>0.158</v>
      </c>
      <c r="D1310" s="55">
        <v>0.16300000000000001</v>
      </c>
      <c r="E1310" s="55">
        <v>0.17899999999999999</v>
      </c>
      <c r="F1310" s="55">
        <v>0.2</v>
      </c>
      <c r="G1310" s="55">
        <v>0</v>
      </c>
      <c r="H1310" s="55">
        <v>0</v>
      </c>
      <c r="I1310" s="55">
        <v>0</v>
      </c>
      <c r="J1310" s="55">
        <v>0</v>
      </c>
    </row>
    <row r="1311" spans="2:10">
      <c r="B1311" s="547" t="s">
        <v>120</v>
      </c>
      <c r="C1311" s="548">
        <v>0</v>
      </c>
      <c r="D1311" s="548">
        <v>0</v>
      </c>
      <c r="E1311" s="548">
        <v>0</v>
      </c>
      <c r="F1311" s="548">
        <v>0</v>
      </c>
      <c r="G1311" s="548" t="s">
        <v>2086</v>
      </c>
      <c r="H1311" s="548" t="s">
        <v>2086</v>
      </c>
      <c r="I1311" s="548" t="s">
        <v>2086</v>
      </c>
      <c r="J1311" s="548" t="s">
        <v>2086</v>
      </c>
    </row>
    <row r="1312" spans="2:10">
      <c r="B1312" s="547" t="s">
        <v>119</v>
      </c>
      <c r="C1312" s="55">
        <v>0.158</v>
      </c>
      <c r="D1312" s="55">
        <v>0.16300000000000001</v>
      </c>
      <c r="E1312" s="55">
        <v>0.17899999999999999</v>
      </c>
      <c r="F1312" s="55">
        <v>0.2</v>
      </c>
      <c r="G1312" s="55">
        <v>0</v>
      </c>
      <c r="H1312" s="55">
        <v>0</v>
      </c>
      <c r="I1312" s="55">
        <v>0</v>
      </c>
      <c r="J1312" s="55">
        <v>0</v>
      </c>
    </row>
    <row r="1313" spans="2:10">
      <c r="B1313" s="546" t="s">
        <v>118</v>
      </c>
      <c r="C1313" s="55">
        <v>1.1639999999999999</v>
      </c>
      <c r="D1313" s="55">
        <v>1.1739999999999999</v>
      </c>
      <c r="E1313" s="55">
        <v>1.208</v>
      </c>
      <c r="F1313" s="55">
        <v>1.2230000000000001</v>
      </c>
      <c r="G1313" s="55">
        <v>0</v>
      </c>
      <c r="H1313" s="55">
        <v>0</v>
      </c>
      <c r="I1313" s="55">
        <v>0</v>
      </c>
      <c r="J1313" s="55">
        <v>0</v>
      </c>
    </row>
    <row r="1314" spans="2:10">
      <c r="B1314" s="546" t="s">
        <v>117</v>
      </c>
      <c r="C1314" s="55">
        <v>0</v>
      </c>
      <c r="D1314" s="55">
        <v>0</v>
      </c>
      <c r="E1314" s="55">
        <v>0</v>
      </c>
      <c r="F1314" s="55">
        <v>0</v>
      </c>
      <c r="G1314" s="55">
        <v>0</v>
      </c>
      <c r="H1314" s="55">
        <v>0</v>
      </c>
      <c r="I1314" s="55">
        <v>0</v>
      </c>
      <c r="J1314" s="55">
        <v>0</v>
      </c>
    </row>
    <row r="1315" spans="2:10">
      <c r="B1315" s="546"/>
      <c r="C1315" s="55"/>
      <c r="D1315" s="55"/>
      <c r="E1315" s="55"/>
      <c r="F1315" s="55"/>
      <c r="G1315" s="55"/>
      <c r="H1315" s="55"/>
      <c r="I1315" s="55"/>
      <c r="J1315" s="55"/>
    </row>
    <row r="1316" spans="2:10">
      <c r="B1316" s="59" t="s">
        <v>971</v>
      </c>
    </row>
    <row r="1317" spans="2:10" ht="14.25" customHeight="1">
      <c r="B1317" s="545" t="s">
        <v>141</v>
      </c>
      <c r="C1317" s="55">
        <v>0</v>
      </c>
      <c r="D1317" s="55">
        <v>0</v>
      </c>
      <c r="E1317" s="55">
        <v>0</v>
      </c>
      <c r="F1317" s="55">
        <v>0</v>
      </c>
      <c r="G1317" s="55">
        <v>1.403</v>
      </c>
      <c r="H1317" s="55">
        <v>1.58</v>
      </c>
      <c r="I1317" s="55">
        <v>2.1310000000000002</v>
      </c>
      <c r="J1317" s="55">
        <v>2.3940000000000001</v>
      </c>
    </row>
    <row r="1318" spans="2:10">
      <c r="B1318" s="546" t="s">
        <v>121</v>
      </c>
      <c r="C1318" s="55">
        <v>0</v>
      </c>
      <c r="D1318" s="55">
        <v>0</v>
      </c>
      <c r="E1318" s="55">
        <v>0</v>
      </c>
      <c r="F1318" s="55">
        <v>0</v>
      </c>
      <c r="G1318" s="55">
        <v>0.159</v>
      </c>
      <c r="H1318" s="55">
        <v>0.158</v>
      </c>
      <c r="I1318" s="55">
        <v>9.6000000000000002E-2</v>
      </c>
      <c r="J1318" s="55">
        <v>8.5999999999999993E-2</v>
      </c>
    </row>
    <row r="1319" spans="2:10">
      <c r="B1319" s="547" t="s">
        <v>120</v>
      </c>
      <c r="C1319" s="548" t="s">
        <v>2086</v>
      </c>
      <c r="D1319" s="548" t="s">
        <v>2086</v>
      </c>
      <c r="E1319" s="548" t="s">
        <v>2086</v>
      </c>
      <c r="F1319" s="548" t="s">
        <v>2086</v>
      </c>
      <c r="G1319" s="548">
        <v>0</v>
      </c>
      <c r="H1319" s="548">
        <v>0</v>
      </c>
      <c r="I1319" s="548">
        <v>0</v>
      </c>
      <c r="J1319" s="548">
        <v>0</v>
      </c>
    </row>
    <row r="1320" spans="2:10">
      <c r="B1320" s="547" t="s">
        <v>119</v>
      </c>
      <c r="C1320" s="55">
        <v>0</v>
      </c>
      <c r="D1320" s="55">
        <v>0</v>
      </c>
      <c r="E1320" s="55">
        <v>0</v>
      </c>
      <c r="F1320" s="55">
        <v>0</v>
      </c>
      <c r="G1320" s="55">
        <v>0.159</v>
      </c>
      <c r="H1320" s="55">
        <v>0.158</v>
      </c>
      <c r="I1320" s="55">
        <v>9.6000000000000002E-2</v>
      </c>
      <c r="J1320" s="55">
        <v>8.5999999999999993E-2</v>
      </c>
    </row>
    <row r="1321" spans="2:10">
      <c r="B1321" s="546" t="s">
        <v>118</v>
      </c>
      <c r="C1321" s="55">
        <v>0</v>
      </c>
      <c r="D1321" s="55">
        <v>0</v>
      </c>
      <c r="E1321" s="55">
        <v>0</v>
      </c>
      <c r="F1321" s="55">
        <v>0</v>
      </c>
      <c r="G1321" s="55">
        <v>1.244</v>
      </c>
      <c r="H1321" s="55">
        <v>1.4219999999999999</v>
      </c>
      <c r="I1321" s="55">
        <v>2.0350000000000001</v>
      </c>
      <c r="J1321" s="55">
        <v>2.3079999999999998</v>
      </c>
    </row>
    <row r="1322" spans="2:10">
      <c r="B1322" s="546" t="s">
        <v>117</v>
      </c>
      <c r="C1322" s="55">
        <v>0</v>
      </c>
      <c r="D1322" s="55">
        <v>0</v>
      </c>
      <c r="E1322" s="55">
        <v>0</v>
      </c>
      <c r="F1322" s="55">
        <v>0</v>
      </c>
      <c r="G1322" s="55">
        <v>0</v>
      </c>
      <c r="H1322" s="55">
        <v>0</v>
      </c>
      <c r="I1322" s="55">
        <v>0</v>
      </c>
      <c r="J1322" s="55">
        <v>0</v>
      </c>
    </row>
    <row r="1323" spans="2:10">
      <c r="B1323" s="546"/>
      <c r="C1323" s="55"/>
      <c r="D1323" s="55"/>
      <c r="E1323" s="55"/>
      <c r="F1323" s="55"/>
      <c r="G1323" s="55"/>
      <c r="H1323" s="55"/>
      <c r="I1323" s="55"/>
      <c r="J1323" s="55"/>
    </row>
    <row r="1324" spans="2:10">
      <c r="B1324" s="549" t="s">
        <v>960</v>
      </c>
      <c r="C1324" s="55"/>
      <c r="D1324" s="55"/>
      <c r="E1324" s="55"/>
      <c r="F1324" s="55"/>
      <c r="G1324" s="55"/>
      <c r="H1324" s="55"/>
      <c r="I1324" s="55"/>
      <c r="J1324" s="55"/>
    </row>
    <row r="1325" spans="2:10">
      <c r="B1325" s="545" t="s">
        <v>141</v>
      </c>
      <c r="C1325" s="55">
        <v>3272.0410000000002</v>
      </c>
      <c r="D1325" s="55">
        <v>7430.1170000000002</v>
      </c>
      <c r="E1325" s="55">
        <v>9174.85</v>
      </c>
      <c r="F1325" s="55">
        <v>10234.174999999999</v>
      </c>
      <c r="G1325" s="55">
        <v>16715.026000000002</v>
      </c>
      <c r="H1325" s="55">
        <v>24492.146000000001</v>
      </c>
      <c r="I1325" s="55">
        <v>37115.842000000004</v>
      </c>
      <c r="J1325" s="55">
        <v>44344.682000000001</v>
      </c>
    </row>
    <row r="1326" spans="2:10">
      <c r="B1326" s="546" t="s">
        <v>121</v>
      </c>
      <c r="C1326" s="55">
        <v>3272.0410000000002</v>
      </c>
      <c r="D1326" s="55">
        <v>7430.1170000000002</v>
      </c>
      <c r="E1326" s="55">
        <v>9174.85</v>
      </c>
      <c r="F1326" s="55">
        <v>10234.174999999999</v>
      </c>
      <c r="G1326" s="55">
        <v>16715.026000000002</v>
      </c>
      <c r="H1326" s="55">
        <v>24492.146000000001</v>
      </c>
      <c r="I1326" s="55">
        <v>37115.842000000004</v>
      </c>
      <c r="J1326" s="55">
        <v>44344.682000000001</v>
      </c>
    </row>
    <row r="1327" spans="2:10">
      <c r="B1327" s="547" t="s">
        <v>120</v>
      </c>
      <c r="C1327" s="55">
        <v>358.1</v>
      </c>
      <c r="D1327" s="55">
        <v>616.97199999999998</v>
      </c>
      <c r="E1327" s="55">
        <v>785.65453741928764</v>
      </c>
      <c r="F1327" s="55">
        <v>1729.6880000000001</v>
      </c>
      <c r="G1327" s="55">
        <v>2825.0230000000001</v>
      </c>
      <c r="H1327" s="55">
        <v>2265.0149999999999</v>
      </c>
      <c r="I1327" s="55">
        <v>2948.5230000000001</v>
      </c>
      <c r="J1327" s="55">
        <v>3659.9839999999999</v>
      </c>
    </row>
    <row r="1328" spans="2:10">
      <c r="B1328" s="547" t="s">
        <v>119</v>
      </c>
      <c r="C1328" s="55">
        <v>2913.9409999999998</v>
      </c>
      <c r="D1328" s="55">
        <v>6813.1450000000004</v>
      </c>
      <c r="E1328" s="55">
        <v>8389.195462580712</v>
      </c>
      <c r="F1328" s="55">
        <v>8504.4869999999992</v>
      </c>
      <c r="G1328" s="55">
        <v>13890.003000000001</v>
      </c>
      <c r="H1328" s="55">
        <v>22227.131000000001</v>
      </c>
      <c r="I1328" s="55">
        <v>34167.319000000003</v>
      </c>
      <c r="J1328" s="55">
        <v>40684.697999999997</v>
      </c>
    </row>
    <row r="1329" spans="2:10">
      <c r="B1329" s="546" t="s">
        <v>118</v>
      </c>
      <c r="C1329" s="55">
        <v>0</v>
      </c>
      <c r="D1329" s="55">
        <v>0</v>
      </c>
      <c r="E1329" s="55">
        <v>0</v>
      </c>
      <c r="F1329" s="55">
        <v>0</v>
      </c>
      <c r="G1329" s="55">
        <v>0</v>
      </c>
      <c r="H1329" s="55">
        <v>0</v>
      </c>
      <c r="I1329" s="55">
        <v>0</v>
      </c>
      <c r="J1329" s="55">
        <v>0</v>
      </c>
    </row>
    <row r="1330" spans="2:10">
      <c r="B1330" s="546" t="s">
        <v>117</v>
      </c>
      <c r="C1330" s="55">
        <v>0</v>
      </c>
      <c r="D1330" s="55">
        <v>0</v>
      </c>
      <c r="E1330" s="55">
        <v>0</v>
      </c>
      <c r="F1330" s="55">
        <v>0</v>
      </c>
      <c r="G1330" s="55">
        <v>0</v>
      </c>
      <c r="H1330" s="55">
        <v>0</v>
      </c>
      <c r="I1330" s="55">
        <v>0</v>
      </c>
      <c r="J1330" s="55">
        <v>0</v>
      </c>
    </row>
    <row r="1331" spans="2:10">
      <c r="B1331" s="545"/>
      <c r="C1331" s="55"/>
      <c r="D1331" s="55"/>
      <c r="E1331" s="55"/>
      <c r="F1331" s="55"/>
      <c r="G1331" s="55"/>
      <c r="H1331" s="55"/>
      <c r="I1331" s="55"/>
      <c r="J1331" s="55"/>
    </row>
    <row r="1332" spans="2:10">
      <c r="B1332" s="549" t="s">
        <v>972</v>
      </c>
      <c r="C1332" s="55"/>
      <c r="D1332" s="55"/>
      <c r="E1332" s="55"/>
      <c r="F1332" s="55"/>
      <c r="G1332" s="55"/>
      <c r="H1332" s="55"/>
      <c r="I1332" s="55"/>
      <c r="J1332" s="55"/>
    </row>
    <row r="1333" spans="2:10">
      <c r="B1333" s="545" t="s">
        <v>976</v>
      </c>
      <c r="C1333" s="55">
        <v>0.38800000000000001</v>
      </c>
      <c r="D1333" s="55">
        <v>0.35900000000000021</v>
      </c>
      <c r="E1333" s="55">
        <v>0.34700000000000036</v>
      </c>
      <c r="F1333" s="55">
        <v>0.32599999999999951</v>
      </c>
      <c r="G1333" s="55">
        <v>0.378</v>
      </c>
      <c r="H1333" s="55">
        <v>0.39</v>
      </c>
      <c r="I1333" s="55">
        <v>0.377</v>
      </c>
      <c r="J1333" s="55">
        <v>0.36099999999999999</v>
      </c>
    </row>
    <row r="1334" spans="2:10">
      <c r="B1334" s="546" t="s">
        <v>121</v>
      </c>
      <c r="C1334" s="55">
        <v>0.38800000000000001</v>
      </c>
      <c r="D1334" s="55">
        <v>0.35900000000000021</v>
      </c>
      <c r="E1334" s="55">
        <v>0.34700000000000036</v>
      </c>
      <c r="F1334" s="55">
        <v>0.32599999999999951</v>
      </c>
      <c r="G1334" s="55">
        <v>0.378</v>
      </c>
      <c r="H1334" s="55">
        <v>0.39</v>
      </c>
      <c r="I1334" s="55">
        <v>0.377</v>
      </c>
      <c r="J1334" s="55">
        <v>0.36099999999999999</v>
      </c>
    </row>
    <row r="1335" spans="2:10">
      <c r="B1335" s="547" t="s">
        <v>120</v>
      </c>
      <c r="C1335" s="55">
        <v>3.0000000000000001E-3</v>
      </c>
      <c r="D1335" s="55">
        <v>1.9052323508062E-3</v>
      </c>
      <c r="E1335" s="55">
        <v>2.0438940799433801E-3</v>
      </c>
      <c r="F1335" s="55">
        <v>1.5505127526295301E-3</v>
      </c>
      <c r="G1335" s="55">
        <v>2E-3</v>
      </c>
      <c r="H1335" s="55">
        <v>1E-3</v>
      </c>
      <c r="I1335" s="55">
        <v>2.8228055705369699E-3</v>
      </c>
      <c r="J1335" s="55">
        <v>2E-3</v>
      </c>
    </row>
    <row r="1336" spans="2:10">
      <c r="B1336" s="547" t="s">
        <v>119</v>
      </c>
      <c r="C1336" s="55">
        <v>0.38500000000000001</v>
      </c>
      <c r="D1336" s="55">
        <v>0.35709476764919401</v>
      </c>
      <c r="E1336" s="55">
        <v>0.34495610592005699</v>
      </c>
      <c r="F1336" s="55">
        <v>0.32444948724736999</v>
      </c>
      <c r="G1336" s="55">
        <v>0.376</v>
      </c>
      <c r="H1336" s="55">
        <v>0.38900000000000001</v>
      </c>
      <c r="I1336" s="55">
        <v>0.37417719442946301</v>
      </c>
      <c r="J1336" s="55">
        <v>0.35899999999999999</v>
      </c>
    </row>
    <row r="1337" spans="2:10">
      <c r="B1337" s="546" t="s">
        <v>118</v>
      </c>
      <c r="C1337" s="55">
        <v>0</v>
      </c>
      <c r="D1337" s="55">
        <v>0</v>
      </c>
      <c r="E1337" s="55">
        <v>0</v>
      </c>
      <c r="F1337" s="55">
        <v>0</v>
      </c>
      <c r="G1337" s="55">
        <v>0</v>
      </c>
      <c r="H1337" s="55">
        <v>0</v>
      </c>
      <c r="I1337" s="55">
        <v>0</v>
      </c>
      <c r="J1337" s="55">
        <v>0</v>
      </c>
    </row>
    <row r="1338" spans="2:10" ht="15" thickBot="1">
      <c r="B1338" s="550" t="s">
        <v>117</v>
      </c>
      <c r="C1338" s="101">
        <v>0</v>
      </c>
      <c r="D1338" s="101">
        <v>0</v>
      </c>
      <c r="E1338" s="101">
        <v>0</v>
      </c>
      <c r="F1338" s="101">
        <v>0</v>
      </c>
      <c r="G1338" s="101">
        <v>0</v>
      </c>
      <c r="H1338" s="101">
        <v>0</v>
      </c>
      <c r="I1338" s="101">
        <v>0</v>
      </c>
      <c r="J1338" s="101">
        <v>0</v>
      </c>
    </row>
    <row r="1339" spans="2:10" ht="15" thickTop="1">
      <c r="B1339" s="2073" t="s">
        <v>974</v>
      </c>
      <c r="C1339" s="2073"/>
      <c r="D1339" s="2073"/>
      <c r="E1339" s="2073"/>
      <c r="F1339" s="2073"/>
      <c r="G1339" s="2073"/>
      <c r="H1339" s="2073"/>
      <c r="I1339" s="2073"/>
      <c r="J1339" s="2073"/>
    </row>
    <row r="1340" spans="2:10">
      <c r="B1340" s="2074" t="s">
        <v>977</v>
      </c>
      <c r="C1340" s="2074"/>
      <c r="D1340" s="2074"/>
      <c r="E1340" s="2074"/>
      <c r="F1340" s="2074"/>
      <c r="G1340" s="2074"/>
      <c r="H1340" s="2074"/>
      <c r="I1340" s="2074"/>
      <c r="J1340" s="2074"/>
    </row>
    <row r="1341" spans="2:10">
      <c r="B1341" s="440"/>
      <c r="C1341" s="89"/>
      <c r="D1341" s="89"/>
      <c r="E1341" s="89"/>
      <c r="F1341" s="89"/>
      <c r="G1341" s="89"/>
      <c r="H1341" s="89"/>
      <c r="I1341" s="89"/>
      <c r="J1341" s="89"/>
    </row>
    <row r="1342" spans="2:10">
      <c r="B1342" s="2075" t="s">
        <v>140</v>
      </c>
      <c r="C1342" s="2075"/>
      <c r="D1342" s="2075"/>
      <c r="E1342" s="2075"/>
      <c r="F1342" s="2075"/>
      <c r="G1342" s="2075"/>
      <c r="H1342" s="2075"/>
      <c r="I1342" s="2075"/>
      <c r="J1342" s="2075"/>
    </row>
    <row r="1343" spans="2:10">
      <c r="B1343" s="551" t="s">
        <v>139</v>
      </c>
      <c r="C1343" s="89"/>
      <c r="D1343" s="89"/>
      <c r="E1343" s="89"/>
      <c r="F1343" s="89"/>
      <c r="G1343" s="89"/>
      <c r="H1343" s="89"/>
      <c r="I1343" s="89"/>
      <c r="J1343" s="89"/>
    </row>
    <row r="1344" spans="2:10">
      <c r="B1344" s="438" t="s">
        <v>138</v>
      </c>
      <c r="C1344" s="89"/>
      <c r="D1344" s="89"/>
      <c r="E1344" s="89"/>
      <c r="F1344" s="89"/>
      <c r="G1344" s="89"/>
      <c r="H1344" s="89"/>
      <c r="I1344" s="89"/>
      <c r="J1344" s="89"/>
    </row>
    <row r="1345" spans="2:10">
      <c r="B1345" s="440"/>
      <c r="C1345" s="89"/>
      <c r="D1345" s="89"/>
      <c r="E1345" s="89"/>
      <c r="F1345" s="89"/>
      <c r="G1345" s="89"/>
      <c r="H1345" s="89"/>
      <c r="I1345" s="89"/>
      <c r="J1345" s="89"/>
    </row>
    <row r="1346" spans="2:10">
      <c r="B1346" s="441"/>
      <c r="C1346" s="60">
        <v>2014</v>
      </c>
      <c r="D1346" s="60">
        <v>2015</v>
      </c>
      <c r="E1346" s="60">
        <v>2016</v>
      </c>
      <c r="F1346" s="60">
        <v>2017</v>
      </c>
      <c r="G1346" s="60">
        <v>2018</v>
      </c>
      <c r="H1346" s="60">
        <v>2019</v>
      </c>
      <c r="I1346" s="60">
        <v>2020</v>
      </c>
      <c r="J1346" s="60">
        <v>2021</v>
      </c>
    </row>
    <row r="1347" spans="2:10" ht="15">
      <c r="B1347" s="549" t="s">
        <v>962</v>
      </c>
      <c r="C1347" s="89"/>
      <c r="D1347" s="89"/>
      <c r="E1347" s="89"/>
      <c r="F1347" s="89"/>
      <c r="G1347" s="89"/>
      <c r="H1347" s="89"/>
      <c r="I1347" s="89"/>
      <c r="J1347" s="89"/>
    </row>
    <row r="1348" spans="2:10">
      <c r="B1348" s="545" t="s">
        <v>137</v>
      </c>
      <c r="C1348" s="55">
        <v>471337.24550898204</v>
      </c>
      <c r="D1348" s="55">
        <v>283439.01095677988</v>
      </c>
      <c r="E1348" s="55">
        <v>368590.63723017112</v>
      </c>
      <c r="F1348" s="55">
        <v>516493.72435395455</v>
      </c>
      <c r="G1348" s="55">
        <v>0</v>
      </c>
      <c r="H1348" s="55">
        <v>0</v>
      </c>
      <c r="I1348" s="55">
        <v>0</v>
      </c>
      <c r="J1348" s="55">
        <v>0</v>
      </c>
    </row>
    <row r="1349" spans="2:10">
      <c r="B1349" s="546" t="s">
        <v>121</v>
      </c>
      <c r="C1349" s="55">
        <v>1917.967469316686</v>
      </c>
      <c r="D1349" s="55">
        <v>2197.4080363404923</v>
      </c>
      <c r="E1349" s="55">
        <v>2276.6597910831683</v>
      </c>
      <c r="F1349" s="55">
        <v>2870.9108848864525</v>
      </c>
      <c r="G1349" s="55">
        <v>0</v>
      </c>
      <c r="H1349" s="55">
        <v>0</v>
      </c>
      <c r="I1349" s="55">
        <v>0</v>
      </c>
      <c r="J1349" s="55">
        <v>0</v>
      </c>
    </row>
    <row r="1350" spans="2:10">
      <c r="B1350" s="547" t="s">
        <v>120</v>
      </c>
      <c r="C1350" s="55">
        <v>0</v>
      </c>
      <c r="D1350" s="55">
        <v>0</v>
      </c>
      <c r="E1350" s="55">
        <v>0</v>
      </c>
      <c r="F1350" s="55">
        <v>0</v>
      </c>
      <c r="G1350" s="55">
        <v>0</v>
      </c>
      <c r="H1350" s="55">
        <v>0</v>
      </c>
      <c r="I1350" s="55">
        <v>0</v>
      </c>
      <c r="J1350" s="55">
        <v>0</v>
      </c>
    </row>
    <row r="1351" spans="2:10">
      <c r="B1351" s="547" t="s">
        <v>119</v>
      </c>
      <c r="C1351" s="55">
        <v>1917.967469316686</v>
      </c>
      <c r="D1351" s="55">
        <v>2197.4080363404923</v>
      </c>
      <c r="E1351" s="55">
        <v>2276.6597910831683</v>
      </c>
      <c r="F1351" s="55">
        <v>2870.9108848864525</v>
      </c>
      <c r="G1351" s="55">
        <v>0</v>
      </c>
      <c r="H1351" s="55">
        <v>0</v>
      </c>
      <c r="I1351" s="55">
        <v>0</v>
      </c>
      <c r="J1351" s="55">
        <v>0</v>
      </c>
    </row>
    <row r="1352" spans="2:10">
      <c r="B1352" s="546" t="s">
        <v>118</v>
      </c>
      <c r="C1352" s="55">
        <v>469419.27803966543</v>
      </c>
      <c r="D1352" s="55">
        <v>281241.60292043933</v>
      </c>
      <c r="E1352" s="55">
        <v>366313.97743908787</v>
      </c>
      <c r="F1352" s="55">
        <v>513622.81346906815</v>
      </c>
      <c r="G1352" s="55">
        <v>0</v>
      </c>
      <c r="H1352" s="55">
        <v>0</v>
      </c>
      <c r="I1352" s="55">
        <v>0</v>
      </c>
      <c r="J1352" s="55">
        <v>0</v>
      </c>
    </row>
    <row r="1353" spans="2:10">
      <c r="B1353" s="546" t="s">
        <v>117</v>
      </c>
      <c r="C1353" s="55">
        <v>0</v>
      </c>
      <c r="D1353" s="55">
        <v>0</v>
      </c>
      <c r="E1353" s="55">
        <v>0</v>
      </c>
      <c r="F1353" s="55">
        <v>0</v>
      </c>
      <c r="G1353" s="55">
        <v>0</v>
      </c>
      <c r="H1353" s="55">
        <v>0</v>
      </c>
      <c r="I1353" s="55">
        <v>0</v>
      </c>
      <c r="J1353" s="55">
        <v>0</v>
      </c>
    </row>
    <row r="1354" spans="2:10">
      <c r="B1354" s="546"/>
      <c r="C1354" s="55"/>
      <c r="D1354" s="55"/>
      <c r="E1354" s="55"/>
      <c r="F1354" s="55"/>
      <c r="G1354" s="55"/>
      <c r="H1354" s="55"/>
      <c r="I1354" s="55"/>
      <c r="J1354" s="55"/>
    </row>
    <row r="1355" spans="2:10">
      <c r="B1355" s="549" t="s">
        <v>971</v>
      </c>
      <c r="C1355" s="89"/>
      <c r="D1355" s="89"/>
      <c r="E1355" s="89"/>
      <c r="F1355" s="89"/>
      <c r="G1355" s="89"/>
      <c r="H1355" s="89"/>
      <c r="I1355" s="89"/>
      <c r="J1355" s="89"/>
    </row>
    <row r="1356" spans="2:10">
      <c r="B1356" s="545" t="s">
        <v>137</v>
      </c>
      <c r="C1356" s="552">
        <v>0</v>
      </c>
      <c r="D1356" s="552">
        <v>0</v>
      </c>
      <c r="E1356" s="552">
        <v>0</v>
      </c>
      <c r="F1356" s="552">
        <v>0</v>
      </c>
      <c r="G1356" s="55">
        <v>510979.82075792708</v>
      </c>
      <c r="H1356" s="55">
        <v>653794.14735794452</v>
      </c>
      <c r="I1356" s="55">
        <v>612711.78465064487</v>
      </c>
      <c r="J1356" s="55">
        <v>539394.75199087884</v>
      </c>
    </row>
    <row r="1357" spans="2:10">
      <c r="B1357" s="546" t="s">
        <v>121</v>
      </c>
      <c r="C1357" s="552">
        <v>0</v>
      </c>
      <c r="D1357" s="552">
        <v>0</v>
      </c>
      <c r="E1357" s="552">
        <v>0</v>
      </c>
      <c r="F1357" s="552">
        <v>0</v>
      </c>
      <c r="G1357" s="55">
        <v>389.00750111877016</v>
      </c>
      <c r="H1357" s="55">
        <v>109.29816385798637</v>
      </c>
      <c r="I1357" s="55">
        <v>58.861416320911992</v>
      </c>
      <c r="J1357" s="55">
        <v>42.501995787308168</v>
      </c>
    </row>
    <row r="1358" spans="2:10">
      <c r="B1358" s="547" t="s">
        <v>120</v>
      </c>
      <c r="C1358" s="552">
        <v>0</v>
      </c>
      <c r="D1358" s="552">
        <v>0</v>
      </c>
      <c r="E1358" s="552">
        <v>0</v>
      </c>
      <c r="F1358" s="552">
        <v>0</v>
      </c>
      <c r="G1358" s="55">
        <v>0</v>
      </c>
      <c r="H1358" s="55">
        <v>0</v>
      </c>
      <c r="I1358" s="55">
        <v>0</v>
      </c>
      <c r="J1358" s="55">
        <v>0</v>
      </c>
    </row>
    <row r="1359" spans="2:10">
      <c r="B1359" s="547" t="s">
        <v>119</v>
      </c>
      <c r="C1359" s="552">
        <v>0</v>
      </c>
      <c r="D1359" s="552">
        <v>0</v>
      </c>
      <c r="E1359" s="552">
        <v>0</v>
      </c>
      <c r="F1359" s="552">
        <v>0</v>
      </c>
      <c r="G1359" s="55">
        <v>389.00750111877016</v>
      </c>
      <c r="H1359" s="55">
        <v>109.29816385798637</v>
      </c>
      <c r="I1359" s="55">
        <v>58.861416320911992</v>
      </c>
      <c r="J1359" s="55">
        <v>42.501995787308168</v>
      </c>
    </row>
    <row r="1360" spans="2:10">
      <c r="B1360" s="546" t="s">
        <v>118</v>
      </c>
      <c r="C1360" s="552">
        <v>0</v>
      </c>
      <c r="D1360" s="552">
        <v>0</v>
      </c>
      <c r="E1360" s="552">
        <v>0</v>
      </c>
      <c r="F1360" s="552">
        <v>0</v>
      </c>
      <c r="G1360" s="55">
        <v>510590.81325680832</v>
      </c>
      <c r="H1360" s="55">
        <v>653684.84919408651</v>
      </c>
      <c r="I1360" s="55">
        <v>612652.92323432397</v>
      </c>
      <c r="J1360" s="55">
        <v>539352.24999509158</v>
      </c>
    </row>
    <row r="1361" spans="2:10">
      <c r="B1361" s="546" t="s">
        <v>117</v>
      </c>
      <c r="C1361" s="552">
        <v>0</v>
      </c>
      <c r="D1361" s="552">
        <v>0</v>
      </c>
      <c r="E1361" s="552">
        <v>0</v>
      </c>
      <c r="F1361" s="552">
        <v>0</v>
      </c>
      <c r="G1361" s="55">
        <v>0</v>
      </c>
      <c r="H1361" s="55">
        <v>0</v>
      </c>
      <c r="I1361" s="55">
        <v>0</v>
      </c>
      <c r="J1361" s="55">
        <v>0</v>
      </c>
    </row>
    <row r="1362" spans="2:10">
      <c r="B1362" s="545"/>
      <c r="C1362" s="55"/>
      <c r="D1362" s="55"/>
      <c r="E1362" s="55"/>
      <c r="F1362" s="55"/>
      <c r="G1362" s="55"/>
      <c r="H1362" s="55"/>
      <c r="I1362" s="55"/>
      <c r="J1362" s="55"/>
    </row>
    <row r="1363" spans="2:10">
      <c r="B1363" s="549" t="s">
        <v>960</v>
      </c>
      <c r="C1363" s="55"/>
      <c r="D1363" s="55"/>
      <c r="E1363" s="55"/>
      <c r="F1363" s="55"/>
      <c r="G1363" s="55"/>
      <c r="H1363" s="55"/>
      <c r="I1363" s="55"/>
      <c r="J1363" s="55"/>
    </row>
    <row r="1364" spans="2:10">
      <c r="B1364" s="545" t="s">
        <v>137</v>
      </c>
      <c r="C1364" s="55">
        <v>1757753.2891663483</v>
      </c>
      <c r="D1364" s="55">
        <v>1330709.3646300116</v>
      </c>
      <c r="E1364" s="55">
        <v>1431379.8458358455</v>
      </c>
      <c r="F1364" s="55">
        <v>1378053.1669679359</v>
      </c>
      <c r="G1364" s="55">
        <v>1259221.4199654895</v>
      </c>
      <c r="H1364" s="55">
        <v>1211832.8395251008</v>
      </c>
      <c r="I1364" s="55">
        <v>1467870.7593778356</v>
      </c>
      <c r="J1364" s="55">
        <v>1145557.6772066127</v>
      </c>
    </row>
    <row r="1365" spans="2:10">
      <c r="B1365" s="546" t="s">
        <v>121</v>
      </c>
      <c r="C1365" s="55">
        <v>1757753.2891663483</v>
      </c>
      <c r="D1365" s="55">
        <v>1330709.3646300116</v>
      </c>
      <c r="E1365" s="55">
        <v>1431379.8458358455</v>
      </c>
      <c r="F1365" s="55">
        <v>1378053.1669679359</v>
      </c>
      <c r="G1365" s="55">
        <v>1259221.4199654895</v>
      </c>
      <c r="H1365" s="55">
        <v>1211832.8395251008</v>
      </c>
      <c r="I1365" s="55">
        <v>1467870.7593778356</v>
      </c>
      <c r="J1365" s="55">
        <v>1145557.6772066127</v>
      </c>
    </row>
    <row r="1366" spans="2:10">
      <c r="B1366" s="547" t="s">
        <v>120</v>
      </c>
      <c r="C1366" s="55">
        <v>438646.73673928744</v>
      </c>
      <c r="D1366" s="55">
        <v>213774.44424476594</v>
      </c>
      <c r="E1366" s="55">
        <v>295590.15317639837</v>
      </c>
      <c r="F1366" s="55">
        <v>216938.14667204543</v>
      </c>
      <c r="G1366" s="55">
        <v>177491.54523054243</v>
      </c>
      <c r="H1366" s="55">
        <v>155599.28952180635</v>
      </c>
      <c r="I1366" s="55">
        <v>190909.52606227461</v>
      </c>
      <c r="J1366" s="55">
        <v>182916.47830046705</v>
      </c>
    </row>
    <row r="1367" spans="2:10">
      <c r="B1367" s="547" t="s">
        <v>119</v>
      </c>
      <c r="C1367" s="55">
        <v>1319106.5524270609</v>
      </c>
      <c r="D1367" s="55">
        <v>1116934.9204780303</v>
      </c>
      <c r="E1367" s="55">
        <v>1135789.692679408</v>
      </c>
      <c r="F1367" s="55">
        <v>1161115.0202958905</v>
      </c>
      <c r="G1367" s="55">
        <v>1081729.8747349472</v>
      </c>
      <c r="H1367" s="55">
        <v>1056233.5500032944</v>
      </c>
      <c r="I1367" s="55">
        <v>1276961.2333155607</v>
      </c>
      <c r="J1367" s="55">
        <v>962641.19890614576</v>
      </c>
    </row>
    <row r="1368" spans="2:10">
      <c r="B1368" s="546" t="s">
        <v>118</v>
      </c>
      <c r="C1368" s="55">
        <v>0</v>
      </c>
      <c r="D1368" s="55">
        <v>0</v>
      </c>
      <c r="E1368" s="55">
        <v>0</v>
      </c>
      <c r="F1368" s="55">
        <v>0</v>
      </c>
      <c r="G1368" s="55">
        <v>0</v>
      </c>
      <c r="H1368" s="55">
        <v>0</v>
      </c>
      <c r="I1368" s="55">
        <v>0</v>
      </c>
      <c r="J1368" s="55">
        <v>0</v>
      </c>
    </row>
    <row r="1369" spans="2:10">
      <c r="B1369" s="546" t="s">
        <v>117</v>
      </c>
      <c r="C1369" s="55">
        <v>0</v>
      </c>
      <c r="D1369" s="55">
        <v>0</v>
      </c>
      <c r="E1369" s="55">
        <v>0</v>
      </c>
      <c r="F1369" s="55">
        <v>0</v>
      </c>
      <c r="G1369" s="55">
        <v>0</v>
      </c>
      <c r="H1369" s="55">
        <v>0</v>
      </c>
      <c r="I1369" s="55">
        <v>0</v>
      </c>
      <c r="J1369" s="55">
        <v>0</v>
      </c>
    </row>
    <row r="1370" spans="2:10">
      <c r="B1370" s="545"/>
      <c r="C1370" s="55"/>
      <c r="D1370" s="55"/>
      <c r="E1370" s="55"/>
      <c r="F1370" s="55"/>
      <c r="G1370" s="55"/>
      <c r="H1370" s="55"/>
      <c r="I1370" s="55"/>
      <c r="J1370" s="55"/>
    </row>
    <row r="1371" spans="2:10">
      <c r="B1371" s="549" t="s">
        <v>972</v>
      </c>
      <c r="C1371" s="55"/>
      <c r="D1371" s="55"/>
      <c r="E1371" s="55"/>
      <c r="F1371" s="55"/>
      <c r="G1371" s="55"/>
      <c r="H1371" s="55"/>
      <c r="I1371" s="55"/>
      <c r="J1371" s="55"/>
    </row>
    <row r="1372" spans="2:10">
      <c r="B1372" s="545" t="s">
        <v>978</v>
      </c>
      <c r="C1372" s="55">
        <v>1463154.1661358138</v>
      </c>
      <c r="D1372" s="55">
        <v>1253312.4479911977</v>
      </c>
      <c r="E1372" s="55">
        <v>1388705.8395106613</v>
      </c>
      <c r="F1372" s="55">
        <v>1686672.9749584335</v>
      </c>
      <c r="G1372" s="55">
        <v>1581750.2117183651</v>
      </c>
      <c r="H1372" s="55">
        <v>1572696.5865031297</v>
      </c>
      <c r="I1372" s="55">
        <v>1326291.7861194459</v>
      </c>
      <c r="J1372" s="55">
        <v>1415015.5439617466</v>
      </c>
    </row>
    <row r="1373" spans="2:10">
      <c r="B1373" s="546" t="s">
        <v>121</v>
      </c>
      <c r="C1373" s="55">
        <v>1463154.1661358138</v>
      </c>
      <c r="D1373" s="55">
        <v>1253312.4479911977</v>
      </c>
      <c r="E1373" s="55">
        <v>1388705.8395106613</v>
      </c>
      <c r="F1373" s="55">
        <v>1686672.9749584335</v>
      </c>
      <c r="G1373" s="55">
        <v>1581750.2117183651</v>
      </c>
      <c r="H1373" s="55">
        <v>1572696.5865031297</v>
      </c>
      <c r="I1373" s="55">
        <v>1326291.7861194459</v>
      </c>
      <c r="J1373" s="55">
        <v>1415015.5439617466</v>
      </c>
    </row>
    <row r="1374" spans="2:10">
      <c r="B1374" s="547" t="s">
        <v>120</v>
      </c>
      <c r="C1374" s="55">
        <v>31204.638382808855</v>
      </c>
      <c r="D1374" s="55">
        <v>33745.743478461976</v>
      </c>
      <c r="E1374" s="55">
        <v>20616.442821877474</v>
      </c>
      <c r="F1374" s="55">
        <v>7446.8892464146902</v>
      </c>
      <c r="G1374" s="55">
        <v>9980.3531374801696</v>
      </c>
      <c r="H1374" s="55">
        <v>11817.366513773093</v>
      </c>
      <c r="I1374" s="55">
        <v>72208.33552205922</v>
      </c>
      <c r="J1374" s="55">
        <v>26402.664763881679</v>
      </c>
    </row>
    <row r="1375" spans="2:10">
      <c r="B1375" s="547" t="s">
        <v>119</v>
      </c>
      <c r="C1375" s="55">
        <v>1431949.5277530046</v>
      </c>
      <c r="D1375" s="55">
        <v>1219566.7045127356</v>
      </c>
      <c r="E1375" s="55">
        <v>1368089.3966887838</v>
      </c>
      <c r="F1375" s="55">
        <v>1679226.0857120189</v>
      </c>
      <c r="G1375" s="55">
        <v>1571769.858580885</v>
      </c>
      <c r="H1375" s="55">
        <v>1560879.0958161224</v>
      </c>
      <c r="I1375" s="55">
        <v>1254083.4505973866</v>
      </c>
      <c r="J1375" s="55">
        <v>1388612.879383201</v>
      </c>
    </row>
    <row r="1376" spans="2:10">
      <c r="B1376" s="546" t="s">
        <v>118</v>
      </c>
      <c r="C1376" s="55">
        <v>0</v>
      </c>
      <c r="D1376" s="55">
        <v>0</v>
      </c>
      <c r="E1376" s="55">
        <v>0</v>
      </c>
      <c r="F1376" s="55">
        <v>0</v>
      </c>
      <c r="G1376" s="55">
        <v>0</v>
      </c>
      <c r="H1376" s="55">
        <v>0</v>
      </c>
      <c r="I1376" s="55">
        <v>0</v>
      </c>
      <c r="J1376" s="55">
        <v>0</v>
      </c>
    </row>
    <row r="1377" spans="2:10" ht="15" thickBot="1">
      <c r="B1377" s="553" t="s">
        <v>117</v>
      </c>
      <c r="C1377" s="101">
        <v>0</v>
      </c>
      <c r="D1377" s="101">
        <v>0</v>
      </c>
      <c r="E1377" s="101">
        <v>0</v>
      </c>
      <c r="F1377" s="101">
        <v>0</v>
      </c>
      <c r="G1377" s="101">
        <v>0</v>
      </c>
      <c r="H1377" s="101">
        <v>0</v>
      </c>
      <c r="I1377" s="101">
        <v>0</v>
      </c>
      <c r="J1377" s="101">
        <v>0</v>
      </c>
    </row>
    <row r="1378" spans="2:10" ht="15" thickTop="1">
      <c r="B1378" s="2025" t="s">
        <v>974</v>
      </c>
      <c r="C1378" s="2025"/>
      <c r="D1378" s="2025"/>
      <c r="E1378" s="2025"/>
      <c r="F1378" s="2025"/>
      <c r="G1378" s="2025"/>
      <c r="H1378" s="2025"/>
      <c r="I1378" s="2025"/>
      <c r="J1378" s="2025"/>
    </row>
    <row r="1379" spans="2:10">
      <c r="B1379" s="2066" t="s">
        <v>977</v>
      </c>
      <c r="C1379" s="2066"/>
      <c r="D1379" s="2066"/>
      <c r="E1379" s="2066"/>
      <c r="F1379" s="2066"/>
      <c r="G1379" s="2066"/>
      <c r="H1379" s="2066"/>
      <c r="I1379" s="2066"/>
      <c r="J1379" s="2066"/>
    </row>
    <row r="1380" spans="2:10">
      <c r="B1380" s="64"/>
    </row>
    <row r="1381" spans="2:10">
      <c r="B1381" s="2024" t="s">
        <v>133</v>
      </c>
      <c r="C1381" s="2024"/>
      <c r="D1381" s="2024"/>
      <c r="E1381" s="2024"/>
      <c r="F1381" s="2024"/>
      <c r="G1381" s="2024"/>
      <c r="H1381" s="2024"/>
      <c r="I1381" s="2024"/>
      <c r="J1381" s="2024"/>
    </row>
    <row r="1382" spans="2:10">
      <c r="B1382" s="12" t="s">
        <v>132</v>
      </c>
    </row>
    <row r="1383" spans="2:10">
      <c r="B1383" s="62" t="s">
        <v>131</v>
      </c>
    </row>
    <row r="1384" spans="2:10">
      <c r="B1384" s="62"/>
    </row>
    <row r="1385" spans="2:10">
      <c r="B1385" s="61"/>
      <c r="C1385" s="60">
        <v>2014</v>
      </c>
      <c r="D1385" s="60">
        <v>2015</v>
      </c>
      <c r="E1385" s="60">
        <v>2016</v>
      </c>
      <c r="F1385" s="60">
        <v>2017</v>
      </c>
      <c r="G1385" s="60">
        <v>2018</v>
      </c>
      <c r="H1385" s="60">
        <v>2019</v>
      </c>
      <c r="I1385" s="60">
        <v>2020</v>
      </c>
      <c r="J1385" s="60">
        <v>2021</v>
      </c>
    </row>
    <row r="1386" spans="2:10">
      <c r="B1386" s="71" t="s">
        <v>130</v>
      </c>
      <c r="C1386" s="55">
        <v>140052.42799999999</v>
      </c>
      <c r="D1386" s="55">
        <v>331958.484</v>
      </c>
      <c r="E1386" s="55">
        <v>427369.03350000002</v>
      </c>
      <c r="F1386" s="55">
        <v>434947.46500000003</v>
      </c>
      <c r="G1386" s="55">
        <v>498161.81700000004</v>
      </c>
      <c r="H1386" s="55">
        <v>623770.84100000001</v>
      </c>
      <c r="I1386" s="55">
        <v>772893.4524999999</v>
      </c>
      <c r="J1386" s="55">
        <v>954192.72700000007</v>
      </c>
    </row>
    <row r="1387" spans="2:10">
      <c r="B1387" s="71"/>
      <c r="C1387" s="89"/>
      <c r="D1387" s="89"/>
      <c r="E1387" s="89"/>
      <c r="F1387" s="89"/>
      <c r="G1387" s="89"/>
      <c r="H1387" s="89"/>
      <c r="I1387" s="89"/>
      <c r="J1387" s="89"/>
    </row>
    <row r="1388" spans="2:10" ht="15">
      <c r="B1388" s="59" t="s">
        <v>953</v>
      </c>
      <c r="C1388" s="89"/>
      <c r="D1388" s="89"/>
      <c r="E1388" s="89"/>
      <c r="F1388" s="89"/>
      <c r="G1388" s="89"/>
      <c r="H1388" s="89"/>
    </row>
    <row r="1389" spans="2:10">
      <c r="B1389" s="54" t="s">
        <v>130</v>
      </c>
      <c r="C1389" s="110">
        <v>19160.366999999998</v>
      </c>
      <c r="D1389" s="110">
        <v>18000.965</v>
      </c>
      <c r="E1389" s="110">
        <v>17798.7415</v>
      </c>
      <c r="F1389" s="110">
        <v>17469.391</v>
      </c>
      <c r="G1389" s="55">
        <v>0</v>
      </c>
      <c r="H1389" s="55">
        <v>0</v>
      </c>
      <c r="I1389" s="55">
        <v>0</v>
      </c>
      <c r="J1389" s="55">
        <v>0</v>
      </c>
    </row>
    <row r="1390" spans="2:10">
      <c r="B1390" s="54" t="s">
        <v>123</v>
      </c>
      <c r="C1390" s="55">
        <v>8935.7960000000003</v>
      </c>
      <c r="D1390" s="55">
        <v>8656.8590000000004</v>
      </c>
      <c r="E1390" s="55">
        <v>10778.826500000001</v>
      </c>
      <c r="F1390" s="55">
        <v>11021.313</v>
      </c>
      <c r="G1390" s="55">
        <v>0</v>
      </c>
      <c r="H1390" s="55">
        <v>0</v>
      </c>
      <c r="I1390" s="111">
        <v>0</v>
      </c>
      <c r="J1390" s="111">
        <v>0</v>
      </c>
    </row>
    <row r="1391" spans="2:10">
      <c r="B1391" s="52" t="s">
        <v>121</v>
      </c>
      <c r="C1391" s="55">
        <v>4.8579999999999997</v>
      </c>
      <c r="D1391" s="55">
        <v>6.1689999999999996</v>
      </c>
      <c r="E1391" s="55">
        <v>6.9764999999999997</v>
      </c>
      <c r="F1391" s="55">
        <v>10.73</v>
      </c>
      <c r="G1391" s="55">
        <v>0</v>
      </c>
      <c r="H1391" s="55">
        <v>0</v>
      </c>
      <c r="I1391" s="55">
        <v>0</v>
      </c>
      <c r="J1391" s="55">
        <v>0</v>
      </c>
    </row>
    <row r="1392" spans="2:10">
      <c r="B1392" s="53" t="s">
        <v>120</v>
      </c>
      <c r="C1392" s="55">
        <v>0</v>
      </c>
      <c r="D1392" s="55">
        <v>0</v>
      </c>
      <c r="E1392" s="55">
        <v>0</v>
      </c>
      <c r="F1392" s="55">
        <v>0</v>
      </c>
      <c r="G1392" s="55">
        <v>0</v>
      </c>
      <c r="H1392" s="55">
        <v>0</v>
      </c>
      <c r="I1392" s="55">
        <v>0</v>
      </c>
      <c r="J1392" s="55">
        <v>0</v>
      </c>
    </row>
    <row r="1393" spans="2:10">
      <c r="B1393" s="53" t="s">
        <v>119</v>
      </c>
      <c r="C1393" s="55">
        <v>4.8579999999999997</v>
      </c>
      <c r="D1393" s="55">
        <v>6.1689999999999996</v>
      </c>
      <c r="E1393" s="55">
        <v>6.9764999999999997</v>
      </c>
      <c r="F1393" s="55">
        <v>10.73</v>
      </c>
      <c r="G1393" s="55">
        <v>0</v>
      </c>
      <c r="H1393" s="55">
        <v>0</v>
      </c>
      <c r="I1393" s="55">
        <v>0</v>
      </c>
      <c r="J1393" s="55">
        <v>0</v>
      </c>
    </row>
    <row r="1394" spans="2:10">
      <c r="B1394" s="52" t="s">
        <v>118</v>
      </c>
      <c r="C1394" s="55">
        <v>8930.9380000000001</v>
      </c>
      <c r="D1394" s="55">
        <v>8650.69</v>
      </c>
      <c r="E1394" s="55">
        <v>10771.85</v>
      </c>
      <c r="F1394" s="55">
        <v>11010.583000000001</v>
      </c>
      <c r="G1394" s="55">
        <v>0</v>
      </c>
      <c r="H1394" s="55">
        <v>0</v>
      </c>
      <c r="I1394" s="55">
        <v>0</v>
      </c>
      <c r="J1394" s="55">
        <v>0</v>
      </c>
    </row>
    <row r="1395" spans="2:10">
      <c r="B1395" s="52" t="s">
        <v>117</v>
      </c>
      <c r="C1395" s="55">
        <v>0</v>
      </c>
      <c r="D1395" s="55">
        <v>0</v>
      </c>
      <c r="E1395" s="55">
        <v>0</v>
      </c>
      <c r="F1395" s="55">
        <v>0</v>
      </c>
      <c r="G1395" s="55">
        <v>0</v>
      </c>
      <c r="H1395" s="55">
        <v>0</v>
      </c>
      <c r="I1395" s="55">
        <v>0</v>
      </c>
      <c r="J1395" s="55">
        <v>0</v>
      </c>
    </row>
    <row r="1396" spans="2:10">
      <c r="B1396" s="52"/>
      <c r="C1396" s="55"/>
      <c r="D1396" s="55"/>
      <c r="E1396" s="55"/>
      <c r="F1396" s="55"/>
      <c r="G1396" s="55"/>
      <c r="H1396" s="55"/>
    </row>
    <row r="1397" spans="2:10">
      <c r="B1397" s="54" t="s">
        <v>122</v>
      </c>
      <c r="C1397" s="55">
        <v>10224.571</v>
      </c>
      <c r="D1397" s="55">
        <v>9344.1059999999998</v>
      </c>
      <c r="E1397" s="55">
        <v>7019.915</v>
      </c>
      <c r="F1397" s="55">
        <v>6448.0779999999977</v>
      </c>
      <c r="G1397" s="55">
        <v>0</v>
      </c>
      <c r="H1397" s="55">
        <v>0</v>
      </c>
      <c r="I1397" s="55">
        <v>0</v>
      </c>
      <c r="J1397" s="55">
        <v>0</v>
      </c>
    </row>
    <row r="1398" spans="2:10">
      <c r="B1398" s="52" t="s">
        <v>121</v>
      </c>
      <c r="C1398" s="55">
        <v>5.7850000000000001</v>
      </c>
      <c r="D1398" s="55">
        <v>2.5339999999999998</v>
      </c>
      <c r="E1398" s="55">
        <v>4.351</v>
      </c>
      <c r="F1398" s="55">
        <v>17.998000000000001</v>
      </c>
      <c r="G1398" s="55">
        <v>0</v>
      </c>
      <c r="H1398" s="55">
        <v>0</v>
      </c>
      <c r="I1398" s="55">
        <v>0</v>
      </c>
      <c r="J1398" s="55">
        <v>0</v>
      </c>
    </row>
    <row r="1399" spans="2:10">
      <c r="B1399" s="53" t="s">
        <v>120</v>
      </c>
      <c r="C1399" s="55">
        <v>0</v>
      </c>
      <c r="D1399" s="55">
        <v>0</v>
      </c>
      <c r="E1399" s="55">
        <v>0</v>
      </c>
      <c r="F1399" s="55">
        <v>0</v>
      </c>
      <c r="G1399" s="55">
        <v>0</v>
      </c>
      <c r="H1399" s="55">
        <v>0</v>
      </c>
      <c r="I1399" s="55">
        <v>0</v>
      </c>
      <c r="J1399" s="55">
        <v>0</v>
      </c>
    </row>
    <row r="1400" spans="2:10">
      <c r="B1400" s="53" t="s">
        <v>119</v>
      </c>
      <c r="C1400" s="55">
        <v>5.7850000000000001</v>
      </c>
      <c r="D1400" s="55">
        <v>2.5339999999999998</v>
      </c>
      <c r="E1400" s="55">
        <v>4.351</v>
      </c>
      <c r="F1400" s="55">
        <v>17.998000000000001</v>
      </c>
      <c r="G1400" s="55">
        <v>0</v>
      </c>
      <c r="H1400" s="55">
        <v>0</v>
      </c>
      <c r="I1400" s="55">
        <v>0</v>
      </c>
      <c r="J1400" s="55">
        <v>0</v>
      </c>
    </row>
    <row r="1401" spans="2:10">
      <c r="B1401" s="52" t="s">
        <v>118</v>
      </c>
      <c r="C1401" s="55">
        <v>10218.786</v>
      </c>
      <c r="D1401" s="55">
        <v>9341.5720000000001</v>
      </c>
      <c r="E1401" s="55">
        <v>7015.5640000000003</v>
      </c>
      <c r="F1401" s="55">
        <v>6430.0799999999981</v>
      </c>
      <c r="G1401" s="55">
        <v>0</v>
      </c>
      <c r="H1401" s="55">
        <v>0</v>
      </c>
      <c r="I1401" s="55">
        <v>0</v>
      </c>
      <c r="J1401" s="55">
        <v>0</v>
      </c>
    </row>
    <row r="1402" spans="2:10">
      <c r="B1402" s="52" t="s">
        <v>117</v>
      </c>
      <c r="C1402" s="55">
        <v>0</v>
      </c>
      <c r="D1402" s="55">
        <v>0</v>
      </c>
      <c r="E1402" s="55">
        <v>0</v>
      </c>
      <c r="F1402" s="55">
        <v>0</v>
      </c>
      <c r="G1402" s="55">
        <v>0</v>
      </c>
      <c r="H1402" s="55">
        <v>0</v>
      </c>
      <c r="I1402" s="55">
        <v>0</v>
      </c>
      <c r="J1402" s="55">
        <v>0</v>
      </c>
    </row>
    <row r="1403" spans="2:10">
      <c r="B1403" s="52"/>
      <c r="C1403" s="55"/>
      <c r="D1403" s="55"/>
      <c r="E1403" s="55"/>
      <c r="F1403" s="55"/>
      <c r="G1403" s="55"/>
      <c r="H1403" s="55"/>
      <c r="I1403"/>
      <c r="J1403"/>
    </row>
    <row r="1404" spans="2:10">
      <c r="B1404" s="59" t="s">
        <v>971</v>
      </c>
      <c r="C1404" s="89"/>
      <c r="D1404" s="89"/>
      <c r="E1404" s="89"/>
      <c r="F1404" s="89"/>
      <c r="G1404" s="89"/>
      <c r="H1404" s="89"/>
      <c r="I1404"/>
      <c r="J1404"/>
    </row>
    <row r="1405" spans="2:10">
      <c r="B1405" s="54" t="s">
        <v>130</v>
      </c>
      <c r="C1405" s="111">
        <v>0</v>
      </c>
      <c r="D1405" s="111">
        <v>0</v>
      </c>
      <c r="E1405" s="111">
        <v>0</v>
      </c>
      <c r="F1405" s="111">
        <v>0</v>
      </c>
      <c r="G1405" s="110">
        <v>15330.347000000002</v>
      </c>
      <c r="H1405" s="110">
        <v>35942.698000000004</v>
      </c>
      <c r="I1405" s="55">
        <v>92287.608499999988</v>
      </c>
      <c r="J1405" s="55">
        <v>83337.911999999997</v>
      </c>
    </row>
    <row r="1406" spans="2:10">
      <c r="B1406" s="54" t="s">
        <v>123</v>
      </c>
      <c r="C1406" s="55">
        <v>0</v>
      </c>
      <c r="D1406" s="55">
        <v>0</v>
      </c>
      <c r="E1406" s="55">
        <v>0</v>
      </c>
      <c r="F1406" s="55">
        <v>0</v>
      </c>
      <c r="G1406" s="55">
        <v>10475.104000000001</v>
      </c>
      <c r="H1406" s="55">
        <v>26015.07</v>
      </c>
      <c r="I1406" s="55">
        <v>68694.196499999991</v>
      </c>
      <c r="J1406" s="55">
        <v>57658.019</v>
      </c>
    </row>
    <row r="1407" spans="2:10">
      <c r="B1407" s="52" t="s">
        <v>121</v>
      </c>
      <c r="C1407" s="55">
        <v>0</v>
      </c>
      <c r="D1407" s="55">
        <v>0</v>
      </c>
      <c r="E1407" s="55">
        <v>0</v>
      </c>
      <c r="F1407" s="55">
        <v>0</v>
      </c>
      <c r="G1407" s="55">
        <v>15.172000000000001</v>
      </c>
      <c r="H1407" s="55">
        <v>32.796999999999997</v>
      </c>
      <c r="I1407" s="110">
        <v>27.791</v>
      </c>
      <c r="J1407" s="110">
        <v>22.803000000000001</v>
      </c>
    </row>
    <row r="1408" spans="2:10">
      <c r="B1408" s="53" t="s">
        <v>120</v>
      </c>
      <c r="C1408" s="55">
        <v>0</v>
      </c>
      <c r="D1408" s="55">
        <v>0</v>
      </c>
      <c r="E1408" s="55">
        <v>0</v>
      </c>
      <c r="F1408" s="55">
        <v>0</v>
      </c>
      <c r="G1408" s="55">
        <v>0</v>
      </c>
      <c r="H1408" s="55">
        <v>0</v>
      </c>
      <c r="I1408" s="55">
        <v>0</v>
      </c>
      <c r="J1408" s="55">
        <v>0</v>
      </c>
    </row>
    <row r="1409" spans="2:10">
      <c r="B1409" s="53" t="s">
        <v>119</v>
      </c>
      <c r="C1409" s="55">
        <v>0</v>
      </c>
      <c r="D1409" s="55">
        <v>0</v>
      </c>
      <c r="E1409" s="55">
        <v>0</v>
      </c>
      <c r="F1409" s="55">
        <v>0</v>
      </c>
      <c r="G1409" s="55">
        <v>15.172000000000001</v>
      </c>
      <c r="H1409" s="55">
        <v>32.796999999999997</v>
      </c>
      <c r="I1409" s="55">
        <v>27.791</v>
      </c>
      <c r="J1409" s="55">
        <v>22.803000000000001</v>
      </c>
    </row>
    <row r="1410" spans="2:10">
      <c r="B1410" s="52" t="s">
        <v>118</v>
      </c>
      <c r="C1410" s="55">
        <v>0</v>
      </c>
      <c r="D1410" s="55">
        <v>0</v>
      </c>
      <c r="E1410" s="55">
        <v>0</v>
      </c>
      <c r="F1410" s="55">
        <v>0</v>
      </c>
      <c r="G1410" s="55">
        <v>10459.932000000001</v>
      </c>
      <c r="H1410" s="55">
        <v>25982.273000000001</v>
      </c>
      <c r="I1410" s="55">
        <v>68666.405499999993</v>
      </c>
      <c r="J1410" s="55">
        <v>57635.216</v>
      </c>
    </row>
    <row r="1411" spans="2:10">
      <c r="B1411" s="52" t="s">
        <v>117</v>
      </c>
      <c r="C1411" s="55">
        <v>0</v>
      </c>
      <c r="D1411" s="55">
        <v>0</v>
      </c>
      <c r="E1411" s="55">
        <v>0</v>
      </c>
      <c r="F1411" s="55">
        <v>0</v>
      </c>
      <c r="G1411" s="55">
        <v>0</v>
      </c>
      <c r="H1411" s="55">
        <v>0</v>
      </c>
      <c r="I1411" s="55">
        <v>0</v>
      </c>
      <c r="J1411" s="55">
        <v>0</v>
      </c>
    </row>
    <row r="1412" spans="2:10">
      <c r="B1412" s="52"/>
      <c r="C1412" s="55"/>
      <c r="D1412" s="55"/>
      <c r="E1412" s="55"/>
      <c r="F1412" s="55"/>
      <c r="G1412" s="55"/>
      <c r="H1412" s="55"/>
      <c r="I1412" s="55"/>
      <c r="J1412" s="55"/>
    </row>
    <row r="1413" spans="2:10">
      <c r="B1413" s="54" t="s">
        <v>122</v>
      </c>
      <c r="C1413" s="55">
        <v>0</v>
      </c>
      <c r="D1413" s="55">
        <v>0</v>
      </c>
      <c r="E1413" s="55">
        <v>0</v>
      </c>
      <c r="F1413" s="55">
        <v>0</v>
      </c>
      <c r="G1413" s="55">
        <v>4855.2430000000004</v>
      </c>
      <c r="H1413" s="55">
        <v>9927.6280000000006</v>
      </c>
      <c r="I1413" s="55">
        <v>23593.412</v>
      </c>
      <c r="J1413" s="55">
        <v>25675.025000000001</v>
      </c>
    </row>
    <row r="1414" spans="2:10">
      <c r="B1414" s="52" t="s">
        <v>121</v>
      </c>
      <c r="C1414" s="55">
        <v>0</v>
      </c>
      <c r="D1414" s="55">
        <v>0</v>
      </c>
      <c r="E1414" s="55">
        <v>0</v>
      </c>
      <c r="F1414" s="55">
        <v>0</v>
      </c>
      <c r="G1414" s="55">
        <v>48.581000000000003</v>
      </c>
      <c r="H1414" s="55">
        <v>19.393000000000001</v>
      </c>
      <c r="I1414" s="55">
        <v>1.923</v>
      </c>
      <c r="J1414" s="55">
        <v>4.8680000000000003</v>
      </c>
    </row>
    <row r="1415" spans="2:10">
      <c r="B1415" s="53" t="s">
        <v>120</v>
      </c>
      <c r="C1415" s="55">
        <v>0</v>
      </c>
      <c r="D1415" s="55">
        <v>0</v>
      </c>
      <c r="E1415" s="55">
        <v>0</v>
      </c>
      <c r="F1415" s="55">
        <v>0</v>
      </c>
      <c r="G1415" s="55">
        <v>0</v>
      </c>
      <c r="H1415" s="55">
        <v>0</v>
      </c>
      <c r="I1415" s="55">
        <v>0</v>
      </c>
      <c r="J1415" s="55">
        <v>0</v>
      </c>
    </row>
    <row r="1416" spans="2:10">
      <c r="B1416" s="53" t="s">
        <v>119</v>
      </c>
      <c r="C1416" s="55">
        <v>0</v>
      </c>
      <c r="D1416" s="55">
        <v>0</v>
      </c>
      <c r="E1416" s="55">
        <v>0</v>
      </c>
      <c r="F1416" s="55">
        <v>0</v>
      </c>
      <c r="G1416" s="55">
        <v>48.581000000000003</v>
      </c>
      <c r="H1416" s="55">
        <v>19.393000000000001</v>
      </c>
      <c r="I1416" s="55">
        <v>1.923</v>
      </c>
      <c r="J1416" s="55">
        <v>4.8680000000000003</v>
      </c>
    </row>
    <row r="1417" spans="2:10">
      <c r="B1417" s="52" t="s">
        <v>118</v>
      </c>
      <c r="C1417" s="55">
        <v>0</v>
      </c>
      <c r="D1417" s="55">
        <v>0</v>
      </c>
      <c r="E1417" s="55">
        <v>0</v>
      </c>
      <c r="F1417" s="55">
        <v>0</v>
      </c>
      <c r="G1417" s="55">
        <v>4806.6620000000003</v>
      </c>
      <c r="H1417" s="55">
        <v>9908.2350000000006</v>
      </c>
      <c r="I1417" s="55">
        <v>23591.489000000001</v>
      </c>
      <c r="J1417" s="55">
        <v>25675.025000000001</v>
      </c>
    </row>
    <row r="1418" spans="2:10">
      <c r="B1418" s="52" t="s">
        <v>117</v>
      </c>
      <c r="C1418" s="55">
        <v>0</v>
      </c>
      <c r="D1418" s="55">
        <v>0</v>
      </c>
      <c r="E1418" s="55">
        <v>0</v>
      </c>
      <c r="F1418" s="55">
        <v>0</v>
      </c>
      <c r="G1418" s="55">
        <v>0</v>
      </c>
      <c r="H1418" s="55">
        <v>0</v>
      </c>
      <c r="I1418" s="55">
        <v>0</v>
      </c>
      <c r="J1418" s="55">
        <v>0</v>
      </c>
    </row>
    <row r="1419" spans="2:10">
      <c r="B1419" s="52"/>
      <c r="C1419" s="89"/>
      <c r="D1419" s="89"/>
      <c r="E1419" s="89"/>
      <c r="F1419" s="89"/>
      <c r="G1419" s="89"/>
      <c r="H1419" s="89"/>
      <c r="I1419" s="55"/>
      <c r="J1419" s="55"/>
    </row>
    <row r="1420" spans="2:10">
      <c r="B1420" s="59" t="s">
        <v>960</v>
      </c>
      <c r="C1420" s="89"/>
      <c r="D1420" s="89"/>
      <c r="E1420" s="89"/>
      <c r="F1420" s="89"/>
      <c r="G1420" s="89"/>
      <c r="H1420" s="89"/>
    </row>
    <row r="1421" spans="2:10">
      <c r="B1421" s="54" t="s">
        <v>130</v>
      </c>
      <c r="C1421" s="554">
        <f t="shared" ref="C1421:C1422" si="1">C1422</f>
        <v>116942.351</v>
      </c>
      <c r="D1421" s="554">
        <v>309817.67099999997</v>
      </c>
      <c r="E1421" s="554">
        <v>405352.54500000004</v>
      </c>
      <c r="F1421" s="554">
        <v>413074.74900000001</v>
      </c>
      <c r="G1421" s="554">
        <v>478268.46</v>
      </c>
      <c r="H1421" s="554">
        <v>582905.40800000005</v>
      </c>
      <c r="I1421" s="554">
        <v>674741.35</v>
      </c>
      <c r="J1421" s="55">
        <v>864348.49100000004</v>
      </c>
    </row>
    <row r="1422" spans="2:10">
      <c r="B1422" s="54" t="s">
        <v>123</v>
      </c>
      <c r="C1422" s="554">
        <f t="shared" si="1"/>
        <v>116942.351</v>
      </c>
      <c r="D1422" s="554">
        <v>309817.67099999997</v>
      </c>
      <c r="E1422" s="554">
        <v>405352.54500000004</v>
      </c>
      <c r="F1422" s="554">
        <v>413074.74900000001</v>
      </c>
      <c r="G1422" s="554">
        <v>478268.46</v>
      </c>
      <c r="H1422" s="554">
        <v>582905.40800000005</v>
      </c>
      <c r="I1422" s="554">
        <v>674741.35</v>
      </c>
      <c r="J1422" s="55">
        <v>864348.49100000004</v>
      </c>
    </row>
    <row r="1423" spans="2:10">
      <c r="B1423" s="52" t="s">
        <v>121</v>
      </c>
      <c r="C1423" s="554">
        <f t="shared" ref="C1423" si="2">SUM(C1424:C1425)</f>
        <v>116942.351</v>
      </c>
      <c r="D1423" s="554">
        <v>309817.67099999997</v>
      </c>
      <c r="E1423" s="554">
        <v>405352.54500000004</v>
      </c>
      <c r="F1423" s="554">
        <v>413074.74900000001</v>
      </c>
      <c r="G1423" s="554">
        <v>478268.46</v>
      </c>
      <c r="H1423" s="554">
        <v>582905.40800000005</v>
      </c>
      <c r="I1423" s="554">
        <v>674741.35</v>
      </c>
      <c r="J1423" s="55">
        <v>864348.49100000004</v>
      </c>
    </row>
    <row r="1424" spans="2:10">
      <c r="B1424" s="53" t="s">
        <v>120</v>
      </c>
      <c r="C1424" s="555">
        <v>4158.1319999999996</v>
      </c>
      <c r="D1424" s="555">
        <v>19483.964103866962</v>
      </c>
      <c r="E1424" s="555">
        <v>77447.051999999996</v>
      </c>
      <c r="F1424" s="555">
        <v>113234.886</v>
      </c>
      <c r="G1424" s="555">
        <v>111738.09600000001</v>
      </c>
      <c r="H1424" s="555">
        <v>131614.49</v>
      </c>
      <c r="I1424" s="555">
        <v>156963.76199999999</v>
      </c>
      <c r="J1424" s="554">
        <v>205260.66500000001</v>
      </c>
    </row>
    <row r="1425" spans="2:10">
      <c r="B1425" s="53" t="s">
        <v>119</v>
      </c>
      <c r="C1425" s="554">
        <v>112784.219</v>
      </c>
      <c r="D1425" s="554">
        <v>290333.70689613302</v>
      </c>
      <c r="E1425" s="554">
        <v>327905.49300000002</v>
      </c>
      <c r="F1425" s="554">
        <v>299839.86300000001</v>
      </c>
      <c r="G1425" s="554">
        <v>366530.364</v>
      </c>
      <c r="H1425" s="554">
        <v>451290.91800000001</v>
      </c>
      <c r="I1425" s="554">
        <v>517777.58799999999</v>
      </c>
      <c r="J1425" s="554">
        <v>659087.826</v>
      </c>
    </row>
    <row r="1426" spans="2:10">
      <c r="B1426" s="52" t="s">
        <v>118</v>
      </c>
      <c r="C1426" s="556" t="s">
        <v>2086</v>
      </c>
      <c r="D1426" s="556" t="s">
        <v>2086</v>
      </c>
      <c r="E1426" s="556" t="s">
        <v>2086</v>
      </c>
      <c r="F1426" s="556" t="s">
        <v>2086</v>
      </c>
      <c r="G1426" s="556" t="s">
        <v>2086</v>
      </c>
      <c r="H1426" s="556" t="s">
        <v>2086</v>
      </c>
      <c r="I1426" s="556" t="s">
        <v>2086</v>
      </c>
      <c r="J1426" s="556" t="s">
        <v>2086</v>
      </c>
    </row>
    <row r="1427" spans="2:10">
      <c r="B1427" s="52" t="s">
        <v>117</v>
      </c>
      <c r="C1427" s="556" t="s">
        <v>2086</v>
      </c>
      <c r="D1427" s="556" t="s">
        <v>2086</v>
      </c>
      <c r="E1427" s="556" t="s">
        <v>2086</v>
      </c>
      <c r="F1427" s="556" t="s">
        <v>2086</v>
      </c>
      <c r="G1427" s="556" t="s">
        <v>2086</v>
      </c>
      <c r="H1427" s="556" t="s">
        <v>2086</v>
      </c>
      <c r="I1427" s="557">
        <v>0</v>
      </c>
      <c r="J1427" s="557">
        <v>0</v>
      </c>
    </row>
    <row r="1428" spans="2:10">
      <c r="B1428" s="52"/>
      <c r="C1428" s="557"/>
      <c r="D1428" s="557"/>
      <c r="E1428" s="557"/>
      <c r="F1428" s="557"/>
      <c r="G1428" s="557"/>
      <c r="H1428" s="557"/>
      <c r="I1428" s="556"/>
      <c r="J1428" s="556"/>
    </row>
    <row r="1429" spans="2:10">
      <c r="B1429" s="54" t="s">
        <v>122</v>
      </c>
      <c r="C1429" s="558">
        <v>0</v>
      </c>
      <c r="D1429" s="558">
        <v>0</v>
      </c>
      <c r="E1429" s="558">
        <v>0</v>
      </c>
      <c r="F1429" s="558">
        <v>0</v>
      </c>
      <c r="G1429" s="558">
        <v>0</v>
      </c>
      <c r="H1429" s="558">
        <v>0</v>
      </c>
      <c r="I1429" s="557">
        <v>0</v>
      </c>
      <c r="J1429" s="557">
        <v>0</v>
      </c>
    </row>
    <row r="1430" spans="2:10">
      <c r="B1430" s="52" t="s">
        <v>121</v>
      </c>
      <c r="C1430" s="558">
        <v>0</v>
      </c>
      <c r="D1430" s="558">
        <v>0</v>
      </c>
      <c r="E1430" s="558">
        <v>0</v>
      </c>
      <c r="F1430" s="558">
        <v>0</v>
      </c>
      <c r="G1430" s="558">
        <v>0</v>
      </c>
      <c r="H1430" s="558">
        <v>0</v>
      </c>
      <c r="I1430" s="558">
        <v>0</v>
      </c>
      <c r="J1430" s="558">
        <v>0</v>
      </c>
    </row>
    <row r="1431" spans="2:10">
      <c r="B1431" s="53" t="s">
        <v>120</v>
      </c>
      <c r="C1431" s="558">
        <v>0</v>
      </c>
      <c r="D1431" s="558">
        <v>0</v>
      </c>
      <c r="E1431" s="558">
        <v>0</v>
      </c>
      <c r="F1431" s="558">
        <v>0</v>
      </c>
      <c r="G1431" s="558">
        <v>0</v>
      </c>
      <c r="H1431" s="558">
        <v>0</v>
      </c>
      <c r="I1431" s="558">
        <v>0</v>
      </c>
      <c r="J1431" s="558">
        <v>0</v>
      </c>
    </row>
    <row r="1432" spans="2:10">
      <c r="B1432" s="53" t="s">
        <v>119</v>
      </c>
      <c r="C1432" s="558">
        <v>0</v>
      </c>
      <c r="D1432" s="558">
        <v>0</v>
      </c>
      <c r="E1432" s="558">
        <v>0</v>
      </c>
      <c r="F1432" s="558">
        <v>0</v>
      </c>
      <c r="G1432" s="558">
        <v>0</v>
      </c>
      <c r="H1432" s="558">
        <v>0</v>
      </c>
      <c r="I1432" s="558">
        <v>0</v>
      </c>
      <c r="J1432" s="558">
        <v>0</v>
      </c>
    </row>
    <row r="1433" spans="2:10">
      <c r="B1433" s="52" t="s">
        <v>118</v>
      </c>
      <c r="C1433" s="558">
        <v>0</v>
      </c>
      <c r="D1433" s="558">
        <v>0</v>
      </c>
      <c r="E1433" s="558">
        <v>0</v>
      </c>
      <c r="F1433" s="558">
        <v>0</v>
      </c>
      <c r="G1433" s="558">
        <v>0</v>
      </c>
      <c r="H1433" s="558">
        <v>0</v>
      </c>
      <c r="I1433" s="558">
        <v>0</v>
      </c>
      <c r="J1433" s="558">
        <v>0</v>
      </c>
    </row>
    <row r="1434" spans="2:10">
      <c r="B1434" s="52" t="s">
        <v>117</v>
      </c>
      <c r="C1434" s="558">
        <v>0</v>
      </c>
      <c r="D1434" s="558">
        <v>0</v>
      </c>
      <c r="E1434" s="558">
        <v>0</v>
      </c>
      <c r="F1434" s="558">
        <v>0</v>
      </c>
      <c r="G1434" s="558">
        <v>0</v>
      </c>
      <c r="H1434" s="558">
        <v>0</v>
      </c>
      <c r="I1434" s="558">
        <v>0</v>
      </c>
      <c r="J1434" s="558">
        <v>0</v>
      </c>
    </row>
    <row r="1435" spans="2:10">
      <c r="B1435" s="52"/>
      <c r="C1435" s="89"/>
      <c r="D1435" s="89"/>
      <c r="E1435" s="89"/>
      <c r="F1435" s="89"/>
      <c r="G1435" s="89"/>
      <c r="H1435" s="89"/>
      <c r="I1435" s="558"/>
      <c r="J1435" s="558"/>
    </row>
    <row r="1436" spans="2:10">
      <c r="B1436" s="59" t="s">
        <v>972</v>
      </c>
      <c r="C1436" s="89"/>
      <c r="D1436" s="89"/>
      <c r="E1436" s="89"/>
      <c r="F1436" s="89"/>
      <c r="G1436" s="89"/>
      <c r="H1436" s="89"/>
      <c r="I1436" s="89"/>
      <c r="J1436" s="89"/>
    </row>
    <row r="1437" spans="2:10">
      <c r="B1437" s="54" t="s">
        <v>130</v>
      </c>
      <c r="C1437" s="558">
        <v>3949.71</v>
      </c>
      <c r="D1437" s="558">
        <v>4139.848</v>
      </c>
      <c r="E1437" s="558">
        <v>4217.7470000000003</v>
      </c>
      <c r="F1437" s="558">
        <v>4403.3249999999998</v>
      </c>
      <c r="G1437" s="558">
        <v>4563.01</v>
      </c>
      <c r="H1437" s="558">
        <v>4922.7349999999997</v>
      </c>
      <c r="I1437" s="558">
        <v>5864.4939999999997</v>
      </c>
      <c r="J1437" s="558">
        <v>6506.3239999999996</v>
      </c>
    </row>
    <row r="1438" spans="2:10">
      <c r="B1438" s="54" t="s">
        <v>123</v>
      </c>
      <c r="C1438" s="556">
        <v>3809.2559999999999</v>
      </c>
      <c r="D1438" s="556">
        <v>3978.3420000000001</v>
      </c>
      <c r="E1438" s="556">
        <v>4027.54</v>
      </c>
      <c r="F1438" s="556">
        <v>4142.6840000000002</v>
      </c>
      <c r="G1438" s="556">
        <v>4421.97</v>
      </c>
      <c r="H1438" s="556">
        <v>4770.9290000000001</v>
      </c>
      <c r="I1438" s="558">
        <v>5557.6170000000002</v>
      </c>
      <c r="J1438" s="558">
        <v>6043.6120000000001</v>
      </c>
    </row>
    <row r="1439" spans="2:10">
      <c r="B1439" s="52" t="s">
        <v>121</v>
      </c>
      <c r="C1439" s="556">
        <v>3809.2559999999999</v>
      </c>
      <c r="D1439" s="556">
        <v>3978.3420000000001</v>
      </c>
      <c r="E1439" s="556">
        <v>4027.54</v>
      </c>
      <c r="F1439" s="556">
        <v>4142.6840000000002</v>
      </c>
      <c r="G1439" s="556">
        <v>4421.97</v>
      </c>
      <c r="H1439" s="556">
        <v>4770.9290000000001</v>
      </c>
      <c r="I1439" s="556">
        <v>5557.6170000000002</v>
      </c>
      <c r="J1439" s="558">
        <v>6043.6120000000001</v>
      </c>
    </row>
    <row r="1440" spans="2:10">
      <c r="B1440" s="53" t="s">
        <v>120</v>
      </c>
      <c r="C1440" s="559">
        <v>0</v>
      </c>
      <c r="D1440" s="559">
        <v>0</v>
      </c>
      <c r="E1440" s="559">
        <v>0</v>
      </c>
      <c r="F1440" s="559">
        <v>0</v>
      </c>
      <c r="G1440" s="559">
        <v>0</v>
      </c>
      <c r="H1440" s="559">
        <v>0</v>
      </c>
      <c r="I1440" s="559">
        <v>0</v>
      </c>
      <c r="J1440" s="559">
        <v>0</v>
      </c>
    </row>
    <row r="1441" spans="2:10">
      <c r="B1441" s="53" t="s">
        <v>119</v>
      </c>
      <c r="C1441" s="556">
        <v>3809.2559999999999</v>
      </c>
      <c r="D1441" s="556">
        <v>3978.3420000000001</v>
      </c>
      <c r="E1441" s="556">
        <v>4027.54</v>
      </c>
      <c r="F1441" s="556">
        <v>4142.6840000000002</v>
      </c>
      <c r="G1441" s="556">
        <v>4421.97</v>
      </c>
      <c r="H1441" s="556">
        <v>4770.9290000000001</v>
      </c>
      <c r="I1441" s="556">
        <v>5557.6170000000002</v>
      </c>
      <c r="J1441" s="556">
        <v>6043.6120000000001</v>
      </c>
    </row>
    <row r="1442" spans="2:10">
      <c r="B1442" s="52" t="s">
        <v>118</v>
      </c>
      <c r="C1442" s="558">
        <v>0</v>
      </c>
      <c r="D1442" s="558">
        <v>0</v>
      </c>
      <c r="E1442" s="558">
        <v>0</v>
      </c>
      <c r="F1442" s="558">
        <v>0</v>
      </c>
      <c r="G1442" s="558">
        <v>0</v>
      </c>
      <c r="H1442" s="558">
        <v>0</v>
      </c>
      <c r="I1442" s="558">
        <v>0</v>
      </c>
      <c r="J1442" s="558">
        <v>0</v>
      </c>
    </row>
    <row r="1443" spans="2:10">
      <c r="B1443" s="52" t="s">
        <v>117</v>
      </c>
      <c r="C1443" s="558">
        <v>0</v>
      </c>
      <c r="D1443" s="558">
        <v>0</v>
      </c>
      <c r="E1443" s="558">
        <v>0</v>
      </c>
      <c r="F1443" s="558">
        <v>0</v>
      </c>
      <c r="G1443" s="558">
        <v>0</v>
      </c>
      <c r="H1443" s="558">
        <v>0</v>
      </c>
      <c r="I1443" s="558">
        <v>0</v>
      </c>
      <c r="J1443" s="558">
        <v>0</v>
      </c>
    </row>
    <row r="1444" spans="2:10">
      <c r="B1444" s="52"/>
      <c r="C1444" s="560"/>
      <c r="D1444" s="560"/>
      <c r="E1444" s="560"/>
      <c r="F1444" s="560"/>
      <c r="G1444" s="560"/>
      <c r="H1444" s="560"/>
      <c r="I1444" s="560"/>
      <c r="J1444" s="560"/>
    </row>
    <row r="1445" spans="2:10">
      <c r="B1445" s="54" t="s">
        <v>122</v>
      </c>
      <c r="C1445" s="552">
        <v>140.45400000000001</v>
      </c>
      <c r="D1445" s="552">
        <v>161.506</v>
      </c>
      <c r="E1445" s="552">
        <v>190.20699999999999</v>
      </c>
      <c r="F1445" s="552">
        <v>260.64100000000002</v>
      </c>
      <c r="G1445" s="552">
        <v>141.04</v>
      </c>
      <c r="H1445" s="552">
        <v>151.80600000000001</v>
      </c>
      <c r="I1445" s="552">
        <v>306.87700000000001</v>
      </c>
      <c r="J1445" s="552">
        <v>462.71199999999999</v>
      </c>
    </row>
    <row r="1446" spans="2:10">
      <c r="B1446" s="52" t="s">
        <v>121</v>
      </c>
      <c r="C1446" s="552">
        <v>140.45400000000001</v>
      </c>
      <c r="D1446" s="552">
        <v>161.506</v>
      </c>
      <c r="E1446" s="552">
        <v>190.20699999999999</v>
      </c>
      <c r="F1446" s="552">
        <v>260.64100000000002</v>
      </c>
      <c r="G1446" s="552">
        <v>141.04</v>
      </c>
      <c r="H1446" s="552">
        <v>151.80600000000001</v>
      </c>
      <c r="I1446" s="552">
        <v>306.87700000000001</v>
      </c>
      <c r="J1446" s="552">
        <v>306.87700000000001</v>
      </c>
    </row>
    <row r="1447" spans="2:10">
      <c r="B1447" s="53" t="s">
        <v>120</v>
      </c>
      <c r="C1447" s="557">
        <v>0</v>
      </c>
      <c r="D1447" s="557">
        <v>0</v>
      </c>
      <c r="E1447" s="557">
        <v>0</v>
      </c>
      <c r="F1447" s="557">
        <v>0</v>
      </c>
      <c r="G1447" s="557">
        <v>0</v>
      </c>
      <c r="H1447" s="557">
        <v>0</v>
      </c>
      <c r="I1447" s="557">
        <v>0</v>
      </c>
      <c r="J1447" s="557">
        <v>0</v>
      </c>
    </row>
    <row r="1448" spans="2:10">
      <c r="B1448" s="53" t="s">
        <v>119</v>
      </c>
      <c r="C1448" s="552">
        <v>140.45400000000001</v>
      </c>
      <c r="D1448" s="552">
        <v>161.506</v>
      </c>
      <c r="E1448" s="552">
        <v>190.20699999999999</v>
      </c>
      <c r="F1448" s="552">
        <v>260.64100000000002</v>
      </c>
      <c r="G1448" s="552">
        <v>141.04</v>
      </c>
      <c r="H1448" s="552">
        <v>151.80600000000001</v>
      </c>
      <c r="I1448" s="552">
        <v>306.87700000000001</v>
      </c>
      <c r="J1448" s="552">
        <v>306.87700000000001</v>
      </c>
    </row>
    <row r="1449" spans="2:10">
      <c r="B1449" s="52" t="s">
        <v>118</v>
      </c>
      <c r="C1449" s="561">
        <v>0</v>
      </c>
      <c r="D1449" s="561">
        <v>0</v>
      </c>
      <c r="E1449" s="561">
        <v>0</v>
      </c>
      <c r="F1449" s="561">
        <v>0</v>
      </c>
      <c r="G1449" s="561">
        <v>0</v>
      </c>
      <c r="H1449" s="561">
        <v>0</v>
      </c>
      <c r="I1449" s="561">
        <v>0</v>
      </c>
      <c r="J1449" s="561">
        <v>0</v>
      </c>
    </row>
    <row r="1450" spans="2:10" ht="15" thickBot="1">
      <c r="B1450" s="50" t="s">
        <v>117</v>
      </c>
      <c r="C1450" s="562">
        <v>0</v>
      </c>
      <c r="D1450" s="562">
        <v>0</v>
      </c>
      <c r="E1450" s="562">
        <v>0</v>
      </c>
      <c r="F1450" s="562">
        <v>0</v>
      </c>
      <c r="G1450" s="562">
        <v>0</v>
      </c>
      <c r="H1450" s="562">
        <v>0</v>
      </c>
      <c r="I1450" s="562">
        <v>0</v>
      </c>
      <c r="J1450" s="562">
        <v>0</v>
      </c>
    </row>
    <row r="1451" spans="2:10" ht="15" thickTop="1">
      <c r="B1451" s="2025" t="s">
        <v>974</v>
      </c>
      <c r="C1451" s="2025"/>
      <c r="D1451" s="2025"/>
      <c r="E1451" s="2025"/>
      <c r="F1451" s="2025"/>
      <c r="G1451" s="2025"/>
      <c r="H1451" s="2025"/>
      <c r="I1451" s="2025"/>
      <c r="J1451" s="2025"/>
    </row>
    <row r="1452" spans="2:10">
      <c r="B1452" s="2066" t="s">
        <v>979</v>
      </c>
      <c r="C1452" s="2066"/>
      <c r="D1452" s="2066"/>
      <c r="E1452" s="2066"/>
      <c r="F1452" s="2066"/>
      <c r="G1452" s="2066"/>
      <c r="H1452" s="2066"/>
      <c r="I1452" s="2066"/>
      <c r="J1452" s="2066"/>
    </row>
    <row r="1453" spans="2:10">
      <c r="B1453" s="64"/>
    </row>
    <row r="1454" spans="2:10">
      <c r="B1454" s="2024" t="s">
        <v>129</v>
      </c>
      <c r="C1454" s="2024"/>
      <c r="D1454" s="2024"/>
      <c r="E1454" s="2024"/>
      <c r="F1454" s="2024"/>
      <c r="G1454" s="2024"/>
      <c r="H1454" s="2024"/>
      <c r="I1454" s="2024"/>
      <c r="J1454" s="2024"/>
    </row>
    <row r="1455" spans="2:10">
      <c r="B1455" s="12" t="s">
        <v>128</v>
      </c>
    </row>
    <row r="1456" spans="2:10">
      <c r="B1456" s="62" t="s">
        <v>127</v>
      </c>
    </row>
    <row r="1457" spans="2:10">
      <c r="B1457" s="62"/>
    </row>
    <row r="1458" spans="2:10">
      <c r="B1458" s="61"/>
      <c r="C1458" s="60">
        <v>2014</v>
      </c>
      <c r="D1458" s="60">
        <v>2015</v>
      </c>
      <c r="E1458" s="60">
        <v>2016</v>
      </c>
      <c r="F1458" s="60">
        <v>2017</v>
      </c>
      <c r="G1458" s="60">
        <v>2018</v>
      </c>
      <c r="H1458" s="60">
        <v>2019</v>
      </c>
      <c r="I1458" s="60">
        <v>2020</v>
      </c>
      <c r="J1458" s="60">
        <v>2021</v>
      </c>
    </row>
    <row r="1459" spans="2:10">
      <c r="B1459" s="71" t="s">
        <v>124</v>
      </c>
      <c r="C1459" s="55">
        <v>276559716.25854677</v>
      </c>
      <c r="D1459" s="55">
        <v>218380020.32467729</v>
      </c>
      <c r="E1459" s="55">
        <v>217065697.44597971</v>
      </c>
      <c r="F1459" s="55">
        <v>228913343.13960844</v>
      </c>
      <c r="G1459" s="55">
        <v>216277240.74194437</v>
      </c>
      <c r="H1459" s="55">
        <v>203335396.71942475</v>
      </c>
      <c r="I1459" s="55">
        <v>195814504.99676165</v>
      </c>
      <c r="J1459" s="55">
        <f>J1478+J1494+J1510</f>
        <v>278153734.52347517</v>
      </c>
    </row>
    <row r="1460" spans="2:10">
      <c r="B1460" s="71"/>
      <c r="C1460" s="55"/>
      <c r="D1460" s="55"/>
      <c r="E1460" s="55"/>
      <c r="F1460" s="55"/>
      <c r="G1460" s="55"/>
      <c r="H1460" s="55"/>
      <c r="I1460" s="55"/>
      <c r="J1460" s="55"/>
    </row>
    <row r="1461" spans="2:10" ht="15">
      <c r="B1461" s="59" t="s">
        <v>953</v>
      </c>
      <c r="C1461" s="55"/>
      <c r="D1461" s="55"/>
      <c r="E1461" s="55"/>
      <c r="F1461" s="55"/>
      <c r="G1461" s="55"/>
      <c r="H1461" s="55"/>
      <c r="I1461" s="55"/>
      <c r="J1461" s="55"/>
    </row>
    <row r="1462" spans="2:10">
      <c r="B1462" s="54" t="s">
        <v>124</v>
      </c>
      <c r="C1462" s="55">
        <v>2378775.9795303009</v>
      </c>
      <c r="D1462" s="55">
        <v>1496412.7594572739</v>
      </c>
      <c r="E1462" s="55">
        <v>1312740.1225026599</v>
      </c>
      <c r="F1462" s="55">
        <v>1605508.4424583588</v>
      </c>
      <c r="G1462" s="55">
        <v>0</v>
      </c>
      <c r="H1462" s="55">
        <v>0</v>
      </c>
      <c r="I1462" s="55">
        <v>0</v>
      </c>
      <c r="J1462" s="55">
        <v>0</v>
      </c>
    </row>
    <row r="1463" spans="2:10">
      <c r="B1463" s="54" t="s">
        <v>123</v>
      </c>
      <c r="C1463" s="55">
        <v>410557.45063065359</v>
      </c>
      <c r="D1463" s="55">
        <v>268877.82819660351</v>
      </c>
      <c r="E1463" s="55">
        <v>277846.31354537507</v>
      </c>
      <c r="F1463" s="55">
        <v>413589.87005923263</v>
      </c>
      <c r="G1463" s="55">
        <v>0</v>
      </c>
      <c r="H1463" s="55">
        <v>0</v>
      </c>
      <c r="I1463" s="55">
        <v>0</v>
      </c>
      <c r="J1463" s="55">
        <v>0</v>
      </c>
    </row>
    <row r="1464" spans="2:10">
      <c r="B1464" s="52" t="s">
        <v>121</v>
      </c>
      <c r="C1464" s="55">
        <v>254.00900327005567</v>
      </c>
      <c r="D1464" s="55">
        <v>522.60430706562431</v>
      </c>
      <c r="E1464" s="55">
        <v>354.84477077771078</v>
      </c>
      <c r="F1464" s="55">
        <v>560.89075777603762</v>
      </c>
      <c r="G1464" s="55">
        <v>0</v>
      </c>
      <c r="H1464" s="55">
        <v>0</v>
      </c>
      <c r="I1464" s="55">
        <v>0</v>
      </c>
      <c r="J1464" s="55">
        <v>0</v>
      </c>
    </row>
    <row r="1465" spans="2:10">
      <c r="B1465" s="53" t="s">
        <v>120</v>
      </c>
      <c r="C1465" s="55">
        <v>0</v>
      </c>
      <c r="D1465" s="55">
        <v>0</v>
      </c>
      <c r="E1465" s="55">
        <v>0</v>
      </c>
      <c r="F1465" s="55">
        <v>0</v>
      </c>
      <c r="G1465" s="55">
        <v>0</v>
      </c>
      <c r="H1465" s="55">
        <v>0</v>
      </c>
      <c r="I1465" s="55">
        <v>0</v>
      </c>
      <c r="J1465" s="55">
        <v>0</v>
      </c>
    </row>
    <row r="1466" spans="2:10">
      <c r="B1466" s="53" t="s">
        <v>119</v>
      </c>
      <c r="C1466" s="55">
        <v>254.00900327005567</v>
      </c>
      <c r="D1466" s="55">
        <v>522.60430706562431</v>
      </c>
      <c r="E1466" s="55">
        <v>354.84477077771078</v>
      </c>
      <c r="F1466" s="55">
        <v>560.89075777603762</v>
      </c>
      <c r="G1466" s="55">
        <v>0</v>
      </c>
      <c r="H1466" s="55">
        <v>0</v>
      </c>
      <c r="I1466" s="55">
        <v>0</v>
      </c>
      <c r="J1466" s="55">
        <v>0</v>
      </c>
    </row>
    <row r="1467" spans="2:10">
      <c r="B1467" s="52" t="s">
        <v>118</v>
      </c>
      <c r="C1467" s="55">
        <v>410303.44162738358</v>
      </c>
      <c r="D1467" s="55">
        <v>268355.22388953785</v>
      </c>
      <c r="E1467" s="55">
        <v>277491.46877459739</v>
      </c>
      <c r="F1467" s="55">
        <v>413028.97930145659</v>
      </c>
      <c r="G1467" s="55">
        <v>0</v>
      </c>
      <c r="H1467" s="55">
        <v>0</v>
      </c>
      <c r="I1467" s="55">
        <v>0</v>
      </c>
      <c r="J1467" s="55">
        <v>0</v>
      </c>
    </row>
    <row r="1468" spans="2:10">
      <c r="B1468" s="52" t="s">
        <v>117</v>
      </c>
      <c r="C1468" s="55">
        <v>0</v>
      </c>
      <c r="D1468" s="55">
        <v>0</v>
      </c>
      <c r="E1468" s="55">
        <v>0</v>
      </c>
      <c r="F1468" s="55">
        <v>0</v>
      </c>
      <c r="G1468" s="55">
        <v>0</v>
      </c>
      <c r="H1468" s="55">
        <v>0</v>
      </c>
      <c r="I1468" s="55">
        <v>0</v>
      </c>
      <c r="J1468" s="55">
        <v>0</v>
      </c>
    </row>
    <row r="1469" spans="2:10">
      <c r="B1469" s="52"/>
      <c r="C1469" s="55"/>
      <c r="D1469" s="55"/>
      <c r="E1469" s="55"/>
      <c r="F1469" s="55"/>
      <c r="G1469" s="55"/>
      <c r="H1469" s="55"/>
      <c r="I1469" s="55"/>
      <c r="J1469" s="55"/>
    </row>
    <row r="1470" spans="2:10">
      <c r="B1470" s="54" t="s">
        <v>122</v>
      </c>
      <c r="C1470" s="55">
        <v>1968218.5288996478</v>
      </c>
      <c r="D1470" s="55">
        <v>1227534.9312606703</v>
      </c>
      <c r="E1470" s="55">
        <v>1034893.8089572848</v>
      </c>
      <c r="F1470" s="55">
        <v>1191918.5723991261</v>
      </c>
      <c r="G1470" s="55">
        <v>0</v>
      </c>
      <c r="H1470" s="55">
        <v>0</v>
      </c>
      <c r="I1470" s="55">
        <v>0</v>
      </c>
      <c r="J1470" s="55">
        <v>0</v>
      </c>
    </row>
    <row r="1471" spans="2:10">
      <c r="B1471" s="52" t="s">
        <v>121</v>
      </c>
      <c r="C1471" s="55">
        <v>328.75652949420311</v>
      </c>
      <c r="D1471" s="55">
        <v>2553.5882229610334</v>
      </c>
      <c r="E1471" s="55">
        <v>2297.3265702867971</v>
      </c>
      <c r="F1471" s="55">
        <v>5083.612819107283</v>
      </c>
      <c r="G1471" s="55">
        <v>0</v>
      </c>
      <c r="H1471" s="55">
        <v>0</v>
      </c>
      <c r="I1471" s="55">
        <v>0</v>
      </c>
      <c r="J1471" s="55">
        <v>0</v>
      </c>
    </row>
    <row r="1472" spans="2:10">
      <c r="B1472" s="53" t="s">
        <v>120</v>
      </c>
      <c r="C1472" s="55">
        <v>0</v>
      </c>
      <c r="D1472" s="55">
        <v>0</v>
      </c>
      <c r="E1472" s="55">
        <v>0</v>
      </c>
      <c r="F1472" s="55">
        <v>0</v>
      </c>
      <c r="G1472" s="55">
        <v>0</v>
      </c>
      <c r="H1472" s="55">
        <v>0</v>
      </c>
      <c r="I1472" s="55">
        <v>0</v>
      </c>
      <c r="J1472" s="55">
        <v>0</v>
      </c>
    </row>
    <row r="1473" spans="2:10">
      <c r="B1473" s="53" t="s">
        <v>119</v>
      </c>
      <c r="C1473" s="55">
        <v>328.75652949420311</v>
      </c>
      <c r="D1473" s="55">
        <v>2553.5882229610334</v>
      </c>
      <c r="E1473" s="55">
        <v>2297.3265702867971</v>
      </c>
      <c r="F1473" s="55">
        <v>5083.612819107283</v>
      </c>
      <c r="G1473" s="55">
        <v>0</v>
      </c>
      <c r="H1473" s="55">
        <v>0</v>
      </c>
      <c r="I1473" s="55">
        <v>0</v>
      </c>
      <c r="J1473" s="55">
        <v>0</v>
      </c>
    </row>
    <row r="1474" spans="2:10">
      <c r="B1474" s="52" t="s">
        <v>118</v>
      </c>
      <c r="C1474" s="55">
        <v>1967889.7723701536</v>
      </c>
      <c r="D1474" s="55">
        <v>1224981.3433372271</v>
      </c>
      <c r="E1474" s="55">
        <v>1032596.482386998</v>
      </c>
      <c r="F1474" s="55">
        <v>1186834.9595800189</v>
      </c>
      <c r="G1474" s="55">
        <v>0</v>
      </c>
      <c r="H1474" s="55">
        <v>0</v>
      </c>
      <c r="I1474" s="55">
        <v>0</v>
      </c>
      <c r="J1474" s="55">
        <v>0</v>
      </c>
    </row>
    <row r="1475" spans="2:10">
      <c r="B1475" s="52" t="s">
        <v>117</v>
      </c>
      <c r="C1475" s="55">
        <v>0</v>
      </c>
      <c r="D1475" s="55">
        <v>0</v>
      </c>
      <c r="E1475" s="55">
        <v>0</v>
      </c>
      <c r="F1475" s="55">
        <v>0</v>
      </c>
      <c r="G1475" s="55">
        <v>0</v>
      </c>
      <c r="H1475" s="55">
        <v>0</v>
      </c>
      <c r="I1475" s="55">
        <v>0</v>
      </c>
      <c r="J1475" s="55">
        <v>0</v>
      </c>
    </row>
    <row r="1476" spans="2:10">
      <c r="B1476" s="52"/>
      <c r="C1476" s="55"/>
      <c r="D1476" s="55"/>
      <c r="E1476" s="55"/>
      <c r="F1476" s="55"/>
      <c r="G1476" s="55"/>
      <c r="H1476" s="55"/>
      <c r="I1476" s="55"/>
      <c r="J1476" s="55"/>
    </row>
    <row r="1477" spans="2:10">
      <c r="B1477" s="59" t="s">
        <v>971</v>
      </c>
      <c r="C1477" s="55"/>
      <c r="D1477" s="55"/>
      <c r="E1477" s="55"/>
      <c r="F1477" s="55"/>
      <c r="G1477" s="55"/>
      <c r="H1477" s="55"/>
      <c r="I1477" s="55"/>
      <c r="J1477" s="55"/>
    </row>
    <row r="1478" spans="2:10">
      <c r="B1478" s="54" t="s">
        <v>124</v>
      </c>
      <c r="C1478" s="55">
        <v>0</v>
      </c>
      <c r="D1478" s="55">
        <v>0</v>
      </c>
      <c r="E1478" s="55">
        <v>0</v>
      </c>
      <c r="F1478" s="55">
        <v>0</v>
      </c>
      <c r="G1478" s="55">
        <v>1234778.9623401663</v>
      </c>
      <c r="H1478" s="55">
        <v>1604470.5937507921</v>
      </c>
      <c r="I1478" s="55">
        <v>1668873.1663444086</v>
      </c>
      <c r="J1478" s="55">
        <v>1459376.337625155</v>
      </c>
    </row>
    <row r="1479" spans="2:10">
      <c r="B1479" s="54" t="s">
        <v>123</v>
      </c>
      <c r="C1479" s="55">
        <v>0</v>
      </c>
      <c r="D1479" s="55">
        <v>0</v>
      </c>
      <c r="E1479" s="55">
        <v>0</v>
      </c>
      <c r="F1479" s="55">
        <v>0</v>
      </c>
      <c r="G1479" s="55">
        <v>548357.62274386175</v>
      </c>
      <c r="H1479" s="55">
        <v>718690.99338587467</v>
      </c>
      <c r="I1479" s="55">
        <v>780816.62673449737</v>
      </c>
      <c r="J1479" s="55">
        <v>684738.50309331412</v>
      </c>
    </row>
    <row r="1480" spans="2:10">
      <c r="B1480" s="52" t="s">
        <v>121</v>
      </c>
      <c r="C1480" s="55">
        <v>0</v>
      </c>
      <c r="D1480" s="55">
        <v>0</v>
      </c>
      <c r="E1480" s="55">
        <v>0</v>
      </c>
      <c r="F1480" s="55">
        <v>0</v>
      </c>
      <c r="G1480" s="55">
        <v>463.53156855407843</v>
      </c>
      <c r="H1480" s="55">
        <v>1611.606142773878</v>
      </c>
      <c r="I1480" s="55">
        <v>776.88937143743465</v>
      </c>
      <c r="J1480" s="55">
        <v>887.47034030691668</v>
      </c>
    </row>
    <row r="1481" spans="2:10">
      <c r="B1481" s="53" t="s">
        <v>120</v>
      </c>
      <c r="C1481" s="55">
        <v>0</v>
      </c>
      <c r="D1481" s="55">
        <v>0</v>
      </c>
      <c r="E1481" s="55">
        <v>0</v>
      </c>
      <c r="F1481" s="55">
        <v>0</v>
      </c>
      <c r="G1481" s="55">
        <v>0</v>
      </c>
      <c r="H1481" s="55">
        <v>0</v>
      </c>
      <c r="I1481" s="55">
        <v>0</v>
      </c>
      <c r="J1481" s="55">
        <v>0</v>
      </c>
    </row>
    <row r="1482" spans="2:10">
      <c r="B1482" s="53" t="s">
        <v>119</v>
      </c>
      <c r="C1482" s="55">
        <v>0</v>
      </c>
      <c r="D1482" s="55">
        <v>0</v>
      </c>
      <c r="E1482" s="55">
        <v>0</v>
      </c>
      <c r="F1482" s="55">
        <v>0</v>
      </c>
      <c r="G1482" s="55">
        <v>463.53156855407843</v>
      </c>
      <c r="H1482" s="55">
        <v>1611.606142773878</v>
      </c>
      <c r="I1482" s="55">
        <v>776.88937143743465</v>
      </c>
      <c r="J1482" s="55">
        <v>887.47034030691668</v>
      </c>
    </row>
    <row r="1483" spans="2:10">
      <c r="B1483" s="52" t="s">
        <v>118</v>
      </c>
      <c r="C1483" s="55">
        <v>0</v>
      </c>
      <c r="D1483" s="55">
        <v>0</v>
      </c>
      <c r="E1483" s="55">
        <v>0</v>
      </c>
      <c r="F1483" s="55">
        <v>0</v>
      </c>
      <c r="G1483" s="55">
        <v>547894.09117530775</v>
      </c>
      <c r="H1483" s="55">
        <v>717079.38724310079</v>
      </c>
      <c r="I1483" s="55">
        <v>780039.73736306001</v>
      </c>
      <c r="J1483" s="55">
        <v>683851.03275300725</v>
      </c>
    </row>
    <row r="1484" spans="2:10">
      <c r="B1484" s="52" t="s">
        <v>117</v>
      </c>
      <c r="C1484" s="55">
        <v>0</v>
      </c>
      <c r="D1484" s="55">
        <v>0</v>
      </c>
      <c r="E1484" s="55">
        <v>0</v>
      </c>
      <c r="F1484" s="55">
        <v>0</v>
      </c>
      <c r="G1484" s="55">
        <v>0</v>
      </c>
      <c r="H1484" s="55">
        <v>0</v>
      </c>
      <c r="I1484" s="55">
        <v>0</v>
      </c>
      <c r="J1484" s="55">
        <v>0</v>
      </c>
    </row>
    <row r="1485" spans="2:10">
      <c r="B1485" s="52"/>
      <c r="C1485" s="55"/>
      <c r="D1485" s="55"/>
      <c r="E1485" s="55"/>
      <c r="F1485" s="55"/>
      <c r="G1485" s="55"/>
      <c r="H1485" s="55"/>
      <c r="I1485" s="55"/>
      <c r="J1485" s="55"/>
    </row>
    <row r="1486" spans="2:10">
      <c r="B1486" s="54" t="s">
        <v>122</v>
      </c>
      <c r="C1486" s="55">
        <v>0</v>
      </c>
      <c r="D1486" s="55">
        <v>0</v>
      </c>
      <c r="E1486" s="55">
        <v>0</v>
      </c>
      <c r="F1486" s="55">
        <v>0</v>
      </c>
      <c r="G1486" s="55">
        <v>686421.33959630458</v>
      </c>
      <c r="H1486" s="55">
        <v>885779.60036491731</v>
      </c>
      <c r="I1486" s="55">
        <v>888056.53960991115</v>
      </c>
      <c r="J1486" s="55">
        <v>774637.83453184075</v>
      </c>
    </row>
    <row r="1487" spans="2:10">
      <c r="B1487" s="52" t="s">
        <v>121</v>
      </c>
      <c r="C1487" s="55">
        <v>0</v>
      </c>
      <c r="D1487" s="55">
        <v>0</v>
      </c>
      <c r="E1487" s="55">
        <v>0</v>
      </c>
      <c r="F1487" s="55">
        <v>0</v>
      </c>
      <c r="G1487" s="55">
        <v>3134.5865795776576</v>
      </c>
      <c r="H1487" s="55">
        <v>3050.2901599047159</v>
      </c>
      <c r="I1487" s="55">
        <v>734.35185544224282</v>
      </c>
      <c r="J1487" s="55">
        <v>717.08721313662988</v>
      </c>
    </row>
    <row r="1488" spans="2:10">
      <c r="B1488" s="53" t="s">
        <v>120</v>
      </c>
      <c r="C1488" s="55">
        <v>0</v>
      </c>
      <c r="D1488" s="55">
        <v>0</v>
      </c>
      <c r="E1488" s="55">
        <v>0</v>
      </c>
      <c r="F1488" s="55">
        <v>0</v>
      </c>
      <c r="G1488" s="55">
        <v>0</v>
      </c>
      <c r="H1488" s="55">
        <v>0</v>
      </c>
      <c r="I1488" s="55">
        <v>0</v>
      </c>
      <c r="J1488" s="55">
        <v>0</v>
      </c>
    </row>
    <row r="1489" spans="2:10">
      <c r="B1489" s="53" t="s">
        <v>119</v>
      </c>
      <c r="C1489" s="55">
        <v>0</v>
      </c>
      <c r="D1489" s="55">
        <v>0</v>
      </c>
      <c r="E1489" s="55">
        <v>0</v>
      </c>
      <c r="F1489" s="55">
        <v>0</v>
      </c>
      <c r="G1489" s="55">
        <v>3134.5865795776576</v>
      </c>
      <c r="H1489" s="55">
        <v>3050.2901599047159</v>
      </c>
      <c r="I1489" s="55">
        <v>734.35185544224282</v>
      </c>
      <c r="J1489" s="55">
        <v>717.08721313662988</v>
      </c>
    </row>
    <row r="1490" spans="2:10">
      <c r="B1490" s="52" t="s">
        <v>118</v>
      </c>
      <c r="C1490" s="55">
        <v>0</v>
      </c>
      <c r="D1490" s="55">
        <v>0</v>
      </c>
      <c r="E1490" s="55">
        <v>0</v>
      </c>
      <c r="F1490" s="55">
        <v>0</v>
      </c>
      <c r="G1490" s="55">
        <v>683286.75301672681</v>
      </c>
      <c r="H1490" s="55">
        <v>882729.31020501256</v>
      </c>
      <c r="I1490" s="55">
        <v>887322.18775446899</v>
      </c>
      <c r="J1490" s="55">
        <v>773920.74768371903</v>
      </c>
    </row>
    <row r="1491" spans="2:10">
      <c r="B1491" s="52" t="s">
        <v>117</v>
      </c>
      <c r="C1491" s="55">
        <v>0</v>
      </c>
      <c r="D1491" s="55">
        <v>0</v>
      </c>
      <c r="E1491" s="55">
        <v>0</v>
      </c>
      <c r="F1491" s="55">
        <v>0</v>
      </c>
      <c r="G1491" s="55">
        <v>0</v>
      </c>
      <c r="H1491" s="55">
        <v>0</v>
      </c>
      <c r="I1491" s="55">
        <v>0</v>
      </c>
      <c r="J1491" s="55"/>
    </row>
    <row r="1492" spans="2:10">
      <c r="B1492" s="52"/>
      <c r="C1492" s="55"/>
      <c r="D1492" s="55"/>
      <c r="E1492" s="55"/>
      <c r="F1492" s="55"/>
      <c r="G1492" s="55"/>
      <c r="H1492" s="55"/>
      <c r="I1492" s="55"/>
      <c r="J1492" s="55"/>
    </row>
    <row r="1493" spans="2:10">
      <c r="B1493" s="59" t="s">
        <v>960</v>
      </c>
      <c r="C1493" s="55"/>
      <c r="D1493" s="55"/>
      <c r="E1493" s="55"/>
      <c r="F1493" s="55"/>
      <c r="G1493" s="55"/>
      <c r="H1493" s="55"/>
      <c r="I1493" s="55"/>
      <c r="J1493" s="55"/>
    </row>
    <row r="1494" spans="2:10">
      <c r="B1494" s="54" t="s">
        <v>124</v>
      </c>
      <c r="C1494" s="55">
        <v>9105011.621013293</v>
      </c>
      <c r="D1494" s="55">
        <v>7752719.2215532996</v>
      </c>
      <c r="E1494" s="55">
        <v>6178634.0366893467</v>
      </c>
      <c r="F1494" s="55">
        <v>7943936.3813242605</v>
      </c>
      <c r="G1494" s="55">
        <v>6656287.6431634938</v>
      </c>
      <c r="H1494" s="55">
        <v>7263192.1604931457</v>
      </c>
      <c r="I1494" s="55">
        <v>6993004.3480526283</v>
      </c>
      <c r="J1494" s="55">
        <v>8921093.3704448808</v>
      </c>
    </row>
    <row r="1495" spans="2:10">
      <c r="B1495" s="54" t="s">
        <v>123</v>
      </c>
      <c r="C1495" s="55">
        <v>9105011.621013293</v>
      </c>
      <c r="D1495" s="55">
        <v>7752719.2215532996</v>
      </c>
      <c r="E1495" s="55">
        <v>6178634.0366893467</v>
      </c>
      <c r="F1495" s="55">
        <v>7943936.3813242605</v>
      </c>
      <c r="G1495" s="55">
        <v>6656287.6431634938</v>
      </c>
      <c r="H1495" s="55">
        <v>7263192.1604931457</v>
      </c>
      <c r="I1495" s="55">
        <v>6993004.3480526283</v>
      </c>
      <c r="J1495" s="55">
        <v>8921093.3704448808</v>
      </c>
    </row>
    <row r="1496" spans="2:10">
      <c r="B1496" s="52" t="s">
        <v>121</v>
      </c>
      <c r="C1496" s="55">
        <v>9105011.621013293</v>
      </c>
      <c r="D1496" s="55">
        <v>7752719.2215532996</v>
      </c>
      <c r="E1496" s="55">
        <v>6178634.0366893467</v>
      </c>
      <c r="F1496" s="55">
        <v>7943936.3813242605</v>
      </c>
      <c r="G1496" s="55">
        <v>6656287.6431634938</v>
      </c>
      <c r="H1496" s="55">
        <v>7263192.1604931457</v>
      </c>
      <c r="I1496" s="55">
        <v>6993004.3480526283</v>
      </c>
      <c r="J1496" s="55">
        <v>8921093.3704448808</v>
      </c>
    </row>
    <row r="1497" spans="2:10">
      <c r="B1497" s="53" t="s">
        <v>120</v>
      </c>
      <c r="C1497" s="55">
        <v>4014660.0271796836</v>
      </c>
      <c r="D1497" s="55">
        <v>3690337.3465720196</v>
      </c>
      <c r="E1497" s="55">
        <v>2598020.8684293632</v>
      </c>
      <c r="F1497" s="55">
        <v>3223428.2728784964</v>
      </c>
      <c r="G1497" s="55">
        <v>2532622.9133178839</v>
      </c>
      <c r="H1497" s="55">
        <v>2803162.275781658</v>
      </c>
      <c r="I1497" s="55">
        <v>2499686.5389014529</v>
      </c>
      <c r="J1497" s="55">
        <v>2167269.9886530694</v>
      </c>
    </row>
    <row r="1498" spans="2:10">
      <c r="B1498" s="53" t="s">
        <v>119</v>
      </c>
      <c r="C1498" s="55">
        <v>5090351.5938336095</v>
      </c>
      <c r="D1498" s="55">
        <v>4062381.8749812804</v>
      </c>
      <c r="E1498" s="55">
        <v>3580613.1682599839</v>
      </c>
      <c r="F1498" s="55">
        <v>4720508.1084457636</v>
      </c>
      <c r="G1498" s="55">
        <v>4123664.7298456151</v>
      </c>
      <c r="H1498" s="55">
        <v>4460029.8847114872</v>
      </c>
      <c r="I1498" s="55">
        <v>4493317.8091511764</v>
      </c>
      <c r="J1498" s="55">
        <v>6753823.3817918124</v>
      </c>
    </row>
    <row r="1499" spans="2:10">
      <c r="B1499" s="52" t="s">
        <v>118</v>
      </c>
      <c r="C1499" s="55">
        <v>0</v>
      </c>
      <c r="D1499" s="55">
        <v>0</v>
      </c>
      <c r="E1499" s="55">
        <v>0</v>
      </c>
      <c r="F1499" s="55">
        <v>0</v>
      </c>
      <c r="G1499" s="55">
        <v>0</v>
      </c>
      <c r="H1499" s="55">
        <v>0</v>
      </c>
      <c r="I1499" s="55">
        <v>0</v>
      </c>
      <c r="J1499" s="55">
        <v>0</v>
      </c>
    </row>
    <row r="1500" spans="2:10">
      <c r="B1500" s="52" t="s">
        <v>117</v>
      </c>
      <c r="C1500" s="55">
        <v>0</v>
      </c>
      <c r="D1500" s="55">
        <v>0</v>
      </c>
      <c r="E1500" s="55">
        <v>0</v>
      </c>
      <c r="F1500" s="55">
        <v>0</v>
      </c>
      <c r="G1500" s="55">
        <v>0</v>
      </c>
      <c r="H1500" s="55">
        <v>0</v>
      </c>
      <c r="I1500" s="55">
        <v>0</v>
      </c>
      <c r="J1500" s="55">
        <v>0</v>
      </c>
    </row>
    <row r="1501" spans="2:10">
      <c r="B1501" s="52"/>
      <c r="C1501" s="55"/>
      <c r="D1501" s="55"/>
      <c r="E1501" s="55"/>
      <c r="F1501" s="55"/>
      <c r="G1501" s="55"/>
      <c r="H1501" s="55"/>
      <c r="I1501" s="55"/>
      <c r="J1501" s="55"/>
    </row>
    <row r="1502" spans="2:10">
      <c r="B1502" s="54" t="s">
        <v>122</v>
      </c>
      <c r="C1502" s="55">
        <v>0</v>
      </c>
      <c r="D1502" s="55">
        <v>0</v>
      </c>
      <c r="E1502" s="55">
        <v>0</v>
      </c>
      <c r="F1502" s="55">
        <v>0</v>
      </c>
      <c r="G1502" s="55">
        <v>0</v>
      </c>
      <c r="H1502" s="55">
        <v>0</v>
      </c>
      <c r="I1502" s="55">
        <v>0</v>
      </c>
      <c r="J1502" s="55">
        <v>0</v>
      </c>
    </row>
    <row r="1503" spans="2:10">
      <c r="B1503" s="52" t="s">
        <v>121</v>
      </c>
      <c r="C1503" s="55">
        <v>0</v>
      </c>
      <c r="D1503" s="55">
        <v>0</v>
      </c>
      <c r="E1503" s="55">
        <v>0</v>
      </c>
      <c r="F1503" s="55">
        <v>0</v>
      </c>
      <c r="G1503" s="55">
        <v>0</v>
      </c>
      <c r="H1503" s="55">
        <v>0</v>
      </c>
      <c r="I1503" s="55">
        <v>0</v>
      </c>
      <c r="J1503" s="55">
        <v>0</v>
      </c>
    </row>
    <row r="1504" spans="2:10">
      <c r="B1504" s="53" t="s">
        <v>120</v>
      </c>
      <c r="C1504" s="55">
        <v>0</v>
      </c>
      <c r="D1504" s="55">
        <v>0</v>
      </c>
      <c r="E1504" s="55">
        <v>0</v>
      </c>
      <c r="F1504" s="55">
        <v>0</v>
      </c>
      <c r="G1504" s="55">
        <v>0</v>
      </c>
      <c r="H1504" s="55">
        <v>0</v>
      </c>
      <c r="I1504" s="55">
        <v>0</v>
      </c>
      <c r="J1504" s="55">
        <v>0</v>
      </c>
    </row>
    <row r="1505" spans="2:10">
      <c r="B1505" s="53" t="s">
        <v>119</v>
      </c>
      <c r="C1505" s="55">
        <v>0</v>
      </c>
      <c r="D1505" s="55">
        <v>0</v>
      </c>
      <c r="E1505" s="55">
        <v>0</v>
      </c>
      <c r="F1505" s="55">
        <v>0</v>
      </c>
      <c r="G1505" s="55">
        <v>0</v>
      </c>
      <c r="H1505" s="55">
        <v>0</v>
      </c>
      <c r="I1505" s="55">
        <v>0</v>
      </c>
      <c r="J1505" s="55">
        <v>0</v>
      </c>
    </row>
    <row r="1506" spans="2:10">
      <c r="B1506" s="52" t="s">
        <v>118</v>
      </c>
      <c r="C1506" s="55">
        <v>0</v>
      </c>
      <c r="D1506" s="55">
        <v>0</v>
      </c>
      <c r="E1506" s="55">
        <v>0</v>
      </c>
      <c r="F1506" s="55">
        <v>0</v>
      </c>
      <c r="G1506" s="55">
        <v>0</v>
      </c>
      <c r="H1506" s="55">
        <v>0</v>
      </c>
      <c r="I1506" s="55">
        <v>0</v>
      </c>
      <c r="J1506" s="55">
        <v>0</v>
      </c>
    </row>
    <row r="1507" spans="2:10">
      <c r="B1507" s="52" t="s">
        <v>117</v>
      </c>
      <c r="C1507" s="55">
        <v>0</v>
      </c>
      <c r="D1507" s="55">
        <v>0</v>
      </c>
      <c r="E1507" s="55">
        <v>0</v>
      </c>
      <c r="F1507" s="55">
        <v>0</v>
      </c>
      <c r="G1507" s="55">
        <v>0</v>
      </c>
      <c r="H1507" s="55">
        <v>0</v>
      </c>
      <c r="I1507" s="55">
        <v>0</v>
      </c>
      <c r="J1507" s="55">
        <v>0</v>
      </c>
    </row>
    <row r="1508" spans="2:10">
      <c r="B1508" s="52"/>
      <c r="C1508" s="55"/>
      <c r="D1508" s="55"/>
      <c r="E1508" s="55"/>
      <c r="F1508" s="55"/>
      <c r="G1508" s="55"/>
      <c r="H1508" s="55"/>
      <c r="I1508" s="55"/>
      <c r="J1508" s="55"/>
    </row>
    <row r="1509" spans="2:10">
      <c r="B1509" s="59" t="s">
        <v>972</v>
      </c>
      <c r="C1509" s="55"/>
      <c r="D1509" s="55"/>
      <c r="E1509" s="55"/>
      <c r="F1509" s="55"/>
      <c r="G1509" s="55"/>
      <c r="H1509" s="55"/>
      <c r="I1509" s="55"/>
      <c r="J1509" s="55"/>
    </row>
    <row r="1510" spans="2:10">
      <c r="B1510" s="54" t="s">
        <v>124</v>
      </c>
      <c r="C1510" s="55">
        <v>265075928.65800315</v>
      </c>
      <c r="D1510" s="55">
        <v>209130888.3436667</v>
      </c>
      <c r="E1510" s="55">
        <v>209574323.28678772</v>
      </c>
      <c r="F1510" s="55">
        <v>219363898.31582585</v>
      </c>
      <c r="G1510" s="55">
        <v>208386174.13644072</v>
      </c>
      <c r="H1510" s="55">
        <v>194467733.96518081</v>
      </c>
      <c r="I1510" s="55">
        <v>187152627.48236462</v>
      </c>
      <c r="J1510" s="55">
        <v>267773264.81540516</v>
      </c>
    </row>
    <row r="1511" spans="2:10">
      <c r="B1511" s="54" t="s">
        <v>123</v>
      </c>
      <c r="C1511" s="55">
        <v>263215671.86775389</v>
      </c>
      <c r="D1511" s="55">
        <v>207504024.37176147</v>
      </c>
      <c r="E1511" s="55">
        <v>208030580.28194845</v>
      </c>
      <c r="F1511" s="55">
        <v>218093161.44450399</v>
      </c>
      <c r="G1511" s="55">
        <v>207270534.28770718</v>
      </c>
      <c r="H1511" s="55">
        <v>193445310.50911024</v>
      </c>
      <c r="I1511" s="55">
        <v>186290863.43397436</v>
      </c>
      <c r="J1511" s="55">
        <v>266876429.07072431</v>
      </c>
    </row>
    <row r="1512" spans="2:10">
      <c r="B1512" s="52" t="s">
        <v>121</v>
      </c>
      <c r="C1512" s="55">
        <v>263215671.86775389</v>
      </c>
      <c r="D1512" s="55">
        <v>207504024.37176147</v>
      </c>
      <c r="E1512" s="55">
        <v>208030580.28194845</v>
      </c>
      <c r="F1512" s="55">
        <v>218093161.44450399</v>
      </c>
      <c r="G1512" s="55">
        <v>207270534.28770718</v>
      </c>
      <c r="H1512" s="55">
        <v>193445310.50911024</v>
      </c>
      <c r="I1512" s="55">
        <v>186290863.43397436</v>
      </c>
      <c r="J1512" s="55">
        <v>266876429.07072431</v>
      </c>
    </row>
    <row r="1513" spans="2:10">
      <c r="B1513" s="53" t="s">
        <v>120</v>
      </c>
      <c r="C1513" s="55">
        <v>0</v>
      </c>
      <c r="D1513" s="55">
        <v>0</v>
      </c>
      <c r="E1513" s="55">
        <v>0</v>
      </c>
      <c r="F1513" s="55">
        <v>0</v>
      </c>
      <c r="G1513" s="55">
        <v>0</v>
      </c>
      <c r="H1513" s="55">
        <v>0</v>
      </c>
      <c r="I1513" s="55">
        <v>1.9388111210205903</v>
      </c>
      <c r="J1513" s="55">
        <v>0</v>
      </c>
    </row>
    <row r="1514" spans="2:10">
      <c r="B1514" s="53" t="s">
        <v>119</v>
      </c>
      <c r="C1514" s="55">
        <v>263215671.86775389</v>
      </c>
      <c r="D1514" s="55">
        <v>207504024.37176147</v>
      </c>
      <c r="E1514" s="55">
        <v>208030580.28194845</v>
      </c>
      <c r="F1514" s="55">
        <v>218093161.44450399</v>
      </c>
      <c r="G1514" s="55">
        <v>207270534.28770718</v>
      </c>
      <c r="H1514" s="55">
        <v>193445310.50911024</v>
      </c>
      <c r="I1514" s="55">
        <v>186290861.49516323</v>
      </c>
      <c r="J1514" s="55">
        <v>266876429.07072431</v>
      </c>
    </row>
    <row r="1515" spans="2:10">
      <c r="B1515" s="52" t="s">
        <v>118</v>
      </c>
      <c r="C1515" s="55">
        <v>0</v>
      </c>
      <c r="D1515" s="55">
        <v>0</v>
      </c>
      <c r="E1515" s="55">
        <v>0</v>
      </c>
      <c r="F1515" s="55">
        <v>0</v>
      </c>
      <c r="G1515" s="55">
        <v>0</v>
      </c>
      <c r="H1515" s="55">
        <v>0</v>
      </c>
      <c r="I1515" s="55">
        <v>0</v>
      </c>
      <c r="J1515" s="55">
        <v>0</v>
      </c>
    </row>
    <row r="1516" spans="2:10">
      <c r="B1516" s="52" t="s">
        <v>117</v>
      </c>
      <c r="C1516" s="55">
        <v>0</v>
      </c>
      <c r="D1516" s="55">
        <v>0</v>
      </c>
      <c r="E1516" s="55">
        <v>0</v>
      </c>
      <c r="F1516" s="55">
        <v>0</v>
      </c>
      <c r="G1516" s="55">
        <v>0</v>
      </c>
      <c r="H1516" s="55">
        <v>0</v>
      </c>
      <c r="I1516" s="55">
        <v>0</v>
      </c>
      <c r="J1516" s="55">
        <v>0</v>
      </c>
    </row>
    <row r="1517" spans="2:10">
      <c r="B1517" s="52"/>
      <c r="C1517" s="55"/>
      <c r="D1517" s="55"/>
      <c r="E1517" s="55"/>
      <c r="F1517" s="55"/>
      <c r="G1517" s="55"/>
      <c r="H1517" s="55"/>
      <c r="I1517" s="55"/>
      <c r="J1517" s="55"/>
    </row>
    <row r="1518" spans="2:10">
      <c r="B1518" s="54" t="s">
        <v>122</v>
      </c>
      <c r="C1518" s="55">
        <v>1860256.7902492888</v>
      </c>
      <c r="D1518" s="55">
        <v>1626863.9719052326</v>
      </c>
      <c r="E1518" s="55">
        <v>1543743.0048392762</v>
      </c>
      <c r="F1518" s="55">
        <v>1270736.87132182</v>
      </c>
      <c r="G1518" s="55">
        <v>1115639.8484599814</v>
      </c>
      <c r="H1518" s="55">
        <v>1022423.4646866526</v>
      </c>
      <c r="I1518" s="55">
        <v>861764.04839024972</v>
      </c>
      <c r="J1518" s="55">
        <v>896835.74468085112</v>
      </c>
    </row>
    <row r="1519" spans="2:10">
      <c r="B1519" s="52" t="s">
        <v>121</v>
      </c>
      <c r="C1519" s="55">
        <v>1860256.7902492888</v>
      </c>
      <c r="D1519" s="55">
        <v>1626863.9719052326</v>
      </c>
      <c r="E1519" s="55">
        <v>1543743.0048392762</v>
      </c>
      <c r="F1519" s="55">
        <v>1270736.87132182</v>
      </c>
      <c r="G1519" s="55">
        <v>1115639.8484599814</v>
      </c>
      <c r="H1519" s="55">
        <v>1022423.4646866526</v>
      </c>
      <c r="I1519" s="55">
        <v>861764.04839024972</v>
      </c>
      <c r="J1519" s="55">
        <v>896835.74468085112</v>
      </c>
    </row>
    <row r="1520" spans="2:10">
      <c r="B1520" s="53" t="s">
        <v>120</v>
      </c>
      <c r="C1520" s="55">
        <v>0</v>
      </c>
      <c r="D1520" s="55">
        <v>0</v>
      </c>
      <c r="E1520" s="55">
        <v>0</v>
      </c>
      <c r="F1520" s="55">
        <v>0</v>
      </c>
      <c r="G1520" s="55">
        <v>0</v>
      </c>
      <c r="H1520" s="55">
        <v>0</v>
      </c>
      <c r="I1520" s="55">
        <v>0</v>
      </c>
      <c r="J1520" s="55">
        <v>0</v>
      </c>
    </row>
    <row r="1521" spans="2:11">
      <c r="B1521" s="53" t="s">
        <v>119</v>
      </c>
      <c r="C1521" s="55">
        <v>1860256.7902492888</v>
      </c>
      <c r="D1521" s="55">
        <v>1626863.9719052326</v>
      </c>
      <c r="E1521" s="55">
        <v>1543743.0048392762</v>
      </c>
      <c r="F1521" s="55">
        <v>1270736.87132182</v>
      </c>
      <c r="G1521" s="55">
        <v>1115639.8484599814</v>
      </c>
      <c r="H1521" s="55">
        <v>1022423.4646866526</v>
      </c>
      <c r="I1521" s="55">
        <v>861764.04839024972</v>
      </c>
      <c r="J1521" s="55">
        <v>896835.74468085112</v>
      </c>
    </row>
    <row r="1522" spans="2:11">
      <c r="B1522" s="52" t="s">
        <v>118</v>
      </c>
      <c r="C1522" s="55">
        <v>0</v>
      </c>
      <c r="D1522" s="55">
        <v>0</v>
      </c>
      <c r="E1522" s="55">
        <v>0</v>
      </c>
      <c r="F1522" s="55">
        <v>0</v>
      </c>
      <c r="G1522" s="55">
        <v>0</v>
      </c>
      <c r="H1522" s="55">
        <v>0</v>
      </c>
      <c r="I1522" s="55">
        <v>0</v>
      </c>
      <c r="J1522" s="55">
        <v>0</v>
      </c>
    </row>
    <row r="1523" spans="2:11" ht="15" thickBot="1">
      <c r="B1523" s="563" t="s">
        <v>117</v>
      </c>
      <c r="C1523" s="55">
        <v>0</v>
      </c>
      <c r="D1523" s="55">
        <v>0</v>
      </c>
      <c r="E1523" s="55">
        <v>0</v>
      </c>
      <c r="F1523" s="55">
        <v>0</v>
      </c>
      <c r="G1523" s="55">
        <v>0</v>
      </c>
      <c r="H1523" s="55">
        <v>0</v>
      </c>
      <c r="I1523" s="55">
        <v>0</v>
      </c>
      <c r="J1523" s="55">
        <v>0</v>
      </c>
    </row>
    <row r="1524" spans="2:11" ht="15" thickTop="1">
      <c r="B1524" s="2025" t="s">
        <v>980</v>
      </c>
      <c r="C1524" s="2025"/>
      <c r="D1524" s="2025"/>
      <c r="E1524" s="2025"/>
      <c r="F1524" s="2025"/>
      <c r="G1524" s="2025"/>
      <c r="H1524" s="2025"/>
      <c r="I1524" s="2025"/>
      <c r="J1524" s="2025"/>
    </row>
    <row r="1525" spans="2:11">
      <c r="B1525" s="2066" t="s">
        <v>981</v>
      </c>
      <c r="C1525" s="2066"/>
      <c r="D1525" s="2066"/>
      <c r="E1525" s="2066"/>
      <c r="F1525" s="2066"/>
      <c r="G1525" s="2066"/>
      <c r="H1525" s="2066"/>
      <c r="I1525" s="2066"/>
      <c r="J1525" s="2066"/>
    </row>
    <row r="1527" spans="2:11">
      <c r="B1527" s="2024" t="s">
        <v>115</v>
      </c>
      <c r="C1527" s="2024"/>
      <c r="D1527" s="2024"/>
      <c r="E1527" s="2024"/>
      <c r="F1527" s="2024"/>
      <c r="G1527" s="2024"/>
      <c r="H1527" s="2024"/>
      <c r="I1527" s="2024"/>
      <c r="J1527" s="2024"/>
    </row>
    <row r="1528" spans="2:11">
      <c r="B1528" s="12" t="s">
        <v>114</v>
      </c>
    </row>
    <row r="1530" spans="2:11">
      <c r="B1530" s="2019" t="s">
        <v>11</v>
      </c>
      <c r="C1530" s="2019" t="s">
        <v>604</v>
      </c>
      <c r="D1530" s="2019" t="s">
        <v>113</v>
      </c>
      <c r="E1530" s="2021" t="s">
        <v>24</v>
      </c>
      <c r="F1530" s="2019" t="s">
        <v>112</v>
      </c>
      <c r="G1530" s="2019" t="s">
        <v>111</v>
      </c>
      <c r="H1530" s="2021" t="s">
        <v>110</v>
      </c>
      <c r="I1530" s="2016"/>
      <c r="J1530" s="2016"/>
      <c r="K1530" s="2070"/>
    </row>
    <row r="1531" spans="2:11">
      <c r="B1531" s="2020"/>
      <c r="C1531" s="2020"/>
      <c r="D1531" s="2020"/>
      <c r="E1531" s="2020"/>
      <c r="F1531" s="2020"/>
      <c r="G1531" s="2020"/>
      <c r="H1531" s="2020"/>
      <c r="I1531" s="2069"/>
      <c r="J1531" s="2069"/>
      <c r="K1531" s="2070"/>
    </row>
    <row r="1532" spans="2:11" ht="15">
      <c r="B1532" s="242" t="s">
        <v>940</v>
      </c>
      <c r="C1532" s="239" t="s">
        <v>606</v>
      </c>
      <c r="D1532" s="564" t="s">
        <v>94</v>
      </c>
      <c r="E1532" s="565" t="s">
        <v>1</v>
      </c>
      <c r="F1532" s="564" t="s">
        <v>106</v>
      </c>
      <c r="G1532" s="565" t="s">
        <v>982</v>
      </c>
      <c r="H1532" s="565" t="s">
        <v>102</v>
      </c>
      <c r="I1532" s="565"/>
      <c r="J1532" s="565"/>
      <c r="K1532" s="564"/>
    </row>
    <row r="1533" spans="2:11">
      <c r="B1533" s="242" t="s">
        <v>983</v>
      </c>
      <c r="C1533" s="239" t="s">
        <v>103</v>
      </c>
      <c r="D1533" s="564" t="s">
        <v>94</v>
      </c>
      <c r="E1533" s="565" t="s">
        <v>1</v>
      </c>
      <c r="F1533" s="564" t="s">
        <v>106</v>
      </c>
      <c r="G1533" s="565" t="s">
        <v>522</v>
      </c>
      <c r="H1533" s="565" t="s">
        <v>102</v>
      </c>
      <c r="I1533" s="565"/>
      <c r="J1533" s="565"/>
      <c r="K1533" s="564"/>
    </row>
    <row r="1534" spans="2:11" ht="15">
      <c r="B1534" s="242" t="s">
        <v>984</v>
      </c>
      <c r="C1534" s="239" t="s">
        <v>103</v>
      </c>
      <c r="D1534" s="564" t="s">
        <v>985</v>
      </c>
      <c r="E1534" s="565" t="s">
        <v>986</v>
      </c>
      <c r="F1534" s="564" t="s">
        <v>106</v>
      </c>
      <c r="G1534" s="565" t="s">
        <v>982</v>
      </c>
      <c r="H1534" s="565" t="s">
        <v>102</v>
      </c>
      <c r="I1534" s="565"/>
      <c r="J1534" s="565"/>
      <c r="K1534" s="564"/>
    </row>
    <row r="1535" spans="2:11" ht="15">
      <c r="B1535" s="242" t="s">
        <v>942</v>
      </c>
      <c r="C1535" s="239" t="s">
        <v>606</v>
      </c>
      <c r="D1535" s="564" t="s">
        <v>105</v>
      </c>
      <c r="E1535" s="565" t="s">
        <v>987</v>
      </c>
      <c r="F1535" s="564" t="s">
        <v>489</v>
      </c>
      <c r="G1535" s="565" t="s">
        <v>988</v>
      </c>
      <c r="H1535" s="565" t="s">
        <v>102</v>
      </c>
      <c r="I1535" s="565"/>
      <c r="J1535" s="565"/>
      <c r="K1535" s="564"/>
    </row>
    <row r="1536" spans="2:11" ht="15">
      <c r="B1536" s="242" t="s">
        <v>944</v>
      </c>
      <c r="C1536" s="239" t="s">
        <v>103</v>
      </c>
      <c r="D1536" s="564" t="s">
        <v>105</v>
      </c>
      <c r="E1536" s="565" t="s">
        <v>986</v>
      </c>
      <c r="F1536" s="564" t="s">
        <v>489</v>
      </c>
      <c r="G1536" s="565" t="s">
        <v>982</v>
      </c>
      <c r="H1536" s="565" t="s">
        <v>102</v>
      </c>
      <c r="I1536" s="565"/>
      <c r="J1536" s="565"/>
      <c r="K1536" s="564"/>
    </row>
    <row r="1537" spans="2:11" ht="15.5" thickBot="1">
      <c r="B1537" s="566" t="s">
        <v>943</v>
      </c>
      <c r="C1537" s="567" t="s">
        <v>103</v>
      </c>
      <c r="D1537" s="245" t="s">
        <v>105</v>
      </c>
      <c r="E1537" s="245" t="s">
        <v>5</v>
      </c>
      <c r="F1537" s="245" t="s">
        <v>489</v>
      </c>
      <c r="G1537" s="568" t="s">
        <v>982</v>
      </c>
      <c r="H1537" s="245" t="s">
        <v>102</v>
      </c>
      <c r="I1537" s="239"/>
      <c r="J1537" s="239"/>
      <c r="K1537" s="239"/>
    </row>
    <row r="1538" spans="2:11" ht="15" thickTop="1">
      <c r="B1538" s="2036"/>
      <c r="C1538" s="2036"/>
      <c r="D1538" s="2037"/>
    </row>
    <row r="1539" spans="2:11">
      <c r="B1539" s="2019" t="s">
        <v>11</v>
      </c>
      <c r="C1539" s="2019" t="s">
        <v>610</v>
      </c>
      <c r="D1539" s="2021" t="s">
        <v>101</v>
      </c>
      <c r="E1539" s="2021" t="s">
        <v>100</v>
      </c>
      <c r="F1539" s="2021" t="s">
        <v>99</v>
      </c>
      <c r="G1539" s="2019" t="s">
        <v>98</v>
      </c>
      <c r="H1539" s="2019"/>
      <c r="I1539" s="46"/>
      <c r="J1539" s="46"/>
      <c r="K1539" s="2070"/>
    </row>
    <row r="1540" spans="2:11">
      <c r="B1540" s="2020"/>
      <c r="C1540" s="2020"/>
      <c r="D1540" s="2020"/>
      <c r="E1540" s="2020"/>
      <c r="F1540" s="2020"/>
      <c r="G1540" s="45" t="s">
        <v>97</v>
      </c>
      <c r="H1540" s="45" t="s">
        <v>96</v>
      </c>
      <c r="I1540" s="44"/>
      <c r="J1540" s="44"/>
      <c r="K1540" s="2070"/>
    </row>
    <row r="1541" spans="2:11">
      <c r="B1541" s="242" t="s">
        <v>940</v>
      </c>
      <c r="C1541" s="564" t="s">
        <v>611</v>
      </c>
      <c r="D1541" s="564" t="s">
        <v>91</v>
      </c>
      <c r="E1541" s="565" t="s">
        <v>612</v>
      </c>
      <c r="F1541" s="564" t="s">
        <v>989</v>
      </c>
      <c r="G1541" s="565" t="s">
        <v>990</v>
      </c>
      <c r="H1541" s="565" t="s">
        <v>91</v>
      </c>
      <c r="I1541" s="565"/>
      <c r="J1541" s="565"/>
      <c r="K1541" s="564"/>
    </row>
    <row r="1542" spans="2:11">
      <c r="B1542" s="242" t="s">
        <v>983</v>
      </c>
      <c r="C1542" s="564" t="s">
        <v>611</v>
      </c>
      <c r="D1542" s="564" t="s">
        <v>991</v>
      </c>
      <c r="E1542" s="565" t="s">
        <v>612</v>
      </c>
      <c r="F1542" s="564">
        <v>0</v>
      </c>
      <c r="G1542" s="565" t="s">
        <v>992</v>
      </c>
      <c r="H1542" s="565" t="s">
        <v>992</v>
      </c>
      <c r="I1542" s="565"/>
      <c r="J1542" s="565"/>
      <c r="K1542" s="564"/>
    </row>
    <row r="1543" spans="2:11">
      <c r="B1543" s="242" t="s">
        <v>984</v>
      </c>
      <c r="C1543" s="564" t="s">
        <v>611</v>
      </c>
      <c r="D1543" s="564" t="s">
        <v>544</v>
      </c>
      <c r="E1543" s="565" t="s">
        <v>993</v>
      </c>
      <c r="F1543" s="564" t="s">
        <v>544</v>
      </c>
      <c r="G1543" s="565">
        <v>0</v>
      </c>
      <c r="H1543" s="565">
        <v>0</v>
      </c>
      <c r="I1543" s="565"/>
      <c r="J1543" s="565"/>
      <c r="K1543" s="564"/>
    </row>
    <row r="1544" spans="2:11">
      <c r="B1544" s="242" t="s">
        <v>942</v>
      </c>
      <c r="C1544" s="564" t="s">
        <v>611</v>
      </c>
      <c r="D1544" s="564" t="s">
        <v>994</v>
      </c>
      <c r="E1544" s="565" t="s">
        <v>995</v>
      </c>
      <c r="F1544" s="564">
        <v>0</v>
      </c>
      <c r="G1544" s="565">
        <v>0</v>
      </c>
      <c r="H1544" s="565">
        <v>0</v>
      </c>
      <c r="I1544" s="565"/>
      <c r="J1544" s="565"/>
      <c r="K1544" s="564"/>
    </row>
    <row r="1545" spans="2:11">
      <c r="B1545" s="242" t="s">
        <v>944</v>
      </c>
      <c r="C1545" s="564" t="s">
        <v>611</v>
      </c>
      <c r="D1545" s="564">
        <v>0</v>
      </c>
      <c r="E1545" s="565" t="s">
        <v>996</v>
      </c>
      <c r="F1545" s="564" t="s">
        <v>997</v>
      </c>
      <c r="G1545" s="565">
        <v>0</v>
      </c>
      <c r="H1545" s="565">
        <v>0</v>
      </c>
      <c r="I1545" s="565"/>
      <c r="J1545" s="565"/>
      <c r="K1545" s="564"/>
    </row>
    <row r="1546" spans="2:11" ht="15" thickBot="1">
      <c r="B1546" s="244" t="s">
        <v>943</v>
      </c>
      <c r="C1546" s="245" t="s">
        <v>611</v>
      </c>
      <c r="D1546" s="245">
        <v>0</v>
      </c>
      <c r="E1546" s="245" t="s">
        <v>998</v>
      </c>
      <c r="F1546" s="245">
        <v>0</v>
      </c>
      <c r="G1546" s="245">
        <v>0</v>
      </c>
      <c r="H1546" s="245">
        <v>0</v>
      </c>
      <c r="I1546" s="245"/>
      <c r="J1546" s="245"/>
      <c r="K1546" s="239"/>
    </row>
    <row r="1547" spans="2:11" ht="15" thickTop="1">
      <c r="B1547" s="2037" t="s">
        <v>999</v>
      </c>
      <c r="C1547" s="2037"/>
      <c r="D1547" s="2037"/>
      <c r="E1547" s="2037"/>
      <c r="F1547" s="2037"/>
      <c r="G1547" s="2037"/>
      <c r="H1547" s="2037"/>
      <c r="I1547" s="2037"/>
      <c r="J1547" s="2037"/>
    </row>
    <row r="1548" spans="2:11">
      <c r="B1548" s="2018" t="s">
        <v>1000</v>
      </c>
      <c r="C1548" s="2018"/>
      <c r="D1548" s="2018"/>
      <c r="E1548" s="2018"/>
      <c r="F1548" s="2018"/>
      <c r="G1548" s="2018"/>
      <c r="H1548" s="2018"/>
      <c r="I1548" s="2018"/>
      <c r="J1548" s="2018"/>
    </row>
    <row r="1550" spans="2:11">
      <c r="B1550" s="2024" t="s">
        <v>76</v>
      </c>
      <c r="C1550" s="2024"/>
      <c r="D1550" s="2024"/>
      <c r="E1550" s="2024"/>
      <c r="F1550" s="2024"/>
      <c r="G1550" s="2024"/>
      <c r="H1550" s="2024"/>
      <c r="I1550" s="2024"/>
      <c r="J1550" s="2024"/>
    </row>
    <row r="1551" spans="2:11">
      <c r="B1551" s="12" t="s">
        <v>75</v>
      </c>
    </row>
    <row r="1553" spans="2:11" ht="25">
      <c r="B1553" s="33" t="s">
        <v>11</v>
      </c>
      <c r="C1553" s="32" t="s">
        <v>24</v>
      </c>
      <c r="D1553" s="32" t="s">
        <v>74</v>
      </c>
      <c r="E1553" s="32" t="s">
        <v>73</v>
      </c>
      <c r="F1553" s="32" t="s">
        <v>72</v>
      </c>
      <c r="G1553" s="32" t="s">
        <v>71</v>
      </c>
    </row>
    <row r="1554" spans="2:11" ht="15" thickBot="1">
      <c r="B1554" s="244" t="s">
        <v>1001</v>
      </c>
      <c r="C1554" s="245" t="s">
        <v>19</v>
      </c>
      <c r="D1554" s="245" t="s">
        <v>1002</v>
      </c>
      <c r="E1554" s="245" t="s">
        <v>56</v>
      </c>
      <c r="F1554" s="245" t="s">
        <v>1003</v>
      </c>
      <c r="G1554" s="245" t="s">
        <v>1004</v>
      </c>
      <c r="H1554" s="363"/>
      <c r="I1554" s="363"/>
      <c r="J1554" s="363"/>
    </row>
    <row r="1555" spans="2:11" ht="15" thickTop="1">
      <c r="B1555" s="243" t="s">
        <v>1005</v>
      </c>
    </row>
    <row r="1556" spans="2:11">
      <c r="B1556" s="2018" t="s">
        <v>1006</v>
      </c>
      <c r="C1556" s="2018"/>
      <c r="D1556" s="2018"/>
      <c r="E1556" s="2018"/>
      <c r="F1556" s="2018"/>
      <c r="G1556" s="2018"/>
      <c r="H1556" s="2018"/>
      <c r="I1556" s="2018"/>
      <c r="J1556" s="2018"/>
    </row>
    <row r="1558" spans="2:11">
      <c r="B1558" s="2024" t="s">
        <v>52</v>
      </c>
      <c r="C1558" s="2024"/>
      <c r="D1558" s="2024"/>
      <c r="E1558" s="2024"/>
      <c r="F1558" s="2024"/>
      <c r="G1558" s="2024"/>
      <c r="H1558" s="2024"/>
      <c r="I1558" s="2024"/>
      <c r="J1558" s="2024"/>
    </row>
    <row r="1559" spans="2:11">
      <c r="B1559" s="12" t="s">
        <v>51</v>
      </c>
    </row>
    <row r="1561" spans="2:11">
      <c r="B1561" s="2019" t="s">
        <v>38</v>
      </c>
      <c r="C1561" s="2021" t="s">
        <v>530</v>
      </c>
      <c r="D1561" s="2021" t="s">
        <v>24</v>
      </c>
      <c r="E1561" s="2021" t="s">
        <v>50</v>
      </c>
      <c r="F1561" s="2021" t="s">
        <v>49</v>
      </c>
      <c r="G1561" s="2021" t="s">
        <v>48</v>
      </c>
      <c r="H1561" s="2021" t="s">
        <v>47</v>
      </c>
      <c r="I1561" s="2016"/>
      <c r="J1561" s="2016"/>
    </row>
    <row r="1562" spans="2:11">
      <c r="B1562" s="2020"/>
      <c r="C1562" s="2020"/>
      <c r="D1562" s="2020"/>
      <c r="E1562" s="2020"/>
      <c r="F1562" s="2020"/>
      <c r="G1562" s="2020"/>
      <c r="H1562" s="2020"/>
      <c r="I1562" s="2069"/>
      <c r="J1562" s="2069"/>
    </row>
    <row r="1563" spans="2:11" ht="15">
      <c r="B1563" s="569" t="s">
        <v>1007</v>
      </c>
      <c r="C1563" s="16" t="s">
        <v>536</v>
      </c>
      <c r="D1563" s="16" t="s">
        <v>19</v>
      </c>
      <c r="E1563" s="16" t="s">
        <v>1008</v>
      </c>
      <c r="F1563" s="16">
        <v>0</v>
      </c>
      <c r="G1563" s="16" t="s">
        <v>1009</v>
      </c>
      <c r="H1563" s="16" t="s">
        <v>496</v>
      </c>
      <c r="I1563" s="16"/>
      <c r="J1563" s="16"/>
    </row>
    <row r="1564" spans="2:11">
      <c r="B1564" s="569" t="s">
        <v>1010</v>
      </c>
      <c r="C1564" s="570" t="s">
        <v>536</v>
      </c>
      <c r="D1564" s="571" t="s">
        <v>19</v>
      </c>
      <c r="E1564" s="571" t="s">
        <v>1011</v>
      </c>
      <c r="F1564" s="571" t="s">
        <v>1011</v>
      </c>
      <c r="G1564" s="572" t="s">
        <v>1012</v>
      </c>
      <c r="H1564" s="572" t="s">
        <v>1013</v>
      </c>
      <c r="I1564" s="572"/>
      <c r="J1564" s="572"/>
    </row>
    <row r="1565" spans="2:11" ht="15.5" thickBot="1">
      <c r="B1565" s="573" t="s">
        <v>960</v>
      </c>
      <c r="C1565" s="17" t="s">
        <v>623</v>
      </c>
      <c r="D1565" s="17" t="s">
        <v>522</v>
      </c>
      <c r="E1565" s="17">
        <v>0</v>
      </c>
      <c r="F1565" s="17" t="s">
        <v>1014</v>
      </c>
      <c r="G1565" s="17">
        <v>0</v>
      </c>
      <c r="H1565" s="17" t="s">
        <v>1015</v>
      </c>
      <c r="I1565" s="16"/>
      <c r="J1565" s="16"/>
    </row>
    <row r="1566" spans="2:11" ht="15" thickTop="1">
      <c r="B1566" s="243"/>
    </row>
    <row r="1567" spans="2:11">
      <c r="B1567" s="2071" t="s">
        <v>38</v>
      </c>
      <c r="C1567" s="2019" t="s">
        <v>538</v>
      </c>
      <c r="D1567" s="2021" t="s">
        <v>37</v>
      </c>
      <c r="E1567" s="2021" t="s">
        <v>8</v>
      </c>
      <c r="F1567" s="2021" t="s">
        <v>36</v>
      </c>
      <c r="G1567" s="2016"/>
      <c r="H1567" s="2016"/>
      <c r="I1567" s="2016"/>
      <c r="J1567" s="2016"/>
      <c r="K1567" s="2069"/>
    </row>
    <row r="1568" spans="2:11">
      <c r="B1568" s="2072"/>
      <c r="C1568" s="2020"/>
      <c r="D1568" s="2020"/>
      <c r="E1568" s="2020"/>
      <c r="F1568" s="2020"/>
      <c r="G1568" s="2069"/>
      <c r="H1568" s="2069"/>
      <c r="I1568" s="2069"/>
      <c r="J1568" s="2069"/>
      <c r="K1568" s="2069"/>
    </row>
    <row r="1569" spans="2:11">
      <c r="B1569" s="569" t="s">
        <v>1007</v>
      </c>
      <c r="C1569" s="16" t="s">
        <v>1016</v>
      </c>
      <c r="D1569" s="16">
        <v>0</v>
      </c>
      <c r="E1569" s="16" t="s">
        <v>1</v>
      </c>
      <c r="F1569" s="16">
        <v>0</v>
      </c>
      <c r="G1569" s="16"/>
      <c r="H1569" s="16"/>
      <c r="I1569" s="16"/>
      <c r="J1569" s="16"/>
      <c r="K1569" s="16"/>
    </row>
    <row r="1570" spans="2:11" ht="15">
      <c r="B1570" s="569" t="s">
        <v>1010</v>
      </c>
      <c r="C1570" s="16" t="s">
        <v>1017</v>
      </c>
      <c r="D1570" s="16" t="s">
        <v>1018</v>
      </c>
      <c r="E1570" s="16" t="s">
        <v>1</v>
      </c>
      <c r="F1570" s="16">
        <v>0</v>
      </c>
      <c r="G1570" s="26"/>
      <c r="H1570" s="16"/>
      <c r="I1570" s="16"/>
      <c r="J1570" s="16"/>
      <c r="K1570" s="16"/>
    </row>
    <row r="1571" spans="2:11" ht="15.5" thickBot="1">
      <c r="B1571" s="573" t="s">
        <v>960</v>
      </c>
      <c r="C1571" s="17" t="s">
        <v>1017</v>
      </c>
      <c r="D1571" s="17" t="s">
        <v>1018</v>
      </c>
      <c r="E1571" s="17" t="s">
        <v>1</v>
      </c>
      <c r="F1571" s="17">
        <v>0</v>
      </c>
      <c r="G1571" s="16"/>
      <c r="H1571" s="16"/>
      <c r="I1571" s="16"/>
      <c r="J1571" s="16"/>
      <c r="K1571" s="16"/>
    </row>
    <row r="1572" spans="2:11" ht="15" thickTop="1">
      <c r="B1572" s="243" t="s">
        <v>948</v>
      </c>
    </row>
    <row r="1573" spans="2:11">
      <c r="B1573" s="2018" t="s">
        <v>1019</v>
      </c>
      <c r="C1573" s="2018"/>
      <c r="D1573" s="2018"/>
      <c r="E1573" s="2018"/>
      <c r="F1573" s="2018"/>
      <c r="G1573" s="2018"/>
      <c r="H1573" s="2018"/>
      <c r="I1573" s="2018"/>
      <c r="J1573" s="2018"/>
    </row>
    <row r="1574" spans="2:11">
      <c r="B1574" s="384"/>
    </row>
    <row r="1575" spans="2:11">
      <c r="B1575" s="2024" t="s">
        <v>26</v>
      </c>
      <c r="C1575" s="2024"/>
      <c r="D1575" s="2024"/>
      <c r="E1575" s="2024"/>
      <c r="F1575" s="2024"/>
      <c r="G1575" s="2024"/>
      <c r="H1575" s="2024"/>
      <c r="I1575" s="2024"/>
      <c r="J1575" s="2024"/>
    </row>
    <row r="1576" spans="2:11">
      <c r="B1576" s="12" t="s">
        <v>25</v>
      </c>
    </row>
    <row r="1578" spans="2:11">
      <c r="B1578" s="2019" t="s">
        <v>11</v>
      </c>
      <c r="C1578" s="2021" t="s">
        <v>541</v>
      </c>
      <c r="D1578" s="2021" t="s">
        <v>24</v>
      </c>
      <c r="E1578" s="2021" t="s">
        <v>23</v>
      </c>
      <c r="F1578" s="2021" t="s">
        <v>22</v>
      </c>
      <c r="G1578" s="2021" t="s">
        <v>21</v>
      </c>
      <c r="H1578" s="2021" t="s">
        <v>20</v>
      </c>
      <c r="I1578" s="2016"/>
      <c r="J1578" s="2016"/>
      <c r="K1578" s="2069"/>
    </row>
    <row r="1579" spans="2:11">
      <c r="B1579" s="2020"/>
      <c r="C1579" s="2020"/>
      <c r="D1579" s="2020"/>
      <c r="E1579" s="2020"/>
      <c r="F1579" s="2020"/>
      <c r="G1579" s="2020"/>
      <c r="H1579" s="2020"/>
      <c r="I1579" s="2069"/>
      <c r="J1579" s="2069"/>
      <c r="K1579" s="2069"/>
    </row>
    <row r="1580" spans="2:11" ht="24">
      <c r="B1580" s="242" t="s">
        <v>972</v>
      </c>
      <c r="C1580" s="240" t="s">
        <v>1020</v>
      </c>
      <c r="D1580" s="239" t="s">
        <v>1</v>
      </c>
      <c r="E1580" s="239" t="s">
        <v>972</v>
      </c>
      <c r="F1580" s="574">
        <v>0.77083333333333337</v>
      </c>
      <c r="G1580" s="239" t="s">
        <v>1021</v>
      </c>
      <c r="H1580" s="239" t="s">
        <v>1022</v>
      </c>
      <c r="I1580" s="575"/>
      <c r="J1580" s="575"/>
      <c r="K1580" s="239"/>
    </row>
    <row r="1581" spans="2:11" ht="36">
      <c r="B1581" s="569" t="s">
        <v>1023</v>
      </c>
      <c r="C1581" s="240" t="s">
        <v>1024</v>
      </c>
      <c r="D1581" s="239" t="s">
        <v>19</v>
      </c>
      <c r="E1581" s="240" t="s">
        <v>1023</v>
      </c>
      <c r="F1581" s="574">
        <v>0.75</v>
      </c>
      <c r="G1581" s="239" t="s">
        <v>1021</v>
      </c>
      <c r="H1581" s="239" t="s">
        <v>1025</v>
      </c>
      <c r="I1581" s="575"/>
      <c r="J1581" s="575"/>
      <c r="K1581" s="239"/>
    </row>
    <row r="1582" spans="2:11" ht="24.5" thickBot="1">
      <c r="B1582" s="244" t="s">
        <v>960</v>
      </c>
      <c r="C1582" s="251" t="s">
        <v>1026</v>
      </c>
      <c r="D1582" s="245" t="s">
        <v>19</v>
      </c>
      <c r="E1582" s="245" t="s">
        <v>960</v>
      </c>
      <c r="F1582" s="576">
        <v>0.80555555555555547</v>
      </c>
      <c r="G1582" s="245" t="s">
        <v>1021</v>
      </c>
      <c r="H1582" s="245" t="s">
        <v>1022</v>
      </c>
      <c r="I1582" s="575"/>
      <c r="J1582" s="575"/>
      <c r="K1582" s="239"/>
    </row>
    <row r="1583" spans="2:11" ht="15" thickTop="1">
      <c r="B1583" s="384"/>
    </row>
    <row r="1584" spans="2:11">
      <c r="B1584" s="2019" t="s">
        <v>11</v>
      </c>
      <c r="C1584" s="2019" t="s">
        <v>546</v>
      </c>
      <c r="D1584" s="2021" t="s">
        <v>10</v>
      </c>
      <c r="E1584" s="2021" t="s">
        <v>9</v>
      </c>
      <c r="F1584" s="2021" t="s">
        <v>8</v>
      </c>
      <c r="G1584" s="2016"/>
      <c r="H1584" s="2016"/>
      <c r="I1584" s="2016"/>
      <c r="J1584" s="2016"/>
      <c r="K1584" s="2070"/>
    </row>
    <row r="1585" spans="2:11">
      <c r="B1585" s="2020"/>
      <c r="C1585" s="2020"/>
      <c r="D1585" s="2020"/>
      <c r="E1585" s="2020"/>
      <c r="F1585" s="2020"/>
      <c r="G1585" s="2069"/>
      <c r="H1585" s="2069"/>
      <c r="I1585" s="2069"/>
      <c r="J1585" s="2069"/>
      <c r="K1585" s="2070"/>
    </row>
    <row r="1586" spans="2:11">
      <c r="B1586" s="242" t="s">
        <v>972</v>
      </c>
      <c r="C1586" s="239" t="s">
        <v>1027</v>
      </c>
      <c r="D1586" s="240" t="s">
        <v>1028</v>
      </c>
      <c r="E1586" s="239" t="s">
        <v>1017</v>
      </c>
      <c r="F1586" s="249" t="s">
        <v>1</v>
      </c>
      <c r="G1586" s="239"/>
      <c r="H1586" s="575"/>
      <c r="I1586" s="575"/>
      <c r="J1586" s="575"/>
      <c r="K1586" s="239"/>
    </row>
    <row r="1587" spans="2:11">
      <c r="B1587" s="569" t="s">
        <v>1029</v>
      </c>
      <c r="C1587" s="239" t="s">
        <v>1027</v>
      </c>
      <c r="D1587" s="355" t="s">
        <v>1030</v>
      </c>
      <c r="E1587" s="239" t="s">
        <v>1017</v>
      </c>
      <c r="F1587" s="249" t="s">
        <v>1</v>
      </c>
      <c r="G1587" s="239"/>
      <c r="H1587" s="575"/>
      <c r="I1587" s="575"/>
      <c r="J1587" s="575"/>
      <c r="K1587" s="239"/>
    </row>
    <row r="1588" spans="2:11" ht="15" thickBot="1">
      <c r="B1588" s="244" t="s">
        <v>960</v>
      </c>
      <c r="C1588" s="577" t="s">
        <v>1027</v>
      </c>
      <c r="D1588" s="577" t="s">
        <v>1031</v>
      </c>
      <c r="E1588" s="245" t="s">
        <v>1017</v>
      </c>
      <c r="F1588" s="252" t="s">
        <v>1</v>
      </c>
      <c r="G1588" s="239"/>
      <c r="H1588" s="575"/>
      <c r="I1588" s="575"/>
      <c r="J1588" s="575"/>
      <c r="K1588" s="239"/>
    </row>
    <row r="1589" spans="2:11" ht="15" thickTop="1">
      <c r="B1589" s="253" t="s">
        <v>1032</v>
      </c>
    </row>
    <row r="1590" spans="2:11">
      <c r="B1590" s="2018" t="s">
        <v>1033</v>
      </c>
      <c r="C1590" s="2018"/>
      <c r="D1590" s="2018"/>
      <c r="E1590" s="2018"/>
      <c r="F1590" s="2018"/>
      <c r="G1590" s="2018"/>
      <c r="H1590" s="2018"/>
      <c r="I1590" s="2018"/>
      <c r="J1590" s="2018"/>
    </row>
  </sheetData>
  <mergeCells count="137">
    <mergeCell ref="B49:J49"/>
    <mergeCell ref="B51:J51"/>
    <mergeCell ref="B81:J81"/>
    <mergeCell ref="B82:J82"/>
    <mergeCell ref="B84:J84"/>
    <mergeCell ref="B111:J111"/>
    <mergeCell ref="B2:J2"/>
    <mergeCell ref="B13:J13"/>
    <mergeCell ref="B15:J15"/>
    <mergeCell ref="B31:J31"/>
    <mergeCell ref="B32:J32"/>
    <mergeCell ref="B34:J34"/>
    <mergeCell ref="B213:J213"/>
    <mergeCell ref="B215:J215"/>
    <mergeCell ref="B279:J279"/>
    <mergeCell ref="B280:J280"/>
    <mergeCell ref="B282:J282"/>
    <mergeCell ref="B381:J381"/>
    <mergeCell ref="B112:J112"/>
    <mergeCell ref="B114:J114"/>
    <mergeCell ref="B145:J145"/>
    <mergeCell ref="B146:J146"/>
    <mergeCell ref="B148:J148"/>
    <mergeCell ref="B212:J212"/>
    <mergeCell ref="B606:J606"/>
    <mergeCell ref="B608:J608"/>
    <mergeCell ref="B650:J650"/>
    <mergeCell ref="B651:J651"/>
    <mergeCell ref="B653:J653"/>
    <mergeCell ref="B673:J673"/>
    <mergeCell ref="B382:J382"/>
    <mergeCell ref="B384:J384"/>
    <mergeCell ref="B493:J493"/>
    <mergeCell ref="B494:J494"/>
    <mergeCell ref="B496:J496"/>
    <mergeCell ref="B605:J605"/>
    <mergeCell ref="B726:J726"/>
    <mergeCell ref="B728:J728"/>
    <mergeCell ref="B764:J764"/>
    <mergeCell ref="B765:J765"/>
    <mergeCell ref="B767:J767"/>
    <mergeCell ref="B847:J847"/>
    <mergeCell ref="B674:J674"/>
    <mergeCell ref="B676:J676"/>
    <mergeCell ref="B686:J686"/>
    <mergeCell ref="B687:J687"/>
    <mergeCell ref="B689:J689"/>
    <mergeCell ref="B725:J725"/>
    <mergeCell ref="B1205:J1205"/>
    <mergeCell ref="B1206:J1206"/>
    <mergeCell ref="B1208:J1208"/>
    <mergeCell ref="B1300:J1300"/>
    <mergeCell ref="B1301:J1301"/>
    <mergeCell ref="B1303:J1303"/>
    <mergeCell ref="B848:J848"/>
    <mergeCell ref="B849:J849"/>
    <mergeCell ref="B850:J850"/>
    <mergeCell ref="B1026:J1026"/>
    <mergeCell ref="B1027:J1027"/>
    <mergeCell ref="B1029:J1029"/>
    <mergeCell ref="B1451:J1451"/>
    <mergeCell ref="B1452:J1452"/>
    <mergeCell ref="B1454:J1454"/>
    <mergeCell ref="B1524:J1524"/>
    <mergeCell ref="B1525:J1525"/>
    <mergeCell ref="B1527:J1527"/>
    <mergeCell ref="B1339:J1339"/>
    <mergeCell ref="B1340:J1340"/>
    <mergeCell ref="B1342:J1342"/>
    <mergeCell ref="B1378:J1378"/>
    <mergeCell ref="B1379:J1379"/>
    <mergeCell ref="B1381:J1381"/>
    <mergeCell ref="G1539:H1539"/>
    <mergeCell ref="K1539:K1540"/>
    <mergeCell ref="B1547:J1547"/>
    <mergeCell ref="B1548:J1548"/>
    <mergeCell ref="B1550:J1550"/>
    <mergeCell ref="B1556:J1556"/>
    <mergeCell ref="H1530:H1531"/>
    <mergeCell ref="I1530:I1531"/>
    <mergeCell ref="J1530:J1531"/>
    <mergeCell ref="K1530:K1531"/>
    <mergeCell ref="B1538:D1538"/>
    <mergeCell ref="B1539:B1540"/>
    <mergeCell ref="C1539:C1540"/>
    <mergeCell ref="D1539:D1540"/>
    <mergeCell ref="E1539:E1540"/>
    <mergeCell ref="F1539:F1540"/>
    <mergeCell ref="B1530:B1531"/>
    <mergeCell ref="C1530:C1531"/>
    <mergeCell ref="D1530:D1531"/>
    <mergeCell ref="E1530:E1531"/>
    <mergeCell ref="F1530:F1531"/>
    <mergeCell ref="G1530:G1531"/>
    <mergeCell ref="B1558:J1558"/>
    <mergeCell ref="B1561:B1562"/>
    <mergeCell ref="C1561:C1562"/>
    <mergeCell ref="D1561:D1562"/>
    <mergeCell ref="E1561:E1562"/>
    <mergeCell ref="F1561:F1562"/>
    <mergeCell ref="G1561:G1562"/>
    <mergeCell ref="H1561:H1562"/>
    <mergeCell ref="I1561:I1562"/>
    <mergeCell ref="J1561:J1562"/>
    <mergeCell ref="H1567:H1568"/>
    <mergeCell ref="I1567:I1568"/>
    <mergeCell ref="J1567:J1568"/>
    <mergeCell ref="K1567:K1568"/>
    <mergeCell ref="B1573:J1573"/>
    <mergeCell ref="B1575:J1575"/>
    <mergeCell ref="B1567:B1568"/>
    <mergeCell ref="C1567:C1568"/>
    <mergeCell ref="D1567:D1568"/>
    <mergeCell ref="E1567:E1568"/>
    <mergeCell ref="F1567:F1568"/>
    <mergeCell ref="G1567:G1568"/>
    <mergeCell ref="H1584:H1585"/>
    <mergeCell ref="I1584:I1585"/>
    <mergeCell ref="J1584:J1585"/>
    <mergeCell ref="K1584:K1585"/>
    <mergeCell ref="B1590:J1590"/>
    <mergeCell ref="H1578:H1579"/>
    <mergeCell ref="I1578:I1579"/>
    <mergeCell ref="J1578:J1579"/>
    <mergeCell ref="K1578:K1579"/>
    <mergeCell ref="B1584:B1585"/>
    <mergeCell ref="C1584:C1585"/>
    <mergeCell ref="D1584:D1585"/>
    <mergeCell ref="E1584:E1585"/>
    <mergeCell ref="F1584:F1585"/>
    <mergeCell ref="G1584:G1585"/>
    <mergeCell ref="B1578:B1579"/>
    <mergeCell ref="C1578:C1579"/>
    <mergeCell ref="D1578:D1579"/>
    <mergeCell ref="E1578:E1579"/>
    <mergeCell ref="F1578:F1579"/>
    <mergeCell ref="G1578:G1579"/>
  </mergeCells>
  <conditionalFormatting sqref="B1042:B1043">
    <cfRule type="duplicateValues" dxfId="18" priority="1"/>
  </conditionalFormatting>
  <pageMargins left="0.7" right="0.7" top="0.75" bottom="0.75" header="0.3" footer="0.3"/>
  <pageSetup paperSize="9" scale="87" orientation="portrait" r:id="rId1"/>
  <colBreaks count="1" manualBreakCount="1">
    <brk id="4" min="1" max="162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96921-CAC1-4081-A269-E9676A5C09EC}">
  <dimension ref="B1:J849"/>
  <sheetViews>
    <sheetView view="pageBreakPreview" topLeftCell="B744" zoomScale="85" zoomScaleNormal="100" zoomScaleSheetLayoutView="85" workbookViewId="0">
      <selection activeCell="B747" sqref="B747"/>
    </sheetView>
  </sheetViews>
  <sheetFormatPr baseColWidth="10" defaultColWidth="11.453125" defaultRowHeight="14.5"/>
  <cols>
    <col min="1" max="1" width="5.7265625" customWidth="1"/>
    <col min="2" max="2" width="47.54296875" customWidth="1"/>
    <col min="3" max="11" width="19.81640625" customWidth="1"/>
  </cols>
  <sheetData>
    <row r="1" spans="2:10">
      <c r="B1" s="1"/>
      <c r="C1" s="121"/>
      <c r="D1" s="121"/>
      <c r="E1" s="121"/>
      <c r="F1" s="121"/>
      <c r="G1" s="121"/>
      <c r="H1" s="121"/>
      <c r="I1" s="121"/>
      <c r="J1" s="121"/>
    </row>
    <row r="2" spans="2:10">
      <c r="B2" s="2024" t="s">
        <v>464</v>
      </c>
      <c r="C2" s="2024"/>
      <c r="D2" s="2024"/>
      <c r="E2" s="2024"/>
      <c r="F2" s="2024"/>
      <c r="G2" s="2024"/>
      <c r="H2" s="2024"/>
      <c r="I2" s="2024"/>
      <c r="J2" s="2024"/>
    </row>
    <row r="3" spans="2:10">
      <c r="B3" s="12" t="s">
        <v>463</v>
      </c>
      <c r="C3" s="1"/>
      <c r="D3" s="1"/>
      <c r="E3" s="1"/>
      <c r="F3" s="1"/>
      <c r="G3" s="1"/>
      <c r="H3" s="1"/>
      <c r="I3" s="1"/>
      <c r="J3" s="1"/>
    </row>
    <row r="4" spans="2:10">
      <c r="B4" s="76"/>
      <c r="C4" s="121"/>
      <c r="D4" s="121"/>
      <c r="E4" s="121"/>
      <c r="F4" s="121"/>
      <c r="G4" s="121"/>
      <c r="H4" s="121"/>
      <c r="I4" s="121"/>
      <c r="J4" s="121"/>
    </row>
    <row r="5" spans="2:10">
      <c r="B5" s="61"/>
      <c r="C5" s="60">
        <v>2014</v>
      </c>
      <c r="D5" s="60">
        <v>2015</v>
      </c>
      <c r="E5" s="60">
        <v>2016</v>
      </c>
      <c r="F5" s="60">
        <v>2017</v>
      </c>
      <c r="G5" s="60">
        <v>2018</v>
      </c>
      <c r="H5" s="60">
        <v>2019</v>
      </c>
      <c r="I5" s="60">
        <v>2020</v>
      </c>
      <c r="J5" s="60">
        <v>2021</v>
      </c>
    </row>
    <row r="6" spans="2:10">
      <c r="B6" s="64" t="s">
        <v>465</v>
      </c>
      <c r="C6" s="98">
        <v>17787.616999999998</v>
      </c>
      <c r="D6" s="98">
        <v>17971.422999999999</v>
      </c>
      <c r="E6" s="98">
        <v>18167.147000000001</v>
      </c>
      <c r="F6" s="98">
        <v>18419.191999999999</v>
      </c>
      <c r="G6" s="98">
        <v>18751.404999999999</v>
      </c>
      <c r="H6" s="98">
        <v>19107.216</v>
      </c>
      <c r="I6" s="98">
        <v>19458.310000000001</v>
      </c>
      <c r="J6" s="98">
        <v>19678.363000000001</v>
      </c>
    </row>
    <row r="7" spans="2:10">
      <c r="B7" s="64" t="s">
        <v>461</v>
      </c>
      <c r="C7" s="98">
        <v>244656.48173301722</v>
      </c>
      <c r="D7" s="98">
        <v>225568.11195464697</v>
      </c>
      <c r="E7" s="98">
        <v>254068.52750977839</v>
      </c>
      <c r="F7" s="98">
        <v>292181.86306849582</v>
      </c>
      <c r="G7" s="98">
        <v>274929.85679253686</v>
      </c>
      <c r="H7" s="98">
        <v>266499.2973959872</v>
      </c>
      <c r="I7" s="98">
        <v>200512.43599999999</v>
      </c>
      <c r="J7" s="98">
        <v>320844.34999999998</v>
      </c>
    </row>
    <row r="8" spans="2:10">
      <c r="B8" s="64" t="s">
        <v>460</v>
      </c>
      <c r="C8" s="98">
        <v>1.3754157199776086E-2</v>
      </c>
      <c r="D8" s="98">
        <v>1.2551248338846948E-2</v>
      </c>
      <c r="E8" s="98">
        <v>1.3984924095970269E-2</v>
      </c>
      <c r="F8" s="98">
        <v>1.5862618250381978E-2</v>
      </c>
      <c r="G8" s="98">
        <v>1.4661702769911885E-2</v>
      </c>
      <c r="H8" s="98">
        <v>1.3948054040987349E-2</v>
      </c>
      <c r="I8" s="98">
        <f>I7/(I6*1000)</f>
        <v>1.0304719988529321E-2</v>
      </c>
      <c r="J8" s="98">
        <f>J7/(J6*1000)</f>
        <v>1.6304422781508805E-2</v>
      </c>
    </row>
    <row r="9" spans="2:10">
      <c r="B9" s="64" t="s">
        <v>466</v>
      </c>
      <c r="C9" s="202">
        <v>4.7080000000000002</v>
      </c>
      <c r="D9" s="202">
        <v>4.3419999999999996</v>
      </c>
      <c r="E9" s="202">
        <v>3.7919999999999998</v>
      </c>
      <c r="F9" s="202">
        <v>2.2000000000000002</v>
      </c>
      <c r="G9" s="202">
        <v>2.4249999999999998</v>
      </c>
      <c r="H9" s="202">
        <v>2.5579999999999998</v>
      </c>
      <c r="I9" s="202">
        <v>3.05</v>
      </c>
      <c r="J9" s="202">
        <v>4.5</v>
      </c>
    </row>
    <row r="10" spans="2:10">
      <c r="B10" s="64" t="s">
        <v>467</v>
      </c>
      <c r="C10" s="203"/>
      <c r="D10" s="203"/>
      <c r="E10" s="203"/>
      <c r="F10" s="203"/>
      <c r="G10" s="203"/>
      <c r="H10" s="203"/>
      <c r="I10" s="203"/>
      <c r="J10" s="203"/>
    </row>
    <row r="11" spans="2:10">
      <c r="B11" s="190" t="s">
        <v>468</v>
      </c>
      <c r="C11" s="98">
        <v>607.38</v>
      </c>
      <c r="D11" s="98">
        <v>707.34</v>
      </c>
      <c r="E11" s="98">
        <v>667.29</v>
      </c>
      <c r="F11" s="98">
        <v>615.22</v>
      </c>
      <c r="G11" s="98">
        <v>695.69</v>
      </c>
      <c r="H11" s="98">
        <v>744.62</v>
      </c>
      <c r="I11" s="98">
        <v>711.24</v>
      </c>
      <c r="J11" s="98">
        <v>850.25</v>
      </c>
    </row>
    <row r="12" spans="2:10" ht="15" thickBot="1">
      <c r="B12" s="196" t="s">
        <v>456</v>
      </c>
      <c r="C12" s="98">
        <v>570.0059</v>
      </c>
      <c r="D12" s="98">
        <v>654.24900000000002</v>
      </c>
      <c r="E12" s="98">
        <v>676.83240000000001</v>
      </c>
      <c r="F12" s="98">
        <v>649.3288</v>
      </c>
      <c r="G12" s="98">
        <v>640.29079999999999</v>
      </c>
      <c r="H12" s="98">
        <v>702.63099999999997</v>
      </c>
      <c r="I12" s="98">
        <v>792.22199999999998</v>
      </c>
      <c r="J12" s="98">
        <v>759.27300000000002</v>
      </c>
    </row>
    <row r="13" spans="2:10" ht="15" thickTop="1">
      <c r="B13" s="2025" t="s">
        <v>469</v>
      </c>
      <c r="C13" s="2025"/>
      <c r="D13" s="2025"/>
      <c r="E13" s="2025"/>
      <c r="F13" s="2025"/>
      <c r="G13" s="2025"/>
      <c r="H13" s="2025"/>
      <c r="I13" s="2025"/>
      <c r="J13" s="2025"/>
    </row>
    <row r="14" spans="2:10">
      <c r="B14" s="64"/>
      <c r="C14" s="121"/>
      <c r="D14" s="121"/>
      <c r="E14" s="121"/>
      <c r="F14" s="121"/>
      <c r="G14" s="121"/>
      <c r="H14" s="121"/>
      <c r="I14" s="121"/>
      <c r="J14" s="121"/>
    </row>
    <row r="15" spans="2:10">
      <c r="B15" s="2024" t="s">
        <v>454</v>
      </c>
      <c r="C15" s="2024"/>
      <c r="D15" s="2024"/>
      <c r="E15" s="2024"/>
      <c r="F15" s="2024"/>
      <c r="G15" s="2024"/>
      <c r="H15" s="2024"/>
      <c r="I15" s="2024"/>
      <c r="J15" s="2024"/>
    </row>
    <row r="16" spans="2:10">
      <c r="B16" s="12" t="s">
        <v>453</v>
      </c>
      <c r="C16" s="121"/>
      <c r="D16" s="121"/>
      <c r="E16" s="121"/>
      <c r="F16" s="121"/>
      <c r="G16" s="121"/>
      <c r="H16" s="121"/>
      <c r="I16" s="121"/>
      <c r="J16" s="121"/>
    </row>
    <row r="17" spans="2:10">
      <c r="B17" s="62" t="s">
        <v>242</v>
      </c>
      <c r="C17" s="121"/>
      <c r="D17" s="121"/>
      <c r="E17" s="121"/>
      <c r="F17" s="121"/>
      <c r="G17" s="121"/>
      <c r="H17" s="121"/>
      <c r="I17" s="121"/>
      <c r="J17" s="121"/>
    </row>
    <row r="18" spans="2:10">
      <c r="B18" s="64"/>
      <c r="C18" s="121"/>
      <c r="D18" s="121"/>
      <c r="E18" s="121"/>
      <c r="F18" s="121"/>
      <c r="G18" s="121"/>
      <c r="H18" s="121"/>
      <c r="I18" s="121"/>
      <c r="J18" s="121"/>
    </row>
    <row r="19" spans="2:10">
      <c r="B19" s="61"/>
      <c r="C19" s="60">
        <v>2014</v>
      </c>
      <c r="D19" s="60">
        <v>2015</v>
      </c>
      <c r="E19" s="60">
        <v>2016</v>
      </c>
      <c r="F19" s="60">
        <v>2017</v>
      </c>
      <c r="G19" s="60">
        <v>2018</v>
      </c>
      <c r="H19" s="60">
        <v>2019</v>
      </c>
      <c r="I19" s="60">
        <v>2020</v>
      </c>
      <c r="J19" s="60">
        <v>2021</v>
      </c>
    </row>
    <row r="20" spans="2:10">
      <c r="B20" s="188" t="s">
        <v>413</v>
      </c>
      <c r="C20" s="98">
        <v>8842.695696269222</v>
      </c>
      <c r="D20" s="98">
        <v>8281.0568283993543</v>
      </c>
      <c r="E20" s="98">
        <v>9403.5309400710339</v>
      </c>
      <c r="F20" s="98">
        <v>10611.556622021391</v>
      </c>
      <c r="G20" s="98">
        <v>9687.9967514266409</v>
      </c>
      <c r="H20" s="98">
        <v>10173.641804348526</v>
      </c>
      <c r="I20" s="98">
        <v>12179.217000000001</v>
      </c>
      <c r="J20" s="98">
        <v>15209.518</v>
      </c>
    </row>
    <row r="21" spans="2:10">
      <c r="B21" s="197" t="s">
        <v>452</v>
      </c>
      <c r="C21" s="55">
        <v>33673.665991636211</v>
      </c>
      <c r="D21" s="55">
        <v>33310.547049509427</v>
      </c>
      <c r="E21" s="55">
        <v>36031.813379490181</v>
      </c>
      <c r="F21" s="55">
        <v>43947.977373947528</v>
      </c>
      <c r="G21" s="55">
        <v>43289.023542094896</v>
      </c>
      <c r="H21" s="55">
        <v>48424.542492809756</v>
      </c>
      <c r="I21" s="55">
        <v>56393.404999999999</v>
      </c>
      <c r="J21" s="55">
        <v>64091.394999999997</v>
      </c>
    </row>
    <row r="22" spans="2:10">
      <c r="B22" s="194" t="s">
        <v>379</v>
      </c>
      <c r="C22" s="98"/>
      <c r="D22" s="98"/>
      <c r="E22" s="98"/>
      <c r="F22" s="98"/>
      <c r="G22" s="98"/>
      <c r="H22" s="98"/>
      <c r="I22" s="98"/>
      <c r="J22" s="98"/>
    </row>
    <row r="23" spans="2:10">
      <c r="B23" s="198" t="s">
        <v>451</v>
      </c>
      <c r="C23" s="55">
        <v>33673.665991636211</v>
      </c>
      <c r="D23" s="55">
        <v>33310.547049509427</v>
      </c>
      <c r="E23" s="55">
        <v>36031.813379490181</v>
      </c>
      <c r="F23" s="55">
        <v>43947.977373947528</v>
      </c>
      <c r="G23" s="55">
        <v>43289.023542094896</v>
      </c>
      <c r="H23" s="55">
        <v>48424.542492809756</v>
      </c>
      <c r="I23" s="55">
        <v>56393.404999999999</v>
      </c>
      <c r="J23" s="55">
        <v>64091.394999999997</v>
      </c>
    </row>
    <row r="24" spans="2:10">
      <c r="B24" s="198" t="s">
        <v>450</v>
      </c>
      <c r="C24" s="55">
        <v>0</v>
      </c>
      <c r="D24" s="55">
        <v>0</v>
      </c>
      <c r="E24" s="55">
        <v>0</v>
      </c>
      <c r="F24" s="55">
        <v>0</v>
      </c>
      <c r="G24" s="55">
        <v>0</v>
      </c>
      <c r="H24" s="55">
        <v>0</v>
      </c>
      <c r="I24" s="55">
        <v>0</v>
      </c>
      <c r="J24" s="55">
        <v>0</v>
      </c>
    </row>
    <row r="25" spans="2:10">
      <c r="B25" s="197" t="s">
        <v>449</v>
      </c>
      <c r="C25" s="98">
        <v>42516.361687905432</v>
      </c>
      <c r="D25" s="98">
        <v>41591.603877908783</v>
      </c>
      <c r="E25" s="98">
        <v>45435.344319561213</v>
      </c>
      <c r="F25" s="98">
        <v>54559.533995968923</v>
      </c>
      <c r="G25" s="98">
        <v>52977.020293521542</v>
      </c>
      <c r="H25" s="98">
        <v>58598.184297158274</v>
      </c>
      <c r="I25" s="98">
        <v>68573.216</v>
      </c>
      <c r="J25" s="98">
        <v>79300.913</v>
      </c>
    </row>
    <row r="26" spans="2:10">
      <c r="B26" s="197" t="s">
        <v>448</v>
      </c>
      <c r="C26" s="98"/>
      <c r="D26" s="98"/>
      <c r="E26" s="98"/>
      <c r="F26" s="98"/>
      <c r="G26" s="98"/>
      <c r="H26" s="98"/>
      <c r="I26" s="98"/>
      <c r="J26" s="98"/>
    </row>
    <row r="27" spans="2:10">
      <c r="B27" s="195" t="s">
        <v>447</v>
      </c>
      <c r="C27" s="55">
        <v>0</v>
      </c>
      <c r="D27" s="55">
        <v>0</v>
      </c>
      <c r="E27" s="55">
        <v>0</v>
      </c>
      <c r="F27" s="55">
        <v>0</v>
      </c>
      <c r="G27" s="55">
        <v>0</v>
      </c>
      <c r="H27" s="55">
        <v>0</v>
      </c>
      <c r="I27" s="55">
        <v>0</v>
      </c>
      <c r="J27" s="55">
        <v>0</v>
      </c>
    </row>
    <row r="28" spans="2:10">
      <c r="B28" s="195" t="s">
        <v>445</v>
      </c>
      <c r="C28" s="55">
        <v>0</v>
      </c>
      <c r="D28" s="55">
        <v>0</v>
      </c>
      <c r="E28" s="55">
        <v>0</v>
      </c>
      <c r="F28" s="55">
        <v>0</v>
      </c>
      <c r="G28" s="55">
        <v>0</v>
      </c>
      <c r="H28" s="55">
        <v>0</v>
      </c>
      <c r="I28" s="55">
        <v>0</v>
      </c>
      <c r="J28" s="55">
        <v>0</v>
      </c>
    </row>
    <row r="29" spans="2:10">
      <c r="B29" s="195" t="s">
        <v>444</v>
      </c>
      <c r="C29" s="55">
        <v>0</v>
      </c>
      <c r="D29" s="55">
        <v>0</v>
      </c>
      <c r="E29" s="55">
        <v>0</v>
      </c>
      <c r="F29" s="55">
        <v>0</v>
      </c>
      <c r="G29" s="55">
        <v>0</v>
      </c>
      <c r="H29" s="55">
        <v>0</v>
      </c>
      <c r="I29" s="55">
        <v>0</v>
      </c>
      <c r="J29" s="55">
        <v>0</v>
      </c>
    </row>
    <row r="30" spans="2:10" ht="15" thickBot="1">
      <c r="B30" s="196" t="s">
        <v>443</v>
      </c>
      <c r="C30" s="55">
        <v>0</v>
      </c>
      <c r="D30" s="55">
        <v>0</v>
      </c>
      <c r="E30" s="55">
        <v>0</v>
      </c>
      <c r="F30" s="55">
        <v>0</v>
      </c>
      <c r="G30" s="55">
        <v>0</v>
      </c>
      <c r="H30" s="55">
        <v>0</v>
      </c>
      <c r="I30" s="55">
        <v>0</v>
      </c>
      <c r="J30" s="55">
        <v>0</v>
      </c>
    </row>
    <row r="31" spans="2:10" ht="15" thickTop="1">
      <c r="B31" s="2025" t="s">
        <v>469</v>
      </c>
      <c r="C31" s="2025"/>
      <c r="D31" s="2025"/>
      <c r="E31" s="2025"/>
      <c r="F31" s="2025"/>
      <c r="G31" s="2025"/>
      <c r="H31" s="2025"/>
      <c r="I31" s="2025"/>
      <c r="J31" s="2025"/>
    </row>
    <row r="32" spans="2:10">
      <c r="B32" s="2017"/>
      <c r="C32" s="2017"/>
      <c r="D32" s="2017"/>
      <c r="E32" s="2017"/>
      <c r="F32" s="2017"/>
      <c r="G32" s="2017"/>
      <c r="H32" s="2017"/>
      <c r="I32" s="2017"/>
      <c r="J32" s="2017"/>
    </row>
    <row r="33" spans="2:10">
      <c r="B33" s="64"/>
      <c r="C33" s="121"/>
      <c r="D33" s="121"/>
      <c r="E33" s="121"/>
      <c r="F33" s="121"/>
      <c r="G33" s="121"/>
      <c r="H33" s="121"/>
      <c r="I33" s="121"/>
      <c r="J33" s="121"/>
    </row>
    <row r="34" spans="2:10">
      <c r="B34" s="2024" t="s">
        <v>442</v>
      </c>
      <c r="C34" s="2024"/>
      <c r="D34" s="2024"/>
      <c r="E34" s="2024"/>
      <c r="F34" s="2024"/>
      <c r="G34" s="2024"/>
      <c r="H34" s="2024"/>
      <c r="I34" s="2024"/>
      <c r="J34" s="2024"/>
    </row>
    <row r="35" spans="2:10">
      <c r="B35" s="12" t="s">
        <v>441</v>
      </c>
      <c r="C35" s="121"/>
      <c r="D35" s="121"/>
      <c r="E35" s="121"/>
      <c r="F35" s="121"/>
      <c r="G35" s="121"/>
      <c r="H35" s="121"/>
      <c r="I35" s="121"/>
      <c r="J35" s="121"/>
    </row>
    <row r="36" spans="2:10">
      <c r="B36" s="77" t="s">
        <v>242</v>
      </c>
      <c r="C36" s="121"/>
      <c r="D36" s="121"/>
      <c r="E36" s="121"/>
      <c r="F36" s="121"/>
      <c r="G36" s="121"/>
      <c r="H36" s="121"/>
      <c r="I36" s="121"/>
      <c r="J36" s="121"/>
    </row>
    <row r="37" spans="2:10">
      <c r="B37" s="64"/>
      <c r="C37" s="121"/>
      <c r="D37" s="121"/>
      <c r="E37" s="121"/>
      <c r="F37" s="121"/>
      <c r="G37" s="121"/>
      <c r="H37" s="121"/>
      <c r="I37" s="121"/>
      <c r="J37" s="121"/>
    </row>
    <row r="38" spans="2:10">
      <c r="B38" s="61"/>
      <c r="C38" s="60">
        <v>2014</v>
      </c>
      <c r="D38" s="60">
        <v>2015</v>
      </c>
      <c r="E38" s="60">
        <v>2016</v>
      </c>
      <c r="F38" s="60">
        <v>2017</v>
      </c>
      <c r="G38" s="60">
        <v>2018</v>
      </c>
      <c r="H38" s="60">
        <v>2019</v>
      </c>
      <c r="I38" s="60">
        <v>2020</v>
      </c>
      <c r="J38" s="60">
        <v>2021</v>
      </c>
    </row>
    <row r="39" spans="2:10">
      <c r="B39" s="188" t="s">
        <v>440</v>
      </c>
      <c r="C39" s="102">
        <f t="shared" ref="C39:I39" si="0">C40+C43</f>
        <v>10758.668706575783</v>
      </c>
      <c r="D39" s="102">
        <f t="shared" si="0"/>
        <v>9948.1406494754974</v>
      </c>
      <c r="E39" s="102">
        <f t="shared" si="0"/>
        <v>10075.201883738704</v>
      </c>
      <c r="F39" s="102">
        <f t="shared" si="0"/>
        <v>8489.2318568967203</v>
      </c>
      <c r="G39" s="102">
        <f t="shared" si="0"/>
        <v>10263.124626356566</v>
      </c>
      <c r="H39" s="102">
        <f t="shared" si="0"/>
        <v>10408.006040826192</v>
      </c>
      <c r="I39" s="102">
        <f t="shared" si="0"/>
        <v>31037.454381682863</v>
      </c>
      <c r="J39" s="102">
        <v>14313.762747152543</v>
      </c>
    </row>
    <row r="40" spans="2:10">
      <c r="B40" s="195" t="s">
        <v>470</v>
      </c>
      <c r="C40" s="55">
        <v>996.15331258849494</v>
      </c>
      <c r="D40" s="55">
        <v>1037.5980504425029</v>
      </c>
      <c r="E40" s="55">
        <v>2533.6250340931228</v>
      </c>
      <c r="F40" s="55">
        <v>2482.7326939956438</v>
      </c>
      <c r="G40" s="55">
        <v>2617.4119252526266</v>
      </c>
      <c r="H40" s="55">
        <v>2123.8629378072037</v>
      </c>
      <c r="I40" s="102">
        <v>19760.048353722505</v>
      </c>
      <c r="J40" s="102">
        <v>3636.8630999869624</v>
      </c>
    </row>
    <row r="41" spans="2:10">
      <c r="B41" s="150" t="s">
        <v>352</v>
      </c>
      <c r="C41" s="55">
        <v>996.15331258849494</v>
      </c>
      <c r="D41" s="55">
        <v>1037.5980504425029</v>
      </c>
      <c r="E41" s="55">
        <v>2533.6250340931228</v>
      </c>
      <c r="F41" s="55">
        <v>2482.7326939956438</v>
      </c>
      <c r="G41" s="55">
        <v>2617.4119252526266</v>
      </c>
      <c r="H41" s="55">
        <v>2123.8629378072037</v>
      </c>
      <c r="I41" s="102">
        <v>19760.048353722505</v>
      </c>
      <c r="J41" s="102">
        <v>3636.8630999869624</v>
      </c>
    </row>
    <row r="42" spans="2:10">
      <c r="B42" s="150" t="s">
        <v>351</v>
      </c>
      <c r="C42" s="55">
        <v>0</v>
      </c>
      <c r="D42" s="55">
        <v>0</v>
      </c>
      <c r="E42" s="55">
        <v>0</v>
      </c>
      <c r="F42" s="55">
        <v>0</v>
      </c>
      <c r="G42" s="55">
        <v>0</v>
      </c>
      <c r="H42" s="55">
        <v>0</v>
      </c>
      <c r="I42" s="102">
        <v>0</v>
      </c>
      <c r="J42" s="102">
        <v>0</v>
      </c>
    </row>
    <row r="43" spans="2:10">
      <c r="B43" s="195" t="s">
        <v>471</v>
      </c>
      <c r="C43" s="55">
        <v>9762.5153939872889</v>
      </c>
      <c r="D43" s="55">
        <v>8910.542599032995</v>
      </c>
      <c r="E43" s="55">
        <v>7541.5768496455812</v>
      </c>
      <c r="F43" s="55">
        <v>6006.4991629010756</v>
      </c>
      <c r="G43" s="55">
        <v>7645.7127011039393</v>
      </c>
      <c r="H43" s="55">
        <v>8284.1431030189888</v>
      </c>
      <c r="I43" s="102">
        <v>11277.406027960358</v>
      </c>
      <c r="J43" s="102">
        <v>10676.899647165581</v>
      </c>
    </row>
    <row r="44" spans="2:10">
      <c r="B44" s="150" t="s">
        <v>352</v>
      </c>
      <c r="C44" s="55">
        <v>5594.8500115249099</v>
      </c>
      <c r="D44" s="55">
        <v>5049.6225294766309</v>
      </c>
      <c r="E44" s="55">
        <v>2068.695769455559</v>
      </c>
      <c r="F44" s="55">
        <v>3671.0924140957704</v>
      </c>
      <c r="G44" s="55">
        <v>5065.6183070045563</v>
      </c>
      <c r="H44" s="55">
        <v>4038.6294160484545</v>
      </c>
      <c r="I44" s="102">
        <v>9671.9948849104858</v>
      </c>
      <c r="J44" s="102">
        <v>5929.8565840938718</v>
      </c>
    </row>
    <row r="45" spans="2:10">
      <c r="B45" s="150" t="s">
        <v>351</v>
      </c>
      <c r="C45" s="55">
        <v>4167.66538246238</v>
      </c>
      <c r="D45" s="55">
        <v>3860.9200695563659</v>
      </c>
      <c r="E45" s="55">
        <v>5472.8810801900227</v>
      </c>
      <c r="F45" s="55">
        <v>2335.4067488053051</v>
      </c>
      <c r="G45" s="55">
        <v>2580.094394099383</v>
      </c>
      <c r="H45" s="55">
        <v>4245.5136869705348</v>
      </c>
      <c r="I45" s="102">
        <v>1605.4111430498722</v>
      </c>
      <c r="J45" s="102">
        <v>4747.0430630717083</v>
      </c>
    </row>
    <row r="46" spans="2:10">
      <c r="B46" s="150"/>
      <c r="C46" s="55"/>
      <c r="D46" s="55"/>
      <c r="E46" s="55"/>
      <c r="F46" s="55"/>
      <c r="G46" s="55"/>
      <c r="H46" s="55"/>
      <c r="I46" s="102"/>
    </row>
    <row r="47" spans="2:10">
      <c r="B47" s="188" t="s">
        <v>437</v>
      </c>
      <c r="C47" s="200">
        <v>73.032915143732097</v>
      </c>
      <c r="D47" s="55">
        <v>96.25934769700568</v>
      </c>
      <c r="E47" s="55">
        <v>26.994717439194357</v>
      </c>
      <c r="F47" s="55">
        <v>46.060661226878189</v>
      </c>
      <c r="G47" s="55">
        <v>43.895728517011889</v>
      </c>
      <c r="H47" s="55">
        <v>48.41427976686095</v>
      </c>
      <c r="I47" s="102">
        <v>89.168018634271107</v>
      </c>
      <c r="J47" s="102">
        <v>230.59827384485007</v>
      </c>
    </row>
    <row r="48" spans="2:10" ht="15" thickBot="1">
      <c r="B48" s="193" t="s">
        <v>436</v>
      </c>
      <c r="C48" s="192">
        <v>12.969801712272384</v>
      </c>
      <c r="D48" s="192">
        <v>4.556045890236661E-2</v>
      </c>
      <c r="E48" s="192">
        <v>18.735247273299464</v>
      </c>
      <c r="F48" s="192">
        <v>492.42183920061115</v>
      </c>
      <c r="G48" s="192">
        <v>230.35850018398995</v>
      </c>
      <c r="H48" s="192">
        <v>2107.8556112084016</v>
      </c>
      <c r="I48" s="102">
        <v>39461.427584675192</v>
      </c>
      <c r="J48" s="102">
        <v>45050.482919470662</v>
      </c>
    </row>
    <row r="49" spans="2:10" ht="15" thickTop="1">
      <c r="B49" s="2025" t="s">
        <v>469</v>
      </c>
      <c r="C49" s="2025"/>
      <c r="D49" s="2025"/>
      <c r="E49" s="2025"/>
      <c r="F49" s="2025"/>
      <c r="G49" s="2025"/>
      <c r="H49" s="2025"/>
      <c r="I49" s="2025"/>
      <c r="J49" s="2025"/>
    </row>
    <row r="50" spans="2:10">
      <c r="B50" s="64"/>
      <c r="C50" s="121"/>
      <c r="D50" s="121"/>
      <c r="E50" s="121"/>
      <c r="F50" s="121"/>
      <c r="G50" s="121"/>
      <c r="H50" s="121"/>
      <c r="I50" s="121"/>
      <c r="J50" s="121"/>
    </row>
    <row r="51" spans="2:10">
      <c r="B51" s="2024" t="s">
        <v>434</v>
      </c>
      <c r="C51" s="2024"/>
      <c r="D51" s="2024"/>
      <c r="E51" s="2024"/>
      <c r="F51" s="2024"/>
      <c r="G51" s="2024"/>
      <c r="H51" s="2024"/>
      <c r="I51" s="2024"/>
      <c r="J51" s="2024"/>
    </row>
    <row r="52" spans="2:10">
      <c r="B52" s="12" t="s">
        <v>433</v>
      </c>
      <c r="C52" s="121"/>
      <c r="D52" s="121"/>
      <c r="E52" s="121"/>
      <c r="F52" s="121"/>
      <c r="G52" s="121"/>
      <c r="H52" s="121"/>
      <c r="I52" s="121"/>
      <c r="J52" s="121"/>
    </row>
    <row r="53" spans="2:10">
      <c r="B53" s="62" t="s">
        <v>242</v>
      </c>
      <c r="C53" s="121"/>
      <c r="D53" s="121"/>
      <c r="E53" s="121"/>
      <c r="F53" s="121"/>
      <c r="G53" s="121"/>
      <c r="H53" s="121"/>
      <c r="I53" s="121"/>
      <c r="J53" s="121"/>
    </row>
    <row r="54" spans="2:10">
      <c r="B54" s="64"/>
      <c r="C54" s="121"/>
      <c r="D54" s="121"/>
      <c r="E54" s="121"/>
      <c r="F54" s="121"/>
      <c r="G54" s="121"/>
      <c r="H54" s="121"/>
      <c r="I54" s="121"/>
      <c r="J54" s="121"/>
    </row>
    <row r="55" spans="2:10">
      <c r="B55" s="61"/>
      <c r="C55" s="60">
        <v>2014</v>
      </c>
      <c r="D55" s="60">
        <v>2015</v>
      </c>
      <c r="E55" s="60">
        <v>2016</v>
      </c>
      <c r="F55" s="60">
        <v>2017</v>
      </c>
      <c r="G55" s="60">
        <v>2018</v>
      </c>
      <c r="H55" s="60">
        <v>2019</v>
      </c>
      <c r="I55" s="60">
        <v>2020</v>
      </c>
      <c r="J55" s="60">
        <v>2021</v>
      </c>
    </row>
    <row r="56" spans="2:10">
      <c r="B56" s="64" t="s">
        <v>432</v>
      </c>
      <c r="C56" s="55">
        <v>12476.663482498599</v>
      </c>
      <c r="D56" s="55">
        <v>11900.49146944892</v>
      </c>
      <c r="E56" s="55">
        <v>12965.623884667833</v>
      </c>
      <c r="F56" s="55">
        <v>14580.611542212539</v>
      </c>
      <c r="G56" s="55">
        <v>13619.615447972516</v>
      </c>
      <c r="H56" s="55">
        <v>14441.983836050604</v>
      </c>
      <c r="I56" s="55">
        <v>14804.076999999999</v>
      </c>
      <c r="J56" s="55">
        <v>18666.831999999999</v>
      </c>
    </row>
    <row r="57" spans="2:10">
      <c r="B57" s="62"/>
      <c r="C57" s="55"/>
      <c r="D57" s="55"/>
      <c r="E57" s="55"/>
      <c r="F57" s="55"/>
      <c r="G57" s="55"/>
      <c r="H57" s="55"/>
      <c r="I57" s="55"/>
      <c r="J57" s="55"/>
    </row>
    <row r="58" spans="2:10">
      <c r="B58" s="204" t="s">
        <v>431</v>
      </c>
      <c r="C58" s="55">
        <v>11920.479810003622</v>
      </c>
      <c r="D58" s="55">
        <v>11366.054251138066</v>
      </c>
      <c r="E58" s="55">
        <v>12344.329718713003</v>
      </c>
      <c r="F58" s="55">
        <v>13855.728966873638</v>
      </c>
      <c r="G58" s="55">
        <v>12954.380987221319</v>
      </c>
      <c r="H58" s="55">
        <v>13795.797233488223</v>
      </c>
      <c r="I58" s="55">
        <v>14296.08</v>
      </c>
      <c r="J58" s="55">
        <v>18125.13</v>
      </c>
    </row>
    <row r="59" spans="2:10">
      <c r="B59" s="205" t="s">
        <v>472</v>
      </c>
      <c r="C59" s="55"/>
      <c r="D59" s="55"/>
      <c r="E59" s="55"/>
      <c r="F59" s="55"/>
      <c r="G59" s="55"/>
      <c r="H59" s="55"/>
      <c r="I59" s="55"/>
      <c r="J59" s="55"/>
    </row>
    <row r="60" spans="2:10">
      <c r="B60" s="206">
        <v>20000</v>
      </c>
      <c r="C60" s="55">
        <v>3974.5571964832557</v>
      </c>
      <c r="D60" s="55">
        <v>4657.409548449119</v>
      </c>
      <c r="E60" s="55">
        <v>5725.6949002682495</v>
      </c>
      <c r="F60" s="55">
        <v>6886.4947660999305</v>
      </c>
      <c r="G60" s="55">
        <v>6778.7891302160433</v>
      </c>
      <c r="H60" s="55">
        <v>7506.5421960194462</v>
      </c>
      <c r="I60" s="55">
        <v>7576.924</v>
      </c>
      <c r="J60" s="55">
        <v>9668.0969999999998</v>
      </c>
    </row>
    <row r="61" spans="2:10">
      <c r="B61" s="206">
        <v>10000</v>
      </c>
      <c r="C61" s="55">
        <v>6710.9015278738188</v>
      </c>
      <c r="D61" s="55">
        <v>5682.3368959764748</v>
      </c>
      <c r="E61" s="55">
        <v>5575.0944716689901</v>
      </c>
      <c r="F61" s="55">
        <v>5817.013328565391</v>
      </c>
      <c r="G61" s="55">
        <v>5139.8696833359681</v>
      </c>
      <c r="H61" s="55">
        <v>5185.6205715667056</v>
      </c>
      <c r="I61" s="55">
        <v>5349.25</v>
      </c>
      <c r="J61" s="55">
        <v>7084.4830000000002</v>
      </c>
    </row>
    <row r="62" spans="2:10">
      <c r="B62" s="206">
        <v>5000</v>
      </c>
      <c r="C62" s="55">
        <v>724.19690473838455</v>
      </c>
      <c r="D62" s="55">
        <v>547.71047303983937</v>
      </c>
      <c r="E62" s="55">
        <v>523.24399586386733</v>
      </c>
      <c r="F62" s="55">
        <v>559.90104515457881</v>
      </c>
      <c r="G62" s="55">
        <v>524.24617430177227</v>
      </c>
      <c r="H62" s="55">
        <v>586.16858397571923</v>
      </c>
      <c r="I62" s="55">
        <v>770.23199999999997</v>
      </c>
      <c r="J62" s="55">
        <v>786.35500000000002</v>
      </c>
    </row>
    <row r="63" spans="2:10">
      <c r="B63" s="206">
        <v>2000</v>
      </c>
      <c r="C63" s="55">
        <v>157.43536830320392</v>
      </c>
      <c r="D63" s="55">
        <v>117.41843809200667</v>
      </c>
      <c r="E63" s="55">
        <v>112.29134259467399</v>
      </c>
      <c r="F63" s="55">
        <v>128.55624979682065</v>
      </c>
      <c r="G63" s="55">
        <v>115.63917836967615</v>
      </c>
      <c r="H63" s="55">
        <v>117.41016088743251</v>
      </c>
      <c r="I63" s="55">
        <v>244.13300000000001</v>
      </c>
      <c r="J63" s="55">
        <v>237.232</v>
      </c>
    </row>
    <row r="64" spans="2:10">
      <c r="B64" s="206">
        <v>1000</v>
      </c>
      <c r="C64" s="55">
        <v>345.47795284665284</v>
      </c>
      <c r="D64" s="55">
        <v>354.11867136030764</v>
      </c>
      <c r="E64" s="55">
        <v>400.52161129344063</v>
      </c>
      <c r="F64" s="55">
        <v>455.687911641364</v>
      </c>
      <c r="G64" s="55">
        <v>388.69911598556826</v>
      </c>
      <c r="H64" s="55">
        <v>393.39282318498022</v>
      </c>
      <c r="I64" s="55">
        <v>350.58100000000002</v>
      </c>
      <c r="J64" s="55">
        <v>343.91399999999999</v>
      </c>
    </row>
    <row r="65" spans="2:10">
      <c r="B65" s="206">
        <v>500</v>
      </c>
      <c r="C65" s="55">
        <v>7.8091129111923347</v>
      </c>
      <c r="D65" s="55">
        <v>6.7048279469562013</v>
      </c>
      <c r="E65" s="55">
        <v>7.106670263303811</v>
      </c>
      <c r="F65" s="55">
        <v>7.6670573128311812</v>
      </c>
      <c r="G65" s="55">
        <v>6.7763630352599566</v>
      </c>
      <c r="H65" s="55">
        <v>6.3253028390319894</v>
      </c>
      <c r="I65" s="55">
        <v>4.7060000000000004</v>
      </c>
      <c r="J65" s="55">
        <v>4.7039999999999997</v>
      </c>
    </row>
    <row r="66" spans="2:10">
      <c r="B66" s="207" t="s">
        <v>117</v>
      </c>
      <c r="C66" s="55">
        <v>0.10174684711383318</v>
      </c>
      <c r="D66" s="55">
        <v>0.35539627336217378</v>
      </c>
      <c r="E66" s="55">
        <v>0.37672676047895221</v>
      </c>
      <c r="F66" s="55">
        <v>0.40860992815578162</v>
      </c>
      <c r="G66" s="55">
        <v>0.36134341445183915</v>
      </c>
      <c r="H66" s="55">
        <v>0.33759635787381481</v>
      </c>
      <c r="I66" s="55">
        <v>0.251</v>
      </c>
      <c r="J66" s="55">
        <v>0.251</v>
      </c>
    </row>
    <row r="67" spans="2:10">
      <c r="B67" s="207"/>
      <c r="C67" s="55"/>
      <c r="D67" s="55"/>
      <c r="E67" s="55"/>
      <c r="F67" s="55"/>
      <c r="G67" s="55"/>
      <c r="H67" s="55"/>
      <c r="I67" s="55"/>
      <c r="J67" s="55"/>
    </row>
    <row r="68" spans="2:10">
      <c r="B68" s="207" t="s">
        <v>473</v>
      </c>
      <c r="C68" s="55">
        <v>556.18367249497851</v>
      </c>
      <c r="D68" s="55">
        <v>534.43721831085475</v>
      </c>
      <c r="E68" s="55">
        <v>621.29416595483235</v>
      </c>
      <c r="F68" s="55">
        <v>724.88257533890305</v>
      </c>
      <c r="G68" s="55">
        <v>665.23446075119659</v>
      </c>
      <c r="H68" s="55">
        <v>646.18660256238081</v>
      </c>
      <c r="I68" s="55">
        <v>507996.94900000002</v>
      </c>
      <c r="J68" s="55">
        <v>541701.58600000001</v>
      </c>
    </row>
    <row r="69" spans="2:10">
      <c r="B69" s="205" t="s">
        <v>472</v>
      </c>
      <c r="C69" s="55"/>
      <c r="D69" s="55"/>
      <c r="E69" s="55"/>
      <c r="F69" s="55"/>
      <c r="G69" s="55"/>
      <c r="H69" s="55"/>
      <c r="I69" s="55"/>
      <c r="J69" s="55"/>
    </row>
    <row r="70" spans="2:10">
      <c r="B70" s="206">
        <v>10000</v>
      </c>
      <c r="C70" s="55">
        <v>0.57352892752477858</v>
      </c>
      <c r="D70" s="55">
        <v>0.49259196426046881</v>
      </c>
      <c r="E70" s="55">
        <v>0.52217176939561516</v>
      </c>
      <c r="F70" s="55">
        <v>0.56636650303956304</v>
      </c>
      <c r="G70" s="55">
        <v>0.50085526599491148</v>
      </c>
      <c r="H70" s="55">
        <v>0.46794338051623646</v>
      </c>
      <c r="I70" s="55">
        <v>0</v>
      </c>
      <c r="J70" s="55">
        <v>0.46794338051623646</v>
      </c>
    </row>
    <row r="71" spans="2:10">
      <c r="B71" s="206">
        <v>2000</v>
      </c>
      <c r="C71" s="55">
        <v>0.16225756528038462</v>
      </c>
      <c r="D71" s="55">
        <v>0.13936720671812705</v>
      </c>
      <c r="E71" s="55">
        <v>0.14776184267709691</v>
      </c>
      <c r="F71" s="55">
        <v>0.16026462078606027</v>
      </c>
      <c r="G71" s="55">
        <v>0.14172691859880118</v>
      </c>
      <c r="H71" s="55">
        <v>0.13241653460825656</v>
      </c>
      <c r="I71" s="55">
        <v>0.13241653460825656</v>
      </c>
      <c r="J71" s="55">
        <v>0.13241653460825656</v>
      </c>
    </row>
    <row r="72" spans="2:10">
      <c r="B72" s="206">
        <v>500</v>
      </c>
      <c r="C72" s="55">
        <v>229.14844907636075</v>
      </c>
      <c r="D72" s="55">
        <v>234.46809596516525</v>
      </c>
      <c r="E72" s="55">
        <v>275.28545459994905</v>
      </c>
      <c r="F72" s="55">
        <v>327.33419914827215</v>
      </c>
      <c r="G72" s="55">
        <v>306.4390461268668</v>
      </c>
      <c r="H72" s="55">
        <v>301.51761569659692</v>
      </c>
      <c r="I72" s="55">
        <v>301.51761569659692</v>
      </c>
      <c r="J72" s="55">
        <v>301.51761569659692</v>
      </c>
    </row>
    <row r="73" spans="2:10">
      <c r="B73" s="206">
        <v>100</v>
      </c>
      <c r="C73" s="55">
        <v>196.57456616944913</v>
      </c>
      <c r="D73" s="55">
        <v>178.19981197161195</v>
      </c>
      <c r="E73" s="55">
        <v>209.66950201561539</v>
      </c>
      <c r="F73" s="55">
        <v>240.70443418614479</v>
      </c>
      <c r="G73" s="55">
        <v>215.63936379709352</v>
      </c>
      <c r="H73" s="55">
        <v>204.64567430367165</v>
      </c>
      <c r="I73" s="55">
        <v>204.64567430367165</v>
      </c>
      <c r="J73" s="55">
        <v>204.64567430367165</v>
      </c>
    </row>
    <row r="74" spans="2:10">
      <c r="B74" s="206">
        <v>50</v>
      </c>
      <c r="C74" s="55">
        <v>36.687376930422474</v>
      </c>
      <c r="D74" s="55">
        <v>34.413374049254948</v>
      </c>
      <c r="E74" s="55">
        <v>39.23838660852104</v>
      </c>
      <c r="F74" s="55">
        <v>45.729782841910207</v>
      </c>
      <c r="G74" s="55">
        <v>41.688052149664358</v>
      </c>
      <c r="H74" s="55">
        <v>40.635141414412722</v>
      </c>
      <c r="I74" s="55">
        <v>40.635141414412722</v>
      </c>
      <c r="J74" s="55">
        <v>40.635141414412722</v>
      </c>
    </row>
    <row r="75" spans="2:10">
      <c r="B75" s="206">
        <v>10</v>
      </c>
      <c r="C75" s="55">
        <v>68.326663703118314</v>
      </c>
      <c r="D75" s="55">
        <v>65.11350411400457</v>
      </c>
      <c r="E75" s="55">
        <v>72.980521212666162</v>
      </c>
      <c r="F75" s="55">
        <v>84.94802347127856</v>
      </c>
      <c r="G75" s="55">
        <v>78.568938751455377</v>
      </c>
      <c r="H75" s="55">
        <v>77.982338642529072</v>
      </c>
      <c r="I75" s="55">
        <v>77.982338642529072</v>
      </c>
      <c r="J75" s="55">
        <v>77.982338642529072</v>
      </c>
    </row>
    <row r="76" spans="2:10">
      <c r="B76" s="206">
        <v>5</v>
      </c>
      <c r="C76" s="55">
        <v>17.057869867298891</v>
      </c>
      <c r="D76" s="55">
        <v>14.995049057030565</v>
      </c>
      <c r="E76" s="55">
        <v>16.255427175590825</v>
      </c>
      <c r="F76" s="55">
        <v>17.640658626182503</v>
      </c>
      <c r="G76" s="55">
        <v>15.44932800528971</v>
      </c>
      <c r="H76" s="55">
        <v>14.404695012220998</v>
      </c>
      <c r="I76" s="55">
        <v>14.404695012220998</v>
      </c>
      <c r="J76" s="55">
        <v>14.404695012220998</v>
      </c>
    </row>
    <row r="77" spans="2:10">
      <c r="B77" s="206">
        <v>1</v>
      </c>
      <c r="C77" s="55">
        <v>7.5338289044749578</v>
      </c>
      <c r="D77" s="55">
        <v>6.5131280572284895</v>
      </c>
      <c r="E77" s="55">
        <v>7.0865051177149372</v>
      </c>
      <c r="F77" s="55">
        <v>7.6812327297552097</v>
      </c>
      <c r="G77" s="55">
        <v>6.7529488709051435</v>
      </c>
      <c r="H77" s="55">
        <v>6.30360452311246</v>
      </c>
      <c r="I77" s="55">
        <v>6.30360452311246</v>
      </c>
      <c r="J77" s="55">
        <v>6.30360452311246</v>
      </c>
    </row>
    <row r="78" spans="2:10">
      <c r="B78" s="207" t="s">
        <v>474</v>
      </c>
      <c r="C78" s="98">
        <v>0.11913135104876685</v>
      </c>
      <c r="D78" s="98">
        <v>0.10229592558034326</v>
      </c>
      <c r="E78" s="98">
        <v>0.10843561270212353</v>
      </c>
      <c r="F78" s="98">
        <v>0.11761321153408537</v>
      </c>
      <c r="G78" s="98">
        <v>5.4202302749787976E-2</v>
      </c>
      <c r="H78" s="98">
        <v>9.7174397679353236E-2</v>
      </c>
      <c r="I78" s="98">
        <v>9.7174397679353236E-2</v>
      </c>
      <c r="J78" s="98">
        <v>9.7174397679353236E-2</v>
      </c>
    </row>
    <row r="79" spans="2:10">
      <c r="B79" s="207"/>
      <c r="C79" s="98"/>
      <c r="D79" s="98"/>
      <c r="E79" s="98"/>
      <c r="F79" s="98"/>
      <c r="G79" s="98"/>
      <c r="H79" s="98"/>
      <c r="I79" s="98"/>
      <c r="J79" s="98"/>
    </row>
    <row r="80" spans="2:10">
      <c r="B80" s="197" t="s">
        <v>475</v>
      </c>
      <c r="C80" s="55">
        <v>3633.9677862293775</v>
      </c>
      <c r="D80" s="55">
        <v>3619.4346410495659</v>
      </c>
      <c r="E80" s="55">
        <v>3562.0929445967995</v>
      </c>
      <c r="F80" s="55">
        <v>3969.0549196076176</v>
      </c>
      <c r="G80" s="55">
        <v>3931.6186965458746</v>
      </c>
      <c r="H80" s="55">
        <v>4268.3420317020773</v>
      </c>
      <c r="I80" s="55">
        <v>2624.2649999999999</v>
      </c>
      <c r="J80" s="55">
        <v>3457.3130000000001</v>
      </c>
    </row>
    <row r="81" spans="2:10" ht="15" thickBot="1">
      <c r="B81" s="208" t="s">
        <v>476</v>
      </c>
      <c r="C81" s="101">
        <v>8842.695696269222</v>
      </c>
      <c r="D81" s="101">
        <v>8281.0568283993543</v>
      </c>
      <c r="E81" s="101">
        <v>9403.5309400710339</v>
      </c>
      <c r="F81" s="101">
        <v>10611.556622604921</v>
      </c>
      <c r="G81" s="101">
        <v>9687.9967514266409</v>
      </c>
      <c r="H81" s="101">
        <v>10173.641804348526</v>
      </c>
      <c r="I81" s="101">
        <v>12179.811</v>
      </c>
      <c r="J81" s="101">
        <v>15209.518</v>
      </c>
    </row>
    <row r="82" spans="2:10" ht="15" thickTop="1">
      <c r="B82" s="2025" t="s">
        <v>469</v>
      </c>
      <c r="C82" s="2025"/>
      <c r="D82" s="2025"/>
      <c r="E82" s="2025"/>
      <c r="F82" s="2025"/>
      <c r="G82" s="2025"/>
      <c r="H82" s="2025"/>
      <c r="I82" s="2025"/>
      <c r="J82" s="2025"/>
    </row>
    <row r="83" spans="2:10">
      <c r="B83" s="64"/>
      <c r="C83" s="121"/>
      <c r="D83" s="121"/>
      <c r="E83" s="121"/>
      <c r="F83" s="121"/>
      <c r="G83" s="121"/>
      <c r="H83" s="121"/>
      <c r="I83" s="121"/>
      <c r="J83" s="121"/>
    </row>
    <row r="84" spans="2:10">
      <c r="B84" s="2024" t="s">
        <v>411</v>
      </c>
      <c r="C84" s="2024"/>
      <c r="D84" s="2024"/>
      <c r="E84" s="2024"/>
      <c r="F84" s="2024"/>
      <c r="G84" s="2024"/>
      <c r="H84" s="2024"/>
      <c r="I84" s="2024"/>
      <c r="J84" s="2024"/>
    </row>
    <row r="85" spans="2:10">
      <c r="B85" s="12" t="s">
        <v>410</v>
      </c>
      <c r="C85" s="121"/>
      <c r="D85" s="121"/>
      <c r="E85" s="121"/>
      <c r="F85" s="121"/>
      <c r="G85" s="121"/>
      <c r="H85" s="121"/>
      <c r="I85" s="121"/>
      <c r="J85" s="121"/>
    </row>
    <row r="86" spans="2:10">
      <c r="B86" s="62" t="s">
        <v>409</v>
      </c>
      <c r="C86" s="121"/>
      <c r="D86" s="121"/>
      <c r="E86" s="121"/>
      <c r="F86" s="121"/>
      <c r="G86" s="121"/>
      <c r="H86" s="121"/>
      <c r="I86" s="121"/>
      <c r="J86" s="121"/>
    </row>
    <row r="87" spans="2:10">
      <c r="B87" s="64"/>
      <c r="C87" s="121"/>
      <c r="D87" s="121"/>
      <c r="E87" s="121"/>
      <c r="F87" s="121"/>
      <c r="G87" s="121"/>
      <c r="H87" s="121"/>
      <c r="I87" s="121"/>
      <c r="J87" s="121"/>
    </row>
    <row r="88" spans="2:10">
      <c r="B88" s="61"/>
      <c r="C88" s="60">
        <v>2014</v>
      </c>
      <c r="D88" s="60">
        <v>2015</v>
      </c>
      <c r="E88" s="60">
        <v>2016</v>
      </c>
      <c r="F88" s="60">
        <v>2017</v>
      </c>
      <c r="G88" s="60">
        <v>2018</v>
      </c>
      <c r="H88" s="60">
        <v>2019</v>
      </c>
      <c r="I88" s="60">
        <v>2020</v>
      </c>
      <c r="J88" s="60">
        <v>2021</v>
      </c>
    </row>
    <row r="89" spans="2:10">
      <c r="B89" s="114" t="s">
        <v>262</v>
      </c>
      <c r="C89" s="121"/>
      <c r="D89" s="121"/>
      <c r="E89" s="121"/>
      <c r="F89" s="121"/>
      <c r="G89" s="121"/>
      <c r="H89" s="121"/>
      <c r="I89" s="121"/>
      <c r="J89" s="121"/>
    </row>
    <row r="90" spans="2:10">
      <c r="B90" s="186" t="s">
        <v>408</v>
      </c>
      <c r="C90" s="67">
        <v>1</v>
      </c>
      <c r="D90" s="67">
        <v>1</v>
      </c>
      <c r="E90" s="67">
        <v>1</v>
      </c>
      <c r="F90" s="67">
        <v>1</v>
      </c>
      <c r="G90" s="67">
        <v>1</v>
      </c>
      <c r="H90" s="67">
        <v>1</v>
      </c>
      <c r="I90" s="67">
        <v>1</v>
      </c>
      <c r="J90" s="67">
        <v>1</v>
      </c>
    </row>
    <row r="91" spans="2:10">
      <c r="B91" s="65" t="s">
        <v>407</v>
      </c>
      <c r="C91" s="67">
        <v>22</v>
      </c>
      <c r="D91" s="67">
        <v>23</v>
      </c>
      <c r="E91" s="67">
        <v>23</v>
      </c>
      <c r="F91" s="67">
        <v>20</v>
      </c>
      <c r="G91" s="67">
        <v>18</v>
      </c>
      <c r="H91" s="67">
        <v>18</v>
      </c>
      <c r="I91" s="67">
        <v>18</v>
      </c>
      <c r="J91" s="67">
        <v>17</v>
      </c>
    </row>
    <row r="92" spans="2:10">
      <c r="B92" s="65" t="s">
        <v>406</v>
      </c>
      <c r="C92" s="67">
        <v>3</v>
      </c>
      <c r="D92" s="67">
        <v>3</v>
      </c>
      <c r="E92" s="67">
        <v>3</v>
      </c>
      <c r="F92" s="67">
        <v>3</v>
      </c>
      <c r="G92" s="67">
        <v>3</v>
      </c>
      <c r="H92" s="67">
        <v>3</v>
      </c>
      <c r="I92" s="67">
        <v>3</v>
      </c>
      <c r="J92" s="67">
        <v>3</v>
      </c>
    </row>
    <row r="93" spans="2:10">
      <c r="B93" s="186" t="s">
        <v>401</v>
      </c>
      <c r="C93" s="66">
        <v>12.902838420758011</v>
      </c>
      <c r="D93" s="66">
        <v>10.542415245850652</v>
      </c>
      <c r="E93" s="66">
        <v>11.245134798962969</v>
      </c>
      <c r="F93" s="66">
        <v>9.0059897272520395</v>
      </c>
      <c r="G93" s="66">
        <v>11.512941108827206</v>
      </c>
      <c r="H93" s="66">
        <v>11.371326060843115</v>
      </c>
      <c r="I93" s="66">
        <v>12261.184999999999</v>
      </c>
      <c r="J93" s="66">
        <v>10158.552</v>
      </c>
    </row>
    <row r="94" spans="2:10">
      <c r="B94" s="186"/>
      <c r="C94" s="67"/>
      <c r="D94" s="67"/>
      <c r="E94" s="67"/>
      <c r="F94" s="67"/>
      <c r="G94" s="67"/>
      <c r="H94" s="67"/>
      <c r="I94" s="67"/>
      <c r="J94" s="67"/>
    </row>
    <row r="95" spans="2:10">
      <c r="B95" s="114" t="s">
        <v>477</v>
      </c>
      <c r="C95" s="67"/>
      <c r="D95" s="67"/>
      <c r="E95" s="67"/>
      <c r="F95" s="67"/>
      <c r="G95" s="67"/>
      <c r="H95" s="67"/>
      <c r="I95" s="67"/>
      <c r="J95" s="67"/>
    </row>
    <row r="96" spans="2:10">
      <c r="B96" s="186" t="s">
        <v>399</v>
      </c>
      <c r="C96" s="67">
        <v>22</v>
      </c>
      <c r="D96" s="67">
        <v>23</v>
      </c>
      <c r="E96" s="67">
        <v>23</v>
      </c>
      <c r="F96" s="67">
        <v>20</v>
      </c>
      <c r="G96" s="67">
        <v>18</v>
      </c>
      <c r="H96" s="67">
        <v>18</v>
      </c>
      <c r="I96" s="67">
        <v>18</v>
      </c>
      <c r="J96" s="67">
        <v>17</v>
      </c>
    </row>
    <row r="97" spans="2:10">
      <c r="B97" s="186" t="s">
        <v>403</v>
      </c>
      <c r="C97" s="67">
        <v>2362</v>
      </c>
      <c r="D97" s="67">
        <v>2295</v>
      </c>
      <c r="E97" s="67">
        <v>2280</v>
      </c>
      <c r="F97" s="67">
        <v>2186</v>
      </c>
      <c r="G97" s="67">
        <v>2099</v>
      </c>
      <c r="H97" s="67">
        <v>1991</v>
      </c>
      <c r="I97" s="67">
        <v>1900</v>
      </c>
      <c r="J97" s="67">
        <v>1734</v>
      </c>
    </row>
    <row r="98" spans="2:10">
      <c r="B98" s="186" t="s">
        <v>402</v>
      </c>
      <c r="C98" s="67">
        <v>3610450</v>
      </c>
      <c r="D98" s="67">
        <v>3894861</v>
      </c>
      <c r="E98" s="67">
        <v>4177256</v>
      </c>
      <c r="F98" s="67">
        <v>4464475</v>
      </c>
      <c r="G98" s="67">
        <v>4787160</v>
      </c>
      <c r="H98" s="67">
        <v>5134012</v>
      </c>
      <c r="I98" s="67">
        <v>5562748</v>
      </c>
      <c r="J98" s="67">
        <v>6904028</v>
      </c>
    </row>
    <row r="99" spans="2:10">
      <c r="B99" s="186" t="s">
        <v>397</v>
      </c>
      <c r="C99" s="55">
        <v>38.972420775361392</v>
      </c>
      <c r="D99" s="55">
        <v>37.088329745476003</v>
      </c>
      <c r="E99" s="55">
        <v>41.506407438863164</v>
      </c>
      <c r="F99" s="55">
        <v>47.217745352586064</v>
      </c>
      <c r="G99" s="55">
        <v>45.478244470928139</v>
      </c>
      <c r="H99" s="55">
        <v>49.978212408856869</v>
      </c>
      <c r="I99" s="55">
        <v>68.489999999999995</v>
      </c>
      <c r="J99" s="55">
        <v>82.92</v>
      </c>
    </row>
    <row r="100" spans="2:10">
      <c r="B100" s="186"/>
      <c r="C100" s="3"/>
      <c r="D100" s="3"/>
      <c r="E100" s="3"/>
      <c r="F100" s="3"/>
      <c r="G100" s="3"/>
      <c r="H100" s="3"/>
      <c r="I100" s="3"/>
      <c r="J100" s="3"/>
    </row>
    <row r="101" spans="2:10" ht="26">
      <c r="B101" s="148" t="s">
        <v>404</v>
      </c>
      <c r="C101" s="3"/>
      <c r="D101" s="3"/>
      <c r="E101" s="3"/>
      <c r="F101" s="3"/>
      <c r="G101" s="3"/>
      <c r="H101" s="3"/>
      <c r="I101" s="3"/>
      <c r="J101" s="3"/>
    </row>
    <row r="102" spans="2:10">
      <c r="B102" s="186" t="s">
        <v>399</v>
      </c>
      <c r="C102" s="3">
        <v>0</v>
      </c>
      <c r="D102" s="3">
        <v>0</v>
      </c>
      <c r="E102" s="3">
        <v>0</v>
      </c>
      <c r="F102" s="3">
        <v>0</v>
      </c>
      <c r="G102" s="3">
        <v>0</v>
      </c>
      <c r="H102" s="3">
        <v>0</v>
      </c>
      <c r="I102" s="3">
        <v>0</v>
      </c>
      <c r="J102" s="3">
        <v>0</v>
      </c>
    </row>
    <row r="103" spans="2:10">
      <c r="B103" s="186" t="s">
        <v>408</v>
      </c>
      <c r="C103" s="3">
        <v>0</v>
      </c>
      <c r="D103" s="3">
        <v>0</v>
      </c>
      <c r="E103" s="3">
        <v>0</v>
      </c>
      <c r="F103" s="3">
        <v>0</v>
      </c>
      <c r="G103" s="3">
        <v>0</v>
      </c>
      <c r="H103" s="3">
        <v>0</v>
      </c>
      <c r="I103" s="3">
        <v>0</v>
      </c>
      <c r="J103" s="3">
        <v>0</v>
      </c>
    </row>
    <row r="104" spans="2:10">
      <c r="B104" s="186" t="s">
        <v>402</v>
      </c>
      <c r="C104" s="67">
        <v>0</v>
      </c>
      <c r="D104" s="67">
        <v>0</v>
      </c>
      <c r="E104" s="67">
        <v>0</v>
      </c>
      <c r="F104" s="67">
        <v>0</v>
      </c>
      <c r="G104" s="67">
        <v>0</v>
      </c>
      <c r="H104" s="67">
        <v>0</v>
      </c>
      <c r="I104" s="67">
        <v>0</v>
      </c>
      <c r="J104" s="67">
        <v>0</v>
      </c>
    </row>
    <row r="105" spans="2:10">
      <c r="B105" s="186" t="s">
        <v>401</v>
      </c>
      <c r="C105" s="79">
        <v>0</v>
      </c>
      <c r="D105" s="79">
        <v>0</v>
      </c>
      <c r="E105" s="79">
        <v>0</v>
      </c>
      <c r="F105" s="79">
        <v>0</v>
      </c>
      <c r="G105" s="79">
        <v>0</v>
      </c>
      <c r="H105" s="79">
        <v>0</v>
      </c>
      <c r="I105" s="79">
        <v>0</v>
      </c>
      <c r="J105" s="79">
        <v>0</v>
      </c>
    </row>
    <row r="106" spans="2:10">
      <c r="B106" s="186"/>
      <c r="C106" s="3"/>
      <c r="D106" s="3"/>
      <c r="E106" s="3"/>
      <c r="F106" s="3"/>
      <c r="G106" s="3"/>
      <c r="H106" s="3"/>
      <c r="I106" s="3"/>
      <c r="J106" s="3"/>
    </row>
    <row r="107" spans="2:10">
      <c r="B107" s="114" t="s">
        <v>400</v>
      </c>
      <c r="C107" s="3"/>
      <c r="D107" s="3"/>
      <c r="E107" s="3"/>
      <c r="F107" s="3"/>
      <c r="G107" s="3"/>
      <c r="H107" s="3"/>
      <c r="I107" s="3"/>
      <c r="J107" s="3"/>
    </row>
    <row r="108" spans="2:10">
      <c r="B108" s="186" t="s">
        <v>399</v>
      </c>
      <c r="C108" s="3">
        <v>0</v>
      </c>
      <c r="D108" s="3">
        <v>0</v>
      </c>
      <c r="E108" s="3">
        <v>0</v>
      </c>
      <c r="F108" s="3">
        <v>0</v>
      </c>
      <c r="G108" s="3">
        <v>0</v>
      </c>
      <c r="H108" s="3">
        <v>0</v>
      </c>
      <c r="I108" s="3">
        <v>0</v>
      </c>
      <c r="J108" s="3">
        <v>0</v>
      </c>
    </row>
    <row r="109" spans="2:10">
      <c r="B109" s="186" t="s">
        <v>401</v>
      </c>
      <c r="C109" s="79">
        <v>0</v>
      </c>
      <c r="D109" s="79">
        <v>0</v>
      </c>
      <c r="E109" s="79">
        <v>0</v>
      </c>
      <c r="F109" s="79">
        <v>0</v>
      </c>
      <c r="G109" s="79">
        <v>0</v>
      </c>
      <c r="H109" s="79">
        <v>0</v>
      </c>
      <c r="I109" s="79">
        <v>0</v>
      </c>
      <c r="J109" s="79">
        <v>0</v>
      </c>
    </row>
    <row r="110" spans="2:10" ht="15" thickBot="1">
      <c r="B110" s="183" t="s">
        <v>395</v>
      </c>
      <c r="C110" s="100">
        <v>0</v>
      </c>
      <c r="D110" s="100">
        <v>0</v>
      </c>
      <c r="E110" s="100">
        <v>0</v>
      </c>
      <c r="F110" s="100">
        <v>0</v>
      </c>
      <c r="G110" s="100">
        <v>0</v>
      </c>
      <c r="H110" s="100">
        <v>0</v>
      </c>
      <c r="I110" s="100">
        <v>0</v>
      </c>
      <c r="J110" s="100">
        <v>0</v>
      </c>
    </row>
    <row r="111" spans="2:10" ht="15" thickTop="1">
      <c r="B111" s="2025" t="s">
        <v>469</v>
      </c>
      <c r="C111" s="2025"/>
      <c r="D111" s="2025"/>
      <c r="E111" s="2025"/>
      <c r="F111" s="2025"/>
      <c r="G111" s="2025"/>
      <c r="H111" s="2025"/>
      <c r="I111" s="2025"/>
      <c r="J111" s="2025"/>
    </row>
    <row r="112" spans="2:10">
      <c r="B112" s="64"/>
      <c r="C112" s="121"/>
      <c r="D112" s="121"/>
      <c r="E112" s="121"/>
      <c r="F112" s="121"/>
      <c r="G112" s="121"/>
      <c r="H112" s="121"/>
      <c r="I112" s="121"/>
      <c r="J112" s="121"/>
    </row>
    <row r="113" spans="2:10">
      <c r="B113" s="2024" t="s">
        <v>393</v>
      </c>
      <c r="C113" s="2024"/>
      <c r="D113" s="2024"/>
      <c r="E113" s="2024"/>
      <c r="F113" s="2024"/>
      <c r="G113" s="2024"/>
      <c r="H113" s="2024"/>
      <c r="I113" s="2024"/>
      <c r="J113" s="2024"/>
    </row>
    <row r="114" spans="2:10">
      <c r="B114" s="12" t="s">
        <v>392</v>
      </c>
      <c r="C114" s="121"/>
      <c r="D114" s="121"/>
      <c r="E114" s="121"/>
      <c r="F114" s="121"/>
      <c r="G114" s="121"/>
      <c r="H114" s="121"/>
      <c r="I114" s="121"/>
      <c r="J114" s="121"/>
    </row>
    <row r="115" spans="2:10">
      <c r="B115" s="62" t="s">
        <v>269</v>
      </c>
      <c r="C115" s="121"/>
      <c r="D115" s="121"/>
      <c r="E115" s="121"/>
      <c r="F115" s="121"/>
      <c r="G115" s="121"/>
      <c r="H115" s="121"/>
      <c r="I115" s="121"/>
      <c r="J115" s="121"/>
    </row>
    <row r="116" spans="2:10">
      <c r="B116" s="64"/>
      <c r="C116" s="121"/>
      <c r="D116" s="121"/>
      <c r="E116" s="121"/>
      <c r="F116" s="121"/>
      <c r="G116" s="121"/>
      <c r="H116" s="121"/>
      <c r="I116" s="121"/>
      <c r="J116" s="121"/>
    </row>
    <row r="117" spans="2:10">
      <c r="B117" s="61"/>
      <c r="C117" s="60">
        <v>2014</v>
      </c>
      <c r="D117" s="60">
        <v>2015</v>
      </c>
      <c r="E117" s="60">
        <v>2016</v>
      </c>
      <c r="F117" s="60">
        <v>2017</v>
      </c>
      <c r="G117" s="60">
        <v>2018</v>
      </c>
      <c r="H117" s="60">
        <v>2019</v>
      </c>
      <c r="I117" s="60">
        <v>2020</v>
      </c>
      <c r="J117" s="60">
        <v>2021</v>
      </c>
    </row>
    <row r="118" spans="2:10">
      <c r="B118" s="179" t="s">
        <v>391</v>
      </c>
      <c r="C118" s="67"/>
      <c r="D118" s="67"/>
      <c r="E118" s="67"/>
      <c r="F118" s="67"/>
      <c r="G118" s="67"/>
      <c r="H118" s="67"/>
      <c r="I118" s="67"/>
      <c r="J118" s="67"/>
    </row>
    <row r="119" spans="2:10">
      <c r="B119" s="149" t="s">
        <v>390</v>
      </c>
      <c r="C119" s="67">
        <v>3270312</v>
      </c>
      <c r="D119" s="67">
        <v>3440043</v>
      </c>
      <c r="E119" s="67">
        <v>3583416</v>
      </c>
      <c r="F119" s="67">
        <v>3620980</v>
      </c>
      <c r="G119" s="67">
        <v>3764763</v>
      </c>
      <c r="H119" s="67">
        <v>3954912</v>
      </c>
      <c r="I119" s="67">
        <v>3970.31</v>
      </c>
      <c r="J119" s="67">
        <v>3382.73</v>
      </c>
    </row>
    <row r="120" spans="2:10">
      <c r="B120" s="149" t="s">
        <v>389</v>
      </c>
      <c r="C120" s="67">
        <v>17841438</v>
      </c>
      <c r="D120" s="67">
        <v>20003217</v>
      </c>
      <c r="E120" s="67">
        <v>21137190</v>
      </c>
      <c r="F120" s="67">
        <v>21544937</v>
      </c>
      <c r="G120" s="67">
        <v>22398093</v>
      </c>
      <c r="H120" s="67">
        <v>21653909</v>
      </c>
      <c r="I120" s="67">
        <v>21700206</v>
      </c>
      <c r="J120" s="67">
        <v>24408195</v>
      </c>
    </row>
    <row r="121" spans="2:10">
      <c r="B121" s="149" t="s">
        <v>388</v>
      </c>
      <c r="C121" s="67">
        <v>0</v>
      </c>
      <c r="D121" s="67">
        <v>0</v>
      </c>
      <c r="E121" s="67">
        <v>0</v>
      </c>
      <c r="F121" s="67">
        <v>0</v>
      </c>
      <c r="G121" s="67">
        <v>0</v>
      </c>
      <c r="H121" s="67">
        <v>0</v>
      </c>
      <c r="I121" s="67">
        <v>0</v>
      </c>
      <c r="J121" s="67">
        <v>0</v>
      </c>
    </row>
    <row r="122" spans="2:10">
      <c r="B122" s="149" t="s">
        <v>387</v>
      </c>
      <c r="C122" s="67">
        <v>9952927</v>
      </c>
      <c r="D122" s="67">
        <v>12717426</v>
      </c>
      <c r="E122" s="67">
        <v>12943592</v>
      </c>
      <c r="F122" s="67">
        <v>12866159</v>
      </c>
      <c r="G122" s="67">
        <v>17894707</v>
      </c>
      <c r="H122" s="67">
        <v>17171047</v>
      </c>
      <c r="I122" s="67">
        <v>13993720</v>
      </c>
      <c r="J122" s="67">
        <v>14035574</v>
      </c>
    </row>
    <row r="123" spans="2:10">
      <c r="B123" s="149" t="s">
        <v>386</v>
      </c>
      <c r="C123" s="67">
        <v>0</v>
      </c>
      <c r="D123" s="67">
        <v>0</v>
      </c>
      <c r="E123" s="67">
        <v>0</v>
      </c>
      <c r="F123" s="67">
        <v>0</v>
      </c>
      <c r="G123" s="67">
        <v>0</v>
      </c>
      <c r="H123" s="67">
        <v>0</v>
      </c>
      <c r="I123" s="67">
        <v>0</v>
      </c>
      <c r="J123" s="67">
        <v>0</v>
      </c>
    </row>
    <row r="124" spans="2:10" ht="26">
      <c r="B124" s="147" t="s">
        <v>385</v>
      </c>
      <c r="C124" s="67">
        <v>0</v>
      </c>
      <c r="D124" s="67">
        <v>0</v>
      </c>
      <c r="E124" s="67">
        <v>0</v>
      </c>
      <c r="F124" s="67">
        <v>0</v>
      </c>
      <c r="G124" s="67">
        <v>0</v>
      </c>
      <c r="H124" s="67">
        <v>0</v>
      </c>
      <c r="I124" s="67">
        <v>0</v>
      </c>
      <c r="J124" s="67">
        <v>0</v>
      </c>
    </row>
    <row r="125" spans="2:10">
      <c r="B125" s="54" t="s">
        <v>384</v>
      </c>
      <c r="C125" s="67">
        <v>0</v>
      </c>
      <c r="D125" s="67">
        <v>0</v>
      </c>
      <c r="E125" s="67">
        <v>0</v>
      </c>
      <c r="F125" s="67">
        <v>0</v>
      </c>
      <c r="G125" s="67">
        <v>0</v>
      </c>
      <c r="H125" s="67">
        <v>0</v>
      </c>
      <c r="I125" s="67">
        <v>0</v>
      </c>
      <c r="J125" s="67">
        <v>0</v>
      </c>
    </row>
    <row r="126" spans="2:10" ht="26">
      <c r="B126" s="147" t="s">
        <v>383</v>
      </c>
      <c r="C126" s="67">
        <v>0</v>
      </c>
      <c r="D126" s="67">
        <v>0</v>
      </c>
      <c r="E126" s="67">
        <v>0</v>
      </c>
      <c r="F126" s="67">
        <v>0</v>
      </c>
      <c r="G126" s="67">
        <v>0</v>
      </c>
      <c r="H126" s="67">
        <v>0</v>
      </c>
      <c r="I126" s="67">
        <v>0</v>
      </c>
      <c r="J126" s="67">
        <v>0</v>
      </c>
    </row>
    <row r="127" spans="2:10">
      <c r="B127" s="149" t="s">
        <v>382</v>
      </c>
      <c r="C127" s="67"/>
      <c r="D127" s="67"/>
      <c r="E127" s="67"/>
      <c r="F127" s="67"/>
      <c r="G127" s="67"/>
      <c r="H127" s="67"/>
      <c r="I127" s="67"/>
      <c r="J127" s="67"/>
    </row>
    <row r="128" spans="2:10">
      <c r="B128" s="149"/>
      <c r="C128" s="67"/>
      <c r="D128" s="67"/>
      <c r="E128" s="67"/>
      <c r="F128" s="67"/>
      <c r="G128" s="67"/>
      <c r="H128" s="67"/>
      <c r="I128" s="67"/>
      <c r="J128" s="67"/>
    </row>
    <row r="129" spans="2:10">
      <c r="B129" s="175" t="s">
        <v>381</v>
      </c>
      <c r="C129" s="67"/>
      <c r="D129" s="67"/>
      <c r="E129" s="67"/>
      <c r="F129" s="67"/>
      <c r="G129" s="67"/>
      <c r="H129" s="67"/>
      <c r="I129" s="67"/>
      <c r="J129" s="67"/>
    </row>
    <row r="130" spans="2:10">
      <c r="B130" s="149" t="s">
        <v>380</v>
      </c>
      <c r="C130" s="67"/>
      <c r="D130" s="67"/>
      <c r="E130" s="67"/>
      <c r="F130" s="67"/>
      <c r="G130" s="67"/>
      <c r="H130" s="67"/>
      <c r="I130" s="67"/>
      <c r="J130" s="67"/>
    </row>
    <row r="131" spans="2:10">
      <c r="B131" s="172" t="s">
        <v>379</v>
      </c>
      <c r="C131" s="67"/>
      <c r="D131" s="67"/>
      <c r="E131" s="67"/>
      <c r="F131" s="67"/>
      <c r="G131" s="67"/>
      <c r="H131" s="67"/>
      <c r="I131" s="67"/>
      <c r="J131" s="67"/>
    </row>
    <row r="132" spans="2:10">
      <c r="B132" s="168" t="s">
        <v>378</v>
      </c>
      <c r="C132" s="67">
        <v>7963</v>
      </c>
      <c r="D132" s="67">
        <v>7976</v>
      </c>
      <c r="E132" s="67">
        <v>7725</v>
      </c>
      <c r="F132" s="67">
        <v>7622</v>
      </c>
      <c r="G132" s="67">
        <v>7468</v>
      </c>
      <c r="H132" s="67">
        <v>7570</v>
      </c>
      <c r="I132" s="67">
        <v>7637</v>
      </c>
      <c r="J132" s="67">
        <v>7592</v>
      </c>
    </row>
    <row r="133" spans="2:10">
      <c r="B133" s="168" t="s">
        <v>377</v>
      </c>
      <c r="C133" s="67">
        <v>0</v>
      </c>
      <c r="D133" s="67">
        <v>0</v>
      </c>
      <c r="E133" s="67">
        <v>0</v>
      </c>
      <c r="F133" s="67">
        <v>0</v>
      </c>
      <c r="G133" s="67">
        <v>0</v>
      </c>
      <c r="H133" s="67">
        <v>0</v>
      </c>
      <c r="I133" s="67">
        <v>0</v>
      </c>
      <c r="J133" s="67">
        <v>0</v>
      </c>
    </row>
    <row r="134" spans="2:10">
      <c r="B134" s="149" t="s">
        <v>376</v>
      </c>
      <c r="C134" s="67">
        <v>3</v>
      </c>
      <c r="D134" s="67">
        <v>3</v>
      </c>
      <c r="E134" s="67">
        <v>3</v>
      </c>
      <c r="F134" s="67">
        <v>3</v>
      </c>
      <c r="G134" s="67">
        <v>3</v>
      </c>
      <c r="H134" s="67">
        <v>3</v>
      </c>
      <c r="I134" s="67">
        <v>3</v>
      </c>
      <c r="J134" s="67">
        <v>3</v>
      </c>
    </row>
    <row r="135" spans="2:10">
      <c r="B135" s="149"/>
      <c r="C135" s="67"/>
      <c r="D135" s="67"/>
      <c r="E135" s="67"/>
      <c r="F135" s="67"/>
      <c r="G135" s="67"/>
      <c r="H135" s="67"/>
      <c r="I135" s="67"/>
      <c r="J135" s="67"/>
    </row>
    <row r="136" spans="2:10">
      <c r="B136" s="149" t="s">
        <v>375</v>
      </c>
      <c r="C136" s="67">
        <v>0</v>
      </c>
      <c r="D136" s="67">
        <v>0</v>
      </c>
      <c r="E136" s="67">
        <v>0</v>
      </c>
      <c r="F136" s="67">
        <v>0</v>
      </c>
      <c r="G136" s="67">
        <v>0</v>
      </c>
      <c r="H136" s="67">
        <v>0</v>
      </c>
      <c r="I136" s="67">
        <v>0</v>
      </c>
      <c r="J136" s="67">
        <v>0</v>
      </c>
    </row>
    <row r="137" spans="2:10">
      <c r="B137" s="168" t="s">
        <v>374</v>
      </c>
      <c r="C137" s="67"/>
      <c r="D137" s="67"/>
      <c r="E137" s="67"/>
      <c r="F137" s="67"/>
      <c r="G137" s="67"/>
      <c r="H137" s="67"/>
      <c r="I137" s="67"/>
      <c r="J137" s="67"/>
    </row>
    <row r="138" spans="2:10">
      <c r="B138" s="149" t="s">
        <v>478</v>
      </c>
      <c r="C138" s="67">
        <v>0</v>
      </c>
      <c r="D138" s="67">
        <v>0</v>
      </c>
      <c r="E138" s="67">
        <v>0</v>
      </c>
      <c r="F138" s="67">
        <v>0</v>
      </c>
      <c r="G138" s="67">
        <v>0</v>
      </c>
      <c r="H138" s="67">
        <v>0</v>
      </c>
      <c r="I138" s="67">
        <v>0</v>
      </c>
      <c r="J138" s="67">
        <v>0</v>
      </c>
    </row>
    <row r="139" spans="2:10">
      <c r="B139" s="165" t="s">
        <v>373</v>
      </c>
      <c r="C139" s="67">
        <v>0</v>
      </c>
      <c r="D139" s="67">
        <v>0</v>
      </c>
      <c r="E139" s="67">
        <v>0</v>
      </c>
      <c r="F139" s="67">
        <v>0</v>
      </c>
      <c r="G139" s="67">
        <v>0</v>
      </c>
      <c r="H139" s="67">
        <v>0</v>
      </c>
      <c r="I139" s="67">
        <v>0</v>
      </c>
      <c r="J139" s="67">
        <v>0</v>
      </c>
    </row>
    <row r="140" spans="2:10">
      <c r="B140" s="149" t="s">
        <v>372</v>
      </c>
      <c r="C140" s="67">
        <v>0</v>
      </c>
      <c r="D140" s="67">
        <v>0</v>
      </c>
      <c r="E140" s="67">
        <v>0</v>
      </c>
      <c r="F140" s="67">
        <v>0</v>
      </c>
      <c r="G140" s="67">
        <v>0</v>
      </c>
      <c r="H140" s="67">
        <v>0</v>
      </c>
      <c r="I140" s="67">
        <v>0</v>
      </c>
      <c r="J140" s="67">
        <v>0</v>
      </c>
    </row>
    <row r="141" spans="2:10">
      <c r="B141" s="149" t="s">
        <v>371</v>
      </c>
      <c r="C141" s="67">
        <v>0</v>
      </c>
      <c r="D141" s="67">
        <v>0</v>
      </c>
      <c r="E141" s="67">
        <v>0</v>
      </c>
      <c r="F141" s="67">
        <v>0</v>
      </c>
      <c r="G141" s="67">
        <v>0</v>
      </c>
      <c r="H141" s="67">
        <v>0</v>
      </c>
      <c r="I141" s="67">
        <v>0</v>
      </c>
      <c r="J141" s="67">
        <v>0</v>
      </c>
    </row>
    <row r="142" spans="2:10">
      <c r="B142" s="147" t="s">
        <v>370</v>
      </c>
      <c r="C142" s="67"/>
      <c r="D142" s="67"/>
      <c r="E142" s="67"/>
      <c r="F142" s="67"/>
      <c r="G142" s="67"/>
      <c r="H142" s="67"/>
      <c r="I142" s="67"/>
      <c r="J142" s="67"/>
    </row>
    <row r="143" spans="2:10" ht="15" thickBot="1">
      <c r="B143" s="209" t="s">
        <v>369</v>
      </c>
      <c r="C143" s="117"/>
      <c r="D143" s="117"/>
      <c r="E143" s="117"/>
      <c r="F143" s="117"/>
      <c r="G143" s="117"/>
      <c r="H143" s="117"/>
      <c r="I143" s="117"/>
      <c r="J143" s="117"/>
    </row>
    <row r="144" spans="2:10" ht="15" thickTop="1">
      <c r="B144" s="2025" t="s">
        <v>479</v>
      </c>
      <c r="C144" s="2025"/>
      <c r="D144" s="2025"/>
      <c r="E144" s="2025"/>
      <c r="F144" s="2025"/>
      <c r="G144" s="2025"/>
      <c r="H144" s="2025"/>
      <c r="I144" s="2025"/>
      <c r="J144" s="2025"/>
    </row>
    <row r="145" spans="2:10">
      <c r="B145" s="64"/>
      <c r="C145" s="121"/>
      <c r="D145" s="121"/>
      <c r="E145" s="121"/>
      <c r="F145" s="121"/>
      <c r="G145" s="121"/>
      <c r="H145" s="121"/>
      <c r="I145" s="121"/>
      <c r="J145" s="121"/>
    </row>
    <row r="146" spans="2:10">
      <c r="B146" s="2024" t="s">
        <v>367</v>
      </c>
      <c r="C146" s="2024"/>
      <c r="D146" s="2024"/>
      <c r="E146" s="2024"/>
      <c r="F146" s="2024"/>
      <c r="G146" s="2024"/>
      <c r="H146" s="2024"/>
      <c r="I146" s="2024"/>
      <c r="J146" s="2024"/>
    </row>
    <row r="147" spans="2:10">
      <c r="B147" s="12" t="s">
        <v>366</v>
      </c>
      <c r="C147" s="121"/>
      <c r="D147" s="121"/>
      <c r="E147" s="121"/>
      <c r="F147" s="121"/>
      <c r="G147" s="121"/>
      <c r="H147" s="121"/>
      <c r="I147" s="121"/>
      <c r="J147" s="121"/>
    </row>
    <row r="148" spans="2:10">
      <c r="B148" s="62" t="s">
        <v>210</v>
      </c>
      <c r="C148" s="121"/>
      <c r="D148" s="121"/>
      <c r="E148" s="121"/>
      <c r="F148" s="121"/>
      <c r="G148" s="121"/>
      <c r="H148" s="121"/>
      <c r="I148" s="121"/>
      <c r="J148" s="121"/>
    </row>
    <row r="149" spans="2:10">
      <c r="B149" s="64"/>
      <c r="C149" s="121"/>
      <c r="D149" s="121"/>
      <c r="E149" s="121"/>
      <c r="F149" s="121"/>
      <c r="G149" s="121"/>
      <c r="H149" s="121"/>
      <c r="I149" s="121"/>
      <c r="J149" s="121"/>
    </row>
    <row r="150" spans="2:10">
      <c r="B150" s="61"/>
      <c r="C150" s="60">
        <v>2014</v>
      </c>
      <c r="D150" s="60">
        <v>2015</v>
      </c>
      <c r="E150" s="60">
        <v>2016</v>
      </c>
      <c r="F150" s="60">
        <v>2017</v>
      </c>
      <c r="G150" s="60">
        <v>2018</v>
      </c>
      <c r="H150" s="60">
        <v>2019</v>
      </c>
      <c r="I150" s="60">
        <v>2020</v>
      </c>
      <c r="J150" s="60">
        <v>2021</v>
      </c>
    </row>
    <row r="151" spans="2:10">
      <c r="B151" s="114" t="s">
        <v>362</v>
      </c>
      <c r="C151" s="66"/>
      <c r="D151" s="66"/>
      <c r="E151" s="66"/>
      <c r="F151" s="66"/>
      <c r="G151" s="66"/>
      <c r="H151" s="66"/>
      <c r="I151" s="66"/>
      <c r="J151" s="66"/>
    </row>
    <row r="152" spans="2:10">
      <c r="B152" s="54" t="s">
        <v>361</v>
      </c>
      <c r="C152" s="66">
        <v>93402.748000000007</v>
      </c>
      <c r="D152" s="66">
        <v>110164</v>
      </c>
      <c r="E152" s="66">
        <v>121600</v>
      </c>
      <c r="F152" s="66">
        <v>131999</v>
      </c>
      <c r="G152" s="66">
        <v>156444</v>
      </c>
      <c r="H152" s="66">
        <v>188071</v>
      </c>
      <c r="I152" s="66">
        <v>207133</v>
      </c>
      <c r="J152" s="66">
        <v>235311</v>
      </c>
    </row>
    <row r="153" spans="2:10">
      <c r="B153" s="151" t="s">
        <v>360</v>
      </c>
      <c r="C153" s="66">
        <v>0</v>
      </c>
      <c r="D153" s="66">
        <v>0</v>
      </c>
      <c r="E153" s="66">
        <v>0</v>
      </c>
      <c r="F153" s="66">
        <v>0</v>
      </c>
      <c r="G153" s="66">
        <v>0</v>
      </c>
      <c r="H153" s="66">
        <v>0</v>
      </c>
      <c r="I153" s="66">
        <v>0</v>
      </c>
      <c r="J153" s="66">
        <v>0</v>
      </c>
    </row>
    <row r="154" spans="2:10">
      <c r="B154" s="151" t="s">
        <v>359</v>
      </c>
      <c r="C154" s="66">
        <v>93402.748000000007</v>
      </c>
      <c r="D154" s="66">
        <v>110164</v>
      </c>
      <c r="E154" s="66">
        <v>121600</v>
      </c>
      <c r="F154" s="66">
        <v>131999</v>
      </c>
      <c r="G154" s="66">
        <v>156444</v>
      </c>
      <c r="H154" s="66">
        <v>188071</v>
      </c>
      <c r="I154" s="66">
        <v>20713</v>
      </c>
      <c r="J154" s="66">
        <v>235311</v>
      </c>
    </row>
    <row r="155" spans="2:10">
      <c r="B155" s="152" t="s">
        <v>358</v>
      </c>
      <c r="C155" s="66">
        <v>0</v>
      </c>
      <c r="D155" s="66">
        <v>0</v>
      </c>
      <c r="E155" s="66">
        <v>0</v>
      </c>
      <c r="F155" s="66">
        <v>0</v>
      </c>
      <c r="G155" s="66">
        <v>0</v>
      </c>
      <c r="H155" s="66">
        <v>0</v>
      </c>
      <c r="I155" s="66">
        <v>0</v>
      </c>
      <c r="J155" s="66">
        <v>0</v>
      </c>
    </row>
    <row r="156" spans="2:10">
      <c r="B156" s="71" t="s">
        <v>357</v>
      </c>
      <c r="C156" s="55">
        <v>680148.10499999998</v>
      </c>
      <c r="D156" s="55">
        <v>859334.08700000006</v>
      </c>
      <c r="E156" s="55">
        <v>1040623.9210000001</v>
      </c>
      <c r="F156" s="55">
        <v>1252373.8459999999</v>
      </c>
      <c r="G156" s="55">
        <v>1542657.6490000002</v>
      </c>
      <c r="H156" s="55">
        <v>1871566.969</v>
      </c>
      <c r="I156" s="55">
        <v>2007385.5190000001</v>
      </c>
      <c r="J156" s="55">
        <v>2986418.42</v>
      </c>
    </row>
    <row r="157" spans="2:10">
      <c r="B157" s="151" t="s">
        <v>356</v>
      </c>
      <c r="C157" s="55">
        <v>485197.26199999999</v>
      </c>
      <c r="D157" s="55">
        <v>615469.26</v>
      </c>
      <c r="E157" s="55">
        <v>739686.57900000003</v>
      </c>
      <c r="F157" s="55">
        <v>898598.07700000005</v>
      </c>
      <c r="G157" s="55">
        <v>1136512.4750000001</v>
      </c>
      <c r="H157" s="55">
        <v>1423151.1610000001</v>
      </c>
      <c r="I157" s="55">
        <v>1484698.57</v>
      </c>
      <c r="J157" s="55">
        <v>2381428.9700000002</v>
      </c>
    </row>
    <row r="158" spans="2:10">
      <c r="B158" s="151" t="s">
        <v>355</v>
      </c>
      <c r="C158" s="55">
        <v>0</v>
      </c>
      <c r="D158" s="55">
        <v>0</v>
      </c>
      <c r="E158" s="55">
        <v>0</v>
      </c>
      <c r="F158" s="55">
        <v>0</v>
      </c>
      <c r="G158" s="55">
        <v>0</v>
      </c>
      <c r="H158" s="55">
        <v>0</v>
      </c>
      <c r="I158" s="55">
        <v>0</v>
      </c>
      <c r="J158" s="55">
        <v>0</v>
      </c>
    </row>
    <row r="159" spans="2:10">
      <c r="B159" s="151" t="s">
        <v>354</v>
      </c>
      <c r="C159" s="55">
        <v>194950.84299999999</v>
      </c>
      <c r="D159" s="55">
        <v>243864.82699999999</v>
      </c>
      <c r="E159" s="55">
        <v>300937.342</v>
      </c>
      <c r="F159" s="55">
        <v>353775.76899999997</v>
      </c>
      <c r="G159" s="55">
        <v>406145.174</v>
      </c>
      <c r="H159" s="55">
        <v>448415.80800000002</v>
      </c>
      <c r="I159" s="55">
        <v>522686.94900000002</v>
      </c>
      <c r="J159" s="55">
        <v>605989.44200000004</v>
      </c>
    </row>
    <row r="160" spans="2:10">
      <c r="B160" s="71" t="s">
        <v>480</v>
      </c>
      <c r="C160" s="55">
        <v>0</v>
      </c>
      <c r="D160" s="55">
        <v>0</v>
      </c>
      <c r="E160" s="55">
        <v>0</v>
      </c>
      <c r="F160" s="55">
        <v>0</v>
      </c>
      <c r="G160" s="55">
        <v>0</v>
      </c>
      <c r="H160" s="55">
        <v>0</v>
      </c>
      <c r="I160" s="55">
        <v>0</v>
      </c>
      <c r="J160" s="55">
        <v>0</v>
      </c>
    </row>
    <row r="161" spans="2:10">
      <c r="B161" s="71" t="s">
        <v>481</v>
      </c>
      <c r="C161" s="55">
        <v>167149.15100000001</v>
      </c>
      <c r="D161" s="55">
        <v>153973.603</v>
      </c>
      <c r="E161" s="55">
        <v>140651.859</v>
      </c>
      <c r="F161" s="55">
        <v>122868.97</v>
      </c>
      <c r="G161" s="55">
        <v>109234.44</v>
      </c>
      <c r="H161" s="55">
        <v>94638.725000000006</v>
      </c>
      <c r="I161" s="55">
        <v>51407</v>
      </c>
      <c r="J161" s="55">
        <v>38608</v>
      </c>
    </row>
    <row r="162" spans="2:10">
      <c r="B162" s="150" t="s">
        <v>352</v>
      </c>
      <c r="C162" s="55">
        <v>167149.15100000001</v>
      </c>
      <c r="D162" s="55">
        <v>153973.603</v>
      </c>
      <c r="E162" s="55">
        <v>140651.859</v>
      </c>
      <c r="F162" s="55">
        <v>122868.97</v>
      </c>
      <c r="G162" s="55">
        <v>109234.44</v>
      </c>
      <c r="H162" s="55">
        <v>94638.725000000006</v>
      </c>
      <c r="I162" s="55">
        <v>51407</v>
      </c>
      <c r="J162" s="55">
        <v>38608</v>
      </c>
    </row>
    <row r="163" spans="2:10">
      <c r="B163" s="150" t="s">
        <v>351</v>
      </c>
      <c r="C163" s="55">
        <v>0</v>
      </c>
      <c r="D163" s="55">
        <v>0</v>
      </c>
      <c r="E163" s="55">
        <v>0</v>
      </c>
      <c r="F163" s="55">
        <v>0</v>
      </c>
      <c r="G163" s="55">
        <v>0</v>
      </c>
      <c r="H163" s="55">
        <v>0</v>
      </c>
      <c r="I163" s="55">
        <v>0</v>
      </c>
      <c r="J163" s="55">
        <v>0</v>
      </c>
    </row>
    <row r="164" spans="2:10">
      <c r="B164" s="54" t="s">
        <v>350</v>
      </c>
      <c r="C164" s="55">
        <v>0</v>
      </c>
      <c r="D164" s="55">
        <v>0</v>
      </c>
      <c r="E164" s="55">
        <v>0</v>
      </c>
      <c r="F164" s="55">
        <v>0</v>
      </c>
      <c r="G164" s="55">
        <v>0</v>
      </c>
      <c r="H164" s="55">
        <v>0</v>
      </c>
      <c r="I164" s="55">
        <v>0</v>
      </c>
      <c r="J164" s="55">
        <v>0</v>
      </c>
    </row>
    <row r="165" spans="2:10">
      <c r="B165" s="54"/>
      <c r="D165" s="55"/>
      <c r="E165" s="55"/>
      <c r="F165" s="55"/>
      <c r="G165" s="55"/>
      <c r="H165" s="55"/>
      <c r="I165" s="55"/>
      <c r="J165" s="55">
        <f>J152+J156+J161</f>
        <v>3260337.42</v>
      </c>
    </row>
    <row r="166" spans="2:10">
      <c r="B166" s="54" t="s">
        <v>365</v>
      </c>
      <c r="C166" s="55">
        <f t="shared" ref="C166:I166" si="1">C152+C156+C161</f>
        <v>940700.00399999996</v>
      </c>
      <c r="D166" s="55">
        <f t="shared" si="1"/>
        <v>1123471.69</v>
      </c>
      <c r="E166" s="55">
        <f t="shared" si="1"/>
        <v>1302875.78</v>
      </c>
      <c r="F166" s="55">
        <f t="shared" si="1"/>
        <v>1507241.8159999999</v>
      </c>
      <c r="G166" s="55">
        <f t="shared" si="1"/>
        <v>1808336.0890000002</v>
      </c>
      <c r="H166" s="55">
        <f t="shared" si="1"/>
        <v>2154276.6940000001</v>
      </c>
      <c r="I166" s="55">
        <f t="shared" si="1"/>
        <v>2265925.5190000003</v>
      </c>
      <c r="J166" s="55"/>
    </row>
    <row r="167" spans="2:10">
      <c r="B167" s="147" t="s">
        <v>348</v>
      </c>
      <c r="C167" s="210">
        <v>0</v>
      </c>
      <c r="D167" s="210">
        <v>0</v>
      </c>
      <c r="E167" s="210">
        <v>0</v>
      </c>
      <c r="F167" s="210">
        <v>0</v>
      </c>
      <c r="G167" s="210">
        <v>0</v>
      </c>
      <c r="H167" s="210">
        <v>0</v>
      </c>
      <c r="I167" s="210">
        <v>0</v>
      </c>
      <c r="J167" s="210">
        <v>0</v>
      </c>
    </row>
    <row r="168" spans="2:10">
      <c r="B168" s="147"/>
      <c r="C168" s="98">
        <v>0</v>
      </c>
      <c r="D168" s="98">
        <v>0</v>
      </c>
      <c r="E168" s="98">
        <v>0</v>
      </c>
      <c r="F168" s="98">
        <v>0</v>
      </c>
      <c r="G168" s="98">
        <v>0</v>
      </c>
      <c r="H168" s="98">
        <v>0</v>
      </c>
      <c r="I168" s="98">
        <v>0</v>
      </c>
      <c r="J168" s="98">
        <v>0</v>
      </c>
    </row>
    <row r="169" spans="2:10">
      <c r="B169" s="54" t="s">
        <v>347</v>
      </c>
      <c r="C169" s="102">
        <v>0</v>
      </c>
      <c r="D169" s="102">
        <v>0</v>
      </c>
      <c r="E169" s="102">
        <v>0</v>
      </c>
      <c r="F169" s="55">
        <v>0</v>
      </c>
      <c r="G169" s="55">
        <v>0</v>
      </c>
      <c r="H169" s="55">
        <v>0</v>
      </c>
      <c r="I169" s="55">
        <v>0</v>
      </c>
      <c r="J169" s="55">
        <v>0</v>
      </c>
    </row>
    <row r="170" spans="2:10">
      <c r="B170" s="54"/>
      <c r="C170" s="55"/>
      <c r="D170" s="55"/>
      <c r="E170" s="55"/>
      <c r="F170" s="55"/>
      <c r="G170" s="55"/>
      <c r="H170" s="55"/>
      <c r="I170" s="55"/>
      <c r="J170" s="55"/>
    </row>
    <row r="171" spans="2:10">
      <c r="B171" s="114" t="s">
        <v>346</v>
      </c>
      <c r="C171" s="55"/>
      <c r="D171" s="55"/>
      <c r="E171" s="55"/>
      <c r="F171" s="55"/>
      <c r="G171" s="55"/>
      <c r="H171" s="55"/>
      <c r="I171" s="55"/>
      <c r="J171" s="55"/>
    </row>
    <row r="172" spans="2:10">
      <c r="B172" s="54" t="s">
        <v>342</v>
      </c>
      <c r="C172" s="55">
        <v>364011</v>
      </c>
      <c r="D172" s="55">
        <v>376261</v>
      </c>
      <c r="E172" s="55">
        <v>412114</v>
      </c>
      <c r="F172" s="55">
        <v>431997</v>
      </c>
      <c r="G172" s="55">
        <v>452854</v>
      </c>
      <c r="H172" s="55">
        <v>441302</v>
      </c>
      <c r="I172" s="55">
        <v>292567</v>
      </c>
      <c r="J172" s="55">
        <v>299094</v>
      </c>
    </row>
    <row r="173" spans="2:10">
      <c r="B173" s="147" t="s">
        <v>341</v>
      </c>
      <c r="C173" s="55">
        <v>358472</v>
      </c>
      <c r="D173" s="55">
        <v>372538</v>
      </c>
      <c r="E173" s="55">
        <v>409235</v>
      </c>
      <c r="F173" s="55">
        <v>429057</v>
      </c>
      <c r="G173" s="55">
        <v>449163</v>
      </c>
      <c r="H173" s="55">
        <v>437694</v>
      </c>
      <c r="I173" s="55">
        <v>290634</v>
      </c>
      <c r="J173" s="55">
        <v>297359</v>
      </c>
    </row>
    <row r="174" spans="2:10">
      <c r="B174" s="147" t="s">
        <v>340</v>
      </c>
      <c r="C174" s="55">
        <v>5539</v>
      </c>
      <c r="D174" s="55">
        <v>3723</v>
      </c>
      <c r="E174" s="55">
        <v>2879</v>
      </c>
      <c r="F174" s="55">
        <v>2940</v>
      </c>
      <c r="G174" s="55">
        <v>3691</v>
      </c>
      <c r="H174" s="55">
        <v>3608</v>
      </c>
      <c r="I174" s="55">
        <v>1933</v>
      </c>
      <c r="J174" s="55">
        <v>1735</v>
      </c>
    </row>
    <row r="175" spans="2:10">
      <c r="B175" s="54" t="s">
        <v>339</v>
      </c>
      <c r="C175" s="102">
        <v>0</v>
      </c>
      <c r="D175" s="102">
        <v>0</v>
      </c>
      <c r="E175" s="102">
        <v>0</v>
      </c>
      <c r="F175" s="55">
        <v>0</v>
      </c>
      <c r="G175" s="55">
        <v>0</v>
      </c>
      <c r="H175" s="55">
        <v>0</v>
      </c>
      <c r="I175" s="55">
        <v>0</v>
      </c>
      <c r="J175" s="55">
        <v>0</v>
      </c>
    </row>
    <row r="176" spans="2:10">
      <c r="B176" s="54" t="s">
        <v>482</v>
      </c>
      <c r="C176" s="102">
        <v>0</v>
      </c>
      <c r="D176" s="102">
        <v>0</v>
      </c>
      <c r="E176" s="102">
        <v>0</v>
      </c>
      <c r="F176" s="55">
        <v>0</v>
      </c>
      <c r="G176" s="55">
        <v>0</v>
      </c>
      <c r="H176" s="55">
        <v>0</v>
      </c>
      <c r="I176" s="55">
        <v>0</v>
      </c>
      <c r="J176" s="55">
        <v>0</v>
      </c>
    </row>
    <row r="177" spans="2:10">
      <c r="B177" s="147" t="s">
        <v>337</v>
      </c>
      <c r="C177" s="102">
        <v>0</v>
      </c>
      <c r="D177" s="102">
        <v>0</v>
      </c>
      <c r="E177" s="102">
        <v>0</v>
      </c>
      <c r="F177" s="55">
        <v>0</v>
      </c>
      <c r="G177" s="55">
        <v>0</v>
      </c>
      <c r="H177" s="55">
        <v>0</v>
      </c>
      <c r="I177" s="55">
        <v>0</v>
      </c>
      <c r="J177" s="55">
        <v>0</v>
      </c>
    </row>
    <row r="178" spans="2:10">
      <c r="B178" s="147" t="s">
        <v>336</v>
      </c>
      <c r="C178" s="102">
        <v>0</v>
      </c>
      <c r="D178" s="102">
        <v>0</v>
      </c>
      <c r="E178" s="102">
        <v>0</v>
      </c>
      <c r="F178" s="55">
        <v>0</v>
      </c>
      <c r="G178" s="55">
        <v>0</v>
      </c>
      <c r="H178" s="55">
        <v>0</v>
      </c>
      <c r="I178" s="55">
        <v>0</v>
      </c>
      <c r="J178" s="55">
        <v>0</v>
      </c>
    </row>
    <row r="179" spans="2:10">
      <c r="B179" s="147" t="s">
        <v>335</v>
      </c>
      <c r="C179" s="102">
        <v>0</v>
      </c>
      <c r="D179" s="102">
        <v>0</v>
      </c>
      <c r="E179" s="102">
        <v>0</v>
      </c>
      <c r="F179" s="55">
        <v>0</v>
      </c>
      <c r="G179" s="55">
        <v>0</v>
      </c>
      <c r="H179" s="55">
        <v>0</v>
      </c>
      <c r="I179" s="55">
        <v>0</v>
      </c>
      <c r="J179" s="55">
        <v>0</v>
      </c>
    </row>
    <row r="180" spans="2:10">
      <c r="B180" s="147"/>
      <c r="C180" s="66"/>
      <c r="D180" s="66"/>
      <c r="E180" s="66"/>
      <c r="F180" s="66"/>
      <c r="G180" s="66"/>
      <c r="H180" s="66"/>
      <c r="I180" s="66"/>
      <c r="J180" s="66"/>
    </row>
    <row r="181" spans="2:10" ht="26">
      <c r="B181" s="148" t="s">
        <v>345</v>
      </c>
      <c r="C181" s="66"/>
      <c r="D181" s="66"/>
      <c r="E181" s="66"/>
      <c r="F181" s="66"/>
      <c r="G181" s="66"/>
      <c r="H181" s="66"/>
      <c r="I181" s="66"/>
      <c r="J181" s="66"/>
    </row>
    <row r="182" spans="2:10">
      <c r="B182" s="54" t="s">
        <v>342</v>
      </c>
      <c r="C182" s="102">
        <v>0</v>
      </c>
      <c r="D182" s="102">
        <v>0</v>
      </c>
      <c r="E182" s="102">
        <v>0</v>
      </c>
      <c r="F182" s="55">
        <v>0</v>
      </c>
      <c r="G182" s="55">
        <v>0</v>
      </c>
      <c r="H182" s="55">
        <v>0</v>
      </c>
      <c r="I182" s="55">
        <v>0</v>
      </c>
      <c r="J182" s="55">
        <v>0</v>
      </c>
    </row>
    <row r="183" spans="2:10">
      <c r="B183" s="147" t="s">
        <v>341</v>
      </c>
      <c r="C183" s="102">
        <v>0</v>
      </c>
      <c r="D183" s="102">
        <v>0</v>
      </c>
      <c r="E183" s="102">
        <v>0</v>
      </c>
      <c r="F183" s="55">
        <v>0</v>
      </c>
      <c r="G183" s="55">
        <v>0</v>
      </c>
      <c r="H183" s="55">
        <v>0</v>
      </c>
      <c r="I183" s="55">
        <v>0</v>
      </c>
      <c r="J183" s="55">
        <v>0</v>
      </c>
    </row>
    <row r="184" spans="2:10">
      <c r="B184" s="147" t="s">
        <v>340</v>
      </c>
      <c r="C184" s="102">
        <v>0</v>
      </c>
      <c r="D184" s="102">
        <v>0</v>
      </c>
      <c r="E184" s="102">
        <v>0</v>
      </c>
      <c r="F184" s="55">
        <v>0</v>
      </c>
      <c r="G184" s="55">
        <v>0</v>
      </c>
      <c r="H184" s="55">
        <v>0</v>
      </c>
      <c r="I184" s="55">
        <v>0</v>
      </c>
      <c r="J184" s="55">
        <v>0</v>
      </c>
    </row>
    <row r="185" spans="2:10">
      <c r="B185" s="54" t="s">
        <v>339</v>
      </c>
      <c r="C185" s="102">
        <v>0</v>
      </c>
      <c r="D185" s="102">
        <v>0</v>
      </c>
      <c r="E185" s="102">
        <v>0</v>
      </c>
      <c r="F185" s="55">
        <v>0</v>
      </c>
      <c r="G185" s="55">
        <v>0</v>
      </c>
      <c r="H185" s="55">
        <v>0</v>
      </c>
      <c r="I185" s="55">
        <v>0</v>
      </c>
      <c r="J185" s="55">
        <v>0</v>
      </c>
    </row>
    <row r="186" spans="2:10">
      <c r="B186" s="54" t="s">
        <v>480</v>
      </c>
      <c r="C186" s="102">
        <v>0</v>
      </c>
      <c r="D186" s="102">
        <v>0</v>
      </c>
      <c r="E186" s="102">
        <v>0</v>
      </c>
      <c r="F186" s="55">
        <v>0</v>
      </c>
      <c r="G186" s="55">
        <v>0</v>
      </c>
      <c r="H186" s="55">
        <v>0</v>
      </c>
      <c r="I186" s="55">
        <v>0</v>
      </c>
      <c r="J186" s="55">
        <v>0</v>
      </c>
    </row>
    <row r="187" spans="2:10">
      <c r="B187" s="147" t="s">
        <v>337</v>
      </c>
      <c r="C187" s="102">
        <v>0</v>
      </c>
      <c r="D187" s="102">
        <v>0</v>
      </c>
      <c r="E187" s="102">
        <v>0</v>
      </c>
      <c r="F187" s="55">
        <v>0</v>
      </c>
      <c r="G187" s="55">
        <v>0</v>
      </c>
      <c r="H187" s="55">
        <v>0</v>
      </c>
      <c r="I187" s="55">
        <v>0</v>
      </c>
      <c r="J187" s="55">
        <v>0</v>
      </c>
    </row>
    <row r="188" spans="2:10">
      <c r="B188" s="147" t="s">
        <v>336</v>
      </c>
      <c r="C188" s="102">
        <v>0</v>
      </c>
      <c r="D188" s="102">
        <v>0</v>
      </c>
      <c r="E188" s="102">
        <v>0</v>
      </c>
      <c r="F188" s="55">
        <v>0</v>
      </c>
      <c r="G188" s="55">
        <v>0</v>
      </c>
      <c r="H188" s="55">
        <v>0</v>
      </c>
      <c r="I188" s="55">
        <v>0</v>
      </c>
      <c r="J188" s="55">
        <v>0</v>
      </c>
    </row>
    <row r="189" spans="2:10">
      <c r="B189" s="147" t="s">
        <v>335</v>
      </c>
      <c r="C189" s="102">
        <v>0</v>
      </c>
      <c r="D189" s="102">
        <v>0</v>
      </c>
      <c r="E189" s="102">
        <v>0</v>
      </c>
      <c r="F189" s="55">
        <v>0</v>
      </c>
      <c r="G189" s="55">
        <v>0</v>
      </c>
      <c r="H189" s="55">
        <v>0</v>
      </c>
      <c r="I189" s="55">
        <v>0</v>
      </c>
      <c r="J189" s="55">
        <v>0</v>
      </c>
    </row>
    <row r="190" spans="2:10">
      <c r="B190" s="147"/>
      <c r="C190" s="66"/>
      <c r="D190" s="66"/>
      <c r="E190" s="66"/>
      <c r="F190" s="66"/>
      <c r="G190" s="66"/>
      <c r="H190" s="66"/>
      <c r="I190" s="66"/>
      <c r="J190" s="66"/>
    </row>
    <row r="191" spans="2:10" ht="26">
      <c r="B191" s="148" t="s">
        <v>344</v>
      </c>
      <c r="C191" s="66"/>
      <c r="D191" s="66"/>
      <c r="E191" s="66"/>
      <c r="F191" s="66"/>
      <c r="G191" s="66"/>
      <c r="H191" s="66"/>
      <c r="I191" s="66"/>
      <c r="J191" s="66"/>
    </row>
    <row r="192" spans="2:10">
      <c r="B192" s="54" t="s">
        <v>342</v>
      </c>
      <c r="C192" s="129">
        <v>0</v>
      </c>
      <c r="D192" s="129">
        <v>0</v>
      </c>
      <c r="E192" s="129">
        <v>0</v>
      </c>
      <c r="F192" s="66">
        <v>0</v>
      </c>
      <c r="G192" s="66">
        <v>0</v>
      </c>
      <c r="H192" s="66">
        <v>0</v>
      </c>
      <c r="I192" s="66">
        <v>0</v>
      </c>
      <c r="J192" s="66">
        <v>0</v>
      </c>
    </row>
    <row r="193" spans="2:10">
      <c r="B193" s="147" t="s">
        <v>341</v>
      </c>
      <c r="C193" s="129">
        <v>0</v>
      </c>
      <c r="D193" s="129">
        <v>0</v>
      </c>
      <c r="E193" s="129">
        <v>0</v>
      </c>
      <c r="F193" s="66">
        <v>0</v>
      </c>
      <c r="G193" s="66">
        <v>0</v>
      </c>
      <c r="H193" s="66">
        <v>0</v>
      </c>
      <c r="I193" s="66">
        <v>0</v>
      </c>
      <c r="J193" s="66">
        <v>0</v>
      </c>
    </row>
    <row r="194" spans="2:10">
      <c r="B194" s="147" t="s">
        <v>340</v>
      </c>
      <c r="C194" s="129">
        <v>0</v>
      </c>
      <c r="D194" s="129">
        <v>0</v>
      </c>
      <c r="E194" s="129">
        <v>0</v>
      </c>
      <c r="F194" s="66">
        <v>0</v>
      </c>
      <c r="G194" s="66">
        <v>0</v>
      </c>
      <c r="H194" s="66">
        <v>0</v>
      </c>
      <c r="I194" s="66">
        <v>0</v>
      </c>
      <c r="J194" s="66">
        <v>0</v>
      </c>
    </row>
    <row r="195" spans="2:10">
      <c r="B195" s="54" t="s">
        <v>339</v>
      </c>
      <c r="C195" s="129">
        <v>0</v>
      </c>
      <c r="D195" s="129">
        <v>0</v>
      </c>
      <c r="E195" s="129">
        <v>0</v>
      </c>
      <c r="F195" s="66">
        <v>0</v>
      </c>
      <c r="G195" s="66">
        <v>0</v>
      </c>
      <c r="H195" s="66">
        <v>0</v>
      </c>
      <c r="I195" s="66">
        <v>0</v>
      </c>
      <c r="J195" s="66">
        <v>0</v>
      </c>
    </row>
    <row r="196" spans="2:10">
      <c r="B196" s="54" t="s">
        <v>338</v>
      </c>
      <c r="C196" s="129">
        <v>0</v>
      </c>
      <c r="D196" s="129">
        <v>0</v>
      </c>
      <c r="E196" s="129">
        <v>0</v>
      </c>
      <c r="F196" s="66">
        <v>0</v>
      </c>
      <c r="G196" s="66">
        <v>0</v>
      </c>
      <c r="H196" s="66">
        <v>0</v>
      </c>
      <c r="I196" s="66">
        <v>0</v>
      </c>
      <c r="J196" s="66">
        <v>0</v>
      </c>
    </row>
    <row r="197" spans="2:10">
      <c r="B197" s="147" t="s">
        <v>337</v>
      </c>
      <c r="C197" s="129">
        <v>0</v>
      </c>
      <c r="D197" s="129">
        <v>0</v>
      </c>
      <c r="E197" s="129">
        <v>0</v>
      </c>
      <c r="F197" s="66">
        <v>0</v>
      </c>
      <c r="G197" s="66">
        <v>0</v>
      </c>
      <c r="H197" s="66">
        <v>0</v>
      </c>
      <c r="I197" s="66">
        <v>0</v>
      </c>
      <c r="J197" s="66">
        <v>0</v>
      </c>
    </row>
    <row r="198" spans="2:10">
      <c r="B198" s="147" t="s">
        <v>336</v>
      </c>
      <c r="C198" s="129">
        <v>0</v>
      </c>
      <c r="D198" s="129">
        <v>0</v>
      </c>
      <c r="E198" s="129">
        <v>0</v>
      </c>
      <c r="F198" s="66">
        <v>0</v>
      </c>
      <c r="G198" s="66">
        <v>0</v>
      </c>
      <c r="H198" s="66">
        <v>0</v>
      </c>
      <c r="I198" s="66">
        <v>0</v>
      </c>
      <c r="J198" s="66">
        <v>0</v>
      </c>
    </row>
    <row r="199" spans="2:10">
      <c r="B199" s="147" t="s">
        <v>335</v>
      </c>
      <c r="C199" s="129">
        <v>0</v>
      </c>
      <c r="D199" s="129">
        <v>0</v>
      </c>
      <c r="E199" s="129">
        <v>0</v>
      </c>
      <c r="F199" s="66">
        <v>0</v>
      </c>
      <c r="G199" s="66">
        <v>0</v>
      </c>
      <c r="H199" s="66">
        <v>0</v>
      </c>
      <c r="I199" s="66">
        <v>0</v>
      </c>
      <c r="J199" s="66">
        <v>0</v>
      </c>
    </row>
    <row r="200" spans="2:10">
      <c r="B200" s="147"/>
      <c r="C200" s="66">
        <v>0</v>
      </c>
      <c r="D200" s="66">
        <v>0</v>
      </c>
      <c r="E200" s="66">
        <v>0</v>
      </c>
      <c r="F200" s="66">
        <v>0</v>
      </c>
      <c r="G200" s="66">
        <v>0</v>
      </c>
      <c r="H200" s="66">
        <v>0</v>
      </c>
      <c r="I200" s="66">
        <v>0</v>
      </c>
      <c r="J200" s="66">
        <v>0</v>
      </c>
    </row>
    <row r="201" spans="2:10" ht="26">
      <c r="B201" s="148" t="s">
        <v>343</v>
      </c>
      <c r="C201" s="66">
        <v>0</v>
      </c>
      <c r="D201" s="66">
        <v>0</v>
      </c>
      <c r="E201" s="66">
        <v>0</v>
      </c>
      <c r="F201" s="66">
        <v>0</v>
      </c>
      <c r="G201" s="66">
        <v>0</v>
      </c>
      <c r="H201" s="66">
        <v>0</v>
      </c>
      <c r="I201" s="66">
        <v>0</v>
      </c>
      <c r="J201" s="66">
        <v>0</v>
      </c>
    </row>
    <row r="202" spans="2:10">
      <c r="B202" s="54" t="s">
        <v>342</v>
      </c>
      <c r="C202" s="129">
        <v>0</v>
      </c>
      <c r="D202" s="129">
        <v>0</v>
      </c>
      <c r="E202" s="129">
        <v>0</v>
      </c>
      <c r="F202" s="66">
        <v>0</v>
      </c>
      <c r="G202" s="66">
        <v>0</v>
      </c>
      <c r="H202" s="66">
        <v>0</v>
      </c>
      <c r="I202" s="66">
        <v>0</v>
      </c>
      <c r="J202" s="66">
        <v>0</v>
      </c>
    </row>
    <row r="203" spans="2:10">
      <c r="B203" s="147" t="s">
        <v>341</v>
      </c>
      <c r="C203" s="129">
        <v>0</v>
      </c>
      <c r="D203" s="129">
        <v>0</v>
      </c>
      <c r="E203" s="129">
        <v>0</v>
      </c>
      <c r="F203" s="66">
        <v>0</v>
      </c>
      <c r="G203" s="66">
        <v>0</v>
      </c>
      <c r="H203" s="66">
        <v>0</v>
      </c>
      <c r="I203" s="66">
        <v>0</v>
      </c>
      <c r="J203" s="66">
        <v>0</v>
      </c>
    </row>
    <row r="204" spans="2:10">
      <c r="B204" s="147" t="s">
        <v>340</v>
      </c>
      <c r="C204" s="129">
        <v>0</v>
      </c>
      <c r="D204" s="129">
        <v>0</v>
      </c>
      <c r="E204" s="129">
        <v>0</v>
      </c>
      <c r="F204" s="66">
        <v>0</v>
      </c>
      <c r="G204" s="66">
        <v>0</v>
      </c>
      <c r="H204" s="66">
        <v>0</v>
      </c>
      <c r="I204" s="66">
        <v>0</v>
      </c>
      <c r="J204" s="66">
        <v>0</v>
      </c>
    </row>
    <row r="205" spans="2:10">
      <c r="B205" s="54" t="s">
        <v>339</v>
      </c>
      <c r="C205" s="129">
        <v>0</v>
      </c>
      <c r="D205" s="129">
        <v>0</v>
      </c>
      <c r="E205" s="129">
        <v>0</v>
      </c>
      <c r="F205" s="66">
        <v>0</v>
      </c>
      <c r="G205" s="66">
        <v>0</v>
      </c>
      <c r="H205" s="66">
        <v>0</v>
      </c>
      <c r="I205" s="66">
        <v>0</v>
      </c>
      <c r="J205" s="66">
        <v>0</v>
      </c>
    </row>
    <row r="206" spans="2:10">
      <c r="B206" s="54" t="s">
        <v>338</v>
      </c>
      <c r="C206" s="129">
        <v>0</v>
      </c>
      <c r="D206" s="129">
        <v>0</v>
      </c>
      <c r="E206" s="129">
        <v>0</v>
      </c>
      <c r="F206" s="66">
        <v>0</v>
      </c>
      <c r="G206" s="66">
        <v>0</v>
      </c>
      <c r="H206" s="66">
        <v>0</v>
      </c>
      <c r="I206" s="66">
        <v>0</v>
      </c>
      <c r="J206" s="66">
        <v>0</v>
      </c>
    </row>
    <row r="207" spans="2:10">
      <c r="B207" s="147" t="s">
        <v>337</v>
      </c>
      <c r="C207" s="129">
        <v>0</v>
      </c>
      <c r="D207" s="129">
        <v>0</v>
      </c>
      <c r="E207" s="129">
        <v>0</v>
      </c>
      <c r="F207" s="66">
        <v>0</v>
      </c>
      <c r="G207" s="66">
        <v>0</v>
      </c>
      <c r="H207" s="66">
        <v>0</v>
      </c>
      <c r="I207" s="66">
        <v>0</v>
      </c>
      <c r="J207" s="66">
        <v>0</v>
      </c>
    </row>
    <row r="208" spans="2:10">
      <c r="B208" s="147" t="s">
        <v>336</v>
      </c>
      <c r="C208" s="129">
        <v>0</v>
      </c>
      <c r="D208" s="129">
        <v>0</v>
      </c>
      <c r="E208" s="129">
        <v>0</v>
      </c>
      <c r="F208" s="66">
        <v>0</v>
      </c>
      <c r="G208" s="66">
        <v>0</v>
      </c>
      <c r="H208" s="66">
        <v>0</v>
      </c>
      <c r="I208" s="66">
        <v>0</v>
      </c>
      <c r="J208" s="66">
        <v>0</v>
      </c>
    </row>
    <row r="209" spans="2:10" ht="15" thickBot="1">
      <c r="B209" s="146" t="s">
        <v>335</v>
      </c>
      <c r="C209" s="129">
        <v>0</v>
      </c>
      <c r="D209" s="129">
        <v>0</v>
      </c>
      <c r="E209" s="129">
        <v>0</v>
      </c>
      <c r="F209" s="66">
        <v>0</v>
      </c>
      <c r="G209" s="66">
        <v>0</v>
      </c>
      <c r="H209" s="66">
        <v>0</v>
      </c>
      <c r="I209" s="66">
        <v>0</v>
      </c>
      <c r="J209" s="66">
        <v>0</v>
      </c>
    </row>
    <row r="210" spans="2:10" ht="15" thickTop="1">
      <c r="B210" s="2025" t="s">
        <v>479</v>
      </c>
      <c r="C210" s="2025"/>
      <c r="D210" s="2025"/>
      <c r="E210" s="2025"/>
      <c r="F210" s="2025"/>
      <c r="G210" s="2025"/>
      <c r="H210" s="2025"/>
      <c r="I210" s="2025"/>
      <c r="J210" s="2025"/>
    </row>
    <row r="211" spans="2:10">
      <c r="B211" s="64"/>
      <c r="C211" s="121"/>
      <c r="D211" s="121"/>
      <c r="E211" s="121"/>
      <c r="F211" s="121"/>
      <c r="G211" s="121"/>
      <c r="H211" s="121"/>
      <c r="I211" s="121"/>
      <c r="J211" s="121"/>
    </row>
    <row r="212" spans="2:10">
      <c r="B212" s="2024" t="s">
        <v>364</v>
      </c>
      <c r="C212" s="2024"/>
      <c r="D212" s="2024"/>
      <c r="E212" s="2024"/>
      <c r="F212" s="2024"/>
      <c r="G212" s="2024"/>
      <c r="H212" s="2024"/>
      <c r="I212" s="2024"/>
      <c r="J212" s="2024"/>
    </row>
    <row r="213" spans="2:10">
      <c r="B213" s="12" t="s">
        <v>363</v>
      </c>
      <c r="C213" s="121"/>
      <c r="D213" s="121"/>
      <c r="E213" s="121"/>
      <c r="F213" s="121"/>
      <c r="G213" s="121"/>
      <c r="H213" s="121"/>
      <c r="I213" s="121"/>
      <c r="J213" s="121"/>
    </row>
    <row r="214" spans="2:10">
      <c r="B214" s="62" t="s">
        <v>311</v>
      </c>
      <c r="C214" s="121"/>
      <c r="D214" s="121"/>
      <c r="E214" s="121"/>
      <c r="F214" s="121"/>
      <c r="G214" s="121"/>
      <c r="H214" s="121"/>
      <c r="I214" s="121"/>
      <c r="J214" s="121"/>
    </row>
    <row r="215" spans="2:10">
      <c r="B215" s="64"/>
      <c r="C215" s="121"/>
      <c r="D215" s="121"/>
      <c r="E215" s="121"/>
      <c r="F215" s="121"/>
      <c r="G215" s="121"/>
      <c r="H215" s="121"/>
      <c r="I215" s="121"/>
      <c r="J215" s="121"/>
    </row>
    <row r="216" spans="2:10">
      <c r="B216" s="61"/>
      <c r="C216" s="60">
        <v>2014</v>
      </c>
      <c r="D216" s="60">
        <v>2015</v>
      </c>
      <c r="E216" s="60">
        <v>2016</v>
      </c>
      <c r="F216" s="60">
        <v>2017</v>
      </c>
      <c r="G216" s="60">
        <v>2018</v>
      </c>
      <c r="H216" s="60">
        <v>2019</v>
      </c>
      <c r="I216" s="60">
        <v>2020</v>
      </c>
      <c r="J216" s="60">
        <v>2021</v>
      </c>
    </row>
    <row r="217" spans="2:10">
      <c r="B217" s="114" t="s">
        <v>362</v>
      </c>
      <c r="C217" s="66"/>
      <c r="D217" s="66"/>
      <c r="E217" s="66"/>
      <c r="F217" s="66"/>
      <c r="G217" s="66"/>
      <c r="H217" s="66"/>
      <c r="I217" s="66"/>
      <c r="J217" s="66"/>
    </row>
    <row r="218" spans="2:10">
      <c r="B218" s="54" t="s">
        <v>361</v>
      </c>
      <c r="C218" s="55">
        <v>118153.32078378313</v>
      </c>
      <c r="D218" s="55">
        <v>136087.62565934376</v>
      </c>
      <c r="E218" s="55">
        <v>170827.14125387615</v>
      </c>
      <c r="F218" s="55">
        <v>209380.21384543547</v>
      </c>
      <c r="G218" s="55">
        <v>194627.58327934745</v>
      </c>
      <c r="H218" s="55">
        <v>191520.34140252852</v>
      </c>
      <c r="I218" s="55">
        <v>196689.71867007672</v>
      </c>
      <c r="J218" s="55">
        <v>227520.37157757496</v>
      </c>
    </row>
    <row r="219" spans="2:10">
      <c r="B219" s="151" t="s">
        <v>360</v>
      </c>
      <c r="C219" s="55">
        <v>0</v>
      </c>
      <c r="D219" s="55">
        <v>0</v>
      </c>
      <c r="E219" s="55">
        <v>0</v>
      </c>
      <c r="F219" s="55">
        <v>0</v>
      </c>
      <c r="G219" s="55">
        <v>0</v>
      </c>
      <c r="H219" s="55">
        <v>0</v>
      </c>
      <c r="I219" s="55">
        <v>0</v>
      </c>
      <c r="J219" s="55">
        <v>0</v>
      </c>
    </row>
    <row r="220" spans="2:10">
      <c r="B220" s="151" t="s">
        <v>359</v>
      </c>
      <c r="C220" s="55">
        <v>118153.32078378313</v>
      </c>
      <c r="D220" s="55">
        <v>136087.62565934376</v>
      </c>
      <c r="E220" s="55">
        <v>170827.14125387615</v>
      </c>
      <c r="F220" s="55">
        <v>209380.21384543547</v>
      </c>
      <c r="G220" s="55">
        <v>194627.58327934745</v>
      </c>
      <c r="H220" s="55">
        <v>191520.34140252852</v>
      </c>
      <c r="I220" s="55">
        <v>196689.71867007672</v>
      </c>
      <c r="J220" s="55">
        <v>227520.37157757496</v>
      </c>
    </row>
    <row r="221" spans="2:10">
      <c r="B221" s="152" t="s">
        <v>358</v>
      </c>
      <c r="C221" s="55">
        <v>0</v>
      </c>
      <c r="D221" s="55">
        <v>0</v>
      </c>
      <c r="E221" s="55">
        <v>0</v>
      </c>
      <c r="F221" s="55">
        <v>0</v>
      </c>
      <c r="G221" s="55">
        <v>0</v>
      </c>
      <c r="H221" s="55">
        <v>0</v>
      </c>
      <c r="I221" s="55">
        <v>0</v>
      </c>
      <c r="J221" s="55">
        <v>0</v>
      </c>
    </row>
    <row r="222" spans="2:10">
      <c r="B222" s="71" t="s">
        <v>357</v>
      </c>
      <c r="C222" s="55">
        <v>33297.642415538154</v>
      </c>
      <c r="D222" s="55">
        <v>35686.354156813388</v>
      </c>
      <c r="E222" s="55">
        <v>40670.832185053492</v>
      </c>
      <c r="F222" s="55">
        <v>49686.744559175568</v>
      </c>
      <c r="G222" s="55">
        <v>59989.957344584676</v>
      </c>
      <c r="H222" s="55">
        <v>62293.809445976622</v>
      </c>
      <c r="I222" s="55">
        <v>68405.20716112532</v>
      </c>
      <c r="J222" s="55">
        <v>105910.10821382007</v>
      </c>
    </row>
    <row r="223" spans="2:10">
      <c r="B223" s="151" t="s">
        <v>356</v>
      </c>
      <c r="C223" s="55">
        <v>16370.277127238507</v>
      </c>
      <c r="D223" s="55">
        <v>17348.553880088468</v>
      </c>
      <c r="E223" s="55">
        <v>19872.461778901248</v>
      </c>
      <c r="F223" s="55">
        <v>25048.20394727448</v>
      </c>
      <c r="G223" s="55">
        <v>30893.808204406501</v>
      </c>
      <c r="H223" s="55">
        <v>33707.258260748531</v>
      </c>
      <c r="I223" s="55">
        <v>37939.372531969311</v>
      </c>
      <c r="J223" s="55">
        <v>67026.64145762712</v>
      </c>
    </row>
    <row r="224" spans="2:10">
      <c r="B224" s="151" t="s">
        <v>355</v>
      </c>
      <c r="C224" s="55">
        <v>0</v>
      </c>
      <c r="D224" s="55">
        <v>0</v>
      </c>
      <c r="E224" s="55">
        <v>0</v>
      </c>
      <c r="F224" s="55">
        <v>0</v>
      </c>
      <c r="G224" s="55">
        <v>0</v>
      </c>
      <c r="H224" s="55">
        <v>0</v>
      </c>
      <c r="I224" s="55">
        <v>0</v>
      </c>
      <c r="J224" s="55">
        <v>0</v>
      </c>
    </row>
    <row r="225" spans="2:10">
      <c r="B225" s="151" t="s">
        <v>354</v>
      </c>
      <c r="C225" s="55">
        <v>16927.365288299647</v>
      </c>
      <c r="D225" s="55">
        <v>18337.800276724916</v>
      </c>
      <c r="E225" s="55">
        <v>20798.370406152248</v>
      </c>
      <c r="F225" s="55">
        <v>24638.540611901088</v>
      </c>
      <c r="G225" s="55">
        <v>29096.149140178182</v>
      </c>
      <c r="H225" s="55">
        <v>28586.551185228094</v>
      </c>
      <c r="I225" s="55">
        <v>30465.83503836317</v>
      </c>
      <c r="J225" s="55">
        <v>38883.466753585395</v>
      </c>
    </row>
    <row r="226" spans="2:10">
      <c r="B226" s="71" t="s">
        <v>480</v>
      </c>
      <c r="C226" s="55">
        <v>0</v>
      </c>
      <c r="D226" s="55">
        <v>0</v>
      </c>
      <c r="E226" s="55">
        <v>0</v>
      </c>
      <c r="F226" s="55">
        <v>0</v>
      </c>
      <c r="G226" s="55">
        <v>0</v>
      </c>
      <c r="H226" s="55">
        <v>0</v>
      </c>
      <c r="I226" s="55">
        <v>0</v>
      </c>
      <c r="J226" s="55">
        <v>0</v>
      </c>
    </row>
    <row r="227" spans="2:10">
      <c r="B227" s="71" t="s">
        <v>483</v>
      </c>
      <c r="C227" s="55">
        <v>511086.03509901039</v>
      </c>
      <c r="D227" s="55">
        <v>562371.82808608806</v>
      </c>
      <c r="E227" s="55">
        <v>456441.21685136965</v>
      </c>
      <c r="F227" s="55">
        <v>442575.49531813926</v>
      </c>
      <c r="G227" s="55">
        <v>478331.79960399395</v>
      </c>
      <c r="H227" s="55">
        <v>399418.46871164953</v>
      </c>
      <c r="I227" s="55">
        <v>172471.96675191817</v>
      </c>
      <c r="J227" s="55">
        <v>141193.18644067796</v>
      </c>
    </row>
    <row r="228" spans="2:10">
      <c r="B228" s="150" t="s">
        <v>352</v>
      </c>
      <c r="C228" s="55">
        <v>511086.03509901039</v>
      </c>
      <c r="D228" s="55">
        <v>562371.82808608806</v>
      </c>
      <c r="E228" s="55">
        <v>456441.21685136965</v>
      </c>
      <c r="F228" s="55">
        <v>442575.49531813926</v>
      </c>
      <c r="G228" s="55">
        <v>478331.79960399395</v>
      </c>
      <c r="H228" s="55">
        <v>399418.46871164953</v>
      </c>
      <c r="I228" s="55">
        <v>172471.96675191817</v>
      </c>
      <c r="J228" s="55">
        <v>141193.18644067796</v>
      </c>
    </row>
    <row r="229" spans="2:10">
      <c r="B229" s="150" t="s">
        <v>351</v>
      </c>
      <c r="C229" s="55">
        <v>0</v>
      </c>
      <c r="D229" s="55">
        <v>0</v>
      </c>
      <c r="E229" s="55">
        <v>0</v>
      </c>
      <c r="F229" s="55">
        <v>0</v>
      </c>
      <c r="G229" s="55">
        <v>0</v>
      </c>
      <c r="H229" s="55">
        <v>0</v>
      </c>
      <c r="I229" s="55">
        <v>0</v>
      </c>
      <c r="J229" s="55">
        <v>0</v>
      </c>
    </row>
    <row r="230" spans="2:10">
      <c r="B230" s="54" t="s">
        <v>350</v>
      </c>
      <c r="C230" s="55">
        <v>0</v>
      </c>
      <c r="D230" s="55">
        <v>0</v>
      </c>
      <c r="E230" s="55">
        <v>0</v>
      </c>
      <c r="F230" s="55">
        <v>0</v>
      </c>
      <c r="G230" s="55">
        <v>0</v>
      </c>
      <c r="H230" s="55">
        <v>0</v>
      </c>
      <c r="I230" s="55">
        <v>0</v>
      </c>
      <c r="J230" s="55">
        <v>0</v>
      </c>
    </row>
    <row r="231" spans="2:10">
      <c r="B231" s="54"/>
      <c r="C231" s="55"/>
      <c r="D231" s="55"/>
      <c r="E231" s="55"/>
      <c r="F231" s="55"/>
      <c r="G231" s="55"/>
      <c r="H231" s="55"/>
      <c r="I231" s="55"/>
      <c r="J231" s="55"/>
    </row>
    <row r="232" spans="2:10">
      <c r="B232" s="54" t="s">
        <v>349</v>
      </c>
      <c r="C232" s="55">
        <f t="shared" ref="C232:J232" si="2">C218+C222+C227</f>
        <v>662536.99829833163</v>
      </c>
      <c r="D232" s="55">
        <f t="shared" si="2"/>
        <v>734145.8079022452</v>
      </c>
      <c r="E232" s="55">
        <f t="shared" si="2"/>
        <v>667939.19029029924</v>
      </c>
      <c r="F232" s="55">
        <f t="shared" si="2"/>
        <v>701642.4537227503</v>
      </c>
      <c r="G232" s="55">
        <f t="shared" si="2"/>
        <v>732949.34022792615</v>
      </c>
      <c r="H232" s="55">
        <f t="shared" si="2"/>
        <v>653232.61956015462</v>
      </c>
      <c r="I232" s="55">
        <f t="shared" si="2"/>
        <v>437566.89258312027</v>
      </c>
      <c r="J232" s="55">
        <f t="shared" si="2"/>
        <v>474623.66623207298</v>
      </c>
    </row>
    <row r="233" spans="2:10">
      <c r="B233" s="147" t="s">
        <v>348</v>
      </c>
      <c r="C233" s="55">
        <v>0</v>
      </c>
      <c r="D233" s="55">
        <v>0</v>
      </c>
      <c r="E233" s="55">
        <v>0</v>
      </c>
      <c r="F233" s="55">
        <v>0</v>
      </c>
      <c r="G233" s="55">
        <v>0</v>
      </c>
      <c r="H233" s="55">
        <v>0</v>
      </c>
      <c r="I233" s="55">
        <v>0</v>
      </c>
      <c r="J233" s="55">
        <v>0</v>
      </c>
    </row>
    <row r="234" spans="2:10">
      <c r="B234" s="147"/>
      <c r="C234" s="55"/>
      <c r="D234" s="55"/>
      <c r="E234" s="55"/>
      <c r="F234" s="55"/>
      <c r="G234" s="55"/>
      <c r="H234" s="55"/>
      <c r="I234" s="55"/>
      <c r="J234" s="55"/>
    </row>
    <row r="235" spans="2:10">
      <c r="B235" s="54" t="s">
        <v>347</v>
      </c>
      <c r="C235" s="55">
        <v>0</v>
      </c>
      <c r="D235" s="55">
        <v>0</v>
      </c>
      <c r="E235" s="55">
        <v>0</v>
      </c>
      <c r="F235" s="55">
        <v>0</v>
      </c>
      <c r="G235" s="55">
        <v>0</v>
      </c>
      <c r="H235" s="55">
        <v>0</v>
      </c>
      <c r="I235" s="55">
        <v>0</v>
      </c>
      <c r="J235" s="55">
        <v>0</v>
      </c>
    </row>
    <row r="236" spans="2:10">
      <c r="B236" s="54"/>
      <c r="C236" s="55"/>
      <c r="D236" s="55"/>
      <c r="E236" s="55"/>
      <c r="F236" s="55"/>
      <c r="G236" s="55"/>
      <c r="H236" s="55"/>
      <c r="I236" s="55"/>
      <c r="J236" s="55"/>
    </row>
    <row r="237" spans="2:10">
      <c r="B237" s="114" t="s">
        <v>346</v>
      </c>
      <c r="C237" s="55"/>
      <c r="D237" s="55"/>
      <c r="E237" s="55"/>
      <c r="F237" s="55"/>
      <c r="G237" s="55"/>
      <c r="H237" s="55"/>
      <c r="I237" s="55"/>
      <c r="J237" s="55"/>
    </row>
    <row r="238" spans="2:10">
      <c r="B238" s="54" t="s">
        <v>342</v>
      </c>
      <c r="C238" s="55">
        <v>43700.700478714345</v>
      </c>
      <c r="D238" s="55">
        <v>39673.070956165007</v>
      </c>
      <c r="E238" s="55">
        <v>41123.829547167064</v>
      </c>
      <c r="F238" s="55">
        <v>44071.20183457133</v>
      </c>
      <c r="G238" s="55">
        <v>46049.313638896587</v>
      </c>
      <c r="H238" s="55">
        <v>41649.050975689912</v>
      </c>
      <c r="I238" s="55">
        <v>32403.096347826089</v>
      </c>
      <c r="J238" s="55">
        <v>36534.259823989567</v>
      </c>
    </row>
    <row r="239" spans="2:10">
      <c r="B239" s="147" t="s">
        <v>341</v>
      </c>
      <c r="C239" s="55">
        <v>42257.945717754854</v>
      </c>
      <c r="D239" s="55">
        <v>38804.505624005535</v>
      </c>
      <c r="E239" s="55">
        <v>40433.86014558404</v>
      </c>
      <c r="F239" s="55">
        <v>43267.023803040931</v>
      </c>
      <c r="G239" s="55">
        <v>44969.555310961841</v>
      </c>
      <c r="H239" s="55">
        <v>40654.624656327425</v>
      </c>
      <c r="I239" s="55">
        <v>31810.711556265982</v>
      </c>
      <c r="J239" s="55">
        <v>35942.520954367668</v>
      </c>
    </row>
    <row r="240" spans="2:10">
      <c r="B240" s="147" t="s">
        <v>340</v>
      </c>
      <c r="C240" s="55">
        <v>1442.7547609594919</v>
      </c>
      <c r="D240" s="55">
        <v>868.56533215946831</v>
      </c>
      <c r="E240" s="55">
        <v>689.96940158302084</v>
      </c>
      <c r="F240" s="55">
        <v>804.17803153040506</v>
      </c>
      <c r="G240" s="55">
        <v>1079.7583279347446</v>
      </c>
      <c r="H240" s="55">
        <v>994.42631936251064</v>
      </c>
      <c r="I240" s="55">
        <v>592.38479156010226</v>
      </c>
      <c r="J240" s="55">
        <v>591.73886962190352</v>
      </c>
    </row>
    <row r="241" spans="2:10">
      <c r="B241" s="54" t="s">
        <v>339</v>
      </c>
      <c r="C241" s="102">
        <v>0</v>
      </c>
      <c r="D241" s="102">
        <v>0</v>
      </c>
      <c r="E241" s="102">
        <v>0</v>
      </c>
      <c r="F241" s="55">
        <v>0</v>
      </c>
      <c r="G241" s="55">
        <v>0</v>
      </c>
      <c r="H241" s="55">
        <v>0</v>
      </c>
      <c r="I241" s="55">
        <v>0</v>
      </c>
      <c r="J241" s="55">
        <v>0</v>
      </c>
    </row>
    <row r="242" spans="2:10">
      <c r="B242" s="54" t="s">
        <v>480</v>
      </c>
      <c r="C242" s="102">
        <v>0</v>
      </c>
      <c r="D242" s="102">
        <v>0</v>
      </c>
      <c r="E242" s="102">
        <v>0</v>
      </c>
      <c r="F242" s="55">
        <v>0</v>
      </c>
      <c r="G242" s="55">
        <v>0</v>
      </c>
      <c r="H242" s="55">
        <v>0</v>
      </c>
      <c r="I242" s="55">
        <v>0</v>
      </c>
      <c r="J242" s="55">
        <v>0</v>
      </c>
    </row>
    <row r="243" spans="2:10">
      <c r="B243" s="147" t="s">
        <v>337</v>
      </c>
      <c r="C243" s="102">
        <v>0</v>
      </c>
      <c r="D243" s="102">
        <v>0</v>
      </c>
      <c r="E243" s="102">
        <v>0</v>
      </c>
      <c r="F243" s="55">
        <v>0</v>
      </c>
      <c r="G243" s="55">
        <v>0</v>
      </c>
      <c r="H243" s="55">
        <v>0</v>
      </c>
      <c r="I243" s="55">
        <v>0</v>
      </c>
      <c r="J243" s="55">
        <v>0</v>
      </c>
    </row>
    <row r="244" spans="2:10">
      <c r="B244" s="147" t="s">
        <v>336</v>
      </c>
      <c r="C244" s="102">
        <v>0</v>
      </c>
      <c r="D244" s="102">
        <v>0</v>
      </c>
      <c r="E244" s="102">
        <v>0</v>
      </c>
      <c r="F244" s="55">
        <v>0</v>
      </c>
      <c r="G244" s="55">
        <v>0</v>
      </c>
      <c r="H244" s="55">
        <v>0</v>
      </c>
      <c r="I244" s="55">
        <v>0</v>
      </c>
      <c r="J244" s="55">
        <v>0</v>
      </c>
    </row>
    <row r="245" spans="2:10">
      <c r="B245" s="147" t="s">
        <v>335</v>
      </c>
      <c r="C245" s="102">
        <v>0</v>
      </c>
      <c r="D245" s="102">
        <v>0</v>
      </c>
      <c r="E245" s="102">
        <v>0</v>
      </c>
      <c r="F245" s="55">
        <v>0</v>
      </c>
      <c r="G245" s="55">
        <v>0</v>
      </c>
      <c r="H245" s="55">
        <v>0</v>
      </c>
      <c r="I245" s="55">
        <v>0</v>
      </c>
      <c r="J245" s="55">
        <v>0</v>
      </c>
    </row>
    <row r="246" spans="2:10">
      <c r="B246" s="147"/>
      <c r="C246" s="55"/>
      <c r="D246" s="55"/>
      <c r="E246" s="55"/>
      <c r="F246" s="55"/>
      <c r="G246" s="55"/>
      <c r="H246" s="55"/>
      <c r="I246" s="55"/>
      <c r="J246" s="55"/>
    </row>
    <row r="247" spans="2:10" ht="26">
      <c r="B247" s="148" t="s">
        <v>345</v>
      </c>
      <c r="C247" s="55"/>
      <c r="D247" s="55"/>
      <c r="E247" s="55"/>
      <c r="F247" s="55"/>
      <c r="G247" s="55"/>
      <c r="H247" s="55"/>
      <c r="I247" s="55"/>
      <c r="J247" s="55"/>
    </row>
    <row r="248" spans="2:10">
      <c r="B248" s="54" t="s">
        <v>342</v>
      </c>
      <c r="C248" s="102">
        <v>0</v>
      </c>
      <c r="D248" s="102">
        <v>0</v>
      </c>
      <c r="E248" s="102">
        <v>0</v>
      </c>
      <c r="F248" s="55">
        <v>0</v>
      </c>
      <c r="G248" s="55">
        <v>0</v>
      </c>
      <c r="H248" s="55">
        <v>0</v>
      </c>
      <c r="I248" s="55">
        <v>0</v>
      </c>
      <c r="J248" s="55">
        <v>0</v>
      </c>
    </row>
    <row r="249" spans="2:10">
      <c r="B249" s="147" t="s">
        <v>341</v>
      </c>
      <c r="C249" s="102">
        <v>0</v>
      </c>
      <c r="D249" s="102">
        <v>0</v>
      </c>
      <c r="E249" s="102">
        <v>0</v>
      </c>
      <c r="F249" s="55">
        <v>0</v>
      </c>
      <c r="G249" s="55">
        <v>0</v>
      </c>
      <c r="H249" s="55">
        <v>0</v>
      </c>
      <c r="I249" s="55">
        <v>0</v>
      </c>
      <c r="J249" s="55">
        <v>0</v>
      </c>
    </row>
    <row r="250" spans="2:10">
      <c r="B250" s="147" t="s">
        <v>340</v>
      </c>
      <c r="C250" s="102">
        <v>0</v>
      </c>
      <c r="D250" s="102">
        <v>0</v>
      </c>
      <c r="E250" s="102">
        <v>0</v>
      </c>
      <c r="F250" s="55">
        <v>0</v>
      </c>
      <c r="G250" s="55">
        <v>0</v>
      </c>
      <c r="H250" s="55">
        <v>0</v>
      </c>
      <c r="I250" s="55">
        <v>0</v>
      </c>
      <c r="J250" s="55">
        <v>0</v>
      </c>
    </row>
    <row r="251" spans="2:10">
      <c r="B251" s="54" t="s">
        <v>339</v>
      </c>
      <c r="C251" s="102">
        <v>0</v>
      </c>
      <c r="D251" s="102">
        <v>0</v>
      </c>
      <c r="E251" s="102">
        <v>0</v>
      </c>
      <c r="F251" s="55">
        <v>0</v>
      </c>
      <c r="G251" s="55">
        <v>0</v>
      </c>
      <c r="H251" s="55">
        <v>0</v>
      </c>
      <c r="I251" s="55">
        <v>0</v>
      </c>
      <c r="J251" s="55">
        <v>0</v>
      </c>
    </row>
    <row r="252" spans="2:10">
      <c r="B252" s="54" t="s">
        <v>338</v>
      </c>
      <c r="C252" s="102">
        <v>0</v>
      </c>
      <c r="D252" s="102">
        <v>0</v>
      </c>
      <c r="E252" s="102">
        <v>0</v>
      </c>
      <c r="F252" s="55">
        <v>0</v>
      </c>
      <c r="G252" s="55">
        <v>0</v>
      </c>
      <c r="H252" s="55">
        <v>0</v>
      </c>
      <c r="I252" s="55">
        <v>0</v>
      </c>
      <c r="J252" s="55">
        <v>0</v>
      </c>
    </row>
    <row r="253" spans="2:10">
      <c r="B253" s="147" t="s">
        <v>337</v>
      </c>
      <c r="C253" s="102">
        <v>0</v>
      </c>
      <c r="D253" s="102">
        <v>0</v>
      </c>
      <c r="E253" s="102">
        <v>0</v>
      </c>
      <c r="F253" s="55">
        <v>0</v>
      </c>
      <c r="G253" s="55">
        <v>0</v>
      </c>
      <c r="H253" s="55">
        <v>0</v>
      </c>
      <c r="I253" s="55">
        <v>0</v>
      </c>
      <c r="J253" s="55">
        <v>0</v>
      </c>
    </row>
    <row r="254" spans="2:10">
      <c r="B254" s="147" t="s">
        <v>336</v>
      </c>
      <c r="C254" s="102">
        <v>0</v>
      </c>
      <c r="D254" s="102">
        <v>0</v>
      </c>
      <c r="E254" s="102">
        <v>0</v>
      </c>
      <c r="F254" s="55">
        <v>0</v>
      </c>
      <c r="G254" s="55">
        <v>0</v>
      </c>
      <c r="H254" s="55">
        <v>0</v>
      </c>
      <c r="I254" s="55">
        <v>0</v>
      </c>
      <c r="J254" s="55">
        <v>0</v>
      </c>
    </row>
    <row r="255" spans="2:10">
      <c r="B255" s="147" t="s">
        <v>335</v>
      </c>
      <c r="C255" s="102">
        <v>0</v>
      </c>
      <c r="D255" s="102">
        <v>0</v>
      </c>
      <c r="E255" s="102">
        <v>0</v>
      </c>
      <c r="F255" s="55">
        <v>0</v>
      </c>
      <c r="G255" s="55">
        <v>0</v>
      </c>
      <c r="H255" s="55">
        <v>0</v>
      </c>
      <c r="I255" s="55">
        <v>0</v>
      </c>
      <c r="J255" s="55">
        <v>0</v>
      </c>
    </row>
    <row r="256" spans="2:10">
      <c r="B256" s="147"/>
      <c r="C256" s="55"/>
      <c r="D256" s="55"/>
      <c r="E256" s="55"/>
      <c r="F256" s="55"/>
      <c r="G256" s="55"/>
      <c r="H256" s="55"/>
      <c r="I256" s="55"/>
      <c r="J256" s="55"/>
    </row>
    <row r="257" spans="2:10" ht="26">
      <c r="B257" s="148" t="s">
        <v>344</v>
      </c>
      <c r="C257" s="55"/>
      <c r="D257" s="55"/>
      <c r="E257" s="55"/>
      <c r="F257" s="55"/>
      <c r="G257" s="55"/>
      <c r="H257" s="55"/>
      <c r="I257" s="55"/>
      <c r="J257" s="55"/>
    </row>
    <row r="258" spans="2:10">
      <c r="B258" s="54" t="s">
        <v>342</v>
      </c>
      <c r="C258" s="102">
        <v>0</v>
      </c>
      <c r="D258" s="102">
        <v>0</v>
      </c>
      <c r="E258" s="102">
        <v>0</v>
      </c>
      <c r="F258" s="55">
        <v>0</v>
      </c>
      <c r="G258" s="55">
        <v>0</v>
      </c>
      <c r="H258" s="55">
        <v>0</v>
      </c>
      <c r="I258" s="55">
        <v>0</v>
      </c>
      <c r="J258" s="55">
        <v>0</v>
      </c>
    </row>
    <row r="259" spans="2:10">
      <c r="B259" s="147" t="s">
        <v>341</v>
      </c>
      <c r="C259" s="102">
        <v>0</v>
      </c>
      <c r="D259" s="102">
        <v>0</v>
      </c>
      <c r="E259" s="102">
        <v>0</v>
      </c>
      <c r="F259" s="55">
        <v>0</v>
      </c>
      <c r="G259" s="55">
        <v>0</v>
      </c>
      <c r="H259" s="55">
        <v>0</v>
      </c>
      <c r="I259" s="55">
        <v>0</v>
      </c>
      <c r="J259" s="55">
        <v>0</v>
      </c>
    </row>
    <row r="260" spans="2:10">
      <c r="B260" s="147" t="s">
        <v>340</v>
      </c>
      <c r="C260" s="102">
        <v>0</v>
      </c>
      <c r="D260" s="102">
        <v>0</v>
      </c>
      <c r="E260" s="102">
        <v>0</v>
      </c>
      <c r="F260" s="55">
        <v>0</v>
      </c>
      <c r="G260" s="55">
        <v>0</v>
      </c>
      <c r="H260" s="55">
        <v>0</v>
      </c>
      <c r="I260" s="55">
        <v>0</v>
      </c>
      <c r="J260" s="55">
        <v>0</v>
      </c>
    </row>
    <row r="261" spans="2:10">
      <c r="B261" s="54" t="s">
        <v>339</v>
      </c>
      <c r="C261" s="102">
        <v>0</v>
      </c>
      <c r="D261" s="102">
        <v>0</v>
      </c>
      <c r="E261" s="102">
        <v>0</v>
      </c>
      <c r="F261" s="55">
        <v>0</v>
      </c>
      <c r="G261" s="55">
        <v>0</v>
      </c>
      <c r="H261" s="55">
        <v>0</v>
      </c>
      <c r="I261" s="55">
        <v>0</v>
      </c>
      <c r="J261" s="55">
        <v>0</v>
      </c>
    </row>
    <row r="262" spans="2:10">
      <c r="B262" s="54" t="s">
        <v>338</v>
      </c>
      <c r="C262" s="102">
        <v>0</v>
      </c>
      <c r="D262" s="102">
        <v>0</v>
      </c>
      <c r="E262" s="102">
        <v>0</v>
      </c>
      <c r="F262" s="55">
        <v>0</v>
      </c>
      <c r="G262" s="55">
        <v>0</v>
      </c>
      <c r="H262" s="55">
        <v>0</v>
      </c>
      <c r="I262" s="55">
        <v>0</v>
      </c>
      <c r="J262" s="55">
        <v>0</v>
      </c>
    </row>
    <row r="263" spans="2:10">
      <c r="B263" s="147" t="s">
        <v>337</v>
      </c>
      <c r="C263" s="102">
        <v>0</v>
      </c>
      <c r="D263" s="102">
        <v>0</v>
      </c>
      <c r="E263" s="102">
        <v>0</v>
      </c>
      <c r="F263" s="55">
        <v>0</v>
      </c>
      <c r="G263" s="55">
        <v>0</v>
      </c>
      <c r="H263" s="55">
        <v>0</v>
      </c>
      <c r="I263" s="55">
        <v>0</v>
      </c>
      <c r="J263" s="55">
        <v>0</v>
      </c>
    </row>
    <row r="264" spans="2:10">
      <c r="B264" s="147" t="s">
        <v>336</v>
      </c>
      <c r="C264" s="102">
        <v>0</v>
      </c>
      <c r="D264" s="102">
        <v>0</v>
      </c>
      <c r="E264" s="102">
        <v>0</v>
      </c>
      <c r="F264" s="55">
        <v>0</v>
      </c>
      <c r="G264" s="55">
        <v>0</v>
      </c>
      <c r="H264" s="55">
        <v>0</v>
      </c>
      <c r="I264" s="55">
        <v>0</v>
      </c>
      <c r="J264" s="55">
        <v>0</v>
      </c>
    </row>
    <row r="265" spans="2:10">
      <c r="B265" s="147" t="s">
        <v>335</v>
      </c>
      <c r="C265" s="102">
        <v>0</v>
      </c>
      <c r="D265" s="102">
        <v>0</v>
      </c>
      <c r="E265" s="102">
        <v>0</v>
      </c>
      <c r="F265" s="55">
        <v>0</v>
      </c>
      <c r="G265" s="55">
        <v>0</v>
      </c>
      <c r="H265" s="55">
        <v>0</v>
      </c>
      <c r="I265" s="55">
        <v>0</v>
      </c>
      <c r="J265" s="55">
        <v>0</v>
      </c>
    </row>
    <row r="266" spans="2:10">
      <c r="B266" s="147"/>
      <c r="C266" s="55"/>
      <c r="D266" s="55"/>
      <c r="E266" s="55"/>
      <c r="F266" s="55"/>
      <c r="G266" s="55"/>
      <c r="H266" s="55"/>
      <c r="I266" s="55"/>
      <c r="J266" s="55"/>
    </row>
    <row r="267" spans="2:10" ht="26">
      <c r="B267" s="148" t="s">
        <v>343</v>
      </c>
      <c r="C267" s="55"/>
      <c r="D267" s="55"/>
      <c r="E267" s="55"/>
      <c r="F267" s="55"/>
      <c r="G267" s="55"/>
      <c r="H267" s="55"/>
      <c r="I267" s="55"/>
      <c r="J267" s="55"/>
    </row>
    <row r="268" spans="2:10">
      <c r="B268" s="54" t="s">
        <v>342</v>
      </c>
      <c r="C268" s="102">
        <v>0</v>
      </c>
      <c r="D268" s="102">
        <v>0</v>
      </c>
      <c r="E268" s="102">
        <v>0</v>
      </c>
      <c r="F268" s="55">
        <v>0</v>
      </c>
      <c r="G268" s="55">
        <v>0</v>
      </c>
      <c r="H268" s="55">
        <v>0</v>
      </c>
      <c r="I268" s="55">
        <v>0</v>
      </c>
      <c r="J268" s="55">
        <v>0</v>
      </c>
    </row>
    <row r="269" spans="2:10">
      <c r="B269" s="147" t="s">
        <v>341</v>
      </c>
      <c r="C269" s="102">
        <v>0</v>
      </c>
      <c r="D269" s="102">
        <v>0</v>
      </c>
      <c r="E269" s="102">
        <v>0</v>
      </c>
      <c r="F269" s="55">
        <v>0</v>
      </c>
      <c r="G269" s="55">
        <v>0</v>
      </c>
      <c r="H269" s="55">
        <v>0</v>
      </c>
      <c r="I269" s="55">
        <v>0</v>
      </c>
      <c r="J269" s="55">
        <v>0</v>
      </c>
    </row>
    <row r="270" spans="2:10">
      <c r="B270" s="147" t="s">
        <v>340</v>
      </c>
      <c r="C270" s="102">
        <v>0</v>
      </c>
      <c r="D270" s="102">
        <v>0</v>
      </c>
      <c r="E270" s="102">
        <v>0</v>
      </c>
      <c r="F270" s="55">
        <v>0</v>
      </c>
      <c r="G270" s="55">
        <v>0</v>
      </c>
      <c r="H270" s="55">
        <v>0</v>
      </c>
      <c r="I270" s="55">
        <v>0</v>
      </c>
      <c r="J270" s="55">
        <v>0</v>
      </c>
    </row>
    <row r="271" spans="2:10">
      <c r="B271" s="54" t="s">
        <v>339</v>
      </c>
      <c r="C271" s="102">
        <v>0</v>
      </c>
      <c r="D271" s="102">
        <v>0</v>
      </c>
      <c r="E271" s="102">
        <v>0</v>
      </c>
      <c r="F271" s="55">
        <v>0</v>
      </c>
      <c r="G271" s="55">
        <v>0</v>
      </c>
      <c r="H271" s="55">
        <v>0</v>
      </c>
      <c r="I271" s="55">
        <v>0</v>
      </c>
      <c r="J271" s="55">
        <v>0</v>
      </c>
    </row>
    <row r="272" spans="2:10">
      <c r="B272" s="54" t="s">
        <v>338</v>
      </c>
      <c r="C272" s="102">
        <v>0</v>
      </c>
      <c r="D272" s="102">
        <v>0</v>
      </c>
      <c r="E272" s="102">
        <v>0</v>
      </c>
      <c r="F272" s="55">
        <v>0</v>
      </c>
      <c r="G272" s="55">
        <v>0</v>
      </c>
      <c r="H272" s="55">
        <v>0</v>
      </c>
      <c r="I272" s="55">
        <v>0</v>
      </c>
      <c r="J272" s="55">
        <v>0</v>
      </c>
    </row>
    <row r="273" spans="2:10">
      <c r="B273" s="147" t="s">
        <v>337</v>
      </c>
      <c r="C273" s="102">
        <v>0</v>
      </c>
      <c r="D273" s="102">
        <v>0</v>
      </c>
      <c r="E273" s="102">
        <v>0</v>
      </c>
      <c r="F273" s="55">
        <v>0</v>
      </c>
      <c r="G273" s="55">
        <v>0</v>
      </c>
      <c r="H273" s="55">
        <v>0</v>
      </c>
      <c r="I273" s="55">
        <v>0</v>
      </c>
      <c r="J273" s="55">
        <v>0</v>
      </c>
    </row>
    <row r="274" spans="2:10">
      <c r="B274" s="147" t="s">
        <v>336</v>
      </c>
      <c r="C274" s="102">
        <v>0</v>
      </c>
      <c r="D274" s="102">
        <v>0</v>
      </c>
      <c r="E274" s="102">
        <v>0</v>
      </c>
      <c r="F274" s="55">
        <v>0</v>
      </c>
      <c r="G274" s="55">
        <v>0</v>
      </c>
      <c r="H274" s="55">
        <v>0</v>
      </c>
      <c r="I274" s="55">
        <v>0</v>
      </c>
      <c r="J274" s="55">
        <v>0</v>
      </c>
    </row>
    <row r="275" spans="2:10" ht="15" thickBot="1">
      <c r="B275" s="146" t="s">
        <v>335</v>
      </c>
      <c r="C275" s="102">
        <v>0</v>
      </c>
      <c r="D275" s="102">
        <v>0</v>
      </c>
      <c r="E275" s="102">
        <v>0</v>
      </c>
      <c r="F275" s="55">
        <v>0</v>
      </c>
      <c r="G275" s="55">
        <v>0</v>
      </c>
      <c r="H275" s="55">
        <v>0</v>
      </c>
      <c r="I275" s="55">
        <v>0</v>
      </c>
      <c r="J275" s="55">
        <v>0</v>
      </c>
    </row>
    <row r="276" spans="2:10" ht="15" thickTop="1">
      <c r="B276" s="2025" t="s">
        <v>479</v>
      </c>
      <c r="C276" s="2025"/>
      <c r="D276" s="2025"/>
      <c r="E276" s="2025"/>
      <c r="F276" s="2025"/>
      <c r="G276" s="2025"/>
      <c r="H276" s="2025"/>
      <c r="I276" s="2025"/>
      <c r="J276" s="2025"/>
    </row>
    <row r="277" spans="2:10">
      <c r="B277" s="64"/>
      <c r="C277" s="121"/>
      <c r="D277" s="121"/>
      <c r="E277" s="121"/>
      <c r="F277" s="121"/>
      <c r="G277" s="121"/>
      <c r="H277" s="121"/>
      <c r="I277" s="121"/>
      <c r="J277" s="121"/>
    </row>
    <row r="278" spans="2:10">
      <c r="B278" s="2024" t="s">
        <v>333</v>
      </c>
      <c r="C278" s="2024"/>
      <c r="D278" s="2024"/>
      <c r="E278" s="2024"/>
      <c r="F278" s="2024"/>
      <c r="G278" s="2024"/>
      <c r="H278" s="2024"/>
      <c r="I278" s="2024"/>
      <c r="J278" s="2024"/>
    </row>
    <row r="279" spans="2:10">
      <c r="B279" s="12" t="s">
        <v>332</v>
      </c>
      <c r="C279" s="121"/>
      <c r="D279" s="121"/>
      <c r="E279" s="121"/>
      <c r="F279" s="121"/>
      <c r="G279" s="121"/>
      <c r="H279" s="121"/>
      <c r="I279" s="121"/>
      <c r="J279" s="121"/>
    </row>
    <row r="280" spans="2:10">
      <c r="B280" s="62" t="s">
        <v>269</v>
      </c>
      <c r="C280" s="121"/>
      <c r="D280" s="121"/>
      <c r="E280" s="121"/>
      <c r="F280" s="121"/>
      <c r="G280" s="121"/>
      <c r="H280" s="121"/>
      <c r="I280" s="121"/>
      <c r="J280" s="121"/>
    </row>
    <row r="281" spans="2:10">
      <c r="B281" s="64"/>
      <c r="C281" s="121"/>
      <c r="D281" s="121"/>
      <c r="E281" s="121"/>
      <c r="F281" s="121"/>
      <c r="G281" s="121"/>
      <c r="H281" s="121"/>
      <c r="I281" s="121"/>
      <c r="J281" s="121"/>
    </row>
    <row r="282" spans="2:10">
      <c r="B282" s="61"/>
      <c r="C282" s="60">
        <v>2014</v>
      </c>
      <c r="D282" s="60">
        <v>2015</v>
      </c>
      <c r="E282" s="60">
        <v>2016</v>
      </c>
      <c r="F282" s="60">
        <v>2017</v>
      </c>
      <c r="G282" s="60">
        <v>2018</v>
      </c>
      <c r="H282" s="60">
        <v>2019</v>
      </c>
      <c r="I282" s="60">
        <v>2020</v>
      </c>
      <c r="J282" s="60">
        <v>2021</v>
      </c>
    </row>
    <row r="283" spans="2:10">
      <c r="B283" s="114" t="s">
        <v>310</v>
      </c>
      <c r="C283" s="121"/>
      <c r="D283" s="121"/>
      <c r="E283" s="121"/>
      <c r="F283" s="121"/>
      <c r="G283" s="121"/>
      <c r="H283" s="121"/>
      <c r="I283" s="121"/>
      <c r="J283" s="121"/>
    </row>
    <row r="284" spans="2:10">
      <c r="B284" s="114"/>
      <c r="C284" s="121"/>
      <c r="D284" s="121"/>
      <c r="E284" s="121"/>
      <c r="F284" s="121"/>
      <c r="G284" s="121"/>
      <c r="H284" s="121"/>
      <c r="I284" s="121"/>
      <c r="J284" s="121"/>
    </row>
    <row r="285" spans="2:10">
      <c r="B285" s="211" t="s">
        <v>94</v>
      </c>
      <c r="C285" s="121"/>
      <c r="D285" s="121"/>
      <c r="E285" s="121"/>
      <c r="F285" s="121"/>
      <c r="G285" s="121"/>
      <c r="H285" s="121"/>
      <c r="I285" s="121"/>
      <c r="J285" s="121"/>
    </row>
    <row r="286" spans="2:10">
      <c r="B286" s="71" t="s">
        <v>331</v>
      </c>
      <c r="C286" s="75">
        <v>25</v>
      </c>
      <c r="D286" s="75">
        <v>27</v>
      </c>
      <c r="E286" s="75">
        <v>26</v>
      </c>
      <c r="F286" s="75">
        <v>23</v>
      </c>
      <c r="G286" s="75">
        <v>22</v>
      </c>
      <c r="H286" s="75">
        <v>21</v>
      </c>
      <c r="I286" s="75">
        <v>21</v>
      </c>
      <c r="J286" s="75">
        <v>21</v>
      </c>
    </row>
    <row r="287" spans="2:10">
      <c r="B287" s="133" t="s">
        <v>330</v>
      </c>
      <c r="C287" s="75">
        <v>25</v>
      </c>
      <c r="D287" s="75">
        <v>27</v>
      </c>
      <c r="E287" s="75">
        <v>26</v>
      </c>
      <c r="F287" s="75">
        <v>23</v>
      </c>
      <c r="G287" s="75">
        <v>22</v>
      </c>
      <c r="H287" s="75">
        <v>21</v>
      </c>
      <c r="I287" s="75">
        <v>21</v>
      </c>
      <c r="J287" s="75">
        <v>21</v>
      </c>
    </row>
    <row r="288" spans="2:10">
      <c r="B288" s="52" t="s">
        <v>260</v>
      </c>
      <c r="C288" s="75">
        <v>23</v>
      </c>
      <c r="D288" s="75">
        <v>24</v>
      </c>
      <c r="E288" s="75">
        <v>23</v>
      </c>
      <c r="F288" s="75">
        <v>20</v>
      </c>
      <c r="G288" s="75">
        <v>19</v>
      </c>
      <c r="H288" s="75">
        <v>18</v>
      </c>
      <c r="I288" s="75">
        <v>18</v>
      </c>
      <c r="J288" s="75">
        <v>18</v>
      </c>
    </row>
    <row r="289" spans="2:10">
      <c r="B289" s="52" t="s">
        <v>329</v>
      </c>
      <c r="C289" s="75">
        <v>1</v>
      </c>
      <c r="D289" s="75">
        <v>1</v>
      </c>
      <c r="E289" s="75">
        <v>1</v>
      </c>
      <c r="F289" s="75">
        <v>1</v>
      </c>
      <c r="G289" s="75">
        <v>1</v>
      </c>
      <c r="H289" s="75">
        <v>1</v>
      </c>
      <c r="I289" s="75">
        <v>1</v>
      </c>
      <c r="J289" s="75">
        <v>1</v>
      </c>
    </row>
    <row r="290" spans="2:10">
      <c r="B290" s="52" t="s">
        <v>328</v>
      </c>
      <c r="C290" s="75">
        <v>1</v>
      </c>
      <c r="D290" s="75">
        <v>2</v>
      </c>
      <c r="E290" s="75">
        <v>2</v>
      </c>
      <c r="F290" s="75">
        <v>2</v>
      </c>
      <c r="G290" s="75">
        <v>2</v>
      </c>
      <c r="H290" s="75">
        <v>2</v>
      </c>
      <c r="I290" s="75">
        <v>2</v>
      </c>
      <c r="J290" s="75">
        <v>2</v>
      </c>
    </row>
    <row r="291" spans="2:10">
      <c r="B291" s="136" t="s">
        <v>327</v>
      </c>
      <c r="C291" s="75">
        <v>0</v>
      </c>
      <c r="D291" s="75">
        <v>0</v>
      </c>
      <c r="E291" s="75">
        <v>0</v>
      </c>
      <c r="F291" s="75">
        <v>0</v>
      </c>
      <c r="G291" s="75">
        <v>0</v>
      </c>
      <c r="H291" s="75">
        <v>0</v>
      </c>
      <c r="I291" s="75">
        <v>0</v>
      </c>
      <c r="J291" s="75">
        <v>0</v>
      </c>
    </row>
    <row r="292" spans="2:10">
      <c r="B292" s="136" t="s">
        <v>326</v>
      </c>
      <c r="C292" s="75">
        <v>0</v>
      </c>
      <c r="D292" s="75">
        <v>0</v>
      </c>
      <c r="E292" s="75">
        <v>0</v>
      </c>
      <c r="F292" s="75">
        <v>0</v>
      </c>
      <c r="G292" s="75">
        <v>0</v>
      </c>
      <c r="H292" s="75">
        <v>0</v>
      </c>
      <c r="I292" s="75">
        <v>0</v>
      </c>
      <c r="J292" s="75">
        <v>0</v>
      </c>
    </row>
    <row r="293" spans="2:10">
      <c r="B293" s="136" t="s">
        <v>325</v>
      </c>
      <c r="C293" s="75">
        <v>1</v>
      </c>
      <c r="D293" s="75">
        <v>2</v>
      </c>
      <c r="E293" s="75">
        <v>2</v>
      </c>
      <c r="F293" s="75">
        <v>2</v>
      </c>
      <c r="G293" s="75">
        <v>2</v>
      </c>
      <c r="H293" s="75">
        <v>2</v>
      </c>
      <c r="I293" s="75">
        <v>2</v>
      </c>
      <c r="J293" s="75">
        <v>2</v>
      </c>
    </row>
    <row r="294" spans="2:10">
      <c r="B294" s="136" t="s">
        <v>323</v>
      </c>
      <c r="C294" s="75">
        <v>0</v>
      </c>
      <c r="D294" s="75">
        <v>0</v>
      </c>
      <c r="E294" s="75">
        <v>0</v>
      </c>
      <c r="F294" s="75">
        <v>0</v>
      </c>
      <c r="G294" s="75">
        <v>0</v>
      </c>
      <c r="H294" s="75">
        <v>0</v>
      </c>
      <c r="I294" s="75">
        <v>0</v>
      </c>
      <c r="J294" s="75">
        <v>0</v>
      </c>
    </row>
    <row r="295" spans="2:10">
      <c r="B295" s="136" t="s">
        <v>117</v>
      </c>
      <c r="C295" s="75">
        <v>0</v>
      </c>
      <c r="D295" s="75">
        <v>0</v>
      </c>
      <c r="E295" s="75">
        <v>0</v>
      </c>
      <c r="F295" s="75">
        <v>0</v>
      </c>
      <c r="G295" s="75">
        <v>0</v>
      </c>
      <c r="H295" s="75">
        <v>0</v>
      </c>
      <c r="I295" s="75">
        <v>0</v>
      </c>
      <c r="J295" s="75">
        <v>0</v>
      </c>
    </row>
    <row r="296" spans="2:10">
      <c r="B296" s="133" t="s">
        <v>322</v>
      </c>
      <c r="C296" s="75">
        <v>0</v>
      </c>
      <c r="D296" s="75">
        <v>0</v>
      </c>
      <c r="E296" s="75">
        <v>0</v>
      </c>
      <c r="F296" s="75">
        <v>0</v>
      </c>
      <c r="G296" s="75">
        <v>0</v>
      </c>
      <c r="H296" s="75">
        <v>0</v>
      </c>
      <c r="I296" s="75">
        <v>0</v>
      </c>
      <c r="J296" s="75">
        <v>0</v>
      </c>
    </row>
    <row r="297" spans="2:10">
      <c r="B297" s="133"/>
      <c r="C297" s="3"/>
      <c r="D297" s="3"/>
      <c r="E297" s="3"/>
      <c r="F297" s="3"/>
      <c r="G297" s="3"/>
      <c r="H297" s="3"/>
      <c r="I297" s="3"/>
      <c r="J297" s="3"/>
    </row>
    <row r="298" spans="2:10">
      <c r="B298" s="211" t="s">
        <v>484</v>
      </c>
      <c r="C298" s="3"/>
      <c r="D298" s="3"/>
      <c r="E298" s="3"/>
      <c r="F298" s="3"/>
      <c r="G298" s="3"/>
      <c r="H298" s="3"/>
      <c r="I298" s="3"/>
      <c r="J298" s="3"/>
    </row>
    <row r="299" spans="2:10">
      <c r="B299" s="71" t="s">
        <v>331</v>
      </c>
      <c r="C299" s="3">
        <v>21</v>
      </c>
      <c r="D299" s="3">
        <v>21</v>
      </c>
      <c r="E299" s="3">
        <v>17</v>
      </c>
      <c r="F299" s="3">
        <v>17</v>
      </c>
      <c r="G299" s="3">
        <v>16</v>
      </c>
      <c r="H299" s="3">
        <v>16</v>
      </c>
      <c r="I299" s="3">
        <v>16</v>
      </c>
      <c r="J299" s="3">
        <v>16</v>
      </c>
    </row>
    <row r="300" spans="2:10">
      <c r="B300" s="133" t="s">
        <v>330</v>
      </c>
      <c r="C300" s="3">
        <v>21</v>
      </c>
      <c r="D300" s="3">
        <v>21</v>
      </c>
      <c r="E300" s="3">
        <v>17</v>
      </c>
      <c r="F300" s="3">
        <v>17</v>
      </c>
      <c r="G300" s="3">
        <v>16</v>
      </c>
      <c r="H300" s="3">
        <v>16</v>
      </c>
      <c r="I300" s="3">
        <v>16</v>
      </c>
      <c r="J300" s="3">
        <v>16</v>
      </c>
    </row>
    <row r="301" spans="2:10">
      <c r="B301" s="52" t="s">
        <v>260</v>
      </c>
      <c r="C301" s="3">
        <v>20</v>
      </c>
      <c r="D301" s="3">
        <v>20</v>
      </c>
      <c r="E301" s="3">
        <v>16</v>
      </c>
      <c r="F301" s="3">
        <v>16</v>
      </c>
      <c r="G301" s="3">
        <v>15</v>
      </c>
      <c r="H301" s="3">
        <v>15</v>
      </c>
      <c r="I301" s="3">
        <v>15</v>
      </c>
      <c r="J301" s="3">
        <v>15</v>
      </c>
    </row>
    <row r="302" spans="2:10">
      <c r="B302" s="52" t="s">
        <v>329</v>
      </c>
      <c r="C302" s="3">
        <v>1</v>
      </c>
      <c r="D302" s="3">
        <v>1</v>
      </c>
      <c r="E302" s="3">
        <v>1</v>
      </c>
      <c r="F302" s="3">
        <v>1</v>
      </c>
      <c r="G302" s="3">
        <v>1</v>
      </c>
      <c r="H302" s="3">
        <v>1</v>
      </c>
      <c r="I302" s="3">
        <v>1</v>
      </c>
      <c r="J302" s="3">
        <v>1</v>
      </c>
    </row>
    <row r="303" spans="2:10">
      <c r="B303" s="52" t="s">
        <v>328</v>
      </c>
      <c r="C303" s="3">
        <v>0</v>
      </c>
      <c r="D303" s="3">
        <v>0</v>
      </c>
      <c r="E303" s="3">
        <v>0</v>
      </c>
      <c r="F303" s="3">
        <v>0</v>
      </c>
      <c r="G303" s="3">
        <v>0</v>
      </c>
      <c r="H303" s="3">
        <v>0</v>
      </c>
      <c r="I303" s="3">
        <v>0</v>
      </c>
      <c r="J303" s="3">
        <v>0</v>
      </c>
    </row>
    <row r="304" spans="2:10">
      <c r="B304" s="136" t="s">
        <v>327</v>
      </c>
      <c r="C304" s="3">
        <v>0</v>
      </c>
      <c r="D304" s="3">
        <v>0</v>
      </c>
      <c r="E304" s="3">
        <v>0</v>
      </c>
      <c r="F304" s="3">
        <v>0</v>
      </c>
      <c r="G304" s="3">
        <v>0</v>
      </c>
      <c r="H304" s="3">
        <v>0</v>
      </c>
      <c r="I304" s="3">
        <v>0</v>
      </c>
      <c r="J304" s="3">
        <v>0</v>
      </c>
    </row>
    <row r="305" spans="2:10">
      <c r="B305" s="136" t="s">
        <v>326</v>
      </c>
      <c r="C305" s="3">
        <v>0</v>
      </c>
      <c r="D305" s="3">
        <v>0</v>
      </c>
      <c r="E305" s="3">
        <v>0</v>
      </c>
      <c r="F305" s="3">
        <v>0</v>
      </c>
      <c r="G305" s="3">
        <v>0</v>
      </c>
      <c r="H305" s="3">
        <v>0</v>
      </c>
      <c r="I305" s="3">
        <v>0</v>
      </c>
      <c r="J305" s="3">
        <v>0</v>
      </c>
    </row>
    <row r="306" spans="2:10">
      <c r="B306" s="136" t="s">
        <v>325</v>
      </c>
      <c r="C306" s="3">
        <v>0</v>
      </c>
      <c r="D306" s="3">
        <v>0</v>
      </c>
      <c r="E306" s="3">
        <v>0</v>
      </c>
      <c r="F306" s="3">
        <v>0</v>
      </c>
      <c r="G306" s="3">
        <v>0</v>
      </c>
      <c r="H306" s="3">
        <v>0</v>
      </c>
      <c r="I306" s="3">
        <v>0</v>
      </c>
      <c r="J306" s="3">
        <v>0</v>
      </c>
    </row>
    <row r="307" spans="2:10">
      <c r="B307" s="136" t="s">
        <v>323</v>
      </c>
      <c r="C307" s="3">
        <v>0</v>
      </c>
      <c r="D307" s="3">
        <v>0</v>
      </c>
      <c r="E307" s="3">
        <v>0</v>
      </c>
      <c r="F307" s="3">
        <v>0</v>
      </c>
      <c r="G307" s="3">
        <v>0</v>
      </c>
      <c r="H307" s="3">
        <v>0</v>
      </c>
      <c r="I307" s="3">
        <v>0</v>
      </c>
      <c r="J307" s="3">
        <v>0</v>
      </c>
    </row>
    <row r="308" spans="2:10">
      <c r="B308" s="136" t="s">
        <v>117</v>
      </c>
      <c r="C308" s="3">
        <v>0</v>
      </c>
      <c r="D308" s="3">
        <v>0</v>
      </c>
      <c r="E308" s="3">
        <v>0</v>
      </c>
      <c r="F308" s="3">
        <v>0</v>
      </c>
      <c r="G308" s="3">
        <v>0</v>
      </c>
      <c r="H308" s="3">
        <v>0</v>
      </c>
      <c r="I308" s="3">
        <v>0</v>
      </c>
      <c r="J308" s="3">
        <v>0</v>
      </c>
    </row>
    <row r="309" spans="2:10">
      <c r="B309" s="133" t="s">
        <v>322</v>
      </c>
      <c r="C309" s="3">
        <v>0</v>
      </c>
      <c r="D309" s="3">
        <v>0</v>
      </c>
      <c r="E309" s="3">
        <v>0</v>
      </c>
      <c r="F309" s="3">
        <v>0</v>
      </c>
      <c r="G309" s="3">
        <v>0</v>
      </c>
      <c r="H309" s="3">
        <v>0</v>
      </c>
      <c r="I309" s="3">
        <v>0</v>
      </c>
      <c r="J309" s="3">
        <v>0</v>
      </c>
    </row>
    <row r="310" spans="2:10">
      <c r="B310" s="133"/>
      <c r="C310" s="3"/>
      <c r="D310" s="3"/>
      <c r="E310" s="3"/>
      <c r="F310" s="3"/>
      <c r="G310" s="3"/>
      <c r="H310" s="3"/>
      <c r="I310" s="3"/>
      <c r="J310" s="3"/>
    </row>
    <row r="311" spans="2:10">
      <c r="B311" s="212" t="s">
        <v>485</v>
      </c>
      <c r="C311" s="3"/>
      <c r="D311" s="3"/>
      <c r="E311" s="3"/>
      <c r="F311" s="3"/>
      <c r="G311" s="3"/>
      <c r="H311" s="3"/>
      <c r="I311" s="3"/>
      <c r="J311" s="3"/>
    </row>
    <row r="312" spans="2:10">
      <c r="B312" s="133"/>
      <c r="C312" s="3"/>
      <c r="D312" s="3"/>
      <c r="E312" s="3"/>
      <c r="F312" s="3"/>
      <c r="G312" s="3"/>
      <c r="H312" s="3"/>
      <c r="I312" s="3"/>
      <c r="J312" s="3"/>
    </row>
    <row r="313" spans="2:10">
      <c r="B313" s="211" t="s">
        <v>486</v>
      </c>
      <c r="C313" s="3"/>
      <c r="D313" s="3"/>
      <c r="E313" s="3"/>
      <c r="F313" s="3"/>
      <c r="G313" s="3"/>
      <c r="H313" s="3"/>
      <c r="I313" s="3"/>
      <c r="J313" s="3"/>
    </row>
    <row r="314" spans="2:10">
      <c r="B314" s="71" t="s">
        <v>331</v>
      </c>
      <c r="C314" s="75">
        <v>0</v>
      </c>
      <c r="D314" s="75">
        <v>0</v>
      </c>
      <c r="E314" s="75">
        <v>0</v>
      </c>
      <c r="F314" s="75">
        <v>0</v>
      </c>
      <c r="G314" s="75">
        <v>0</v>
      </c>
      <c r="H314" s="75">
        <v>0</v>
      </c>
      <c r="I314" s="75">
        <v>0</v>
      </c>
      <c r="J314" s="75">
        <v>0</v>
      </c>
    </row>
    <row r="315" spans="2:10">
      <c r="B315" s="133" t="s">
        <v>330</v>
      </c>
      <c r="C315" s="75">
        <v>0</v>
      </c>
      <c r="D315" s="75">
        <v>0</v>
      </c>
      <c r="E315" s="75">
        <v>0</v>
      </c>
      <c r="F315" s="75">
        <v>0</v>
      </c>
      <c r="G315" s="75">
        <v>0</v>
      </c>
      <c r="H315" s="75">
        <v>0</v>
      </c>
      <c r="I315" s="75">
        <v>0</v>
      </c>
      <c r="J315" s="75">
        <v>0</v>
      </c>
    </row>
    <row r="316" spans="2:10">
      <c r="B316" s="52" t="s">
        <v>260</v>
      </c>
      <c r="C316" s="75">
        <v>0</v>
      </c>
      <c r="D316" s="75">
        <v>0</v>
      </c>
      <c r="E316" s="75">
        <v>0</v>
      </c>
      <c r="F316" s="75">
        <v>0</v>
      </c>
      <c r="G316" s="75">
        <v>0</v>
      </c>
      <c r="H316" s="75">
        <v>0</v>
      </c>
      <c r="I316" s="75">
        <v>0</v>
      </c>
      <c r="J316" s="75">
        <v>0</v>
      </c>
    </row>
    <row r="317" spans="2:10">
      <c r="B317" s="52" t="s">
        <v>329</v>
      </c>
      <c r="C317" s="75">
        <v>0</v>
      </c>
      <c r="D317" s="75">
        <v>0</v>
      </c>
      <c r="E317" s="75">
        <v>0</v>
      </c>
      <c r="F317" s="75">
        <v>0</v>
      </c>
      <c r="G317" s="75">
        <v>0</v>
      </c>
      <c r="H317" s="75">
        <v>0</v>
      </c>
      <c r="I317" s="75">
        <v>0</v>
      </c>
      <c r="J317" s="75">
        <v>0</v>
      </c>
    </row>
    <row r="318" spans="2:10">
      <c r="B318" s="52" t="s">
        <v>328</v>
      </c>
      <c r="C318" s="75">
        <v>0</v>
      </c>
      <c r="D318" s="75">
        <v>0</v>
      </c>
      <c r="E318" s="75">
        <v>0</v>
      </c>
      <c r="F318" s="75">
        <v>0</v>
      </c>
      <c r="G318" s="75">
        <v>0</v>
      </c>
      <c r="H318" s="75">
        <v>0</v>
      </c>
      <c r="I318" s="75">
        <v>0</v>
      </c>
      <c r="J318" s="75">
        <v>0</v>
      </c>
    </row>
    <row r="319" spans="2:10">
      <c r="B319" s="136" t="s">
        <v>327</v>
      </c>
      <c r="C319" s="75">
        <v>0</v>
      </c>
      <c r="D319" s="75">
        <v>0</v>
      </c>
      <c r="E319" s="75">
        <v>0</v>
      </c>
      <c r="F319" s="75">
        <v>0</v>
      </c>
      <c r="G319" s="75">
        <v>0</v>
      </c>
      <c r="H319" s="75">
        <v>0</v>
      </c>
      <c r="I319" s="75">
        <v>0</v>
      </c>
      <c r="J319" s="75">
        <v>0</v>
      </c>
    </row>
    <row r="320" spans="2:10">
      <c r="B320" s="136" t="s">
        <v>326</v>
      </c>
      <c r="C320" s="75">
        <v>0</v>
      </c>
      <c r="D320" s="75">
        <v>0</v>
      </c>
      <c r="E320" s="75">
        <v>0</v>
      </c>
      <c r="F320" s="75">
        <v>0</v>
      </c>
      <c r="G320" s="75">
        <v>0</v>
      </c>
      <c r="H320" s="75">
        <v>0</v>
      </c>
      <c r="I320" s="75">
        <v>0</v>
      </c>
      <c r="J320" s="75">
        <v>0</v>
      </c>
    </row>
    <row r="321" spans="2:10">
      <c r="B321" s="136" t="s">
        <v>325</v>
      </c>
      <c r="C321" s="75">
        <v>0</v>
      </c>
      <c r="D321" s="75">
        <v>0</v>
      </c>
      <c r="E321" s="75">
        <v>0</v>
      </c>
      <c r="F321" s="75">
        <v>0</v>
      </c>
      <c r="G321" s="75">
        <v>0</v>
      </c>
      <c r="H321" s="75">
        <v>0</v>
      </c>
      <c r="I321" s="75">
        <v>0</v>
      </c>
      <c r="J321" s="75">
        <v>0</v>
      </c>
    </row>
    <row r="322" spans="2:10">
      <c r="B322" s="136" t="s">
        <v>323</v>
      </c>
      <c r="C322" s="75">
        <v>0</v>
      </c>
      <c r="D322" s="75">
        <v>0</v>
      </c>
      <c r="E322" s="75">
        <v>0</v>
      </c>
      <c r="F322" s="75">
        <v>0</v>
      </c>
      <c r="G322" s="75">
        <v>0</v>
      </c>
      <c r="H322" s="75">
        <v>0</v>
      </c>
      <c r="I322" s="75">
        <v>0</v>
      </c>
      <c r="J322" s="75">
        <v>0</v>
      </c>
    </row>
    <row r="323" spans="2:10">
      <c r="B323" s="136" t="s">
        <v>117</v>
      </c>
      <c r="C323" s="75">
        <v>0</v>
      </c>
      <c r="D323" s="75">
        <v>0</v>
      </c>
      <c r="E323" s="75">
        <v>0</v>
      </c>
      <c r="F323" s="75">
        <v>0</v>
      </c>
      <c r="G323" s="75">
        <v>0</v>
      </c>
      <c r="H323" s="75">
        <v>0</v>
      </c>
      <c r="I323" s="75">
        <v>0</v>
      </c>
      <c r="J323" s="75">
        <v>0</v>
      </c>
    </row>
    <row r="324" spans="2:10">
      <c r="B324" s="133" t="s">
        <v>322</v>
      </c>
      <c r="C324" s="75">
        <v>0</v>
      </c>
      <c r="D324" s="75">
        <v>0</v>
      </c>
      <c r="E324" s="75">
        <v>0</v>
      </c>
      <c r="F324" s="75">
        <v>0</v>
      </c>
      <c r="G324" s="75">
        <v>0</v>
      </c>
      <c r="H324" s="75">
        <v>0</v>
      </c>
      <c r="I324" s="75">
        <v>0</v>
      </c>
      <c r="J324" s="75">
        <v>0</v>
      </c>
    </row>
    <row r="325" spans="2:10" ht="15" thickBot="1">
      <c r="B325" s="133"/>
      <c r="C325" s="75">
        <v>0</v>
      </c>
      <c r="D325" s="75">
        <v>0</v>
      </c>
      <c r="E325" s="75">
        <v>0</v>
      </c>
      <c r="F325" s="75">
        <v>0</v>
      </c>
      <c r="G325" s="75">
        <v>0</v>
      </c>
      <c r="H325" s="75">
        <v>0</v>
      </c>
      <c r="I325" s="75">
        <v>0</v>
      </c>
      <c r="J325" s="75">
        <v>0</v>
      </c>
    </row>
    <row r="326" spans="2:10" ht="15" thickTop="1">
      <c r="B326" s="2025" t="s">
        <v>487</v>
      </c>
      <c r="C326" s="2025"/>
      <c r="D326" s="2025"/>
      <c r="E326" s="2025"/>
      <c r="F326" s="2025"/>
      <c r="G326" s="2025"/>
      <c r="H326" s="2025"/>
      <c r="I326" s="2025"/>
      <c r="J326" s="2025"/>
    </row>
    <row r="327" spans="2:10">
      <c r="B327" s="64"/>
      <c r="C327" s="121"/>
      <c r="D327" s="121"/>
      <c r="E327" s="121"/>
      <c r="F327" s="121"/>
      <c r="G327" s="121"/>
      <c r="H327" s="121"/>
      <c r="I327" s="121"/>
      <c r="J327" s="121"/>
    </row>
    <row r="328" spans="2:10">
      <c r="B328" s="2024" t="s">
        <v>320</v>
      </c>
      <c r="C328" s="2024"/>
      <c r="D328" s="2024"/>
      <c r="E328" s="2024"/>
      <c r="F328" s="2024"/>
      <c r="G328" s="2024"/>
      <c r="H328" s="2024"/>
      <c r="I328" s="2024"/>
      <c r="J328" s="2024"/>
    </row>
    <row r="329" spans="2:10">
      <c r="B329" s="12" t="s">
        <v>319</v>
      </c>
      <c r="C329" s="121"/>
      <c r="D329" s="121"/>
      <c r="E329" s="121"/>
      <c r="F329" s="121"/>
      <c r="G329" s="121"/>
      <c r="H329" s="121"/>
      <c r="I329" s="121"/>
      <c r="J329" s="121"/>
    </row>
    <row r="330" spans="2:10">
      <c r="B330" s="62" t="s">
        <v>242</v>
      </c>
      <c r="C330" s="121"/>
      <c r="D330" s="121"/>
      <c r="E330" s="121"/>
      <c r="F330" s="121"/>
      <c r="G330" s="121"/>
      <c r="H330" s="121"/>
      <c r="I330" s="121"/>
      <c r="J330" s="121"/>
    </row>
    <row r="331" spans="2:10">
      <c r="B331" s="64"/>
      <c r="C331" s="121"/>
      <c r="D331" s="121"/>
      <c r="E331" s="121"/>
      <c r="F331" s="121"/>
      <c r="G331" s="121"/>
      <c r="H331" s="121"/>
      <c r="I331" s="121"/>
      <c r="J331" s="121"/>
    </row>
    <row r="332" spans="2:10">
      <c r="B332" s="61"/>
      <c r="C332" s="60">
        <v>2014</v>
      </c>
      <c r="D332" s="60">
        <v>2015</v>
      </c>
      <c r="E332" s="60">
        <v>2016</v>
      </c>
      <c r="F332" s="60">
        <v>2017</v>
      </c>
      <c r="G332" s="60">
        <v>2018</v>
      </c>
      <c r="H332" s="60">
        <v>2019</v>
      </c>
      <c r="I332" s="60">
        <v>2020</v>
      </c>
      <c r="J332" s="60">
        <v>2021</v>
      </c>
    </row>
    <row r="333" spans="2:10">
      <c r="B333" s="114" t="s">
        <v>310</v>
      </c>
      <c r="C333" s="213">
        <v>1810457</v>
      </c>
      <c r="D333" s="213">
        <v>1864402</v>
      </c>
      <c r="E333" s="213">
        <v>1837959</v>
      </c>
      <c r="F333" s="213">
        <v>1844416</v>
      </c>
      <c r="G333" s="213">
        <v>1913928</v>
      </c>
      <c r="H333" s="213">
        <v>1952771</v>
      </c>
      <c r="I333" s="214">
        <v>1952541</v>
      </c>
      <c r="J333" s="214">
        <v>2001943</v>
      </c>
    </row>
    <row r="334" spans="2:10">
      <c r="B334" s="114"/>
      <c r="C334" s="215"/>
      <c r="D334" s="215"/>
      <c r="E334" s="215"/>
      <c r="F334" s="215"/>
      <c r="G334" s="215"/>
      <c r="H334" s="215"/>
      <c r="I334" s="214"/>
      <c r="J334" s="214"/>
    </row>
    <row r="335" spans="2:10">
      <c r="B335" s="211" t="s">
        <v>94</v>
      </c>
      <c r="C335" s="215">
        <v>383942</v>
      </c>
      <c r="D335" s="215">
        <v>380932</v>
      </c>
      <c r="E335" s="215">
        <v>338696</v>
      </c>
      <c r="F335" s="215">
        <v>318204</v>
      </c>
      <c r="G335" s="215">
        <v>400276</v>
      </c>
      <c r="H335" s="215">
        <v>438637</v>
      </c>
      <c r="I335" s="214">
        <v>412230</v>
      </c>
      <c r="J335" s="214">
        <v>403499</v>
      </c>
    </row>
    <row r="336" spans="2:10">
      <c r="B336" s="71" t="s">
        <v>297</v>
      </c>
      <c r="C336" s="98">
        <v>383942</v>
      </c>
      <c r="D336" s="98">
        <v>380932</v>
      </c>
      <c r="E336" s="98">
        <v>338696</v>
      </c>
      <c r="F336" s="98">
        <v>318204</v>
      </c>
      <c r="G336" s="98">
        <v>400276</v>
      </c>
      <c r="H336" s="98">
        <v>438637</v>
      </c>
      <c r="I336" s="214">
        <v>412230</v>
      </c>
      <c r="J336" s="214">
        <v>403499</v>
      </c>
    </row>
    <row r="337" spans="2:10">
      <c r="B337" s="133" t="s">
        <v>296</v>
      </c>
      <c r="C337" s="216">
        <v>383942</v>
      </c>
      <c r="D337" s="216">
        <v>380932</v>
      </c>
      <c r="E337" s="216">
        <v>338696</v>
      </c>
      <c r="F337" s="216">
        <v>318204</v>
      </c>
      <c r="G337" s="216">
        <v>400276</v>
      </c>
      <c r="H337" s="216">
        <v>438637</v>
      </c>
      <c r="I337" s="214">
        <v>412230</v>
      </c>
      <c r="J337" s="214">
        <v>403499</v>
      </c>
    </row>
    <row r="338" spans="2:10">
      <c r="B338" s="132" t="s">
        <v>295</v>
      </c>
      <c r="C338" s="216">
        <v>0</v>
      </c>
      <c r="D338" s="216">
        <v>0</v>
      </c>
      <c r="E338" s="216">
        <v>0</v>
      </c>
      <c r="F338" s="216">
        <v>0</v>
      </c>
      <c r="G338" s="216">
        <v>0</v>
      </c>
      <c r="H338" s="216">
        <v>0</v>
      </c>
      <c r="I338" s="214">
        <v>0</v>
      </c>
      <c r="J338" s="214">
        <v>0</v>
      </c>
    </row>
    <row r="339" spans="2:10">
      <c r="B339" s="132" t="s">
        <v>303</v>
      </c>
      <c r="C339" s="102">
        <v>0</v>
      </c>
      <c r="D339" s="102">
        <v>0</v>
      </c>
      <c r="E339" s="102">
        <v>0</v>
      </c>
      <c r="F339" s="102">
        <v>0</v>
      </c>
      <c r="G339" s="102">
        <v>0</v>
      </c>
      <c r="H339" s="102">
        <v>0</v>
      </c>
      <c r="I339" s="214">
        <v>0</v>
      </c>
      <c r="J339" s="214">
        <v>0</v>
      </c>
    </row>
    <row r="340" spans="2:10">
      <c r="B340" s="65" t="s">
        <v>287</v>
      </c>
      <c r="C340" s="102">
        <v>0</v>
      </c>
      <c r="D340" s="102">
        <v>0</v>
      </c>
      <c r="E340" s="102">
        <v>0</v>
      </c>
      <c r="F340" s="102">
        <v>0</v>
      </c>
      <c r="G340" s="102">
        <v>0</v>
      </c>
      <c r="H340" s="102">
        <v>0</v>
      </c>
      <c r="I340" s="214">
        <v>0</v>
      </c>
      <c r="J340" s="214">
        <v>0</v>
      </c>
    </row>
    <row r="341" spans="2:10">
      <c r="B341" s="136"/>
      <c r="C341" s="215"/>
      <c r="D341" s="215"/>
      <c r="E341" s="215"/>
      <c r="F341" s="215"/>
      <c r="G341" s="215"/>
      <c r="H341" s="215"/>
      <c r="I341" s="214"/>
      <c r="J341" s="214"/>
    </row>
    <row r="342" spans="2:10">
      <c r="B342" s="211" t="s">
        <v>488</v>
      </c>
      <c r="C342" s="215"/>
      <c r="D342" s="215"/>
      <c r="E342" s="215"/>
      <c r="F342" s="215"/>
      <c r="G342" s="215"/>
      <c r="H342" s="215"/>
      <c r="I342" s="214"/>
      <c r="J342" s="214"/>
    </row>
    <row r="343" spans="2:10">
      <c r="B343" s="71" t="s">
        <v>297</v>
      </c>
      <c r="C343" s="215">
        <v>1426515</v>
      </c>
      <c r="D343" s="215">
        <v>1483470</v>
      </c>
      <c r="E343" s="215">
        <v>1499263</v>
      </c>
      <c r="F343" s="215">
        <v>1526212</v>
      </c>
      <c r="G343" s="215">
        <v>1513652</v>
      </c>
      <c r="H343" s="215">
        <v>1514134</v>
      </c>
      <c r="I343" s="214">
        <v>1540311</v>
      </c>
      <c r="J343" s="214">
        <v>1598444</v>
      </c>
    </row>
    <row r="344" spans="2:10">
      <c r="B344" s="136"/>
      <c r="C344" s="217"/>
      <c r="D344" s="217"/>
      <c r="E344" s="217"/>
      <c r="F344" s="217"/>
      <c r="G344" s="217"/>
      <c r="H344" s="217"/>
      <c r="I344" s="214"/>
      <c r="J344" s="214"/>
    </row>
    <row r="345" spans="2:10">
      <c r="B345" s="114" t="s">
        <v>302</v>
      </c>
      <c r="C345" s="217"/>
      <c r="D345" s="217"/>
      <c r="E345" s="217"/>
      <c r="F345" s="217"/>
      <c r="G345" s="217"/>
      <c r="H345" s="217"/>
      <c r="I345" s="214"/>
      <c r="J345" s="214"/>
    </row>
    <row r="346" spans="2:10">
      <c r="B346" s="114"/>
      <c r="C346" s="217"/>
      <c r="D346" s="217"/>
      <c r="E346" s="217"/>
      <c r="F346" s="217"/>
      <c r="G346" s="217"/>
      <c r="H346" s="217"/>
    </row>
    <row r="347" spans="2:10">
      <c r="B347" s="59" t="s">
        <v>489</v>
      </c>
      <c r="C347" s="217"/>
      <c r="D347" s="217"/>
      <c r="E347" s="217"/>
      <c r="F347" s="217"/>
      <c r="G347" s="217"/>
      <c r="H347" s="217"/>
      <c r="I347" s="214"/>
      <c r="J347" s="214"/>
    </row>
    <row r="348" spans="2:10">
      <c r="B348" s="71" t="s">
        <v>297</v>
      </c>
      <c r="C348" s="218"/>
      <c r="D348" s="218"/>
      <c r="E348" s="218"/>
      <c r="F348" s="218"/>
      <c r="G348" s="218"/>
      <c r="H348" s="219"/>
      <c r="I348" s="214"/>
      <c r="J348" s="214"/>
    </row>
    <row r="349" spans="2:10">
      <c r="B349" s="133" t="s">
        <v>296</v>
      </c>
      <c r="C349" s="102">
        <v>1620.3086367255</v>
      </c>
      <c r="D349" s="102">
        <v>1807.0327884355002</v>
      </c>
      <c r="E349" s="102">
        <v>0</v>
      </c>
      <c r="F349" s="102">
        <v>0</v>
      </c>
      <c r="G349" s="102">
        <v>0</v>
      </c>
      <c r="H349" s="102">
        <v>0</v>
      </c>
      <c r="I349" s="214">
        <v>0</v>
      </c>
      <c r="J349" s="214">
        <v>0</v>
      </c>
    </row>
    <row r="350" spans="2:10">
      <c r="B350" s="131" t="s">
        <v>294</v>
      </c>
      <c r="C350" s="102">
        <v>204.157692</v>
      </c>
      <c r="D350" s="102">
        <v>254.42577900000001</v>
      </c>
      <c r="E350" s="102">
        <v>311.38813499999998</v>
      </c>
      <c r="F350" s="102">
        <v>364.47156000000001</v>
      </c>
      <c r="G350" s="102">
        <v>435.12380999999999</v>
      </c>
      <c r="H350" s="102">
        <v>671.11085600000001</v>
      </c>
      <c r="I350" s="214">
        <v>530.64375199999995</v>
      </c>
      <c r="J350" s="214">
        <v>611.73560799999996</v>
      </c>
    </row>
    <row r="351" spans="2:10">
      <c r="B351" s="131" t="s">
        <v>293</v>
      </c>
      <c r="C351" s="102">
        <v>486.00097</v>
      </c>
      <c r="D351" s="102">
        <v>615.46925999999996</v>
      </c>
      <c r="E351" s="102">
        <v>739.680204</v>
      </c>
      <c r="F351" s="102">
        <v>898.59807699999999</v>
      </c>
      <c r="G351" s="102">
        <v>1136.512475</v>
      </c>
      <c r="H351" s="102">
        <v>1423.7926749999999</v>
      </c>
      <c r="I351" s="214">
        <v>1480.234373</v>
      </c>
      <c r="J351" s="214">
        <v>1952.0027090000001</v>
      </c>
    </row>
    <row r="352" spans="2:10">
      <c r="B352" s="131" t="s">
        <v>292</v>
      </c>
      <c r="C352" s="102">
        <v>678.27286900000001</v>
      </c>
      <c r="D352" s="102">
        <v>832.47627200000011</v>
      </c>
      <c r="E352" s="102">
        <v>0</v>
      </c>
      <c r="F352" s="102">
        <v>0</v>
      </c>
      <c r="G352" s="102">
        <v>0</v>
      </c>
      <c r="H352" s="102">
        <v>0</v>
      </c>
      <c r="I352" s="214">
        <v>0</v>
      </c>
      <c r="J352" s="214">
        <v>0</v>
      </c>
    </row>
    <row r="353" spans="2:10">
      <c r="B353" s="131" t="s">
        <v>291</v>
      </c>
      <c r="C353" s="102">
        <v>499.87902300000002</v>
      </c>
      <c r="D353" s="102">
        <v>499.59355900000003</v>
      </c>
      <c r="E353" s="102">
        <v>527.21344699999997</v>
      </c>
      <c r="F353" s="102">
        <v>535.21787200000006</v>
      </c>
      <c r="G353" s="102">
        <v>562.52224699999999</v>
      </c>
      <c r="H353" s="102">
        <v>535.60473000000002</v>
      </c>
      <c r="I353" s="214">
        <v>353.01692700000001</v>
      </c>
      <c r="J353" s="214">
        <v>354.96739500000001</v>
      </c>
    </row>
    <row r="354" spans="2:10">
      <c r="B354" s="131" t="s">
        <v>290</v>
      </c>
      <c r="C354" s="102">
        <v>281.18854800000003</v>
      </c>
      <c r="D354" s="102">
        <v>340.30569800000001</v>
      </c>
      <c r="E354" s="102">
        <v>416.504299</v>
      </c>
      <c r="F354" s="102">
        <v>507.67728499999998</v>
      </c>
      <c r="G354" s="102">
        <v>652.02780600000006</v>
      </c>
      <c r="H354" s="102">
        <v>845.64597100000003</v>
      </c>
      <c r="I354" s="214">
        <v>1032.9971640000001</v>
      </c>
      <c r="J354" s="214">
        <v>1178.948774</v>
      </c>
    </row>
    <row r="355" spans="2:10">
      <c r="B355" s="131" t="s">
        <v>289</v>
      </c>
      <c r="C355" s="102">
        <v>167.14915099999999</v>
      </c>
      <c r="D355" s="102">
        <v>140.22331499999999</v>
      </c>
      <c r="E355" s="102">
        <v>140.651859</v>
      </c>
      <c r="F355" s="102">
        <v>122.86897</v>
      </c>
      <c r="G355" s="102">
        <v>109.23444000000001</v>
      </c>
      <c r="H355" s="102">
        <v>94.638724999999994</v>
      </c>
      <c r="I355" s="214">
        <v>51.407732000000003</v>
      </c>
      <c r="J355" s="214">
        <v>38.608837999999999</v>
      </c>
    </row>
    <row r="356" spans="2:10">
      <c r="B356" s="131" t="s">
        <v>288</v>
      </c>
      <c r="C356" s="102">
        <v>0</v>
      </c>
      <c r="D356" s="102">
        <v>0</v>
      </c>
      <c r="E356" s="102">
        <v>0</v>
      </c>
      <c r="F356" s="102">
        <v>0</v>
      </c>
      <c r="G356" s="102">
        <v>0</v>
      </c>
      <c r="H356" s="102">
        <v>0</v>
      </c>
      <c r="I356" s="214">
        <v>0</v>
      </c>
      <c r="J356" s="214">
        <v>0</v>
      </c>
    </row>
    <row r="357" spans="2:10">
      <c r="B357" s="132" t="s">
        <v>295</v>
      </c>
      <c r="C357" s="102">
        <v>0</v>
      </c>
      <c r="D357" s="102">
        <v>0</v>
      </c>
      <c r="E357" s="102">
        <v>0</v>
      </c>
      <c r="F357" s="102">
        <v>0</v>
      </c>
      <c r="G357" s="102">
        <v>0</v>
      </c>
      <c r="H357" s="102">
        <v>0</v>
      </c>
      <c r="I357" s="214">
        <v>0</v>
      </c>
      <c r="J357" s="214">
        <v>0</v>
      </c>
    </row>
    <row r="358" spans="2:10">
      <c r="B358" s="131" t="s">
        <v>294</v>
      </c>
      <c r="C358" s="102">
        <v>0</v>
      </c>
      <c r="D358" s="102">
        <v>0</v>
      </c>
      <c r="E358" s="102">
        <v>0</v>
      </c>
      <c r="F358" s="102">
        <v>0</v>
      </c>
      <c r="G358" s="102">
        <v>0</v>
      </c>
      <c r="H358" s="102">
        <v>0</v>
      </c>
      <c r="I358" s="214">
        <v>0</v>
      </c>
      <c r="J358" s="214">
        <v>0</v>
      </c>
    </row>
    <row r="359" spans="2:10">
      <c r="B359" s="131" t="s">
        <v>293</v>
      </c>
      <c r="C359" s="102">
        <v>0</v>
      </c>
      <c r="D359" s="102">
        <v>0</v>
      </c>
      <c r="E359" s="102">
        <v>0</v>
      </c>
      <c r="F359" s="102">
        <v>0</v>
      </c>
      <c r="G359" s="102">
        <v>0</v>
      </c>
      <c r="H359" s="102">
        <v>0</v>
      </c>
      <c r="I359" s="214">
        <v>0</v>
      </c>
      <c r="J359" s="214">
        <v>0</v>
      </c>
    </row>
    <row r="360" spans="2:10">
      <c r="B360" s="131" t="s">
        <v>292</v>
      </c>
      <c r="C360" s="102">
        <v>0</v>
      </c>
      <c r="D360" s="102">
        <v>0</v>
      </c>
      <c r="E360" s="102">
        <v>0</v>
      </c>
      <c r="F360" s="102">
        <v>0</v>
      </c>
      <c r="G360" s="102">
        <v>0</v>
      </c>
      <c r="H360" s="102">
        <v>0</v>
      </c>
      <c r="I360" s="214">
        <v>0</v>
      </c>
      <c r="J360" s="214">
        <v>0</v>
      </c>
    </row>
    <row r="361" spans="2:10">
      <c r="B361" s="131" t="s">
        <v>291</v>
      </c>
      <c r="C361" s="102">
        <v>0</v>
      </c>
      <c r="D361" s="102">
        <v>0</v>
      </c>
      <c r="E361" s="102">
        <v>0</v>
      </c>
      <c r="F361" s="102">
        <v>0</v>
      </c>
      <c r="G361" s="102">
        <v>0</v>
      </c>
      <c r="H361" s="102">
        <v>0</v>
      </c>
      <c r="I361" s="214">
        <v>0</v>
      </c>
      <c r="J361" s="214">
        <v>0</v>
      </c>
    </row>
    <row r="362" spans="2:10">
      <c r="B362" s="131" t="s">
        <v>290</v>
      </c>
      <c r="C362" s="102">
        <v>0</v>
      </c>
      <c r="D362" s="102">
        <v>0</v>
      </c>
      <c r="E362" s="102">
        <v>0</v>
      </c>
      <c r="F362" s="102">
        <v>0</v>
      </c>
      <c r="G362" s="102">
        <v>0</v>
      </c>
      <c r="H362" s="102">
        <v>0</v>
      </c>
      <c r="I362" s="214">
        <v>0</v>
      </c>
      <c r="J362" s="214">
        <v>0</v>
      </c>
    </row>
    <row r="363" spans="2:10">
      <c r="B363" s="131" t="s">
        <v>289</v>
      </c>
      <c r="C363" s="102">
        <v>0</v>
      </c>
      <c r="D363" s="102">
        <v>0</v>
      </c>
      <c r="E363" s="102">
        <v>0</v>
      </c>
      <c r="F363" s="102">
        <v>0</v>
      </c>
      <c r="G363" s="102">
        <v>0</v>
      </c>
      <c r="H363" s="102">
        <v>0</v>
      </c>
      <c r="I363" s="214">
        <v>0</v>
      </c>
      <c r="J363" s="214">
        <v>0</v>
      </c>
    </row>
    <row r="364" spans="2:10">
      <c r="B364" s="131" t="s">
        <v>288</v>
      </c>
      <c r="C364" s="102">
        <v>0</v>
      </c>
      <c r="D364" s="102">
        <v>0</v>
      </c>
      <c r="E364" s="102">
        <v>0</v>
      </c>
      <c r="F364" s="102">
        <v>0</v>
      </c>
      <c r="G364" s="102">
        <v>0</v>
      </c>
      <c r="H364" s="102">
        <v>0</v>
      </c>
      <c r="I364" s="214">
        <v>0</v>
      </c>
      <c r="J364" s="214">
        <v>0</v>
      </c>
    </row>
    <row r="365" spans="2:10">
      <c r="B365" s="65" t="s">
        <v>287</v>
      </c>
      <c r="C365" s="102">
        <v>0</v>
      </c>
      <c r="D365" s="102">
        <v>0</v>
      </c>
      <c r="E365" s="102">
        <v>0</v>
      </c>
      <c r="F365" s="102">
        <v>0</v>
      </c>
      <c r="G365" s="102">
        <v>0</v>
      </c>
      <c r="H365" s="102">
        <v>0</v>
      </c>
      <c r="I365" s="214">
        <v>0</v>
      </c>
      <c r="J365" s="214">
        <v>0</v>
      </c>
    </row>
    <row r="366" spans="2:10" ht="15" thickBot="1">
      <c r="B366" s="65"/>
      <c r="C366" s="214"/>
      <c r="D366" s="214"/>
      <c r="E366" s="214"/>
      <c r="F366" s="214"/>
      <c r="G366" s="214"/>
      <c r="H366" s="214"/>
      <c r="I366" s="214"/>
      <c r="J366" s="214"/>
    </row>
    <row r="367" spans="2:10" ht="15" thickTop="1">
      <c r="B367" s="2025" t="s">
        <v>490</v>
      </c>
      <c r="C367" s="2025"/>
      <c r="D367" s="2025"/>
      <c r="E367" s="2025"/>
      <c r="F367" s="2025"/>
      <c r="G367" s="2025"/>
      <c r="H367" s="2025"/>
      <c r="I367" s="2025"/>
      <c r="J367" s="2025"/>
    </row>
    <row r="368" spans="2:10">
      <c r="B368" s="64"/>
      <c r="C368" s="121"/>
      <c r="D368" s="121"/>
      <c r="E368" s="121"/>
      <c r="F368" s="121"/>
      <c r="G368" s="121"/>
      <c r="H368" s="121"/>
      <c r="I368" s="121"/>
      <c r="J368" s="121"/>
    </row>
    <row r="369" spans="2:10">
      <c r="B369" s="2024" t="s">
        <v>313</v>
      </c>
      <c r="C369" s="2024"/>
      <c r="D369" s="2024"/>
      <c r="E369" s="2024"/>
      <c r="F369" s="2024"/>
      <c r="G369" s="2024"/>
      <c r="H369" s="2024"/>
      <c r="I369" s="2024"/>
      <c r="J369" s="2024"/>
    </row>
    <row r="370" spans="2:10">
      <c r="B370" s="12" t="s">
        <v>312</v>
      </c>
      <c r="C370" s="121"/>
      <c r="D370" s="121"/>
      <c r="E370" s="121"/>
      <c r="F370" s="121"/>
      <c r="G370" s="121"/>
      <c r="H370" s="121"/>
      <c r="I370" s="121"/>
      <c r="J370" s="121"/>
    </row>
    <row r="371" spans="2:10">
      <c r="B371" s="62" t="s">
        <v>311</v>
      </c>
      <c r="C371" s="121"/>
      <c r="D371" s="121"/>
      <c r="E371" s="121"/>
      <c r="F371" s="121"/>
      <c r="G371" s="121"/>
      <c r="H371" s="121"/>
      <c r="I371" s="121"/>
      <c r="J371" s="121"/>
    </row>
    <row r="372" spans="2:10">
      <c r="B372" s="64"/>
      <c r="C372" s="121"/>
      <c r="D372" s="121"/>
      <c r="E372" s="121"/>
      <c r="F372" s="121"/>
      <c r="G372" s="121"/>
      <c r="H372" s="121"/>
      <c r="I372" s="121"/>
      <c r="J372" s="121"/>
    </row>
    <row r="373" spans="2:10">
      <c r="B373" s="61"/>
      <c r="C373" s="60">
        <v>2014</v>
      </c>
      <c r="D373" s="60">
        <v>2015</v>
      </c>
      <c r="E373" s="60">
        <v>2016</v>
      </c>
      <c r="F373" s="60">
        <v>2017</v>
      </c>
      <c r="G373" s="60">
        <v>2018</v>
      </c>
      <c r="H373" s="60">
        <v>2019</v>
      </c>
      <c r="I373" s="60">
        <v>2020</v>
      </c>
      <c r="J373" s="60">
        <v>2021</v>
      </c>
    </row>
    <row r="374" spans="2:10">
      <c r="B374" s="114" t="s">
        <v>310</v>
      </c>
      <c r="C374" s="220">
        <v>6361346.7825508472</v>
      </c>
      <c r="D374" s="220">
        <v>6009119.5248292312</v>
      </c>
      <c r="E374" s="220">
        <v>5858836.7105357246</v>
      </c>
      <c r="F374" s="220">
        <v>6332658.4928929685</v>
      </c>
      <c r="G374" s="220">
        <v>7301796.0807807958</v>
      </c>
      <c r="H374" s="220">
        <v>7343180.6054671658</v>
      </c>
      <c r="I374" s="220">
        <v>14152300.156010231</v>
      </c>
      <c r="J374" s="213">
        <v>13192651771</v>
      </c>
    </row>
    <row r="375" spans="2:10">
      <c r="B375" s="114"/>
      <c r="C375" s="220"/>
      <c r="D375" s="220"/>
      <c r="E375" s="220"/>
      <c r="F375" s="220"/>
      <c r="G375" s="220"/>
      <c r="H375" s="220"/>
      <c r="I375" s="220"/>
      <c r="J375" s="221"/>
    </row>
    <row r="376" spans="2:10">
      <c r="B376" s="211" t="s">
        <v>94</v>
      </c>
      <c r="C376" s="220"/>
      <c r="D376" s="220"/>
      <c r="E376" s="220"/>
      <c r="F376" s="220"/>
      <c r="G376" s="220"/>
      <c r="H376" s="220"/>
      <c r="I376" s="220"/>
      <c r="J376" s="221"/>
    </row>
    <row r="377" spans="2:10">
      <c r="B377" s="71" t="s">
        <v>297</v>
      </c>
      <c r="C377" s="222">
        <v>4642254.7328018881</v>
      </c>
      <c r="D377" s="222">
        <v>4355092.402128242</v>
      </c>
      <c r="E377" s="222">
        <v>4226735.9925440922</v>
      </c>
      <c r="F377" s="222">
        <v>4500579.2812516559</v>
      </c>
      <c r="G377" s="222">
        <v>5594546.104676188</v>
      </c>
      <c r="H377" s="222">
        <v>5675498.5447553555</v>
      </c>
      <c r="I377" s="220">
        <v>12812696.617647059</v>
      </c>
      <c r="J377" s="213">
        <v>12074209295</v>
      </c>
    </row>
    <row r="378" spans="2:10">
      <c r="B378" s="133" t="s">
        <v>296</v>
      </c>
      <c r="C378" s="222">
        <v>4642254.7328018881</v>
      </c>
      <c r="D378" s="222">
        <v>4355092.402128242</v>
      </c>
      <c r="E378" s="222">
        <v>4226735.9925440922</v>
      </c>
      <c r="F378" s="222">
        <v>4500579.2812516559</v>
      </c>
      <c r="G378" s="222">
        <v>5594546.104676188</v>
      </c>
      <c r="H378" s="222">
        <v>5675498.5447553555</v>
      </c>
      <c r="I378" s="220">
        <v>12812696.617647059</v>
      </c>
      <c r="J378" s="213">
        <v>12074209295</v>
      </c>
    </row>
    <row r="379" spans="2:10">
      <c r="B379" s="132" t="s">
        <v>295</v>
      </c>
      <c r="C379" s="220">
        <v>0</v>
      </c>
      <c r="D379" s="220">
        <v>0</v>
      </c>
      <c r="E379" s="220">
        <v>0</v>
      </c>
      <c r="F379" s="220">
        <v>0</v>
      </c>
      <c r="G379" s="220">
        <v>0</v>
      </c>
      <c r="H379" s="220">
        <v>0</v>
      </c>
      <c r="I379" s="220">
        <v>0</v>
      </c>
      <c r="J379" s="220">
        <v>0</v>
      </c>
    </row>
    <row r="380" spans="2:10">
      <c r="B380" s="132" t="s">
        <v>303</v>
      </c>
      <c r="C380" s="220">
        <v>0</v>
      </c>
      <c r="D380" s="220">
        <v>0</v>
      </c>
      <c r="E380" s="220">
        <v>0</v>
      </c>
      <c r="F380" s="220">
        <v>0</v>
      </c>
      <c r="G380" s="220">
        <v>0</v>
      </c>
      <c r="H380" s="220">
        <v>0</v>
      </c>
      <c r="I380" s="220">
        <v>0</v>
      </c>
      <c r="J380" s="220">
        <v>0</v>
      </c>
    </row>
    <row r="381" spans="2:10">
      <c r="B381" s="65" t="s">
        <v>287</v>
      </c>
      <c r="C381" s="220">
        <v>0</v>
      </c>
      <c r="D381" s="220">
        <v>0</v>
      </c>
      <c r="E381" s="220">
        <v>0</v>
      </c>
      <c r="F381" s="220">
        <v>0</v>
      </c>
      <c r="G381" s="220">
        <v>0</v>
      </c>
      <c r="H381" s="220">
        <v>0</v>
      </c>
      <c r="I381" s="220">
        <v>0</v>
      </c>
      <c r="J381" s="220">
        <v>0</v>
      </c>
    </row>
    <row r="382" spans="2:10">
      <c r="B382" s="136"/>
      <c r="C382" s="220"/>
      <c r="D382" s="220"/>
      <c r="E382" s="220"/>
      <c r="F382" s="220"/>
      <c r="G382" s="220"/>
      <c r="H382" s="220"/>
      <c r="I382" s="220"/>
      <c r="J382" s="221"/>
    </row>
    <row r="383" spans="2:10">
      <c r="B383" s="211" t="s">
        <v>488</v>
      </c>
      <c r="C383" s="220"/>
      <c r="D383" s="220"/>
      <c r="E383" s="220"/>
      <c r="F383" s="220"/>
      <c r="G383" s="220"/>
      <c r="H383" s="220"/>
      <c r="I383" s="220"/>
      <c r="J383" s="221"/>
    </row>
    <row r="384" spans="2:10">
      <c r="B384" s="71" t="s">
        <v>297</v>
      </c>
      <c r="C384" s="220">
        <v>1719092.0497489588</v>
      </c>
      <c r="D384" s="220">
        <v>1654027.1227009899</v>
      </c>
      <c r="E384" s="220">
        <v>1632100.7179916329</v>
      </c>
      <c r="F384" s="220">
        <v>1832079.2116413133</v>
      </c>
      <c r="G384" s="220">
        <v>1707249.9761046076</v>
      </c>
      <c r="H384" s="220">
        <v>1667682.0607118104</v>
      </c>
      <c r="I384" s="220">
        <v>1339603.5383631713</v>
      </c>
      <c r="J384" s="213">
        <v>1118442476</v>
      </c>
    </row>
    <row r="385" spans="2:10">
      <c r="B385" s="136"/>
      <c r="C385" s="220"/>
      <c r="D385" s="220"/>
      <c r="E385" s="220"/>
      <c r="F385" s="220"/>
      <c r="G385" s="220"/>
      <c r="H385" s="220"/>
      <c r="I385" s="220"/>
      <c r="J385" s="221"/>
    </row>
    <row r="386" spans="2:10">
      <c r="B386" s="114" t="s">
        <v>302</v>
      </c>
      <c r="C386" s="220"/>
      <c r="D386" s="220"/>
      <c r="E386" s="220"/>
      <c r="F386" s="220"/>
      <c r="G386" s="220"/>
      <c r="H386" s="220"/>
      <c r="I386" s="220"/>
      <c r="J386" s="221"/>
    </row>
    <row r="387" spans="2:10">
      <c r="B387" s="114"/>
      <c r="C387" s="222"/>
      <c r="D387" s="222"/>
      <c r="E387" s="222"/>
      <c r="F387" s="222"/>
      <c r="G387" s="222"/>
      <c r="H387" s="222"/>
      <c r="I387" s="220"/>
      <c r="J387" s="221"/>
    </row>
    <row r="388" spans="2:10">
      <c r="B388" s="59" t="s">
        <v>489</v>
      </c>
      <c r="C388" s="222"/>
      <c r="D388" s="222"/>
      <c r="E388" s="222"/>
      <c r="F388" s="222"/>
      <c r="G388" s="222"/>
      <c r="H388" s="222"/>
      <c r="I388" s="220"/>
      <c r="J388" s="221"/>
    </row>
    <row r="389" spans="2:10">
      <c r="B389" s="71" t="s">
        <v>297</v>
      </c>
      <c r="C389" s="222"/>
      <c r="D389" s="222"/>
      <c r="E389" s="222"/>
      <c r="F389" s="222"/>
      <c r="G389" s="222"/>
      <c r="H389" s="222"/>
      <c r="I389" s="220"/>
      <c r="J389" s="221"/>
    </row>
    <row r="390" spans="2:10">
      <c r="B390" s="133" t="s">
        <v>296</v>
      </c>
      <c r="C390" s="222">
        <v>1886840.4617020893</v>
      </c>
      <c r="D390" s="222">
        <v>1693879.4033955275</v>
      </c>
      <c r="E390" s="222">
        <v>0</v>
      </c>
      <c r="F390" s="222">
        <v>0</v>
      </c>
      <c r="G390" s="222">
        <v>0</v>
      </c>
      <c r="H390" s="222">
        <v>0</v>
      </c>
      <c r="I390" s="222">
        <v>0</v>
      </c>
      <c r="J390" s="222">
        <v>0</v>
      </c>
    </row>
    <row r="391" spans="2:10">
      <c r="B391" s="131" t="s">
        <v>294</v>
      </c>
      <c r="C391" s="222">
        <v>19926.833462048377</v>
      </c>
      <c r="D391" s="222">
        <v>21168.763888487407</v>
      </c>
      <c r="E391" s="222">
        <v>23737.308886049188</v>
      </c>
      <c r="F391" s="222">
        <v>27918.688797743147</v>
      </c>
      <c r="G391" s="222">
        <v>33598.765084789607</v>
      </c>
      <c r="H391" s="222">
        <v>42126.721921160613</v>
      </c>
      <c r="I391" s="220">
        <v>33517.740409207159</v>
      </c>
      <c r="J391" s="221">
        <v>42574.800521512385</v>
      </c>
    </row>
    <row r="392" spans="2:10">
      <c r="B392" s="131" t="s">
        <v>293</v>
      </c>
      <c r="C392" s="222">
        <v>16394.374239259629</v>
      </c>
      <c r="D392" s="222">
        <v>17348.553880088471</v>
      </c>
      <c r="E392" s="222">
        <v>19872.252562545764</v>
      </c>
      <c r="F392" s="222">
        <v>25048.203947274476</v>
      </c>
      <c r="G392" s="222">
        <v>30893.808203887984</v>
      </c>
      <c r="H392" s="222">
        <v>33719.598130389917</v>
      </c>
      <c r="I392" s="220">
        <v>37988.15217391304</v>
      </c>
      <c r="J392" s="221">
        <v>59622.288135593219</v>
      </c>
    </row>
    <row r="393" spans="2:10">
      <c r="B393" s="131" t="s">
        <v>292</v>
      </c>
      <c r="C393" s="222">
        <v>71962.107690002857</v>
      </c>
      <c r="D393" s="222">
        <v>71221.20593919135</v>
      </c>
      <c r="E393" s="222">
        <v>0</v>
      </c>
      <c r="F393" s="222">
        <v>0</v>
      </c>
      <c r="G393" s="222">
        <v>0</v>
      </c>
      <c r="H393" s="222">
        <v>0</v>
      </c>
      <c r="I393" s="222">
        <v>0</v>
      </c>
      <c r="J393" s="102">
        <v>0</v>
      </c>
    </row>
    <row r="394" spans="2:10">
      <c r="B394" s="131" t="s">
        <v>291</v>
      </c>
      <c r="C394" s="223">
        <v>45044.776132492676</v>
      </c>
      <c r="D394" s="223">
        <v>40378.219947756872</v>
      </c>
      <c r="E394" s="223">
        <v>41596.62217515002</v>
      </c>
      <c r="F394" s="223">
        <v>44675.200987850818</v>
      </c>
      <c r="G394" s="223">
        <v>47360.28801663241</v>
      </c>
      <c r="H394" s="223">
        <v>42609.0727797379</v>
      </c>
      <c r="I394" s="220">
        <v>33145.035232992261</v>
      </c>
      <c r="J394" s="221">
        <v>37936.336640808317</v>
      </c>
    </row>
    <row r="395" spans="2:10">
      <c r="B395" s="131" t="s">
        <v>290</v>
      </c>
      <c r="C395" s="223">
        <v>1258137.8651124488</v>
      </c>
      <c r="D395" s="223">
        <v>1186369.0135326148</v>
      </c>
      <c r="E395" s="223">
        <v>1346239.4469499399</v>
      </c>
      <c r="F395" s="223">
        <v>1735649.8264358519</v>
      </c>
      <c r="G395" s="223">
        <v>2013881.8838954109</v>
      </c>
      <c r="H395" s="223">
        <v>2401348.5880953153</v>
      </c>
      <c r="I395" s="220">
        <v>2669935.5613810741</v>
      </c>
      <c r="J395" s="221">
        <v>2492004.475880052</v>
      </c>
    </row>
    <row r="396" spans="2:10">
      <c r="B396" s="131" t="s">
        <v>289</v>
      </c>
      <c r="C396" s="223">
        <v>511086.03509901027</v>
      </c>
      <c r="D396" s="223">
        <v>395944.13216823718</v>
      </c>
      <c r="E396" s="223">
        <v>447717.70271214988</v>
      </c>
      <c r="F396" s="223">
        <v>442575.49531813926</v>
      </c>
      <c r="G396" s="223">
        <v>478331.79960399395</v>
      </c>
      <c r="H396" s="223">
        <v>399418.46871164953</v>
      </c>
      <c r="I396" s="220">
        <v>172467.41244620076</v>
      </c>
      <c r="J396" s="221">
        <v>141188.94090895695</v>
      </c>
    </row>
    <row r="397" spans="2:10">
      <c r="B397" s="131" t="s">
        <v>288</v>
      </c>
      <c r="C397" s="223">
        <v>0</v>
      </c>
      <c r="D397" s="223">
        <v>0</v>
      </c>
      <c r="E397" s="223">
        <v>0</v>
      </c>
      <c r="F397" s="223">
        <v>0</v>
      </c>
      <c r="G397" s="223">
        <v>0</v>
      </c>
      <c r="H397" s="223">
        <v>0</v>
      </c>
      <c r="I397" s="220">
        <v>0</v>
      </c>
      <c r="J397" s="221">
        <v>0</v>
      </c>
    </row>
    <row r="398" spans="2:10">
      <c r="B398" s="132" t="s">
        <v>295</v>
      </c>
      <c r="C398" s="223">
        <v>0</v>
      </c>
      <c r="D398" s="223">
        <v>0</v>
      </c>
      <c r="E398" s="223">
        <v>0</v>
      </c>
      <c r="F398" s="223">
        <v>0</v>
      </c>
      <c r="G398" s="223">
        <v>0</v>
      </c>
      <c r="H398" s="223">
        <v>0</v>
      </c>
      <c r="I398" s="220">
        <v>0</v>
      </c>
      <c r="J398" s="221">
        <v>0</v>
      </c>
    </row>
    <row r="399" spans="2:10">
      <c r="B399" s="131" t="s">
        <v>294</v>
      </c>
      <c r="C399" s="223">
        <v>0</v>
      </c>
      <c r="D399" s="223">
        <v>0</v>
      </c>
      <c r="E399" s="223">
        <v>0</v>
      </c>
      <c r="F399" s="223">
        <v>0</v>
      </c>
      <c r="G399" s="223">
        <v>0</v>
      </c>
      <c r="H399" s="223">
        <v>0</v>
      </c>
      <c r="I399" s="220">
        <v>0</v>
      </c>
      <c r="J399" s="221">
        <v>0</v>
      </c>
    </row>
    <row r="400" spans="2:10">
      <c r="B400" s="131" t="s">
        <v>293</v>
      </c>
      <c r="C400" s="223">
        <v>0</v>
      </c>
      <c r="D400" s="223">
        <v>0</v>
      </c>
      <c r="E400" s="223">
        <v>0</v>
      </c>
      <c r="F400" s="223">
        <v>0</v>
      </c>
      <c r="G400" s="223">
        <v>0</v>
      </c>
      <c r="H400" s="223">
        <v>0</v>
      </c>
      <c r="I400" s="220">
        <v>0</v>
      </c>
      <c r="J400" s="221">
        <v>0</v>
      </c>
    </row>
    <row r="401" spans="2:10">
      <c r="B401" s="131" t="s">
        <v>292</v>
      </c>
      <c r="C401" s="223">
        <v>0</v>
      </c>
      <c r="D401" s="223">
        <v>0</v>
      </c>
      <c r="E401" s="223">
        <v>0</v>
      </c>
      <c r="F401" s="223">
        <v>0</v>
      </c>
      <c r="G401" s="223">
        <v>0</v>
      </c>
      <c r="H401" s="223">
        <v>0</v>
      </c>
      <c r="I401" s="220">
        <v>0</v>
      </c>
      <c r="J401" s="221">
        <v>0</v>
      </c>
    </row>
    <row r="402" spans="2:10">
      <c r="B402" s="131" t="s">
        <v>291</v>
      </c>
      <c r="C402" s="223">
        <v>0</v>
      </c>
      <c r="D402" s="223">
        <v>0</v>
      </c>
      <c r="E402" s="223">
        <v>0</v>
      </c>
      <c r="F402" s="223">
        <v>0</v>
      </c>
      <c r="G402" s="223">
        <v>0</v>
      </c>
      <c r="H402" s="223">
        <v>0</v>
      </c>
      <c r="I402" s="220">
        <v>0</v>
      </c>
      <c r="J402" s="221">
        <v>0</v>
      </c>
    </row>
    <row r="403" spans="2:10">
      <c r="B403" s="131" t="s">
        <v>290</v>
      </c>
      <c r="C403" s="223">
        <v>0</v>
      </c>
      <c r="D403" s="223">
        <v>0</v>
      </c>
      <c r="E403" s="223">
        <v>0</v>
      </c>
      <c r="F403" s="223">
        <v>0</v>
      </c>
      <c r="G403" s="223">
        <v>0</v>
      </c>
      <c r="H403" s="223">
        <v>0</v>
      </c>
      <c r="I403" s="220">
        <v>0</v>
      </c>
      <c r="J403" s="221">
        <v>0</v>
      </c>
    </row>
    <row r="404" spans="2:10">
      <c r="B404" s="131" t="s">
        <v>289</v>
      </c>
      <c r="C404" s="223">
        <v>0</v>
      </c>
      <c r="D404" s="223">
        <v>0</v>
      </c>
      <c r="E404" s="223">
        <v>0</v>
      </c>
      <c r="F404" s="223">
        <v>0</v>
      </c>
      <c r="G404" s="223">
        <v>0</v>
      </c>
      <c r="H404" s="223">
        <v>0</v>
      </c>
      <c r="I404" s="220">
        <v>0</v>
      </c>
      <c r="J404" s="221">
        <v>0</v>
      </c>
    </row>
    <row r="405" spans="2:10">
      <c r="B405" s="131" t="s">
        <v>288</v>
      </c>
      <c r="C405" s="223">
        <v>0</v>
      </c>
      <c r="D405" s="223">
        <v>0</v>
      </c>
      <c r="E405" s="223">
        <v>0</v>
      </c>
      <c r="F405" s="223">
        <v>0</v>
      </c>
      <c r="G405" s="223">
        <v>0</v>
      </c>
      <c r="H405" s="223">
        <v>0</v>
      </c>
      <c r="I405" s="220">
        <v>0</v>
      </c>
      <c r="J405" s="221">
        <v>0</v>
      </c>
    </row>
    <row r="406" spans="2:10" ht="15" thickBot="1">
      <c r="B406" s="65" t="s">
        <v>287</v>
      </c>
      <c r="C406" s="220">
        <v>0</v>
      </c>
      <c r="D406" s="220">
        <v>0</v>
      </c>
      <c r="E406" s="220">
        <v>0</v>
      </c>
      <c r="F406" s="220">
        <v>0</v>
      </c>
      <c r="G406" s="220">
        <v>0</v>
      </c>
      <c r="H406" s="220">
        <v>0</v>
      </c>
      <c r="I406" s="220">
        <v>0</v>
      </c>
      <c r="J406" s="221">
        <v>0</v>
      </c>
    </row>
    <row r="407" spans="2:10" ht="15" thickTop="1">
      <c r="B407" s="2025" t="s">
        <v>490</v>
      </c>
      <c r="C407" s="2025"/>
      <c r="D407" s="2025"/>
      <c r="E407" s="2025"/>
      <c r="F407" s="2025"/>
      <c r="G407" s="2025"/>
      <c r="H407" s="2025"/>
      <c r="I407" s="2025"/>
      <c r="J407" s="2025"/>
    </row>
    <row r="408" spans="2:10">
      <c r="B408" s="64"/>
      <c r="C408" s="121"/>
      <c r="D408" s="121"/>
      <c r="E408" s="121"/>
      <c r="F408" s="121"/>
      <c r="G408" s="121"/>
      <c r="H408" s="121"/>
      <c r="I408" s="121"/>
      <c r="J408" s="121"/>
    </row>
    <row r="409" spans="2:10">
      <c r="B409" s="2024" t="s">
        <v>271</v>
      </c>
      <c r="C409" s="2024"/>
      <c r="D409" s="2024"/>
      <c r="E409" s="2024"/>
      <c r="F409" s="2024"/>
      <c r="G409" s="2024"/>
      <c r="H409" s="2024"/>
      <c r="I409" s="2024"/>
      <c r="J409" s="2024"/>
    </row>
    <row r="410" spans="2:10">
      <c r="B410" s="12" t="s">
        <v>270</v>
      </c>
      <c r="C410" s="121"/>
      <c r="D410" s="121"/>
      <c r="E410" s="121"/>
      <c r="F410" s="121"/>
      <c r="G410" s="121"/>
      <c r="H410" s="121"/>
      <c r="I410" s="121"/>
      <c r="J410" s="121"/>
    </row>
    <row r="411" spans="2:10">
      <c r="B411" s="77" t="s">
        <v>269</v>
      </c>
      <c r="C411" s="121"/>
      <c r="D411" s="121"/>
      <c r="E411" s="121"/>
      <c r="F411" s="121"/>
      <c r="G411" s="121"/>
      <c r="H411" s="121"/>
      <c r="I411" s="121"/>
      <c r="J411" s="121"/>
    </row>
    <row r="412" spans="2:10">
      <c r="B412" s="76"/>
      <c r="C412" s="121"/>
      <c r="D412" s="121"/>
      <c r="E412" s="121"/>
      <c r="F412" s="121"/>
      <c r="G412" s="121"/>
      <c r="H412" s="121"/>
      <c r="I412" s="121"/>
      <c r="J412" s="121"/>
    </row>
    <row r="413" spans="2:10">
      <c r="B413" s="61"/>
      <c r="C413" s="60">
        <v>2014</v>
      </c>
      <c r="D413" s="60">
        <v>2015</v>
      </c>
      <c r="E413" s="60">
        <v>2016</v>
      </c>
      <c r="F413" s="60">
        <v>2017</v>
      </c>
      <c r="G413" s="60">
        <v>2018</v>
      </c>
      <c r="H413" s="60">
        <v>2019</v>
      </c>
      <c r="I413" s="60">
        <v>2020</v>
      </c>
      <c r="J413" s="60">
        <v>2021</v>
      </c>
    </row>
    <row r="414" spans="2:10">
      <c r="B414" s="76" t="s">
        <v>491</v>
      </c>
      <c r="C414" s="214">
        <v>3</v>
      </c>
      <c r="D414" s="214">
        <v>3</v>
      </c>
      <c r="E414" s="214">
        <v>3</v>
      </c>
      <c r="F414" s="214">
        <v>3</v>
      </c>
      <c r="G414" s="214">
        <v>2</v>
      </c>
      <c r="H414" s="214">
        <v>2</v>
      </c>
      <c r="I414" s="214">
        <v>2</v>
      </c>
      <c r="J414" s="214">
        <v>2</v>
      </c>
    </row>
    <row r="415" spans="2:10">
      <c r="B415" s="71" t="s">
        <v>265</v>
      </c>
      <c r="C415" s="214">
        <v>47</v>
      </c>
      <c r="D415" s="214">
        <v>45</v>
      </c>
      <c r="E415" s="214">
        <v>43</v>
      </c>
      <c r="F415" s="214">
        <v>39</v>
      </c>
      <c r="G415" s="214">
        <v>35</v>
      </c>
      <c r="H415" s="214">
        <v>34</v>
      </c>
      <c r="I415" s="214">
        <v>34</v>
      </c>
      <c r="J415" s="214">
        <v>33</v>
      </c>
    </row>
    <row r="416" spans="2:10">
      <c r="B416" s="52" t="s">
        <v>262</v>
      </c>
      <c r="C416" s="214">
        <v>0</v>
      </c>
      <c r="D416" s="214">
        <v>0</v>
      </c>
      <c r="E416" s="214">
        <v>0</v>
      </c>
      <c r="F416" s="214">
        <v>0</v>
      </c>
      <c r="G416" s="214">
        <v>0</v>
      </c>
      <c r="H416" s="214">
        <v>0</v>
      </c>
      <c r="I416" s="214">
        <v>0</v>
      </c>
      <c r="J416" s="214">
        <v>0</v>
      </c>
    </row>
    <row r="417" spans="2:10">
      <c r="B417" s="52" t="s">
        <v>261</v>
      </c>
      <c r="C417" s="214">
        <v>1</v>
      </c>
      <c r="D417" s="214">
        <v>2</v>
      </c>
      <c r="E417" s="214">
        <v>2</v>
      </c>
      <c r="F417" s="214">
        <v>2</v>
      </c>
      <c r="G417" s="214">
        <v>2</v>
      </c>
      <c r="H417" s="214">
        <v>2</v>
      </c>
      <c r="I417" s="214">
        <v>2</v>
      </c>
      <c r="J417" s="214">
        <v>2</v>
      </c>
    </row>
    <row r="418" spans="2:10">
      <c r="B418" s="52" t="s">
        <v>260</v>
      </c>
      <c r="C418" s="214">
        <v>0</v>
      </c>
      <c r="D418" s="214">
        <v>0</v>
      </c>
      <c r="E418" s="214">
        <v>0</v>
      </c>
      <c r="F418" s="214">
        <v>0</v>
      </c>
      <c r="G418" s="214">
        <v>0</v>
      </c>
      <c r="H418" s="214">
        <v>0</v>
      </c>
      <c r="I418" s="214">
        <v>0</v>
      </c>
      <c r="J418" s="214">
        <v>0</v>
      </c>
    </row>
    <row r="419" spans="2:10">
      <c r="B419" s="52" t="s">
        <v>492</v>
      </c>
      <c r="C419" s="214">
        <v>46</v>
      </c>
      <c r="D419" s="214">
        <v>43</v>
      </c>
      <c r="E419" s="214">
        <v>41</v>
      </c>
      <c r="F419" s="214">
        <v>37</v>
      </c>
      <c r="G419" s="214">
        <v>33</v>
      </c>
      <c r="H419" s="214">
        <v>32</v>
      </c>
      <c r="I419" s="214">
        <v>32</v>
      </c>
      <c r="J419" s="214">
        <v>31</v>
      </c>
    </row>
    <row r="420" spans="2:10">
      <c r="B420" s="52"/>
      <c r="C420" s="214"/>
      <c r="D420" s="214"/>
      <c r="E420" s="214"/>
      <c r="F420" s="214"/>
      <c r="G420" s="214"/>
      <c r="H420" s="214"/>
      <c r="I420" s="214"/>
      <c r="J420" s="214"/>
    </row>
    <row r="421" spans="2:10">
      <c r="B421" s="76" t="s">
        <v>493</v>
      </c>
      <c r="C421" s="113">
        <v>3</v>
      </c>
      <c r="D421" s="113">
        <v>3</v>
      </c>
      <c r="E421" s="113">
        <v>3</v>
      </c>
      <c r="F421" s="113">
        <v>3</v>
      </c>
      <c r="G421" s="113">
        <v>2</v>
      </c>
      <c r="H421" s="113">
        <v>2</v>
      </c>
      <c r="I421" s="113">
        <v>2</v>
      </c>
      <c r="J421" s="113">
        <v>2</v>
      </c>
    </row>
    <row r="422" spans="2:10">
      <c r="B422" s="64" t="s">
        <v>264</v>
      </c>
      <c r="C422" s="138">
        <v>47</v>
      </c>
      <c r="D422" s="138">
        <v>45</v>
      </c>
      <c r="E422" s="138">
        <v>43</v>
      </c>
      <c r="F422" s="138">
        <v>39</v>
      </c>
      <c r="G422" s="138">
        <v>35</v>
      </c>
      <c r="H422" s="138">
        <v>34</v>
      </c>
      <c r="I422" s="138">
        <v>34</v>
      </c>
      <c r="J422" s="138">
        <v>33</v>
      </c>
    </row>
    <row r="423" spans="2:10">
      <c r="B423" s="52" t="s">
        <v>262</v>
      </c>
      <c r="C423" s="138">
        <v>0</v>
      </c>
      <c r="D423" s="138">
        <v>0</v>
      </c>
      <c r="E423" s="138">
        <v>0</v>
      </c>
      <c r="F423" s="138">
        <v>0</v>
      </c>
      <c r="G423" s="138">
        <v>0</v>
      </c>
      <c r="H423" s="138">
        <v>0</v>
      </c>
      <c r="I423" s="138">
        <v>0</v>
      </c>
      <c r="J423" s="138">
        <v>0</v>
      </c>
    </row>
    <row r="424" spans="2:10">
      <c r="B424" s="52" t="s">
        <v>261</v>
      </c>
      <c r="C424" s="138">
        <v>1</v>
      </c>
      <c r="D424" s="138">
        <v>2</v>
      </c>
      <c r="E424" s="138">
        <v>2</v>
      </c>
      <c r="F424" s="138">
        <v>2</v>
      </c>
      <c r="G424" s="138">
        <v>2</v>
      </c>
      <c r="H424" s="138">
        <v>2</v>
      </c>
      <c r="I424" s="138">
        <v>2</v>
      </c>
      <c r="J424" s="138">
        <v>2</v>
      </c>
    </row>
    <row r="425" spans="2:10">
      <c r="B425" s="52" t="s">
        <v>260</v>
      </c>
      <c r="C425" s="138">
        <v>0</v>
      </c>
      <c r="D425" s="138">
        <v>0</v>
      </c>
      <c r="E425" s="138">
        <v>0</v>
      </c>
      <c r="F425" s="138">
        <v>0</v>
      </c>
      <c r="G425" s="138">
        <v>0</v>
      </c>
      <c r="H425" s="138">
        <v>0</v>
      </c>
      <c r="I425" s="138">
        <v>0</v>
      </c>
      <c r="J425" s="138">
        <v>0</v>
      </c>
    </row>
    <row r="426" spans="2:10">
      <c r="B426" s="52" t="s">
        <v>494</v>
      </c>
      <c r="C426" s="138">
        <v>46</v>
      </c>
      <c r="D426" s="138">
        <v>43</v>
      </c>
      <c r="E426" s="138">
        <v>41</v>
      </c>
      <c r="F426" s="138">
        <v>37</v>
      </c>
      <c r="G426" s="138">
        <v>33</v>
      </c>
      <c r="H426" s="138">
        <v>32</v>
      </c>
      <c r="I426" s="138">
        <v>32</v>
      </c>
      <c r="J426" s="138">
        <v>31</v>
      </c>
    </row>
    <row r="427" spans="2:10">
      <c r="B427" s="52"/>
      <c r="C427" s="3"/>
      <c r="D427" s="3"/>
      <c r="E427" s="3"/>
      <c r="F427" s="3"/>
      <c r="G427" s="3"/>
      <c r="H427" s="3"/>
      <c r="I427" s="3"/>
      <c r="J427" s="3"/>
    </row>
    <row r="428" spans="2:10">
      <c r="B428" s="52" t="s">
        <v>495</v>
      </c>
      <c r="C428" s="3">
        <v>0</v>
      </c>
      <c r="D428" s="3">
        <v>0</v>
      </c>
      <c r="E428" s="3">
        <v>0</v>
      </c>
      <c r="F428" s="3">
        <v>0</v>
      </c>
      <c r="G428" s="3">
        <v>0</v>
      </c>
      <c r="H428" s="3">
        <v>0</v>
      </c>
      <c r="I428" s="3">
        <v>0</v>
      </c>
      <c r="J428" s="3">
        <v>0</v>
      </c>
    </row>
    <row r="429" spans="2:10">
      <c r="B429" s="52" t="s">
        <v>262</v>
      </c>
      <c r="C429" s="3">
        <v>0</v>
      </c>
      <c r="D429" s="3">
        <v>0</v>
      </c>
      <c r="E429" s="3">
        <v>0</v>
      </c>
      <c r="F429" s="3">
        <v>0</v>
      </c>
      <c r="G429" s="3">
        <v>0</v>
      </c>
      <c r="H429" s="3">
        <v>0</v>
      </c>
      <c r="I429" s="3">
        <v>0</v>
      </c>
      <c r="J429" s="3">
        <v>0</v>
      </c>
    </row>
    <row r="430" spans="2:10">
      <c r="B430" s="52" t="s">
        <v>261</v>
      </c>
      <c r="C430" s="3">
        <v>0</v>
      </c>
      <c r="D430" s="3">
        <v>0</v>
      </c>
      <c r="E430" s="3">
        <v>0</v>
      </c>
      <c r="F430" s="3">
        <v>0</v>
      </c>
      <c r="G430" s="3">
        <v>0</v>
      </c>
      <c r="H430" s="3">
        <v>0</v>
      </c>
      <c r="I430" s="3">
        <v>0</v>
      </c>
      <c r="J430" s="3">
        <v>0</v>
      </c>
    </row>
    <row r="431" spans="2:10">
      <c r="B431" s="52" t="s">
        <v>260</v>
      </c>
      <c r="C431" s="3">
        <v>0</v>
      </c>
      <c r="D431" s="3">
        <v>0</v>
      </c>
      <c r="E431" s="3">
        <v>0</v>
      </c>
      <c r="F431" s="3">
        <v>0</v>
      </c>
      <c r="G431" s="3">
        <v>0</v>
      </c>
      <c r="H431" s="3">
        <v>0</v>
      </c>
      <c r="I431" s="3">
        <v>0</v>
      </c>
      <c r="J431" s="3">
        <v>0</v>
      </c>
    </row>
    <row r="432" spans="2:10" ht="15" thickBot="1">
      <c r="B432" s="52" t="s">
        <v>496</v>
      </c>
      <c r="C432" s="3">
        <v>0</v>
      </c>
      <c r="D432" s="3">
        <v>0</v>
      </c>
      <c r="E432" s="3">
        <v>0</v>
      </c>
      <c r="F432" s="3">
        <v>0</v>
      </c>
      <c r="G432" s="3">
        <v>0</v>
      </c>
      <c r="H432" s="3">
        <v>0</v>
      </c>
      <c r="I432" s="3">
        <v>0</v>
      </c>
      <c r="J432" s="3">
        <v>0</v>
      </c>
    </row>
    <row r="433" spans="2:10" ht="15" thickTop="1">
      <c r="B433" s="2025" t="s">
        <v>479</v>
      </c>
      <c r="C433" s="2025"/>
      <c r="D433" s="2025"/>
      <c r="E433" s="2025"/>
      <c r="F433" s="2025"/>
      <c r="G433" s="2025"/>
      <c r="H433" s="2025"/>
      <c r="I433" s="2025"/>
      <c r="J433" s="2025"/>
    </row>
    <row r="434" spans="2:10">
      <c r="B434" s="62"/>
      <c r="C434" s="121"/>
      <c r="D434" s="121"/>
      <c r="E434" s="121"/>
      <c r="F434" s="121"/>
      <c r="G434" s="121"/>
      <c r="H434" s="121"/>
      <c r="I434" s="121"/>
      <c r="J434" s="121"/>
    </row>
    <row r="435" spans="2:10">
      <c r="B435" s="2024" t="s">
        <v>258</v>
      </c>
      <c r="C435" s="2024"/>
      <c r="D435" s="2024"/>
      <c r="E435" s="2024"/>
      <c r="F435" s="2024"/>
      <c r="G435" s="2024"/>
      <c r="H435" s="2024"/>
      <c r="I435" s="2024"/>
      <c r="J435" s="2024"/>
    </row>
    <row r="436" spans="2:10">
      <c r="B436" s="12" t="s">
        <v>257</v>
      </c>
      <c r="C436" s="121"/>
      <c r="D436" s="121"/>
      <c r="E436" s="121"/>
      <c r="F436" s="121"/>
      <c r="G436" s="121"/>
      <c r="H436" s="121"/>
      <c r="I436" s="121"/>
      <c r="J436" s="121"/>
    </row>
    <row r="437" spans="2:10">
      <c r="B437" s="77" t="s">
        <v>256</v>
      </c>
      <c r="C437" s="121"/>
      <c r="D437" s="121"/>
      <c r="E437" s="121"/>
      <c r="F437" s="121"/>
      <c r="G437" s="121"/>
      <c r="H437" s="121"/>
      <c r="I437" s="121"/>
      <c r="J437" s="121"/>
    </row>
    <row r="438" spans="2:10">
      <c r="B438" s="62"/>
      <c r="C438" s="121"/>
      <c r="D438" s="121"/>
      <c r="E438" s="121"/>
      <c r="F438" s="121"/>
      <c r="G438" s="121"/>
      <c r="H438" s="121"/>
      <c r="I438" s="121"/>
      <c r="J438" s="121"/>
    </row>
    <row r="439" spans="2:10">
      <c r="B439" s="61"/>
      <c r="C439" s="60">
        <v>2014</v>
      </c>
      <c r="D439" s="60">
        <v>2015</v>
      </c>
      <c r="E439" s="60">
        <v>2016</v>
      </c>
      <c r="F439" s="60">
        <v>2017</v>
      </c>
      <c r="G439" s="60">
        <v>2018</v>
      </c>
      <c r="H439" s="60">
        <v>2019</v>
      </c>
      <c r="I439" s="60">
        <v>2020</v>
      </c>
      <c r="J439" s="60">
        <v>2021</v>
      </c>
    </row>
    <row r="440" spans="2:10">
      <c r="B440" s="76" t="s">
        <v>491</v>
      </c>
      <c r="C440" s="121"/>
      <c r="D440" s="121"/>
      <c r="E440" s="121"/>
      <c r="F440" s="121"/>
      <c r="G440" s="121"/>
      <c r="H440" s="121"/>
      <c r="I440" s="121"/>
      <c r="J440" s="121"/>
    </row>
    <row r="441" spans="2:10">
      <c r="B441" s="71" t="s">
        <v>247</v>
      </c>
      <c r="C441" s="55">
        <v>364</v>
      </c>
      <c r="D441" s="55">
        <v>358</v>
      </c>
      <c r="E441" s="55">
        <v>349</v>
      </c>
      <c r="F441" s="55">
        <v>343</v>
      </c>
      <c r="G441" s="55">
        <v>340</v>
      </c>
      <c r="H441" s="55">
        <v>347</v>
      </c>
      <c r="I441" s="55">
        <v>348</v>
      </c>
      <c r="J441" s="55">
        <v>353</v>
      </c>
    </row>
    <row r="442" spans="2:10">
      <c r="B442" s="52" t="s">
        <v>121</v>
      </c>
      <c r="C442" s="55">
        <v>134</v>
      </c>
      <c r="D442" s="55">
        <v>135</v>
      </c>
      <c r="E442" s="55">
        <v>135</v>
      </c>
      <c r="F442" s="55">
        <v>131</v>
      </c>
      <c r="G442" s="55">
        <v>135</v>
      </c>
      <c r="H442" s="55">
        <v>144</v>
      </c>
      <c r="I442" s="55">
        <v>154</v>
      </c>
      <c r="J442" s="55">
        <v>159</v>
      </c>
    </row>
    <row r="443" spans="2:10">
      <c r="B443" s="53" t="s">
        <v>497</v>
      </c>
      <c r="C443" s="55">
        <v>12</v>
      </c>
      <c r="D443" s="55">
        <v>9</v>
      </c>
      <c r="E443" s="55">
        <v>10</v>
      </c>
      <c r="F443" s="55">
        <v>10</v>
      </c>
      <c r="G443" s="55">
        <v>13</v>
      </c>
      <c r="H443" s="55">
        <v>11</v>
      </c>
      <c r="I443" s="55">
        <v>9</v>
      </c>
      <c r="J443" s="55">
        <v>9</v>
      </c>
    </row>
    <row r="444" spans="2:10">
      <c r="B444" s="53" t="s">
        <v>498</v>
      </c>
      <c r="C444" s="55">
        <v>122</v>
      </c>
      <c r="D444" s="55">
        <v>126</v>
      </c>
      <c r="E444" s="55">
        <v>125</v>
      </c>
      <c r="F444" s="55">
        <v>121</v>
      </c>
      <c r="G444" s="55">
        <v>122</v>
      </c>
      <c r="H444" s="55">
        <v>133</v>
      </c>
      <c r="I444" s="55">
        <v>145</v>
      </c>
      <c r="J444" s="55">
        <v>150</v>
      </c>
    </row>
    <row r="445" spans="2:10">
      <c r="B445" s="52" t="s">
        <v>499</v>
      </c>
      <c r="C445" s="55">
        <v>230</v>
      </c>
      <c r="D445" s="55">
        <v>223</v>
      </c>
      <c r="E445" s="55">
        <v>214</v>
      </c>
      <c r="F445" s="55">
        <v>212</v>
      </c>
      <c r="G445" s="55">
        <v>205</v>
      </c>
      <c r="H445" s="55">
        <v>203</v>
      </c>
      <c r="I445" s="55">
        <v>194</v>
      </c>
      <c r="J445" s="55">
        <v>194</v>
      </c>
    </row>
    <row r="446" spans="2:10" ht="15" thickBot="1">
      <c r="B446" s="50" t="s">
        <v>500</v>
      </c>
      <c r="C446" s="101">
        <v>0</v>
      </c>
      <c r="D446" s="101">
        <v>0</v>
      </c>
      <c r="E446" s="101">
        <v>0</v>
      </c>
      <c r="F446" s="101">
        <v>0</v>
      </c>
      <c r="G446" s="101">
        <v>0</v>
      </c>
      <c r="H446" s="101">
        <v>0</v>
      </c>
      <c r="I446" s="101">
        <v>0</v>
      </c>
      <c r="J446" s="101">
        <v>0</v>
      </c>
    </row>
    <row r="447" spans="2:10" ht="15" thickTop="1">
      <c r="B447" s="2025" t="s">
        <v>501</v>
      </c>
      <c r="C447" s="2025"/>
      <c r="D447" s="2025"/>
      <c r="E447" s="2025"/>
      <c r="F447" s="2025"/>
      <c r="G447" s="2025"/>
      <c r="H447" s="2025"/>
      <c r="I447" s="2025"/>
      <c r="J447" s="2025"/>
    </row>
    <row r="448" spans="2:10">
      <c r="B448" s="64"/>
      <c r="C448" s="121"/>
      <c r="D448" s="121"/>
      <c r="E448" s="121"/>
      <c r="F448" s="121"/>
      <c r="G448" s="121"/>
      <c r="H448" s="121"/>
      <c r="I448" s="121"/>
      <c r="J448" s="121"/>
    </row>
    <row r="449" spans="2:10">
      <c r="B449" s="2024" t="s">
        <v>244</v>
      </c>
      <c r="C449" s="2024"/>
      <c r="D449" s="2024"/>
      <c r="E449" s="2024"/>
      <c r="F449" s="2024"/>
      <c r="G449" s="2024"/>
      <c r="H449" s="2024"/>
      <c r="I449" s="2024"/>
      <c r="J449" s="2024"/>
    </row>
    <row r="450" spans="2:10">
      <c r="B450" s="12" t="s">
        <v>243</v>
      </c>
      <c r="C450" s="121"/>
      <c r="D450" s="121"/>
      <c r="E450" s="121"/>
      <c r="F450" s="121"/>
      <c r="G450" s="121"/>
      <c r="H450" s="121"/>
      <c r="I450" s="121"/>
      <c r="J450" s="121"/>
    </row>
    <row r="451" spans="2:10">
      <c r="B451" s="62" t="s">
        <v>242</v>
      </c>
      <c r="C451" s="121"/>
      <c r="D451" s="121"/>
      <c r="E451" s="121"/>
      <c r="F451" s="121"/>
      <c r="G451" s="121"/>
      <c r="H451" s="121"/>
      <c r="I451" s="121"/>
      <c r="J451" s="121"/>
    </row>
    <row r="452" spans="2:10">
      <c r="B452" s="64"/>
      <c r="C452" s="121"/>
      <c r="D452" s="121"/>
      <c r="E452" s="121"/>
      <c r="F452" s="121"/>
      <c r="G452" s="121"/>
      <c r="H452" s="121"/>
      <c r="I452" s="121"/>
      <c r="J452" s="121"/>
    </row>
    <row r="453" spans="2:10">
      <c r="B453" s="61"/>
      <c r="C453" s="60">
        <v>2014</v>
      </c>
      <c r="D453" s="60">
        <v>2015</v>
      </c>
      <c r="E453" s="60">
        <v>2016</v>
      </c>
      <c r="F453" s="60">
        <v>2017</v>
      </c>
      <c r="G453" s="60">
        <v>2018</v>
      </c>
      <c r="H453" s="60">
        <v>2019</v>
      </c>
      <c r="I453" s="60">
        <v>2020</v>
      </c>
      <c r="J453" s="60">
        <v>2021</v>
      </c>
    </row>
    <row r="454" spans="2:10">
      <c r="B454" s="76" t="s">
        <v>491</v>
      </c>
      <c r="C454" s="121"/>
      <c r="D454" s="121"/>
      <c r="E454" s="121"/>
      <c r="F454" s="121"/>
      <c r="G454" s="121"/>
      <c r="H454" s="121"/>
      <c r="I454" s="121"/>
      <c r="J454" s="121"/>
    </row>
    <row r="455" spans="2:10" ht="15" thickBot="1">
      <c r="B455" s="71" t="s">
        <v>239</v>
      </c>
      <c r="C455" s="203">
        <v>233041.93750205802</v>
      </c>
      <c r="D455" s="203">
        <v>190625.41776232081</v>
      </c>
      <c r="E455" s="203">
        <v>209857.27045212727</v>
      </c>
      <c r="F455" s="203">
        <v>294327.0472351354</v>
      </c>
      <c r="G455" s="203">
        <v>249802.11013526138</v>
      </c>
      <c r="H455" s="203">
        <v>205797.76530310762</v>
      </c>
      <c r="I455" s="203">
        <f>131122362/782</f>
        <v>167675.65473145779</v>
      </c>
      <c r="J455" s="203">
        <f>129624526/767</f>
        <v>169001.98956975227</v>
      </c>
    </row>
    <row r="456" spans="2:10" ht="15" thickTop="1">
      <c r="B456" s="2025" t="s">
        <v>502</v>
      </c>
      <c r="C456" s="2025"/>
      <c r="D456" s="2025"/>
      <c r="E456" s="2025"/>
      <c r="F456" s="2025"/>
      <c r="G456" s="2025"/>
      <c r="H456" s="2025"/>
      <c r="I456" s="2025"/>
      <c r="J456" s="2025"/>
    </row>
    <row r="457" spans="2:10">
      <c r="B457" s="2017"/>
      <c r="C457" s="2017"/>
      <c r="D457" s="2017"/>
      <c r="E457" s="2017"/>
      <c r="F457" s="2017"/>
      <c r="G457" s="2017"/>
      <c r="H457" s="2017"/>
      <c r="I457" s="2017"/>
      <c r="J457" s="2017"/>
    </row>
    <row r="458" spans="2:10">
      <c r="B458" s="64"/>
      <c r="C458" s="121"/>
      <c r="D458" s="121"/>
      <c r="E458" s="121"/>
      <c r="F458" s="121"/>
      <c r="G458" s="121"/>
      <c r="H458" s="121"/>
      <c r="I458" s="121"/>
      <c r="J458" s="121"/>
    </row>
    <row r="459" spans="2:10">
      <c r="B459" s="2024" t="s">
        <v>238</v>
      </c>
      <c r="C459" s="2024"/>
      <c r="D459" s="2024"/>
      <c r="E459" s="2024"/>
      <c r="F459" s="2024"/>
      <c r="G459" s="2024"/>
      <c r="H459" s="2024"/>
      <c r="I459" s="2024"/>
      <c r="J459" s="2024"/>
    </row>
    <row r="460" spans="2:10">
      <c r="B460" s="12" t="s">
        <v>237</v>
      </c>
      <c r="C460" s="121"/>
      <c r="D460" s="121"/>
      <c r="E460" s="121"/>
      <c r="F460" s="121"/>
      <c r="G460" s="121"/>
      <c r="H460" s="121"/>
      <c r="I460" s="121"/>
      <c r="J460" s="121"/>
    </row>
    <row r="461" spans="2:10">
      <c r="B461" s="62" t="s">
        <v>236</v>
      </c>
      <c r="C461" s="121"/>
      <c r="D461" s="121"/>
      <c r="E461" s="121"/>
      <c r="F461" s="121"/>
      <c r="G461" s="121"/>
      <c r="H461" s="121"/>
      <c r="I461" s="121"/>
      <c r="J461" s="121"/>
    </row>
    <row r="462" spans="2:10">
      <c r="B462" s="64"/>
      <c r="C462" s="121"/>
      <c r="D462" s="121"/>
      <c r="E462" s="121"/>
      <c r="F462" s="121"/>
      <c r="G462" s="121"/>
      <c r="H462" s="121"/>
      <c r="I462" s="121"/>
      <c r="J462" s="121"/>
    </row>
    <row r="463" spans="2:10">
      <c r="B463" s="61"/>
      <c r="C463" s="60">
        <v>2014</v>
      </c>
      <c r="D463" s="60">
        <v>2015</v>
      </c>
      <c r="E463" s="60">
        <v>2016</v>
      </c>
      <c r="F463" s="60">
        <v>2017</v>
      </c>
      <c r="G463" s="60">
        <v>2018</v>
      </c>
      <c r="H463" s="60">
        <v>2019</v>
      </c>
      <c r="I463" s="60">
        <v>2020</v>
      </c>
      <c r="J463" s="60">
        <v>2021</v>
      </c>
    </row>
    <row r="464" spans="2:10">
      <c r="B464" s="59" t="s">
        <v>503</v>
      </c>
      <c r="C464" s="121"/>
      <c r="D464" s="121"/>
      <c r="E464" s="121"/>
      <c r="F464" s="121"/>
      <c r="G464" s="121"/>
      <c r="H464" s="121"/>
      <c r="I464" s="121"/>
      <c r="J464" s="121"/>
    </row>
    <row r="465" spans="2:10">
      <c r="B465" s="71" t="s">
        <v>231</v>
      </c>
      <c r="C465" s="55">
        <v>1642.4625000000001</v>
      </c>
      <c r="D465" s="55">
        <v>1653.0409999999999</v>
      </c>
      <c r="E465" s="55">
        <v>1708.098</v>
      </c>
      <c r="F465" s="55">
        <v>1755.1949999999999</v>
      </c>
      <c r="G465" s="55">
        <v>1634.1869999999999</v>
      </c>
      <c r="H465" s="55">
        <v>1617.9</v>
      </c>
      <c r="I465" s="55">
        <v>1497.48</v>
      </c>
      <c r="J465" s="55">
        <v>1291.5</v>
      </c>
    </row>
    <row r="466" spans="2:10">
      <c r="B466" s="52" t="s">
        <v>121</v>
      </c>
      <c r="C466" s="55">
        <v>0</v>
      </c>
      <c r="D466" s="55">
        <v>0</v>
      </c>
      <c r="E466" s="55">
        <v>0</v>
      </c>
      <c r="F466" s="55">
        <v>0</v>
      </c>
      <c r="G466" s="55">
        <v>0</v>
      </c>
      <c r="H466" s="55">
        <v>0</v>
      </c>
      <c r="I466" s="55">
        <v>0</v>
      </c>
      <c r="J466" s="55">
        <v>0</v>
      </c>
    </row>
    <row r="467" spans="2:10">
      <c r="B467" s="53" t="s">
        <v>504</v>
      </c>
      <c r="C467" s="55">
        <v>0</v>
      </c>
      <c r="D467" s="55">
        <v>0</v>
      </c>
      <c r="E467" s="55">
        <v>0</v>
      </c>
      <c r="F467" s="55">
        <v>0</v>
      </c>
      <c r="G467" s="55">
        <v>0</v>
      </c>
      <c r="H467" s="55">
        <v>0</v>
      </c>
      <c r="I467" s="55">
        <v>0</v>
      </c>
      <c r="J467" s="55">
        <v>0</v>
      </c>
    </row>
    <row r="468" spans="2:10">
      <c r="B468" s="53" t="s">
        <v>505</v>
      </c>
      <c r="C468" s="55">
        <v>0</v>
      </c>
      <c r="D468" s="55">
        <v>0</v>
      </c>
      <c r="E468" s="55">
        <v>0</v>
      </c>
      <c r="F468" s="55">
        <v>0</v>
      </c>
      <c r="G468" s="55">
        <v>0</v>
      </c>
      <c r="H468" s="55">
        <v>0</v>
      </c>
      <c r="I468" s="55">
        <v>0</v>
      </c>
      <c r="J468" s="55">
        <v>0</v>
      </c>
    </row>
    <row r="469" spans="2:10">
      <c r="B469" s="52" t="s">
        <v>118</v>
      </c>
      <c r="C469" s="55">
        <v>0</v>
      </c>
      <c r="D469" s="55">
        <v>0</v>
      </c>
      <c r="E469" s="55">
        <v>0</v>
      </c>
      <c r="F469" s="55">
        <v>0</v>
      </c>
      <c r="G469" s="55">
        <v>0</v>
      </c>
      <c r="H469" s="55">
        <v>0</v>
      </c>
      <c r="I469" s="55">
        <v>0</v>
      </c>
      <c r="J469" s="55">
        <v>0</v>
      </c>
    </row>
    <row r="470" spans="2:10">
      <c r="B470" s="52" t="s">
        <v>506</v>
      </c>
      <c r="C470" s="55">
        <v>0</v>
      </c>
      <c r="D470" s="55">
        <v>0</v>
      </c>
      <c r="E470" s="55">
        <v>0</v>
      </c>
      <c r="F470" s="55">
        <v>0</v>
      </c>
      <c r="G470" s="55">
        <v>0</v>
      </c>
      <c r="H470" s="55">
        <v>0</v>
      </c>
      <c r="I470" s="55">
        <v>0</v>
      </c>
      <c r="J470" s="55">
        <v>0</v>
      </c>
    </row>
    <row r="471" spans="2:10">
      <c r="B471" s="52"/>
      <c r="C471" s="66"/>
      <c r="D471" s="66"/>
      <c r="E471" s="66"/>
      <c r="F471" s="66"/>
      <c r="G471" s="66"/>
      <c r="H471" s="66"/>
      <c r="I471" s="66"/>
      <c r="J471" s="66"/>
    </row>
    <row r="472" spans="2:10">
      <c r="B472" s="71" t="s">
        <v>230</v>
      </c>
      <c r="C472" s="66">
        <v>0</v>
      </c>
      <c r="D472" s="66">
        <v>0</v>
      </c>
      <c r="E472" s="66">
        <v>0</v>
      </c>
      <c r="F472" s="66">
        <v>0</v>
      </c>
      <c r="G472" s="66">
        <v>0</v>
      </c>
      <c r="H472" s="66">
        <v>0</v>
      </c>
      <c r="I472" s="66">
        <v>0</v>
      </c>
      <c r="J472" s="66">
        <v>0</v>
      </c>
    </row>
    <row r="473" spans="2:10">
      <c r="B473" s="52" t="s">
        <v>169</v>
      </c>
      <c r="C473" s="66">
        <v>0</v>
      </c>
      <c r="D473" s="66">
        <v>0</v>
      </c>
      <c r="E473" s="66">
        <v>0</v>
      </c>
      <c r="F473" s="66">
        <v>0</v>
      </c>
      <c r="G473" s="66">
        <v>0</v>
      </c>
      <c r="H473" s="66">
        <v>0</v>
      </c>
      <c r="I473" s="66">
        <v>0</v>
      </c>
      <c r="J473" s="66">
        <v>0</v>
      </c>
    </row>
    <row r="474" spans="2:10">
      <c r="B474" s="52" t="s">
        <v>168</v>
      </c>
      <c r="C474" s="66">
        <v>0</v>
      </c>
      <c r="D474" s="66">
        <v>0</v>
      </c>
      <c r="E474" s="66">
        <v>0</v>
      </c>
      <c r="F474" s="66">
        <v>0</v>
      </c>
      <c r="G474" s="66">
        <v>0</v>
      </c>
      <c r="H474" s="66">
        <v>0</v>
      </c>
      <c r="I474" s="66">
        <v>0</v>
      </c>
      <c r="J474" s="66">
        <v>0</v>
      </c>
    </row>
    <row r="475" spans="2:10">
      <c r="B475" s="52" t="s">
        <v>167</v>
      </c>
      <c r="C475" s="66">
        <v>0</v>
      </c>
      <c r="D475" s="66">
        <v>0</v>
      </c>
      <c r="E475" s="66">
        <v>0</v>
      </c>
      <c r="F475" s="66">
        <v>0</v>
      </c>
      <c r="G475" s="66">
        <v>0</v>
      </c>
      <c r="H475" s="66">
        <v>0</v>
      </c>
      <c r="I475" s="66">
        <v>0</v>
      </c>
      <c r="J475" s="66">
        <v>0</v>
      </c>
    </row>
    <row r="476" spans="2:10">
      <c r="B476" s="52" t="s">
        <v>166</v>
      </c>
      <c r="C476" s="66">
        <v>0</v>
      </c>
      <c r="D476" s="66">
        <v>0</v>
      </c>
      <c r="E476" s="66">
        <v>0</v>
      </c>
      <c r="F476" s="66">
        <v>0</v>
      </c>
      <c r="G476" s="66">
        <v>0</v>
      </c>
      <c r="H476" s="66">
        <v>0</v>
      </c>
      <c r="I476" s="66">
        <v>0</v>
      </c>
      <c r="J476" s="66">
        <v>0</v>
      </c>
    </row>
    <row r="477" spans="2:10">
      <c r="B477" s="52" t="s">
        <v>165</v>
      </c>
      <c r="C477" s="66">
        <v>0</v>
      </c>
      <c r="D477" s="66">
        <v>0</v>
      </c>
      <c r="E477" s="66">
        <v>0</v>
      </c>
      <c r="F477" s="66">
        <v>0</v>
      </c>
      <c r="G477" s="66">
        <v>0</v>
      </c>
      <c r="H477" s="66">
        <v>0</v>
      </c>
      <c r="I477" s="66">
        <v>0</v>
      </c>
      <c r="J477" s="66">
        <v>0</v>
      </c>
    </row>
    <row r="478" spans="2:10" ht="15" thickBot="1">
      <c r="B478" s="50" t="s">
        <v>164</v>
      </c>
      <c r="C478" s="66">
        <v>0</v>
      </c>
      <c r="D478" s="66">
        <v>0</v>
      </c>
      <c r="E478" s="66">
        <v>0</v>
      </c>
      <c r="F478" s="66">
        <v>0</v>
      </c>
      <c r="G478" s="66">
        <v>0</v>
      </c>
      <c r="H478" s="66">
        <v>0</v>
      </c>
      <c r="I478" s="66">
        <v>0</v>
      </c>
      <c r="J478" s="66">
        <v>0</v>
      </c>
    </row>
    <row r="479" spans="2:10" ht="15" thickTop="1">
      <c r="B479" s="2025" t="s">
        <v>507</v>
      </c>
      <c r="C479" s="2025"/>
      <c r="D479" s="2025"/>
      <c r="E479" s="2025"/>
      <c r="F479" s="2025"/>
      <c r="G479" s="2025"/>
      <c r="H479" s="2025"/>
      <c r="I479" s="2025"/>
      <c r="J479" s="2025"/>
    </row>
    <row r="480" spans="2:10">
      <c r="B480" s="64"/>
      <c r="C480" s="121"/>
      <c r="D480" s="121"/>
      <c r="E480" s="121"/>
      <c r="F480" s="121"/>
      <c r="G480" s="121"/>
      <c r="H480" s="121"/>
      <c r="I480" s="121"/>
      <c r="J480" s="121"/>
    </row>
    <row r="481" spans="2:10">
      <c r="B481" s="2024" t="s">
        <v>228</v>
      </c>
      <c r="C481" s="2024"/>
      <c r="D481" s="2024"/>
      <c r="E481" s="2024"/>
      <c r="F481" s="2024"/>
      <c r="G481" s="2024"/>
      <c r="H481" s="2024"/>
      <c r="I481" s="2024"/>
      <c r="J481" s="2024"/>
    </row>
    <row r="482" spans="2:10">
      <c r="B482" s="12" t="s">
        <v>227</v>
      </c>
      <c r="C482" s="121"/>
      <c r="D482" s="121"/>
      <c r="E482" s="121"/>
      <c r="F482" s="121"/>
      <c r="G482" s="121"/>
      <c r="H482" s="121"/>
      <c r="I482" s="121"/>
      <c r="J482" s="121"/>
    </row>
    <row r="483" spans="2:10">
      <c r="B483" s="62" t="s">
        <v>127</v>
      </c>
    </row>
    <row r="484" spans="2:10">
      <c r="B484" s="62"/>
      <c r="C484" s="121"/>
      <c r="D484" s="121"/>
      <c r="E484" s="121"/>
      <c r="F484" s="121"/>
      <c r="G484" s="121"/>
      <c r="H484" s="121"/>
      <c r="I484" s="121"/>
      <c r="J484" s="121"/>
    </row>
    <row r="485" spans="2:10">
      <c r="B485" s="61"/>
      <c r="C485" s="60">
        <v>2014</v>
      </c>
      <c r="D485" s="60">
        <v>2015</v>
      </c>
      <c r="E485" s="60">
        <v>2016</v>
      </c>
      <c r="F485" s="60">
        <v>2017</v>
      </c>
      <c r="G485" s="60">
        <v>2018</v>
      </c>
      <c r="H485" s="60">
        <v>2019</v>
      </c>
      <c r="I485" s="60">
        <v>2020</v>
      </c>
      <c r="J485" s="60">
        <v>2021</v>
      </c>
    </row>
    <row r="486" spans="2:10">
      <c r="B486" s="59" t="s">
        <v>503</v>
      </c>
      <c r="C486" s="121"/>
      <c r="D486" s="121"/>
      <c r="E486" s="121"/>
      <c r="F486" s="121"/>
      <c r="G486" s="121"/>
      <c r="H486" s="121"/>
      <c r="I486" s="121"/>
      <c r="J486" s="121"/>
    </row>
    <row r="487" spans="2:10">
      <c r="B487" s="71" t="s">
        <v>222</v>
      </c>
      <c r="C487" s="224">
        <v>1070195257.5999999</v>
      </c>
      <c r="D487" s="224">
        <v>1124553211.02</v>
      </c>
      <c r="E487" s="224">
        <v>1234877126.6400001</v>
      </c>
      <c r="F487" s="225">
        <v>1551612306</v>
      </c>
      <c r="G487" s="225">
        <v>1658991939.5700002</v>
      </c>
      <c r="H487" s="225">
        <v>1904324733.98</v>
      </c>
      <c r="I487" s="225">
        <v>2191554038.04</v>
      </c>
      <c r="J487" s="225">
        <v>1794297779.0400002</v>
      </c>
    </row>
    <row r="488" spans="2:10">
      <c r="B488" s="52" t="s">
        <v>121</v>
      </c>
      <c r="C488" s="102">
        <v>0</v>
      </c>
      <c r="D488" s="102">
        <v>0</v>
      </c>
      <c r="E488" s="102">
        <v>0</v>
      </c>
      <c r="F488" s="102">
        <v>0</v>
      </c>
      <c r="G488" s="102">
        <v>0</v>
      </c>
      <c r="H488" s="102">
        <v>0</v>
      </c>
      <c r="I488" s="102">
        <v>0</v>
      </c>
      <c r="J488" s="102">
        <v>0</v>
      </c>
    </row>
    <row r="489" spans="2:10">
      <c r="B489" s="53" t="s">
        <v>497</v>
      </c>
      <c r="C489" s="102">
        <v>0</v>
      </c>
      <c r="D489" s="102">
        <v>0</v>
      </c>
      <c r="E489" s="102">
        <v>0</v>
      </c>
      <c r="F489" s="102">
        <v>0</v>
      </c>
      <c r="G489" s="102">
        <v>0</v>
      </c>
      <c r="H489" s="102">
        <v>0</v>
      </c>
      <c r="I489" s="102">
        <v>0</v>
      </c>
      <c r="J489" s="102">
        <v>0</v>
      </c>
    </row>
    <row r="490" spans="2:10">
      <c r="B490" s="53" t="s">
        <v>498</v>
      </c>
      <c r="C490" s="102">
        <v>0</v>
      </c>
      <c r="D490" s="102">
        <v>0</v>
      </c>
      <c r="E490" s="102">
        <v>0</v>
      </c>
      <c r="F490" s="102">
        <v>0</v>
      </c>
      <c r="G490" s="102">
        <v>0</v>
      </c>
      <c r="H490" s="102">
        <v>0</v>
      </c>
      <c r="I490" s="102">
        <v>0</v>
      </c>
      <c r="J490" s="102">
        <v>0</v>
      </c>
    </row>
    <row r="491" spans="2:10">
      <c r="B491" s="52" t="s">
        <v>118</v>
      </c>
      <c r="C491" s="102">
        <v>0</v>
      </c>
      <c r="D491" s="102">
        <v>0</v>
      </c>
      <c r="E491" s="102">
        <v>0</v>
      </c>
      <c r="F491" s="102">
        <v>0</v>
      </c>
      <c r="G491" s="102">
        <v>0</v>
      </c>
      <c r="H491" s="102">
        <v>0</v>
      </c>
      <c r="I491" s="102">
        <v>0</v>
      </c>
      <c r="J491" s="102">
        <v>0</v>
      </c>
    </row>
    <row r="492" spans="2:10">
      <c r="B492" s="52" t="s">
        <v>500</v>
      </c>
      <c r="C492" s="102">
        <v>0</v>
      </c>
      <c r="D492" s="102">
        <v>0</v>
      </c>
      <c r="E492" s="102">
        <v>0</v>
      </c>
      <c r="F492" s="102">
        <v>0</v>
      </c>
      <c r="G492" s="102">
        <v>0</v>
      </c>
      <c r="H492" s="102">
        <v>0</v>
      </c>
      <c r="I492" s="102">
        <v>0</v>
      </c>
      <c r="J492" s="102">
        <v>0</v>
      </c>
    </row>
    <row r="493" spans="2:10">
      <c r="B493" s="52"/>
      <c r="C493" s="66"/>
      <c r="D493" s="66"/>
      <c r="E493" s="66"/>
      <c r="F493" s="66"/>
      <c r="G493" s="66"/>
      <c r="H493" s="66"/>
      <c r="I493" s="66"/>
      <c r="J493" s="66"/>
    </row>
    <row r="494" spans="2:10">
      <c r="B494" s="71" t="s">
        <v>221</v>
      </c>
      <c r="C494" s="66">
        <v>0</v>
      </c>
      <c r="D494" s="66">
        <v>0</v>
      </c>
      <c r="E494" s="66">
        <v>0</v>
      </c>
      <c r="F494" s="66">
        <v>0</v>
      </c>
      <c r="G494" s="66">
        <v>0</v>
      </c>
      <c r="H494" s="66">
        <v>0</v>
      </c>
      <c r="I494" s="66">
        <v>0</v>
      </c>
      <c r="J494" s="66">
        <v>0</v>
      </c>
    </row>
    <row r="495" spans="2:10">
      <c r="B495" s="52" t="s">
        <v>169</v>
      </c>
      <c r="C495" s="66">
        <v>0</v>
      </c>
      <c r="D495" s="66">
        <v>0</v>
      </c>
      <c r="E495" s="66">
        <v>0</v>
      </c>
      <c r="F495" s="66">
        <v>0</v>
      </c>
      <c r="G495" s="66">
        <v>0</v>
      </c>
      <c r="H495" s="66">
        <v>0</v>
      </c>
      <c r="I495" s="66">
        <v>0</v>
      </c>
      <c r="J495" s="66">
        <v>0</v>
      </c>
    </row>
    <row r="496" spans="2:10">
      <c r="B496" s="52" t="s">
        <v>168</v>
      </c>
      <c r="C496" s="66">
        <v>0</v>
      </c>
      <c r="D496" s="66">
        <v>0</v>
      </c>
      <c r="E496" s="66">
        <v>0</v>
      </c>
      <c r="F496" s="66">
        <v>0</v>
      </c>
      <c r="G496" s="66">
        <v>0</v>
      </c>
      <c r="H496" s="66">
        <v>0</v>
      </c>
      <c r="I496" s="66">
        <v>0</v>
      </c>
      <c r="J496" s="66">
        <v>0</v>
      </c>
    </row>
    <row r="497" spans="2:10">
      <c r="B497" s="52" t="s">
        <v>167</v>
      </c>
      <c r="C497" s="66">
        <v>0</v>
      </c>
      <c r="D497" s="66">
        <v>0</v>
      </c>
      <c r="E497" s="66">
        <v>0</v>
      </c>
      <c r="F497" s="66">
        <v>0</v>
      </c>
      <c r="G497" s="66">
        <v>0</v>
      </c>
      <c r="H497" s="66">
        <v>0</v>
      </c>
      <c r="I497" s="66">
        <v>0</v>
      </c>
      <c r="J497" s="66">
        <v>0</v>
      </c>
    </row>
    <row r="498" spans="2:10">
      <c r="B498" s="52" t="s">
        <v>166</v>
      </c>
      <c r="C498" s="66">
        <v>0</v>
      </c>
      <c r="D498" s="66">
        <v>0</v>
      </c>
      <c r="E498" s="66">
        <v>0</v>
      </c>
      <c r="F498" s="66">
        <v>0</v>
      </c>
      <c r="G498" s="66">
        <v>0</v>
      </c>
      <c r="H498" s="66">
        <v>0</v>
      </c>
      <c r="I498" s="66">
        <v>0</v>
      </c>
      <c r="J498" s="66">
        <v>0</v>
      </c>
    </row>
    <row r="499" spans="2:10">
      <c r="B499" s="52" t="s">
        <v>165</v>
      </c>
      <c r="C499" s="66">
        <v>0</v>
      </c>
      <c r="D499" s="66">
        <v>0</v>
      </c>
      <c r="E499" s="66">
        <v>0</v>
      </c>
      <c r="F499" s="66">
        <v>0</v>
      </c>
      <c r="G499" s="66">
        <v>0</v>
      </c>
      <c r="H499" s="66">
        <v>0</v>
      </c>
      <c r="I499" s="66">
        <v>0</v>
      </c>
      <c r="J499" s="66">
        <v>0</v>
      </c>
    </row>
    <row r="500" spans="2:10" ht="15" thickBot="1">
      <c r="B500" s="52" t="s">
        <v>164</v>
      </c>
      <c r="C500" s="66">
        <v>0</v>
      </c>
      <c r="D500" s="66">
        <v>0</v>
      </c>
      <c r="E500" s="66">
        <v>0</v>
      </c>
      <c r="F500" s="66">
        <v>0</v>
      </c>
      <c r="G500" s="66">
        <v>0</v>
      </c>
      <c r="H500" s="66">
        <v>0</v>
      </c>
      <c r="I500" s="66">
        <v>0</v>
      </c>
      <c r="J500" s="66">
        <v>0</v>
      </c>
    </row>
    <row r="501" spans="2:10" ht="15" thickTop="1">
      <c r="B501" s="2025" t="s">
        <v>507</v>
      </c>
      <c r="C501" s="2025"/>
      <c r="D501" s="2025"/>
      <c r="E501" s="2025"/>
      <c r="F501" s="2025"/>
      <c r="G501" s="2025"/>
      <c r="H501" s="2025"/>
      <c r="I501" s="2025"/>
      <c r="J501" s="2025"/>
    </row>
    <row r="502" spans="2:10">
      <c r="B502" s="64"/>
      <c r="C502" s="121"/>
      <c r="D502" s="121"/>
      <c r="E502" s="121"/>
      <c r="F502" s="121"/>
      <c r="G502" s="121"/>
      <c r="H502" s="121"/>
      <c r="I502" s="121"/>
      <c r="J502" s="121"/>
    </row>
    <row r="503" spans="2:10">
      <c r="B503" s="2024" t="s">
        <v>219</v>
      </c>
      <c r="C503" s="2024"/>
      <c r="D503" s="2024"/>
      <c r="E503" s="2024"/>
      <c r="F503" s="2024"/>
      <c r="G503" s="2024"/>
      <c r="H503" s="2024"/>
      <c r="I503" s="2024"/>
      <c r="J503" s="2024"/>
    </row>
    <row r="504" spans="2:10">
      <c r="B504" s="12" t="s">
        <v>218</v>
      </c>
      <c r="C504" s="121"/>
      <c r="D504" s="121"/>
      <c r="E504" s="121"/>
      <c r="F504" s="121"/>
      <c r="G504" s="121"/>
      <c r="H504" s="121"/>
      <c r="I504" s="121"/>
      <c r="J504" s="121"/>
    </row>
    <row r="505" spans="2:10">
      <c r="B505" s="77" t="s">
        <v>269</v>
      </c>
      <c r="C505" s="121"/>
      <c r="D505" s="121"/>
      <c r="E505" s="121"/>
      <c r="F505" s="121"/>
      <c r="G505" s="121"/>
      <c r="H505" s="121"/>
      <c r="I505" s="121"/>
      <c r="J505" s="121"/>
    </row>
    <row r="506" spans="2:10">
      <c r="B506" s="61"/>
      <c r="C506" s="60">
        <v>2014</v>
      </c>
      <c r="D506" s="60">
        <v>2015</v>
      </c>
      <c r="E506" s="60">
        <v>2016</v>
      </c>
      <c r="F506" s="60">
        <v>2017</v>
      </c>
      <c r="G506" s="60">
        <v>2018</v>
      </c>
      <c r="H506" s="60">
        <v>2019</v>
      </c>
      <c r="I506" s="60">
        <v>2020</v>
      </c>
      <c r="J506" s="60">
        <v>2021</v>
      </c>
    </row>
    <row r="507" spans="2:10">
      <c r="B507" s="59" t="s">
        <v>508</v>
      </c>
      <c r="C507" s="121"/>
      <c r="D507" s="121"/>
      <c r="E507" s="121"/>
      <c r="F507" s="121"/>
      <c r="G507" s="121"/>
      <c r="H507" s="121"/>
      <c r="I507" s="121"/>
      <c r="J507" s="121"/>
    </row>
    <row r="508" spans="2:10">
      <c r="B508" s="71" t="s">
        <v>217</v>
      </c>
      <c r="C508" s="226">
        <v>31</v>
      </c>
      <c r="D508" s="226">
        <v>34</v>
      </c>
      <c r="E508" s="226">
        <v>33</v>
      </c>
      <c r="F508" s="226">
        <v>32</v>
      </c>
      <c r="G508" s="226">
        <v>32</v>
      </c>
      <c r="H508" s="226">
        <v>29</v>
      </c>
      <c r="I508" s="226">
        <v>30</v>
      </c>
      <c r="J508" s="226">
        <v>30</v>
      </c>
    </row>
    <row r="509" spans="2:10">
      <c r="B509" s="52" t="s">
        <v>150</v>
      </c>
      <c r="C509" s="226">
        <v>0</v>
      </c>
      <c r="D509" s="226">
        <v>0</v>
      </c>
      <c r="E509" s="226">
        <v>0</v>
      </c>
      <c r="F509" s="226">
        <v>0</v>
      </c>
      <c r="G509" s="226">
        <v>0</v>
      </c>
      <c r="H509" s="226">
        <v>0</v>
      </c>
      <c r="I509" s="226">
        <v>0</v>
      </c>
      <c r="J509" s="226">
        <v>0</v>
      </c>
    </row>
    <row r="510" spans="2:10">
      <c r="B510" s="52" t="s">
        <v>214</v>
      </c>
      <c r="C510" s="226">
        <v>0</v>
      </c>
      <c r="D510" s="226">
        <v>0</v>
      </c>
      <c r="E510" s="226">
        <v>0</v>
      </c>
      <c r="F510" s="226">
        <v>0</v>
      </c>
      <c r="G510" s="226">
        <v>0</v>
      </c>
      <c r="H510" s="226">
        <v>0</v>
      </c>
      <c r="I510" s="226">
        <v>0</v>
      </c>
      <c r="J510" s="226">
        <v>0</v>
      </c>
    </row>
    <row r="511" spans="2:10">
      <c r="B511" s="52" t="s">
        <v>147</v>
      </c>
      <c r="C511" s="226">
        <v>2</v>
      </c>
      <c r="D511" s="226">
        <v>2</v>
      </c>
      <c r="E511" s="226">
        <v>1</v>
      </c>
      <c r="F511" s="226">
        <v>1</v>
      </c>
      <c r="G511" s="226">
        <v>2</v>
      </c>
      <c r="H511" s="226">
        <v>1</v>
      </c>
      <c r="I511" s="226">
        <v>1</v>
      </c>
      <c r="J511" s="226">
        <v>1</v>
      </c>
    </row>
    <row r="512" spans="2:10">
      <c r="B512" s="52" t="s">
        <v>509</v>
      </c>
      <c r="C512" s="226">
        <v>29</v>
      </c>
      <c r="D512" s="226">
        <v>32</v>
      </c>
      <c r="E512" s="226">
        <v>32</v>
      </c>
      <c r="F512" s="226">
        <v>31</v>
      </c>
      <c r="G512" s="226">
        <v>31</v>
      </c>
      <c r="H512" s="226">
        <v>28</v>
      </c>
      <c r="I512" s="226">
        <v>29</v>
      </c>
      <c r="J512" s="226">
        <v>29</v>
      </c>
    </row>
    <row r="513" spans="2:10">
      <c r="B513" s="52"/>
      <c r="C513" s="226"/>
      <c r="D513" s="226"/>
      <c r="E513" s="226"/>
      <c r="F513" s="226"/>
      <c r="G513" s="226"/>
      <c r="H513" s="226"/>
      <c r="I513" s="226"/>
      <c r="J513" s="226"/>
    </row>
    <row r="514" spans="2:10">
      <c r="B514" s="59" t="s">
        <v>510</v>
      </c>
      <c r="C514" s="226">
        <v>0</v>
      </c>
      <c r="D514" s="226">
        <v>13</v>
      </c>
      <c r="E514" s="226">
        <v>12</v>
      </c>
      <c r="F514" s="226">
        <v>12</v>
      </c>
      <c r="G514" s="226">
        <v>11</v>
      </c>
      <c r="H514" s="226">
        <v>11</v>
      </c>
      <c r="I514" s="226">
        <v>11</v>
      </c>
      <c r="J514" s="226">
        <v>11</v>
      </c>
    </row>
    <row r="515" spans="2:10">
      <c r="B515" s="71" t="s">
        <v>217</v>
      </c>
      <c r="C515" s="226">
        <v>0</v>
      </c>
      <c r="D515" s="226">
        <v>0</v>
      </c>
      <c r="E515" s="226">
        <v>0</v>
      </c>
      <c r="F515" s="226">
        <v>0</v>
      </c>
      <c r="G515" s="226">
        <v>0</v>
      </c>
      <c r="H515" s="226">
        <v>0</v>
      </c>
      <c r="I515" s="226">
        <v>0</v>
      </c>
      <c r="J515" s="226">
        <v>0</v>
      </c>
    </row>
    <row r="516" spans="2:10">
      <c r="B516" s="52" t="s">
        <v>150</v>
      </c>
      <c r="C516" s="226">
        <v>0</v>
      </c>
      <c r="D516" s="226">
        <v>0</v>
      </c>
      <c r="E516" s="226">
        <v>0</v>
      </c>
      <c r="F516" s="226">
        <v>0</v>
      </c>
      <c r="G516" s="226">
        <v>0</v>
      </c>
      <c r="H516" s="226">
        <v>0</v>
      </c>
      <c r="I516" s="226">
        <v>0</v>
      </c>
      <c r="J516" s="226">
        <v>0</v>
      </c>
    </row>
    <row r="517" spans="2:10">
      <c r="B517" s="52" t="s">
        <v>214</v>
      </c>
      <c r="C517" s="226">
        <v>0</v>
      </c>
      <c r="D517" s="226">
        <v>0</v>
      </c>
      <c r="E517" s="226">
        <v>0</v>
      </c>
      <c r="F517" s="226">
        <v>0</v>
      </c>
      <c r="G517" s="226">
        <v>0</v>
      </c>
      <c r="H517" s="226">
        <v>0</v>
      </c>
      <c r="I517" s="226">
        <v>0</v>
      </c>
      <c r="J517" s="226">
        <v>0</v>
      </c>
    </row>
    <row r="518" spans="2:10">
      <c r="B518" s="52" t="s">
        <v>147</v>
      </c>
      <c r="C518" s="226">
        <v>0</v>
      </c>
      <c r="D518" s="226">
        <v>13</v>
      </c>
      <c r="E518" s="226">
        <v>12</v>
      </c>
      <c r="F518" s="226">
        <v>12</v>
      </c>
      <c r="G518" s="226">
        <v>11</v>
      </c>
      <c r="H518" s="226">
        <v>11</v>
      </c>
      <c r="I518" s="226">
        <v>11</v>
      </c>
      <c r="J518" s="226">
        <v>11</v>
      </c>
    </row>
    <row r="519" spans="2:10">
      <c r="B519" s="52" t="s">
        <v>509</v>
      </c>
      <c r="C519" s="226">
        <v>0</v>
      </c>
      <c r="D519" s="226">
        <v>0</v>
      </c>
      <c r="E519" s="226">
        <v>0</v>
      </c>
      <c r="F519" s="226">
        <v>0</v>
      </c>
      <c r="G519" s="226">
        <v>0</v>
      </c>
      <c r="H519" s="226">
        <v>0</v>
      </c>
      <c r="I519" s="226">
        <v>0</v>
      </c>
      <c r="J519" s="226">
        <v>0</v>
      </c>
    </row>
    <row r="520" spans="2:10" ht="15" thickBot="1"/>
    <row r="521" spans="2:10" ht="15.5" thickTop="1" thickBot="1">
      <c r="B521" s="2076" t="s">
        <v>511</v>
      </c>
      <c r="C521" s="2076"/>
      <c r="D521" s="2076"/>
      <c r="E521" s="2076"/>
      <c r="F521" s="2076"/>
      <c r="G521" s="2076"/>
      <c r="H521" s="2076"/>
      <c r="I521" s="2076"/>
      <c r="J521" s="2076"/>
    </row>
    <row r="522" spans="2:10" ht="15" thickTop="1">
      <c r="B522" s="2025"/>
      <c r="C522" s="2025"/>
      <c r="D522" s="2025"/>
      <c r="E522" s="2025"/>
      <c r="F522" s="2025"/>
      <c r="G522" s="2025"/>
      <c r="H522" s="2025"/>
      <c r="I522" s="2025"/>
      <c r="J522" s="2025"/>
    </row>
    <row r="523" spans="2:10">
      <c r="B523" s="62"/>
      <c r="C523" s="121"/>
      <c r="D523" s="121"/>
      <c r="E523" s="121"/>
      <c r="F523" s="121"/>
      <c r="G523" s="121"/>
      <c r="H523" s="121"/>
      <c r="I523" s="121"/>
      <c r="J523" s="121"/>
    </row>
    <row r="524" spans="2:10">
      <c r="B524" s="2024" t="s">
        <v>212</v>
      </c>
      <c r="C524" s="2024"/>
      <c r="D524" s="2024"/>
      <c r="E524" s="2024"/>
      <c r="F524" s="2024"/>
      <c r="G524" s="2024"/>
      <c r="H524" s="2024"/>
      <c r="I524" s="2024"/>
      <c r="J524" s="2024"/>
    </row>
    <row r="525" spans="2:10">
      <c r="B525" s="12" t="s">
        <v>211</v>
      </c>
      <c r="C525" s="121"/>
      <c r="D525" s="121"/>
      <c r="E525" s="121"/>
      <c r="F525" s="121"/>
      <c r="G525" s="121"/>
      <c r="H525" s="121"/>
      <c r="I525" s="121"/>
      <c r="J525" s="121"/>
    </row>
    <row r="526" spans="2:10">
      <c r="B526" s="64" t="s">
        <v>210</v>
      </c>
      <c r="C526" s="121"/>
      <c r="D526" s="121"/>
      <c r="E526" s="121"/>
      <c r="F526" s="121"/>
      <c r="G526" s="121"/>
      <c r="H526" s="121"/>
      <c r="I526" s="121"/>
      <c r="J526" s="121"/>
    </row>
    <row r="527" spans="2:10">
      <c r="B527" s="64"/>
      <c r="C527" s="121"/>
      <c r="D527" s="121"/>
      <c r="E527" s="121"/>
      <c r="F527" s="121"/>
      <c r="G527" s="121"/>
      <c r="H527" s="121"/>
      <c r="I527" s="121"/>
      <c r="J527" s="121"/>
    </row>
    <row r="528" spans="2:10">
      <c r="B528" s="61"/>
      <c r="C528" s="60">
        <v>2014</v>
      </c>
      <c r="D528" s="60">
        <v>2015</v>
      </c>
      <c r="E528" s="60">
        <v>2016</v>
      </c>
      <c r="F528" s="60">
        <v>2017</v>
      </c>
      <c r="G528" s="60">
        <v>2018</v>
      </c>
      <c r="H528" s="60">
        <v>2019</v>
      </c>
      <c r="I528" s="60">
        <v>2020</v>
      </c>
      <c r="J528" s="60">
        <v>2021</v>
      </c>
    </row>
    <row r="529" spans="2:10">
      <c r="B529" s="59" t="s">
        <v>508</v>
      </c>
      <c r="C529" s="121"/>
      <c r="D529" s="121"/>
      <c r="E529" s="121"/>
      <c r="F529" s="121"/>
      <c r="G529" s="121"/>
      <c r="H529" s="121"/>
      <c r="I529" s="121"/>
      <c r="J529" s="121"/>
    </row>
    <row r="530" spans="2:10">
      <c r="B530" s="71" t="s">
        <v>209</v>
      </c>
      <c r="C530" s="227">
        <v>2932.058</v>
      </c>
      <c r="D530" s="227">
        <v>3365.308</v>
      </c>
      <c r="E530" s="228">
        <v>3846.761</v>
      </c>
      <c r="F530" s="228">
        <v>4896.8019999999997</v>
      </c>
      <c r="G530" s="228">
        <v>4986206</v>
      </c>
      <c r="H530" s="228">
        <v>4905.0020000000004</v>
      </c>
      <c r="I530" s="228">
        <v>6669</v>
      </c>
      <c r="J530" s="228">
        <v>8888.9150000000009</v>
      </c>
    </row>
    <row r="531" spans="2:10">
      <c r="B531" s="71"/>
      <c r="C531" s="98"/>
      <c r="D531" s="98"/>
      <c r="E531" s="98"/>
      <c r="F531" s="98"/>
      <c r="G531" s="98"/>
      <c r="H531" s="98"/>
      <c r="I531" s="98"/>
      <c r="J531" s="228"/>
    </row>
    <row r="532" spans="2:10">
      <c r="B532" s="71" t="s">
        <v>208</v>
      </c>
      <c r="C532" s="227" t="s">
        <v>2086</v>
      </c>
      <c r="D532" s="227" t="s">
        <v>2086</v>
      </c>
      <c r="E532" s="227" t="s">
        <v>2086</v>
      </c>
      <c r="F532" s="227" t="s">
        <v>2086</v>
      </c>
      <c r="G532" s="227" t="s">
        <v>2086</v>
      </c>
      <c r="H532" s="227" t="s">
        <v>2086</v>
      </c>
      <c r="I532" s="227" t="s">
        <v>2086</v>
      </c>
      <c r="J532" s="227" t="s">
        <v>2086</v>
      </c>
    </row>
    <row r="533" spans="2:10">
      <c r="B533" s="52" t="s">
        <v>121</v>
      </c>
      <c r="C533" s="227" t="s">
        <v>2086</v>
      </c>
      <c r="D533" s="227" t="s">
        <v>2086</v>
      </c>
      <c r="E533" s="227" t="s">
        <v>2086</v>
      </c>
      <c r="F533" s="227" t="s">
        <v>2086</v>
      </c>
      <c r="G533" s="227" t="s">
        <v>2086</v>
      </c>
      <c r="H533" s="227" t="s">
        <v>2086</v>
      </c>
      <c r="I533" s="227" t="s">
        <v>2086</v>
      </c>
      <c r="J533" s="227" t="s">
        <v>2086</v>
      </c>
    </row>
    <row r="534" spans="2:10">
      <c r="B534" s="53" t="s">
        <v>120</v>
      </c>
      <c r="C534" s="227" t="s">
        <v>2086</v>
      </c>
      <c r="D534" s="227" t="s">
        <v>2086</v>
      </c>
      <c r="E534" s="227" t="s">
        <v>2086</v>
      </c>
      <c r="F534" s="227" t="s">
        <v>2086</v>
      </c>
      <c r="G534" s="227" t="s">
        <v>2086</v>
      </c>
      <c r="H534" s="227" t="s">
        <v>2086</v>
      </c>
      <c r="I534" s="227" t="s">
        <v>2086</v>
      </c>
      <c r="J534" s="227" t="s">
        <v>2086</v>
      </c>
    </row>
    <row r="535" spans="2:10">
      <c r="B535" s="53" t="s">
        <v>119</v>
      </c>
      <c r="C535" s="227" t="s">
        <v>2086</v>
      </c>
      <c r="D535" s="227" t="s">
        <v>2086</v>
      </c>
      <c r="E535" s="227" t="s">
        <v>2086</v>
      </c>
      <c r="F535" s="227" t="s">
        <v>2086</v>
      </c>
      <c r="G535" s="227" t="s">
        <v>2086</v>
      </c>
      <c r="H535" s="227" t="s">
        <v>2086</v>
      </c>
      <c r="I535" s="227" t="s">
        <v>2086</v>
      </c>
      <c r="J535" s="227" t="s">
        <v>2086</v>
      </c>
    </row>
    <row r="536" spans="2:10">
      <c r="B536" s="53" t="s">
        <v>512</v>
      </c>
      <c r="C536" s="227" t="s">
        <v>2086</v>
      </c>
      <c r="D536" s="227" t="s">
        <v>2086</v>
      </c>
      <c r="E536" s="227" t="s">
        <v>2086</v>
      </c>
      <c r="F536" s="227" t="s">
        <v>2086</v>
      </c>
      <c r="G536" s="227" t="s">
        <v>2086</v>
      </c>
      <c r="H536" s="227" t="s">
        <v>2086</v>
      </c>
      <c r="I536" s="227" t="s">
        <v>2086</v>
      </c>
      <c r="J536" s="227" t="s">
        <v>2086</v>
      </c>
    </row>
    <row r="537" spans="2:10">
      <c r="B537" s="52" t="s">
        <v>118</v>
      </c>
      <c r="C537" s="227" t="s">
        <v>2086</v>
      </c>
      <c r="D537" s="227" t="s">
        <v>2086</v>
      </c>
      <c r="E537" s="227" t="s">
        <v>2086</v>
      </c>
      <c r="F537" s="227" t="s">
        <v>2086</v>
      </c>
      <c r="G537" s="227" t="s">
        <v>2086</v>
      </c>
      <c r="H537" s="227" t="s">
        <v>2086</v>
      </c>
      <c r="I537" s="227" t="s">
        <v>2086</v>
      </c>
      <c r="J537" s="227" t="s">
        <v>2086</v>
      </c>
    </row>
    <row r="538" spans="2:10">
      <c r="B538" s="52" t="s">
        <v>117</v>
      </c>
      <c r="C538" s="227" t="s">
        <v>2086</v>
      </c>
      <c r="D538" s="227" t="s">
        <v>2086</v>
      </c>
      <c r="E538" s="227" t="s">
        <v>2086</v>
      </c>
      <c r="F538" s="227" t="s">
        <v>2086</v>
      </c>
      <c r="G538" s="227" t="s">
        <v>2086</v>
      </c>
      <c r="H538" s="227" t="s">
        <v>2086</v>
      </c>
      <c r="I538" s="227" t="s">
        <v>2086</v>
      </c>
      <c r="J538" s="227" t="s">
        <v>2086</v>
      </c>
    </row>
    <row r="539" spans="2:10">
      <c r="B539" s="52"/>
      <c r="C539" s="98"/>
      <c r="D539" s="98"/>
      <c r="E539" s="98"/>
      <c r="F539" s="98"/>
      <c r="G539" s="98"/>
      <c r="H539" s="98"/>
      <c r="I539" s="98"/>
      <c r="J539" s="98"/>
    </row>
    <row r="540" spans="2:10">
      <c r="B540" s="83" t="s">
        <v>205</v>
      </c>
      <c r="C540" s="227" t="s">
        <v>2086</v>
      </c>
      <c r="D540" s="227" t="s">
        <v>2086</v>
      </c>
      <c r="E540" s="227" t="s">
        <v>2086</v>
      </c>
      <c r="F540" s="227" t="s">
        <v>2086</v>
      </c>
      <c r="G540" s="227" t="s">
        <v>2086</v>
      </c>
      <c r="H540" s="227" t="s">
        <v>2086</v>
      </c>
      <c r="I540" s="227" t="s">
        <v>2086</v>
      </c>
      <c r="J540" s="227" t="s">
        <v>2086</v>
      </c>
    </row>
    <row r="541" spans="2:10">
      <c r="B541" s="81" t="s">
        <v>121</v>
      </c>
      <c r="C541" s="227" t="s">
        <v>2086</v>
      </c>
      <c r="D541" s="227" t="s">
        <v>2086</v>
      </c>
      <c r="E541" s="227" t="s">
        <v>2086</v>
      </c>
      <c r="F541" s="227" t="s">
        <v>2086</v>
      </c>
      <c r="G541" s="227" t="s">
        <v>2086</v>
      </c>
      <c r="H541" s="227" t="s">
        <v>2086</v>
      </c>
      <c r="I541" s="227" t="s">
        <v>2086</v>
      </c>
      <c r="J541" s="227" t="s">
        <v>2086</v>
      </c>
    </row>
    <row r="542" spans="2:10">
      <c r="B542" s="82" t="s">
        <v>120</v>
      </c>
      <c r="C542" s="227" t="s">
        <v>2086</v>
      </c>
      <c r="D542" s="227" t="s">
        <v>2086</v>
      </c>
      <c r="E542" s="227" t="s">
        <v>2086</v>
      </c>
      <c r="F542" s="227" t="s">
        <v>2086</v>
      </c>
      <c r="G542" s="227" t="s">
        <v>2086</v>
      </c>
      <c r="H542" s="227" t="s">
        <v>2086</v>
      </c>
      <c r="I542" s="227" t="s">
        <v>2086</v>
      </c>
      <c r="J542" s="227" t="s">
        <v>2086</v>
      </c>
    </row>
    <row r="543" spans="2:10">
      <c r="B543" s="82" t="s">
        <v>119</v>
      </c>
      <c r="C543" s="227" t="s">
        <v>2086</v>
      </c>
      <c r="D543" s="227" t="s">
        <v>2086</v>
      </c>
      <c r="E543" s="227" t="s">
        <v>2086</v>
      </c>
      <c r="F543" s="227" t="s">
        <v>2086</v>
      </c>
      <c r="G543" s="227" t="s">
        <v>2086</v>
      </c>
      <c r="H543" s="227" t="s">
        <v>2086</v>
      </c>
      <c r="I543" s="227" t="s">
        <v>2086</v>
      </c>
      <c r="J543" s="227" t="s">
        <v>2086</v>
      </c>
    </row>
    <row r="544" spans="2:10" ht="15">
      <c r="B544" s="82" t="s">
        <v>513</v>
      </c>
      <c r="C544" s="227" t="s">
        <v>2086</v>
      </c>
      <c r="D544" s="227" t="s">
        <v>2086</v>
      </c>
      <c r="E544" s="227" t="s">
        <v>2086</v>
      </c>
      <c r="F544" s="227" t="s">
        <v>2086</v>
      </c>
      <c r="G544" s="227" t="s">
        <v>2086</v>
      </c>
      <c r="H544" s="227" t="s">
        <v>2086</v>
      </c>
      <c r="I544" s="227" t="s">
        <v>2086</v>
      </c>
      <c r="J544" s="227" t="s">
        <v>2086</v>
      </c>
    </row>
    <row r="545" spans="2:10">
      <c r="B545" s="81" t="s">
        <v>118</v>
      </c>
      <c r="C545" s="227" t="s">
        <v>2086</v>
      </c>
      <c r="D545" s="227" t="s">
        <v>2086</v>
      </c>
      <c r="E545" s="227" t="s">
        <v>2086</v>
      </c>
      <c r="F545" s="227" t="s">
        <v>2086</v>
      </c>
      <c r="G545" s="227" t="s">
        <v>2086</v>
      </c>
      <c r="H545" s="227" t="s">
        <v>2086</v>
      </c>
      <c r="I545" s="227" t="s">
        <v>2086</v>
      </c>
      <c r="J545" s="227" t="s">
        <v>2086</v>
      </c>
    </row>
    <row r="546" spans="2:10">
      <c r="B546" s="81" t="s">
        <v>117</v>
      </c>
      <c r="C546" s="227" t="s">
        <v>2086</v>
      </c>
      <c r="D546" s="227" t="s">
        <v>2086</v>
      </c>
      <c r="E546" s="227" t="s">
        <v>2086</v>
      </c>
      <c r="F546" s="227" t="s">
        <v>2086</v>
      </c>
      <c r="G546" s="227" t="s">
        <v>2086</v>
      </c>
      <c r="H546" s="227" t="s">
        <v>2086</v>
      </c>
      <c r="I546" s="227" t="s">
        <v>2086</v>
      </c>
      <c r="J546" s="227" t="s">
        <v>2086</v>
      </c>
    </row>
    <row r="547" spans="2:10">
      <c r="B547" s="81"/>
      <c r="C547" s="98"/>
      <c r="D547" s="98"/>
      <c r="E547" s="98"/>
      <c r="F547" s="98"/>
      <c r="G547" s="98"/>
      <c r="H547" s="98"/>
      <c r="I547" s="98"/>
      <c r="J547" s="98"/>
    </row>
    <row r="548" spans="2:10">
      <c r="B548" s="83" t="s">
        <v>204</v>
      </c>
      <c r="C548" s="227" t="s">
        <v>2086</v>
      </c>
      <c r="D548" s="227" t="s">
        <v>2086</v>
      </c>
      <c r="E548" s="227" t="s">
        <v>2086</v>
      </c>
      <c r="F548" s="227" t="s">
        <v>2086</v>
      </c>
      <c r="G548" s="227" t="s">
        <v>2086</v>
      </c>
      <c r="H548" s="227" t="s">
        <v>2086</v>
      </c>
      <c r="I548" s="227" t="s">
        <v>2086</v>
      </c>
      <c r="J548" s="227" t="s">
        <v>2086</v>
      </c>
    </row>
    <row r="549" spans="2:10">
      <c r="B549" s="81" t="s">
        <v>121</v>
      </c>
      <c r="C549" s="227" t="s">
        <v>2086</v>
      </c>
      <c r="D549" s="227" t="s">
        <v>2086</v>
      </c>
      <c r="E549" s="227" t="s">
        <v>2086</v>
      </c>
      <c r="F549" s="227" t="s">
        <v>2086</v>
      </c>
      <c r="G549" s="227" t="s">
        <v>2086</v>
      </c>
      <c r="H549" s="227" t="s">
        <v>2086</v>
      </c>
      <c r="I549" s="227" t="s">
        <v>2086</v>
      </c>
      <c r="J549" s="227" t="s">
        <v>2086</v>
      </c>
    </row>
    <row r="550" spans="2:10">
      <c r="B550" s="82" t="s">
        <v>120</v>
      </c>
      <c r="C550" s="227" t="s">
        <v>2086</v>
      </c>
      <c r="D550" s="227" t="s">
        <v>2086</v>
      </c>
      <c r="E550" s="227" t="s">
        <v>2086</v>
      </c>
      <c r="F550" s="227" t="s">
        <v>2086</v>
      </c>
      <c r="G550" s="227" t="s">
        <v>2086</v>
      </c>
      <c r="H550" s="227" t="s">
        <v>2086</v>
      </c>
      <c r="I550" s="227" t="s">
        <v>2086</v>
      </c>
      <c r="J550" s="227" t="s">
        <v>2086</v>
      </c>
    </row>
    <row r="551" spans="2:10">
      <c r="B551" s="82" t="s">
        <v>119</v>
      </c>
      <c r="C551" s="227" t="s">
        <v>2086</v>
      </c>
      <c r="D551" s="227" t="s">
        <v>2086</v>
      </c>
      <c r="E551" s="227" t="s">
        <v>2086</v>
      </c>
      <c r="F551" s="227" t="s">
        <v>2086</v>
      </c>
      <c r="G551" s="227" t="s">
        <v>2086</v>
      </c>
      <c r="H551" s="227" t="s">
        <v>2086</v>
      </c>
      <c r="I551" s="227" t="s">
        <v>2086</v>
      </c>
      <c r="J551" s="227" t="s">
        <v>2086</v>
      </c>
    </row>
    <row r="552" spans="2:10" ht="15">
      <c r="B552" s="82" t="s">
        <v>514</v>
      </c>
      <c r="C552" s="227" t="s">
        <v>2086</v>
      </c>
      <c r="D552" s="227" t="s">
        <v>2086</v>
      </c>
      <c r="E552" s="227" t="s">
        <v>2086</v>
      </c>
      <c r="F552" s="227" t="s">
        <v>2086</v>
      </c>
      <c r="G552" s="227" t="s">
        <v>2086</v>
      </c>
      <c r="H552" s="227" t="s">
        <v>2086</v>
      </c>
      <c r="I552" s="227" t="s">
        <v>2086</v>
      </c>
      <c r="J552" s="227" t="s">
        <v>2086</v>
      </c>
    </row>
    <row r="553" spans="2:10">
      <c r="B553" s="81" t="s">
        <v>118</v>
      </c>
      <c r="C553" s="227" t="s">
        <v>2086</v>
      </c>
      <c r="D553" s="227" t="s">
        <v>2086</v>
      </c>
      <c r="E553" s="227" t="s">
        <v>2086</v>
      </c>
      <c r="F553" s="227" t="s">
        <v>2086</v>
      </c>
      <c r="G553" s="227" t="s">
        <v>2086</v>
      </c>
      <c r="H553" s="227" t="s">
        <v>2086</v>
      </c>
      <c r="I553" s="227" t="s">
        <v>2086</v>
      </c>
      <c r="J553" s="227" t="s">
        <v>2086</v>
      </c>
    </row>
    <row r="554" spans="2:10">
      <c r="B554" s="81" t="s">
        <v>117</v>
      </c>
      <c r="C554" s="227" t="s">
        <v>2086</v>
      </c>
      <c r="D554" s="227" t="s">
        <v>2086</v>
      </c>
      <c r="E554" s="227" t="s">
        <v>2086</v>
      </c>
      <c r="F554" s="227" t="s">
        <v>2086</v>
      </c>
      <c r="G554" s="227" t="s">
        <v>2086</v>
      </c>
      <c r="H554" s="227" t="s">
        <v>2086</v>
      </c>
      <c r="I554" s="227" t="s">
        <v>2086</v>
      </c>
      <c r="J554" s="227" t="s">
        <v>2086</v>
      </c>
    </row>
    <row r="555" spans="2:10">
      <c r="B555" s="81"/>
      <c r="C555" s="121"/>
      <c r="D555" s="121"/>
      <c r="E555" s="121"/>
      <c r="F555" s="121"/>
      <c r="G555" s="121"/>
      <c r="H555" s="121"/>
      <c r="I555" s="121"/>
      <c r="J555" s="121"/>
    </row>
    <row r="556" spans="2:10">
      <c r="B556" s="71" t="s">
        <v>203</v>
      </c>
      <c r="C556" s="229" t="s">
        <v>2086</v>
      </c>
      <c r="D556" s="229" t="s">
        <v>2086</v>
      </c>
      <c r="E556" s="229" t="s">
        <v>2086</v>
      </c>
      <c r="F556" s="229" t="s">
        <v>2086</v>
      </c>
      <c r="G556" s="229" t="s">
        <v>2086</v>
      </c>
      <c r="H556" s="229" t="s">
        <v>2086</v>
      </c>
      <c r="I556" s="229" t="s">
        <v>2086</v>
      </c>
      <c r="J556" s="229" t="s">
        <v>2086</v>
      </c>
    </row>
    <row r="557" spans="2:10">
      <c r="B557" s="52" t="s">
        <v>169</v>
      </c>
      <c r="C557" s="229" t="s">
        <v>2086</v>
      </c>
      <c r="D557" s="229" t="s">
        <v>2086</v>
      </c>
      <c r="E557" s="229" t="s">
        <v>2086</v>
      </c>
      <c r="F557" s="229" t="s">
        <v>2086</v>
      </c>
      <c r="G557" s="229" t="s">
        <v>2086</v>
      </c>
      <c r="H557" s="229" t="s">
        <v>2086</v>
      </c>
      <c r="I557" s="229" t="s">
        <v>2086</v>
      </c>
      <c r="J557" s="229" t="s">
        <v>2086</v>
      </c>
    </row>
    <row r="558" spans="2:10">
      <c r="B558" s="52" t="s">
        <v>168</v>
      </c>
      <c r="C558" s="229" t="s">
        <v>2086</v>
      </c>
      <c r="D558" s="229" t="s">
        <v>2086</v>
      </c>
      <c r="E558" s="229" t="s">
        <v>2086</v>
      </c>
      <c r="F558" s="229" t="s">
        <v>2086</v>
      </c>
      <c r="G558" s="229" t="s">
        <v>2086</v>
      </c>
      <c r="H558" s="229" t="s">
        <v>2086</v>
      </c>
      <c r="I558" s="229" t="s">
        <v>2086</v>
      </c>
      <c r="J558" s="229" t="s">
        <v>2086</v>
      </c>
    </row>
    <row r="559" spans="2:10">
      <c r="B559" s="52" t="s">
        <v>167</v>
      </c>
      <c r="C559" s="229" t="s">
        <v>2086</v>
      </c>
      <c r="D559" s="229" t="s">
        <v>2086</v>
      </c>
      <c r="E559" s="229" t="s">
        <v>2086</v>
      </c>
      <c r="F559" s="229" t="s">
        <v>2086</v>
      </c>
      <c r="G559" s="229" t="s">
        <v>2086</v>
      </c>
      <c r="H559" s="229" t="s">
        <v>2086</v>
      </c>
      <c r="I559" s="229" t="s">
        <v>2086</v>
      </c>
      <c r="J559" s="229" t="s">
        <v>2086</v>
      </c>
    </row>
    <row r="560" spans="2:10">
      <c r="B560" s="52" t="s">
        <v>166</v>
      </c>
      <c r="C560" s="229" t="s">
        <v>2086</v>
      </c>
      <c r="D560" s="229" t="s">
        <v>2086</v>
      </c>
      <c r="E560" s="229" t="s">
        <v>2086</v>
      </c>
      <c r="F560" s="229" t="s">
        <v>2086</v>
      </c>
      <c r="G560" s="229" t="s">
        <v>2086</v>
      </c>
      <c r="H560" s="229" t="s">
        <v>2086</v>
      </c>
      <c r="I560" s="229" t="s">
        <v>2086</v>
      </c>
      <c r="J560" s="229" t="s">
        <v>2086</v>
      </c>
    </row>
    <row r="561" spans="2:10">
      <c r="B561" s="52" t="s">
        <v>165</v>
      </c>
      <c r="C561" s="229" t="s">
        <v>2086</v>
      </c>
      <c r="D561" s="229" t="s">
        <v>2086</v>
      </c>
      <c r="E561" s="229" t="s">
        <v>2086</v>
      </c>
      <c r="F561" s="229" t="s">
        <v>2086</v>
      </c>
      <c r="G561" s="229" t="s">
        <v>2086</v>
      </c>
      <c r="H561" s="229" t="s">
        <v>2086</v>
      </c>
      <c r="I561" s="229" t="s">
        <v>2086</v>
      </c>
      <c r="J561" s="229" t="s">
        <v>2086</v>
      </c>
    </row>
    <row r="562" spans="2:10">
      <c r="B562" s="52" t="s">
        <v>164</v>
      </c>
      <c r="C562" s="229" t="s">
        <v>2086</v>
      </c>
      <c r="D562" s="229" t="s">
        <v>2086</v>
      </c>
      <c r="E562" s="229" t="s">
        <v>2086</v>
      </c>
      <c r="F562" s="229" t="s">
        <v>2086</v>
      </c>
      <c r="G562" s="229" t="s">
        <v>2086</v>
      </c>
      <c r="H562" s="229" t="s">
        <v>2086</v>
      </c>
      <c r="I562" s="229" t="s">
        <v>2086</v>
      </c>
      <c r="J562" s="229" t="s">
        <v>2086</v>
      </c>
    </row>
    <row r="563" spans="2:10">
      <c r="B563" s="52"/>
      <c r="C563" s="121"/>
      <c r="D563" s="121"/>
      <c r="E563" s="121"/>
      <c r="F563" s="121"/>
      <c r="G563" s="121"/>
      <c r="H563" s="121"/>
      <c r="I563" s="121"/>
      <c r="J563" s="121"/>
    </row>
    <row r="564" spans="2:10">
      <c r="B564" s="80" t="s">
        <v>202</v>
      </c>
      <c r="C564" s="229" t="s">
        <v>2086</v>
      </c>
      <c r="D564" s="229" t="s">
        <v>2086</v>
      </c>
      <c r="E564" s="229" t="s">
        <v>2086</v>
      </c>
      <c r="F564" s="229" t="s">
        <v>2086</v>
      </c>
      <c r="G564" s="229" t="s">
        <v>2086</v>
      </c>
      <c r="H564" s="229" t="s">
        <v>2086</v>
      </c>
      <c r="I564" s="229" t="s">
        <v>2086</v>
      </c>
      <c r="J564" s="229" t="s">
        <v>2086</v>
      </c>
    </row>
    <row r="565" spans="2:10">
      <c r="B565" s="52" t="s">
        <v>169</v>
      </c>
      <c r="C565" s="229" t="s">
        <v>2086</v>
      </c>
      <c r="D565" s="229" t="s">
        <v>2086</v>
      </c>
      <c r="E565" s="229" t="s">
        <v>2086</v>
      </c>
      <c r="F565" s="229" t="s">
        <v>2086</v>
      </c>
      <c r="G565" s="229" t="s">
        <v>2086</v>
      </c>
      <c r="H565" s="229" t="s">
        <v>2086</v>
      </c>
      <c r="I565" s="229" t="s">
        <v>2086</v>
      </c>
      <c r="J565" s="229" t="s">
        <v>2086</v>
      </c>
    </row>
    <row r="566" spans="2:10">
      <c r="B566" s="52" t="s">
        <v>168</v>
      </c>
      <c r="C566" s="229" t="s">
        <v>2086</v>
      </c>
      <c r="D566" s="229" t="s">
        <v>2086</v>
      </c>
      <c r="E566" s="229" t="s">
        <v>2086</v>
      </c>
      <c r="F566" s="229" t="s">
        <v>2086</v>
      </c>
      <c r="G566" s="229" t="s">
        <v>2086</v>
      </c>
      <c r="H566" s="229" t="s">
        <v>2086</v>
      </c>
      <c r="I566" s="229" t="s">
        <v>2086</v>
      </c>
      <c r="J566" s="229" t="s">
        <v>2086</v>
      </c>
    </row>
    <row r="567" spans="2:10">
      <c r="B567" s="52" t="s">
        <v>167</v>
      </c>
      <c r="C567" s="229" t="s">
        <v>2086</v>
      </c>
      <c r="D567" s="229" t="s">
        <v>2086</v>
      </c>
      <c r="E567" s="229" t="s">
        <v>2086</v>
      </c>
      <c r="F567" s="229" t="s">
        <v>2086</v>
      </c>
      <c r="G567" s="229" t="s">
        <v>2086</v>
      </c>
      <c r="H567" s="229" t="s">
        <v>2086</v>
      </c>
      <c r="I567" s="229" t="s">
        <v>2086</v>
      </c>
      <c r="J567" s="229" t="s">
        <v>2086</v>
      </c>
    </row>
    <row r="568" spans="2:10">
      <c r="B568" s="52" t="s">
        <v>166</v>
      </c>
      <c r="C568" s="229" t="s">
        <v>2086</v>
      </c>
      <c r="D568" s="229" t="s">
        <v>2086</v>
      </c>
      <c r="E568" s="229" t="s">
        <v>2086</v>
      </c>
      <c r="F568" s="229" t="s">
        <v>2086</v>
      </c>
      <c r="G568" s="229" t="s">
        <v>2086</v>
      </c>
      <c r="H568" s="229" t="s">
        <v>2086</v>
      </c>
      <c r="I568" s="229" t="s">
        <v>2086</v>
      </c>
      <c r="J568" s="229" t="s">
        <v>2086</v>
      </c>
    </row>
    <row r="569" spans="2:10">
      <c r="B569" s="52" t="s">
        <v>165</v>
      </c>
      <c r="C569" s="229" t="s">
        <v>2086</v>
      </c>
      <c r="D569" s="229" t="s">
        <v>2086</v>
      </c>
      <c r="E569" s="229" t="s">
        <v>2086</v>
      </c>
      <c r="F569" s="229" t="s">
        <v>2086</v>
      </c>
      <c r="G569" s="229" t="s">
        <v>2086</v>
      </c>
      <c r="H569" s="229" t="s">
        <v>2086</v>
      </c>
      <c r="I569" s="229" t="s">
        <v>2086</v>
      </c>
      <c r="J569" s="229" t="s">
        <v>2086</v>
      </c>
    </row>
    <row r="570" spans="2:10">
      <c r="B570" s="52" t="s">
        <v>164</v>
      </c>
      <c r="C570" s="229" t="s">
        <v>2086</v>
      </c>
      <c r="D570" s="229" t="s">
        <v>2086</v>
      </c>
      <c r="E570" s="229" t="s">
        <v>2086</v>
      </c>
      <c r="F570" s="229" t="s">
        <v>2086</v>
      </c>
      <c r="G570" s="229" t="s">
        <v>2086</v>
      </c>
      <c r="H570" s="229" t="s">
        <v>2086</v>
      </c>
      <c r="I570" s="229" t="s">
        <v>2086</v>
      </c>
      <c r="J570" s="229" t="s">
        <v>2086</v>
      </c>
    </row>
    <row r="571" spans="2:10">
      <c r="B571" s="52"/>
      <c r="C571" s="229"/>
      <c r="D571" s="229"/>
      <c r="E571" s="229"/>
      <c r="F571" s="229"/>
      <c r="G571" s="229"/>
      <c r="H571" s="229"/>
      <c r="I571" s="229"/>
      <c r="J571" s="229"/>
    </row>
    <row r="572" spans="2:10">
      <c r="B572" s="59" t="s">
        <v>510</v>
      </c>
      <c r="C572" s="229"/>
      <c r="D572" s="229"/>
      <c r="E572" s="229"/>
      <c r="F572" s="229"/>
      <c r="G572" s="229"/>
      <c r="H572" s="229"/>
      <c r="I572" s="229"/>
      <c r="J572" s="229"/>
    </row>
    <row r="573" spans="2:10">
      <c r="B573" s="71" t="s">
        <v>209</v>
      </c>
      <c r="C573" s="229" t="s">
        <v>2086</v>
      </c>
      <c r="D573" s="229" t="s">
        <v>2086</v>
      </c>
      <c r="E573" s="229">
        <v>13.002000000000001</v>
      </c>
      <c r="F573" s="229">
        <v>12.829000000000001</v>
      </c>
      <c r="G573" s="229">
        <v>12.448</v>
      </c>
      <c r="H573" s="229">
        <v>10.988</v>
      </c>
      <c r="I573" s="229">
        <v>8.577</v>
      </c>
      <c r="J573" s="229">
        <v>8.4979999999999993</v>
      </c>
    </row>
    <row r="574" spans="2:10">
      <c r="B574" s="71"/>
      <c r="C574" s="229"/>
      <c r="D574" s="229"/>
      <c r="E574" s="229"/>
      <c r="F574" s="229"/>
      <c r="G574" s="229"/>
      <c r="H574" s="229"/>
      <c r="I574" s="229"/>
      <c r="J574" s="229"/>
    </row>
    <row r="575" spans="2:10">
      <c r="B575" s="71" t="s">
        <v>208</v>
      </c>
      <c r="C575" s="229" t="s">
        <v>2086</v>
      </c>
      <c r="D575" s="229" t="s">
        <v>2086</v>
      </c>
      <c r="E575" s="229" t="s">
        <v>2086</v>
      </c>
      <c r="F575" s="229" t="s">
        <v>2086</v>
      </c>
      <c r="G575" s="229" t="s">
        <v>2086</v>
      </c>
      <c r="H575" s="229" t="s">
        <v>2086</v>
      </c>
      <c r="I575" s="229" t="s">
        <v>2086</v>
      </c>
      <c r="J575" s="229" t="s">
        <v>2086</v>
      </c>
    </row>
    <row r="576" spans="2:10">
      <c r="B576" s="52" t="s">
        <v>121</v>
      </c>
      <c r="C576" s="229" t="s">
        <v>2086</v>
      </c>
      <c r="D576" s="229" t="s">
        <v>2086</v>
      </c>
      <c r="E576" s="229" t="s">
        <v>2086</v>
      </c>
      <c r="F576" s="229" t="s">
        <v>2086</v>
      </c>
      <c r="G576" s="229" t="s">
        <v>2086</v>
      </c>
      <c r="H576" s="229" t="s">
        <v>2086</v>
      </c>
      <c r="I576" s="229" t="s">
        <v>2086</v>
      </c>
      <c r="J576" s="229" t="s">
        <v>2086</v>
      </c>
    </row>
    <row r="577" spans="2:10">
      <c r="B577" s="53" t="s">
        <v>120</v>
      </c>
      <c r="C577" s="229" t="s">
        <v>2086</v>
      </c>
      <c r="D577" s="229" t="s">
        <v>2086</v>
      </c>
      <c r="E577" s="229" t="s">
        <v>2086</v>
      </c>
      <c r="F577" s="229" t="s">
        <v>2086</v>
      </c>
      <c r="G577" s="229" t="s">
        <v>2086</v>
      </c>
      <c r="H577" s="229" t="s">
        <v>2086</v>
      </c>
      <c r="I577" s="229" t="s">
        <v>2086</v>
      </c>
      <c r="J577" s="229" t="s">
        <v>2086</v>
      </c>
    </row>
    <row r="578" spans="2:10">
      <c r="B578" s="53" t="s">
        <v>119</v>
      </c>
      <c r="C578" s="229" t="s">
        <v>2086</v>
      </c>
      <c r="D578" s="229" t="s">
        <v>2086</v>
      </c>
      <c r="E578" s="229" t="s">
        <v>2086</v>
      </c>
      <c r="F578" s="229" t="s">
        <v>2086</v>
      </c>
      <c r="G578" s="229" t="s">
        <v>2086</v>
      </c>
      <c r="H578" s="229" t="s">
        <v>2086</v>
      </c>
      <c r="I578" s="229" t="s">
        <v>2086</v>
      </c>
      <c r="J578" s="229" t="s">
        <v>2086</v>
      </c>
    </row>
    <row r="579" spans="2:10">
      <c r="B579" s="53" t="s">
        <v>512</v>
      </c>
      <c r="C579" s="229" t="s">
        <v>2086</v>
      </c>
      <c r="D579" s="229" t="s">
        <v>2086</v>
      </c>
      <c r="E579" s="229" t="s">
        <v>2086</v>
      </c>
      <c r="F579" s="229" t="s">
        <v>2086</v>
      </c>
      <c r="G579" s="229" t="s">
        <v>2086</v>
      </c>
      <c r="H579" s="229" t="s">
        <v>2086</v>
      </c>
      <c r="I579" s="229" t="s">
        <v>2086</v>
      </c>
      <c r="J579" s="229" t="s">
        <v>2086</v>
      </c>
    </row>
    <row r="580" spans="2:10">
      <c r="B580" s="52" t="s">
        <v>118</v>
      </c>
      <c r="C580" s="229" t="s">
        <v>2086</v>
      </c>
      <c r="D580" s="229" t="s">
        <v>2086</v>
      </c>
      <c r="E580" s="229" t="s">
        <v>2086</v>
      </c>
      <c r="F580" s="229" t="s">
        <v>2086</v>
      </c>
      <c r="G580" s="229" t="s">
        <v>2086</v>
      </c>
      <c r="H580" s="229" t="s">
        <v>2086</v>
      </c>
      <c r="I580" s="229" t="s">
        <v>2086</v>
      </c>
      <c r="J580" s="229" t="s">
        <v>2086</v>
      </c>
    </row>
    <row r="581" spans="2:10">
      <c r="B581" s="52" t="s">
        <v>117</v>
      </c>
      <c r="C581" s="229" t="s">
        <v>2086</v>
      </c>
      <c r="D581" s="229" t="s">
        <v>2086</v>
      </c>
      <c r="E581" s="229" t="s">
        <v>2086</v>
      </c>
      <c r="F581" s="229" t="s">
        <v>2086</v>
      </c>
      <c r="G581" s="229" t="s">
        <v>2086</v>
      </c>
      <c r="H581" s="229" t="s">
        <v>2086</v>
      </c>
      <c r="I581" s="229" t="s">
        <v>2086</v>
      </c>
      <c r="J581" s="229" t="s">
        <v>2086</v>
      </c>
    </row>
    <row r="582" spans="2:10">
      <c r="B582" s="52"/>
      <c r="C582" s="229"/>
      <c r="D582" s="229"/>
      <c r="E582" s="229"/>
      <c r="F582" s="229"/>
      <c r="G582" s="229"/>
      <c r="H582" s="229"/>
      <c r="I582" s="229"/>
      <c r="J582" s="229"/>
    </row>
    <row r="583" spans="2:10">
      <c r="B583" s="83" t="s">
        <v>205</v>
      </c>
      <c r="C583" s="229" t="s">
        <v>2086</v>
      </c>
      <c r="D583" s="229" t="s">
        <v>2086</v>
      </c>
      <c r="E583" s="229" t="s">
        <v>2086</v>
      </c>
      <c r="F583" s="229" t="s">
        <v>2086</v>
      </c>
      <c r="G583" s="229" t="s">
        <v>2086</v>
      </c>
      <c r="H583" s="229" t="s">
        <v>2086</v>
      </c>
      <c r="I583" s="229" t="s">
        <v>2086</v>
      </c>
      <c r="J583" s="229" t="s">
        <v>2086</v>
      </c>
    </row>
    <row r="584" spans="2:10">
      <c r="B584" s="81" t="s">
        <v>121</v>
      </c>
      <c r="C584" s="229" t="s">
        <v>2086</v>
      </c>
      <c r="D584" s="229" t="s">
        <v>2086</v>
      </c>
      <c r="E584" s="229" t="s">
        <v>2086</v>
      </c>
      <c r="F584" s="229" t="s">
        <v>2086</v>
      </c>
      <c r="G584" s="229" t="s">
        <v>2086</v>
      </c>
      <c r="H584" s="229" t="s">
        <v>2086</v>
      </c>
      <c r="I584" s="229" t="s">
        <v>2086</v>
      </c>
      <c r="J584" s="229" t="s">
        <v>2086</v>
      </c>
    </row>
    <row r="585" spans="2:10">
      <c r="B585" s="82" t="s">
        <v>120</v>
      </c>
      <c r="C585" s="229" t="s">
        <v>2086</v>
      </c>
      <c r="D585" s="229" t="s">
        <v>2086</v>
      </c>
      <c r="E585" s="229" t="s">
        <v>2086</v>
      </c>
      <c r="F585" s="229" t="s">
        <v>2086</v>
      </c>
      <c r="G585" s="229" t="s">
        <v>2086</v>
      </c>
      <c r="H585" s="229" t="s">
        <v>2086</v>
      </c>
      <c r="I585" s="229" t="s">
        <v>2086</v>
      </c>
      <c r="J585" s="229" t="s">
        <v>2086</v>
      </c>
    </row>
    <row r="586" spans="2:10">
      <c r="B586" s="82" t="s">
        <v>119</v>
      </c>
      <c r="C586" s="229" t="s">
        <v>2086</v>
      </c>
      <c r="D586" s="229" t="s">
        <v>2086</v>
      </c>
      <c r="E586" s="229" t="s">
        <v>2086</v>
      </c>
      <c r="F586" s="229" t="s">
        <v>2086</v>
      </c>
      <c r="G586" s="229" t="s">
        <v>2086</v>
      </c>
      <c r="H586" s="229" t="s">
        <v>2086</v>
      </c>
      <c r="I586" s="229" t="s">
        <v>2086</v>
      </c>
      <c r="J586" s="229" t="s">
        <v>2086</v>
      </c>
    </row>
    <row r="587" spans="2:10" ht="15">
      <c r="B587" s="82" t="s">
        <v>513</v>
      </c>
      <c r="C587" s="229" t="s">
        <v>2086</v>
      </c>
      <c r="D587" s="229" t="s">
        <v>2086</v>
      </c>
      <c r="E587" s="229" t="s">
        <v>2086</v>
      </c>
      <c r="F587" s="229" t="s">
        <v>2086</v>
      </c>
      <c r="G587" s="229" t="s">
        <v>2086</v>
      </c>
      <c r="H587" s="229" t="s">
        <v>2086</v>
      </c>
      <c r="I587" s="229" t="s">
        <v>2086</v>
      </c>
      <c r="J587" s="229" t="s">
        <v>2086</v>
      </c>
    </row>
    <row r="588" spans="2:10">
      <c r="B588" s="81" t="s">
        <v>118</v>
      </c>
      <c r="C588" s="229" t="s">
        <v>2086</v>
      </c>
      <c r="D588" s="229" t="s">
        <v>2086</v>
      </c>
      <c r="E588" s="229" t="s">
        <v>2086</v>
      </c>
      <c r="F588" s="229" t="s">
        <v>2086</v>
      </c>
      <c r="G588" s="229" t="s">
        <v>2086</v>
      </c>
      <c r="H588" s="229" t="s">
        <v>2086</v>
      </c>
      <c r="I588" s="229" t="s">
        <v>2086</v>
      </c>
      <c r="J588" s="229" t="s">
        <v>2086</v>
      </c>
    </row>
    <row r="589" spans="2:10">
      <c r="B589" s="81" t="s">
        <v>117</v>
      </c>
      <c r="C589" s="229" t="s">
        <v>2086</v>
      </c>
      <c r="D589" s="229" t="s">
        <v>2086</v>
      </c>
      <c r="E589" s="229" t="s">
        <v>2086</v>
      </c>
      <c r="F589" s="229" t="s">
        <v>2086</v>
      </c>
      <c r="G589" s="229" t="s">
        <v>2086</v>
      </c>
      <c r="H589" s="229" t="s">
        <v>2086</v>
      </c>
      <c r="I589" s="229" t="s">
        <v>2086</v>
      </c>
      <c r="J589" s="229" t="s">
        <v>2086</v>
      </c>
    </row>
    <row r="590" spans="2:10">
      <c r="B590" s="81"/>
      <c r="C590" s="229"/>
      <c r="D590" s="229"/>
      <c r="E590" s="229"/>
      <c r="F590" s="229"/>
      <c r="G590" s="229"/>
      <c r="H590" s="229"/>
      <c r="I590" s="229"/>
      <c r="J590" s="229"/>
    </row>
    <row r="591" spans="2:10">
      <c r="B591" s="83" t="s">
        <v>204</v>
      </c>
      <c r="C591" s="229" t="s">
        <v>2086</v>
      </c>
      <c r="D591" s="229" t="s">
        <v>2086</v>
      </c>
      <c r="E591" s="229" t="s">
        <v>2086</v>
      </c>
      <c r="F591" s="229" t="s">
        <v>2086</v>
      </c>
      <c r="G591" s="229" t="s">
        <v>2086</v>
      </c>
      <c r="H591" s="229" t="s">
        <v>2086</v>
      </c>
      <c r="I591" s="229" t="s">
        <v>2086</v>
      </c>
      <c r="J591" s="229" t="s">
        <v>2086</v>
      </c>
    </row>
    <row r="592" spans="2:10">
      <c r="B592" s="81" t="s">
        <v>121</v>
      </c>
      <c r="C592" s="229" t="s">
        <v>2086</v>
      </c>
      <c r="D592" s="229" t="s">
        <v>2086</v>
      </c>
      <c r="E592" s="229" t="s">
        <v>2086</v>
      </c>
      <c r="F592" s="229" t="s">
        <v>2086</v>
      </c>
      <c r="G592" s="229" t="s">
        <v>2086</v>
      </c>
      <c r="H592" s="229" t="s">
        <v>2086</v>
      </c>
      <c r="I592" s="229" t="s">
        <v>2086</v>
      </c>
      <c r="J592" s="229" t="s">
        <v>2086</v>
      </c>
    </row>
    <row r="593" spans="2:10">
      <c r="B593" s="82" t="s">
        <v>120</v>
      </c>
      <c r="C593" s="229" t="s">
        <v>2086</v>
      </c>
      <c r="D593" s="229" t="s">
        <v>2086</v>
      </c>
      <c r="E593" s="229" t="s">
        <v>2086</v>
      </c>
      <c r="F593" s="229" t="s">
        <v>2086</v>
      </c>
      <c r="G593" s="229" t="s">
        <v>2086</v>
      </c>
      <c r="H593" s="229" t="s">
        <v>2086</v>
      </c>
      <c r="I593" s="229" t="s">
        <v>2086</v>
      </c>
      <c r="J593" s="229" t="s">
        <v>2086</v>
      </c>
    </row>
    <row r="594" spans="2:10">
      <c r="B594" s="82" t="s">
        <v>119</v>
      </c>
      <c r="C594" s="229" t="s">
        <v>2086</v>
      </c>
      <c r="D594" s="229" t="s">
        <v>2086</v>
      </c>
      <c r="E594" s="229" t="s">
        <v>2086</v>
      </c>
      <c r="F594" s="229" t="s">
        <v>2086</v>
      </c>
      <c r="G594" s="229" t="s">
        <v>2086</v>
      </c>
      <c r="H594" s="229" t="s">
        <v>2086</v>
      </c>
      <c r="I594" s="229" t="s">
        <v>2086</v>
      </c>
      <c r="J594" s="229" t="s">
        <v>2086</v>
      </c>
    </row>
    <row r="595" spans="2:10" ht="15">
      <c r="B595" s="82" t="s">
        <v>514</v>
      </c>
      <c r="C595" s="229" t="s">
        <v>2086</v>
      </c>
      <c r="D595" s="229" t="s">
        <v>2086</v>
      </c>
      <c r="E595" s="229" t="s">
        <v>2086</v>
      </c>
      <c r="F595" s="229" t="s">
        <v>2086</v>
      </c>
      <c r="G595" s="229" t="s">
        <v>2086</v>
      </c>
      <c r="H595" s="229" t="s">
        <v>2086</v>
      </c>
      <c r="I595" s="229" t="s">
        <v>2086</v>
      </c>
      <c r="J595" s="229" t="s">
        <v>2086</v>
      </c>
    </row>
    <row r="596" spans="2:10">
      <c r="B596" s="81" t="s">
        <v>118</v>
      </c>
      <c r="C596" s="229" t="s">
        <v>2086</v>
      </c>
      <c r="D596" s="229" t="s">
        <v>2086</v>
      </c>
      <c r="E596" s="229" t="s">
        <v>2086</v>
      </c>
      <c r="F596" s="229" t="s">
        <v>2086</v>
      </c>
      <c r="G596" s="229" t="s">
        <v>2086</v>
      </c>
      <c r="H596" s="229" t="s">
        <v>2086</v>
      </c>
      <c r="I596" s="229" t="s">
        <v>2086</v>
      </c>
      <c r="J596" s="229" t="s">
        <v>2086</v>
      </c>
    </row>
    <row r="597" spans="2:10">
      <c r="B597" s="81" t="s">
        <v>117</v>
      </c>
      <c r="C597" s="229" t="s">
        <v>2086</v>
      </c>
      <c r="D597" s="229" t="s">
        <v>2086</v>
      </c>
      <c r="E597" s="229" t="s">
        <v>2086</v>
      </c>
      <c r="F597" s="229" t="s">
        <v>2086</v>
      </c>
      <c r="G597" s="229" t="s">
        <v>2086</v>
      </c>
      <c r="H597" s="229" t="s">
        <v>2086</v>
      </c>
      <c r="I597" s="229" t="s">
        <v>2086</v>
      </c>
      <c r="J597" s="229" t="s">
        <v>2086</v>
      </c>
    </row>
    <row r="598" spans="2:10">
      <c r="B598" s="81"/>
      <c r="C598" s="229"/>
      <c r="D598" s="229"/>
      <c r="E598" s="229"/>
      <c r="F598" s="229"/>
      <c r="G598" s="229"/>
      <c r="H598" s="229"/>
      <c r="I598" s="229"/>
      <c r="J598" s="229"/>
    </row>
    <row r="599" spans="2:10">
      <c r="B599" s="71" t="s">
        <v>203</v>
      </c>
      <c r="C599" s="229" t="s">
        <v>2086</v>
      </c>
      <c r="D599" s="229" t="s">
        <v>2086</v>
      </c>
      <c r="E599" s="229" t="s">
        <v>2086</v>
      </c>
      <c r="F599" s="229" t="s">
        <v>2086</v>
      </c>
      <c r="G599" s="229" t="s">
        <v>2086</v>
      </c>
      <c r="H599" s="229" t="s">
        <v>2086</v>
      </c>
      <c r="I599" s="229" t="s">
        <v>2086</v>
      </c>
      <c r="J599" s="229" t="s">
        <v>2086</v>
      </c>
    </row>
    <row r="600" spans="2:10">
      <c r="B600" s="52" t="s">
        <v>169</v>
      </c>
      <c r="C600" s="229" t="s">
        <v>2086</v>
      </c>
      <c r="D600" s="229" t="s">
        <v>2086</v>
      </c>
      <c r="E600" s="229" t="s">
        <v>2086</v>
      </c>
      <c r="F600" s="229" t="s">
        <v>2086</v>
      </c>
      <c r="G600" s="229" t="s">
        <v>2086</v>
      </c>
      <c r="H600" s="229" t="s">
        <v>2086</v>
      </c>
      <c r="I600" s="229" t="s">
        <v>2086</v>
      </c>
      <c r="J600" s="229" t="s">
        <v>2086</v>
      </c>
    </row>
    <row r="601" spans="2:10">
      <c r="B601" s="52" t="s">
        <v>168</v>
      </c>
      <c r="C601" s="229" t="s">
        <v>2086</v>
      </c>
      <c r="D601" s="229" t="s">
        <v>2086</v>
      </c>
      <c r="E601" s="229" t="s">
        <v>2086</v>
      </c>
      <c r="F601" s="229" t="s">
        <v>2086</v>
      </c>
      <c r="G601" s="229" t="s">
        <v>2086</v>
      </c>
      <c r="H601" s="229" t="s">
        <v>2086</v>
      </c>
      <c r="I601" s="229" t="s">
        <v>2086</v>
      </c>
      <c r="J601" s="229" t="s">
        <v>2086</v>
      </c>
    </row>
    <row r="602" spans="2:10">
      <c r="B602" s="52" t="s">
        <v>167</v>
      </c>
      <c r="C602" s="229" t="s">
        <v>2086</v>
      </c>
      <c r="D602" s="229" t="s">
        <v>2086</v>
      </c>
      <c r="E602" s="229" t="s">
        <v>2086</v>
      </c>
      <c r="F602" s="229" t="s">
        <v>2086</v>
      </c>
      <c r="G602" s="229" t="s">
        <v>2086</v>
      </c>
      <c r="H602" s="229" t="s">
        <v>2086</v>
      </c>
      <c r="I602" s="229" t="s">
        <v>2086</v>
      </c>
      <c r="J602" s="229" t="s">
        <v>2086</v>
      </c>
    </row>
    <row r="603" spans="2:10">
      <c r="B603" s="52" t="s">
        <v>166</v>
      </c>
      <c r="C603" s="229" t="s">
        <v>2086</v>
      </c>
      <c r="D603" s="229" t="s">
        <v>2086</v>
      </c>
      <c r="E603" s="229" t="s">
        <v>2086</v>
      </c>
      <c r="F603" s="229" t="s">
        <v>2086</v>
      </c>
      <c r="G603" s="229" t="s">
        <v>2086</v>
      </c>
      <c r="H603" s="229" t="s">
        <v>2086</v>
      </c>
      <c r="I603" s="229" t="s">
        <v>2086</v>
      </c>
      <c r="J603" s="229" t="s">
        <v>2086</v>
      </c>
    </row>
    <row r="604" spans="2:10">
      <c r="B604" s="52" t="s">
        <v>165</v>
      </c>
      <c r="C604" s="229" t="s">
        <v>2086</v>
      </c>
      <c r="D604" s="229" t="s">
        <v>2086</v>
      </c>
      <c r="E604" s="229" t="s">
        <v>2086</v>
      </c>
      <c r="F604" s="229" t="s">
        <v>2086</v>
      </c>
      <c r="G604" s="229" t="s">
        <v>2086</v>
      </c>
      <c r="H604" s="229" t="s">
        <v>2086</v>
      </c>
      <c r="I604" s="229" t="s">
        <v>2086</v>
      </c>
      <c r="J604" s="229" t="s">
        <v>2086</v>
      </c>
    </row>
    <row r="605" spans="2:10">
      <c r="B605" s="52" t="s">
        <v>164</v>
      </c>
      <c r="C605" s="229" t="s">
        <v>2086</v>
      </c>
      <c r="D605" s="229" t="s">
        <v>2086</v>
      </c>
      <c r="E605" s="229" t="s">
        <v>2086</v>
      </c>
      <c r="F605" s="229" t="s">
        <v>2086</v>
      </c>
      <c r="G605" s="229" t="s">
        <v>2086</v>
      </c>
      <c r="H605" s="229" t="s">
        <v>2086</v>
      </c>
      <c r="I605" s="229" t="s">
        <v>2086</v>
      </c>
      <c r="J605" s="229" t="s">
        <v>2086</v>
      </c>
    </row>
    <row r="606" spans="2:10">
      <c r="B606" s="52"/>
      <c r="C606" s="229"/>
      <c r="D606" s="229"/>
      <c r="E606" s="229"/>
      <c r="F606" s="229"/>
      <c r="G606" s="229"/>
      <c r="H606" s="229"/>
      <c r="I606" s="229"/>
      <c r="J606" s="229"/>
    </row>
    <row r="607" spans="2:10">
      <c r="B607" s="80" t="s">
        <v>202</v>
      </c>
      <c r="C607" s="229" t="s">
        <v>2086</v>
      </c>
      <c r="D607" s="229" t="s">
        <v>2086</v>
      </c>
      <c r="E607" s="229" t="s">
        <v>2086</v>
      </c>
      <c r="F607" s="229" t="s">
        <v>2086</v>
      </c>
      <c r="G607" s="229" t="s">
        <v>2086</v>
      </c>
      <c r="H607" s="229" t="s">
        <v>2086</v>
      </c>
      <c r="I607" s="229" t="s">
        <v>2086</v>
      </c>
      <c r="J607" s="229" t="s">
        <v>2086</v>
      </c>
    </row>
    <row r="608" spans="2:10">
      <c r="B608" s="52" t="s">
        <v>169</v>
      </c>
      <c r="C608" s="229" t="s">
        <v>2086</v>
      </c>
      <c r="D608" s="229" t="s">
        <v>2086</v>
      </c>
      <c r="E608" s="229" t="s">
        <v>2086</v>
      </c>
      <c r="F608" s="229" t="s">
        <v>2086</v>
      </c>
      <c r="G608" s="229" t="s">
        <v>2086</v>
      </c>
      <c r="H608" s="229" t="s">
        <v>2086</v>
      </c>
      <c r="I608" s="229" t="s">
        <v>2086</v>
      </c>
      <c r="J608" s="229" t="s">
        <v>2086</v>
      </c>
    </row>
    <row r="609" spans="2:10">
      <c r="B609" s="52" t="s">
        <v>168</v>
      </c>
      <c r="C609" s="229" t="s">
        <v>2086</v>
      </c>
      <c r="D609" s="229" t="s">
        <v>2086</v>
      </c>
      <c r="E609" s="229" t="s">
        <v>2086</v>
      </c>
      <c r="F609" s="229" t="s">
        <v>2086</v>
      </c>
      <c r="G609" s="229" t="s">
        <v>2086</v>
      </c>
      <c r="H609" s="229" t="s">
        <v>2086</v>
      </c>
      <c r="I609" s="229" t="s">
        <v>2086</v>
      </c>
      <c r="J609" s="229" t="s">
        <v>2086</v>
      </c>
    </row>
    <row r="610" spans="2:10">
      <c r="B610" s="52" t="s">
        <v>167</v>
      </c>
      <c r="C610" s="229" t="s">
        <v>2086</v>
      </c>
      <c r="D610" s="229" t="s">
        <v>2086</v>
      </c>
      <c r="E610" s="229" t="s">
        <v>2086</v>
      </c>
      <c r="F610" s="229" t="s">
        <v>2086</v>
      </c>
      <c r="G610" s="229" t="s">
        <v>2086</v>
      </c>
      <c r="H610" s="229" t="s">
        <v>2086</v>
      </c>
      <c r="I610" s="229" t="s">
        <v>2086</v>
      </c>
      <c r="J610" s="229" t="s">
        <v>2086</v>
      </c>
    </row>
    <row r="611" spans="2:10">
      <c r="B611" s="52" t="s">
        <v>166</v>
      </c>
      <c r="C611" s="229" t="s">
        <v>2086</v>
      </c>
      <c r="D611" s="229" t="s">
        <v>2086</v>
      </c>
      <c r="E611" s="229" t="s">
        <v>2086</v>
      </c>
      <c r="F611" s="229" t="s">
        <v>2086</v>
      </c>
      <c r="G611" s="229" t="s">
        <v>2086</v>
      </c>
      <c r="H611" s="229" t="s">
        <v>2086</v>
      </c>
      <c r="I611" s="229" t="s">
        <v>2086</v>
      </c>
      <c r="J611" s="229" t="s">
        <v>2086</v>
      </c>
    </row>
    <row r="612" spans="2:10">
      <c r="B612" s="52" t="s">
        <v>165</v>
      </c>
      <c r="C612" s="229" t="s">
        <v>2086</v>
      </c>
      <c r="D612" s="229" t="s">
        <v>2086</v>
      </c>
      <c r="E612" s="229" t="s">
        <v>2086</v>
      </c>
      <c r="F612" s="229" t="s">
        <v>2086</v>
      </c>
      <c r="G612" s="229" t="s">
        <v>2086</v>
      </c>
      <c r="H612" s="229" t="s">
        <v>2086</v>
      </c>
      <c r="I612" s="229" t="s">
        <v>2086</v>
      </c>
      <c r="J612" s="229" t="s">
        <v>2086</v>
      </c>
    </row>
    <row r="613" spans="2:10" ht="15" thickBot="1">
      <c r="B613" s="52" t="s">
        <v>164</v>
      </c>
      <c r="C613" s="229" t="s">
        <v>2086</v>
      </c>
      <c r="D613" s="229" t="s">
        <v>2086</v>
      </c>
      <c r="E613" s="229" t="s">
        <v>2086</v>
      </c>
      <c r="F613" s="229" t="s">
        <v>2086</v>
      </c>
      <c r="G613" s="229" t="s">
        <v>2086</v>
      </c>
      <c r="H613" s="229" t="s">
        <v>2086</v>
      </c>
      <c r="I613" s="229" t="s">
        <v>2086</v>
      </c>
      <c r="J613" s="229" t="s">
        <v>2086</v>
      </c>
    </row>
    <row r="614" spans="2:10" ht="15" thickTop="1">
      <c r="B614" s="2025" t="s">
        <v>515</v>
      </c>
      <c r="C614" s="2025"/>
      <c r="D614" s="2025"/>
      <c r="E614" s="2025"/>
      <c r="F614" s="2025"/>
      <c r="G614" s="2025"/>
      <c r="H614" s="2025"/>
      <c r="I614" s="2025"/>
      <c r="J614" s="2025"/>
    </row>
    <row r="615" spans="2:10">
      <c r="B615" s="2041"/>
      <c r="C615" s="2041"/>
      <c r="D615" s="2041"/>
      <c r="E615" s="2041"/>
      <c r="F615" s="2041"/>
      <c r="G615" s="2041"/>
      <c r="H615" s="2041"/>
      <c r="I615" s="2041"/>
      <c r="J615" s="2041"/>
    </row>
    <row r="616" spans="2:10">
      <c r="B616" s="64"/>
      <c r="C616" s="121"/>
      <c r="D616" s="121"/>
      <c r="E616" s="121"/>
      <c r="F616" s="121"/>
      <c r="G616" s="121"/>
      <c r="H616" s="121"/>
      <c r="I616" s="121"/>
      <c r="J616" s="121"/>
    </row>
    <row r="617" spans="2:10">
      <c r="B617" s="2024" t="s">
        <v>199</v>
      </c>
      <c r="C617" s="2024"/>
      <c r="D617" s="2024"/>
      <c r="E617" s="2024"/>
      <c r="F617" s="2024"/>
      <c r="G617" s="2024"/>
      <c r="H617" s="2024"/>
      <c r="I617" s="2024"/>
      <c r="J617" s="2024"/>
    </row>
    <row r="618" spans="2:10">
      <c r="B618" s="12" t="s">
        <v>198</v>
      </c>
      <c r="C618" s="121"/>
      <c r="D618" s="121"/>
      <c r="E618" s="121"/>
      <c r="F618" s="121"/>
      <c r="G618" s="121"/>
      <c r="H618" s="121"/>
      <c r="I618" s="121"/>
      <c r="J618" s="121"/>
    </row>
    <row r="619" spans="2:10">
      <c r="B619" s="62" t="s">
        <v>127</v>
      </c>
      <c r="C619" s="121"/>
      <c r="D619" s="121"/>
      <c r="E619" s="121"/>
      <c r="F619" s="121"/>
      <c r="G619" s="121"/>
      <c r="H619" s="121"/>
      <c r="I619" s="121"/>
      <c r="J619" s="121"/>
    </row>
    <row r="620" spans="2:10">
      <c r="B620" s="62"/>
      <c r="C620" s="121"/>
      <c r="D620" s="121"/>
      <c r="E620" s="121"/>
      <c r="F620" s="121"/>
      <c r="G620" s="121"/>
      <c r="H620" s="121"/>
      <c r="I620" s="121"/>
      <c r="J620" s="121"/>
    </row>
    <row r="621" spans="2:10">
      <c r="B621" s="61"/>
      <c r="C621" s="60">
        <v>2014</v>
      </c>
      <c r="D621" s="60">
        <v>2015</v>
      </c>
      <c r="E621" s="60">
        <v>2016</v>
      </c>
      <c r="F621" s="60">
        <v>2017</v>
      </c>
      <c r="G621" s="60">
        <v>2018</v>
      </c>
      <c r="H621" s="60">
        <v>2019</v>
      </c>
      <c r="I621" s="60">
        <v>2020</v>
      </c>
      <c r="J621" s="60">
        <v>2021</v>
      </c>
    </row>
    <row r="622" spans="2:10">
      <c r="B622" s="59" t="s">
        <v>508</v>
      </c>
      <c r="C622" s="121"/>
      <c r="D622" s="121"/>
      <c r="E622" s="121"/>
      <c r="F622" s="121"/>
      <c r="G622" s="121"/>
      <c r="H622" s="121"/>
      <c r="I622" s="121"/>
      <c r="J622" s="55"/>
    </row>
    <row r="623" spans="2:10">
      <c r="B623" s="71" t="s">
        <v>209</v>
      </c>
      <c r="C623" s="55">
        <v>413425962.53200001</v>
      </c>
      <c r="D623" s="55">
        <v>391193125.81099999</v>
      </c>
      <c r="E623" s="55">
        <v>407504660.94</v>
      </c>
      <c r="F623" s="55">
        <v>461293406</v>
      </c>
      <c r="G623" s="55">
        <v>479175900</v>
      </c>
      <c r="H623" s="55">
        <v>550781424</v>
      </c>
      <c r="I623" s="55">
        <v>572172726</v>
      </c>
      <c r="J623" s="55">
        <v>504336916</v>
      </c>
    </row>
    <row r="624" spans="2:10">
      <c r="B624" s="71"/>
      <c r="C624" s="55"/>
      <c r="D624" s="55"/>
      <c r="E624" s="55"/>
      <c r="F624" s="55"/>
      <c r="G624" s="55"/>
      <c r="H624" s="55"/>
      <c r="I624" s="55"/>
      <c r="J624" s="55"/>
    </row>
    <row r="625" spans="2:10">
      <c r="B625" s="71" t="s">
        <v>208</v>
      </c>
      <c r="C625" s="227" t="s">
        <v>2086</v>
      </c>
      <c r="D625" s="227" t="s">
        <v>2086</v>
      </c>
      <c r="E625" s="227" t="s">
        <v>2086</v>
      </c>
      <c r="F625" s="227" t="s">
        <v>2086</v>
      </c>
      <c r="G625" s="227" t="s">
        <v>2086</v>
      </c>
      <c r="H625" s="227" t="s">
        <v>2086</v>
      </c>
      <c r="I625" s="227" t="s">
        <v>2086</v>
      </c>
      <c r="J625" s="227" t="s">
        <v>2086</v>
      </c>
    </row>
    <row r="626" spans="2:10">
      <c r="B626" s="52" t="s">
        <v>121</v>
      </c>
      <c r="C626" s="227" t="s">
        <v>2086</v>
      </c>
      <c r="D626" s="227" t="s">
        <v>2086</v>
      </c>
      <c r="E626" s="227" t="s">
        <v>2086</v>
      </c>
      <c r="F626" s="227" t="s">
        <v>2086</v>
      </c>
      <c r="G626" s="227" t="s">
        <v>2086</v>
      </c>
      <c r="H626" s="227" t="s">
        <v>2086</v>
      </c>
      <c r="I626" s="227" t="s">
        <v>2086</v>
      </c>
      <c r="J626" s="227" t="s">
        <v>2086</v>
      </c>
    </row>
    <row r="627" spans="2:10">
      <c r="B627" s="53" t="s">
        <v>120</v>
      </c>
      <c r="C627" s="227" t="s">
        <v>2086</v>
      </c>
      <c r="D627" s="227" t="s">
        <v>2086</v>
      </c>
      <c r="E627" s="227" t="s">
        <v>2086</v>
      </c>
      <c r="F627" s="227" t="s">
        <v>2086</v>
      </c>
      <c r="G627" s="227" t="s">
        <v>2086</v>
      </c>
      <c r="H627" s="227" t="s">
        <v>2086</v>
      </c>
      <c r="I627" s="227" t="s">
        <v>2086</v>
      </c>
      <c r="J627" s="227" t="s">
        <v>2086</v>
      </c>
    </row>
    <row r="628" spans="2:10">
      <c r="B628" s="53" t="s">
        <v>119</v>
      </c>
      <c r="C628" s="227" t="s">
        <v>2086</v>
      </c>
      <c r="D628" s="227" t="s">
        <v>2086</v>
      </c>
      <c r="E628" s="227" t="s">
        <v>2086</v>
      </c>
      <c r="F628" s="227" t="s">
        <v>2086</v>
      </c>
      <c r="G628" s="227" t="s">
        <v>2086</v>
      </c>
      <c r="H628" s="227" t="s">
        <v>2086</v>
      </c>
      <c r="I628" s="227" t="s">
        <v>2086</v>
      </c>
      <c r="J628" s="227" t="s">
        <v>2086</v>
      </c>
    </row>
    <row r="629" spans="2:10">
      <c r="B629" s="53" t="s">
        <v>512</v>
      </c>
      <c r="C629" s="227" t="s">
        <v>2086</v>
      </c>
      <c r="D629" s="227" t="s">
        <v>2086</v>
      </c>
      <c r="E629" s="227" t="s">
        <v>2086</v>
      </c>
      <c r="F629" s="227" t="s">
        <v>2086</v>
      </c>
      <c r="G629" s="227" t="s">
        <v>2086</v>
      </c>
      <c r="H629" s="227" t="s">
        <v>2086</v>
      </c>
      <c r="I629" s="227" t="s">
        <v>2086</v>
      </c>
      <c r="J629" s="227" t="s">
        <v>2086</v>
      </c>
    </row>
    <row r="630" spans="2:10">
      <c r="B630" s="52" t="s">
        <v>118</v>
      </c>
      <c r="C630" s="227" t="s">
        <v>2086</v>
      </c>
      <c r="D630" s="227" t="s">
        <v>2086</v>
      </c>
      <c r="E630" s="227" t="s">
        <v>2086</v>
      </c>
      <c r="F630" s="227" t="s">
        <v>2086</v>
      </c>
      <c r="G630" s="227" t="s">
        <v>2086</v>
      </c>
      <c r="H630" s="227" t="s">
        <v>2086</v>
      </c>
      <c r="I630" s="227" t="s">
        <v>2086</v>
      </c>
      <c r="J630" s="227" t="s">
        <v>2086</v>
      </c>
    </row>
    <row r="631" spans="2:10">
      <c r="B631" s="52" t="s">
        <v>117</v>
      </c>
      <c r="C631" s="227" t="s">
        <v>2086</v>
      </c>
      <c r="D631" s="227" t="s">
        <v>2086</v>
      </c>
      <c r="E631" s="227" t="s">
        <v>2086</v>
      </c>
      <c r="F631" s="227" t="s">
        <v>2086</v>
      </c>
      <c r="G631" s="227" t="s">
        <v>2086</v>
      </c>
      <c r="H631" s="227" t="s">
        <v>2086</v>
      </c>
      <c r="I631" s="227" t="s">
        <v>2086</v>
      </c>
      <c r="J631" s="227" t="s">
        <v>2086</v>
      </c>
    </row>
    <row r="632" spans="2:10">
      <c r="B632" s="52"/>
      <c r="C632" s="55"/>
      <c r="D632" s="55"/>
      <c r="E632" s="55"/>
      <c r="F632" s="55"/>
      <c r="G632" s="55"/>
      <c r="H632" s="55"/>
      <c r="I632" s="55"/>
      <c r="J632" s="55"/>
    </row>
    <row r="633" spans="2:10">
      <c r="B633" s="83" t="s">
        <v>205</v>
      </c>
      <c r="C633" s="227" t="s">
        <v>2086</v>
      </c>
      <c r="D633" s="227" t="s">
        <v>2086</v>
      </c>
      <c r="E633" s="227" t="s">
        <v>2086</v>
      </c>
      <c r="F633" s="227" t="s">
        <v>2086</v>
      </c>
      <c r="G633" s="227" t="s">
        <v>2086</v>
      </c>
      <c r="H633" s="227" t="s">
        <v>2086</v>
      </c>
      <c r="I633" s="227" t="s">
        <v>2086</v>
      </c>
      <c r="J633" s="227" t="s">
        <v>2086</v>
      </c>
    </row>
    <row r="634" spans="2:10">
      <c r="B634" s="81" t="s">
        <v>121</v>
      </c>
      <c r="C634" s="227" t="s">
        <v>2086</v>
      </c>
      <c r="D634" s="227" t="s">
        <v>2086</v>
      </c>
      <c r="E634" s="227" t="s">
        <v>2086</v>
      </c>
      <c r="F634" s="227" t="s">
        <v>2086</v>
      </c>
      <c r="G634" s="227" t="s">
        <v>2086</v>
      </c>
      <c r="H634" s="227" t="s">
        <v>2086</v>
      </c>
      <c r="I634" s="227" t="s">
        <v>2086</v>
      </c>
      <c r="J634" s="227" t="s">
        <v>2086</v>
      </c>
    </row>
    <row r="635" spans="2:10">
      <c r="B635" s="82" t="s">
        <v>120</v>
      </c>
      <c r="C635" s="227" t="s">
        <v>2086</v>
      </c>
      <c r="D635" s="227" t="s">
        <v>2086</v>
      </c>
      <c r="E635" s="227" t="s">
        <v>2086</v>
      </c>
      <c r="F635" s="227" t="s">
        <v>2086</v>
      </c>
      <c r="G635" s="227" t="s">
        <v>2086</v>
      </c>
      <c r="H635" s="227" t="s">
        <v>2086</v>
      </c>
      <c r="I635" s="227" t="s">
        <v>2086</v>
      </c>
      <c r="J635" s="227" t="s">
        <v>2086</v>
      </c>
    </row>
    <row r="636" spans="2:10">
      <c r="B636" s="82" t="s">
        <v>119</v>
      </c>
      <c r="C636" s="227" t="s">
        <v>2086</v>
      </c>
      <c r="D636" s="227" t="s">
        <v>2086</v>
      </c>
      <c r="E636" s="227" t="s">
        <v>2086</v>
      </c>
      <c r="F636" s="227" t="s">
        <v>2086</v>
      </c>
      <c r="G636" s="227" t="s">
        <v>2086</v>
      </c>
      <c r="H636" s="227" t="s">
        <v>2086</v>
      </c>
      <c r="I636" s="227" t="s">
        <v>2086</v>
      </c>
      <c r="J636" s="227" t="s">
        <v>2086</v>
      </c>
    </row>
    <row r="637" spans="2:10" ht="15">
      <c r="B637" s="82" t="s">
        <v>513</v>
      </c>
      <c r="C637" s="227" t="s">
        <v>2086</v>
      </c>
      <c r="D637" s="227" t="s">
        <v>2086</v>
      </c>
      <c r="E637" s="227" t="s">
        <v>2086</v>
      </c>
      <c r="F637" s="227" t="s">
        <v>2086</v>
      </c>
      <c r="G637" s="227" t="s">
        <v>2086</v>
      </c>
      <c r="H637" s="227" t="s">
        <v>2086</v>
      </c>
      <c r="I637" s="227" t="s">
        <v>2086</v>
      </c>
      <c r="J637" s="227" t="s">
        <v>2086</v>
      </c>
    </row>
    <row r="638" spans="2:10">
      <c r="B638" s="81" t="s">
        <v>118</v>
      </c>
      <c r="C638" s="227" t="s">
        <v>2086</v>
      </c>
      <c r="D638" s="227" t="s">
        <v>2086</v>
      </c>
      <c r="E638" s="227" t="s">
        <v>2086</v>
      </c>
      <c r="F638" s="227" t="s">
        <v>2086</v>
      </c>
      <c r="G638" s="227" t="s">
        <v>2086</v>
      </c>
      <c r="H638" s="227" t="s">
        <v>2086</v>
      </c>
      <c r="I638" s="227" t="s">
        <v>2086</v>
      </c>
      <c r="J638" s="227" t="s">
        <v>2086</v>
      </c>
    </row>
    <row r="639" spans="2:10">
      <c r="B639" s="81" t="s">
        <v>117</v>
      </c>
      <c r="C639" s="227" t="s">
        <v>2086</v>
      </c>
      <c r="D639" s="227" t="s">
        <v>2086</v>
      </c>
      <c r="E639" s="227" t="s">
        <v>2086</v>
      </c>
      <c r="F639" s="227" t="s">
        <v>2086</v>
      </c>
      <c r="G639" s="227" t="s">
        <v>2086</v>
      </c>
      <c r="H639" s="227" t="s">
        <v>2086</v>
      </c>
      <c r="I639" s="227" t="s">
        <v>2086</v>
      </c>
      <c r="J639" s="227" t="s">
        <v>2086</v>
      </c>
    </row>
    <row r="640" spans="2:10">
      <c r="B640" s="81"/>
      <c r="C640" s="227"/>
      <c r="D640" s="227"/>
      <c r="E640" s="227"/>
      <c r="F640" s="227"/>
      <c r="G640" s="227"/>
      <c r="H640" s="227"/>
      <c r="I640" s="227"/>
      <c r="J640" s="227"/>
    </row>
    <row r="641" spans="2:10">
      <c r="B641" s="83" t="s">
        <v>204</v>
      </c>
      <c r="C641" s="227" t="s">
        <v>2086</v>
      </c>
      <c r="D641" s="227" t="s">
        <v>2086</v>
      </c>
      <c r="E641" s="227" t="s">
        <v>2086</v>
      </c>
      <c r="F641" s="227" t="s">
        <v>2086</v>
      </c>
      <c r="G641" s="227" t="s">
        <v>2086</v>
      </c>
      <c r="H641" s="227" t="s">
        <v>2086</v>
      </c>
      <c r="I641" s="227" t="s">
        <v>2086</v>
      </c>
      <c r="J641" s="227" t="s">
        <v>2086</v>
      </c>
    </row>
    <row r="642" spans="2:10">
      <c r="B642" s="81" t="s">
        <v>121</v>
      </c>
      <c r="C642" s="227" t="s">
        <v>2086</v>
      </c>
      <c r="D642" s="227" t="s">
        <v>2086</v>
      </c>
      <c r="E642" s="227" t="s">
        <v>2086</v>
      </c>
      <c r="F642" s="227" t="s">
        <v>2086</v>
      </c>
      <c r="G642" s="227" t="s">
        <v>2086</v>
      </c>
      <c r="H642" s="227" t="s">
        <v>2086</v>
      </c>
      <c r="I642" s="227" t="s">
        <v>2086</v>
      </c>
      <c r="J642" s="227" t="s">
        <v>2086</v>
      </c>
    </row>
    <row r="643" spans="2:10">
      <c r="B643" s="82" t="s">
        <v>120</v>
      </c>
      <c r="C643" s="227" t="s">
        <v>2086</v>
      </c>
      <c r="D643" s="227" t="s">
        <v>2086</v>
      </c>
      <c r="E643" s="227" t="s">
        <v>2086</v>
      </c>
      <c r="F643" s="227" t="s">
        <v>2086</v>
      </c>
      <c r="G643" s="227" t="s">
        <v>2086</v>
      </c>
      <c r="H643" s="227" t="s">
        <v>2086</v>
      </c>
      <c r="I643" s="227" t="s">
        <v>2086</v>
      </c>
      <c r="J643" s="227" t="s">
        <v>2086</v>
      </c>
    </row>
    <row r="644" spans="2:10">
      <c r="B644" s="82" t="s">
        <v>119</v>
      </c>
      <c r="C644" s="227" t="s">
        <v>2086</v>
      </c>
      <c r="D644" s="227" t="s">
        <v>2086</v>
      </c>
      <c r="E644" s="227" t="s">
        <v>2086</v>
      </c>
      <c r="F644" s="227" t="s">
        <v>2086</v>
      </c>
      <c r="G644" s="227" t="s">
        <v>2086</v>
      </c>
      <c r="H644" s="227" t="s">
        <v>2086</v>
      </c>
      <c r="I644" s="227" t="s">
        <v>2086</v>
      </c>
      <c r="J644" s="227" t="s">
        <v>2086</v>
      </c>
    </row>
    <row r="645" spans="2:10" ht="15">
      <c r="B645" s="82" t="s">
        <v>514</v>
      </c>
      <c r="C645" s="227" t="s">
        <v>2086</v>
      </c>
      <c r="D645" s="227" t="s">
        <v>2086</v>
      </c>
      <c r="E645" s="227" t="s">
        <v>2086</v>
      </c>
      <c r="F645" s="227" t="s">
        <v>2086</v>
      </c>
      <c r="G645" s="227" t="s">
        <v>2086</v>
      </c>
      <c r="H645" s="227" t="s">
        <v>2086</v>
      </c>
      <c r="I645" s="227" t="s">
        <v>2086</v>
      </c>
      <c r="J645" s="227" t="s">
        <v>2086</v>
      </c>
    </row>
    <row r="646" spans="2:10">
      <c r="B646" s="81" t="s">
        <v>118</v>
      </c>
      <c r="C646" s="227" t="s">
        <v>2086</v>
      </c>
      <c r="D646" s="227" t="s">
        <v>2086</v>
      </c>
      <c r="E646" s="227" t="s">
        <v>2086</v>
      </c>
      <c r="F646" s="227" t="s">
        <v>2086</v>
      </c>
      <c r="G646" s="227" t="s">
        <v>2086</v>
      </c>
      <c r="H646" s="227" t="s">
        <v>2086</v>
      </c>
      <c r="I646" s="227" t="s">
        <v>2086</v>
      </c>
      <c r="J646" s="227" t="s">
        <v>2086</v>
      </c>
    </row>
    <row r="647" spans="2:10">
      <c r="B647" s="81" t="s">
        <v>117</v>
      </c>
      <c r="C647" s="227" t="s">
        <v>2086</v>
      </c>
      <c r="D647" s="227" t="s">
        <v>2086</v>
      </c>
      <c r="E647" s="227" t="s">
        <v>2086</v>
      </c>
      <c r="F647" s="227" t="s">
        <v>2086</v>
      </c>
      <c r="G647" s="227" t="s">
        <v>2086</v>
      </c>
      <c r="H647" s="227" t="s">
        <v>2086</v>
      </c>
      <c r="I647" s="227" t="s">
        <v>2086</v>
      </c>
      <c r="J647" s="227" t="s">
        <v>2086</v>
      </c>
    </row>
    <row r="648" spans="2:10">
      <c r="B648" s="81"/>
      <c r="C648" s="55"/>
      <c r="D648" s="55"/>
      <c r="E648" s="55"/>
      <c r="F648" s="55"/>
      <c r="G648" s="55"/>
      <c r="H648" s="55"/>
      <c r="I648" s="55"/>
      <c r="J648" s="55"/>
    </row>
    <row r="649" spans="2:10">
      <c r="B649" s="71" t="s">
        <v>203</v>
      </c>
      <c r="C649" s="227" t="s">
        <v>2086</v>
      </c>
      <c r="D649" s="227" t="s">
        <v>2086</v>
      </c>
      <c r="E649" s="227" t="s">
        <v>2086</v>
      </c>
      <c r="F649" s="227" t="s">
        <v>2086</v>
      </c>
      <c r="G649" s="227" t="s">
        <v>2086</v>
      </c>
      <c r="H649" s="227" t="s">
        <v>2086</v>
      </c>
      <c r="I649" s="227" t="s">
        <v>2086</v>
      </c>
      <c r="J649" s="227" t="s">
        <v>2086</v>
      </c>
    </row>
    <row r="650" spans="2:10">
      <c r="B650" s="52" t="s">
        <v>169</v>
      </c>
      <c r="C650" s="227" t="s">
        <v>2086</v>
      </c>
      <c r="D650" s="227" t="s">
        <v>2086</v>
      </c>
      <c r="E650" s="227" t="s">
        <v>2086</v>
      </c>
      <c r="F650" s="227" t="s">
        <v>2086</v>
      </c>
      <c r="G650" s="227" t="s">
        <v>2086</v>
      </c>
      <c r="H650" s="227" t="s">
        <v>2086</v>
      </c>
      <c r="I650" s="227" t="s">
        <v>2086</v>
      </c>
      <c r="J650" s="227" t="s">
        <v>2086</v>
      </c>
    </row>
    <row r="651" spans="2:10">
      <c r="B651" s="52" t="s">
        <v>168</v>
      </c>
      <c r="C651" s="227" t="s">
        <v>2086</v>
      </c>
      <c r="D651" s="227" t="s">
        <v>2086</v>
      </c>
      <c r="E651" s="227" t="s">
        <v>2086</v>
      </c>
      <c r="F651" s="227" t="s">
        <v>2086</v>
      </c>
      <c r="G651" s="227" t="s">
        <v>2086</v>
      </c>
      <c r="H651" s="227" t="s">
        <v>2086</v>
      </c>
      <c r="I651" s="227" t="s">
        <v>2086</v>
      </c>
      <c r="J651" s="227" t="s">
        <v>2086</v>
      </c>
    </row>
    <row r="652" spans="2:10">
      <c r="B652" s="52" t="s">
        <v>167</v>
      </c>
      <c r="C652" s="227" t="s">
        <v>2086</v>
      </c>
      <c r="D652" s="227" t="s">
        <v>2086</v>
      </c>
      <c r="E652" s="227" t="s">
        <v>2086</v>
      </c>
      <c r="F652" s="227" t="s">
        <v>2086</v>
      </c>
      <c r="G652" s="227" t="s">
        <v>2086</v>
      </c>
      <c r="H652" s="227" t="s">
        <v>2086</v>
      </c>
      <c r="I652" s="227" t="s">
        <v>2086</v>
      </c>
      <c r="J652" s="227" t="s">
        <v>2086</v>
      </c>
    </row>
    <row r="653" spans="2:10">
      <c r="B653" s="52" t="s">
        <v>166</v>
      </c>
      <c r="C653" s="227" t="s">
        <v>2086</v>
      </c>
      <c r="D653" s="227" t="s">
        <v>2086</v>
      </c>
      <c r="E653" s="227" t="s">
        <v>2086</v>
      </c>
      <c r="F653" s="227" t="s">
        <v>2086</v>
      </c>
      <c r="G653" s="227" t="s">
        <v>2086</v>
      </c>
      <c r="H653" s="227" t="s">
        <v>2086</v>
      </c>
      <c r="I653" s="227" t="s">
        <v>2086</v>
      </c>
      <c r="J653" s="227" t="s">
        <v>2086</v>
      </c>
    </row>
    <row r="654" spans="2:10">
      <c r="B654" s="52" t="s">
        <v>165</v>
      </c>
      <c r="C654" s="227" t="s">
        <v>2086</v>
      </c>
      <c r="D654" s="227" t="s">
        <v>2086</v>
      </c>
      <c r="E654" s="227" t="s">
        <v>2086</v>
      </c>
      <c r="F654" s="227" t="s">
        <v>2086</v>
      </c>
      <c r="G654" s="227" t="s">
        <v>2086</v>
      </c>
      <c r="H654" s="227" t="s">
        <v>2086</v>
      </c>
      <c r="I654" s="227" t="s">
        <v>2086</v>
      </c>
      <c r="J654" s="227" t="s">
        <v>2086</v>
      </c>
    </row>
    <row r="655" spans="2:10">
      <c r="B655" s="52" t="s">
        <v>164</v>
      </c>
      <c r="C655" s="227" t="s">
        <v>2086</v>
      </c>
      <c r="D655" s="227" t="s">
        <v>2086</v>
      </c>
      <c r="E655" s="227" t="s">
        <v>2086</v>
      </c>
      <c r="F655" s="227" t="s">
        <v>2086</v>
      </c>
      <c r="G655" s="227" t="s">
        <v>2086</v>
      </c>
      <c r="H655" s="227" t="s">
        <v>2086</v>
      </c>
      <c r="I655" s="227" t="s">
        <v>2086</v>
      </c>
      <c r="J655" s="227" t="s">
        <v>2086</v>
      </c>
    </row>
    <row r="656" spans="2:10">
      <c r="B656" s="52"/>
      <c r="C656" s="55"/>
      <c r="D656" s="55"/>
      <c r="E656" s="55"/>
      <c r="F656" s="55"/>
      <c r="G656" s="55"/>
      <c r="H656" s="55"/>
      <c r="I656" s="55"/>
      <c r="J656" s="55"/>
    </row>
    <row r="657" spans="2:10">
      <c r="B657" s="80" t="s">
        <v>202</v>
      </c>
      <c r="C657" s="227" t="s">
        <v>2086</v>
      </c>
      <c r="D657" s="227" t="s">
        <v>2086</v>
      </c>
      <c r="E657" s="227" t="s">
        <v>2086</v>
      </c>
      <c r="F657" s="227" t="s">
        <v>2086</v>
      </c>
      <c r="G657" s="227" t="s">
        <v>2086</v>
      </c>
      <c r="H657" s="227" t="s">
        <v>2086</v>
      </c>
      <c r="I657" s="227" t="s">
        <v>2086</v>
      </c>
      <c r="J657" s="227" t="s">
        <v>2086</v>
      </c>
    </row>
    <row r="658" spans="2:10">
      <c r="B658" s="52" t="s">
        <v>169</v>
      </c>
      <c r="C658" s="227" t="s">
        <v>2086</v>
      </c>
      <c r="D658" s="227" t="s">
        <v>2086</v>
      </c>
      <c r="E658" s="227" t="s">
        <v>2086</v>
      </c>
      <c r="F658" s="227" t="s">
        <v>2086</v>
      </c>
      <c r="G658" s="227" t="s">
        <v>2086</v>
      </c>
      <c r="H658" s="227" t="s">
        <v>2086</v>
      </c>
      <c r="I658" s="227" t="s">
        <v>2086</v>
      </c>
      <c r="J658" s="227" t="s">
        <v>2086</v>
      </c>
    </row>
    <row r="659" spans="2:10">
      <c r="B659" s="52" t="s">
        <v>168</v>
      </c>
      <c r="C659" s="227" t="s">
        <v>2086</v>
      </c>
      <c r="D659" s="227" t="s">
        <v>2086</v>
      </c>
      <c r="E659" s="227" t="s">
        <v>2086</v>
      </c>
      <c r="F659" s="227" t="s">
        <v>2086</v>
      </c>
      <c r="G659" s="227" t="s">
        <v>2086</v>
      </c>
      <c r="H659" s="227" t="s">
        <v>2086</v>
      </c>
      <c r="I659" s="227" t="s">
        <v>2086</v>
      </c>
      <c r="J659" s="227" t="s">
        <v>2086</v>
      </c>
    </row>
    <row r="660" spans="2:10">
      <c r="B660" s="52" t="s">
        <v>167</v>
      </c>
      <c r="C660" s="227" t="s">
        <v>2086</v>
      </c>
      <c r="D660" s="227" t="s">
        <v>2086</v>
      </c>
      <c r="E660" s="227" t="s">
        <v>2086</v>
      </c>
      <c r="F660" s="227" t="s">
        <v>2086</v>
      </c>
      <c r="G660" s="227" t="s">
        <v>2086</v>
      </c>
      <c r="H660" s="227" t="s">
        <v>2086</v>
      </c>
      <c r="I660" s="227" t="s">
        <v>2086</v>
      </c>
      <c r="J660" s="227" t="s">
        <v>2086</v>
      </c>
    </row>
    <row r="661" spans="2:10">
      <c r="B661" s="52" t="s">
        <v>166</v>
      </c>
      <c r="C661" s="227" t="s">
        <v>2086</v>
      </c>
      <c r="D661" s="227" t="s">
        <v>2086</v>
      </c>
      <c r="E661" s="227" t="s">
        <v>2086</v>
      </c>
      <c r="F661" s="227" t="s">
        <v>2086</v>
      </c>
      <c r="G661" s="227" t="s">
        <v>2086</v>
      </c>
      <c r="H661" s="227" t="s">
        <v>2086</v>
      </c>
      <c r="I661" s="227" t="s">
        <v>2086</v>
      </c>
      <c r="J661" s="227" t="s">
        <v>2086</v>
      </c>
    </row>
    <row r="662" spans="2:10">
      <c r="B662" s="52" t="s">
        <v>165</v>
      </c>
      <c r="C662" s="227" t="s">
        <v>2086</v>
      </c>
      <c r="D662" s="227" t="s">
        <v>2086</v>
      </c>
      <c r="E662" s="227" t="s">
        <v>2086</v>
      </c>
      <c r="F662" s="227" t="s">
        <v>2086</v>
      </c>
      <c r="G662" s="227" t="s">
        <v>2086</v>
      </c>
      <c r="H662" s="227" t="s">
        <v>2086</v>
      </c>
      <c r="I662" s="227" t="s">
        <v>2086</v>
      </c>
      <c r="J662" s="227" t="s">
        <v>2086</v>
      </c>
    </row>
    <row r="663" spans="2:10">
      <c r="B663" s="52" t="s">
        <v>164</v>
      </c>
      <c r="C663" s="227" t="s">
        <v>2086</v>
      </c>
      <c r="D663" s="227" t="s">
        <v>2086</v>
      </c>
      <c r="E663" s="227" t="s">
        <v>2086</v>
      </c>
      <c r="F663" s="227" t="s">
        <v>2086</v>
      </c>
      <c r="G663" s="227" t="s">
        <v>2086</v>
      </c>
      <c r="H663" s="227" t="s">
        <v>2086</v>
      </c>
      <c r="I663" s="227" t="s">
        <v>2086</v>
      </c>
      <c r="J663" s="227" t="s">
        <v>2086</v>
      </c>
    </row>
    <row r="664" spans="2:10">
      <c r="B664" s="52"/>
      <c r="C664" s="230"/>
      <c r="D664" s="230"/>
      <c r="E664" s="230"/>
      <c r="F664" s="230"/>
      <c r="G664" s="230"/>
      <c r="H664" s="230"/>
      <c r="I664" s="230"/>
      <c r="J664" s="230"/>
    </row>
    <row r="665" spans="2:10">
      <c r="B665" s="59" t="s">
        <v>510</v>
      </c>
      <c r="C665" s="230"/>
      <c r="D665" s="230"/>
      <c r="E665" s="230"/>
      <c r="F665" s="230"/>
      <c r="G665" s="230"/>
      <c r="H665" s="230"/>
      <c r="I665" s="230"/>
      <c r="J665" s="230"/>
    </row>
    <row r="666" spans="2:10">
      <c r="B666" s="71" t="s">
        <v>209</v>
      </c>
      <c r="C666" s="227" t="s">
        <v>2086</v>
      </c>
      <c r="D666" s="227" t="s">
        <v>2086</v>
      </c>
      <c r="E666" s="227">
        <v>323782453.80000001</v>
      </c>
      <c r="F666" s="227">
        <v>315347006.72000003</v>
      </c>
      <c r="G666" s="227">
        <v>329074588.11000001</v>
      </c>
      <c r="H666" s="227">
        <v>335524283</v>
      </c>
      <c r="I666" s="227">
        <v>274680888</v>
      </c>
      <c r="J666" s="227">
        <v>285186603.75</v>
      </c>
    </row>
    <row r="667" spans="2:10">
      <c r="B667" s="71"/>
      <c r="C667" s="227"/>
      <c r="D667" s="227"/>
      <c r="E667" s="227"/>
      <c r="F667" s="227"/>
      <c r="G667" s="227"/>
      <c r="H667" s="227"/>
      <c r="I667" s="227"/>
      <c r="J667" s="227"/>
    </row>
    <row r="668" spans="2:10">
      <c r="B668" s="71" t="s">
        <v>208</v>
      </c>
      <c r="C668" s="227" t="s">
        <v>2086</v>
      </c>
      <c r="D668" s="227" t="s">
        <v>2086</v>
      </c>
      <c r="E668" s="227" t="s">
        <v>2086</v>
      </c>
      <c r="F668" s="227" t="s">
        <v>2086</v>
      </c>
      <c r="G668" s="227" t="s">
        <v>2086</v>
      </c>
      <c r="H668" s="227" t="s">
        <v>2086</v>
      </c>
      <c r="I668" s="227" t="s">
        <v>2086</v>
      </c>
      <c r="J668" s="227" t="s">
        <v>2086</v>
      </c>
    </row>
    <row r="669" spans="2:10">
      <c r="B669" s="52" t="s">
        <v>121</v>
      </c>
      <c r="C669" s="227" t="s">
        <v>2086</v>
      </c>
      <c r="D669" s="227" t="s">
        <v>2086</v>
      </c>
      <c r="E669" s="227" t="s">
        <v>2086</v>
      </c>
      <c r="F669" s="227" t="s">
        <v>2086</v>
      </c>
      <c r="G669" s="227" t="s">
        <v>2086</v>
      </c>
      <c r="H669" s="227" t="s">
        <v>2086</v>
      </c>
      <c r="I669" s="227" t="s">
        <v>2086</v>
      </c>
      <c r="J669" s="227" t="s">
        <v>2086</v>
      </c>
    </row>
    <row r="670" spans="2:10">
      <c r="B670" s="53" t="s">
        <v>120</v>
      </c>
      <c r="C670" s="227" t="s">
        <v>2086</v>
      </c>
      <c r="D670" s="227" t="s">
        <v>2086</v>
      </c>
      <c r="E670" s="227" t="s">
        <v>2086</v>
      </c>
      <c r="F670" s="227" t="s">
        <v>2086</v>
      </c>
      <c r="G670" s="227" t="s">
        <v>2086</v>
      </c>
      <c r="H670" s="227" t="s">
        <v>2086</v>
      </c>
      <c r="I670" s="227" t="s">
        <v>2086</v>
      </c>
      <c r="J670" s="227" t="s">
        <v>2086</v>
      </c>
    </row>
    <row r="671" spans="2:10">
      <c r="B671" s="53" t="s">
        <v>119</v>
      </c>
      <c r="C671" s="227" t="s">
        <v>2086</v>
      </c>
      <c r="D671" s="227" t="s">
        <v>2086</v>
      </c>
      <c r="E671" s="227" t="s">
        <v>2086</v>
      </c>
      <c r="F671" s="227" t="s">
        <v>2086</v>
      </c>
      <c r="G671" s="227" t="s">
        <v>2086</v>
      </c>
      <c r="H671" s="227" t="s">
        <v>2086</v>
      </c>
      <c r="I671" s="227" t="s">
        <v>2086</v>
      </c>
      <c r="J671" s="227" t="s">
        <v>2086</v>
      </c>
    </row>
    <row r="672" spans="2:10">
      <c r="B672" s="53" t="s">
        <v>512</v>
      </c>
      <c r="C672" s="227" t="s">
        <v>2086</v>
      </c>
      <c r="D672" s="227" t="s">
        <v>2086</v>
      </c>
      <c r="E672" s="227" t="s">
        <v>2086</v>
      </c>
      <c r="F672" s="227" t="s">
        <v>2086</v>
      </c>
      <c r="G672" s="227" t="s">
        <v>2086</v>
      </c>
      <c r="H672" s="227" t="s">
        <v>2086</v>
      </c>
      <c r="I672" s="227" t="s">
        <v>2086</v>
      </c>
      <c r="J672" s="227" t="s">
        <v>2086</v>
      </c>
    </row>
    <row r="673" spans="2:10">
      <c r="B673" s="52" t="s">
        <v>118</v>
      </c>
      <c r="C673" s="227" t="s">
        <v>2086</v>
      </c>
      <c r="D673" s="227" t="s">
        <v>2086</v>
      </c>
      <c r="E673" s="227" t="s">
        <v>2086</v>
      </c>
      <c r="F673" s="227" t="s">
        <v>2086</v>
      </c>
      <c r="G673" s="227" t="s">
        <v>2086</v>
      </c>
      <c r="H673" s="227" t="s">
        <v>2086</v>
      </c>
      <c r="I673" s="227" t="s">
        <v>2086</v>
      </c>
      <c r="J673" s="227" t="s">
        <v>2086</v>
      </c>
    </row>
    <row r="674" spans="2:10">
      <c r="B674" s="52" t="s">
        <v>117</v>
      </c>
      <c r="C674" s="227" t="s">
        <v>2086</v>
      </c>
      <c r="D674" s="227" t="s">
        <v>2086</v>
      </c>
      <c r="E674" s="227" t="s">
        <v>2086</v>
      </c>
      <c r="F674" s="227" t="s">
        <v>2086</v>
      </c>
      <c r="G674" s="227" t="s">
        <v>2086</v>
      </c>
      <c r="H674" s="227" t="s">
        <v>2086</v>
      </c>
      <c r="I674" s="227" t="s">
        <v>2086</v>
      </c>
      <c r="J674" s="227" t="s">
        <v>2086</v>
      </c>
    </row>
    <row r="675" spans="2:10">
      <c r="B675" s="52"/>
      <c r="C675" s="227"/>
      <c r="D675" s="227"/>
      <c r="E675" s="227"/>
      <c r="F675" s="227"/>
      <c r="G675" s="227"/>
      <c r="H675" s="227"/>
      <c r="I675" s="227"/>
      <c r="J675" s="227"/>
    </row>
    <row r="676" spans="2:10">
      <c r="B676" s="83" t="s">
        <v>205</v>
      </c>
      <c r="C676" s="227" t="s">
        <v>2086</v>
      </c>
      <c r="D676" s="227" t="s">
        <v>2086</v>
      </c>
      <c r="E676" s="227" t="s">
        <v>2086</v>
      </c>
      <c r="F676" s="227" t="s">
        <v>2086</v>
      </c>
      <c r="G676" s="227" t="s">
        <v>2086</v>
      </c>
      <c r="H676" s="227" t="s">
        <v>2086</v>
      </c>
      <c r="I676" s="227" t="s">
        <v>2086</v>
      </c>
      <c r="J676" s="227" t="s">
        <v>2086</v>
      </c>
    </row>
    <row r="677" spans="2:10">
      <c r="B677" s="81" t="s">
        <v>121</v>
      </c>
      <c r="C677" s="227" t="s">
        <v>2086</v>
      </c>
      <c r="D677" s="227" t="s">
        <v>2086</v>
      </c>
      <c r="E677" s="227" t="s">
        <v>2086</v>
      </c>
      <c r="F677" s="227" t="s">
        <v>2086</v>
      </c>
      <c r="G677" s="227" t="s">
        <v>2086</v>
      </c>
      <c r="H677" s="227" t="s">
        <v>2086</v>
      </c>
      <c r="I677" s="227" t="s">
        <v>2086</v>
      </c>
      <c r="J677" s="227" t="s">
        <v>2086</v>
      </c>
    </row>
    <row r="678" spans="2:10">
      <c r="B678" s="82" t="s">
        <v>120</v>
      </c>
      <c r="C678" s="227" t="s">
        <v>2086</v>
      </c>
      <c r="D678" s="227" t="s">
        <v>2086</v>
      </c>
      <c r="E678" s="227" t="s">
        <v>2086</v>
      </c>
      <c r="F678" s="227" t="s">
        <v>2086</v>
      </c>
      <c r="G678" s="227" t="s">
        <v>2086</v>
      </c>
      <c r="H678" s="227" t="s">
        <v>2086</v>
      </c>
      <c r="I678" s="227" t="s">
        <v>2086</v>
      </c>
      <c r="J678" s="227" t="s">
        <v>2086</v>
      </c>
    </row>
    <row r="679" spans="2:10">
      <c r="B679" s="82" t="s">
        <v>119</v>
      </c>
      <c r="C679" s="227" t="s">
        <v>2086</v>
      </c>
      <c r="D679" s="227" t="s">
        <v>2086</v>
      </c>
      <c r="E679" s="227" t="s">
        <v>2086</v>
      </c>
      <c r="F679" s="227" t="s">
        <v>2086</v>
      </c>
      <c r="G679" s="227" t="s">
        <v>2086</v>
      </c>
      <c r="H679" s="227" t="s">
        <v>2086</v>
      </c>
      <c r="I679" s="227" t="s">
        <v>2086</v>
      </c>
      <c r="J679" s="227" t="s">
        <v>2086</v>
      </c>
    </row>
    <row r="680" spans="2:10" ht="15">
      <c r="B680" s="82" t="s">
        <v>513</v>
      </c>
      <c r="C680" s="227" t="s">
        <v>2086</v>
      </c>
      <c r="D680" s="227" t="s">
        <v>2086</v>
      </c>
      <c r="E680" s="227" t="s">
        <v>2086</v>
      </c>
      <c r="F680" s="227" t="s">
        <v>2086</v>
      </c>
      <c r="G680" s="227" t="s">
        <v>2086</v>
      </c>
      <c r="H680" s="227" t="s">
        <v>2086</v>
      </c>
      <c r="I680" s="227" t="s">
        <v>2086</v>
      </c>
      <c r="J680" s="227" t="s">
        <v>2086</v>
      </c>
    </row>
    <row r="681" spans="2:10">
      <c r="B681" s="81" t="s">
        <v>118</v>
      </c>
      <c r="C681" s="227" t="s">
        <v>2086</v>
      </c>
      <c r="D681" s="227" t="s">
        <v>2086</v>
      </c>
      <c r="E681" s="227" t="s">
        <v>2086</v>
      </c>
      <c r="F681" s="227" t="s">
        <v>2086</v>
      </c>
      <c r="G681" s="227" t="s">
        <v>2086</v>
      </c>
      <c r="H681" s="227" t="s">
        <v>2086</v>
      </c>
      <c r="I681" s="227" t="s">
        <v>2086</v>
      </c>
      <c r="J681" s="227" t="s">
        <v>2086</v>
      </c>
    </row>
    <row r="682" spans="2:10">
      <c r="B682" s="81" t="s">
        <v>117</v>
      </c>
      <c r="C682" s="227" t="s">
        <v>2086</v>
      </c>
      <c r="D682" s="227" t="s">
        <v>2086</v>
      </c>
      <c r="E682" s="227" t="s">
        <v>2086</v>
      </c>
      <c r="F682" s="227" t="s">
        <v>2086</v>
      </c>
      <c r="G682" s="227" t="s">
        <v>2086</v>
      </c>
      <c r="H682" s="227" t="s">
        <v>2086</v>
      </c>
      <c r="I682" s="227" t="s">
        <v>2086</v>
      </c>
      <c r="J682" s="227" t="s">
        <v>2086</v>
      </c>
    </row>
    <row r="683" spans="2:10">
      <c r="B683" s="81"/>
      <c r="C683" s="227"/>
      <c r="D683" s="227"/>
      <c r="E683" s="227"/>
      <c r="F683" s="227"/>
      <c r="G683" s="227"/>
      <c r="H683" s="227"/>
      <c r="I683" s="227"/>
      <c r="J683" s="227"/>
    </row>
    <row r="684" spans="2:10">
      <c r="B684" s="83" t="s">
        <v>204</v>
      </c>
      <c r="C684" s="227" t="s">
        <v>2086</v>
      </c>
      <c r="D684" s="227" t="s">
        <v>2086</v>
      </c>
      <c r="E684" s="227" t="s">
        <v>2086</v>
      </c>
      <c r="F684" s="227" t="s">
        <v>2086</v>
      </c>
      <c r="G684" s="227" t="s">
        <v>2086</v>
      </c>
      <c r="H684" s="227" t="s">
        <v>2086</v>
      </c>
      <c r="I684" s="227" t="s">
        <v>2086</v>
      </c>
      <c r="J684" s="227" t="s">
        <v>2086</v>
      </c>
    </row>
    <row r="685" spans="2:10">
      <c r="B685" s="81" t="s">
        <v>121</v>
      </c>
      <c r="C685" s="227" t="s">
        <v>2086</v>
      </c>
      <c r="D685" s="227" t="s">
        <v>2086</v>
      </c>
      <c r="E685" s="227" t="s">
        <v>2086</v>
      </c>
      <c r="F685" s="227" t="s">
        <v>2086</v>
      </c>
      <c r="G685" s="227" t="s">
        <v>2086</v>
      </c>
      <c r="H685" s="227" t="s">
        <v>2086</v>
      </c>
      <c r="I685" s="227" t="s">
        <v>2086</v>
      </c>
      <c r="J685" s="227" t="s">
        <v>2086</v>
      </c>
    </row>
    <row r="686" spans="2:10">
      <c r="B686" s="82" t="s">
        <v>120</v>
      </c>
      <c r="C686" s="227" t="s">
        <v>2086</v>
      </c>
      <c r="D686" s="227" t="s">
        <v>2086</v>
      </c>
      <c r="E686" s="227" t="s">
        <v>2086</v>
      </c>
      <c r="F686" s="227" t="s">
        <v>2086</v>
      </c>
      <c r="G686" s="227" t="s">
        <v>2086</v>
      </c>
      <c r="H686" s="227" t="s">
        <v>2086</v>
      </c>
      <c r="I686" s="227" t="s">
        <v>2086</v>
      </c>
      <c r="J686" s="227" t="s">
        <v>2086</v>
      </c>
    </row>
    <row r="687" spans="2:10">
      <c r="B687" s="82" t="s">
        <v>119</v>
      </c>
      <c r="C687" s="227" t="s">
        <v>2086</v>
      </c>
      <c r="D687" s="227" t="s">
        <v>2086</v>
      </c>
      <c r="E687" s="227" t="s">
        <v>2086</v>
      </c>
      <c r="F687" s="227" t="s">
        <v>2086</v>
      </c>
      <c r="G687" s="227" t="s">
        <v>2086</v>
      </c>
      <c r="H687" s="227" t="s">
        <v>2086</v>
      </c>
      <c r="I687" s="227" t="s">
        <v>2086</v>
      </c>
      <c r="J687" s="227" t="s">
        <v>2086</v>
      </c>
    </row>
    <row r="688" spans="2:10" ht="15">
      <c r="B688" s="82" t="s">
        <v>514</v>
      </c>
      <c r="C688" s="227" t="s">
        <v>2086</v>
      </c>
      <c r="D688" s="227" t="s">
        <v>2086</v>
      </c>
      <c r="E688" s="227" t="s">
        <v>2086</v>
      </c>
      <c r="F688" s="227" t="s">
        <v>2086</v>
      </c>
      <c r="G688" s="227" t="s">
        <v>2086</v>
      </c>
      <c r="H688" s="227" t="s">
        <v>2086</v>
      </c>
      <c r="I688" s="227" t="s">
        <v>2086</v>
      </c>
      <c r="J688" s="227" t="s">
        <v>2086</v>
      </c>
    </row>
    <row r="689" spans="2:10">
      <c r="B689" s="81" t="s">
        <v>118</v>
      </c>
      <c r="C689" s="227" t="s">
        <v>2086</v>
      </c>
      <c r="D689" s="227" t="s">
        <v>2086</v>
      </c>
      <c r="E689" s="227" t="s">
        <v>2086</v>
      </c>
      <c r="F689" s="227" t="s">
        <v>2086</v>
      </c>
      <c r="G689" s="227" t="s">
        <v>2086</v>
      </c>
      <c r="H689" s="227" t="s">
        <v>2086</v>
      </c>
      <c r="I689" s="227" t="s">
        <v>2086</v>
      </c>
      <c r="J689" s="227" t="s">
        <v>2086</v>
      </c>
    </row>
    <row r="690" spans="2:10">
      <c r="B690" s="81" t="s">
        <v>117</v>
      </c>
      <c r="C690" s="227" t="s">
        <v>2086</v>
      </c>
      <c r="D690" s="227" t="s">
        <v>2086</v>
      </c>
      <c r="E690" s="227" t="s">
        <v>2086</v>
      </c>
      <c r="F690" s="227" t="s">
        <v>2086</v>
      </c>
      <c r="G690" s="227" t="s">
        <v>2086</v>
      </c>
      <c r="H690" s="227" t="s">
        <v>2086</v>
      </c>
      <c r="I690" s="227" t="s">
        <v>2086</v>
      </c>
      <c r="J690" s="227" t="s">
        <v>2086</v>
      </c>
    </row>
    <row r="691" spans="2:10">
      <c r="B691" s="81"/>
      <c r="C691" s="227"/>
      <c r="D691" s="227"/>
      <c r="E691" s="227"/>
      <c r="F691" s="227"/>
      <c r="G691" s="227"/>
      <c r="H691" s="227"/>
      <c r="I691" s="227"/>
      <c r="J691" s="227"/>
    </row>
    <row r="692" spans="2:10">
      <c r="B692" s="71" t="s">
        <v>203</v>
      </c>
      <c r="C692" s="227" t="s">
        <v>2086</v>
      </c>
      <c r="D692" s="227" t="s">
        <v>2086</v>
      </c>
      <c r="E692" s="227" t="s">
        <v>2086</v>
      </c>
      <c r="F692" s="227" t="s">
        <v>2086</v>
      </c>
      <c r="G692" s="227" t="s">
        <v>2086</v>
      </c>
      <c r="H692" s="227" t="s">
        <v>2086</v>
      </c>
      <c r="I692" s="227" t="s">
        <v>2086</v>
      </c>
      <c r="J692" s="227" t="s">
        <v>2086</v>
      </c>
    </row>
    <row r="693" spans="2:10">
      <c r="B693" s="52" t="s">
        <v>169</v>
      </c>
      <c r="C693" s="227" t="s">
        <v>2086</v>
      </c>
      <c r="D693" s="227" t="s">
        <v>2086</v>
      </c>
      <c r="E693" s="227" t="s">
        <v>2086</v>
      </c>
      <c r="F693" s="227" t="s">
        <v>2086</v>
      </c>
      <c r="G693" s="227" t="s">
        <v>2086</v>
      </c>
      <c r="H693" s="227" t="s">
        <v>2086</v>
      </c>
      <c r="I693" s="227" t="s">
        <v>2086</v>
      </c>
      <c r="J693" s="227" t="s">
        <v>2086</v>
      </c>
    </row>
    <row r="694" spans="2:10">
      <c r="B694" s="52" t="s">
        <v>168</v>
      </c>
      <c r="C694" s="227" t="s">
        <v>2086</v>
      </c>
      <c r="D694" s="227" t="s">
        <v>2086</v>
      </c>
      <c r="E694" s="227" t="s">
        <v>2086</v>
      </c>
      <c r="F694" s="227" t="s">
        <v>2086</v>
      </c>
      <c r="G694" s="227" t="s">
        <v>2086</v>
      </c>
      <c r="H694" s="227" t="s">
        <v>2086</v>
      </c>
      <c r="I694" s="227" t="s">
        <v>2086</v>
      </c>
      <c r="J694" s="227" t="s">
        <v>2086</v>
      </c>
    </row>
    <row r="695" spans="2:10">
      <c r="B695" s="52" t="s">
        <v>167</v>
      </c>
      <c r="C695" s="227" t="s">
        <v>2086</v>
      </c>
      <c r="D695" s="227" t="s">
        <v>2086</v>
      </c>
      <c r="E695" s="227" t="s">
        <v>2086</v>
      </c>
      <c r="F695" s="227" t="s">
        <v>2086</v>
      </c>
      <c r="G695" s="227" t="s">
        <v>2086</v>
      </c>
      <c r="H695" s="227" t="s">
        <v>2086</v>
      </c>
      <c r="I695" s="227" t="s">
        <v>2086</v>
      </c>
      <c r="J695" s="227" t="s">
        <v>2086</v>
      </c>
    </row>
    <row r="696" spans="2:10">
      <c r="B696" s="52" t="s">
        <v>166</v>
      </c>
      <c r="C696" s="227" t="s">
        <v>2086</v>
      </c>
      <c r="D696" s="227" t="s">
        <v>2086</v>
      </c>
      <c r="E696" s="227" t="s">
        <v>2086</v>
      </c>
      <c r="F696" s="227" t="s">
        <v>2086</v>
      </c>
      <c r="G696" s="227" t="s">
        <v>2086</v>
      </c>
      <c r="H696" s="227" t="s">
        <v>2086</v>
      </c>
      <c r="I696" s="227" t="s">
        <v>2086</v>
      </c>
      <c r="J696" s="227" t="s">
        <v>2086</v>
      </c>
    </row>
    <row r="697" spans="2:10">
      <c r="B697" s="52" t="s">
        <v>165</v>
      </c>
      <c r="C697" s="227" t="s">
        <v>2086</v>
      </c>
      <c r="D697" s="227" t="s">
        <v>2086</v>
      </c>
      <c r="E697" s="227" t="s">
        <v>2086</v>
      </c>
      <c r="F697" s="227" t="s">
        <v>2086</v>
      </c>
      <c r="G697" s="227" t="s">
        <v>2086</v>
      </c>
      <c r="H697" s="227" t="s">
        <v>2086</v>
      </c>
      <c r="I697" s="227" t="s">
        <v>2086</v>
      </c>
      <c r="J697" s="227" t="s">
        <v>2086</v>
      </c>
    </row>
    <row r="698" spans="2:10">
      <c r="B698" s="52" t="s">
        <v>164</v>
      </c>
      <c r="C698" s="227" t="s">
        <v>2086</v>
      </c>
      <c r="D698" s="227" t="s">
        <v>2086</v>
      </c>
      <c r="E698" s="227" t="s">
        <v>2086</v>
      </c>
      <c r="F698" s="227" t="s">
        <v>2086</v>
      </c>
      <c r="G698" s="227" t="s">
        <v>2086</v>
      </c>
      <c r="H698" s="227" t="s">
        <v>2086</v>
      </c>
      <c r="I698" s="227" t="s">
        <v>2086</v>
      </c>
      <c r="J698" s="227" t="s">
        <v>2086</v>
      </c>
    </row>
    <row r="699" spans="2:10">
      <c r="B699" s="52"/>
      <c r="C699" s="227"/>
      <c r="D699" s="227"/>
      <c r="E699" s="227"/>
      <c r="F699" s="227"/>
      <c r="G699" s="227"/>
      <c r="H699" s="227"/>
      <c r="I699" s="227"/>
      <c r="J699" s="227"/>
    </row>
    <row r="700" spans="2:10">
      <c r="B700" s="80" t="s">
        <v>202</v>
      </c>
      <c r="C700" s="227" t="s">
        <v>2086</v>
      </c>
      <c r="D700" s="227" t="s">
        <v>2086</v>
      </c>
      <c r="E700" s="227" t="s">
        <v>2086</v>
      </c>
      <c r="F700" s="227" t="s">
        <v>2086</v>
      </c>
      <c r="G700" s="227" t="s">
        <v>2086</v>
      </c>
      <c r="H700" s="227" t="s">
        <v>2086</v>
      </c>
      <c r="I700" s="227" t="s">
        <v>2086</v>
      </c>
      <c r="J700" s="227" t="s">
        <v>2086</v>
      </c>
    </row>
    <row r="701" spans="2:10">
      <c r="B701" s="52" t="s">
        <v>169</v>
      </c>
      <c r="C701" s="227" t="s">
        <v>2086</v>
      </c>
      <c r="D701" s="227" t="s">
        <v>2086</v>
      </c>
      <c r="E701" s="227" t="s">
        <v>2086</v>
      </c>
      <c r="F701" s="227" t="s">
        <v>2086</v>
      </c>
      <c r="G701" s="227" t="s">
        <v>2086</v>
      </c>
      <c r="H701" s="227" t="s">
        <v>2086</v>
      </c>
      <c r="I701" s="227" t="s">
        <v>2086</v>
      </c>
      <c r="J701" s="227" t="s">
        <v>2086</v>
      </c>
    </row>
    <row r="702" spans="2:10">
      <c r="B702" s="52" t="s">
        <v>168</v>
      </c>
      <c r="C702" s="227" t="s">
        <v>2086</v>
      </c>
      <c r="D702" s="227" t="s">
        <v>2086</v>
      </c>
      <c r="E702" s="227" t="s">
        <v>2086</v>
      </c>
      <c r="F702" s="227" t="s">
        <v>2086</v>
      </c>
      <c r="G702" s="227" t="s">
        <v>2086</v>
      </c>
      <c r="H702" s="227" t="s">
        <v>2086</v>
      </c>
      <c r="I702" s="227" t="s">
        <v>2086</v>
      </c>
      <c r="J702" s="227" t="s">
        <v>2086</v>
      </c>
    </row>
    <row r="703" spans="2:10">
      <c r="B703" s="52" t="s">
        <v>167</v>
      </c>
      <c r="C703" s="227" t="s">
        <v>2086</v>
      </c>
      <c r="D703" s="227" t="s">
        <v>2086</v>
      </c>
      <c r="E703" s="227" t="s">
        <v>2086</v>
      </c>
      <c r="F703" s="227" t="s">
        <v>2086</v>
      </c>
      <c r="G703" s="227" t="s">
        <v>2086</v>
      </c>
      <c r="H703" s="227" t="s">
        <v>2086</v>
      </c>
      <c r="I703" s="227" t="s">
        <v>2086</v>
      </c>
      <c r="J703" s="227" t="s">
        <v>2086</v>
      </c>
    </row>
    <row r="704" spans="2:10">
      <c r="B704" s="52" t="s">
        <v>166</v>
      </c>
      <c r="C704" s="227" t="s">
        <v>2086</v>
      </c>
      <c r="D704" s="227" t="s">
        <v>2086</v>
      </c>
      <c r="E704" s="227" t="s">
        <v>2086</v>
      </c>
      <c r="F704" s="227" t="s">
        <v>2086</v>
      </c>
      <c r="G704" s="227" t="s">
        <v>2086</v>
      </c>
      <c r="H704" s="227" t="s">
        <v>2086</v>
      </c>
      <c r="I704" s="227" t="s">
        <v>2086</v>
      </c>
      <c r="J704" s="227" t="s">
        <v>2086</v>
      </c>
    </row>
    <row r="705" spans="2:10">
      <c r="B705" s="52" t="s">
        <v>165</v>
      </c>
      <c r="C705" s="227" t="s">
        <v>2086</v>
      </c>
      <c r="D705" s="227" t="s">
        <v>2086</v>
      </c>
      <c r="E705" s="227" t="s">
        <v>2086</v>
      </c>
      <c r="F705" s="227" t="s">
        <v>2086</v>
      </c>
      <c r="G705" s="227" t="s">
        <v>2086</v>
      </c>
      <c r="H705" s="227" t="s">
        <v>2086</v>
      </c>
      <c r="I705" s="227" t="s">
        <v>2086</v>
      </c>
      <c r="J705" s="227" t="s">
        <v>2086</v>
      </c>
    </row>
    <row r="706" spans="2:10" ht="15" thickBot="1">
      <c r="B706" s="52" t="s">
        <v>164</v>
      </c>
      <c r="C706" s="231">
        <v>0</v>
      </c>
      <c r="D706" s="231">
        <v>0</v>
      </c>
      <c r="E706" s="231">
        <v>0</v>
      </c>
      <c r="F706" s="231">
        <v>0</v>
      </c>
      <c r="G706" s="231">
        <v>0</v>
      </c>
      <c r="H706" s="231">
        <v>0</v>
      </c>
      <c r="I706" s="231">
        <v>0</v>
      </c>
      <c r="J706" s="231">
        <v>0</v>
      </c>
    </row>
    <row r="707" spans="2:10" ht="15" thickTop="1">
      <c r="B707" s="2025" t="s">
        <v>515</v>
      </c>
      <c r="C707" s="2025"/>
      <c r="D707" s="2025"/>
      <c r="E707" s="2025"/>
      <c r="F707" s="2025"/>
      <c r="G707" s="2025"/>
      <c r="H707" s="2025"/>
      <c r="I707" s="2025"/>
      <c r="J707" s="2025"/>
    </row>
    <row r="708" spans="2:10">
      <c r="B708" s="2031"/>
      <c r="C708" s="2031"/>
      <c r="D708" s="2031"/>
      <c r="E708" s="2031"/>
      <c r="F708" s="2031"/>
      <c r="G708" s="2031"/>
      <c r="H708" s="2031"/>
      <c r="I708" s="2031"/>
      <c r="J708" s="2031"/>
    </row>
    <row r="709" spans="2:10">
      <c r="B709" s="64"/>
      <c r="C709" s="121"/>
      <c r="D709" s="121"/>
      <c r="E709" s="121"/>
      <c r="F709" s="121"/>
      <c r="G709" s="121"/>
      <c r="H709" s="121"/>
      <c r="I709" s="121"/>
      <c r="J709" s="121"/>
    </row>
    <row r="710" spans="2:10">
      <c r="B710" s="2024" t="s">
        <v>161</v>
      </c>
      <c r="C710" s="2024"/>
      <c r="D710" s="2024"/>
      <c r="E710" s="2024"/>
      <c r="F710" s="2024"/>
      <c r="G710" s="2024"/>
      <c r="H710" s="2024"/>
      <c r="I710" s="2024"/>
      <c r="J710" s="2024"/>
    </row>
    <row r="711" spans="2:10">
      <c r="B711" s="12" t="s">
        <v>160</v>
      </c>
      <c r="C711" s="121"/>
      <c r="D711" s="121"/>
      <c r="E711" s="121"/>
      <c r="F711" s="121"/>
      <c r="G711" s="121"/>
      <c r="H711" s="121"/>
      <c r="I711" s="121"/>
      <c r="J711" s="121"/>
    </row>
    <row r="712" spans="2:10">
      <c r="B712" s="77" t="s">
        <v>269</v>
      </c>
      <c r="C712" s="121"/>
      <c r="D712" s="121"/>
      <c r="E712" s="121"/>
      <c r="F712" s="121"/>
      <c r="G712" s="121"/>
      <c r="H712" s="121"/>
      <c r="I712" s="121"/>
      <c r="J712" s="121"/>
    </row>
    <row r="713" spans="2:10">
      <c r="B713" s="76"/>
      <c r="C713" s="121"/>
      <c r="D713" s="121"/>
      <c r="E713" s="121"/>
      <c r="F713" s="121"/>
      <c r="G713" s="121"/>
      <c r="H713" s="121"/>
      <c r="I713" s="121"/>
      <c r="J713" s="121"/>
    </row>
    <row r="714" spans="2:10">
      <c r="B714" s="61"/>
      <c r="C714" s="60">
        <v>2014</v>
      </c>
      <c r="D714" s="60">
        <v>2015</v>
      </c>
      <c r="E714" s="60">
        <v>2016</v>
      </c>
      <c r="F714" s="60">
        <v>2017</v>
      </c>
      <c r="G714" s="60">
        <v>2018</v>
      </c>
      <c r="H714" s="60">
        <v>2019</v>
      </c>
      <c r="I714" s="60">
        <v>2020</v>
      </c>
      <c r="J714" s="60">
        <v>2021</v>
      </c>
    </row>
    <row r="715" spans="2:10">
      <c r="B715" s="59" t="s">
        <v>503</v>
      </c>
      <c r="C715" s="121"/>
      <c r="D715" s="121"/>
      <c r="E715" s="121"/>
      <c r="F715" s="121"/>
      <c r="G715" s="121"/>
      <c r="H715" s="121"/>
      <c r="I715" s="121"/>
      <c r="J715" s="121"/>
    </row>
    <row r="716" spans="2:10" ht="25">
      <c r="B716" s="71" t="s">
        <v>516</v>
      </c>
      <c r="C716" s="232">
        <v>187</v>
      </c>
      <c r="D716" s="232">
        <v>189</v>
      </c>
      <c r="E716" s="232">
        <v>189</v>
      </c>
      <c r="F716" s="232">
        <v>185</v>
      </c>
      <c r="G716" s="232">
        <v>180</v>
      </c>
      <c r="H716" s="232" t="s">
        <v>517</v>
      </c>
      <c r="I716" s="233" t="s">
        <v>518</v>
      </c>
      <c r="J716" s="233">
        <v>186</v>
      </c>
    </row>
    <row r="717" spans="2:10">
      <c r="B717" s="52" t="s">
        <v>150</v>
      </c>
      <c r="C717" s="234">
        <v>1</v>
      </c>
      <c r="D717" s="234">
        <v>1</v>
      </c>
      <c r="E717" s="234">
        <v>1</v>
      </c>
      <c r="F717" s="234">
        <v>1</v>
      </c>
      <c r="G717" s="234">
        <v>1</v>
      </c>
      <c r="H717" s="234">
        <v>1</v>
      </c>
      <c r="I717" s="234">
        <v>1</v>
      </c>
      <c r="J717" s="234">
        <v>1</v>
      </c>
    </row>
    <row r="718" spans="2:10">
      <c r="B718" s="52" t="s">
        <v>149</v>
      </c>
      <c r="C718" s="234">
        <v>0</v>
      </c>
      <c r="D718" s="234">
        <v>0</v>
      </c>
      <c r="E718" s="234">
        <v>0</v>
      </c>
      <c r="F718" s="234">
        <v>0</v>
      </c>
      <c r="G718" s="234">
        <v>0</v>
      </c>
      <c r="H718" s="234">
        <v>0</v>
      </c>
      <c r="I718" s="234">
        <v>0</v>
      </c>
      <c r="J718" s="234">
        <v>0</v>
      </c>
    </row>
    <row r="719" spans="2:10">
      <c r="B719" s="52" t="s">
        <v>148</v>
      </c>
      <c r="C719" s="234">
        <v>0</v>
      </c>
      <c r="D719" s="234">
        <v>0</v>
      </c>
      <c r="E719" s="234">
        <v>0</v>
      </c>
      <c r="F719" s="234">
        <v>0</v>
      </c>
      <c r="G719" s="234">
        <v>0</v>
      </c>
      <c r="H719" s="234">
        <v>0</v>
      </c>
      <c r="I719" s="234">
        <v>0</v>
      </c>
      <c r="J719" s="234">
        <v>0</v>
      </c>
    </row>
    <row r="720" spans="2:10">
      <c r="B720" s="52" t="s">
        <v>147</v>
      </c>
      <c r="C720" s="234">
        <v>24</v>
      </c>
      <c r="D720" s="234">
        <v>26</v>
      </c>
      <c r="E720" s="234">
        <v>24</v>
      </c>
      <c r="F720" s="234">
        <v>22</v>
      </c>
      <c r="G720" s="234">
        <v>20</v>
      </c>
      <c r="H720" s="234">
        <v>18</v>
      </c>
      <c r="I720" s="234">
        <v>0</v>
      </c>
      <c r="J720" s="234">
        <v>0</v>
      </c>
    </row>
    <row r="721" spans="2:10">
      <c r="B721" s="52" t="s">
        <v>146</v>
      </c>
      <c r="C721" s="152">
        <v>162</v>
      </c>
      <c r="D721" s="152">
        <v>162</v>
      </c>
      <c r="E721" s="152">
        <v>164</v>
      </c>
      <c r="F721" s="152">
        <v>162</v>
      </c>
      <c r="G721" s="152">
        <v>159</v>
      </c>
      <c r="H721" s="152">
        <v>166</v>
      </c>
      <c r="I721" s="234">
        <v>0</v>
      </c>
      <c r="J721" s="234">
        <v>0</v>
      </c>
    </row>
    <row r="722" spans="2:10">
      <c r="B722" s="52"/>
      <c r="C722" s="152"/>
      <c r="D722" s="152"/>
      <c r="E722" s="152"/>
      <c r="F722" s="152"/>
      <c r="G722" s="152"/>
      <c r="H722" s="152"/>
      <c r="I722" s="234"/>
      <c r="J722" s="234"/>
    </row>
    <row r="723" spans="2:10">
      <c r="B723" s="71" t="s">
        <v>152</v>
      </c>
      <c r="C723" s="234">
        <v>0</v>
      </c>
      <c r="D723" s="234">
        <v>0</v>
      </c>
      <c r="E723" s="234">
        <v>0</v>
      </c>
      <c r="F723" s="234">
        <v>0</v>
      </c>
      <c r="G723" s="234">
        <v>0</v>
      </c>
      <c r="H723" s="234">
        <v>0</v>
      </c>
      <c r="I723" s="234">
        <v>0</v>
      </c>
      <c r="J723" s="234">
        <v>0</v>
      </c>
    </row>
    <row r="724" spans="2:10">
      <c r="B724" s="52" t="s">
        <v>150</v>
      </c>
      <c r="C724" s="234">
        <v>0</v>
      </c>
      <c r="D724" s="234">
        <v>0</v>
      </c>
      <c r="E724" s="234">
        <v>0</v>
      </c>
      <c r="F724" s="234">
        <v>0</v>
      </c>
      <c r="G724" s="234">
        <v>0</v>
      </c>
      <c r="H724" s="234">
        <v>0</v>
      </c>
      <c r="I724" s="234">
        <v>0</v>
      </c>
      <c r="J724" s="234">
        <v>0</v>
      </c>
    </row>
    <row r="725" spans="2:10">
      <c r="B725" s="52" t="s">
        <v>149</v>
      </c>
      <c r="C725" s="234">
        <v>0</v>
      </c>
      <c r="D725" s="234">
        <v>0</v>
      </c>
      <c r="E725" s="234">
        <v>0</v>
      </c>
      <c r="F725" s="234">
        <v>0</v>
      </c>
      <c r="G725" s="234">
        <v>0</v>
      </c>
      <c r="H725" s="234">
        <v>0</v>
      </c>
      <c r="I725" s="234">
        <v>0</v>
      </c>
      <c r="J725" s="234">
        <v>0</v>
      </c>
    </row>
    <row r="726" spans="2:10">
      <c r="B726" s="52" t="s">
        <v>148</v>
      </c>
      <c r="C726" s="234">
        <v>0</v>
      </c>
      <c r="D726" s="234">
        <v>0</v>
      </c>
      <c r="E726" s="234">
        <v>0</v>
      </c>
      <c r="F726" s="234">
        <v>0</v>
      </c>
      <c r="G726" s="234">
        <v>0</v>
      </c>
      <c r="H726" s="234">
        <v>0</v>
      </c>
      <c r="I726" s="234">
        <v>0</v>
      </c>
      <c r="J726" s="234">
        <v>0</v>
      </c>
    </row>
    <row r="727" spans="2:10">
      <c r="B727" s="52" t="s">
        <v>147</v>
      </c>
      <c r="C727" s="234">
        <v>0</v>
      </c>
      <c r="D727" s="234">
        <v>0</v>
      </c>
      <c r="E727" s="234">
        <v>0</v>
      </c>
      <c r="F727" s="234">
        <v>0</v>
      </c>
      <c r="G727" s="234">
        <v>0</v>
      </c>
      <c r="H727" s="234">
        <v>0</v>
      </c>
      <c r="I727" s="234">
        <v>0</v>
      </c>
      <c r="J727" s="234">
        <v>0</v>
      </c>
    </row>
    <row r="728" spans="2:10">
      <c r="B728" s="52" t="s">
        <v>146</v>
      </c>
      <c r="C728" s="234">
        <v>0</v>
      </c>
      <c r="D728" s="234">
        <v>0</v>
      </c>
      <c r="E728" s="234">
        <v>0</v>
      </c>
      <c r="F728" s="234">
        <v>0</v>
      </c>
      <c r="G728" s="234">
        <v>0</v>
      </c>
      <c r="H728" s="234">
        <v>0</v>
      </c>
      <c r="I728" s="234">
        <v>0</v>
      </c>
      <c r="J728" s="234">
        <v>0</v>
      </c>
    </row>
    <row r="729" spans="2:10">
      <c r="B729" s="52"/>
      <c r="C729" s="52"/>
      <c r="D729" s="52"/>
      <c r="E729" s="52"/>
      <c r="F729" s="52"/>
      <c r="G729" s="52"/>
      <c r="H729" s="52"/>
      <c r="I729" s="52"/>
      <c r="J729" s="52"/>
    </row>
    <row r="730" spans="2:10">
      <c r="B730" s="71" t="s">
        <v>151</v>
      </c>
      <c r="C730" s="234">
        <v>0</v>
      </c>
      <c r="D730" s="234">
        <v>0</v>
      </c>
      <c r="E730" s="234">
        <v>0</v>
      </c>
      <c r="F730" s="234">
        <v>0</v>
      </c>
      <c r="G730" s="234">
        <v>0</v>
      </c>
      <c r="H730" s="234">
        <v>0</v>
      </c>
      <c r="I730" s="234">
        <v>0</v>
      </c>
      <c r="J730" s="234">
        <v>0</v>
      </c>
    </row>
    <row r="731" spans="2:10">
      <c r="B731" s="52" t="s">
        <v>150</v>
      </c>
      <c r="C731" s="234">
        <v>0</v>
      </c>
      <c r="D731" s="234">
        <v>0</v>
      </c>
      <c r="E731" s="234">
        <v>0</v>
      </c>
      <c r="F731" s="234">
        <v>0</v>
      </c>
      <c r="G731" s="234">
        <v>0</v>
      </c>
      <c r="H731" s="234">
        <v>0</v>
      </c>
      <c r="I731" s="234">
        <v>0</v>
      </c>
      <c r="J731" s="234">
        <v>0</v>
      </c>
    </row>
    <row r="732" spans="2:10">
      <c r="B732" s="52" t="s">
        <v>149</v>
      </c>
      <c r="C732" s="234">
        <v>0</v>
      </c>
      <c r="D732" s="234">
        <v>0</v>
      </c>
      <c r="E732" s="234">
        <v>0</v>
      </c>
      <c r="F732" s="234">
        <v>0</v>
      </c>
      <c r="G732" s="234">
        <v>0</v>
      </c>
      <c r="H732" s="234">
        <v>0</v>
      </c>
      <c r="I732" s="234">
        <v>0</v>
      </c>
      <c r="J732" s="234">
        <v>0</v>
      </c>
    </row>
    <row r="733" spans="2:10">
      <c r="B733" s="52" t="s">
        <v>148</v>
      </c>
      <c r="C733" s="234">
        <v>0</v>
      </c>
      <c r="D733" s="234">
        <v>0</v>
      </c>
      <c r="E733" s="234">
        <v>0</v>
      </c>
      <c r="F733" s="234">
        <v>0</v>
      </c>
      <c r="G733" s="234">
        <v>0</v>
      </c>
      <c r="H733" s="234">
        <v>0</v>
      </c>
      <c r="I733" s="234">
        <v>0</v>
      </c>
      <c r="J733" s="234">
        <v>0</v>
      </c>
    </row>
    <row r="734" spans="2:10">
      <c r="B734" s="52" t="s">
        <v>147</v>
      </c>
      <c r="C734" s="234">
        <v>0</v>
      </c>
      <c r="D734" s="234">
        <v>0</v>
      </c>
      <c r="E734" s="234">
        <v>0</v>
      </c>
      <c r="F734" s="234">
        <v>0</v>
      </c>
      <c r="G734" s="234">
        <v>0</v>
      </c>
      <c r="H734" s="234">
        <v>0</v>
      </c>
      <c r="I734" s="234">
        <v>0</v>
      </c>
      <c r="J734" s="234">
        <v>0</v>
      </c>
    </row>
    <row r="735" spans="2:10" ht="15" thickBot="1">
      <c r="B735" s="52" t="s">
        <v>146</v>
      </c>
      <c r="C735" s="234">
        <v>0</v>
      </c>
      <c r="D735" s="234">
        <v>0</v>
      </c>
      <c r="E735" s="234">
        <v>0</v>
      </c>
      <c r="F735" s="234">
        <v>0</v>
      </c>
      <c r="G735" s="234">
        <v>0</v>
      </c>
      <c r="H735" s="234">
        <v>0</v>
      </c>
      <c r="I735" s="234">
        <v>0</v>
      </c>
      <c r="J735" s="234">
        <v>0</v>
      </c>
    </row>
    <row r="736" spans="2:10" ht="15" thickTop="1">
      <c r="B736" s="2025" t="s">
        <v>519</v>
      </c>
      <c r="C736" s="2025"/>
      <c r="D736" s="2025"/>
      <c r="E736" s="2025"/>
      <c r="F736" s="2025"/>
      <c r="G736" s="2025"/>
      <c r="H736" s="2025"/>
      <c r="I736" s="2025"/>
      <c r="J736" s="2025"/>
    </row>
    <row r="737" spans="2:10">
      <c r="B737" s="62"/>
      <c r="C737" s="121"/>
      <c r="D737" s="121"/>
      <c r="E737" s="121"/>
      <c r="F737" s="121"/>
      <c r="G737" s="121"/>
      <c r="H737" s="121"/>
      <c r="I737" s="121"/>
      <c r="J737" s="121"/>
    </row>
    <row r="738" spans="2:10">
      <c r="B738" s="2024" t="s">
        <v>144</v>
      </c>
      <c r="C738" s="2024"/>
      <c r="D738" s="2024"/>
      <c r="E738" s="2024"/>
      <c r="F738" s="2024"/>
      <c r="G738" s="2024"/>
      <c r="H738" s="2024"/>
      <c r="I738" s="2024"/>
      <c r="J738" s="2024"/>
    </row>
    <row r="739" spans="2:10">
      <c r="B739" s="12" t="s">
        <v>143</v>
      </c>
      <c r="C739" s="121"/>
      <c r="D739" s="121"/>
      <c r="E739" s="121"/>
      <c r="F739" s="121"/>
      <c r="G739" s="121"/>
      <c r="H739" s="121"/>
      <c r="I739" s="121"/>
      <c r="J739" s="121"/>
    </row>
    <row r="740" spans="2:10">
      <c r="B740" s="62" t="s">
        <v>142</v>
      </c>
      <c r="C740" s="121"/>
      <c r="D740" s="121"/>
      <c r="E740" s="121"/>
      <c r="F740" s="121"/>
      <c r="G740" s="121"/>
      <c r="H740" s="121"/>
      <c r="I740" s="121"/>
      <c r="J740" s="121"/>
    </row>
    <row r="741" spans="2:10">
      <c r="B741" s="62"/>
      <c r="C741" s="121"/>
      <c r="D741" s="121"/>
      <c r="E741" s="121"/>
      <c r="F741" s="121"/>
      <c r="G741" s="121"/>
      <c r="H741" s="121"/>
      <c r="I741" s="121"/>
      <c r="J741" s="121"/>
    </row>
    <row r="742" spans="2:10">
      <c r="B742" s="61"/>
      <c r="C742" s="60">
        <v>2014</v>
      </c>
      <c r="D742" s="60">
        <v>2015</v>
      </c>
      <c r="E742" s="60">
        <v>2016</v>
      </c>
      <c r="F742" s="60">
        <v>2017</v>
      </c>
      <c r="G742" s="60">
        <v>2018</v>
      </c>
      <c r="H742" s="60">
        <v>2019</v>
      </c>
      <c r="I742" s="60">
        <v>2020</v>
      </c>
      <c r="J742" s="60">
        <v>2021</v>
      </c>
    </row>
    <row r="743" spans="2:10">
      <c r="B743" s="59" t="s">
        <v>503</v>
      </c>
      <c r="C743" s="121"/>
      <c r="D743" s="121"/>
      <c r="E743" s="121"/>
      <c r="F743" s="121"/>
      <c r="G743" s="121"/>
      <c r="H743" s="121"/>
      <c r="I743" s="121"/>
      <c r="J743" s="121"/>
    </row>
    <row r="744" spans="2:10">
      <c r="B744" s="71" t="s">
        <v>141</v>
      </c>
      <c r="C744" s="235" t="s">
        <v>2086</v>
      </c>
      <c r="D744" s="235" t="s">
        <v>2086</v>
      </c>
      <c r="E744" s="235" t="s">
        <v>2086</v>
      </c>
      <c r="F744" s="235" t="s">
        <v>2086</v>
      </c>
      <c r="G744" s="235" t="s">
        <v>2086</v>
      </c>
      <c r="H744" s="235" t="s">
        <v>2086</v>
      </c>
      <c r="I744" s="235" t="s">
        <v>2086</v>
      </c>
      <c r="J744" s="235" t="s">
        <v>2086</v>
      </c>
    </row>
    <row r="745" spans="2:10">
      <c r="B745" s="52" t="s">
        <v>121</v>
      </c>
      <c r="C745" s="235" t="s">
        <v>2086</v>
      </c>
      <c r="D745" s="235" t="s">
        <v>2086</v>
      </c>
      <c r="E745" s="235" t="s">
        <v>2086</v>
      </c>
      <c r="F745" s="235" t="s">
        <v>2086</v>
      </c>
      <c r="G745" s="235" t="s">
        <v>2086</v>
      </c>
      <c r="H745" s="235" t="s">
        <v>2086</v>
      </c>
      <c r="I745" s="235" t="s">
        <v>2086</v>
      </c>
      <c r="J745" s="235" t="s">
        <v>2086</v>
      </c>
    </row>
    <row r="746" spans="2:10">
      <c r="B746" s="53" t="s">
        <v>504</v>
      </c>
      <c r="C746" s="235" t="s">
        <v>2086</v>
      </c>
      <c r="D746" s="235" t="s">
        <v>2086</v>
      </c>
      <c r="E746" s="235" t="s">
        <v>2086</v>
      </c>
      <c r="F746" s="235" t="s">
        <v>2086</v>
      </c>
      <c r="G746" s="235" t="s">
        <v>2086</v>
      </c>
      <c r="H746" s="235" t="s">
        <v>2086</v>
      </c>
      <c r="I746" s="235" t="s">
        <v>2086</v>
      </c>
      <c r="J746" s="235" t="s">
        <v>2086</v>
      </c>
    </row>
    <row r="747" spans="2:10">
      <c r="B747" s="53" t="s">
        <v>505</v>
      </c>
      <c r="C747" s="235" t="s">
        <v>2086</v>
      </c>
      <c r="D747" s="235" t="s">
        <v>2086</v>
      </c>
      <c r="E747" s="235" t="s">
        <v>2086</v>
      </c>
      <c r="F747" s="235" t="s">
        <v>2086</v>
      </c>
      <c r="G747" s="235" t="s">
        <v>2086</v>
      </c>
      <c r="H747" s="235" t="s">
        <v>2086</v>
      </c>
      <c r="I747" s="235" t="s">
        <v>2086</v>
      </c>
      <c r="J747" s="235" t="s">
        <v>2086</v>
      </c>
    </row>
    <row r="748" spans="2:10">
      <c r="B748" s="52" t="s">
        <v>118</v>
      </c>
      <c r="C748" s="235" t="s">
        <v>2086</v>
      </c>
      <c r="D748" s="235" t="s">
        <v>2086</v>
      </c>
      <c r="E748" s="235" t="s">
        <v>2086</v>
      </c>
      <c r="F748" s="235" t="s">
        <v>2086</v>
      </c>
      <c r="G748" s="235" t="s">
        <v>2086</v>
      </c>
      <c r="H748" s="235" t="s">
        <v>2086</v>
      </c>
      <c r="I748" s="235" t="s">
        <v>2086</v>
      </c>
      <c r="J748" s="235" t="s">
        <v>2086</v>
      </c>
    </row>
    <row r="749" spans="2:10" ht="15" thickBot="1">
      <c r="B749" s="52" t="s">
        <v>506</v>
      </c>
      <c r="C749" s="235" t="s">
        <v>2086</v>
      </c>
      <c r="D749" s="235" t="s">
        <v>2086</v>
      </c>
      <c r="E749" s="235" t="s">
        <v>2086</v>
      </c>
      <c r="F749" s="235" t="s">
        <v>2086</v>
      </c>
      <c r="G749" s="235" t="s">
        <v>2086</v>
      </c>
      <c r="H749" s="235" t="s">
        <v>2086</v>
      </c>
      <c r="I749" s="235" t="s">
        <v>2086</v>
      </c>
      <c r="J749" s="235" t="s">
        <v>2086</v>
      </c>
    </row>
    <row r="750" spans="2:10" ht="15" thickTop="1">
      <c r="B750" s="2025" t="s">
        <v>519</v>
      </c>
      <c r="C750" s="2025"/>
      <c r="D750" s="2025"/>
      <c r="E750" s="2025"/>
      <c r="F750" s="2025"/>
      <c r="G750" s="2025"/>
      <c r="H750" s="2025"/>
      <c r="I750" s="2025"/>
      <c r="J750" s="2025"/>
    </row>
    <row r="751" spans="2:10" ht="15" customHeight="1">
      <c r="B751" s="2017" t="s">
        <v>520</v>
      </c>
      <c r="C751" s="2017"/>
      <c r="D751" s="2017"/>
      <c r="E751" s="2017"/>
      <c r="F751" s="2017"/>
      <c r="G751" s="2017"/>
      <c r="H751" s="2017"/>
      <c r="I751" s="2017"/>
      <c r="J751" s="2017"/>
    </row>
    <row r="752" spans="2:10">
      <c r="B752" s="64"/>
      <c r="C752" s="121"/>
      <c r="D752" s="121"/>
      <c r="E752" s="121"/>
      <c r="F752" s="121"/>
      <c r="G752" s="121"/>
      <c r="H752" s="121"/>
      <c r="I752" s="121"/>
      <c r="J752" s="121"/>
    </row>
    <row r="753" spans="2:10">
      <c r="B753" s="2024" t="s">
        <v>140</v>
      </c>
      <c r="C753" s="2024"/>
      <c r="D753" s="2024"/>
      <c r="E753" s="2024"/>
      <c r="F753" s="2024"/>
      <c r="G753" s="2024"/>
      <c r="H753" s="2024"/>
      <c r="I753" s="2024"/>
      <c r="J753" s="2024"/>
    </row>
    <row r="754" spans="2:10">
      <c r="B754" s="12" t="s">
        <v>139</v>
      </c>
      <c r="C754" s="121"/>
      <c r="D754" s="121"/>
      <c r="E754" s="121"/>
      <c r="F754" s="121"/>
      <c r="G754" s="121"/>
      <c r="H754" s="121"/>
      <c r="I754" s="121"/>
      <c r="J754" s="121"/>
    </row>
    <row r="755" spans="2:10">
      <c r="B755" s="62" t="s">
        <v>138</v>
      </c>
      <c r="C755" s="121"/>
      <c r="D755" s="121"/>
      <c r="E755" s="121"/>
      <c r="F755" s="121"/>
      <c r="G755" s="121"/>
      <c r="H755" s="121"/>
      <c r="I755" s="121"/>
      <c r="J755" s="121"/>
    </row>
    <row r="756" spans="2:10">
      <c r="B756" s="64"/>
      <c r="C756" s="121"/>
      <c r="D756" s="121"/>
      <c r="E756" s="121"/>
      <c r="F756" s="121"/>
      <c r="G756" s="121"/>
      <c r="H756" s="121"/>
      <c r="I756" s="121"/>
      <c r="J756" s="121"/>
    </row>
    <row r="757" spans="2:10">
      <c r="B757" s="61"/>
      <c r="C757" s="60">
        <v>2014</v>
      </c>
      <c r="D757" s="60">
        <v>2015</v>
      </c>
      <c r="E757" s="60">
        <v>2016</v>
      </c>
      <c r="F757" s="60">
        <v>2017</v>
      </c>
      <c r="G757" s="60">
        <v>2018</v>
      </c>
      <c r="H757" s="60">
        <v>2019</v>
      </c>
      <c r="I757" s="60">
        <v>2020</v>
      </c>
      <c r="J757" s="60">
        <v>2021</v>
      </c>
    </row>
    <row r="758" spans="2:10">
      <c r="B758" s="59" t="s">
        <v>503</v>
      </c>
      <c r="C758" s="121"/>
      <c r="D758" s="121"/>
      <c r="E758" s="121"/>
      <c r="F758" s="121"/>
      <c r="G758" s="121"/>
      <c r="H758" s="121"/>
      <c r="I758" s="121"/>
      <c r="J758" s="121"/>
    </row>
    <row r="759" spans="2:10">
      <c r="B759" s="71" t="s">
        <v>137</v>
      </c>
      <c r="C759" s="55">
        <v>163597825.30000001</v>
      </c>
      <c r="D759" s="55">
        <v>174918539.25</v>
      </c>
      <c r="E759" s="55">
        <v>204881892.47999999</v>
      </c>
      <c r="F759" s="55">
        <v>241960406.06</v>
      </c>
      <c r="G759" s="55">
        <v>250104412.67000002</v>
      </c>
      <c r="H759" s="55">
        <v>258724541.66</v>
      </c>
      <c r="I759" s="55">
        <v>254568879.81</v>
      </c>
      <c r="J759" s="55">
        <v>273688055.94</v>
      </c>
    </row>
    <row r="760" spans="2:10">
      <c r="B760" s="52" t="s">
        <v>121</v>
      </c>
      <c r="C760" s="55">
        <v>0</v>
      </c>
      <c r="D760" s="55">
        <v>0</v>
      </c>
      <c r="E760" s="55">
        <v>0</v>
      </c>
      <c r="F760" s="55">
        <v>0</v>
      </c>
      <c r="G760" s="55">
        <v>0</v>
      </c>
      <c r="H760" s="55">
        <v>0</v>
      </c>
      <c r="I760" s="55">
        <v>0</v>
      </c>
      <c r="J760" s="55">
        <v>0</v>
      </c>
    </row>
    <row r="761" spans="2:10">
      <c r="B761" s="53" t="s">
        <v>504</v>
      </c>
      <c r="C761" s="55">
        <v>0</v>
      </c>
      <c r="D761" s="55">
        <v>0</v>
      </c>
      <c r="E761" s="55">
        <v>0</v>
      </c>
      <c r="F761" s="55">
        <v>0</v>
      </c>
      <c r="G761" s="55">
        <v>0</v>
      </c>
      <c r="H761" s="55">
        <v>0</v>
      </c>
      <c r="I761" s="55">
        <v>0</v>
      </c>
      <c r="J761" s="55">
        <v>0</v>
      </c>
    </row>
    <row r="762" spans="2:10">
      <c r="B762" s="53" t="s">
        <v>505</v>
      </c>
      <c r="C762" s="55">
        <v>0</v>
      </c>
      <c r="D762" s="55">
        <v>0</v>
      </c>
      <c r="E762" s="55">
        <v>0</v>
      </c>
      <c r="F762" s="55">
        <v>0</v>
      </c>
      <c r="G762" s="55">
        <v>0</v>
      </c>
      <c r="H762" s="55">
        <v>0</v>
      </c>
      <c r="I762" s="55">
        <v>0</v>
      </c>
      <c r="J762" s="55">
        <v>0</v>
      </c>
    </row>
    <row r="763" spans="2:10">
      <c r="B763" s="52" t="s">
        <v>118</v>
      </c>
      <c r="C763" s="55">
        <v>0</v>
      </c>
      <c r="D763" s="55">
        <v>0</v>
      </c>
      <c r="E763" s="55">
        <v>0</v>
      </c>
      <c r="F763" s="55">
        <v>0</v>
      </c>
      <c r="G763" s="55">
        <v>0</v>
      </c>
      <c r="H763" s="55">
        <v>0</v>
      </c>
      <c r="I763" s="55">
        <v>0</v>
      </c>
      <c r="J763" s="55">
        <v>0</v>
      </c>
    </row>
    <row r="764" spans="2:10" ht="15" thickBot="1">
      <c r="B764" s="52" t="s">
        <v>506</v>
      </c>
      <c r="C764" s="55">
        <v>0</v>
      </c>
      <c r="D764" s="55">
        <v>0</v>
      </c>
      <c r="E764" s="55">
        <v>0</v>
      </c>
      <c r="F764" s="55">
        <v>0</v>
      </c>
      <c r="G764" s="55">
        <v>0</v>
      </c>
      <c r="H764" s="55">
        <v>0</v>
      </c>
      <c r="I764" s="55">
        <v>0</v>
      </c>
      <c r="J764" s="55">
        <v>0</v>
      </c>
    </row>
    <row r="765" spans="2:10" ht="15.5" thickTop="1" thickBot="1">
      <c r="B765" s="2025" t="s">
        <v>519</v>
      </c>
      <c r="C765" s="2025"/>
      <c r="D765" s="2025"/>
      <c r="E765" s="2025"/>
      <c r="F765" s="2025"/>
      <c r="G765" s="2025"/>
      <c r="H765" s="2025"/>
      <c r="I765" s="2025"/>
      <c r="J765" s="2025"/>
    </row>
    <row r="766" spans="2:10" ht="15.75" customHeight="1" thickTop="1">
      <c r="B766" s="2039"/>
      <c r="C766" s="2039"/>
      <c r="D766" s="2039"/>
      <c r="E766" s="2039"/>
      <c r="F766" s="2039"/>
      <c r="G766" s="2039"/>
      <c r="H766" s="2039"/>
      <c r="I766" s="2039"/>
      <c r="J766" s="2039"/>
    </row>
    <row r="767" spans="2:10">
      <c r="B767" s="64"/>
      <c r="C767" s="121"/>
      <c r="D767" s="121"/>
      <c r="E767" s="121"/>
      <c r="F767" s="121"/>
      <c r="G767" s="121"/>
      <c r="H767" s="121"/>
      <c r="I767" s="121"/>
      <c r="J767" s="121"/>
    </row>
    <row r="768" spans="2:10">
      <c r="B768" s="2024" t="s">
        <v>133</v>
      </c>
      <c r="C768" s="2024"/>
      <c r="D768" s="2024"/>
      <c r="E768" s="2024"/>
      <c r="F768" s="2024"/>
      <c r="G768" s="2024"/>
      <c r="H768" s="2024"/>
      <c r="I768" s="2024"/>
      <c r="J768" s="2024"/>
    </row>
    <row r="769" spans="2:10">
      <c r="B769" s="12" t="s">
        <v>132</v>
      </c>
      <c r="C769" s="121"/>
      <c r="D769" s="121"/>
      <c r="E769" s="121"/>
      <c r="F769" s="121"/>
      <c r="G769" s="121"/>
      <c r="H769" s="121"/>
      <c r="I769" s="121"/>
      <c r="J769" s="121"/>
    </row>
    <row r="770" spans="2:10">
      <c r="B770" s="62" t="s">
        <v>131</v>
      </c>
      <c r="C770" s="121"/>
      <c r="D770" s="121"/>
      <c r="E770" s="121"/>
      <c r="F770" s="121"/>
      <c r="G770" s="121"/>
      <c r="H770" s="121"/>
      <c r="I770" s="121"/>
      <c r="J770" s="121"/>
    </row>
    <row r="771" spans="2:10">
      <c r="B771" s="62"/>
      <c r="C771" s="121"/>
      <c r="D771" s="121"/>
      <c r="E771" s="121"/>
      <c r="F771" s="121"/>
      <c r="G771" s="121"/>
      <c r="H771" s="121"/>
      <c r="I771" s="121"/>
      <c r="J771" s="121"/>
    </row>
    <row r="772" spans="2:10">
      <c r="B772" s="61"/>
      <c r="C772" s="60">
        <v>2014</v>
      </c>
      <c r="D772" s="60">
        <v>2015</v>
      </c>
      <c r="E772" s="60">
        <v>2016</v>
      </c>
      <c r="F772" s="60">
        <v>2017</v>
      </c>
      <c r="G772" s="60">
        <v>2018</v>
      </c>
      <c r="H772" s="60">
        <v>2019</v>
      </c>
      <c r="I772" s="60">
        <v>2020</v>
      </c>
      <c r="J772" s="60">
        <v>2021</v>
      </c>
    </row>
    <row r="773" spans="2:10">
      <c r="B773" s="71" t="s">
        <v>130</v>
      </c>
      <c r="C773" s="235" t="s">
        <v>2086</v>
      </c>
      <c r="D773" s="235" t="s">
        <v>2086</v>
      </c>
      <c r="E773" s="235" t="s">
        <v>2086</v>
      </c>
      <c r="F773" s="235" t="s">
        <v>2086</v>
      </c>
      <c r="G773" s="235" t="s">
        <v>2086</v>
      </c>
      <c r="H773" s="235" t="s">
        <v>2086</v>
      </c>
      <c r="I773" s="235" t="s">
        <v>2086</v>
      </c>
      <c r="J773" s="235" t="s">
        <v>2086</v>
      </c>
    </row>
    <row r="774" spans="2:10">
      <c r="B774" s="71"/>
      <c r="C774" s="121"/>
      <c r="D774" s="121"/>
      <c r="E774" s="121"/>
      <c r="F774" s="121"/>
      <c r="G774" s="121"/>
      <c r="H774" s="121"/>
      <c r="I774" s="121"/>
      <c r="J774" s="121"/>
    </row>
    <row r="775" spans="2:10">
      <c r="B775" s="59" t="s">
        <v>503</v>
      </c>
      <c r="C775" s="3"/>
      <c r="D775" s="3"/>
      <c r="E775" s="3"/>
      <c r="F775" s="3"/>
      <c r="G775" s="3"/>
      <c r="H775" s="3"/>
      <c r="I775" s="3"/>
      <c r="J775" s="3"/>
    </row>
    <row r="776" spans="2:10">
      <c r="B776" s="54" t="s">
        <v>123</v>
      </c>
      <c r="C776" s="235" t="s">
        <v>2086</v>
      </c>
      <c r="D776" s="235" t="s">
        <v>2086</v>
      </c>
      <c r="E776" s="235" t="s">
        <v>2086</v>
      </c>
      <c r="F776" s="235" t="s">
        <v>2086</v>
      </c>
      <c r="G776" s="235" t="s">
        <v>2086</v>
      </c>
      <c r="H776" s="235" t="s">
        <v>2086</v>
      </c>
      <c r="I776" s="235" t="s">
        <v>2086</v>
      </c>
      <c r="J776" s="235" t="s">
        <v>2086</v>
      </c>
    </row>
    <row r="777" spans="2:10">
      <c r="B777" s="52" t="s">
        <v>121</v>
      </c>
      <c r="C777" s="235" t="s">
        <v>2086</v>
      </c>
      <c r="D777" s="235" t="s">
        <v>2086</v>
      </c>
      <c r="E777" s="235" t="s">
        <v>2086</v>
      </c>
      <c r="F777" s="235" t="s">
        <v>2086</v>
      </c>
      <c r="G777" s="235" t="s">
        <v>2086</v>
      </c>
      <c r="H777" s="235" t="s">
        <v>2086</v>
      </c>
      <c r="I777" s="235" t="s">
        <v>2086</v>
      </c>
      <c r="J777" s="235" t="s">
        <v>2086</v>
      </c>
    </row>
    <row r="778" spans="2:10">
      <c r="B778" s="53" t="s">
        <v>120</v>
      </c>
      <c r="C778" s="235" t="s">
        <v>2086</v>
      </c>
      <c r="D778" s="235" t="s">
        <v>2086</v>
      </c>
      <c r="E778" s="235" t="s">
        <v>2086</v>
      </c>
      <c r="F778" s="235" t="s">
        <v>2086</v>
      </c>
      <c r="G778" s="235" t="s">
        <v>2086</v>
      </c>
      <c r="H778" s="235" t="s">
        <v>2086</v>
      </c>
      <c r="I778" s="235" t="s">
        <v>2086</v>
      </c>
      <c r="J778" s="235" t="s">
        <v>2086</v>
      </c>
    </row>
    <row r="779" spans="2:10">
      <c r="B779" s="53" t="s">
        <v>119</v>
      </c>
      <c r="C779" s="235" t="s">
        <v>2086</v>
      </c>
      <c r="D779" s="235" t="s">
        <v>2086</v>
      </c>
      <c r="E779" s="235" t="s">
        <v>2086</v>
      </c>
      <c r="F779" s="235" t="s">
        <v>2086</v>
      </c>
      <c r="G779" s="235" t="s">
        <v>2086</v>
      </c>
      <c r="H779" s="235" t="s">
        <v>2086</v>
      </c>
      <c r="I779" s="235" t="s">
        <v>2086</v>
      </c>
      <c r="J779" s="235" t="s">
        <v>2086</v>
      </c>
    </row>
    <row r="780" spans="2:10">
      <c r="B780" s="52" t="s">
        <v>118</v>
      </c>
      <c r="C780" s="235" t="s">
        <v>2086</v>
      </c>
      <c r="D780" s="235" t="s">
        <v>2086</v>
      </c>
      <c r="E780" s="235" t="s">
        <v>2086</v>
      </c>
      <c r="F780" s="235" t="s">
        <v>2086</v>
      </c>
      <c r="G780" s="235" t="s">
        <v>2086</v>
      </c>
      <c r="H780" s="235" t="s">
        <v>2086</v>
      </c>
      <c r="I780" s="235" t="s">
        <v>2086</v>
      </c>
      <c r="J780" s="235" t="s">
        <v>2086</v>
      </c>
    </row>
    <row r="781" spans="2:10">
      <c r="B781" s="52" t="s">
        <v>117</v>
      </c>
      <c r="C781" s="235" t="s">
        <v>2086</v>
      </c>
      <c r="D781" s="235" t="s">
        <v>2086</v>
      </c>
      <c r="E781" s="235" t="s">
        <v>2086</v>
      </c>
      <c r="F781" s="235" t="s">
        <v>2086</v>
      </c>
      <c r="G781" s="235" t="s">
        <v>2086</v>
      </c>
      <c r="H781" s="235" t="s">
        <v>2086</v>
      </c>
      <c r="I781" s="235" t="s">
        <v>2086</v>
      </c>
      <c r="J781" s="235" t="s">
        <v>2086</v>
      </c>
    </row>
    <row r="782" spans="2:10">
      <c r="B782" s="52"/>
      <c r="C782" s="121"/>
      <c r="D782" s="121"/>
      <c r="E782" s="121"/>
      <c r="F782" s="121"/>
      <c r="G782" s="121"/>
      <c r="H782" s="121"/>
      <c r="I782" s="121"/>
      <c r="J782" s="121"/>
    </row>
    <row r="783" spans="2:10">
      <c r="B783" s="54" t="s">
        <v>122</v>
      </c>
      <c r="C783" s="235" t="s">
        <v>2086</v>
      </c>
      <c r="D783" s="235" t="s">
        <v>2086</v>
      </c>
      <c r="E783" s="235" t="s">
        <v>2086</v>
      </c>
      <c r="F783" s="235" t="s">
        <v>2086</v>
      </c>
      <c r="G783" s="235" t="s">
        <v>2086</v>
      </c>
      <c r="H783" s="235" t="s">
        <v>2086</v>
      </c>
      <c r="I783" s="235" t="s">
        <v>2086</v>
      </c>
      <c r="J783" s="235" t="s">
        <v>2086</v>
      </c>
    </row>
    <row r="784" spans="2:10">
      <c r="B784" s="52" t="s">
        <v>121</v>
      </c>
      <c r="C784" s="235" t="s">
        <v>2086</v>
      </c>
      <c r="D784" s="235" t="s">
        <v>2086</v>
      </c>
      <c r="E784" s="235" t="s">
        <v>2086</v>
      </c>
      <c r="F784" s="235" t="s">
        <v>2086</v>
      </c>
      <c r="G784" s="235" t="s">
        <v>2086</v>
      </c>
      <c r="H784" s="235" t="s">
        <v>2086</v>
      </c>
      <c r="I784" s="235" t="s">
        <v>2086</v>
      </c>
      <c r="J784" s="235" t="s">
        <v>2086</v>
      </c>
    </row>
    <row r="785" spans="2:10">
      <c r="B785" s="53" t="s">
        <v>120</v>
      </c>
      <c r="C785" s="235" t="s">
        <v>2086</v>
      </c>
      <c r="D785" s="235" t="s">
        <v>2086</v>
      </c>
      <c r="E785" s="235" t="s">
        <v>2086</v>
      </c>
      <c r="F785" s="235" t="s">
        <v>2086</v>
      </c>
      <c r="G785" s="235" t="s">
        <v>2086</v>
      </c>
      <c r="H785" s="235" t="s">
        <v>2086</v>
      </c>
      <c r="I785" s="235" t="s">
        <v>2086</v>
      </c>
      <c r="J785" s="235" t="s">
        <v>2086</v>
      </c>
    </row>
    <row r="786" spans="2:10">
      <c r="B786" s="53" t="s">
        <v>119</v>
      </c>
      <c r="C786" s="235" t="s">
        <v>2086</v>
      </c>
      <c r="D786" s="235" t="s">
        <v>2086</v>
      </c>
      <c r="E786" s="235" t="s">
        <v>2086</v>
      </c>
      <c r="F786" s="235" t="s">
        <v>2086</v>
      </c>
      <c r="G786" s="235" t="s">
        <v>2086</v>
      </c>
      <c r="H786" s="235" t="s">
        <v>2086</v>
      </c>
      <c r="I786" s="235" t="s">
        <v>2086</v>
      </c>
      <c r="J786" s="235" t="s">
        <v>2086</v>
      </c>
    </row>
    <row r="787" spans="2:10">
      <c r="B787" s="52" t="s">
        <v>118</v>
      </c>
      <c r="C787" s="235" t="s">
        <v>2086</v>
      </c>
      <c r="D787" s="235" t="s">
        <v>2086</v>
      </c>
      <c r="E787" s="235" t="s">
        <v>2086</v>
      </c>
      <c r="F787" s="235" t="s">
        <v>2086</v>
      </c>
      <c r="G787" s="235" t="s">
        <v>2086</v>
      </c>
      <c r="H787" s="235" t="s">
        <v>2086</v>
      </c>
      <c r="I787" s="235" t="s">
        <v>2086</v>
      </c>
      <c r="J787" s="235" t="s">
        <v>2086</v>
      </c>
    </row>
    <row r="788" spans="2:10" ht="15" thickBot="1">
      <c r="B788" s="52" t="s">
        <v>117</v>
      </c>
      <c r="C788" s="235" t="s">
        <v>2086</v>
      </c>
      <c r="D788" s="235" t="s">
        <v>2086</v>
      </c>
      <c r="E788" s="235" t="s">
        <v>2086</v>
      </c>
      <c r="F788" s="235" t="s">
        <v>2086</v>
      </c>
      <c r="G788" s="235" t="s">
        <v>2086</v>
      </c>
      <c r="H788" s="235" t="s">
        <v>2086</v>
      </c>
      <c r="I788" s="235" t="s">
        <v>2086</v>
      </c>
      <c r="J788" s="235" t="s">
        <v>2086</v>
      </c>
    </row>
    <row r="789" spans="2:10" ht="15" thickTop="1">
      <c r="B789" s="2025" t="s">
        <v>519</v>
      </c>
      <c r="C789" s="2025"/>
      <c r="D789" s="2025"/>
      <c r="E789" s="2025"/>
      <c r="F789" s="2025"/>
      <c r="G789" s="2025"/>
      <c r="H789" s="2025"/>
      <c r="I789" s="2025"/>
      <c r="J789" s="2025"/>
    </row>
    <row r="790" spans="2:10">
      <c r="B790" s="64"/>
      <c r="C790" s="121"/>
      <c r="D790" s="121"/>
      <c r="E790" s="121"/>
      <c r="F790" s="121"/>
      <c r="G790" s="121"/>
      <c r="H790" s="121"/>
      <c r="I790" s="121"/>
      <c r="J790" s="121"/>
    </row>
    <row r="791" spans="2:10">
      <c r="B791" s="14" t="s">
        <v>129</v>
      </c>
      <c r="C791" s="236"/>
      <c r="D791" s="236"/>
      <c r="E791" s="236"/>
      <c r="F791" s="236"/>
      <c r="G791" s="236"/>
      <c r="H791" s="236"/>
      <c r="I791" s="236"/>
      <c r="J791" s="236"/>
    </row>
    <row r="792" spans="2:10">
      <c r="B792" s="12" t="s">
        <v>128</v>
      </c>
      <c r="C792" s="121"/>
      <c r="D792" s="121"/>
      <c r="E792" s="121"/>
      <c r="F792" s="121"/>
      <c r="G792" s="121"/>
      <c r="H792" s="121"/>
      <c r="I792" s="121"/>
      <c r="J792" s="121"/>
    </row>
    <row r="793" spans="2:10">
      <c r="B793" s="62" t="s">
        <v>127</v>
      </c>
      <c r="C793" s="121"/>
      <c r="D793" s="121"/>
      <c r="E793" s="121"/>
      <c r="F793" s="121"/>
      <c r="G793" s="121"/>
      <c r="H793" s="121"/>
      <c r="I793" s="121"/>
      <c r="J793" s="121"/>
    </row>
    <row r="794" spans="2:10">
      <c r="B794" s="62"/>
      <c r="C794" s="121"/>
      <c r="D794" s="121"/>
      <c r="E794" s="121"/>
      <c r="F794" s="121"/>
      <c r="G794" s="121"/>
      <c r="H794" s="121"/>
      <c r="I794" s="121"/>
      <c r="J794" s="121"/>
    </row>
    <row r="795" spans="2:10">
      <c r="B795" s="61"/>
      <c r="C795" s="60">
        <v>2014</v>
      </c>
      <c r="D795" s="60">
        <v>2015</v>
      </c>
      <c r="E795" s="60">
        <v>2016</v>
      </c>
      <c r="F795" s="60">
        <v>2017</v>
      </c>
      <c r="G795" s="60">
        <v>2018</v>
      </c>
      <c r="H795" s="60">
        <v>2019</v>
      </c>
      <c r="I795" s="60">
        <v>2020</v>
      </c>
      <c r="J795" s="60">
        <v>2021</v>
      </c>
    </row>
    <row r="796" spans="2:10">
      <c r="B796" s="71" t="s">
        <v>124</v>
      </c>
      <c r="C796" s="235" t="s">
        <v>2086</v>
      </c>
      <c r="D796" s="235" t="s">
        <v>2086</v>
      </c>
      <c r="E796" s="235" t="s">
        <v>2086</v>
      </c>
      <c r="F796" s="235" t="s">
        <v>2086</v>
      </c>
      <c r="G796" s="235" t="s">
        <v>2086</v>
      </c>
      <c r="H796" s="235" t="s">
        <v>2086</v>
      </c>
      <c r="I796" s="235" t="s">
        <v>2086</v>
      </c>
      <c r="J796" s="235" t="s">
        <v>2086</v>
      </c>
    </row>
    <row r="797" spans="2:10">
      <c r="B797" s="71"/>
      <c r="C797" s="3"/>
      <c r="D797" s="3"/>
      <c r="E797" s="3"/>
      <c r="F797" s="3"/>
      <c r="G797" s="3"/>
      <c r="H797" s="3"/>
      <c r="I797" s="3"/>
      <c r="J797" s="3"/>
    </row>
    <row r="798" spans="2:10">
      <c r="B798" s="59" t="s">
        <v>503</v>
      </c>
      <c r="C798" s="3"/>
      <c r="D798" s="3"/>
      <c r="E798" s="3"/>
      <c r="F798" s="3"/>
      <c r="G798" s="3"/>
      <c r="H798" s="3"/>
      <c r="I798" s="3"/>
      <c r="J798" s="3"/>
    </row>
    <row r="799" spans="2:10">
      <c r="B799" s="54" t="s">
        <v>123</v>
      </c>
      <c r="C799" s="235" t="s">
        <v>2086</v>
      </c>
      <c r="D799" s="235" t="s">
        <v>2086</v>
      </c>
      <c r="E799" s="235" t="s">
        <v>2086</v>
      </c>
      <c r="F799" s="235" t="s">
        <v>2086</v>
      </c>
      <c r="G799" s="235" t="s">
        <v>2086</v>
      </c>
      <c r="H799" s="235" t="s">
        <v>2086</v>
      </c>
      <c r="I799" s="235" t="s">
        <v>2086</v>
      </c>
      <c r="J799" s="235" t="s">
        <v>2086</v>
      </c>
    </row>
    <row r="800" spans="2:10">
      <c r="B800" s="52" t="s">
        <v>121</v>
      </c>
      <c r="C800" s="235" t="s">
        <v>2086</v>
      </c>
      <c r="D800" s="235" t="s">
        <v>2086</v>
      </c>
      <c r="E800" s="235" t="s">
        <v>2086</v>
      </c>
      <c r="F800" s="235" t="s">
        <v>2086</v>
      </c>
      <c r="G800" s="235" t="s">
        <v>2086</v>
      </c>
      <c r="H800" s="235" t="s">
        <v>2086</v>
      </c>
      <c r="I800" s="235" t="s">
        <v>2086</v>
      </c>
      <c r="J800" s="235" t="s">
        <v>2086</v>
      </c>
    </row>
    <row r="801" spans="2:10">
      <c r="B801" s="53" t="s">
        <v>120</v>
      </c>
      <c r="C801" s="235" t="s">
        <v>2086</v>
      </c>
      <c r="D801" s="235" t="s">
        <v>2086</v>
      </c>
      <c r="E801" s="235" t="s">
        <v>2086</v>
      </c>
      <c r="F801" s="235" t="s">
        <v>2086</v>
      </c>
      <c r="G801" s="235" t="s">
        <v>2086</v>
      </c>
      <c r="H801" s="235" t="s">
        <v>2086</v>
      </c>
      <c r="I801" s="235" t="s">
        <v>2086</v>
      </c>
      <c r="J801" s="235" t="s">
        <v>2086</v>
      </c>
    </row>
    <row r="802" spans="2:10">
      <c r="B802" s="53" t="s">
        <v>119</v>
      </c>
      <c r="C802" s="235" t="s">
        <v>2086</v>
      </c>
      <c r="D802" s="235" t="s">
        <v>2086</v>
      </c>
      <c r="E802" s="235" t="s">
        <v>2086</v>
      </c>
      <c r="F802" s="235" t="s">
        <v>2086</v>
      </c>
      <c r="G802" s="235" t="s">
        <v>2086</v>
      </c>
      <c r="H802" s="235" t="s">
        <v>2086</v>
      </c>
      <c r="I802" s="235" t="s">
        <v>2086</v>
      </c>
      <c r="J802" s="235" t="s">
        <v>2086</v>
      </c>
    </row>
    <row r="803" spans="2:10">
      <c r="B803" s="52" t="s">
        <v>118</v>
      </c>
      <c r="C803" s="235" t="s">
        <v>2086</v>
      </c>
      <c r="D803" s="235" t="s">
        <v>2086</v>
      </c>
      <c r="E803" s="235" t="s">
        <v>2086</v>
      </c>
      <c r="F803" s="235" t="s">
        <v>2086</v>
      </c>
      <c r="G803" s="235" t="s">
        <v>2086</v>
      </c>
      <c r="H803" s="235" t="s">
        <v>2086</v>
      </c>
      <c r="I803" s="235" t="s">
        <v>2086</v>
      </c>
      <c r="J803" s="235" t="s">
        <v>2086</v>
      </c>
    </row>
    <row r="804" spans="2:10">
      <c r="B804" s="52" t="s">
        <v>117</v>
      </c>
      <c r="C804" s="235" t="s">
        <v>2086</v>
      </c>
      <c r="D804" s="235" t="s">
        <v>2086</v>
      </c>
      <c r="E804" s="235" t="s">
        <v>2086</v>
      </c>
      <c r="F804" s="235" t="s">
        <v>2086</v>
      </c>
      <c r="G804" s="235" t="s">
        <v>2086</v>
      </c>
      <c r="H804" s="235" t="s">
        <v>2086</v>
      </c>
      <c r="I804" s="235" t="s">
        <v>2086</v>
      </c>
      <c r="J804" s="235" t="s">
        <v>2086</v>
      </c>
    </row>
    <row r="805" spans="2:10">
      <c r="B805" s="52"/>
      <c r="C805" s="3"/>
      <c r="D805" s="3"/>
      <c r="E805" s="3"/>
      <c r="F805" s="3"/>
      <c r="G805" s="3"/>
      <c r="H805" s="3"/>
      <c r="I805" s="3"/>
      <c r="J805" s="3"/>
    </row>
    <row r="806" spans="2:10">
      <c r="B806" s="54" t="s">
        <v>122</v>
      </c>
      <c r="C806" s="235" t="s">
        <v>2086</v>
      </c>
      <c r="D806" s="235" t="s">
        <v>2086</v>
      </c>
      <c r="E806" s="235" t="s">
        <v>2086</v>
      </c>
      <c r="F806" s="235" t="s">
        <v>2086</v>
      </c>
      <c r="G806" s="235" t="s">
        <v>2086</v>
      </c>
      <c r="H806" s="235" t="s">
        <v>2086</v>
      </c>
      <c r="I806" s="235" t="s">
        <v>2086</v>
      </c>
      <c r="J806" s="235" t="s">
        <v>2086</v>
      </c>
    </row>
    <row r="807" spans="2:10">
      <c r="B807" s="52" t="s">
        <v>121</v>
      </c>
      <c r="C807" s="235" t="s">
        <v>2086</v>
      </c>
      <c r="D807" s="235" t="s">
        <v>2086</v>
      </c>
      <c r="E807" s="235" t="s">
        <v>2086</v>
      </c>
      <c r="F807" s="235" t="s">
        <v>2086</v>
      </c>
      <c r="G807" s="235" t="s">
        <v>2086</v>
      </c>
      <c r="H807" s="235" t="s">
        <v>2086</v>
      </c>
      <c r="I807" s="235" t="s">
        <v>2086</v>
      </c>
      <c r="J807" s="235" t="s">
        <v>2086</v>
      </c>
    </row>
    <row r="808" spans="2:10">
      <c r="B808" s="53" t="s">
        <v>120</v>
      </c>
      <c r="C808" s="235" t="s">
        <v>2086</v>
      </c>
      <c r="D808" s="235" t="s">
        <v>2086</v>
      </c>
      <c r="E808" s="235" t="s">
        <v>2086</v>
      </c>
      <c r="F808" s="235" t="s">
        <v>2086</v>
      </c>
      <c r="G808" s="235" t="s">
        <v>2086</v>
      </c>
      <c r="H808" s="235" t="s">
        <v>2086</v>
      </c>
      <c r="I808" s="235" t="s">
        <v>2086</v>
      </c>
      <c r="J808" s="235" t="s">
        <v>2086</v>
      </c>
    </row>
    <row r="809" spans="2:10">
      <c r="B809" s="53" t="s">
        <v>119</v>
      </c>
      <c r="C809" s="235" t="s">
        <v>2086</v>
      </c>
      <c r="D809" s="235" t="s">
        <v>2086</v>
      </c>
      <c r="E809" s="235" t="s">
        <v>2086</v>
      </c>
      <c r="F809" s="235" t="s">
        <v>2086</v>
      </c>
      <c r="G809" s="235" t="s">
        <v>2086</v>
      </c>
      <c r="H809" s="235" t="s">
        <v>2086</v>
      </c>
      <c r="I809" s="235" t="s">
        <v>2086</v>
      </c>
      <c r="J809" s="235" t="s">
        <v>2086</v>
      </c>
    </row>
    <row r="810" spans="2:10">
      <c r="B810" s="52" t="s">
        <v>118</v>
      </c>
      <c r="C810" s="235" t="s">
        <v>2086</v>
      </c>
      <c r="D810" s="235" t="s">
        <v>2086</v>
      </c>
      <c r="E810" s="235" t="s">
        <v>2086</v>
      </c>
      <c r="F810" s="235" t="s">
        <v>2086</v>
      </c>
      <c r="G810" s="235" t="s">
        <v>2086</v>
      </c>
      <c r="H810" s="235" t="s">
        <v>2086</v>
      </c>
      <c r="I810" s="235" t="s">
        <v>2086</v>
      </c>
      <c r="J810" s="235" t="s">
        <v>2086</v>
      </c>
    </row>
    <row r="811" spans="2:10" ht="15" thickBot="1">
      <c r="B811" s="52" t="s">
        <v>117</v>
      </c>
      <c r="C811" s="235" t="s">
        <v>2086</v>
      </c>
      <c r="D811" s="235" t="s">
        <v>2086</v>
      </c>
      <c r="E811" s="235" t="s">
        <v>2086</v>
      </c>
      <c r="F811" s="235" t="s">
        <v>2086</v>
      </c>
      <c r="G811" s="235" t="s">
        <v>2086</v>
      </c>
      <c r="H811" s="235" t="s">
        <v>2086</v>
      </c>
      <c r="I811" s="235" t="s">
        <v>2086</v>
      </c>
      <c r="J811" s="235" t="s">
        <v>2086</v>
      </c>
    </row>
    <row r="812" spans="2:10" ht="15" thickTop="1">
      <c r="B812" s="2025" t="s">
        <v>519</v>
      </c>
      <c r="C812" s="2025"/>
      <c r="D812" s="2025"/>
      <c r="E812" s="2025"/>
      <c r="F812" s="2025"/>
      <c r="G812" s="2025"/>
      <c r="H812" s="2025"/>
      <c r="I812" s="2025"/>
      <c r="J812" s="2025"/>
    </row>
    <row r="813" spans="2:10">
      <c r="B813" s="2017"/>
      <c r="C813" s="2017"/>
      <c r="D813" s="2017"/>
      <c r="E813" s="2017"/>
      <c r="F813" s="2017"/>
      <c r="G813" s="2017"/>
      <c r="H813" s="2017"/>
      <c r="I813" s="2017"/>
      <c r="J813" s="2017"/>
    </row>
    <row r="814" spans="2:10">
      <c r="B814" s="1"/>
      <c r="C814" s="121"/>
      <c r="D814" s="121"/>
      <c r="E814" s="121"/>
      <c r="F814" s="121"/>
      <c r="G814" s="121"/>
      <c r="H814" s="121"/>
      <c r="I814" s="121"/>
      <c r="J814" s="121"/>
    </row>
    <row r="815" spans="2:10">
      <c r="B815" s="14" t="s">
        <v>76</v>
      </c>
      <c r="C815" s="236"/>
      <c r="D815" s="236"/>
      <c r="E815" s="236"/>
      <c r="F815" s="236"/>
      <c r="G815" s="236"/>
      <c r="H815" s="236"/>
      <c r="I815" s="236"/>
      <c r="J815" s="236"/>
    </row>
    <row r="816" spans="2:10">
      <c r="B816" s="12" t="s">
        <v>75</v>
      </c>
      <c r="C816" s="121"/>
      <c r="D816" s="121"/>
      <c r="E816" s="121"/>
      <c r="F816" s="121"/>
      <c r="G816" s="121"/>
      <c r="H816" s="121"/>
      <c r="I816" s="121"/>
      <c r="J816" s="121"/>
    </row>
    <row r="817" spans="2:10">
      <c r="B817" s="1"/>
      <c r="C817" s="121"/>
      <c r="D817" s="121"/>
      <c r="E817" s="121"/>
      <c r="F817" s="121"/>
      <c r="G817" s="121"/>
      <c r="H817" s="121"/>
      <c r="I817" s="121"/>
      <c r="J817" s="121"/>
    </row>
    <row r="818" spans="2:10" ht="24">
      <c r="B818" s="33" t="s">
        <v>11</v>
      </c>
      <c r="C818" s="237" t="s">
        <v>24</v>
      </c>
      <c r="D818" s="237" t="s">
        <v>74</v>
      </c>
      <c r="E818" s="237" t="s">
        <v>73</v>
      </c>
      <c r="F818" s="237" t="s">
        <v>72</v>
      </c>
      <c r="G818" s="237" t="s">
        <v>71</v>
      </c>
      <c r="H818" s="121"/>
      <c r="I818" s="121"/>
      <c r="J818" s="121"/>
    </row>
    <row r="819" spans="2:10">
      <c r="B819" s="238" t="s">
        <v>521</v>
      </c>
      <c r="C819" s="239" t="s">
        <v>522</v>
      </c>
      <c r="D819" s="240" t="s">
        <v>523</v>
      </c>
      <c r="E819" s="239" t="s">
        <v>56</v>
      </c>
      <c r="F819" s="239" t="s">
        <v>524</v>
      </c>
      <c r="G819" s="239" t="s">
        <v>525</v>
      </c>
      <c r="H819" s="241"/>
      <c r="I819" s="241"/>
      <c r="J819" s="241"/>
    </row>
    <row r="820" spans="2:10" ht="15" thickBot="1">
      <c r="B820" s="242" t="s">
        <v>526</v>
      </c>
      <c r="C820" s="239" t="s">
        <v>522</v>
      </c>
      <c r="D820" s="240" t="s">
        <v>527</v>
      </c>
      <c r="E820" s="239" t="s">
        <v>56</v>
      </c>
      <c r="F820" s="239" t="s">
        <v>528</v>
      </c>
      <c r="G820" s="239" t="s">
        <v>41</v>
      </c>
      <c r="H820" s="121"/>
      <c r="I820" s="121"/>
      <c r="J820" s="121"/>
    </row>
    <row r="821" spans="2:10" ht="15" thickTop="1">
      <c r="B821" s="243" t="s">
        <v>529</v>
      </c>
      <c r="C821" s="121"/>
      <c r="D821" s="121"/>
      <c r="E821" s="121"/>
      <c r="F821" s="121"/>
      <c r="G821" s="121"/>
      <c r="H821" s="121"/>
      <c r="I821" s="121"/>
      <c r="J821" s="121"/>
    </row>
    <row r="822" spans="2:10">
      <c r="B822" s="1"/>
      <c r="C822" s="121"/>
      <c r="D822" s="121"/>
      <c r="E822" s="121"/>
      <c r="F822" s="121"/>
      <c r="G822" s="121"/>
      <c r="H822" s="121"/>
      <c r="I822" s="121"/>
      <c r="J822" s="121"/>
    </row>
    <row r="823" spans="2:10">
      <c r="B823" s="14" t="s">
        <v>52</v>
      </c>
      <c r="C823" s="236"/>
      <c r="D823" s="236"/>
      <c r="E823" s="236"/>
      <c r="F823" s="236"/>
      <c r="G823" s="236"/>
      <c r="H823" s="236"/>
      <c r="I823" s="236"/>
      <c r="J823" s="236"/>
    </row>
    <row r="824" spans="2:10">
      <c r="B824" s="12" t="s">
        <v>51</v>
      </c>
      <c r="C824" s="121"/>
      <c r="D824" s="121"/>
      <c r="E824" s="121"/>
      <c r="F824" s="121"/>
      <c r="G824" s="121"/>
      <c r="H824" s="121"/>
      <c r="I824" s="121"/>
      <c r="J824" s="121"/>
    </row>
    <row r="825" spans="2:10">
      <c r="B825" s="1"/>
      <c r="C825" s="121"/>
      <c r="D825" s="121"/>
      <c r="E825" s="121"/>
      <c r="F825" s="121"/>
      <c r="G825" s="121"/>
      <c r="H825" s="121"/>
      <c r="I825" s="121"/>
      <c r="J825" s="121"/>
    </row>
    <row r="826" spans="2:10">
      <c r="B826" s="2019" t="s">
        <v>38</v>
      </c>
      <c r="C826" s="2030" t="s">
        <v>530</v>
      </c>
      <c r="D826" s="2030" t="s">
        <v>24</v>
      </c>
      <c r="E826" s="2030" t="s">
        <v>50</v>
      </c>
      <c r="F826" s="2030" t="s">
        <v>49</v>
      </c>
      <c r="G826" s="2030" t="s">
        <v>48</v>
      </c>
      <c r="H826" s="2030" t="s">
        <v>47</v>
      </c>
      <c r="I826" s="2034"/>
      <c r="J826" s="2034"/>
    </row>
    <row r="827" spans="2:10">
      <c r="B827" s="2020"/>
      <c r="C827" s="2029"/>
      <c r="D827" s="2029"/>
      <c r="E827" s="2029"/>
      <c r="F827" s="2029"/>
      <c r="G827" s="2029"/>
      <c r="H827" s="2029"/>
      <c r="I827" s="2035"/>
      <c r="J827" s="2035"/>
    </row>
    <row r="828" spans="2:10">
      <c r="B828" s="238" t="s">
        <v>531</v>
      </c>
      <c r="C828" s="239" t="s">
        <v>532</v>
      </c>
      <c r="D828" s="239" t="s">
        <v>19</v>
      </c>
      <c r="E828" s="239" t="s">
        <v>525</v>
      </c>
      <c r="F828" s="239" t="s">
        <v>41</v>
      </c>
      <c r="G828" s="239" t="s">
        <v>533</v>
      </c>
      <c r="H828" s="239" t="s">
        <v>534</v>
      </c>
      <c r="I828" s="239"/>
      <c r="J828" s="239"/>
    </row>
    <row r="829" spans="2:10" ht="15" thickBot="1">
      <c r="B829" s="244" t="s">
        <v>535</v>
      </c>
      <c r="C829" s="245" t="s">
        <v>536</v>
      </c>
      <c r="D829" s="245" t="s">
        <v>522</v>
      </c>
      <c r="E829" s="245" t="s">
        <v>41</v>
      </c>
      <c r="F829" s="245" t="s">
        <v>41</v>
      </c>
      <c r="G829" s="245" t="s">
        <v>533</v>
      </c>
      <c r="H829" s="245" t="s">
        <v>537</v>
      </c>
      <c r="I829" s="239"/>
      <c r="J829" s="239"/>
    </row>
    <row r="830" spans="2:10" ht="15" thickTop="1">
      <c r="B830" s="246"/>
      <c r="C830" s="121"/>
      <c r="D830" s="121"/>
      <c r="E830" s="121"/>
      <c r="F830" s="121"/>
      <c r="G830" s="121"/>
      <c r="H830" s="121"/>
      <c r="I830" s="121"/>
      <c r="J830" s="121"/>
    </row>
    <row r="831" spans="2:10">
      <c r="B831" s="2019" t="s">
        <v>38</v>
      </c>
      <c r="C831" s="2028" t="s">
        <v>538</v>
      </c>
      <c r="D831" s="2030" t="s">
        <v>37</v>
      </c>
      <c r="E831" s="2030" t="s">
        <v>8</v>
      </c>
      <c r="F831" s="2030" t="s">
        <v>36</v>
      </c>
      <c r="G831" s="247"/>
      <c r="H831" s="247"/>
      <c r="I831" s="247"/>
      <c r="J831" s="247"/>
    </row>
    <row r="832" spans="2:10">
      <c r="B832" s="2020"/>
      <c r="C832" s="2029"/>
      <c r="D832" s="2029"/>
      <c r="E832" s="2029"/>
      <c r="F832" s="2029"/>
      <c r="G832" s="248"/>
      <c r="H832" s="248"/>
      <c r="I832" s="248"/>
      <c r="J832" s="248"/>
    </row>
    <row r="833" spans="2:10">
      <c r="B833" s="238" t="s">
        <v>531</v>
      </c>
      <c r="C833" s="239" t="s">
        <v>539</v>
      </c>
      <c r="D833" s="240" t="s">
        <v>503</v>
      </c>
      <c r="E833" s="239" t="s">
        <v>1</v>
      </c>
      <c r="F833" s="249">
        <v>0</v>
      </c>
      <c r="G833" s="250"/>
      <c r="H833" s="250"/>
      <c r="I833" s="250"/>
      <c r="J833" s="250"/>
    </row>
    <row r="834" spans="2:10" ht="15" thickBot="1">
      <c r="B834" s="244" t="s">
        <v>535</v>
      </c>
      <c r="C834" s="245" t="s">
        <v>539</v>
      </c>
      <c r="D834" s="251">
        <v>0</v>
      </c>
      <c r="E834" s="245" t="s">
        <v>1</v>
      </c>
      <c r="F834" s="252">
        <v>0</v>
      </c>
      <c r="G834" s="250"/>
      <c r="H834" s="250"/>
      <c r="I834" s="250"/>
      <c r="J834" s="250"/>
    </row>
    <row r="835" spans="2:10" ht="15" thickTop="1">
      <c r="B835" s="253" t="s">
        <v>540</v>
      </c>
      <c r="C835" s="121"/>
      <c r="D835" s="121"/>
      <c r="E835" s="121"/>
      <c r="F835" s="121"/>
      <c r="G835" s="121"/>
      <c r="H835" s="121"/>
      <c r="I835" s="121"/>
      <c r="J835" s="121"/>
    </row>
    <row r="836" spans="2:10">
      <c r="B836" s="246"/>
      <c r="C836" s="121"/>
      <c r="D836" s="121"/>
      <c r="E836" s="121"/>
      <c r="F836" s="121"/>
      <c r="G836" s="121"/>
      <c r="H836" s="121"/>
      <c r="I836" s="121"/>
      <c r="J836" s="121"/>
    </row>
    <row r="837" spans="2:10">
      <c r="B837" s="1"/>
      <c r="C837" s="121"/>
      <c r="D837" s="121"/>
      <c r="E837" s="121"/>
      <c r="F837" s="121"/>
      <c r="G837" s="121"/>
      <c r="H837" s="121"/>
      <c r="I837" s="121"/>
      <c r="J837" s="121"/>
    </row>
    <row r="838" spans="2:10">
      <c r="B838" s="14" t="s">
        <v>26</v>
      </c>
      <c r="C838" s="236"/>
      <c r="D838" s="236"/>
      <c r="E838" s="236"/>
      <c r="F838" s="236"/>
      <c r="G838" s="236"/>
      <c r="H838" s="236"/>
      <c r="I838" s="236"/>
      <c r="J838" s="236"/>
    </row>
    <row r="839" spans="2:10">
      <c r="B839" s="12" t="s">
        <v>25</v>
      </c>
      <c r="C839" s="121"/>
      <c r="D839" s="121"/>
      <c r="E839" s="121"/>
      <c r="F839" s="121"/>
      <c r="G839" s="121"/>
      <c r="H839" s="121"/>
      <c r="I839" s="121"/>
      <c r="J839" s="121"/>
    </row>
    <row r="840" spans="2:10">
      <c r="B840" s="1"/>
      <c r="C840" s="121"/>
      <c r="D840" s="121"/>
      <c r="E840" s="121"/>
      <c r="F840" s="121"/>
      <c r="G840" s="121"/>
      <c r="H840" s="121"/>
      <c r="I840" s="121"/>
      <c r="J840" s="121"/>
    </row>
    <row r="841" spans="2:10">
      <c r="B841" s="2019" t="s">
        <v>11</v>
      </c>
      <c r="C841" s="2030" t="s">
        <v>541</v>
      </c>
      <c r="D841" s="2030" t="s">
        <v>24</v>
      </c>
      <c r="E841" s="2030" t="s">
        <v>23</v>
      </c>
      <c r="F841" s="2030" t="s">
        <v>22</v>
      </c>
      <c r="G841" s="2030" t="s">
        <v>21</v>
      </c>
      <c r="H841" s="2030" t="s">
        <v>20</v>
      </c>
      <c r="I841" s="2034"/>
      <c r="J841" s="2034"/>
    </row>
    <row r="842" spans="2:10">
      <c r="B842" s="2020"/>
      <c r="C842" s="2029"/>
      <c r="D842" s="2029"/>
      <c r="E842" s="2029"/>
      <c r="F842" s="2029"/>
      <c r="G842" s="2029"/>
      <c r="H842" s="2029"/>
      <c r="I842" s="2035"/>
      <c r="J842" s="2035"/>
    </row>
    <row r="843" spans="2:10" ht="24.5" thickBot="1">
      <c r="B843" s="254" t="s">
        <v>503</v>
      </c>
      <c r="C843" s="255" t="s">
        <v>542</v>
      </c>
      <c r="D843" s="255" t="s">
        <v>543</v>
      </c>
      <c r="E843" s="255">
        <v>0</v>
      </c>
      <c r="F843" s="256" t="s">
        <v>544</v>
      </c>
      <c r="G843" s="255">
        <v>0</v>
      </c>
      <c r="H843" s="255" t="s">
        <v>545</v>
      </c>
      <c r="I843" s="240"/>
      <c r="J843" s="240"/>
    </row>
    <row r="844" spans="2:10" ht="15" thickTop="1">
      <c r="B844" s="246"/>
      <c r="C844" s="121"/>
      <c r="D844" s="121"/>
      <c r="E844" s="121"/>
      <c r="F844" s="121"/>
      <c r="G844" s="121"/>
      <c r="H844" s="121"/>
      <c r="I844" s="121"/>
      <c r="J844" s="121"/>
    </row>
    <row r="845" spans="2:10">
      <c r="B845" s="2019" t="s">
        <v>11</v>
      </c>
      <c r="C845" s="2028" t="s">
        <v>546</v>
      </c>
      <c r="D845" s="2030" t="s">
        <v>10</v>
      </c>
      <c r="E845" s="2030" t="s">
        <v>9</v>
      </c>
      <c r="F845" s="2030" t="s">
        <v>8</v>
      </c>
      <c r="G845" s="247"/>
      <c r="H845" s="247"/>
      <c r="I845" s="247"/>
      <c r="J845" s="247"/>
    </row>
    <row r="846" spans="2:10">
      <c r="B846" s="2020"/>
      <c r="C846" s="2029"/>
      <c r="D846" s="2029"/>
      <c r="E846" s="2029"/>
      <c r="F846" s="2029"/>
      <c r="G846" s="248"/>
      <c r="H846" s="248"/>
      <c r="I846" s="248"/>
      <c r="J846" s="248"/>
    </row>
    <row r="847" spans="2:10" ht="15" thickBot="1">
      <c r="B847" s="254" t="s">
        <v>503</v>
      </c>
      <c r="C847" s="255" t="s">
        <v>547</v>
      </c>
      <c r="D847" s="255" t="s">
        <v>548</v>
      </c>
      <c r="E847" s="255">
        <v>0</v>
      </c>
      <c r="F847" s="257">
        <v>0</v>
      </c>
      <c r="G847" s="258"/>
      <c r="H847" s="258"/>
      <c r="I847" s="258"/>
      <c r="J847" s="258"/>
    </row>
    <row r="848" spans="2:10" ht="15" thickTop="1">
      <c r="B848" s="253" t="s">
        <v>549</v>
      </c>
      <c r="C848" s="1"/>
      <c r="D848" s="1"/>
      <c r="E848" s="1"/>
      <c r="F848" s="1"/>
      <c r="G848" s="121"/>
      <c r="H848" s="121"/>
      <c r="I848" s="121"/>
      <c r="J848" s="121"/>
    </row>
    <row r="849" spans="2:10">
      <c r="B849" s="246"/>
      <c r="C849" s="121"/>
      <c r="D849" s="121"/>
      <c r="E849" s="121"/>
      <c r="F849" s="121"/>
      <c r="G849" s="121"/>
      <c r="H849" s="121"/>
      <c r="I849" s="121"/>
      <c r="J849" s="121"/>
    </row>
  </sheetData>
  <mergeCells count="83">
    <mergeCell ref="B34:J34"/>
    <mergeCell ref="B2:J2"/>
    <mergeCell ref="B13:J13"/>
    <mergeCell ref="B15:J15"/>
    <mergeCell ref="B31:J31"/>
    <mergeCell ref="B32:J32"/>
    <mergeCell ref="B278:J278"/>
    <mergeCell ref="B49:J49"/>
    <mergeCell ref="B51:J51"/>
    <mergeCell ref="B82:J82"/>
    <mergeCell ref="B84:J84"/>
    <mergeCell ref="B111:J111"/>
    <mergeCell ref="B113:J113"/>
    <mergeCell ref="B144:J144"/>
    <mergeCell ref="B146:J146"/>
    <mergeCell ref="B210:J210"/>
    <mergeCell ref="B212:J212"/>
    <mergeCell ref="B276:J276"/>
    <mergeCell ref="B457:J457"/>
    <mergeCell ref="B326:J326"/>
    <mergeCell ref="B328:J328"/>
    <mergeCell ref="B367:J367"/>
    <mergeCell ref="B369:J369"/>
    <mergeCell ref="B407:J407"/>
    <mergeCell ref="B409:J409"/>
    <mergeCell ref="B433:J433"/>
    <mergeCell ref="B435:J435"/>
    <mergeCell ref="B447:J447"/>
    <mergeCell ref="B449:J449"/>
    <mergeCell ref="B456:J456"/>
    <mergeCell ref="B707:J707"/>
    <mergeCell ref="B459:J459"/>
    <mergeCell ref="B479:J479"/>
    <mergeCell ref="B481:J481"/>
    <mergeCell ref="B501:J501"/>
    <mergeCell ref="B503:J503"/>
    <mergeCell ref="B521:J521"/>
    <mergeCell ref="B522:J522"/>
    <mergeCell ref="B524:J524"/>
    <mergeCell ref="B614:J614"/>
    <mergeCell ref="B615:J615"/>
    <mergeCell ref="B617:J617"/>
    <mergeCell ref="B812:J812"/>
    <mergeCell ref="B708:J708"/>
    <mergeCell ref="B710:J710"/>
    <mergeCell ref="B736:J736"/>
    <mergeCell ref="B738:J738"/>
    <mergeCell ref="B750:J750"/>
    <mergeCell ref="B751:J751"/>
    <mergeCell ref="B753:J753"/>
    <mergeCell ref="B765:J765"/>
    <mergeCell ref="B766:J766"/>
    <mergeCell ref="B768:J768"/>
    <mergeCell ref="B789:J789"/>
    <mergeCell ref="B813:J813"/>
    <mergeCell ref="B826:B827"/>
    <mergeCell ref="C826:C827"/>
    <mergeCell ref="D826:D827"/>
    <mergeCell ref="E826:E827"/>
    <mergeCell ref="F826:F827"/>
    <mergeCell ref="G826:G827"/>
    <mergeCell ref="H826:H827"/>
    <mergeCell ref="I826:I827"/>
    <mergeCell ref="J826:J827"/>
    <mergeCell ref="B831:B832"/>
    <mergeCell ref="C831:C832"/>
    <mergeCell ref="D831:D832"/>
    <mergeCell ref="E831:E832"/>
    <mergeCell ref="F831:F832"/>
    <mergeCell ref="G841:G842"/>
    <mergeCell ref="H841:H842"/>
    <mergeCell ref="I841:I842"/>
    <mergeCell ref="J841:J842"/>
    <mergeCell ref="B845:B846"/>
    <mergeCell ref="C845:C846"/>
    <mergeCell ref="D845:D846"/>
    <mergeCell ref="E845:E846"/>
    <mergeCell ref="F845:F846"/>
    <mergeCell ref="B841:B842"/>
    <mergeCell ref="C841:C842"/>
    <mergeCell ref="D841:D842"/>
    <mergeCell ref="E841:E842"/>
    <mergeCell ref="F841:F842"/>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B72B5-0A45-484B-94DC-351CE9AB0B94}">
  <dimension ref="B2:J1094"/>
  <sheetViews>
    <sheetView topLeftCell="A910" zoomScaleNormal="100" workbookViewId="0">
      <selection activeCell="B926" sqref="B926"/>
    </sheetView>
  </sheetViews>
  <sheetFormatPr baseColWidth="10" defaultColWidth="11.453125" defaultRowHeight="14.5"/>
  <cols>
    <col min="1" max="1" width="5.7265625" customWidth="1"/>
    <col min="2" max="2" width="47.54296875" style="1" customWidth="1"/>
    <col min="3" max="10" width="15" style="1" customWidth="1"/>
  </cols>
  <sheetData>
    <row r="2" spans="2:10">
      <c r="B2" s="2024" t="s">
        <v>464</v>
      </c>
      <c r="C2" s="2024"/>
      <c r="D2" s="2024"/>
      <c r="E2" s="2024"/>
      <c r="F2" s="2024"/>
      <c r="G2" s="2024"/>
      <c r="H2" s="2024"/>
      <c r="I2" s="2024"/>
      <c r="J2" s="2024"/>
    </row>
    <row r="3" spans="2:10">
      <c r="B3" s="12" t="s">
        <v>463</v>
      </c>
    </row>
    <row r="4" spans="2:10">
      <c r="B4" s="76"/>
    </row>
    <row r="5" spans="2:10">
      <c r="B5" s="61"/>
      <c r="C5" s="60">
        <v>2014</v>
      </c>
      <c r="D5" s="60">
        <v>2015</v>
      </c>
      <c r="E5" s="60">
        <v>2016</v>
      </c>
      <c r="F5" s="60">
        <v>2017</v>
      </c>
      <c r="G5" s="60">
        <v>2018</v>
      </c>
      <c r="H5" s="60">
        <v>2019</v>
      </c>
      <c r="I5" s="60">
        <v>2020</v>
      </c>
      <c r="J5" s="60">
        <v>2021</v>
      </c>
    </row>
    <row r="6" spans="2:10">
      <c r="B6" s="64" t="s">
        <v>465</v>
      </c>
      <c r="C6" s="259">
        <v>47661.786999999997</v>
      </c>
      <c r="D6" s="259">
        <v>48203.404999999999</v>
      </c>
      <c r="E6" s="259">
        <v>48747.707999999999</v>
      </c>
      <c r="F6" s="259">
        <v>49291.608999999997</v>
      </c>
      <c r="G6" s="259">
        <v>49834.239999999998</v>
      </c>
      <c r="H6" s="259">
        <v>50374.478000000003</v>
      </c>
      <c r="I6" s="259">
        <v>50372.423999999999</v>
      </c>
      <c r="J6" s="259">
        <v>51049.498</v>
      </c>
    </row>
    <row r="7" spans="2:10">
      <c r="B7" s="64" t="s">
        <v>461</v>
      </c>
      <c r="C7" s="259">
        <v>318878.05856733193</v>
      </c>
      <c r="D7" s="259">
        <v>255500.76679568249</v>
      </c>
      <c r="E7" s="259">
        <v>287859.20665442478</v>
      </c>
      <c r="F7" s="259">
        <v>308468.83378016087</v>
      </c>
      <c r="G7" s="259">
        <v>303386.7220555424</v>
      </c>
      <c r="H7" s="260">
        <v>323980.52312127588</v>
      </c>
      <c r="I7" s="260">
        <v>292184.21429292124</v>
      </c>
      <c r="J7" s="260">
        <f>1177224742.67917/J11</f>
        <v>295698.92761887738</v>
      </c>
    </row>
    <row r="8" spans="2:10">
      <c r="B8" s="64" t="s">
        <v>550</v>
      </c>
      <c r="C8" s="259">
        <v>6.6904343844122325</v>
      </c>
      <c r="D8" s="259">
        <v>5.3004713421320027</v>
      </c>
      <c r="E8" s="259">
        <v>5.9050818687603694</v>
      </c>
      <c r="F8" s="259">
        <v>6.2580394521136631</v>
      </c>
      <c r="G8" s="259">
        <v>6.0879171038936759</v>
      </c>
      <c r="H8" s="260">
        <v>6.4314417932286245</v>
      </c>
      <c r="I8" s="260">
        <v>5.8004795300881531</v>
      </c>
      <c r="J8" s="260">
        <f>23060.4567880212/J11</f>
        <v>5.7923963839738173</v>
      </c>
    </row>
    <row r="9" spans="2:10">
      <c r="B9" s="64" t="s">
        <v>551</v>
      </c>
      <c r="C9" s="261">
        <v>2.8975983342014602</v>
      </c>
      <c r="D9" s="261">
        <v>4.9837978955130096</v>
      </c>
      <c r="E9" s="261">
        <v>7.5234901441887896</v>
      </c>
      <c r="F9" s="262">
        <v>4.3214172394885999</v>
      </c>
      <c r="G9" s="262">
        <v>3.2414952260143401</v>
      </c>
      <c r="H9" s="262">
        <v>3.5177879775053098</v>
      </c>
      <c r="I9" s="262">
        <v>2.5347370400039102</v>
      </c>
      <c r="J9" s="262">
        <v>3.4942924853332058</v>
      </c>
    </row>
    <row r="10" spans="2:10">
      <c r="B10" s="64" t="s">
        <v>467</v>
      </c>
      <c r="C10" s="259"/>
      <c r="D10" s="259"/>
      <c r="E10" s="259"/>
      <c r="F10" s="259"/>
      <c r="G10" s="259"/>
      <c r="H10" s="259"/>
      <c r="I10" s="259"/>
      <c r="J10" s="259"/>
    </row>
    <row r="11" spans="2:10">
      <c r="B11" s="190" t="s">
        <v>468</v>
      </c>
      <c r="C11" s="259">
        <v>2392.46</v>
      </c>
      <c r="D11" s="259">
        <v>3149.47</v>
      </c>
      <c r="E11" s="259">
        <v>3000.71</v>
      </c>
      <c r="F11" s="259">
        <v>2984</v>
      </c>
      <c r="G11" s="259">
        <v>3249.75</v>
      </c>
      <c r="H11" s="259">
        <v>3277.14</v>
      </c>
      <c r="I11" s="259">
        <v>3432.5</v>
      </c>
      <c r="J11" s="259">
        <v>3981.16</v>
      </c>
    </row>
    <row r="12" spans="2:10" ht="15" thickBot="1">
      <c r="B12" s="196" t="s">
        <v>456</v>
      </c>
      <c r="C12" s="109">
        <v>2000.68</v>
      </c>
      <c r="D12" s="109">
        <v>2746.47</v>
      </c>
      <c r="E12" s="109">
        <v>3053.42</v>
      </c>
      <c r="F12" s="109">
        <v>2951.15</v>
      </c>
      <c r="G12" s="109">
        <v>2956.5463934426216</v>
      </c>
      <c r="H12" s="109">
        <v>3282.39</v>
      </c>
      <c r="I12" s="109">
        <v>3691.2750409836085</v>
      </c>
      <c r="J12" s="109">
        <v>3747.2442276422753</v>
      </c>
    </row>
    <row r="13" spans="2:10" ht="15" thickTop="1">
      <c r="B13" s="2025" t="s">
        <v>552</v>
      </c>
      <c r="C13" s="2025"/>
      <c r="D13" s="2025"/>
      <c r="E13" s="2025"/>
      <c r="F13" s="2025"/>
      <c r="G13" s="2025"/>
      <c r="H13" s="2025"/>
      <c r="I13" s="2025"/>
      <c r="J13" s="2025"/>
    </row>
    <row r="14" spans="2:10">
      <c r="B14" s="64"/>
    </row>
    <row r="15" spans="2:10">
      <c r="B15" s="2024" t="s">
        <v>454</v>
      </c>
      <c r="C15" s="2024"/>
      <c r="D15" s="2024"/>
      <c r="E15" s="2024"/>
      <c r="F15" s="2024"/>
      <c r="G15" s="2024"/>
      <c r="H15" s="2024"/>
      <c r="I15" s="2024"/>
      <c r="J15" s="2024"/>
    </row>
    <row r="16" spans="2:10">
      <c r="B16" s="12" t="s">
        <v>453</v>
      </c>
    </row>
    <row r="17" spans="2:10">
      <c r="B17" s="62" t="s">
        <v>242</v>
      </c>
    </row>
    <row r="18" spans="2:10">
      <c r="B18" s="64"/>
    </row>
    <row r="19" spans="2:10">
      <c r="B19" s="61"/>
      <c r="C19" s="60">
        <v>2014</v>
      </c>
      <c r="D19" s="60">
        <v>2015</v>
      </c>
      <c r="E19" s="60">
        <v>2016</v>
      </c>
      <c r="F19" s="60">
        <v>2017</v>
      </c>
      <c r="G19" s="60">
        <v>2018</v>
      </c>
      <c r="H19" s="60">
        <v>2019</v>
      </c>
      <c r="I19" s="60">
        <v>2020</v>
      </c>
      <c r="J19" s="60">
        <v>2021</v>
      </c>
    </row>
    <row r="20" spans="2:10">
      <c r="B20" s="188" t="s">
        <v>413</v>
      </c>
      <c r="C20" s="203">
        <v>19021.239689235179</v>
      </c>
      <c r="D20" s="203">
        <v>17102.809786371581</v>
      </c>
      <c r="E20" s="203">
        <v>18480.460049020734</v>
      </c>
      <c r="F20" s="203">
        <v>20031.161628721482</v>
      </c>
      <c r="G20" s="203">
        <v>20080.634886953736</v>
      </c>
      <c r="H20" s="203">
        <v>22932.510759863202</v>
      </c>
      <c r="I20" s="203">
        <v>27488.913967790126</v>
      </c>
      <c r="J20" s="203">
        <f>108299007/J11</f>
        <v>27202.877302092857</v>
      </c>
    </row>
    <row r="21" spans="2:10">
      <c r="B21" s="197" t="s">
        <v>452</v>
      </c>
      <c r="C21" s="203">
        <v>20247.09099447251</v>
      </c>
      <c r="D21" s="203">
        <v>15649.061639294867</v>
      </c>
      <c r="E21" s="203">
        <v>15430.035558171234</v>
      </c>
      <c r="F21" s="203">
        <v>16258.113178300939</v>
      </c>
      <c r="G21" s="203">
        <v>15883.116829697668</v>
      </c>
      <c r="H21" s="203">
        <v>16428.543282450551</v>
      </c>
      <c r="I21" s="203">
        <v>19261.394980029134</v>
      </c>
      <c r="J21" s="203">
        <f>79660353/J11</f>
        <v>20009.332204684062</v>
      </c>
    </row>
    <row r="22" spans="2:10">
      <c r="B22" s="194" t="s">
        <v>379</v>
      </c>
      <c r="C22" s="203"/>
      <c r="D22" s="203"/>
      <c r="E22" s="203"/>
      <c r="F22" s="203"/>
      <c r="G22" s="203"/>
      <c r="H22" s="203"/>
      <c r="I22" s="203"/>
      <c r="J22" s="203"/>
    </row>
    <row r="23" spans="2:10">
      <c r="B23" s="198" t="s">
        <v>451</v>
      </c>
      <c r="C23" s="203">
        <v>20247.09099447251</v>
      </c>
      <c r="D23" s="203">
        <v>15649.061639294867</v>
      </c>
      <c r="E23" s="203">
        <v>15430.035558171234</v>
      </c>
      <c r="F23" s="203">
        <v>16258.113178300939</v>
      </c>
      <c r="G23" s="203">
        <v>15883.116829697668</v>
      </c>
      <c r="H23" s="203">
        <v>16428.543282450551</v>
      </c>
      <c r="I23" s="203">
        <v>19261.394980029134</v>
      </c>
      <c r="J23" s="203">
        <f>79660353/J11</f>
        <v>20009.332204684062</v>
      </c>
    </row>
    <row r="24" spans="2:10">
      <c r="B24" s="198" t="s">
        <v>450</v>
      </c>
      <c r="C24" s="203">
        <v>0</v>
      </c>
      <c r="D24" s="203">
        <v>0</v>
      </c>
      <c r="E24" s="203">
        <v>0</v>
      </c>
      <c r="F24" s="203">
        <v>0</v>
      </c>
      <c r="G24" s="203">
        <v>0</v>
      </c>
      <c r="H24" s="203">
        <v>0</v>
      </c>
      <c r="I24" s="203">
        <v>0</v>
      </c>
      <c r="J24" s="203">
        <v>0</v>
      </c>
    </row>
    <row r="25" spans="2:10">
      <c r="B25" s="197" t="s">
        <v>449</v>
      </c>
      <c r="C25" s="203">
        <v>39268.330683707645</v>
      </c>
      <c r="D25" s="203">
        <v>32771.972962917571</v>
      </c>
      <c r="E25" s="203">
        <v>33939.651660977564</v>
      </c>
      <c r="F25" s="203">
        <v>36315.726161756029</v>
      </c>
      <c r="G25" s="203">
        <v>35986.752953859526</v>
      </c>
      <c r="H25" s="203">
        <v>39391.394389972353</v>
      </c>
      <c r="I25" s="203">
        <v>46829.262473190094</v>
      </c>
      <c r="J25" s="203">
        <f>188210712/J11</f>
        <v>47275.344874358227</v>
      </c>
    </row>
    <row r="26" spans="2:10">
      <c r="B26" s="197" t="s">
        <v>448</v>
      </c>
      <c r="C26" s="203"/>
      <c r="D26" s="203"/>
      <c r="E26" s="203"/>
      <c r="F26" s="203"/>
      <c r="G26" s="203"/>
      <c r="H26" s="203"/>
      <c r="I26" s="203"/>
      <c r="J26" s="203"/>
    </row>
    <row r="27" spans="2:10">
      <c r="B27" s="195" t="s">
        <v>447</v>
      </c>
      <c r="C27" s="129">
        <v>14.569102171070782</v>
      </c>
      <c r="D27" s="129">
        <v>16.868350735203066</v>
      </c>
      <c r="E27" s="129">
        <v>20.345831439892557</v>
      </c>
      <c r="F27" s="129">
        <v>29.122448793565681</v>
      </c>
      <c r="G27" s="129">
        <v>36.218369080698515</v>
      </c>
      <c r="H27" s="129">
        <v>46.579082160054199</v>
      </c>
      <c r="I27" s="129">
        <v>154.91744568099054</v>
      </c>
      <c r="J27" s="129">
        <f>3169642/J11</f>
        <v>796.16041555727475</v>
      </c>
    </row>
    <row r="28" spans="2:10">
      <c r="B28" s="195" t="s">
        <v>445</v>
      </c>
      <c r="C28" s="129">
        <v>0</v>
      </c>
      <c r="D28" s="129">
        <v>0</v>
      </c>
      <c r="E28" s="129">
        <v>0</v>
      </c>
      <c r="F28" s="129">
        <v>0</v>
      </c>
      <c r="G28" s="129">
        <v>0</v>
      </c>
      <c r="H28" s="129">
        <v>0</v>
      </c>
      <c r="I28" s="129">
        <v>0</v>
      </c>
      <c r="J28" s="129">
        <v>0</v>
      </c>
    </row>
    <row r="29" spans="2:10">
      <c r="B29" s="195" t="s">
        <v>444</v>
      </c>
      <c r="C29" s="129">
        <v>0</v>
      </c>
      <c r="D29" s="129">
        <v>0</v>
      </c>
      <c r="E29" s="129">
        <v>0</v>
      </c>
      <c r="F29" s="129">
        <v>0</v>
      </c>
      <c r="G29" s="129">
        <v>0</v>
      </c>
      <c r="H29" s="129">
        <v>0</v>
      </c>
      <c r="I29" s="129">
        <v>0</v>
      </c>
      <c r="J29" s="129">
        <v>0</v>
      </c>
    </row>
    <row r="30" spans="2:10" ht="15" thickBot="1">
      <c r="B30" s="196" t="s">
        <v>443</v>
      </c>
      <c r="C30" s="129">
        <v>0</v>
      </c>
      <c r="D30" s="129">
        <v>0</v>
      </c>
      <c r="E30" s="129">
        <v>0</v>
      </c>
      <c r="F30" s="129">
        <v>0</v>
      </c>
      <c r="G30" s="129">
        <v>0</v>
      </c>
      <c r="H30" s="129">
        <v>0</v>
      </c>
      <c r="I30" s="129">
        <v>0</v>
      </c>
      <c r="J30" s="129">
        <v>0</v>
      </c>
    </row>
    <row r="31" spans="2:10" ht="15" thickTop="1">
      <c r="B31" s="2025" t="s">
        <v>553</v>
      </c>
      <c r="C31" s="2025"/>
      <c r="D31" s="2025"/>
      <c r="E31" s="2025"/>
      <c r="F31" s="2025"/>
      <c r="G31" s="2025"/>
      <c r="H31" s="2025"/>
      <c r="I31" s="2025"/>
      <c r="J31" s="2025"/>
    </row>
    <row r="32" spans="2:10">
      <c r="B32" s="108"/>
      <c r="C32" s="108"/>
      <c r="D32" s="108"/>
      <c r="E32" s="108"/>
      <c r="F32" s="108"/>
      <c r="G32" s="108"/>
      <c r="H32" s="108"/>
      <c r="I32" s="108"/>
      <c r="J32" s="108"/>
    </row>
    <row r="33" spans="2:10">
      <c r="B33" s="69"/>
      <c r="C33" s="69"/>
      <c r="D33" s="69"/>
      <c r="E33" s="69"/>
      <c r="F33" s="69"/>
      <c r="G33" s="69"/>
      <c r="H33" s="69"/>
      <c r="I33" s="69"/>
      <c r="J33" s="69"/>
    </row>
    <row r="34" spans="2:10">
      <c r="B34" s="2024" t="s">
        <v>442</v>
      </c>
      <c r="C34" s="2024"/>
      <c r="D34" s="2024"/>
      <c r="E34" s="2024"/>
      <c r="F34" s="2024"/>
      <c r="G34" s="2024"/>
      <c r="H34" s="2024"/>
      <c r="I34" s="2024"/>
      <c r="J34" s="2024"/>
    </row>
    <row r="35" spans="2:10">
      <c r="B35" s="12" t="s">
        <v>441</v>
      </c>
    </row>
    <row r="36" spans="2:10">
      <c r="B36" s="77" t="s">
        <v>242</v>
      </c>
    </row>
    <row r="37" spans="2:10">
      <c r="B37" s="64"/>
    </row>
    <row r="38" spans="2:10">
      <c r="B38" s="61"/>
      <c r="C38" s="60">
        <v>2014</v>
      </c>
      <c r="D38" s="60">
        <v>2015</v>
      </c>
      <c r="E38" s="60">
        <v>2016</v>
      </c>
      <c r="F38" s="60">
        <v>2017</v>
      </c>
      <c r="G38" s="60">
        <v>2018</v>
      </c>
      <c r="H38" s="60">
        <v>2019</v>
      </c>
      <c r="I38" s="60">
        <v>2020</v>
      </c>
      <c r="J38" s="60">
        <v>2021</v>
      </c>
    </row>
    <row r="39" spans="2:10">
      <c r="B39" s="188" t="s">
        <v>440</v>
      </c>
      <c r="C39" s="263">
        <v>10422.710471656444</v>
      </c>
      <c r="D39" s="264">
        <v>9218.3476136857589</v>
      </c>
      <c r="E39" s="263">
        <v>9449.9846223459972</v>
      </c>
      <c r="F39" s="263">
        <v>9739.0836677115876</v>
      </c>
      <c r="G39" s="263">
        <v>9579.6484647751349</v>
      </c>
      <c r="H39" s="263">
        <v>10612.937302107053</v>
      </c>
      <c r="I39" s="263">
        <v>9826.5287843466867</v>
      </c>
      <c r="J39" s="263">
        <f>35898336.335/J11</f>
        <v>9017.054410021201</v>
      </c>
    </row>
    <row r="40" spans="2:10">
      <c r="B40" s="195" t="s">
        <v>554</v>
      </c>
      <c r="C40" s="263">
        <v>10129.717005498818</v>
      </c>
      <c r="D40" s="263">
        <v>8517.931798063526</v>
      </c>
      <c r="E40" s="263">
        <v>9032.8553564482609</v>
      </c>
      <c r="F40" s="263">
        <v>9555.4248181823332</v>
      </c>
      <c r="G40" s="263">
        <v>9431.3603882345778</v>
      </c>
      <c r="H40" s="263">
        <v>10158.649790660882</v>
      </c>
      <c r="I40" s="263">
        <v>8266.1024910182077</v>
      </c>
      <c r="J40" s="263">
        <f>33440326.95877/J11</f>
        <v>8399.6440632303147</v>
      </c>
    </row>
    <row r="41" spans="2:10">
      <c r="B41" s="198" t="s">
        <v>451</v>
      </c>
      <c r="C41" s="263">
        <v>0</v>
      </c>
      <c r="D41" s="263">
        <v>0</v>
      </c>
      <c r="E41" s="263">
        <v>0</v>
      </c>
      <c r="F41" s="263">
        <v>0</v>
      </c>
      <c r="G41" s="263">
        <v>0</v>
      </c>
      <c r="H41" s="263">
        <v>0</v>
      </c>
      <c r="I41" s="263">
        <v>0</v>
      </c>
      <c r="J41" s="263">
        <v>0</v>
      </c>
    </row>
    <row r="42" spans="2:10">
      <c r="B42" s="198" t="s">
        <v>450</v>
      </c>
      <c r="C42" s="263">
        <v>0</v>
      </c>
      <c r="D42" s="263">
        <v>0</v>
      </c>
      <c r="E42" s="263">
        <v>0</v>
      </c>
      <c r="F42" s="263">
        <v>0</v>
      </c>
      <c r="G42" s="263">
        <v>0</v>
      </c>
      <c r="H42" s="263">
        <v>0</v>
      </c>
      <c r="I42" s="263">
        <v>0</v>
      </c>
      <c r="J42" s="263">
        <v>0</v>
      </c>
    </row>
    <row r="43" spans="2:10">
      <c r="B43" s="265" t="s">
        <v>555</v>
      </c>
      <c r="C43" s="263">
        <v>292.99346615762693</v>
      </c>
      <c r="D43" s="263">
        <v>700.41581562223303</v>
      </c>
      <c r="E43" s="263">
        <v>417.12926589773593</v>
      </c>
      <c r="F43" s="263">
        <v>183.65884952925396</v>
      </c>
      <c r="G43" s="263">
        <v>148.28807654055765</v>
      </c>
      <c r="H43" s="263">
        <v>454.28751144617257</v>
      </c>
      <c r="I43" s="263">
        <v>1560.4262933284776</v>
      </c>
      <c r="J43" s="263">
        <f>2458009.37623/J11</f>
        <v>617.41034679088511</v>
      </c>
    </row>
    <row r="44" spans="2:10">
      <c r="B44" s="198" t="s">
        <v>451</v>
      </c>
      <c r="C44" s="263">
        <v>0</v>
      </c>
      <c r="D44" s="263">
        <v>0</v>
      </c>
      <c r="E44" s="263">
        <v>0</v>
      </c>
      <c r="F44" s="263">
        <v>0</v>
      </c>
      <c r="G44" s="263">
        <v>0</v>
      </c>
      <c r="H44" s="263">
        <v>0</v>
      </c>
      <c r="I44" s="263">
        <v>0</v>
      </c>
      <c r="J44" s="263">
        <v>0</v>
      </c>
    </row>
    <row r="45" spans="2:10">
      <c r="B45" s="198" t="s">
        <v>450</v>
      </c>
      <c r="C45" s="263"/>
      <c r="D45" s="263"/>
      <c r="E45" s="263"/>
      <c r="F45" s="263"/>
      <c r="G45" s="263"/>
      <c r="H45" s="263"/>
      <c r="I45" s="263"/>
      <c r="J45" s="263"/>
    </row>
    <row r="46" spans="2:10">
      <c r="B46" s="198"/>
      <c r="C46" s="263"/>
      <c r="D46" s="263"/>
      <c r="E46" s="263"/>
      <c r="F46" s="263"/>
      <c r="G46" s="263"/>
      <c r="H46" s="263"/>
      <c r="I46" s="263"/>
      <c r="J46" s="263"/>
    </row>
    <row r="47" spans="2:10">
      <c r="B47" s="188" t="s">
        <v>437</v>
      </c>
      <c r="C47" s="263">
        <v>30.752866359312176</v>
      </c>
      <c r="D47" s="263">
        <v>20.288381181595632</v>
      </c>
      <c r="E47" s="263">
        <v>29.493507569875128</v>
      </c>
      <c r="F47" s="263">
        <v>23.937279999999998</v>
      </c>
      <c r="G47" s="263">
        <v>18.001189396107392</v>
      </c>
      <c r="H47" s="263">
        <v>18.239885040004395</v>
      </c>
      <c r="I47" s="263">
        <v>19.298167804806994</v>
      </c>
      <c r="J47" s="263">
        <f>60481.27133/J11</f>
        <v>15.191871547488674</v>
      </c>
    </row>
    <row r="48" spans="2:10" ht="15" thickBot="1">
      <c r="B48" s="188" t="s">
        <v>436</v>
      </c>
      <c r="C48" s="263">
        <v>2472.3631974104487</v>
      </c>
      <c r="D48" s="263">
        <v>1363.6398713009044</v>
      </c>
      <c r="E48" s="263">
        <v>1525.383886038042</v>
      </c>
      <c r="F48" s="263">
        <v>1806.4285783510227</v>
      </c>
      <c r="G48" s="263">
        <v>1438.7419753890447</v>
      </c>
      <c r="H48" s="263">
        <v>3485.707263374743</v>
      </c>
      <c r="I48" s="263">
        <v>1546.0565551880727</v>
      </c>
      <c r="J48" s="263">
        <f>8614269.34054795/J11</f>
        <v>2163.7586383234911</v>
      </c>
    </row>
    <row r="49" spans="2:10" ht="15" thickTop="1">
      <c r="B49" s="2025" t="s">
        <v>553</v>
      </c>
      <c r="C49" s="2025"/>
      <c r="D49" s="2025"/>
      <c r="E49" s="2025"/>
      <c r="F49" s="2025"/>
      <c r="G49" s="2025"/>
      <c r="H49" s="2025"/>
      <c r="I49" s="2025"/>
      <c r="J49" s="2025"/>
    </row>
    <row r="50" spans="2:10">
      <c r="B50" s="64"/>
    </row>
    <row r="51" spans="2:10">
      <c r="B51" s="2024" t="s">
        <v>434</v>
      </c>
      <c r="C51" s="2024"/>
      <c r="D51" s="2024"/>
      <c r="E51" s="2024"/>
      <c r="F51" s="2024"/>
      <c r="G51" s="2024"/>
      <c r="H51" s="2024"/>
      <c r="I51" s="2024"/>
      <c r="J51" s="2024"/>
    </row>
    <row r="52" spans="2:10">
      <c r="B52" s="12" t="s">
        <v>433</v>
      </c>
    </row>
    <row r="53" spans="2:10">
      <c r="B53" s="62" t="s">
        <v>242</v>
      </c>
    </row>
    <row r="54" spans="2:10">
      <c r="B54" s="64"/>
    </row>
    <row r="55" spans="2:10">
      <c r="B55" s="61"/>
      <c r="C55" s="60">
        <v>2014</v>
      </c>
      <c r="D55" s="60">
        <v>2015</v>
      </c>
      <c r="E55" s="60">
        <v>2016</v>
      </c>
      <c r="F55" s="60">
        <v>2017</v>
      </c>
      <c r="G55" s="60">
        <v>2018</v>
      </c>
      <c r="H55" s="60">
        <v>2019</v>
      </c>
      <c r="I55" s="60">
        <v>2020</v>
      </c>
      <c r="J55" s="60">
        <v>2021</v>
      </c>
    </row>
    <row r="56" spans="2:10">
      <c r="B56" s="64" t="s">
        <v>432</v>
      </c>
      <c r="C56" s="66">
        <v>23571.468043021552</v>
      </c>
      <c r="D56" s="66">
        <v>21190.704814327517</v>
      </c>
      <c r="E56" s="66">
        <v>23068.530152003565</v>
      </c>
      <c r="F56" s="66">
        <v>24818.230436877002</v>
      </c>
      <c r="G56" s="66">
        <v>24818.320775331831</v>
      </c>
      <c r="H56" s="66">
        <v>27969.28595948865</v>
      </c>
      <c r="I56" s="66">
        <v>32446.883041690082</v>
      </c>
      <c r="J56" s="66">
        <f>125450847.670376/J11</f>
        <v>31511.129336770191</v>
      </c>
    </row>
    <row r="57" spans="2:10">
      <c r="B57" s="62"/>
      <c r="C57" s="66"/>
      <c r="D57" s="66"/>
      <c r="E57" s="66"/>
      <c r="F57" s="66"/>
      <c r="G57" s="66"/>
      <c r="H57" s="66"/>
      <c r="I57" s="66"/>
      <c r="J57" s="66"/>
    </row>
    <row r="58" spans="2:10">
      <c r="B58" s="64" t="s">
        <v>431</v>
      </c>
      <c r="C58" s="66">
        <v>23043.200721426063</v>
      </c>
      <c r="D58" s="66">
        <v>20691.438186862237</v>
      </c>
      <c r="E58" s="66">
        <v>22444.745719939612</v>
      </c>
      <c r="F58" s="66">
        <v>24101.95661357071</v>
      </c>
      <c r="G58" s="66">
        <v>24107.827865647818</v>
      </c>
      <c r="H58" s="66">
        <v>27197.283926469423</v>
      </c>
      <c r="I58" s="66">
        <v>31659.965596200145</v>
      </c>
      <c r="J58" s="66">
        <f>122440363.79859/J11</f>
        <v>30754.946748834514</v>
      </c>
    </row>
    <row r="59" spans="2:10">
      <c r="B59" s="190" t="s">
        <v>379</v>
      </c>
      <c r="C59" s="66"/>
      <c r="D59" s="66"/>
      <c r="E59" s="66"/>
      <c r="F59" s="66"/>
      <c r="G59" s="66"/>
      <c r="H59" s="66"/>
      <c r="I59" s="66"/>
      <c r="J59" s="66"/>
    </row>
    <row r="60" spans="2:10">
      <c r="B60" s="189" t="s">
        <v>556</v>
      </c>
      <c r="C60" s="66">
        <v>0</v>
      </c>
      <c r="D60" s="66">
        <v>0</v>
      </c>
      <c r="E60" s="66">
        <v>150.16919329092116</v>
      </c>
      <c r="F60" s="66">
        <v>332.28381367292224</v>
      </c>
      <c r="G60" s="66">
        <v>903.36204323409493</v>
      </c>
      <c r="H60" s="66">
        <v>1539.6742891667736</v>
      </c>
      <c r="I60" s="66">
        <v>1739.677115804807</v>
      </c>
      <c r="J60" s="66">
        <f>14291037.4/J11</f>
        <v>3589.6666800630974</v>
      </c>
    </row>
    <row r="61" spans="2:10">
      <c r="B61" s="189" t="s">
        <v>557</v>
      </c>
      <c r="C61" s="66">
        <v>17676.309050099062</v>
      </c>
      <c r="D61" s="66">
        <v>16281.146367484052</v>
      </c>
      <c r="E61" s="66">
        <v>17789.508749595927</v>
      </c>
      <c r="F61" s="66">
        <v>19184.119168900805</v>
      </c>
      <c r="G61" s="66">
        <v>19097.947888299099</v>
      </c>
      <c r="H61" s="66">
        <v>21556.063915487284</v>
      </c>
      <c r="I61" s="66">
        <v>25899.717873270209</v>
      </c>
      <c r="J61" s="66">
        <f>94777074.4/J11</f>
        <v>23806.39672859167</v>
      </c>
    </row>
    <row r="62" spans="2:10">
      <c r="B62" s="189" t="s">
        <v>558</v>
      </c>
      <c r="C62" s="66">
        <v>3245.2564473387224</v>
      </c>
      <c r="D62" s="66">
        <v>2686.8022937192609</v>
      </c>
      <c r="E62" s="66">
        <v>2850.3866684884574</v>
      </c>
      <c r="F62" s="66">
        <v>2810.4810589812332</v>
      </c>
      <c r="G62" s="66">
        <v>2441.0872836372032</v>
      </c>
      <c r="H62" s="66">
        <v>2377.0085318295833</v>
      </c>
      <c r="I62" s="66">
        <v>2349.9635892206843</v>
      </c>
      <c r="J62" s="66">
        <f>8046036.82/J11</f>
        <v>2021.0282480483077</v>
      </c>
    </row>
    <row r="63" spans="2:10">
      <c r="B63" s="189" t="s">
        <v>559</v>
      </c>
      <c r="C63" s="66">
        <v>1237.0684943530928</v>
      </c>
      <c r="D63" s="66">
        <v>1016.1005947032359</v>
      </c>
      <c r="E63" s="66">
        <v>936.0340152830496</v>
      </c>
      <c r="F63" s="66">
        <v>999.76446380697053</v>
      </c>
      <c r="G63" s="66">
        <v>972.22891299330718</v>
      </c>
      <c r="H63" s="66">
        <v>998.67339204306199</v>
      </c>
      <c r="I63" s="66">
        <v>920.20816897305167</v>
      </c>
      <c r="J63" s="66">
        <f>2967867.85/J11</f>
        <v>745.47816465552762</v>
      </c>
    </row>
    <row r="64" spans="2:10">
      <c r="B64" s="189" t="s">
        <v>560</v>
      </c>
      <c r="C64" s="66">
        <v>406.86019410982834</v>
      </c>
      <c r="D64" s="66">
        <v>320.03498842662418</v>
      </c>
      <c r="E64" s="66">
        <v>313.24047642058042</v>
      </c>
      <c r="F64" s="66">
        <v>343.57739946380696</v>
      </c>
      <c r="G64" s="66">
        <v>309.09051619355336</v>
      </c>
      <c r="H64" s="66">
        <v>334.26133152688016</v>
      </c>
      <c r="I64" s="66">
        <v>355.46086380189365</v>
      </c>
      <c r="J64" s="66">
        <f>1075320.41/J11</f>
        <v>270.10228425885924</v>
      </c>
    </row>
    <row r="65" spans="2:10">
      <c r="B65" s="189" t="s">
        <v>561</v>
      </c>
      <c r="C65" s="66">
        <v>402.55596749788924</v>
      </c>
      <c r="D65" s="66">
        <v>318.4729183005395</v>
      </c>
      <c r="E65" s="66">
        <v>336.22347244485474</v>
      </c>
      <c r="F65" s="66">
        <v>373.18862466487934</v>
      </c>
      <c r="G65" s="66">
        <v>323.11432817909071</v>
      </c>
      <c r="H65" s="66">
        <v>337.42328310661128</v>
      </c>
      <c r="I65" s="66">
        <v>350.59950415149308</v>
      </c>
      <c r="J65" s="66">
        <f>1150147.688/J11</f>
        <v>288.89762983653009</v>
      </c>
    </row>
    <row r="66" spans="2:10">
      <c r="B66" s="189" t="s">
        <v>117</v>
      </c>
      <c r="C66" s="66">
        <v>75.150568027469632</v>
      </c>
      <c r="D66" s="66">
        <v>68.881024228520999</v>
      </c>
      <c r="E66" s="66">
        <v>69.183144415821587</v>
      </c>
      <c r="F66" s="66">
        <v>58.542084080093836</v>
      </c>
      <c r="G66" s="66">
        <v>60.996893111470115</v>
      </c>
      <c r="H66" s="66">
        <v>54.17918330922695</v>
      </c>
      <c r="I66" s="66">
        <v>44.33848097800437</v>
      </c>
      <c r="J66" s="66">
        <f>132879.23059/J11</f>
        <v>33.377013380522257</v>
      </c>
    </row>
    <row r="67" spans="2:10">
      <c r="B67" s="190"/>
      <c r="C67" s="66"/>
      <c r="D67" s="66"/>
      <c r="E67" s="66"/>
      <c r="F67" s="66"/>
      <c r="G67" s="66"/>
      <c r="H67" s="66"/>
      <c r="I67" s="66"/>
      <c r="J67" s="66"/>
    </row>
    <row r="68" spans="2:10">
      <c r="B68" s="64" t="s">
        <v>424</v>
      </c>
      <c r="C68" s="66">
        <v>528.26732159548749</v>
      </c>
      <c r="D68" s="66">
        <v>499.2666274652783</v>
      </c>
      <c r="E68" s="66">
        <v>623.78443206395821</v>
      </c>
      <c r="F68" s="66">
        <v>716.27382330629359</v>
      </c>
      <c r="G68" s="66">
        <v>710.49290968402181</v>
      </c>
      <c r="H68" s="66">
        <v>772.00203301923329</v>
      </c>
      <c r="I68" s="66">
        <v>786.91744548994018</v>
      </c>
      <c r="J68" s="66">
        <f>3010483.87178575/J11</f>
        <v>756.18258793561427</v>
      </c>
    </row>
    <row r="69" spans="2:10">
      <c r="B69" s="190" t="s">
        <v>379</v>
      </c>
      <c r="C69" s="66"/>
      <c r="D69" s="66"/>
      <c r="E69" s="66"/>
      <c r="F69" s="66"/>
      <c r="G69" s="66"/>
      <c r="H69" s="66"/>
      <c r="I69" s="66"/>
      <c r="J69" s="66"/>
    </row>
    <row r="70" spans="2:10">
      <c r="B70" s="189" t="s">
        <v>562</v>
      </c>
      <c r="C70" s="66">
        <v>99.849067069041908</v>
      </c>
      <c r="D70" s="66">
        <v>123.09176305854636</v>
      </c>
      <c r="E70" s="66">
        <v>174.76295276784492</v>
      </c>
      <c r="F70" s="66">
        <v>220.27347620643431</v>
      </c>
      <c r="G70" s="66">
        <v>226.19389122240173</v>
      </c>
      <c r="H70" s="66">
        <v>252.50207864174251</v>
      </c>
      <c r="I70" s="66">
        <v>264.55281252731243</v>
      </c>
      <c r="J70" s="66">
        <f>1053142.934/J11</f>
        <v>264.53167770197626</v>
      </c>
    </row>
    <row r="71" spans="2:10">
      <c r="B71" s="189" t="s">
        <v>563</v>
      </c>
      <c r="C71" s="66">
        <v>231.70519966895998</v>
      </c>
      <c r="D71" s="66">
        <v>202.72579497502755</v>
      </c>
      <c r="E71" s="66">
        <v>242.97309886660156</v>
      </c>
      <c r="F71" s="66">
        <v>271.51618230563002</v>
      </c>
      <c r="G71" s="66">
        <v>268.87454558042924</v>
      </c>
      <c r="H71" s="66">
        <v>290.41595613858425</v>
      </c>
      <c r="I71" s="66">
        <v>295.18355950473415</v>
      </c>
      <c r="J71" s="66">
        <f>1120728.88/J11</f>
        <v>281.50812326055723</v>
      </c>
    </row>
    <row r="72" spans="2:10">
      <c r="B72" s="189" t="s">
        <v>564</v>
      </c>
      <c r="C72" s="66">
        <v>102.91645720304624</v>
      </c>
      <c r="D72" s="66">
        <v>93.759299628191414</v>
      </c>
      <c r="E72" s="66">
        <v>113.63600634516497</v>
      </c>
      <c r="F72" s="66">
        <v>124.19653156836462</v>
      </c>
      <c r="G72" s="66">
        <v>118.82491483960304</v>
      </c>
      <c r="H72" s="66">
        <v>126.69288159797873</v>
      </c>
      <c r="I72" s="66">
        <v>123.83955659140568</v>
      </c>
      <c r="J72" s="66">
        <f>458893.5396/J11</f>
        <v>115.26628912176352</v>
      </c>
    </row>
    <row r="73" spans="2:10">
      <c r="B73" s="189" t="s">
        <v>565</v>
      </c>
      <c r="C73" s="66">
        <v>59.969915944258211</v>
      </c>
      <c r="D73" s="66">
        <v>52.367408643359042</v>
      </c>
      <c r="E73" s="66">
        <v>62.251108071089838</v>
      </c>
      <c r="F73" s="66">
        <v>68.476711796246647</v>
      </c>
      <c r="G73" s="66">
        <v>66.065110270020767</v>
      </c>
      <c r="H73" s="66">
        <v>70.285095998340026</v>
      </c>
      <c r="I73" s="66">
        <v>71.257834377276041</v>
      </c>
      <c r="J73" s="66">
        <f>259083.7292/J11</f>
        <v>65.077447075726681</v>
      </c>
    </row>
    <row r="74" spans="2:10">
      <c r="B74" s="189" t="s">
        <v>566</v>
      </c>
      <c r="C74" s="66">
        <v>22.172572289609857</v>
      </c>
      <c r="D74" s="66">
        <v>17.852109608918326</v>
      </c>
      <c r="E74" s="66">
        <v>20.046425845883139</v>
      </c>
      <c r="F74" s="66">
        <v>21.606288287533513</v>
      </c>
      <c r="G74" s="66">
        <v>21.147414247249788</v>
      </c>
      <c r="H74" s="66">
        <v>22.775274660222024</v>
      </c>
      <c r="I74" s="66">
        <v>23.168898485069189</v>
      </c>
      <c r="J74" s="66">
        <f>85479.24535/J11</f>
        <v>21.470939462367753</v>
      </c>
    </row>
    <row r="75" spans="2:10">
      <c r="B75" s="189" t="s">
        <v>117</v>
      </c>
      <c r="C75" s="66">
        <v>11.654109420571295</v>
      </c>
      <c r="D75" s="66">
        <v>9.4702515512356058</v>
      </c>
      <c r="E75" s="66">
        <v>10.114840167373721</v>
      </c>
      <c r="F75" s="66">
        <v>10.20463314208445</v>
      </c>
      <c r="G75" s="66">
        <v>9.3870335243172551</v>
      </c>
      <c r="H75" s="66">
        <v>9.3307459823657215</v>
      </c>
      <c r="I75" s="66">
        <v>8.9147840041427528</v>
      </c>
      <c r="J75" s="66">
        <f>33155.54363575/J11</f>
        <v>8.3281113132227791</v>
      </c>
    </row>
    <row r="76" spans="2:10">
      <c r="B76" s="189"/>
      <c r="C76" s="66"/>
      <c r="D76" s="66"/>
      <c r="E76" s="66"/>
      <c r="F76" s="66"/>
      <c r="G76" s="66"/>
      <c r="H76" s="66"/>
      <c r="I76" s="66"/>
      <c r="J76" s="66"/>
    </row>
    <row r="77" spans="2:10">
      <c r="B77" s="197" t="s">
        <v>414</v>
      </c>
      <c r="C77" s="66">
        <v>4550.2283537863723</v>
      </c>
      <c r="D77" s="66">
        <v>4087.895027955934</v>
      </c>
      <c r="E77" s="66">
        <v>4588.0701029828333</v>
      </c>
      <c r="F77" s="66">
        <v>4787.068808155519</v>
      </c>
      <c r="G77" s="66">
        <v>4737.6858883780969</v>
      </c>
      <c r="H77" s="66">
        <v>5036.7751996895358</v>
      </c>
      <c r="I77" s="66">
        <v>4957.9690740161368</v>
      </c>
      <c r="J77" s="66">
        <f>17151840.7897557/J11</f>
        <v>4308.2520646634894</v>
      </c>
    </row>
    <row r="78" spans="2:10" ht="15" thickBot="1">
      <c r="B78" s="208" t="s">
        <v>413</v>
      </c>
      <c r="C78" s="109">
        <v>19021.239689235179</v>
      </c>
      <c r="D78" s="109">
        <v>17102.809786371581</v>
      </c>
      <c r="E78" s="109">
        <v>18480.460049020734</v>
      </c>
      <c r="F78" s="109">
        <v>20031.161628721482</v>
      </c>
      <c r="G78" s="109">
        <v>20080.634886953736</v>
      </c>
      <c r="H78" s="109">
        <v>22932.510759863202</v>
      </c>
      <c r="I78" s="109">
        <v>27488.913967790126</v>
      </c>
      <c r="J78" s="109">
        <f>108299006.88062/J11</f>
        <v>27202.877272106623</v>
      </c>
    </row>
    <row r="79" spans="2:10" ht="15" thickTop="1">
      <c r="B79" s="2025" t="s">
        <v>553</v>
      </c>
      <c r="C79" s="2025"/>
      <c r="D79" s="2025"/>
      <c r="E79" s="2025"/>
      <c r="F79" s="2025"/>
      <c r="G79" s="2025"/>
      <c r="H79" s="2025"/>
      <c r="I79" s="2025"/>
      <c r="J79" s="2025"/>
    </row>
    <row r="80" spans="2:10">
      <c r="B80" s="64"/>
    </row>
    <row r="81" spans="2:10">
      <c r="B81" s="2024" t="s">
        <v>411</v>
      </c>
      <c r="C81" s="2024"/>
      <c r="D81" s="2024"/>
      <c r="E81" s="2024"/>
      <c r="F81" s="2024"/>
      <c r="G81" s="2024"/>
      <c r="H81" s="2024"/>
      <c r="I81" s="2024"/>
      <c r="J81" s="2024"/>
    </row>
    <row r="82" spans="2:10">
      <c r="B82" s="12" t="s">
        <v>410</v>
      </c>
    </row>
    <row r="83" spans="2:10">
      <c r="B83" s="62" t="s">
        <v>409</v>
      </c>
    </row>
    <row r="84" spans="2:10">
      <c r="B84" s="64"/>
    </row>
    <row r="85" spans="2:10">
      <c r="B85" s="61"/>
      <c r="C85" s="60">
        <v>2014</v>
      </c>
      <c r="D85" s="60">
        <v>2015</v>
      </c>
      <c r="E85" s="60">
        <v>2016</v>
      </c>
      <c r="F85" s="60">
        <v>2017</v>
      </c>
      <c r="G85" s="60">
        <v>2018</v>
      </c>
      <c r="H85" s="60">
        <v>2019</v>
      </c>
      <c r="I85" s="60">
        <v>2020</v>
      </c>
      <c r="J85" s="60">
        <v>2021</v>
      </c>
    </row>
    <row r="86" spans="2:10">
      <c r="B86" s="114" t="s">
        <v>262</v>
      </c>
      <c r="C86" s="75"/>
      <c r="D86" s="75"/>
      <c r="E86" s="75"/>
      <c r="F86" s="75"/>
      <c r="G86" s="75"/>
      <c r="H86" s="75"/>
      <c r="I86" s="75"/>
      <c r="J86" s="75"/>
    </row>
    <row r="87" spans="2:10">
      <c r="B87" s="186" t="s">
        <v>408</v>
      </c>
      <c r="C87" s="266">
        <v>17</v>
      </c>
      <c r="D87" s="266">
        <v>17</v>
      </c>
      <c r="E87" s="266">
        <v>17</v>
      </c>
      <c r="F87" s="266">
        <v>17</v>
      </c>
      <c r="G87" s="266">
        <v>17</v>
      </c>
      <c r="H87" s="266">
        <v>17</v>
      </c>
      <c r="I87" s="266">
        <v>17</v>
      </c>
      <c r="J87" s="266">
        <v>17</v>
      </c>
    </row>
    <row r="88" spans="2:10">
      <c r="B88" s="65" t="s">
        <v>407</v>
      </c>
      <c r="C88" s="266">
        <v>53</v>
      </c>
      <c r="D88" s="266">
        <v>31</v>
      </c>
      <c r="E88" s="266">
        <v>31</v>
      </c>
      <c r="F88" s="266">
        <v>32</v>
      </c>
      <c r="G88" s="266">
        <v>35</v>
      </c>
      <c r="H88" s="266">
        <v>36</v>
      </c>
      <c r="I88" s="266">
        <v>35</v>
      </c>
      <c r="J88" s="266">
        <v>42</v>
      </c>
    </row>
    <row r="89" spans="2:10">
      <c r="B89" s="65" t="s">
        <v>406</v>
      </c>
      <c r="C89" s="266">
        <v>291</v>
      </c>
      <c r="D89" s="266">
        <v>310</v>
      </c>
      <c r="E89" s="266">
        <v>291</v>
      </c>
      <c r="F89" s="266">
        <v>305</v>
      </c>
      <c r="G89" s="266">
        <v>302</v>
      </c>
      <c r="H89" s="266">
        <v>316</v>
      </c>
      <c r="I89" s="266">
        <v>353</v>
      </c>
      <c r="J89" s="266">
        <v>350</v>
      </c>
    </row>
    <row r="90" spans="2:10">
      <c r="B90" s="186" t="s">
        <v>401</v>
      </c>
      <c r="C90" s="266">
        <v>26174.14564654318</v>
      </c>
      <c r="D90" s="266">
        <v>4.7450952064950611</v>
      </c>
      <c r="E90" s="266">
        <v>5.2189244344382661</v>
      </c>
      <c r="F90" s="266">
        <v>4.7521643517814347</v>
      </c>
      <c r="G90" s="266">
        <v>5.4085203983515964</v>
      </c>
      <c r="H90" s="266">
        <v>6.4312961902487205</v>
      </c>
      <c r="I90" s="266">
        <v>6.5865299418628442</v>
      </c>
      <c r="J90" s="266">
        <f>21332.1628123496/J11</f>
        <v>5.3582781933782115</v>
      </c>
    </row>
    <row r="91" spans="2:10">
      <c r="B91" s="186"/>
      <c r="C91" s="266"/>
      <c r="D91" s="266"/>
      <c r="E91" s="266"/>
      <c r="F91" s="266"/>
      <c r="G91" s="266"/>
      <c r="H91" s="266"/>
      <c r="I91" s="266"/>
      <c r="J91" s="266"/>
    </row>
    <row r="92" spans="2:10">
      <c r="B92" s="114" t="s">
        <v>260</v>
      </c>
      <c r="C92" s="266"/>
      <c r="D92" s="266"/>
      <c r="E92" s="266"/>
      <c r="F92" s="266"/>
      <c r="G92" s="266"/>
      <c r="H92" s="266"/>
      <c r="I92" s="266"/>
      <c r="J92" s="266"/>
    </row>
    <row r="93" spans="2:10">
      <c r="B93" s="186" t="s">
        <v>399</v>
      </c>
      <c r="C93" s="266">
        <v>22</v>
      </c>
      <c r="D93" s="266">
        <v>25</v>
      </c>
      <c r="E93" s="266">
        <v>26</v>
      </c>
      <c r="F93" s="266">
        <v>25</v>
      </c>
      <c r="G93" s="266">
        <v>25</v>
      </c>
      <c r="H93" s="266">
        <v>26</v>
      </c>
      <c r="I93" s="266">
        <v>25</v>
      </c>
      <c r="J93" s="266">
        <v>28</v>
      </c>
    </row>
    <row r="94" spans="2:10">
      <c r="B94" s="186" t="s">
        <v>408</v>
      </c>
      <c r="C94" s="266">
        <v>5486</v>
      </c>
      <c r="D94" s="266">
        <v>5784</v>
      </c>
      <c r="E94" s="266">
        <v>5812</v>
      </c>
      <c r="F94" s="266">
        <v>5722</v>
      </c>
      <c r="G94" s="266">
        <v>5652</v>
      </c>
      <c r="H94" s="266">
        <v>5615</v>
      </c>
      <c r="I94" s="266">
        <v>5350</v>
      </c>
      <c r="J94" s="266">
        <v>5089</v>
      </c>
    </row>
    <row r="95" spans="2:10" ht="15.5">
      <c r="B95" s="186" t="s">
        <v>567</v>
      </c>
      <c r="C95" s="266">
        <v>52028692</v>
      </c>
      <c r="D95" s="266">
        <v>56462899</v>
      </c>
      <c r="E95" s="266">
        <v>56935589</v>
      </c>
      <c r="F95" s="266">
        <v>63031079</v>
      </c>
      <c r="G95" s="266">
        <v>67993139</v>
      </c>
      <c r="H95" s="266">
        <v>74410564</v>
      </c>
      <c r="I95" s="266">
        <v>83783750</v>
      </c>
      <c r="J95" s="266">
        <v>73789089</v>
      </c>
    </row>
    <row r="96" spans="2:10">
      <c r="B96" s="186" t="s">
        <v>401</v>
      </c>
      <c r="C96" s="266">
        <v>77.274866724371563</v>
      </c>
      <c r="D96" s="266">
        <v>64.635123445936898</v>
      </c>
      <c r="E96" s="266">
        <v>66.668859717378098</v>
      </c>
      <c r="F96" s="266">
        <v>72.174242342721655</v>
      </c>
      <c r="G96" s="266">
        <v>70.586800969303894</v>
      </c>
      <c r="H96" s="266">
        <v>76.708387109000597</v>
      </c>
      <c r="I96" s="266">
        <v>91.204914753798434</v>
      </c>
      <c r="J96" s="266">
        <f>369618.268993078/J11</f>
        <v>92.841852372946079</v>
      </c>
    </row>
    <row r="97" spans="2:10">
      <c r="B97" s="186"/>
      <c r="C97" s="266"/>
      <c r="D97" s="266"/>
      <c r="E97" s="266"/>
      <c r="F97" s="266"/>
      <c r="G97" s="266"/>
      <c r="H97" s="266"/>
      <c r="I97" s="266"/>
      <c r="J97" s="266"/>
    </row>
    <row r="98" spans="2:10" ht="26">
      <c r="B98" s="148" t="s">
        <v>404</v>
      </c>
      <c r="C98" s="266"/>
      <c r="D98" s="266"/>
      <c r="E98" s="266"/>
      <c r="F98" s="266"/>
      <c r="G98" s="266"/>
      <c r="H98" s="266"/>
      <c r="I98" s="266"/>
      <c r="J98" s="266"/>
    </row>
    <row r="99" spans="2:10">
      <c r="B99" s="186" t="s">
        <v>399</v>
      </c>
      <c r="C99" s="266">
        <v>31</v>
      </c>
      <c r="D99" s="266">
        <v>27</v>
      </c>
      <c r="E99" s="266">
        <v>25</v>
      </c>
      <c r="F99" s="266">
        <v>25</v>
      </c>
      <c r="G99" s="266">
        <v>25</v>
      </c>
      <c r="H99" s="266">
        <v>23</v>
      </c>
      <c r="I99" s="266">
        <v>21</v>
      </c>
      <c r="J99" s="266">
        <v>21</v>
      </c>
    </row>
    <row r="100" spans="2:10">
      <c r="B100" s="186" t="s">
        <v>408</v>
      </c>
      <c r="C100" s="266">
        <v>772</v>
      </c>
      <c r="D100" s="266">
        <v>676</v>
      </c>
      <c r="E100" s="266">
        <v>660</v>
      </c>
      <c r="F100" s="266">
        <v>669</v>
      </c>
      <c r="G100" s="266">
        <v>695</v>
      </c>
      <c r="H100" s="266">
        <v>733</v>
      </c>
      <c r="I100" s="266">
        <v>657</v>
      </c>
      <c r="J100" s="266">
        <v>602</v>
      </c>
    </row>
    <row r="101" spans="2:10" ht="15.5">
      <c r="B101" s="186" t="s">
        <v>567</v>
      </c>
      <c r="C101" s="266">
        <v>1411476</v>
      </c>
      <c r="D101" s="266">
        <v>1075998</v>
      </c>
      <c r="E101" s="266">
        <v>1181597</v>
      </c>
      <c r="F101" s="266">
        <v>1281667</v>
      </c>
      <c r="G101" s="266">
        <v>1333261</v>
      </c>
      <c r="H101" s="266">
        <v>1416461</v>
      </c>
      <c r="I101" s="266">
        <v>1062203</v>
      </c>
      <c r="J101" s="266">
        <v>1510621</v>
      </c>
    </row>
    <row r="102" spans="2:10">
      <c r="B102" s="186" t="s">
        <v>401</v>
      </c>
      <c r="C102" s="266">
        <v>0.35359573309898495</v>
      </c>
      <c r="D102" s="266">
        <v>0.45598616065070713</v>
      </c>
      <c r="E102" s="266">
        <v>0.39922154446530944</v>
      </c>
      <c r="F102" s="266">
        <v>0.35032263110615625</v>
      </c>
      <c r="G102" s="266">
        <v>0.37878631581321948</v>
      </c>
      <c r="H102" s="266">
        <v>0.42399502620203283</v>
      </c>
      <c r="I102" s="266">
        <v>0.42946353401759946</v>
      </c>
      <c r="J102" s="266">
        <f>1757.05393822129/J11</f>
        <v>0.44134220634721794</v>
      </c>
    </row>
    <row r="103" spans="2:10">
      <c r="B103" s="186"/>
      <c r="C103" s="75"/>
      <c r="D103" s="75"/>
      <c r="E103" s="75"/>
      <c r="F103" s="75"/>
      <c r="G103" s="75"/>
      <c r="H103" s="75"/>
      <c r="I103" s="75"/>
      <c r="J103" s="75"/>
    </row>
    <row r="104" spans="2:10">
      <c r="B104" s="114" t="s">
        <v>400</v>
      </c>
      <c r="C104" s="75"/>
      <c r="D104" s="75"/>
      <c r="E104" s="75"/>
      <c r="F104" s="75"/>
      <c r="G104" s="75"/>
      <c r="H104" s="75"/>
      <c r="I104" s="75"/>
      <c r="J104" s="75"/>
    </row>
    <row r="105" spans="2:10">
      <c r="B105" s="186" t="s">
        <v>399</v>
      </c>
      <c r="C105" s="75">
        <v>0</v>
      </c>
      <c r="D105" s="75">
        <v>0</v>
      </c>
      <c r="E105" s="75">
        <v>0</v>
      </c>
      <c r="F105" s="75">
        <v>0</v>
      </c>
      <c r="G105" s="75">
        <v>0</v>
      </c>
      <c r="H105" s="75">
        <v>0</v>
      </c>
      <c r="I105" s="75">
        <v>0</v>
      </c>
      <c r="J105" s="75">
        <v>0</v>
      </c>
    </row>
    <row r="106" spans="2:10">
      <c r="B106" s="186" t="s">
        <v>401</v>
      </c>
      <c r="C106" s="75">
        <v>0</v>
      </c>
      <c r="D106" s="75">
        <v>0</v>
      </c>
      <c r="E106" s="75">
        <v>0</v>
      </c>
      <c r="F106" s="75">
        <v>0</v>
      </c>
      <c r="G106" s="75">
        <v>0</v>
      </c>
      <c r="H106" s="75">
        <v>0</v>
      </c>
      <c r="I106" s="75">
        <v>0</v>
      </c>
      <c r="J106" s="75">
        <v>0</v>
      </c>
    </row>
    <row r="107" spans="2:10" ht="15" thickBot="1">
      <c r="B107" s="183" t="s">
        <v>395</v>
      </c>
      <c r="C107" s="75">
        <v>0</v>
      </c>
      <c r="D107" s="75">
        <v>0</v>
      </c>
      <c r="E107" s="75">
        <v>0</v>
      </c>
      <c r="F107" s="75">
        <v>0</v>
      </c>
      <c r="G107" s="75">
        <v>0</v>
      </c>
      <c r="H107" s="75">
        <v>0</v>
      </c>
      <c r="I107" s="75">
        <v>0</v>
      </c>
      <c r="J107" s="75">
        <v>0</v>
      </c>
    </row>
    <row r="108" spans="2:10" ht="15" thickTop="1">
      <c r="B108" s="2025" t="s">
        <v>568</v>
      </c>
      <c r="C108" s="2025"/>
      <c r="D108" s="2025"/>
      <c r="E108" s="2025"/>
      <c r="F108" s="2025"/>
      <c r="G108" s="2025"/>
      <c r="H108" s="2025"/>
      <c r="I108" s="2025"/>
      <c r="J108" s="2025"/>
    </row>
    <row r="109" spans="2:10">
      <c r="B109" s="64"/>
    </row>
    <row r="110" spans="2:10">
      <c r="B110" s="2024" t="s">
        <v>393</v>
      </c>
      <c r="C110" s="2024"/>
      <c r="D110" s="2024"/>
      <c r="E110" s="2024"/>
      <c r="F110" s="2024"/>
      <c r="G110" s="2024"/>
      <c r="H110" s="2024"/>
      <c r="I110" s="2024"/>
      <c r="J110" s="2024"/>
    </row>
    <row r="111" spans="2:10">
      <c r="B111" s="12" t="s">
        <v>392</v>
      </c>
    </row>
    <row r="112" spans="2:10">
      <c r="B112" s="62" t="s">
        <v>269</v>
      </c>
    </row>
    <row r="113" spans="2:10">
      <c r="B113" s="64"/>
    </row>
    <row r="114" spans="2:10">
      <c r="B114" s="61"/>
      <c r="C114" s="60">
        <v>2014</v>
      </c>
      <c r="D114" s="60">
        <v>2015</v>
      </c>
      <c r="E114" s="60">
        <v>2016</v>
      </c>
      <c r="F114" s="60">
        <v>2017</v>
      </c>
      <c r="G114" s="60">
        <v>2018</v>
      </c>
      <c r="H114" s="60">
        <v>2019</v>
      </c>
      <c r="I114" s="60">
        <v>2020</v>
      </c>
      <c r="J114" s="60">
        <v>2021</v>
      </c>
    </row>
    <row r="115" spans="2:10">
      <c r="B115" s="179" t="s">
        <v>391</v>
      </c>
      <c r="C115" s="67"/>
      <c r="D115" s="67"/>
      <c r="E115" s="67"/>
      <c r="F115" s="67"/>
      <c r="G115" s="67"/>
      <c r="H115" s="67"/>
      <c r="I115" s="67"/>
      <c r="J115" s="67"/>
    </row>
    <row r="116" spans="2:10">
      <c r="B116" s="149" t="s">
        <v>390</v>
      </c>
      <c r="C116" s="66">
        <v>20869341</v>
      </c>
      <c r="D116" s="66">
        <v>22514108</v>
      </c>
      <c r="E116" s="66">
        <v>25176567</v>
      </c>
      <c r="F116" s="66">
        <v>27524422</v>
      </c>
      <c r="G116" s="66">
        <v>29574651</v>
      </c>
      <c r="H116" s="66">
        <v>33091474</v>
      </c>
      <c r="I116" s="66">
        <v>36387824</v>
      </c>
      <c r="J116" s="66">
        <v>40817660</v>
      </c>
    </row>
    <row r="117" spans="2:10">
      <c r="B117" s="149" t="s">
        <v>389</v>
      </c>
      <c r="C117" s="66">
        <v>20869341</v>
      </c>
      <c r="D117" s="66">
        <v>22514108</v>
      </c>
      <c r="E117" s="66">
        <v>25176567</v>
      </c>
      <c r="F117" s="66">
        <v>27524422</v>
      </c>
      <c r="G117" s="66">
        <v>29574651</v>
      </c>
      <c r="H117" s="66">
        <v>33091474</v>
      </c>
      <c r="I117" s="66">
        <v>36387824</v>
      </c>
      <c r="J117" s="66">
        <v>40817660</v>
      </c>
    </row>
    <row r="118" spans="2:10">
      <c r="B118" s="149" t="s">
        <v>388</v>
      </c>
      <c r="C118" s="66">
        <v>0</v>
      </c>
      <c r="D118" s="66">
        <v>0</v>
      </c>
      <c r="E118" s="66">
        <v>0</v>
      </c>
      <c r="F118" s="66">
        <v>0</v>
      </c>
      <c r="G118" s="66">
        <v>0</v>
      </c>
      <c r="H118" s="66">
        <v>0</v>
      </c>
      <c r="I118" s="66">
        <v>0</v>
      </c>
      <c r="J118" s="66">
        <v>0</v>
      </c>
    </row>
    <row r="119" spans="2:10">
      <c r="B119" s="149" t="s">
        <v>387</v>
      </c>
      <c r="C119" s="66">
        <v>12684370</v>
      </c>
      <c r="D119" s="66">
        <v>13752401</v>
      </c>
      <c r="E119" s="66">
        <v>14933713</v>
      </c>
      <c r="F119" s="66">
        <v>14898432</v>
      </c>
      <c r="G119" s="66">
        <v>15286716</v>
      </c>
      <c r="H119" s="66">
        <v>16054855</v>
      </c>
      <c r="I119" s="66">
        <v>14676302</v>
      </c>
      <c r="J119" s="66">
        <v>15603720</v>
      </c>
    </row>
    <row r="120" spans="2:10">
      <c r="B120" s="149" t="s">
        <v>386</v>
      </c>
      <c r="C120" s="66">
        <v>0</v>
      </c>
      <c r="D120" s="66">
        <v>0</v>
      </c>
      <c r="E120" s="66">
        <v>0</v>
      </c>
      <c r="F120" s="66">
        <v>0</v>
      </c>
      <c r="G120" s="66">
        <v>0</v>
      </c>
      <c r="H120" s="66">
        <v>0</v>
      </c>
      <c r="I120" s="66">
        <v>0</v>
      </c>
      <c r="J120" s="66">
        <v>0</v>
      </c>
    </row>
    <row r="121" spans="2:10" ht="26">
      <c r="B121" s="147" t="s">
        <v>385</v>
      </c>
      <c r="C121" s="66">
        <v>0</v>
      </c>
      <c r="D121" s="66">
        <v>0</v>
      </c>
      <c r="E121" s="66">
        <v>0</v>
      </c>
      <c r="F121" s="66">
        <v>0</v>
      </c>
      <c r="G121" s="66">
        <v>0</v>
      </c>
      <c r="H121" s="66">
        <v>0</v>
      </c>
      <c r="I121" s="66">
        <v>0</v>
      </c>
      <c r="J121" s="66">
        <v>0</v>
      </c>
    </row>
    <row r="122" spans="2:10">
      <c r="B122" s="54" t="s">
        <v>384</v>
      </c>
      <c r="C122" s="66">
        <v>33553711</v>
      </c>
      <c r="D122" s="66">
        <v>36266509</v>
      </c>
      <c r="E122" s="66">
        <v>40110280</v>
      </c>
      <c r="F122" s="66">
        <v>42422854</v>
      </c>
      <c r="G122" s="66">
        <v>44861367</v>
      </c>
      <c r="H122" s="66">
        <v>49146329</v>
      </c>
      <c r="I122" s="66">
        <v>51064126</v>
      </c>
      <c r="J122" s="66">
        <v>56421380</v>
      </c>
    </row>
    <row r="123" spans="2:10" ht="26">
      <c r="B123" s="147" t="s">
        <v>383</v>
      </c>
      <c r="C123" s="66">
        <v>0</v>
      </c>
      <c r="D123" s="66">
        <v>0</v>
      </c>
      <c r="E123" s="66">
        <v>0</v>
      </c>
      <c r="F123" s="66">
        <v>0</v>
      </c>
      <c r="G123" s="66">
        <v>0</v>
      </c>
      <c r="H123" s="66">
        <v>0</v>
      </c>
      <c r="I123" s="66">
        <v>0</v>
      </c>
      <c r="J123" s="66">
        <v>0</v>
      </c>
    </row>
    <row r="124" spans="2:10">
      <c r="B124" s="149" t="s">
        <v>382</v>
      </c>
      <c r="C124" s="66">
        <v>0</v>
      </c>
      <c r="D124" s="66">
        <v>0</v>
      </c>
      <c r="E124" s="66">
        <v>0</v>
      </c>
      <c r="F124" s="66">
        <v>0</v>
      </c>
      <c r="G124" s="66">
        <v>0</v>
      </c>
      <c r="H124" s="66">
        <v>0</v>
      </c>
      <c r="I124" s="66">
        <v>0</v>
      </c>
      <c r="J124" s="66">
        <v>0</v>
      </c>
    </row>
    <row r="125" spans="2:10">
      <c r="B125" s="149"/>
      <c r="C125" s="66"/>
      <c r="D125" s="66"/>
      <c r="E125" s="66"/>
      <c r="F125" s="66"/>
      <c r="G125" s="66"/>
      <c r="H125" s="66"/>
      <c r="I125" s="66"/>
      <c r="J125" s="66"/>
    </row>
    <row r="126" spans="2:10">
      <c r="B126" s="175" t="s">
        <v>381</v>
      </c>
      <c r="C126" s="66"/>
      <c r="D126" s="66"/>
      <c r="E126" s="66"/>
      <c r="F126" s="66"/>
      <c r="G126" s="66"/>
      <c r="H126" s="66"/>
      <c r="I126" s="66"/>
      <c r="J126" s="66"/>
    </row>
    <row r="127" spans="2:10">
      <c r="B127" s="149" t="s">
        <v>380</v>
      </c>
      <c r="C127" s="66"/>
      <c r="D127" s="66"/>
      <c r="E127" s="66"/>
      <c r="F127" s="66"/>
      <c r="G127" s="66"/>
      <c r="H127" s="66"/>
      <c r="I127" s="66"/>
      <c r="J127" s="66"/>
    </row>
    <row r="128" spans="2:10">
      <c r="B128" s="172" t="s">
        <v>379</v>
      </c>
      <c r="C128" s="267"/>
      <c r="D128" s="267"/>
      <c r="E128" s="267"/>
      <c r="F128" s="267"/>
      <c r="G128" s="267"/>
      <c r="H128" s="267"/>
      <c r="I128" s="267"/>
      <c r="J128" s="267"/>
    </row>
    <row r="129" spans="2:10">
      <c r="B129" s="168" t="s">
        <v>378</v>
      </c>
      <c r="C129" s="66">
        <v>14424</v>
      </c>
      <c r="D129" s="66">
        <v>14817</v>
      </c>
      <c r="E129" s="66">
        <v>15227</v>
      </c>
      <c r="F129" s="66">
        <v>15709</v>
      </c>
      <c r="G129" s="66">
        <v>16173</v>
      </c>
      <c r="H129" s="66">
        <v>16529</v>
      </c>
      <c r="I129" s="66">
        <v>16293</v>
      </c>
      <c r="J129" s="66">
        <v>16026</v>
      </c>
    </row>
    <row r="130" spans="2:10">
      <c r="B130" s="168" t="s">
        <v>377</v>
      </c>
      <c r="C130" s="66">
        <v>0</v>
      </c>
      <c r="D130" s="66">
        <v>0</v>
      </c>
      <c r="E130" s="66">
        <v>0</v>
      </c>
      <c r="F130" s="66">
        <v>0</v>
      </c>
      <c r="G130" s="66">
        <v>0</v>
      </c>
      <c r="H130" s="66">
        <v>0</v>
      </c>
      <c r="I130" s="66">
        <v>0</v>
      </c>
      <c r="J130" s="66">
        <v>0</v>
      </c>
    </row>
    <row r="131" spans="2:10">
      <c r="B131" s="149" t="s">
        <v>376</v>
      </c>
      <c r="C131" s="203">
        <v>2</v>
      </c>
      <c r="D131" s="203">
        <v>2</v>
      </c>
      <c r="E131" s="203">
        <v>2</v>
      </c>
      <c r="F131" s="203">
        <v>2</v>
      </c>
      <c r="G131" s="203">
        <v>2</v>
      </c>
      <c r="H131" s="203">
        <v>2</v>
      </c>
      <c r="I131" s="203">
        <v>2</v>
      </c>
      <c r="J131" s="203">
        <v>2</v>
      </c>
    </row>
    <row r="132" spans="2:10">
      <c r="B132" s="149"/>
      <c r="C132" s="66"/>
      <c r="D132" s="66"/>
      <c r="E132" s="66"/>
      <c r="F132" s="66"/>
      <c r="G132" s="66"/>
      <c r="H132" s="66"/>
      <c r="I132" s="66"/>
      <c r="J132" s="66"/>
    </row>
    <row r="133" spans="2:10">
      <c r="B133" s="149" t="s">
        <v>375</v>
      </c>
      <c r="C133" s="66"/>
      <c r="D133" s="66"/>
      <c r="E133" s="66"/>
      <c r="F133" s="66"/>
      <c r="G133" s="66"/>
      <c r="H133" s="66"/>
      <c r="I133" s="66"/>
      <c r="J133" s="66"/>
    </row>
    <row r="134" spans="2:10">
      <c r="B134" s="168" t="s">
        <v>374</v>
      </c>
      <c r="C134" s="268">
        <v>328774</v>
      </c>
      <c r="D134" s="268">
        <v>317204</v>
      </c>
      <c r="E134" s="268">
        <v>364358</v>
      </c>
      <c r="F134" s="268">
        <v>403512</v>
      </c>
      <c r="G134" s="268">
        <v>435836</v>
      </c>
      <c r="H134" s="268">
        <v>580158</v>
      </c>
      <c r="I134" s="268">
        <v>684225</v>
      </c>
      <c r="J134" s="268">
        <v>919751</v>
      </c>
    </row>
    <row r="135" spans="2:10">
      <c r="B135" s="149" t="s">
        <v>478</v>
      </c>
      <c r="C135" s="66">
        <v>0</v>
      </c>
      <c r="D135" s="66">
        <v>0</v>
      </c>
      <c r="E135" s="66">
        <v>0</v>
      </c>
      <c r="F135" s="66">
        <v>0</v>
      </c>
      <c r="G135" s="66">
        <v>0</v>
      </c>
      <c r="H135" s="66">
        <v>0</v>
      </c>
      <c r="I135" s="66">
        <v>0</v>
      </c>
      <c r="J135" s="66">
        <v>0</v>
      </c>
    </row>
    <row r="136" spans="2:10">
      <c r="B136" s="165" t="s">
        <v>373</v>
      </c>
      <c r="C136" s="66">
        <v>0</v>
      </c>
      <c r="D136" s="66">
        <v>0</v>
      </c>
      <c r="E136" s="66">
        <v>0</v>
      </c>
      <c r="F136" s="66">
        <v>0</v>
      </c>
      <c r="G136" s="66">
        <v>0</v>
      </c>
      <c r="H136" s="66">
        <v>0</v>
      </c>
      <c r="I136" s="66">
        <v>0</v>
      </c>
      <c r="J136" s="66">
        <v>0</v>
      </c>
    </row>
    <row r="137" spans="2:10">
      <c r="B137" s="149" t="s">
        <v>372</v>
      </c>
      <c r="C137" s="66">
        <v>0</v>
      </c>
      <c r="D137" s="66">
        <v>0</v>
      </c>
      <c r="E137" s="66">
        <v>0</v>
      </c>
      <c r="F137" s="66">
        <v>0</v>
      </c>
      <c r="G137" s="66">
        <v>0</v>
      </c>
      <c r="H137" s="66">
        <v>0</v>
      </c>
      <c r="I137" s="66">
        <v>0</v>
      </c>
      <c r="J137" s="66">
        <v>0</v>
      </c>
    </row>
    <row r="138" spans="2:10">
      <c r="B138" s="149" t="s">
        <v>371</v>
      </c>
      <c r="C138" s="66">
        <v>3</v>
      </c>
      <c r="D138" s="66">
        <v>4</v>
      </c>
      <c r="E138" s="66">
        <v>4</v>
      </c>
      <c r="F138" s="66">
        <v>4</v>
      </c>
      <c r="G138" s="66">
        <v>4</v>
      </c>
      <c r="H138" s="66">
        <v>4</v>
      </c>
      <c r="I138" s="66">
        <v>4</v>
      </c>
      <c r="J138" s="66">
        <v>4</v>
      </c>
    </row>
    <row r="139" spans="2:10">
      <c r="B139" s="147" t="s">
        <v>370</v>
      </c>
      <c r="C139" s="66">
        <v>0</v>
      </c>
      <c r="D139" s="66">
        <v>0</v>
      </c>
      <c r="E139" s="66">
        <v>0</v>
      </c>
      <c r="F139" s="66">
        <v>0</v>
      </c>
      <c r="G139" s="66">
        <v>0</v>
      </c>
      <c r="H139" s="66">
        <v>0</v>
      </c>
      <c r="I139" s="66">
        <v>0</v>
      </c>
      <c r="J139" s="66">
        <v>0</v>
      </c>
    </row>
    <row r="140" spans="2:10" ht="15" thickBot="1">
      <c r="B140" s="209" t="s">
        <v>369</v>
      </c>
      <c r="C140" s="66">
        <v>0</v>
      </c>
      <c r="D140" s="66">
        <v>0</v>
      </c>
      <c r="E140" s="66">
        <v>0</v>
      </c>
      <c r="F140" s="66">
        <v>0</v>
      </c>
      <c r="G140" s="66">
        <v>0</v>
      </c>
      <c r="H140" s="66">
        <v>0</v>
      </c>
      <c r="I140" s="66">
        <v>0</v>
      </c>
      <c r="J140" s="66">
        <v>0</v>
      </c>
    </row>
    <row r="141" spans="2:10" ht="15" thickTop="1">
      <c r="B141" s="2025" t="s">
        <v>569</v>
      </c>
      <c r="C141" s="2025"/>
      <c r="D141" s="2025"/>
      <c r="E141" s="2025"/>
      <c r="F141" s="2025"/>
      <c r="G141" s="2025"/>
      <c r="H141" s="2025"/>
      <c r="I141" s="2025"/>
      <c r="J141" s="2025"/>
    </row>
    <row r="142" spans="2:10">
      <c r="B142" s="64"/>
    </row>
    <row r="143" spans="2:10">
      <c r="B143" s="2024" t="s">
        <v>367</v>
      </c>
      <c r="C143" s="2024"/>
      <c r="D143" s="2024"/>
      <c r="E143" s="2024"/>
      <c r="F143" s="2024"/>
      <c r="G143" s="2024"/>
      <c r="H143" s="2024"/>
      <c r="I143" s="2024"/>
      <c r="J143" s="2024"/>
    </row>
    <row r="144" spans="2:10">
      <c r="B144" s="12" t="s">
        <v>366</v>
      </c>
    </row>
    <row r="145" spans="2:10">
      <c r="B145" s="62" t="s">
        <v>210</v>
      </c>
    </row>
    <row r="146" spans="2:10">
      <c r="B146" s="64"/>
    </row>
    <row r="147" spans="2:10">
      <c r="B147" s="61"/>
      <c r="C147" s="60">
        <v>2014</v>
      </c>
      <c r="D147" s="60">
        <v>2015</v>
      </c>
      <c r="E147" s="60">
        <v>2016</v>
      </c>
      <c r="F147" s="60">
        <v>2017</v>
      </c>
      <c r="G147" s="60">
        <v>2018</v>
      </c>
      <c r="H147" s="60">
        <v>2019</v>
      </c>
      <c r="I147" s="60">
        <v>2020</v>
      </c>
      <c r="J147" s="60">
        <v>2021</v>
      </c>
    </row>
    <row r="148" spans="2:10">
      <c r="B148" s="114" t="s">
        <v>362</v>
      </c>
    </row>
    <row r="149" spans="2:10">
      <c r="B149" s="54" t="s">
        <v>361</v>
      </c>
      <c r="C149" s="66">
        <v>141213.48300000001</v>
      </c>
      <c r="D149" s="66">
        <v>152112.43700000001</v>
      </c>
      <c r="E149" s="66">
        <v>162010.943</v>
      </c>
      <c r="F149" s="66">
        <v>175906.85800000001</v>
      </c>
      <c r="G149" s="66">
        <v>193077.58600000001</v>
      </c>
      <c r="H149" s="66">
        <v>212683.49100000001</v>
      </c>
      <c r="I149" s="66">
        <v>250936.80299999999</v>
      </c>
      <c r="J149" s="66">
        <v>298458.38900000002</v>
      </c>
    </row>
    <row r="150" spans="2:10">
      <c r="B150" s="151" t="s">
        <v>360</v>
      </c>
      <c r="C150" s="66">
        <v>0</v>
      </c>
      <c r="D150" s="66">
        <v>0</v>
      </c>
      <c r="E150" s="66">
        <v>0</v>
      </c>
      <c r="F150" s="66">
        <v>0</v>
      </c>
      <c r="G150" s="66">
        <v>0</v>
      </c>
      <c r="H150" s="66">
        <v>0</v>
      </c>
      <c r="I150" s="66">
        <v>0</v>
      </c>
      <c r="J150" s="66">
        <v>0</v>
      </c>
    </row>
    <row r="151" spans="2:10">
      <c r="B151" s="151" t="s">
        <v>359</v>
      </c>
      <c r="C151" s="66">
        <v>141213.48300000001</v>
      </c>
      <c r="D151" s="66">
        <v>152112.43700000001</v>
      </c>
      <c r="E151" s="66">
        <v>162010.943</v>
      </c>
      <c r="F151" s="66">
        <v>175906.85800000001</v>
      </c>
      <c r="G151" s="66">
        <v>193077.58600000001</v>
      </c>
      <c r="H151" s="66">
        <v>212683.49100000001</v>
      </c>
      <c r="I151" s="66">
        <v>250936.80299999999</v>
      </c>
      <c r="J151" s="66">
        <v>298458.38900000002</v>
      </c>
    </row>
    <row r="152" spans="2:10">
      <c r="B152" s="152" t="s">
        <v>358</v>
      </c>
      <c r="C152" s="66">
        <v>6171.0129999999999</v>
      </c>
      <c r="D152" s="66">
        <v>6632.4630000000006</v>
      </c>
      <c r="E152" s="66">
        <v>8154.9980000000041</v>
      </c>
      <c r="F152" s="66">
        <v>10345.938</v>
      </c>
      <c r="G152" s="66">
        <v>15367.339999999995</v>
      </c>
      <c r="H152" s="66">
        <v>20717.935999999987</v>
      </c>
      <c r="I152" s="66">
        <v>15003.615999999989</v>
      </c>
      <c r="J152" s="66">
        <v>12064.27100000001</v>
      </c>
    </row>
    <row r="153" spans="2:10">
      <c r="B153" s="71" t="s">
        <v>357</v>
      </c>
      <c r="C153" s="66">
        <v>396605.98800000001</v>
      </c>
      <c r="D153" s="66">
        <v>438065.68599999999</v>
      </c>
      <c r="E153" s="66">
        <v>507566.84599999996</v>
      </c>
      <c r="F153" s="66">
        <v>568225.71500000008</v>
      </c>
      <c r="G153" s="66">
        <v>650419.05000000005</v>
      </c>
      <c r="H153" s="66">
        <v>773811.70299999998</v>
      </c>
      <c r="I153" s="66">
        <v>713203.277</v>
      </c>
      <c r="J153" s="66">
        <v>971281.09600000002</v>
      </c>
    </row>
    <row r="154" spans="2:10">
      <c r="B154" s="151" t="s">
        <v>356</v>
      </c>
      <c r="C154" s="66">
        <v>215892.08799999999</v>
      </c>
      <c r="D154" s="66">
        <v>241108.77900000001</v>
      </c>
      <c r="E154" s="66">
        <v>272156.21999999997</v>
      </c>
      <c r="F154" s="66">
        <v>306560.39500000002</v>
      </c>
      <c r="G154" s="66">
        <v>354667.63699999999</v>
      </c>
      <c r="H154" s="66">
        <v>432590.84</v>
      </c>
      <c r="I154" s="66">
        <v>439295.83299999998</v>
      </c>
      <c r="J154" s="66">
        <v>640526.9</v>
      </c>
    </row>
    <row r="155" spans="2:10">
      <c r="B155" s="151" t="s">
        <v>355</v>
      </c>
      <c r="C155" s="66">
        <v>0</v>
      </c>
      <c r="D155" s="66">
        <v>0</v>
      </c>
      <c r="E155" s="66">
        <v>0</v>
      </c>
      <c r="F155" s="66">
        <v>0</v>
      </c>
      <c r="G155" s="66">
        <v>0</v>
      </c>
      <c r="H155" s="66">
        <v>0</v>
      </c>
      <c r="I155" s="66">
        <v>0</v>
      </c>
      <c r="J155" s="66">
        <v>0</v>
      </c>
    </row>
    <row r="156" spans="2:10">
      <c r="B156" s="151" t="s">
        <v>354</v>
      </c>
      <c r="C156" s="66">
        <v>180713.9</v>
      </c>
      <c r="D156" s="66">
        <v>196956.90700000001</v>
      </c>
      <c r="E156" s="66">
        <v>235410.62599999999</v>
      </c>
      <c r="F156" s="66">
        <v>261665.32</v>
      </c>
      <c r="G156" s="66">
        <v>295751.413</v>
      </c>
      <c r="H156" s="66">
        <v>341220.86300000001</v>
      </c>
      <c r="I156" s="66">
        <v>273907.44400000002</v>
      </c>
      <c r="J156" s="66">
        <v>330754.196</v>
      </c>
    </row>
    <row r="157" spans="2:10">
      <c r="B157" s="71" t="s">
        <v>338</v>
      </c>
      <c r="C157" s="66">
        <v>0</v>
      </c>
      <c r="D157" s="66">
        <v>0</v>
      </c>
      <c r="E157" s="66">
        <v>0</v>
      </c>
      <c r="F157" s="66">
        <v>0</v>
      </c>
      <c r="G157" s="66">
        <v>0</v>
      </c>
      <c r="H157" s="66">
        <v>0</v>
      </c>
      <c r="I157" s="66">
        <v>0</v>
      </c>
      <c r="J157" s="66">
        <v>423259.01299999998</v>
      </c>
    </row>
    <row r="158" spans="2:10">
      <c r="B158" s="71" t="s">
        <v>353</v>
      </c>
      <c r="C158" s="66">
        <v>23853.919999999998</v>
      </c>
      <c r="D158" s="66">
        <v>20900</v>
      </c>
      <c r="E158" s="66">
        <v>18093.720999999998</v>
      </c>
      <c r="F158" s="66">
        <v>13472</v>
      </c>
      <c r="G158" s="66">
        <v>11482</v>
      </c>
      <c r="H158" s="66">
        <v>9935</v>
      </c>
      <c r="I158" s="66">
        <v>5369.6149999999998</v>
      </c>
      <c r="J158" s="66">
        <v>5590.5329999999994</v>
      </c>
    </row>
    <row r="159" spans="2:10">
      <c r="B159" s="150" t="s">
        <v>352</v>
      </c>
      <c r="C159" s="66">
        <v>23853.919999999998</v>
      </c>
      <c r="D159" s="66">
        <v>20900</v>
      </c>
      <c r="E159" s="66">
        <v>18093.720999999998</v>
      </c>
      <c r="F159" s="66">
        <v>13472</v>
      </c>
      <c r="G159" s="66">
        <v>11482</v>
      </c>
      <c r="H159" s="66">
        <v>9935</v>
      </c>
      <c r="I159" s="66">
        <v>5369.6149999999998</v>
      </c>
      <c r="J159" s="66">
        <v>5590.5329999999994</v>
      </c>
    </row>
    <row r="160" spans="2:10">
      <c r="B160" s="150" t="s">
        <v>351</v>
      </c>
      <c r="C160" s="66">
        <v>0</v>
      </c>
      <c r="D160" s="66">
        <v>0</v>
      </c>
      <c r="E160" s="66">
        <v>0</v>
      </c>
      <c r="F160" s="66">
        <v>0</v>
      </c>
      <c r="G160" s="66">
        <v>0</v>
      </c>
      <c r="H160" s="66">
        <v>0</v>
      </c>
      <c r="I160" s="66">
        <v>0</v>
      </c>
      <c r="J160" s="66">
        <v>0</v>
      </c>
    </row>
    <row r="161" spans="2:10">
      <c r="B161" s="54" t="s">
        <v>350</v>
      </c>
      <c r="C161" s="66">
        <v>0</v>
      </c>
      <c r="D161" s="66">
        <v>0</v>
      </c>
      <c r="E161" s="66">
        <v>0</v>
      </c>
      <c r="F161" s="66">
        <v>0</v>
      </c>
      <c r="G161" s="66">
        <v>0</v>
      </c>
      <c r="H161" s="66">
        <v>0</v>
      </c>
      <c r="I161" s="66">
        <v>0</v>
      </c>
      <c r="J161" s="66">
        <v>0</v>
      </c>
    </row>
    <row r="162" spans="2:10">
      <c r="B162" s="54"/>
      <c r="C162" s="66"/>
      <c r="D162" s="66"/>
      <c r="E162" s="66"/>
      <c r="F162" s="66"/>
      <c r="G162" s="66"/>
      <c r="H162" s="66"/>
      <c r="I162" s="66"/>
      <c r="J162" s="66"/>
    </row>
    <row r="163" spans="2:10">
      <c r="B163" s="54" t="s">
        <v>365</v>
      </c>
      <c r="C163" s="66">
        <v>567844.4040000001</v>
      </c>
      <c r="D163" s="66">
        <v>617710.58600000001</v>
      </c>
      <c r="E163" s="66">
        <v>695826.50800000003</v>
      </c>
      <c r="F163" s="66">
        <v>767950.51100000006</v>
      </c>
      <c r="G163" s="66">
        <v>870345.97600000002</v>
      </c>
      <c r="H163" s="66">
        <v>1017148.13</v>
      </c>
      <c r="I163" s="66">
        <v>984513.31099999999</v>
      </c>
      <c r="J163" s="66">
        <v>1287394.2890000001</v>
      </c>
    </row>
    <row r="164" spans="2:10">
      <c r="B164" s="147" t="s">
        <v>348</v>
      </c>
      <c r="C164" s="66">
        <v>0</v>
      </c>
      <c r="D164" s="66">
        <v>0</v>
      </c>
      <c r="E164" s="66">
        <v>0</v>
      </c>
      <c r="F164" s="66">
        <v>0</v>
      </c>
      <c r="G164" s="66">
        <v>0</v>
      </c>
      <c r="H164" s="66">
        <v>0</v>
      </c>
      <c r="I164" s="66">
        <v>0</v>
      </c>
      <c r="J164" s="66">
        <v>0</v>
      </c>
    </row>
    <row r="165" spans="2:10">
      <c r="B165" s="147"/>
      <c r="C165" s="66"/>
      <c r="D165" s="66"/>
      <c r="E165" s="66"/>
      <c r="F165" s="66"/>
      <c r="G165" s="66"/>
      <c r="H165" s="66"/>
      <c r="I165" s="66"/>
      <c r="J165" s="66"/>
    </row>
    <row r="166" spans="2:10">
      <c r="B166" s="54" t="s">
        <v>347</v>
      </c>
      <c r="C166" s="66">
        <v>0</v>
      </c>
      <c r="D166" s="66">
        <v>0</v>
      </c>
      <c r="E166" s="66">
        <v>0</v>
      </c>
      <c r="F166" s="66">
        <v>0</v>
      </c>
      <c r="G166" s="66">
        <v>0</v>
      </c>
      <c r="H166" s="66">
        <v>0</v>
      </c>
      <c r="I166" s="66">
        <v>0</v>
      </c>
      <c r="J166" s="66">
        <v>0</v>
      </c>
    </row>
    <row r="167" spans="2:10">
      <c r="B167" s="54"/>
      <c r="C167" s="66"/>
      <c r="D167" s="66"/>
      <c r="E167" s="66"/>
      <c r="F167" s="66"/>
      <c r="G167" s="66"/>
      <c r="H167" s="66"/>
      <c r="I167" s="66"/>
      <c r="J167" s="66"/>
    </row>
    <row r="168" spans="2:10">
      <c r="B168" s="114" t="s">
        <v>346</v>
      </c>
      <c r="C168" s="66"/>
      <c r="D168" s="66"/>
      <c r="E168" s="66"/>
      <c r="F168" s="66"/>
      <c r="G168" s="66"/>
      <c r="H168" s="66"/>
      <c r="I168" s="66"/>
      <c r="J168" s="66"/>
    </row>
    <row r="169" spans="2:10">
      <c r="B169" s="54" t="s">
        <v>342</v>
      </c>
      <c r="C169" s="66">
        <v>568302.321</v>
      </c>
      <c r="D169" s="66">
        <v>581502.28899999999</v>
      </c>
      <c r="E169" s="66">
        <v>605771.63100000005</v>
      </c>
      <c r="F169" s="66">
        <v>624792.68599999999</v>
      </c>
      <c r="G169" s="66">
        <v>643348.09400000004</v>
      </c>
      <c r="H169" s="66">
        <v>657944.75399999996</v>
      </c>
      <c r="I169" s="66">
        <v>530629.53599999996</v>
      </c>
      <c r="J169" s="66">
        <v>517876.06099999999</v>
      </c>
    </row>
    <row r="170" spans="2:10">
      <c r="B170" s="147" t="s">
        <v>341</v>
      </c>
      <c r="C170" s="66">
        <v>568302.321</v>
      </c>
      <c r="D170" s="66">
        <v>581502.28899999999</v>
      </c>
      <c r="E170" s="66">
        <v>605771.63100000005</v>
      </c>
      <c r="F170" s="66">
        <v>624792.68599999999</v>
      </c>
      <c r="G170" s="66">
        <v>643348.09400000004</v>
      </c>
      <c r="H170" s="66">
        <v>657944.75399999996</v>
      </c>
      <c r="I170" s="66">
        <v>530629.53599999996</v>
      </c>
      <c r="J170" s="66">
        <v>517876.06099999999</v>
      </c>
    </row>
    <row r="171" spans="2:10">
      <c r="B171" s="147" t="s">
        <v>340</v>
      </c>
      <c r="C171" s="66">
        <v>0</v>
      </c>
      <c r="D171" s="66">
        <v>0</v>
      </c>
      <c r="E171" s="66">
        <v>0</v>
      </c>
      <c r="F171" s="66">
        <v>0</v>
      </c>
      <c r="G171" s="66">
        <v>0</v>
      </c>
      <c r="H171" s="66">
        <v>0</v>
      </c>
      <c r="I171" s="66">
        <v>0</v>
      </c>
      <c r="J171" s="66">
        <v>0</v>
      </c>
    </row>
    <row r="172" spans="2:10">
      <c r="B172" s="54" t="s">
        <v>339</v>
      </c>
      <c r="C172" s="66">
        <v>413000</v>
      </c>
      <c r="D172" s="66">
        <v>460510.19799999997</v>
      </c>
      <c r="E172" s="66">
        <v>516613.837</v>
      </c>
      <c r="F172" s="66">
        <v>565029.23</v>
      </c>
      <c r="G172" s="66">
        <v>635847.98199999996</v>
      </c>
      <c r="H172" s="66">
        <v>753652.23400000005</v>
      </c>
      <c r="I172" s="66">
        <v>692216.13500000001</v>
      </c>
      <c r="J172" s="66">
        <v>963907.55</v>
      </c>
    </row>
    <row r="173" spans="2:10">
      <c r="B173" s="54" t="s">
        <v>338</v>
      </c>
      <c r="C173" s="67">
        <v>0</v>
      </c>
      <c r="D173" s="67">
        <v>0</v>
      </c>
      <c r="E173" s="67">
        <v>0</v>
      </c>
      <c r="F173" s="67">
        <v>0</v>
      </c>
      <c r="G173" s="67">
        <v>0</v>
      </c>
      <c r="H173" s="67">
        <v>0</v>
      </c>
      <c r="I173" s="67">
        <v>0</v>
      </c>
      <c r="J173" s="67">
        <v>0</v>
      </c>
    </row>
    <row r="174" spans="2:10">
      <c r="B174" s="147" t="s">
        <v>337</v>
      </c>
      <c r="C174" s="67">
        <v>0</v>
      </c>
      <c r="D174" s="67">
        <v>0</v>
      </c>
      <c r="E174" s="67">
        <v>0</v>
      </c>
      <c r="F174" s="67">
        <v>0</v>
      </c>
      <c r="G174" s="67">
        <v>0</v>
      </c>
      <c r="H174" s="67">
        <v>0</v>
      </c>
      <c r="I174" s="67">
        <v>0</v>
      </c>
      <c r="J174" s="67">
        <v>0</v>
      </c>
    </row>
    <row r="175" spans="2:10">
      <c r="B175" s="147" t="s">
        <v>336</v>
      </c>
      <c r="C175" s="67">
        <v>0</v>
      </c>
      <c r="D175" s="67">
        <v>0</v>
      </c>
      <c r="E175" s="67">
        <v>0</v>
      </c>
      <c r="F175" s="67">
        <v>0</v>
      </c>
      <c r="G175" s="67">
        <v>0</v>
      </c>
      <c r="H175" s="67">
        <v>0</v>
      </c>
      <c r="I175" s="67">
        <v>0</v>
      </c>
      <c r="J175" s="67">
        <v>0</v>
      </c>
    </row>
    <row r="176" spans="2:10">
      <c r="B176" s="147" t="s">
        <v>335</v>
      </c>
      <c r="C176" s="67">
        <v>0</v>
      </c>
      <c r="D176" s="67">
        <v>0</v>
      </c>
      <c r="E176" s="67">
        <v>0</v>
      </c>
      <c r="F176" s="67">
        <v>0</v>
      </c>
      <c r="G176" s="67">
        <v>0</v>
      </c>
      <c r="H176" s="67">
        <v>0</v>
      </c>
      <c r="I176" s="67">
        <v>0</v>
      </c>
      <c r="J176" s="67">
        <v>0</v>
      </c>
    </row>
    <row r="177" spans="2:10">
      <c r="B177" s="147"/>
      <c r="C177" s="66"/>
      <c r="D177" s="66"/>
      <c r="E177" s="66"/>
      <c r="F177" s="66"/>
      <c r="G177" s="66"/>
      <c r="H177" s="66"/>
      <c r="I177" s="66"/>
      <c r="J177" s="66"/>
    </row>
    <row r="178" spans="2:10" ht="26">
      <c r="B178" s="148" t="s">
        <v>345</v>
      </c>
      <c r="C178" s="67">
        <v>0</v>
      </c>
      <c r="D178" s="67">
        <v>0</v>
      </c>
      <c r="E178" s="67">
        <v>0</v>
      </c>
      <c r="F178" s="67">
        <v>0</v>
      </c>
      <c r="G178" s="67">
        <v>0</v>
      </c>
      <c r="H178" s="67">
        <v>0</v>
      </c>
      <c r="I178" s="67">
        <v>0</v>
      </c>
      <c r="J178" s="67">
        <v>0</v>
      </c>
    </row>
    <row r="179" spans="2:10">
      <c r="B179" s="54" t="s">
        <v>342</v>
      </c>
      <c r="C179" s="67">
        <v>0</v>
      </c>
      <c r="D179" s="67">
        <v>0</v>
      </c>
      <c r="E179" s="67">
        <v>0</v>
      </c>
      <c r="F179" s="67">
        <v>0</v>
      </c>
      <c r="G179" s="67">
        <v>0</v>
      </c>
      <c r="H179" s="67">
        <v>0</v>
      </c>
      <c r="I179" s="67">
        <v>0</v>
      </c>
      <c r="J179" s="67">
        <v>0</v>
      </c>
    </row>
    <row r="180" spans="2:10">
      <c r="B180" s="147" t="s">
        <v>341</v>
      </c>
      <c r="C180" s="67">
        <v>0</v>
      </c>
      <c r="D180" s="67">
        <v>0</v>
      </c>
      <c r="E180" s="67">
        <v>0</v>
      </c>
      <c r="F180" s="67">
        <v>0</v>
      </c>
      <c r="G180" s="67">
        <v>0</v>
      </c>
      <c r="H180" s="67">
        <v>0</v>
      </c>
      <c r="I180" s="67">
        <v>0</v>
      </c>
      <c r="J180" s="67">
        <v>0</v>
      </c>
    </row>
    <row r="181" spans="2:10">
      <c r="B181" s="147" t="s">
        <v>340</v>
      </c>
      <c r="C181" s="67">
        <v>0</v>
      </c>
      <c r="D181" s="67">
        <v>0</v>
      </c>
      <c r="E181" s="67">
        <v>0</v>
      </c>
      <c r="F181" s="67">
        <v>0</v>
      </c>
      <c r="G181" s="67">
        <v>0</v>
      </c>
      <c r="H181" s="67">
        <v>0</v>
      </c>
      <c r="I181" s="67">
        <v>0</v>
      </c>
      <c r="J181" s="67">
        <v>0</v>
      </c>
    </row>
    <row r="182" spans="2:10">
      <c r="B182" s="54" t="s">
        <v>339</v>
      </c>
      <c r="C182" s="67">
        <v>0</v>
      </c>
      <c r="D182" s="67">
        <v>0</v>
      </c>
      <c r="E182" s="67">
        <v>0</v>
      </c>
      <c r="F182" s="67">
        <v>0</v>
      </c>
      <c r="G182" s="67">
        <v>0</v>
      </c>
      <c r="H182" s="67">
        <v>0</v>
      </c>
      <c r="I182" s="67">
        <v>0</v>
      </c>
      <c r="J182" s="67">
        <v>0</v>
      </c>
    </row>
    <row r="183" spans="2:10">
      <c r="B183" s="54" t="s">
        <v>338</v>
      </c>
      <c r="C183" s="67">
        <v>0</v>
      </c>
      <c r="D183" s="67">
        <v>0</v>
      </c>
      <c r="E183" s="67">
        <v>0</v>
      </c>
      <c r="F183" s="67">
        <v>0</v>
      </c>
      <c r="G183" s="67">
        <v>0</v>
      </c>
      <c r="H183" s="67">
        <v>0</v>
      </c>
      <c r="I183" s="67">
        <v>0</v>
      </c>
      <c r="J183" s="67">
        <v>0</v>
      </c>
    </row>
    <row r="184" spans="2:10">
      <c r="B184" s="147" t="s">
        <v>337</v>
      </c>
      <c r="C184" s="67">
        <v>0</v>
      </c>
      <c r="D184" s="67">
        <v>0</v>
      </c>
      <c r="E184" s="67">
        <v>0</v>
      </c>
      <c r="F184" s="67">
        <v>0</v>
      </c>
      <c r="G184" s="67">
        <v>0</v>
      </c>
      <c r="H184" s="67">
        <v>0</v>
      </c>
      <c r="I184" s="67">
        <v>0</v>
      </c>
      <c r="J184" s="67">
        <v>0</v>
      </c>
    </row>
    <row r="185" spans="2:10">
      <c r="B185" s="147" t="s">
        <v>336</v>
      </c>
      <c r="C185" s="67">
        <v>0</v>
      </c>
      <c r="D185" s="67">
        <v>0</v>
      </c>
      <c r="E185" s="67">
        <v>0</v>
      </c>
      <c r="F185" s="67">
        <v>0</v>
      </c>
      <c r="G185" s="67">
        <v>0</v>
      </c>
      <c r="H185" s="67">
        <v>0</v>
      </c>
      <c r="I185" s="67">
        <v>0</v>
      </c>
      <c r="J185" s="67">
        <v>0</v>
      </c>
    </row>
    <row r="186" spans="2:10">
      <c r="B186" s="147" t="s">
        <v>335</v>
      </c>
      <c r="C186" s="67">
        <v>0</v>
      </c>
      <c r="D186" s="67">
        <v>0</v>
      </c>
      <c r="E186" s="67">
        <v>0</v>
      </c>
      <c r="F186" s="67">
        <v>0</v>
      </c>
      <c r="G186" s="67">
        <v>0</v>
      </c>
      <c r="H186" s="67">
        <v>0</v>
      </c>
      <c r="I186" s="67">
        <v>0</v>
      </c>
      <c r="J186" s="67">
        <v>0</v>
      </c>
    </row>
    <row r="187" spans="2:10">
      <c r="B187" s="147"/>
      <c r="C187" s="66"/>
      <c r="D187" s="66"/>
      <c r="E187" s="66"/>
      <c r="F187" s="66"/>
      <c r="G187" s="66"/>
      <c r="H187" s="66"/>
      <c r="I187" s="66"/>
      <c r="J187" s="66"/>
    </row>
    <row r="188" spans="2:10" ht="26">
      <c r="B188" s="148" t="s">
        <v>344</v>
      </c>
      <c r="C188" s="67">
        <v>0</v>
      </c>
      <c r="D188" s="67">
        <v>0</v>
      </c>
      <c r="E188" s="67">
        <v>0</v>
      </c>
      <c r="F188" s="67">
        <v>0</v>
      </c>
      <c r="G188" s="67">
        <v>0</v>
      </c>
      <c r="H188" s="67">
        <v>0</v>
      </c>
      <c r="I188" s="67">
        <v>0</v>
      </c>
      <c r="J188" s="67">
        <v>0</v>
      </c>
    </row>
    <row r="189" spans="2:10">
      <c r="B189" s="54" t="s">
        <v>342</v>
      </c>
      <c r="C189" s="67">
        <v>0</v>
      </c>
      <c r="D189" s="67">
        <v>0</v>
      </c>
      <c r="E189" s="67">
        <v>0</v>
      </c>
      <c r="F189" s="67">
        <v>0</v>
      </c>
      <c r="G189" s="67">
        <v>0</v>
      </c>
      <c r="H189" s="67">
        <v>0</v>
      </c>
      <c r="I189" s="67">
        <v>0</v>
      </c>
      <c r="J189" s="67">
        <v>0</v>
      </c>
    </row>
    <row r="190" spans="2:10">
      <c r="B190" s="147" t="s">
        <v>341</v>
      </c>
      <c r="C190" s="67">
        <v>0</v>
      </c>
      <c r="D190" s="67">
        <v>0</v>
      </c>
      <c r="E190" s="67">
        <v>0</v>
      </c>
      <c r="F190" s="67">
        <v>0</v>
      </c>
      <c r="G190" s="67">
        <v>0</v>
      </c>
      <c r="H190" s="67">
        <v>0</v>
      </c>
      <c r="I190" s="67">
        <v>0</v>
      </c>
      <c r="J190" s="67">
        <v>0</v>
      </c>
    </row>
    <row r="191" spans="2:10">
      <c r="B191" s="147" t="s">
        <v>340</v>
      </c>
      <c r="C191" s="67">
        <v>0</v>
      </c>
      <c r="D191" s="67">
        <v>0</v>
      </c>
      <c r="E191" s="67">
        <v>0</v>
      </c>
      <c r="F191" s="67">
        <v>0</v>
      </c>
      <c r="G191" s="67">
        <v>0</v>
      </c>
      <c r="H191" s="67">
        <v>0</v>
      </c>
      <c r="I191" s="67">
        <v>0</v>
      </c>
      <c r="J191" s="67">
        <v>0</v>
      </c>
    </row>
    <row r="192" spans="2:10">
      <c r="B192" s="54" t="s">
        <v>339</v>
      </c>
      <c r="C192" s="67">
        <v>0</v>
      </c>
      <c r="D192" s="67">
        <v>0</v>
      </c>
      <c r="E192" s="67">
        <v>0</v>
      </c>
      <c r="F192" s="67">
        <v>0</v>
      </c>
      <c r="G192" s="67">
        <v>0</v>
      </c>
      <c r="H192" s="67">
        <v>0</v>
      </c>
      <c r="I192" s="67">
        <v>0</v>
      </c>
      <c r="J192" s="67">
        <v>0</v>
      </c>
    </row>
    <row r="193" spans="2:10">
      <c r="B193" s="54" t="s">
        <v>338</v>
      </c>
      <c r="C193" s="67">
        <v>0</v>
      </c>
      <c r="D193" s="67">
        <v>0</v>
      </c>
      <c r="E193" s="67">
        <v>0</v>
      </c>
      <c r="F193" s="67">
        <v>0</v>
      </c>
      <c r="G193" s="67">
        <v>0</v>
      </c>
      <c r="H193" s="67">
        <v>0</v>
      </c>
      <c r="I193" s="67">
        <v>0</v>
      </c>
      <c r="J193" s="67">
        <v>0</v>
      </c>
    </row>
    <row r="194" spans="2:10">
      <c r="B194" s="147" t="s">
        <v>337</v>
      </c>
      <c r="C194" s="67">
        <v>0</v>
      </c>
      <c r="D194" s="67">
        <v>0</v>
      </c>
      <c r="E194" s="67">
        <v>0</v>
      </c>
      <c r="F194" s="67">
        <v>0</v>
      </c>
      <c r="G194" s="67">
        <v>0</v>
      </c>
      <c r="H194" s="67">
        <v>0</v>
      </c>
      <c r="I194" s="67">
        <v>0</v>
      </c>
      <c r="J194" s="67">
        <v>0</v>
      </c>
    </row>
    <row r="195" spans="2:10">
      <c r="B195" s="147" t="s">
        <v>336</v>
      </c>
      <c r="C195" s="67">
        <v>0</v>
      </c>
      <c r="D195" s="67">
        <v>0</v>
      </c>
      <c r="E195" s="67">
        <v>0</v>
      </c>
      <c r="F195" s="67">
        <v>0</v>
      </c>
      <c r="G195" s="67">
        <v>0</v>
      </c>
      <c r="H195" s="67">
        <v>0</v>
      </c>
      <c r="I195" s="67">
        <v>0</v>
      </c>
      <c r="J195" s="67">
        <v>0</v>
      </c>
    </row>
    <row r="196" spans="2:10">
      <c r="B196" s="147" t="s">
        <v>335</v>
      </c>
      <c r="C196" s="67">
        <v>0</v>
      </c>
      <c r="D196" s="67">
        <v>0</v>
      </c>
      <c r="E196" s="67">
        <v>0</v>
      </c>
      <c r="F196" s="67">
        <v>0</v>
      </c>
      <c r="G196" s="67">
        <v>0</v>
      </c>
      <c r="H196" s="67">
        <v>0</v>
      </c>
      <c r="I196" s="67">
        <v>0</v>
      </c>
      <c r="J196" s="67">
        <v>0</v>
      </c>
    </row>
    <row r="197" spans="2:10">
      <c r="B197" s="147"/>
      <c r="C197" s="66"/>
      <c r="D197" s="66"/>
      <c r="E197" s="66"/>
      <c r="F197" s="66"/>
      <c r="G197" s="66"/>
      <c r="H197" s="66"/>
      <c r="I197" s="66"/>
      <c r="J197" s="66"/>
    </row>
    <row r="198" spans="2:10" ht="26">
      <c r="B198" s="148" t="s">
        <v>343</v>
      </c>
      <c r="C198" s="67">
        <v>0</v>
      </c>
      <c r="D198" s="67">
        <v>0</v>
      </c>
      <c r="E198" s="67">
        <v>0</v>
      </c>
      <c r="F198" s="67">
        <v>0</v>
      </c>
      <c r="G198" s="67">
        <v>0</v>
      </c>
      <c r="H198" s="67">
        <v>0</v>
      </c>
      <c r="I198" s="67">
        <v>0</v>
      </c>
      <c r="J198" s="67">
        <v>0</v>
      </c>
    </row>
    <row r="199" spans="2:10">
      <c r="B199" s="54" t="s">
        <v>342</v>
      </c>
      <c r="C199" s="67">
        <v>0</v>
      </c>
      <c r="D199" s="67">
        <v>0</v>
      </c>
      <c r="E199" s="67">
        <v>0</v>
      </c>
      <c r="F199" s="67">
        <v>0</v>
      </c>
      <c r="G199" s="67">
        <v>0</v>
      </c>
      <c r="H199" s="67">
        <v>0</v>
      </c>
      <c r="I199" s="67">
        <v>0</v>
      </c>
      <c r="J199" s="67">
        <v>0</v>
      </c>
    </row>
    <row r="200" spans="2:10">
      <c r="B200" s="147" t="s">
        <v>341</v>
      </c>
      <c r="C200" s="67">
        <v>0</v>
      </c>
      <c r="D200" s="67">
        <v>0</v>
      </c>
      <c r="E200" s="67">
        <v>0</v>
      </c>
      <c r="F200" s="67">
        <v>0</v>
      </c>
      <c r="G200" s="67">
        <v>0</v>
      </c>
      <c r="H200" s="67">
        <v>0</v>
      </c>
      <c r="I200" s="67">
        <v>0</v>
      </c>
      <c r="J200" s="67">
        <v>0</v>
      </c>
    </row>
    <row r="201" spans="2:10">
      <c r="B201" s="147" t="s">
        <v>340</v>
      </c>
      <c r="C201" s="67">
        <v>0</v>
      </c>
      <c r="D201" s="67">
        <v>0</v>
      </c>
      <c r="E201" s="67">
        <v>0</v>
      </c>
      <c r="F201" s="67">
        <v>0</v>
      </c>
      <c r="G201" s="67">
        <v>0</v>
      </c>
      <c r="H201" s="67">
        <v>0</v>
      </c>
      <c r="I201" s="67">
        <v>0</v>
      </c>
      <c r="J201" s="67">
        <v>0</v>
      </c>
    </row>
    <row r="202" spans="2:10">
      <c r="B202" s="54" t="s">
        <v>339</v>
      </c>
      <c r="C202" s="67">
        <v>0</v>
      </c>
      <c r="D202" s="67">
        <v>0</v>
      </c>
      <c r="E202" s="67">
        <v>0</v>
      </c>
      <c r="F202" s="67">
        <v>0</v>
      </c>
      <c r="G202" s="67">
        <v>0</v>
      </c>
      <c r="H202" s="67">
        <v>0</v>
      </c>
      <c r="I202" s="67">
        <v>0</v>
      </c>
      <c r="J202" s="67">
        <v>0</v>
      </c>
    </row>
    <row r="203" spans="2:10">
      <c r="B203" s="54" t="s">
        <v>338</v>
      </c>
      <c r="C203" s="67">
        <v>0</v>
      </c>
      <c r="D203" s="67">
        <v>0</v>
      </c>
      <c r="E203" s="67">
        <v>0</v>
      </c>
      <c r="F203" s="67">
        <v>0</v>
      </c>
      <c r="G203" s="67">
        <v>0</v>
      </c>
      <c r="H203" s="67">
        <v>0</v>
      </c>
      <c r="I203" s="67">
        <v>0</v>
      </c>
      <c r="J203" s="67">
        <v>0</v>
      </c>
    </row>
    <row r="204" spans="2:10">
      <c r="B204" s="147" t="s">
        <v>337</v>
      </c>
      <c r="C204" s="67">
        <v>0</v>
      </c>
      <c r="D204" s="67">
        <v>0</v>
      </c>
      <c r="E204" s="67">
        <v>0</v>
      </c>
      <c r="F204" s="67">
        <v>0</v>
      </c>
      <c r="G204" s="67">
        <v>0</v>
      </c>
      <c r="H204" s="67">
        <v>0</v>
      </c>
      <c r="I204" s="67">
        <v>0</v>
      </c>
      <c r="J204" s="67">
        <v>0</v>
      </c>
    </row>
    <row r="205" spans="2:10">
      <c r="B205" s="147" t="s">
        <v>336</v>
      </c>
      <c r="C205" s="67">
        <v>0</v>
      </c>
      <c r="D205" s="67">
        <v>0</v>
      </c>
      <c r="E205" s="67">
        <v>0</v>
      </c>
      <c r="F205" s="67">
        <v>0</v>
      </c>
      <c r="G205" s="67">
        <v>0</v>
      </c>
      <c r="H205" s="67">
        <v>0</v>
      </c>
      <c r="I205" s="67">
        <v>0</v>
      </c>
      <c r="J205" s="67">
        <v>0</v>
      </c>
    </row>
    <row r="206" spans="2:10" ht="15" thickBot="1">
      <c r="B206" s="146" t="s">
        <v>335</v>
      </c>
      <c r="C206" s="67">
        <v>0</v>
      </c>
      <c r="D206" s="67">
        <v>0</v>
      </c>
      <c r="E206" s="67">
        <v>0</v>
      </c>
      <c r="F206" s="67">
        <v>0</v>
      </c>
      <c r="G206" s="67">
        <v>0</v>
      </c>
      <c r="H206" s="67">
        <v>0</v>
      </c>
      <c r="I206" s="67">
        <v>0</v>
      </c>
      <c r="J206" s="67">
        <v>0</v>
      </c>
    </row>
    <row r="207" spans="2:10" ht="15" thickTop="1">
      <c r="B207" s="2039" t="s">
        <v>570</v>
      </c>
      <c r="C207" s="2039"/>
      <c r="D207" s="2039"/>
      <c r="E207" s="2039"/>
      <c r="F207" s="2039"/>
      <c r="G207" s="2039"/>
      <c r="H207" s="2039"/>
      <c r="I207" s="2039"/>
      <c r="J207" s="2039"/>
    </row>
    <row r="208" spans="2:10">
      <c r="B208" s="64"/>
    </row>
    <row r="209" spans="2:10">
      <c r="B209" s="2024" t="s">
        <v>364</v>
      </c>
      <c r="C209" s="2024"/>
      <c r="D209" s="2024"/>
      <c r="E209" s="2024"/>
      <c r="F209" s="2024"/>
      <c r="G209" s="2024"/>
      <c r="H209" s="2024"/>
      <c r="I209" s="2024"/>
      <c r="J209" s="2024"/>
    </row>
    <row r="210" spans="2:10">
      <c r="B210" s="12" t="s">
        <v>363</v>
      </c>
    </row>
    <row r="211" spans="2:10">
      <c r="B211" s="62" t="s">
        <v>311</v>
      </c>
    </row>
    <row r="212" spans="2:10">
      <c r="B212" s="64"/>
    </row>
    <row r="213" spans="2:10">
      <c r="B213" s="61"/>
      <c r="C213" s="60">
        <v>2014</v>
      </c>
      <c r="D213" s="60">
        <v>2015</v>
      </c>
      <c r="E213" s="60">
        <v>2016</v>
      </c>
      <c r="F213" s="60">
        <v>2017</v>
      </c>
      <c r="G213" s="60">
        <v>2018</v>
      </c>
      <c r="H213" s="60">
        <v>2019</v>
      </c>
      <c r="I213" s="60">
        <v>2020</v>
      </c>
      <c r="J213" s="60">
        <v>2021</v>
      </c>
    </row>
    <row r="214" spans="2:10">
      <c r="B214" s="114" t="s">
        <v>362</v>
      </c>
    </row>
    <row r="215" spans="2:10">
      <c r="B215" s="54" t="s">
        <v>361</v>
      </c>
      <c r="C215" s="66">
        <v>389918.15869984351</v>
      </c>
      <c r="D215" s="66">
        <v>316197.68465752807</v>
      </c>
      <c r="E215" s="66">
        <v>298128.1319646308</v>
      </c>
      <c r="F215" s="66">
        <v>338040.73600496957</v>
      </c>
      <c r="G215" s="66">
        <v>375178.10133069981</v>
      </c>
      <c r="H215" s="66">
        <v>378339.52830481448</v>
      </c>
      <c r="I215" s="66">
        <v>394318.77324621531</v>
      </c>
      <c r="J215" s="66">
        <f>1649058540.26574/J11</f>
        <v>414215.59049767908</v>
      </c>
    </row>
    <row r="216" spans="2:10">
      <c r="B216" s="151" t="s">
        <v>360</v>
      </c>
      <c r="C216" s="66">
        <v>0</v>
      </c>
      <c r="D216" s="66">
        <v>0</v>
      </c>
      <c r="E216" s="66">
        <v>0</v>
      </c>
      <c r="F216" s="66">
        <v>0</v>
      </c>
      <c r="G216" s="66">
        <v>0</v>
      </c>
      <c r="H216" s="66">
        <v>0</v>
      </c>
      <c r="I216" s="66">
        <v>0</v>
      </c>
      <c r="J216" s="66">
        <v>0</v>
      </c>
    </row>
    <row r="217" spans="2:10">
      <c r="B217" s="151" t="s">
        <v>359</v>
      </c>
      <c r="C217" s="66">
        <v>389918.15869984351</v>
      </c>
      <c r="D217" s="66">
        <v>316197.68465752807</v>
      </c>
      <c r="E217" s="66">
        <v>298128.1319646308</v>
      </c>
      <c r="F217" s="66">
        <v>338040.73600496957</v>
      </c>
      <c r="G217" s="66">
        <v>375178.10133069981</v>
      </c>
      <c r="H217" s="66">
        <v>378339.52830481448</v>
      </c>
      <c r="I217" s="66">
        <v>394318.77324621531</v>
      </c>
      <c r="J217" s="66">
        <f>1649058540.26574/J11</f>
        <v>414215.59049767908</v>
      </c>
    </row>
    <row r="218" spans="2:10">
      <c r="B218" s="152" t="s">
        <v>358</v>
      </c>
      <c r="C218" s="66">
        <v>1157.3727694915528</v>
      </c>
      <c r="D218" s="66">
        <v>950.48657281929002</v>
      </c>
      <c r="E218" s="66">
        <v>1050.3942686162598</v>
      </c>
      <c r="F218" s="66">
        <v>1263.0302331627975</v>
      </c>
      <c r="G218" s="66">
        <v>1508.9376143813283</v>
      </c>
      <c r="H218" s="66">
        <v>1419.7900444554366</v>
      </c>
      <c r="I218" s="66">
        <v>1216.2536365611138</v>
      </c>
      <c r="J218" s="66">
        <f>3870204.06803657/J11</f>
        <v>972.12974812280095</v>
      </c>
    </row>
    <row r="219" spans="2:10">
      <c r="B219" s="71" t="s">
        <v>357</v>
      </c>
      <c r="C219" s="66">
        <v>31561.156711132244</v>
      </c>
      <c r="D219" s="66">
        <v>26126.363443761627</v>
      </c>
      <c r="E219" s="66">
        <v>26845.136741152826</v>
      </c>
      <c r="F219" s="66">
        <v>30355.244287921665</v>
      </c>
      <c r="G219" s="66">
        <v>34054.996340944199</v>
      </c>
      <c r="H219" s="66">
        <v>35563.137713807846</v>
      </c>
      <c r="I219" s="66">
        <v>30467.975891034006</v>
      </c>
      <c r="J219" s="66">
        <f>143380314.016112/J11</f>
        <v>36014.707777660784</v>
      </c>
    </row>
    <row r="220" spans="2:10">
      <c r="B220" s="151" t="s">
        <v>356</v>
      </c>
      <c r="C220" s="66">
        <v>12942.157061441643</v>
      </c>
      <c r="D220" s="66">
        <v>11011.131752911175</v>
      </c>
      <c r="E220" s="66">
        <v>11476.259175090679</v>
      </c>
      <c r="F220" s="66">
        <v>13112.524313043432</v>
      </c>
      <c r="G220" s="66">
        <v>14876.315067319634</v>
      </c>
      <c r="H220" s="66">
        <v>15845.040692085138</v>
      </c>
      <c r="I220" s="66">
        <v>15578.108681017828</v>
      </c>
      <c r="J220" s="66">
        <f>75937385.3772179/J11</f>
        <v>19074.185759230451</v>
      </c>
    </row>
    <row r="221" spans="2:10">
      <c r="B221" s="151" t="s">
        <v>355</v>
      </c>
      <c r="C221" s="66">
        <v>0</v>
      </c>
      <c r="D221" s="66">
        <v>0</v>
      </c>
      <c r="E221" s="66">
        <v>0</v>
      </c>
      <c r="F221" s="66">
        <v>0</v>
      </c>
      <c r="G221" s="66">
        <v>0</v>
      </c>
      <c r="H221" s="66">
        <v>0</v>
      </c>
      <c r="I221" s="66">
        <v>0</v>
      </c>
      <c r="J221" s="66">
        <v>0</v>
      </c>
    </row>
    <row r="222" spans="2:10">
      <c r="B222" s="151" t="s">
        <v>354</v>
      </c>
      <c r="C222" s="66">
        <v>18618.999649690602</v>
      </c>
      <c r="D222" s="66">
        <v>15115.231690850453</v>
      </c>
      <c r="E222" s="66">
        <v>15368.877566062141</v>
      </c>
      <c r="F222" s="66">
        <v>17242.71997487823</v>
      </c>
      <c r="G222" s="66">
        <v>19178.681273624563</v>
      </c>
      <c r="H222" s="66">
        <v>19718.097021722708</v>
      </c>
      <c r="I222" s="66">
        <v>14889.86721001618</v>
      </c>
      <c r="J222" s="66">
        <f>67442928.6388936/J11</f>
        <v>16940.522018430209</v>
      </c>
    </row>
    <row r="223" spans="2:10">
      <c r="B223" s="71" t="s">
        <v>338</v>
      </c>
      <c r="C223" s="66">
        <v>0</v>
      </c>
      <c r="D223" s="66">
        <v>0</v>
      </c>
      <c r="E223" s="66">
        <v>0</v>
      </c>
      <c r="F223" s="66">
        <v>0</v>
      </c>
      <c r="G223" s="66">
        <v>0</v>
      </c>
      <c r="H223" s="66">
        <v>0</v>
      </c>
      <c r="I223" s="66">
        <v>0</v>
      </c>
      <c r="J223" s="66">
        <f>35383187.572267/J11</f>
        <v>8887.6577611216344</v>
      </c>
    </row>
    <row r="224" spans="2:10">
      <c r="B224" s="71" t="s">
        <v>353</v>
      </c>
      <c r="C224" s="66">
        <v>146474.12693537824</v>
      </c>
      <c r="D224" s="66">
        <v>103905.74082367549</v>
      </c>
      <c r="E224" s="66">
        <v>87773.232965003161</v>
      </c>
      <c r="F224" s="66">
        <v>70800.880673635693</v>
      </c>
      <c r="G224" s="66">
        <v>63848.496973590118</v>
      </c>
      <c r="H224" s="66">
        <v>56534.207021551374</v>
      </c>
      <c r="I224" s="66">
        <v>34542.916605575527</v>
      </c>
      <c r="J224" s="66">
        <f>152213789.117832/J11</f>
        <v>38233.527192534842</v>
      </c>
    </row>
    <row r="225" spans="2:10">
      <c r="B225" s="150" t="s">
        <v>352</v>
      </c>
      <c r="C225" s="66">
        <v>0</v>
      </c>
      <c r="D225" s="66">
        <v>0</v>
      </c>
      <c r="E225" s="66">
        <v>0</v>
      </c>
      <c r="F225" s="66">
        <v>0</v>
      </c>
      <c r="G225" s="66">
        <v>0</v>
      </c>
      <c r="H225" s="66">
        <v>0</v>
      </c>
      <c r="I225" s="66">
        <v>0</v>
      </c>
      <c r="J225" s="66">
        <v>0</v>
      </c>
    </row>
    <row r="226" spans="2:10">
      <c r="B226" s="150" t="s">
        <v>351</v>
      </c>
      <c r="C226" s="66">
        <v>0</v>
      </c>
      <c r="D226" s="66">
        <v>0</v>
      </c>
      <c r="E226" s="66">
        <v>0</v>
      </c>
      <c r="F226" s="66">
        <v>0</v>
      </c>
      <c r="G226" s="66">
        <v>0</v>
      </c>
      <c r="H226" s="66">
        <v>0</v>
      </c>
      <c r="I226" s="66">
        <v>0</v>
      </c>
      <c r="J226" s="66">
        <v>0</v>
      </c>
    </row>
    <row r="227" spans="2:10">
      <c r="B227" s="54" t="s">
        <v>350</v>
      </c>
      <c r="C227" s="66"/>
      <c r="D227" s="66"/>
      <c r="E227" s="66"/>
      <c r="F227" s="66"/>
      <c r="G227" s="66"/>
      <c r="H227" s="66"/>
      <c r="I227" s="66"/>
      <c r="J227" s="66"/>
    </row>
    <row r="228" spans="2:10">
      <c r="B228" s="54"/>
      <c r="C228" s="66"/>
      <c r="D228" s="66"/>
      <c r="E228" s="66"/>
      <c r="F228" s="66"/>
      <c r="G228" s="66"/>
      <c r="H228" s="66"/>
      <c r="I228" s="66"/>
      <c r="J228" s="66"/>
    </row>
    <row r="229" spans="2:10">
      <c r="B229" s="54" t="s">
        <v>349</v>
      </c>
      <c r="C229" s="66">
        <v>569110.81511584553</v>
      </c>
      <c r="D229" s="66">
        <v>447180.27549778443</v>
      </c>
      <c r="E229" s="66">
        <v>413796.89593940304</v>
      </c>
      <c r="F229" s="66">
        <v>440459.89119968977</v>
      </c>
      <c r="G229" s="66">
        <v>474590.53225961543</v>
      </c>
      <c r="H229" s="66">
        <v>471856.66308462911</v>
      </c>
      <c r="I229" s="66">
        <v>460545.91937938594</v>
      </c>
      <c r="J229" s="66">
        <f>1948522847.46772/J11</f>
        <v>489435.95521599735</v>
      </c>
    </row>
    <row r="230" spans="2:10">
      <c r="B230" s="147" t="s">
        <v>348</v>
      </c>
      <c r="C230" s="66">
        <v>0</v>
      </c>
      <c r="D230" s="66">
        <v>0</v>
      </c>
      <c r="E230" s="66">
        <v>0</v>
      </c>
      <c r="F230" s="66">
        <v>0</v>
      </c>
      <c r="G230" s="66">
        <v>0</v>
      </c>
      <c r="H230" s="66">
        <v>0</v>
      </c>
      <c r="I230" s="66">
        <v>0</v>
      </c>
      <c r="J230" s="66">
        <v>0</v>
      </c>
    </row>
    <row r="231" spans="2:10">
      <c r="B231" s="147"/>
      <c r="C231" s="66"/>
      <c r="D231" s="66"/>
      <c r="E231" s="66"/>
      <c r="F231" s="66"/>
      <c r="G231" s="66"/>
      <c r="H231" s="66"/>
      <c r="I231" s="66"/>
      <c r="J231" s="66"/>
    </row>
    <row r="232" spans="2:10">
      <c r="B232" s="54" t="s">
        <v>347</v>
      </c>
      <c r="C232" s="66">
        <v>0</v>
      </c>
      <c r="D232" s="66">
        <v>0</v>
      </c>
      <c r="E232" s="66">
        <v>0</v>
      </c>
      <c r="F232" s="66">
        <v>0</v>
      </c>
      <c r="G232" s="66">
        <v>0</v>
      </c>
      <c r="H232" s="66">
        <v>0</v>
      </c>
      <c r="I232" s="66">
        <v>0</v>
      </c>
      <c r="J232" s="66">
        <v>0</v>
      </c>
    </row>
    <row r="233" spans="2:10">
      <c r="B233" s="54"/>
      <c r="C233" s="267"/>
      <c r="D233" s="267"/>
      <c r="E233" s="267"/>
      <c r="F233" s="267"/>
      <c r="G233" s="267"/>
      <c r="H233" s="267"/>
      <c r="I233" s="267"/>
      <c r="J233" s="267"/>
    </row>
    <row r="234" spans="2:10">
      <c r="B234" s="114" t="s">
        <v>346</v>
      </c>
      <c r="C234" s="267"/>
      <c r="D234" s="267"/>
      <c r="E234" s="267"/>
      <c r="F234" s="267"/>
      <c r="G234" s="267"/>
      <c r="H234" s="267"/>
      <c r="I234" s="267"/>
      <c r="J234" s="267"/>
    </row>
    <row r="235" spans="2:10">
      <c r="B235" s="54" t="s">
        <v>342</v>
      </c>
      <c r="C235" s="203">
        <v>82721.295259079983</v>
      </c>
      <c r="D235" s="203">
        <v>64845.521958121928</v>
      </c>
      <c r="E235" s="203">
        <v>62863.85646150785</v>
      </c>
      <c r="F235" s="203">
        <v>68832.236154235987</v>
      </c>
      <c r="G235" s="203">
        <v>73386.482292910252</v>
      </c>
      <c r="H235" s="203">
        <v>70024.972728266104</v>
      </c>
      <c r="I235" s="203">
        <v>60831.890924743762</v>
      </c>
      <c r="J235" s="203">
        <f>232347492.926136/J11</f>
        <v>58361.75710751037</v>
      </c>
    </row>
    <row r="236" spans="2:10">
      <c r="B236" s="147" t="s">
        <v>341</v>
      </c>
      <c r="C236" s="203">
        <v>82721.295259079983</v>
      </c>
      <c r="D236" s="203">
        <v>64845.521958121928</v>
      </c>
      <c r="E236" s="203">
        <v>62863.85646150785</v>
      </c>
      <c r="F236" s="203">
        <v>68832.236154235987</v>
      </c>
      <c r="G236" s="203">
        <v>73386.482292910252</v>
      </c>
      <c r="H236" s="203">
        <v>70024.972728266104</v>
      </c>
      <c r="I236" s="203">
        <v>60831.890924743762</v>
      </c>
      <c r="J236" s="203">
        <f>232347492.926136/J11</f>
        <v>58361.75710751037</v>
      </c>
    </row>
    <row r="237" spans="2:10">
      <c r="B237" s="147" t="s">
        <v>340</v>
      </c>
      <c r="C237" s="66">
        <v>0</v>
      </c>
      <c r="D237" s="66">
        <v>0</v>
      </c>
      <c r="E237" s="66">
        <v>0</v>
      </c>
      <c r="F237" s="66">
        <v>0</v>
      </c>
      <c r="G237" s="66">
        <v>0</v>
      </c>
      <c r="H237" s="66">
        <v>0</v>
      </c>
      <c r="I237" s="66">
        <v>0</v>
      </c>
      <c r="J237" s="66">
        <v>0</v>
      </c>
    </row>
    <row r="238" spans="2:10">
      <c r="B238" s="54" t="s">
        <v>339</v>
      </c>
      <c r="C238" s="203">
        <v>37510.786332646901</v>
      </c>
      <c r="D238" s="203">
        <v>30062.316355175917</v>
      </c>
      <c r="E238" s="203">
        <v>29382.973518218914</v>
      </c>
      <c r="F238" s="203">
        <v>32264.947901665451</v>
      </c>
      <c r="G238" s="203">
        <v>34409.473913765039</v>
      </c>
      <c r="H238" s="203">
        <v>36498.739333229751</v>
      </c>
      <c r="I238" s="203">
        <v>31245.192425345958</v>
      </c>
      <c r="J238" s="203">
        <f>146099011/J11</f>
        <v>36697.598438646026</v>
      </c>
    </row>
    <row r="239" spans="2:10">
      <c r="B239" s="54" t="s">
        <v>338</v>
      </c>
      <c r="C239" s="67">
        <v>0</v>
      </c>
      <c r="D239" s="67">
        <v>0</v>
      </c>
      <c r="E239" s="67">
        <v>0</v>
      </c>
      <c r="F239" s="67">
        <v>0</v>
      </c>
      <c r="G239" s="67">
        <v>0</v>
      </c>
      <c r="H239" s="67">
        <v>0</v>
      </c>
      <c r="I239" s="67">
        <v>0</v>
      </c>
      <c r="J239" s="67">
        <v>0</v>
      </c>
    </row>
    <row r="240" spans="2:10">
      <c r="B240" s="147" t="s">
        <v>337</v>
      </c>
      <c r="C240" s="67">
        <v>0</v>
      </c>
      <c r="D240" s="67">
        <v>0</v>
      </c>
      <c r="E240" s="67">
        <v>0</v>
      </c>
      <c r="F240" s="67">
        <v>0</v>
      </c>
      <c r="G240" s="67">
        <v>0</v>
      </c>
      <c r="H240" s="67">
        <v>0</v>
      </c>
      <c r="I240" s="67">
        <v>0</v>
      </c>
      <c r="J240" s="67">
        <v>0</v>
      </c>
    </row>
    <row r="241" spans="2:10">
      <c r="B241" s="147" t="s">
        <v>336</v>
      </c>
      <c r="C241" s="67">
        <v>0</v>
      </c>
      <c r="D241" s="67">
        <v>0</v>
      </c>
      <c r="E241" s="67">
        <v>0</v>
      </c>
      <c r="F241" s="67">
        <v>0</v>
      </c>
      <c r="G241" s="67">
        <v>0</v>
      </c>
      <c r="H241" s="67">
        <v>0</v>
      </c>
      <c r="I241" s="67">
        <v>0</v>
      </c>
      <c r="J241" s="67">
        <v>0</v>
      </c>
    </row>
    <row r="242" spans="2:10">
      <c r="B242" s="147" t="s">
        <v>335</v>
      </c>
      <c r="C242" s="67">
        <v>0</v>
      </c>
      <c r="D242" s="67">
        <v>0</v>
      </c>
      <c r="E242" s="67">
        <v>0</v>
      </c>
      <c r="F242" s="67">
        <v>0</v>
      </c>
      <c r="G242" s="67">
        <v>0</v>
      </c>
      <c r="H242" s="67">
        <v>0</v>
      </c>
      <c r="I242" s="67">
        <v>0</v>
      </c>
      <c r="J242" s="67">
        <v>0</v>
      </c>
    </row>
    <row r="243" spans="2:10">
      <c r="B243" s="147"/>
      <c r="C243" s="55"/>
      <c r="D243" s="55"/>
      <c r="E243" s="55"/>
      <c r="F243" s="55"/>
      <c r="G243" s="55"/>
      <c r="H243" s="55"/>
      <c r="I243" s="55"/>
      <c r="J243" s="55"/>
    </row>
    <row r="244" spans="2:10" ht="26">
      <c r="B244" s="148" t="s">
        <v>345</v>
      </c>
      <c r="C244" s="67">
        <v>0</v>
      </c>
      <c r="D244" s="67">
        <v>0</v>
      </c>
      <c r="E244" s="67">
        <v>0</v>
      </c>
      <c r="F244" s="67">
        <v>0</v>
      </c>
      <c r="G244" s="67">
        <v>0</v>
      </c>
      <c r="H244" s="67">
        <v>0</v>
      </c>
      <c r="I244" s="67">
        <v>0</v>
      </c>
      <c r="J244" s="67">
        <v>0</v>
      </c>
    </row>
    <row r="245" spans="2:10">
      <c r="B245" s="54" t="s">
        <v>342</v>
      </c>
      <c r="C245" s="67">
        <v>0</v>
      </c>
      <c r="D245" s="67">
        <v>0</v>
      </c>
      <c r="E245" s="67">
        <v>0</v>
      </c>
      <c r="F245" s="67">
        <v>0</v>
      </c>
      <c r="G245" s="67">
        <v>0</v>
      </c>
      <c r="H245" s="67">
        <v>0</v>
      </c>
      <c r="I245" s="67">
        <v>0</v>
      </c>
      <c r="J245" s="67">
        <v>0</v>
      </c>
    </row>
    <row r="246" spans="2:10">
      <c r="B246" s="147" t="s">
        <v>341</v>
      </c>
      <c r="C246" s="67">
        <v>0</v>
      </c>
      <c r="D246" s="67">
        <v>0</v>
      </c>
      <c r="E246" s="67">
        <v>0</v>
      </c>
      <c r="F246" s="67">
        <v>0</v>
      </c>
      <c r="G246" s="67">
        <v>0</v>
      </c>
      <c r="H246" s="67">
        <v>0</v>
      </c>
      <c r="I246" s="67">
        <v>0</v>
      </c>
      <c r="J246" s="67">
        <v>0</v>
      </c>
    </row>
    <row r="247" spans="2:10">
      <c r="B247" s="147" t="s">
        <v>340</v>
      </c>
      <c r="C247" s="67">
        <v>0</v>
      </c>
      <c r="D247" s="67">
        <v>0</v>
      </c>
      <c r="E247" s="67">
        <v>0</v>
      </c>
      <c r="F247" s="67">
        <v>0</v>
      </c>
      <c r="G247" s="67">
        <v>0</v>
      </c>
      <c r="H247" s="67">
        <v>0</v>
      </c>
      <c r="I247" s="67">
        <v>0</v>
      </c>
      <c r="J247" s="67">
        <v>0</v>
      </c>
    </row>
    <row r="248" spans="2:10">
      <c r="B248" s="54" t="s">
        <v>339</v>
      </c>
      <c r="C248" s="67">
        <v>0</v>
      </c>
      <c r="D248" s="67">
        <v>0</v>
      </c>
      <c r="E248" s="67">
        <v>0</v>
      </c>
      <c r="F248" s="67">
        <v>0</v>
      </c>
      <c r="G248" s="67">
        <v>0</v>
      </c>
      <c r="H248" s="67">
        <v>0</v>
      </c>
      <c r="I248" s="67">
        <v>0</v>
      </c>
      <c r="J248" s="67">
        <v>0</v>
      </c>
    </row>
    <row r="249" spans="2:10">
      <c r="B249" s="54" t="s">
        <v>338</v>
      </c>
      <c r="C249" s="67">
        <v>0</v>
      </c>
      <c r="D249" s="67">
        <v>0</v>
      </c>
      <c r="E249" s="67">
        <v>0</v>
      </c>
      <c r="F249" s="67">
        <v>0</v>
      </c>
      <c r="G249" s="67">
        <v>0</v>
      </c>
      <c r="H249" s="67">
        <v>0</v>
      </c>
      <c r="I249" s="67">
        <v>0</v>
      </c>
      <c r="J249" s="67">
        <v>0</v>
      </c>
    </row>
    <row r="250" spans="2:10">
      <c r="B250" s="147" t="s">
        <v>337</v>
      </c>
      <c r="C250" s="67">
        <v>0</v>
      </c>
      <c r="D250" s="67">
        <v>0</v>
      </c>
      <c r="E250" s="67">
        <v>0</v>
      </c>
      <c r="F250" s="67">
        <v>0</v>
      </c>
      <c r="G250" s="67">
        <v>0</v>
      </c>
      <c r="H250" s="67">
        <v>0</v>
      </c>
      <c r="I250" s="67">
        <v>0</v>
      </c>
      <c r="J250" s="67">
        <v>0</v>
      </c>
    </row>
    <row r="251" spans="2:10">
      <c r="B251" s="147" t="s">
        <v>336</v>
      </c>
      <c r="C251" s="67">
        <v>0</v>
      </c>
      <c r="D251" s="67">
        <v>0</v>
      </c>
      <c r="E251" s="67">
        <v>0</v>
      </c>
      <c r="F251" s="67">
        <v>0</v>
      </c>
      <c r="G251" s="67">
        <v>0</v>
      </c>
      <c r="H251" s="67">
        <v>0</v>
      </c>
      <c r="I251" s="67">
        <v>0</v>
      </c>
      <c r="J251" s="67">
        <v>0</v>
      </c>
    </row>
    <row r="252" spans="2:10">
      <c r="B252" s="147" t="s">
        <v>335</v>
      </c>
      <c r="C252" s="67">
        <v>0</v>
      </c>
      <c r="D252" s="67">
        <v>0</v>
      </c>
      <c r="E252" s="67">
        <v>0</v>
      </c>
      <c r="F252" s="67">
        <v>0</v>
      </c>
      <c r="G252" s="67">
        <v>0</v>
      </c>
      <c r="H252" s="67">
        <v>0</v>
      </c>
      <c r="I252" s="67">
        <v>0</v>
      </c>
      <c r="J252" s="67">
        <v>0</v>
      </c>
    </row>
    <row r="253" spans="2:10">
      <c r="B253" s="147"/>
      <c r="C253" s="55"/>
      <c r="D253" s="55"/>
      <c r="E253" s="55"/>
      <c r="F253" s="55"/>
      <c r="G253" s="55"/>
      <c r="H253" s="55"/>
      <c r="I253" s="55"/>
      <c r="J253" s="55"/>
    </row>
    <row r="254" spans="2:10" ht="26">
      <c r="B254" s="148" t="s">
        <v>344</v>
      </c>
      <c r="C254" s="67">
        <v>0</v>
      </c>
      <c r="D254" s="67">
        <v>0</v>
      </c>
      <c r="E254" s="67">
        <v>0</v>
      </c>
      <c r="F254" s="67">
        <v>0</v>
      </c>
      <c r="G254" s="67">
        <v>0</v>
      </c>
      <c r="H254" s="67">
        <v>0</v>
      </c>
      <c r="I254" s="67">
        <v>0</v>
      </c>
      <c r="J254" s="67">
        <v>0</v>
      </c>
    </row>
    <row r="255" spans="2:10">
      <c r="B255" s="54" t="s">
        <v>342</v>
      </c>
      <c r="C255" s="67">
        <v>0</v>
      </c>
      <c r="D255" s="67">
        <v>0</v>
      </c>
      <c r="E255" s="67">
        <v>0</v>
      </c>
      <c r="F255" s="67">
        <v>0</v>
      </c>
      <c r="G255" s="67">
        <v>0</v>
      </c>
      <c r="H255" s="67">
        <v>0</v>
      </c>
      <c r="I255" s="67">
        <v>0</v>
      </c>
      <c r="J255" s="67">
        <v>0</v>
      </c>
    </row>
    <row r="256" spans="2:10">
      <c r="B256" s="147" t="s">
        <v>341</v>
      </c>
      <c r="C256" s="67">
        <v>0</v>
      </c>
      <c r="D256" s="67">
        <v>0</v>
      </c>
      <c r="E256" s="67">
        <v>0</v>
      </c>
      <c r="F256" s="67">
        <v>0</v>
      </c>
      <c r="G256" s="67">
        <v>0</v>
      </c>
      <c r="H256" s="67">
        <v>0</v>
      </c>
      <c r="I256" s="67">
        <v>0</v>
      </c>
      <c r="J256" s="67">
        <v>0</v>
      </c>
    </row>
    <row r="257" spans="2:10">
      <c r="B257" s="147" t="s">
        <v>340</v>
      </c>
      <c r="C257" s="67">
        <v>0</v>
      </c>
      <c r="D257" s="67">
        <v>0</v>
      </c>
      <c r="E257" s="67">
        <v>0</v>
      </c>
      <c r="F257" s="67">
        <v>0</v>
      </c>
      <c r="G257" s="67">
        <v>0</v>
      </c>
      <c r="H257" s="67">
        <v>0</v>
      </c>
      <c r="I257" s="67">
        <v>0</v>
      </c>
      <c r="J257" s="67">
        <v>0</v>
      </c>
    </row>
    <row r="258" spans="2:10">
      <c r="B258" s="54" t="s">
        <v>339</v>
      </c>
      <c r="C258" s="67">
        <v>0</v>
      </c>
      <c r="D258" s="67">
        <v>0</v>
      </c>
      <c r="E258" s="67">
        <v>0</v>
      </c>
      <c r="F258" s="67">
        <v>0</v>
      </c>
      <c r="G258" s="67">
        <v>0</v>
      </c>
      <c r="H258" s="67">
        <v>0</v>
      </c>
      <c r="I258" s="67">
        <v>0</v>
      </c>
      <c r="J258" s="67">
        <v>0</v>
      </c>
    </row>
    <row r="259" spans="2:10">
      <c r="B259" s="54" t="s">
        <v>338</v>
      </c>
      <c r="C259" s="67">
        <v>0</v>
      </c>
      <c r="D259" s="67">
        <v>0</v>
      </c>
      <c r="E259" s="67">
        <v>0</v>
      </c>
      <c r="F259" s="67">
        <v>0</v>
      </c>
      <c r="G259" s="67">
        <v>0</v>
      </c>
      <c r="H259" s="67">
        <v>0</v>
      </c>
      <c r="I259" s="67">
        <v>0</v>
      </c>
      <c r="J259" s="67">
        <v>0</v>
      </c>
    </row>
    <row r="260" spans="2:10">
      <c r="B260" s="147" t="s">
        <v>337</v>
      </c>
      <c r="C260" s="67">
        <v>0</v>
      </c>
      <c r="D260" s="67">
        <v>0</v>
      </c>
      <c r="E260" s="67">
        <v>0</v>
      </c>
      <c r="F260" s="67">
        <v>0</v>
      </c>
      <c r="G260" s="67">
        <v>0</v>
      </c>
      <c r="H260" s="67">
        <v>0</v>
      </c>
      <c r="I260" s="67">
        <v>0</v>
      </c>
      <c r="J260" s="67">
        <v>0</v>
      </c>
    </row>
    <row r="261" spans="2:10">
      <c r="B261" s="147" t="s">
        <v>336</v>
      </c>
      <c r="C261" s="67">
        <v>0</v>
      </c>
      <c r="D261" s="67">
        <v>0</v>
      </c>
      <c r="E261" s="67">
        <v>0</v>
      </c>
      <c r="F261" s="67">
        <v>0</v>
      </c>
      <c r="G261" s="67">
        <v>0</v>
      </c>
      <c r="H261" s="67">
        <v>0</v>
      </c>
      <c r="I261" s="67">
        <v>0</v>
      </c>
      <c r="J261" s="67">
        <v>0</v>
      </c>
    </row>
    <row r="262" spans="2:10">
      <c r="B262" s="147" t="s">
        <v>335</v>
      </c>
      <c r="C262" s="67">
        <v>0</v>
      </c>
      <c r="D262" s="67">
        <v>0</v>
      </c>
      <c r="E262" s="67">
        <v>0</v>
      </c>
      <c r="F262" s="67">
        <v>0</v>
      </c>
      <c r="G262" s="67">
        <v>0</v>
      </c>
      <c r="H262" s="67">
        <v>0</v>
      </c>
      <c r="I262" s="67">
        <v>0</v>
      </c>
      <c r="J262" s="67">
        <v>0</v>
      </c>
    </row>
    <row r="263" spans="2:10">
      <c r="B263" s="147"/>
      <c r="C263" s="55"/>
      <c r="D263" s="55"/>
      <c r="E263" s="55"/>
      <c r="F263" s="55"/>
      <c r="G263" s="55"/>
      <c r="H263" s="55"/>
      <c r="I263" s="55"/>
      <c r="J263" s="55"/>
    </row>
    <row r="264" spans="2:10" ht="26">
      <c r="B264" s="148" t="s">
        <v>343</v>
      </c>
      <c r="C264" s="67">
        <v>0</v>
      </c>
      <c r="D264" s="67">
        <v>0</v>
      </c>
      <c r="E264" s="67">
        <v>0</v>
      </c>
      <c r="F264" s="67">
        <v>0</v>
      </c>
      <c r="G264" s="67">
        <v>0</v>
      </c>
      <c r="H264" s="67">
        <v>0</v>
      </c>
      <c r="I264" s="67">
        <v>0</v>
      </c>
      <c r="J264" s="67">
        <v>0</v>
      </c>
    </row>
    <row r="265" spans="2:10">
      <c r="B265" s="54" t="s">
        <v>342</v>
      </c>
      <c r="C265" s="67">
        <v>0</v>
      </c>
      <c r="D265" s="67">
        <v>0</v>
      </c>
      <c r="E265" s="67">
        <v>0</v>
      </c>
      <c r="F265" s="67">
        <v>0</v>
      </c>
      <c r="G265" s="67">
        <v>0</v>
      </c>
      <c r="H265" s="67">
        <v>0</v>
      </c>
      <c r="I265" s="67">
        <v>0</v>
      </c>
      <c r="J265" s="67">
        <v>0</v>
      </c>
    </row>
    <row r="266" spans="2:10">
      <c r="B266" s="147" t="s">
        <v>341</v>
      </c>
      <c r="C266" s="67">
        <v>0</v>
      </c>
      <c r="D266" s="67">
        <v>0</v>
      </c>
      <c r="E266" s="67">
        <v>0</v>
      </c>
      <c r="F266" s="67">
        <v>0</v>
      </c>
      <c r="G266" s="67">
        <v>0</v>
      </c>
      <c r="H266" s="67">
        <v>0</v>
      </c>
      <c r="I266" s="67">
        <v>0</v>
      </c>
      <c r="J266" s="67">
        <v>0</v>
      </c>
    </row>
    <row r="267" spans="2:10">
      <c r="B267" s="147" t="s">
        <v>340</v>
      </c>
      <c r="C267" s="67">
        <v>0</v>
      </c>
      <c r="D267" s="67">
        <v>0</v>
      </c>
      <c r="E267" s="67">
        <v>0</v>
      </c>
      <c r="F267" s="67">
        <v>0</v>
      </c>
      <c r="G267" s="67">
        <v>0</v>
      </c>
      <c r="H267" s="67">
        <v>0</v>
      </c>
      <c r="I267" s="67">
        <v>0</v>
      </c>
      <c r="J267" s="67">
        <v>0</v>
      </c>
    </row>
    <row r="268" spans="2:10">
      <c r="B268" s="54" t="s">
        <v>339</v>
      </c>
      <c r="C268" s="67">
        <v>0</v>
      </c>
      <c r="D268" s="67">
        <v>0</v>
      </c>
      <c r="E268" s="67">
        <v>0</v>
      </c>
      <c r="F268" s="67">
        <v>0</v>
      </c>
      <c r="G268" s="67">
        <v>0</v>
      </c>
      <c r="H268" s="67">
        <v>0</v>
      </c>
      <c r="I268" s="67">
        <v>0</v>
      </c>
      <c r="J268" s="67">
        <v>0</v>
      </c>
    </row>
    <row r="269" spans="2:10">
      <c r="B269" s="54" t="s">
        <v>338</v>
      </c>
      <c r="C269" s="67">
        <v>0</v>
      </c>
      <c r="D269" s="67">
        <v>0</v>
      </c>
      <c r="E269" s="67">
        <v>0</v>
      </c>
      <c r="F269" s="67">
        <v>0</v>
      </c>
      <c r="G269" s="67">
        <v>0</v>
      </c>
      <c r="H269" s="67">
        <v>0</v>
      </c>
      <c r="I269" s="67">
        <v>0</v>
      </c>
      <c r="J269" s="67">
        <v>0</v>
      </c>
    </row>
    <row r="270" spans="2:10">
      <c r="B270" s="147" t="s">
        <v>337</v>
      </c>
      <c r="C270" s="67">
        <v>0</v>
      </c>
      <c r="D270" s="67">
        <v>0</v>
      </c>
      <c r="E270" s="67">
        <v>0</v>
      </c>
      <c r="F270" s="67">
        <v>0</v>
      </c>
      <c r="G270" s="67">
        <v>0</v>
      </c>
      <c r="H270" s="67">
        <v>0</v>
      </c>
      <c r="I270" s="67">
        <v>0</v>
      </c>
      <c r="J270" s="67">
        <v>0</v>
      </c>
    </row>
    <row r="271" spans="2:10">
      <c r="B271" s="147" t="s">
        <v>336</v>
      </c>
      <c r="C271" s="67">
        <v>0</v>
      </c>
      <c r="D271" s="67">
        <v>0</v>
      </c>
      <c r="E271" s="67">
        <v>0</v>
      </c>
      <c r="F271" s="67">
        <v>0</v>
      </c>
      <c r="G271" s="67">
        <v>0</v>
      </c>
      <c r="H271" s="67">
        <v>0</v>
      </c>
      <c r="I271" s="67">
        <v>0</v>
      </c>
      <c r="J271" s="67">
        <v>0</v>
      </c>
    </row>
    <row r="272" spans="2:10" ht="15" thickBot="1">
      <c r="B272" s="146" t="s">
        <v>335</v>
      </c>
      <c r="C272" s="67">
        <v>0</v>
      </c>
      <c r="D272" s="67">
        <v>0</v>
      </c>
      <c r="E272" s="67">
        <v>0</v>
      </c>
      <c r="F272" s="67">
        <v>0</v>
      </c>
      <c r="G272" s="67">
        <v>0</v>
      </c>
      <c r="H272" s="67">
        <v>0</v>
      </c>
      <c r="I272" s="67">
        <v>0</v>
      </c>
      <c r="J272" s="67">
        <v>0</v>
      </c>
    </row>
    <row r="273" spans="2:10" ht="15" thickTop="1">
      <c r="B273" s="2039" t="s">
        <v>571</v>
      </c>
      <c r="C273" s="2039"/>
      <c r="D273" s="2039"/>
      <c r="E273" s="2039"/>
      <c r="F273" s="2039"/>
      <c r="G273" s="2039"/>
      <c r="H273" s="2039"/>
      <c r="I273" s="2039"/>
      <c r="J273" s="2039"/>
    </row>
    <row r="274" spans="2:10">
      <c r="B274" s="64"/>
    </row>
    <row r="275" spans="2:10">
      <c r="B275" s="2024" t="s">
        <v>333</v>
      </c>
      <c r="C275" s="2024"/>
      <c r="D275" s="2024"/>
      <c r="E275" s="2024"/>
      <c r="F275" s="2024"/>
      <c r="G275" s="2024"/>
      <c r="H275" s="2024"/>
      <c r="I275" s="2024"/>
      <c r="J275" s="2024"/>
    </row>
    <row r="276" spans="2:10">
      <c r="B276" s="12" t="s">
        <v>332</v>
      </c>
    </row>
    <row r="277" spans="2:10">
      <c r="B277" s="62" t="s">
        <v>269</v>
      </c>
    </row>
    <row r="278" spans="2:10">
      <c r="B278" s="64"/>
    </row>
    <row r="279" spans="2:10">
      <c r="B279" s="61"/>
      <c r="C279" s="60">
        <v>2014</v>
      </c>
      <c r="D279" s="60">
        <v>2015</v>
      </c>
      <c r="E279" s="60">
        <v>2016</v>
      </c>
      <c r="F279" s="60">
        <v>2017</v>
      </c>
      <c r="G279" s="60">
        <v>2018</v>
      </c>
      <c r="H279" s="60">
        <v>2019</v>
      </c>
      <c r="I279" s="60">
        <v>2020</v>
      </c>
      <c r="J279" s="60">
        <v>2021</v>
      </c>
    </row>
    <row r="280" spans="2:10">
      <c r="B280" s="114" t="s">
        <v>310</v>
      </c>
    </row>
    <row r="281" spans="2:10">
      <c r="B281" s="114"/>
    </row>
    <row r="282" spans="2:10">
      <c r="B282" s="59" t="s">
        <v>572</v>
      </c>
    </row>
    <row r="283" spans="2:10">
      <c r="B283" s="71" t="s">
        <v>331</v>
      </c>
      <c r="C283" s="74">
        <v>150</v>
      </c>
      <c r="D283" s="74">
        <v>146</v>
      </c>
      <c r="E283" s="74">
        <v>142</v>
      </c>
      <c r="F283" s="74">
        <v>139</v>
      </c>
      <c r="G283" s="74">
        <v>139</v>
      </c>
      <c r="H283" s="74">
        <v>139</v>
      </c>
      <c r="I283" s="74">
        <v>131</v>
      </c>
      <c r="J283" s="74">
        <v>136</v>
      </c>
    </row>
    <row r="284" spans="2:10">
      <c r="B284" s="133" t="s">
        <v>330</v>
      </c>
      <c r="C284" s="74">
        <v>150</v>
      </c>
      <c r="D284" s="74">
        <v>146</v>
      </c>
      <c r="E284" s="74">
        <v>142</v>
      </c>
      <c r="F284" s="74">
        <v>139</v>
      </c>
      <c r="G284" s="74">
        <v>139</v>
      </c>
      <c r="H284" s="74">
        <v>139</v>
      </c>
      <c r="I284" s="74">
        <v>131</v>
      </c>
      <c r="J284" s="74">
        <v>136</v>
      </c>
    </row>
    <row r="285" spans="2:10">
      <c r="B285" s="52" t="s">
        <v>260</v>
      </c>
      <c r="C285" s="74">
        <v>22</v>
      </c>
      <c r="D285" s="74">
        <v>25</v>
      </c>
      <c r="E285" s="74">
        <v>25</v>
      </c>
      <c r="F285" s="74">
        <v>25</v>
      </c>
      <c r="G285" s="74">
        <v>25</v>
      </c>
      <c r="H285" s="74">
        <v>26</v>
      </c>
      <c r="I285" s="74">
        <v>25</v>
      </c>
      <c r="J285" s="74">
        <v>28</v>
      </c>
    </row>
    <row r="286" spans="2:10">
      <c r="B286" s="52" t="s">
        <v>329</v>
      </c>
      <c r="C286" s="74">
        <v>1</v>
      </c>
      <c r="D286" s="74">
        <v>1</v>
      </c>
      <c r="E286" s="74">
        <v>1</v>
      </c>
      <c r="F286" s="74">
        <v>1</v>
      </c>
      <c r="G286" s="74">
        <v>1</v>
      </c>
      <c r="H286" s="74">
        <v>1</v>
      </c>
      <c r="I286" s="74">
        <v>1</v>
      </c>
      <c r="J286" s="74">
        <v>1</v>
      </c>
    </row>
    <row r="287" spans="2:10">
      <c r="B287" s="52" t="s">
        <v>328</v>
      </c>
      <c r="C287" s="74"/>
      <c r="D287" s="74"/>
      <c r="E287" s="74"/>
      <c r="F287" s="74"/>
      <c r="G287" s="74"/>
      <c r="H287" s="74"/>
      <c r="I287" s="74"/>
      <c r="J287" s="74"/>
    </row>
    <row r="288" spans="2:10">
      <c r="B288" s="136" t="s">
        <v>327</v>
      </c>
      <c r="C288" s="74">
        <v>10</v>
      </c>
      <c r="D288" s="74">
        <v>10</v>
      </c>
      <c r="E288" s="74">
        <v>10</v>
      </c>
      <c r="F288" s="74">
        <v>10</v>
      </c>
      <c r="G288" s="74">
        <v>10</v>
      </c>
      <c r="H288" s="74">
        <v>10</v>
      </c>
      <c r="I288" s="74">
        <v>8</v>
      </c>
      <c r="J288" s="74">
        <v>8</v>
      </c>
    </row>
    <row r="289" spans="2:10">
      <c r="B289" s="136" t="s">
        <v>326</v>
      </c>
      <c r="C289" s="74"/>
      <c r="D289" s="74"/>
      <c r="E289" s="74"/>
      <c r="F289" s="74"/>
      <c r="G289" s="74"/>
      <c r="H289" s="74"/>
      <c r="I289" s="74"/>
      <c r="J289" s="74"/>
    </row>
    <row r="290" spans="2:10">
      <c r="B290" s="136" t="s">
        <v>325</v>
      </c>
      <c r="C290" s="74">
        <v>6</v>
      </c>
      <c r="D290" s="74">
        <v>6</v>
      </c>
      <c r="E290" s="74">
        <v>6</v>
      </c>
      <c r="F290" s="74">
        <v>6</v>
      </c>
      <c r="G290" s="74">
        <v>7</v>
      </c>
      <c r="H290" s="74">
        <v>9</v>
      </c>
      <c r="I290" s="74">
        <v>10</v>
      </c>
      <c r="J290" s="74">
        <v>8</v>
      </c>
    </row>
    <row r="291" spans="2:10">
      <c r="B291" s="136" t="s">
        <v>323</v>
      </c>
      <c r="C291" s="74">
        <v>111</v>
      </c>
      <c r="D291" s="74">
        <v>104</v>
      </c>
      <c r="E291" s="74">
        <v>100</v>
      </c>
      <c r="F291" s="74">
        <v>97</v>
      </c>
      <c r="G291" s="74">
        <v>96</v>
      </c>
      <c r="H291" s="74">
        <v>93</v>
      </c>
      <c r="I291" s="74">
        <v>87</v>
      </c>
      <c r="J291" s="74">
        <v>92</v>
      </c>
    </row>
    <row r="292" spans="2:10">
      <c r="B292" s="136" t="s">
        <v>117</v>
      </c>
      <c r="C292" s="74">
        <v>0</v>
      </c>
      <c r="D292" s="74">
        <v>0</v>
      </c>
      <c r="E292" s="74">
        <v>0</v>
      </c>
      <c r="F292" s="74">
        <v>0</v>
      </c>
      <c r="G292" s="74">
        <v>0</v>
      </c>
      <c r="H292" s="74">
        <v>0</v>
      </c>
      <c r="I292" s="74">
        <v>0</v>
      </c>
      <c r="J292" s="74">
        <v>0</v>
      </c>
    </row>
    <row r="293" spans="2:10">
      <c r="B293" s="133" t="s">
        <v>322</v>
      </c>
      <c r="C293" s="74">
        <v>0</v>
      </c>
      <c r="D293" s="74">
        <v>0</v>
      </c>
      <c r="E293" s="74">
        <v>0</v>
      </c>
      <c r="F293" s="74">
        <v>0</v>
      </c>
      <c r="G293" s="74">
        <v>0</v>
      </c>
      <c r="H293" s="74">
        <v>0</v>
      </c>
      <c r="I293" s="74">
        <v>0</v>
      </c>
      <c r="J293" s="74">
        <v>0</v>
      </c>
    </row>
    <row r="294" spans="2:10">
      <c r="B294" s="133"/>
      <c r="C294" s="74"/>
      <c r="D294" s="74"/>
      <c r="E294" s="74"/>
      <c r="F294" s="74"/>
      <c r="G294" s="74"/>
      <c r="H294" s="74"/>
      <c r="I294" s="74"/>
      <c r="J294" s="74"/>
    </row>
    <row r="295" spans="2:10">
      <c r="B295" s="114" t="s">
        <v>302</v>
      </c>
      <c r="C295" s="74"/>
      <c r="D295" s="74"/>
      <c r="E295" s="74"/>
      <c r="F295" s="74"/>
      <c r="G295" s="74"/>
      <c r="H295" s="74"/>
      <c r="I295" s="74"/>
      <c r="J295" s="74"/>
    </row>
    <row r="296" spans="2:10">
      <c r="B296" s="114"/>
      <c r="C296" s="74"/>
      <c r="D296" s="74"/>
      <c r="E296" s="74"/>
      <c r="F296" s="74"/>
      <c r="G296" s="74"/>
      <c r="H296" s="74"/>
      <c r="I296" s="74"/>
      <c r="J296" s="74"/>
    </row>
    <row r="297" spans="2:10">
      <c r="B297" s="59" t="s">
        <v>573</v>
      </c>
      <c r="C297" s="74"/>
      <c r="D297" s="74"/>
      <c r="E297" s="74"/>
      <c r="F297" s="74"/>
      <c r="G297" s="74"/>
      <c r="H297" s="74"/>
      <c r="I297" s="74"/>
      <c r="J297" s="74"/>
    </row>
    <row r="298" spans="2:10">
      <c r="B298" s="71" t="s">
        <v>331</v>
      </c>
      <c r="C298" s="269">
        <v>25</v>
      </c>
      <c r="D298" s="269">
        <v>26</v>
      </c>
      <c r="E298" s="269">
        <v>25</v>
      </c>
      <c r="F298" s="269">
        <v>25</v>
      </c>
      <c r="G298" s="269">
        <v>25</v>
      </c>
      <c r="H298" s="269">
        <v>26</v>
      </c>
      <c r="I298" s="269">
        <v>25</v>
      </c>
      <c r="J298" s="269">
        <v>25</v>
      </c>
    </row>
    <row r="299" spans="2:10">
      <c r="B299" s="133" t="s">
        <v>330</v>
      </c>
      <c r="C299" s="270">
        <v>25</v>
      </c>
      <c r="D299" s="270">
        <v>26</v>
      </c>
      <c r="E299" s="270">
        <v>25</v>
      </c>
      <c r="F299" s="270">
        <v>25</v>
      </c>
      <c r="G299" s="270">
        <v>25</v>
      </c>
      <c r="H299" s="270">
        <v>26</v>
      </c>
      <c r="I299" s="270">
        <v>25</v>
      </c>
      <c r="J299" s="270">
        <v>25</v>
      </c>
    </row>
    <row r="300" spans="2:10">
      <c r="B300" s="52" t="s">
        <v>260</v>
      </c>
      <c r="C300" s="270">
        <v>22</v>
      </c>
      <c r="D300" s="270">
        <v>25</v>
      </c>
      <c r="E300" s="270">
        <v>24</v>
      </c>
      <c r="F300" s="270">
        <v>24</v>
      </c>
      <c r="G300" s="270">
        <v>24</v>
      </c>
      <c r="H300" s="270">
        <v>25</v>
      </c>
      <c r="I300" s="270">
        <v>24</v>
      </c>
      <c r="J300" s="270">
        <v>24</v>
      </c>
    </row>
    <row r="301" spans="2:10">
      <c r="B301" s="52" t="s">
        <v>329</v>
      </c>
      <c r="C301" s="269">
        <v>1</v>
      </c>
      <c r="D301" s="269">
        <v>1</v>
      </c>
      <c r="E301" s="269">
        <v>1</v>
      </c>
      <c r="F301" s="269">
        <v>1</v>
      </c>
      <c r="G301" s="269">
        <v>1</v>
      </c>
      <c r="H301" s="269">
        <v>1</v>
      </c>
      <c r="I301" s="269">
        <v>1</v>
      </c>
      <c r="J301" s="269">
        <v>1</v>
      </c>
    </row>
    <row r="302" spans="2:10">
      <c r="B302" s="52" t="s">
        <v>328</v>
      </c>
      <c r="C302" s="269"/>
      <c r="D302" s="269"/>
      <c r="E302" s="269"/>
      <c r="F302" s="269"/>
      <c r="G302" s="269"/>
      <c r="H302" s="269"/>
      <c r="I302" s="269"/>
      <c r="J302" s="269"/>
    </row>
    <row r="303" spans="2:10">
      <c r="B303" s="136" t="s">
        <v>327</v>
      </c>
      <c r="C303" s="269">
        <v>0</v>
      </c>
      <c r="D303" s="269">
        <v>0</v>
      </c>
      <c r="E303" s="269">
        <v>0</v>
      </c>
      <c r="F303" s="269">
        <v>0</v>
      </c>
      <c r="G303" s="269">
        <v>0</v>
      </c>
      <c r="H303" s="269">
        <v>0</v>
      </c>
      <c r="I303" s="269">
        <v>0</v>
      </c>
      <c r="J303" s="269">
        <v>0</v>
      </c>
    </row>
    <row r="304" spans="2:10">
      <c r="B304" s="136" t="s">
        <v>326</v>
      </c>
      <c r="C304" s="269">
        <v>0</v>
      </c>
      <c r="D304" s="269">
        <v>0</v>
      </c>
      <c r="E304" s="269">
        <v>0</v>
      </c>
      <c r="F304" s="269">
        <v>0</v>
      </c>
      <c r="G304" s="269">
        <v>0</v>
      </c>
      <c r="H304" s="269">
        <v>0</v>
      </c>
      <c r="I304" s="269">
        <v>0</v>
      </c>
      <c r="J304" s="269">
        <v>0</v>
      </c>
    </row>
    <row r="305" spans="2:10">
      <c r="B305" s="136" t="s">
        <v>325</v>
      </c>
      <c r="C305" s="269">
        <v>0</v>
      </c>
      <c r="D305" s="269">
        <v>0</v>
      </c>
      <c r="E305" s="269">
        <v>0</v>
      </c>
      <c r="F305" s="269">
        <v>0</v>
      </c>
      <c r="G305" s="269">
        <v>0</v>
      </c>
      <c r="H305" s="269">
        <v>0</v>
      </c>
      <c r="I305" s="269">
        <v>0</v>
      </c>
      <c r="J305" s="269">
        <v>0</v>
      </c>
    </row>
    <row r="306" spans="2:10">
      <c r="B306" s="136" t="s">
        <v>323</v>
      </c>
      <c r="C306" s="269">
        <v>2</v>
      </c>
      <c r="D306" s="269">
        <v>0</v>
      </c>
      <c r="E306" s="269">
        <v>0</v>
      </c>
      <c r="F306" s="269">
        <v>0</v>
      </c>
      <c r="G306" s="269">
        <v>0</v>
      </c>
      <c r="H306" s="269">
        <v>0</v>
      </c>
      <c r="I306" s="269">
        <v>0</v>
      </c>
      <c r="J306" s="269">
        <v>0</v>
      </c>
    </row>
    <row r="307" spans="2:10">
      <c r="B307" s="136" t="s">
        <v>117</v>
      </c>
      <c r="C307" s="269">
        <v>0</v>
      </c>
      <c r="D307" s="269">
        <v>0</v>
      </c>
      <c r="E307" s="269">
        <v>0</v>
      </c>
      <c r="F307" s="269">
        <v>0</v>
      </c>
      <c r="G307" s="269">
        <v>0</v>
      </c>
      <c r="H307" s="269">
        <v>0</v>
      </c>
      <c r="I307" s="269">
        <v>0</v>
      </c>
      <c r="J307" s="269">
        <v>0</v>
      </c>
    </row>
    <row r="308" spans="2:10">
      <c r="B308" s="133" t="s">
        <v>322</v>
      </c>
      <c r="C308" s="270">
        <v>0</v>
      </c>
      <c r="D308" s="270">
        <v>0</v>
      </c>
      <c r="E308" s="270">
        <v>0</v>
      </c>
      <c r="F308" s="270">
        <v>0</v>
      </c>
      <c r="G308" s="270">
        <v>0</v>
      </c>
      <c r="H308" s="270">
        <v>0</v>
      </c>
      <c r="I308" s="270">
        <v>0</v>
      </c>
      <c r="J308" s="270">
        <v>0</v>
      </c>
    </row>
    <row r="309" spans="2:10">
      <c r="B309" s="65"/>
      <c r="C309" s="74"/>
      <c r="D309" s="74"/>
      <c r="E309" s="74"/>
      <c r="F309" s="74"/>
      <c r="G309" s="74"/>
      <c r="H309" s="74"/>
      <c r="I309" s="74"/>
      <c r="J309" s="74"/>
    </row>
    <row r="310" spans="2:10">
      <c r="B310" s="59" t="s">
        <v>574</v>
      </c>
      <c r="C310" s="74"/>
      <c r="D310" s="74"/>
      <c r="E310" s="74"/>
      <c r="F310" s="74"/>
      <c r="G310" s="74"/>
      <c r="H310" s="74"/>
      <c r="I310" s="74"/>
      <c r="J310" s="74"/>
    </row>
    <row r="311" spans="2:10">
      <c r="B311" s="71" t="s">
        <v>331</v>
      </c>
      <c r="C311" s="269">
        <v>37</v>
      </c>
      <c r="D311" s="269">
        <v>39</v>
      </c>
      <c r="E311" s="269">
        <v>41</v>
      </c>
      <c r="F311" s="269">
        <v>41</v>
      </c>
      <c r="G311" s="269">
        <v>41</v>
      </c>
      <c r="H311" s="269">
        <v>42</v>
      </c>
      <c r="I311" s="269">
        <v>43</v>
      </c>
      <c r="J311" s="269">
        <v>42</v>
      </c>
    </row>
    <row r="312" spans="2:10">
      <c r="B312" s="133" t="s">
        <v>330</v>
      </c>
      <c r="C312" s="270">
        <v>37</v>
      </c>
      <c r="D312" s="270">
        <v>39</v>
      </c>
      <c r="E312" s="270">
        <v>41</v>
      </c>
      <c r="F312" s="270">
        <v>41</v>
      </c>
      <c r="G312" s="270">
        <v>41</v>
      </c>
      <c r="H312" s="270">
        <v>42</v>
      </c>
      <c r="I312" s="270">
        <v>43</v>
      </c>
      <c r="J312" s="270">
        <v>42</v>
      </c>
    </row>
    <row r="313" spans="2:10">
      <c r="B313" s="52" t="s">
        <v>260</v>
      </c>
      <c r="C313" s="270">
        <v>20</v>
      </c>
      <c r="D313" s="270">
        <v>22</v>
      </c>
      <c r="E313" s="270">
        <v>22</v>
      </c>
      <c r="F313" s="270">
        <v>23</v>
      </c>
      <c r="G313" s="270">
        <v>23</v>
      </c>
      <c r="H313" s="270">
        <v>25</v>
      </c>
      <c r="I313" s="270">
        <v>25</v>
      </c>
      <c r="J313" s="270">
        <v>25</v>
      </c>
    </row>
    <row r="314" spans="2:10">
      <c r="B314" s="52" t="s">
        <v>329</v>
      </c>
      <c r="C314" s="269">
        <v>1</v>
      </c>
      <c r="D314" s="269">
        <v>1</v>
      </c>
      <c r="E314" s="269">
        <v>1</v>
      </c>
      <c r="F314" s="269">
        <v>1</v>
      </c>
      <c r="G314" s="269">
        <v>1</v>
      </c>
      <c r="H314" s="269">
        <v>1</v>
      </c>
      <c r="I314" s="269">
        <v>1</v>
      </c>
      <c r="J314" s="269">
        <v>1</v>
      </c>
    </row>
    <row r="315" spans="2:10">
      <c r="B315" s="52" t="s">
        <v>328</v>
      </c>
      <c r="C315" s="269"/>
      <c r="D315" s="269"/>
      <c r="E315" s="269"/>
      <c r="F315" s="269"/>
      <c r="G315" s="269"/>
      <c r="H315" s="269"/>
      <c r="I315" s="269"/>
      <c r="J315" s="269"/>
    </row>
    <row r="316" spans="2:10">
      <c r="B316" s="136" t="s">
        <v>327</v>
      </c>
      <c r="C316" s="269">
        <v>1</v>
      </c>
      <c r="D316" s="269">
        <v>2</v>
      </c>
      <c r="E316" s="269">
        <v>2</v>
      </c>
      <c r="F316" s="269">
        <v>2</v>
      </c>
      <c r="G316" s="269">
        <v>2</v>
      </c>
      <c r="H316" s="269">
        <v>2</v>
      </c>
      <c r="I316" s="269">
        <v>2</v>
      </c>
      <c r="J316" s="269">
        <v>2</v>
      </c>
    </row>
    <row r="317" spans="2:10">
      <c r="B317" s="136" t="s">
        <v>326</v>
      </c>
      <c r="C317" s="269">
        <v>0</v>
      </c>
      <c r="D317" s="269">
        <v>0</v>
      </c>
      <c r="E317" s="269">
        <v>0</v>
      </c>
      <c r="F317" s="269">
        <v>0</v>
      </c>
      <c r="G317" s="269">
        <v>0</v>
      </c>
      <c r="H317" s="269">
        <v>0</v>
      </c>
      <c r="I317" s="269">
        <v>0</v>
      </c>
      <c r="J317" s="269">
        <v>0</v>
      </c>
    </row>
    <row r="318" spans="2:10">
      <c r="B318" s="136" t="s">
        <v>325</v>
      </c>
      <c r="C318" s="269">
        <v>0</v>
      </c>
      <c r="D318" s="269">
        <v>0</v>
      </c>
      <c r="E318" s="269">
        <v>0</v>
      </c>
      <c r="F318" s="269">
        <v>0</v>
      </c>
      <c r="G318" s="269">
        <v>0</v>
      </c>
      <c r="H318" s="269">
        <v>0</v>
      </c>
      <c r="I318" s="269">
        <v>0</v>
      </c>
      <c r="J318" s="269">
        <v>1</v>
      </c>
    </row>
    <row r="319" spans="2:10">
      <c r="B319" s="136" t="s">
        <v>323</v>
      </c>
      <c r="C319" s="269">
        <v>15</v>
      </c>
      <c r="D319" s="269">
        <v>14</v>
      </c>
      <c r="E319" s="269">
        <v>16</v>
      </c>
      <c r="F319" s="269">
        <v>15</v>
      </c>
      <c r="G319" s="269">
        <v>15</v>
      </c>
      <c r="H319" s="269">
        <v>14</v>
      </c>
      <c r="I319" s="269">
        <v>15</v>
      </c>
      <c r="J319" s="269">
        <v>13</v>
      </c>
    </row>
    <row r="320" spans="2:10">
      <c r="B320" s="136" t="s">
        <v>117</v>
      </c>
      <c r="C320" s="269">
        <v>0</v>
      </c>
      <c r="D320" s="269">
        <v>0</v>
      </c>
      <c r="E320" s="269">
        <v>0</v>
      </c>
      <c r="F320" s="269">
        <v>0</v>
      </c>
      <c r="G320" s="269">
        <v>0</v>
      </c>
      <c r="H320" s="269">
        <v>0</v>
      </c>
      <c r="I320" s="269">
        <v>0</v>
      </c>
      <c r="J320" s="269">
        <v>0</v>
      </c>
    </row>
    <row r="321" spans="2:10">
      <c r="B321" s="133" t="s">
        <v>322</v>
      </c>
      <c r="C321" s="270">
        <v>0</v>
      </c>
      <c r="D321" s="270">
        <v>0</v>
      </c>
      <c r="E321" s="270">
        <v>0</v>
      </c>
      <c r="F321" s="270">
        <v>0</v>
      </c>
      <c r="G321" s="270">
        <v>0</v>
      </c>
      <c r="H321" s="270">
        <v>0</v>
      </c>
      <c r="I321" s="270">
        <v>0</v>
      </c>
      <c r="J321" s="270">
        <v>0</v>
      </c>
    </row>
    <row r="322" spans="2:10">
      <c r="B322" s="65"/>
      <c r="C322" s="74"/>
      <c r="D322" s="74"/>
      <c r="E322" s="74"/>
      <c r="F322" s="74"/>
      <c r="G322" s="74"/>
      <c r="H322" s="74"/>
      <c r="I322" s="74"/>
      <c r="J322" s="74"/>
    </row>
    <row r="323" spans="2:10">
      <c r="B323" s="59" t="s">
        <v>575</v>
      </c>
      <c r="C323" s="74"/>
      <c r="D323" s="74"/>
      <c r="E323" s="74"/>
      <c r="F323" s="74"/>
      <c r="G323" s="74"/>
      <c r="H323" s="74"/>
      <c r="I323" s="74"/>
      <c r="J323" s="74"/>
    </row>
    <row r="324" spans="2:10">
      <c r="B324" s="71" t="s">
        <v>331</v>
      </c>
      <c r="C324" s="74">
        <v>20</v>
      </c>
      <c r="D324" s="74">
        <v>20</v>
      </c>
      <c r="E324" s="74">
        <v>20</v>
      </c>
      <c r="F324" s="74">
        <v>23</v>
      </c>
      <c r="G324" s="74">
        <v>25</v>
      </c>
      <c r="H324" s="74">
        <v>27</v>
      </c>
      <c r="I324" s="74">
        <v>27</v>
      </c>
      <c r="J324" s="74">
        <v>35</v>
      </c>
    </row>
    <row r="325" spans="2:10">
      <c r="B325" s="133" t="s">
        <v>330</v>
      </c>
      <c r="C325" s="74">
        <v>20</v>
      </c>
      <c r="D325" s="74">
        <v>20</v>
      </c>
      <c r="E325" s="74">
        <v>20</v>
      </c>
      <c r="F325" s="74">
        <v>23</v>
      </c>
      <c r="G325" s="74">
        <v>25</v>
      </c>
      <c r="H325" s="74">
        <v>27</v>
      </c>
      <c r="I325" s="74">
        <v>27</v>
      </c>
      <c r="J325" s="74">
        <v>26</v>
      </c>
    </row>
    <row r="326" spans="2:10">
      <c r="B326" s="52" t="s">
        <v>260</v>
      </c>
      <c r="C326" s="74">
        <v>19</v>
      </c>
      <c r="D326" s="74">
        <v>19</v>
      </c>
      <c r="E326" s="74">
        <v>19</v>
      </c>
      <c r="F326" s="74">
        <v>21</v>
      </c>
      <c r="G326" s="74">
        <v>23</v>
      </c>
      <c r="H326" s="74">
        <v>24</v>
      </c>
      <c r="I326" s="74">
        <v>23</v>
      </c>
      <c r="J326" s="74">
        <v>26</v>
      </c>
    </row>
    <row r="327" spans="2:10">
      <c r="B327" s="52" t="s">
        <v>329</v>
      </c>
      <c r="C327" s="74">
        <v>0</v>
      </c>
      <c r="D327" s="74">
        <v>0</v>
      </c>
      <c r="E327" s="74">
        <v>0</v>
      </c>
      <c r="F327" s="74">
        <v>0</v>
      </c>
      <c r="G327" s="74">
        <v>0</v>
      </c>
      <c r="H327" s="74">
        <v>0</v>
      </c>
      <c r="I327" s="74">
        <v>0</v>
      </c>
      <c r="J327" s="74">
        <v>0</v>
      </c>
    </row>
    <row r="328" spans="2:10">
      <c r="B328" s="52" t="s">
        <v>328</v>
      </c>
      <c r="C328" s="74">
        <v>0</v>
      </c>
      <c r="D328" s="74">
        <v>0</v>
      </c>
      <c r="E328" s="74">
        <v>0</v>
      </c>
      <c r="F328" s="74">
        <v>0</v>
      </c>
      <c r="G328" s="74">
        <v>0</v>
      </c>
      <c r="H328" s="74">
        <v>0</v>
      </c>
      <c r="I328" s="74">
        <v>0</v>
      </c>
      <c r="J328" s="74">
        <v>0</v>
      </c>
    </row>
    <row r="329" spans="2:10">
      <c r="B329" s="136" t="s">
        <v>327</v>
      </c>
      <c r="C329" s="74">
        <v>0</v>
      </c>
      <c r="D329" s="74">
        <v>0</v>
      </c>
      <c r="E329" s="74">
        <v>0</v>
      </c>
      <c r="F329" s="74">
        <v>0</v>
      </c>
      <c r="G329" s="74">
        <v>0</v>
      </c>
      <c r="H329" s="74">
        <v>0</v>
      </c>
      <c r="I329" s="74">
        <v>0</v>
      </c>
      <c r="J329" s="74">
        <v>0</v>
      </c>
    </row>
    <row r="330" spans="2:10">
      <c r="B330" s="136" t="s">
        <v>326</v>
      </c>
      <c r="C330" s="74">
        <v>0</v>
      </c>
      <c r="D330" s="74">
        <v>0</v>
      </c>
      <c r="E330" s="74">
        <v>0</v>
      </c>
      <c r="F330" s="74">
        <v>0</v>
      </c>
      <c r="G330" s="74">
        <v>0</v>
      </c>
      <c r="H330" s="74">
        <v>0</v>
      </c>
      <c r="I330" s="74">
        <v>0</v>
      </c>
      <c r="J330" s="74">
        <v>0</v>
      </c>
    </row>
    <row r="331" spans="2:10">
      <c r="B331" s="136" t="s">
        <v>325</v>
      </c>
      <c r="C331" s="74">
        <v>0</v>
      </c>
      <c r="D331" s="74">
        <v>0</v>
      </c>
      <c r="E331" s="74">
        <v>0</v>
      </c>
      <c r="F331" s="74">
        <v>0</v>
      </c>
      <c r="G331" s="74">
        <v>0</v>
      </c>
      <c r="H331" s="74">
        <v>0</v>
      </c>
      <c r="I331" s="74">
        <v>0</v>
      </c>
      <c r="J331" s="74">
        <v>0</v>
      </c>
    </row>
    <row r="332" spans="2:10">
      <c r="B332" s="136" t="s">
        <v>323</v>
      </c>
      <c r="C332" s="74">
        <v>1</v>
      </c>
      <c r="D332" s="74">
        <v>1</v>
      </c>
      <c r="E332" s="74">
        <v>1</v>
      </c>
      <c r="F332" s="74">
        <v>2</v>
      </c>
      <c r="G332" s="74">
        <v>2</v>
      </c>
      <c r="H332" s="74">
        <v>3</v>
      </c>
      <c r="I332" s="74">
        <v>4</v>
      </c>
      <c r="J332" s="74">
        <v>9</v>
      </c>
    </row>
    <row r="333" spans="2:10">
      <c r="B333" s="136" t="s">
        <v>117</v>
      </c>
      <c r="C333" s="74">
        <v>0</v>
      </c>
      <c r="D333" s="74">
        <v>0</v>
      </c>
      <c r="E333" s="74">
        <v>0</v>
      </c>
      <c r="F333" s="74">
        <v>0</v>
      </c>
      <c r="G333" s="74">
        <v>0</v>
      </c>
      <c r="H333" s="74">
        <v>0</v>
      </c>
      <c r="I333" s="74">
        <v>0</v>
      </c>
      <c r="J333" s="74">
        <v>0</v>
      </c>
    </row>
    <row r="334" spans="2:10" ht="15" thickBot="1">
      <c r="B334" s="133" t="s">
        <v>322</v>
      </c>
      <c r="C334" s="74">
        <v>0</v>
      </c>
      <c r="D334" s="74">
        <v>0</v>
      </c>
      <c r="E334" s="74">
        <v>0</v>
      </c>
      <c r="F334" s="74">
        <v>0</v>
      </c>
      <c r="G334" s="74">
        <v>0</v>
      </c>
      <c r="H334" s="74">
        <v>0</v>
      </c>
      <c r="I334" s="74">
        <v>0</v>
      </c>
      <c r="J334" s="74">
        <v>0</v>
      </c>
    </row>
    <row r="335" spans="2:10" ht="15" thickTop="1">
      <c r="B335" s="2039" t="s">
        <v>576</v>
      </c>
      <c r="C335" s="2039"/>
      <c r="D335" s="2039"/>
      <c r="E335" s="2039"/>
      <c r="F335" s="2039"/>
      <c r="G335" s="2039"/>
      <c r="H335" s="2039"/>
      <c r="I335" s="2039"/>
      <c r="J335" s="2039"/>
    </row>
    <row r="336" spans="2:10">
      <c r="B336" s="69"/>
      <c r="C336" s="69"/>
      <c r="D336" s="69"/>
      <c r="E336" s="69"/>
      <c r="F336" s="69"/>
      <c r="G336" s="69"/>
      <c r="H336" s="69"/>
      <c r="I336" s="69"/>
      <c r="J336" s="69"/>
    </row>
    <row r="337" spans="2:10">
      <c r="B337" s="2024" t="s">
        <v>320</v>
      </c>
      <c r="C337" s="2024"/>
      <c r="D337" s="2024"/>
      <c r="E337" s="2024"/>
      <c r="F337" s="2024"/>
      <c r="G337" s="2024"/>
      <c r="H337" s="2024"/>
      <c r="I337" s="2024"/>
      <c r="J337" s="2024"/>
    </row>
    <row r="338" spans="2:10">
      <c r="B338" s="12" t="s">
        <v>319</v>
      </c>
    </row>
    <row r="339" spans="2:10">
      <c r="B339" s="62" t="s">
        <v>242</v>
      </c>
    </row>
    <row r="340" spans="2:10">
      <c r="B340" s="64"/>
    </row>
    <row r="341" spans="2:10">
      <c r="B341" s="61"/>
      <c r="C341" s="60">
        <v>2014</v>
      </c>
      <c r="D341" s="60">
        <v>2015</v>
      </c>
      <c r="E341" s="60">
        <v>2016</v>
      </c>
      <c r="F341" s="60">
        <v>2017</v>
      </c>
      <c r="G341" s="60">
        <v>2018</v>
      </c>
      <c r="H341" s="60">
        <v>2019</v>
      </c>
      <c r="I341" s="60">
        <v>2020</v>
      </c>
      <c r="J341" s="60">
        <v>2021</v>
      </c>
    </row>
    <row r="342" spans="2:10">
      <c r="B342" s="114" t="s">
        <v>310</v>
      </c>
      <c r="C342" s="107"/>
      <c r="D342" s="107"/>
      <c r="E342" s="107"/>
      <c r="F342" s="107"/>
      <c r="G342" s="107"/>
      <c r="H342" s="107"/>
      <c r="I342" s="107"/>
      <c r="J342" s="107"/>
    </row>
    <row r="343" spans="2:10">
      <c r="B343" s="114"/>
      <c r="C343" s="107"/>
      <c r="D343" s="107"/>
      <c r="E343" s="107"/>
      <c r="F343" s="107"/>
      <c r="G343" s="107"/>
      <c r="H343" s="107"/>
      <c r="I343" s="107"/>
      <c r="J343" s="107"/>
    </row>
    <row r="344" spans="2:10">
      <c r="B344" s="59" t="s">
        <v>572</v>
      </c>
      <c r="C344" s="107"/>
      <c r="D344" s="107"/>
      <c r="E344" s="107"/>
      <c r="F344" s="107"/>
      <c r="G344" s="107"/>
      <c r="H344" s="107"/>
      <c r="I344" s="107"/>
      <c r="J344" s="107"/>
    </row>
    <row r="345" spans="2:10">
      <c r="B345" s="71" t="s">
        <v>297</v>
      </c>
      <c r="C345" s="140">
        <v>1.8470390000000001</v>
      </c>
      <c r="D345" s="140">
        <v>1.8054539999999999</v>
      </c>
      <c r="E345" s="140">
        <v>1.8630899999999999</v>
      </c>
      <c r="F345" s="140">
        <v>1.932687</v>
      </c>
      <c r="G345" s="140">
        <v>1.97</v>
      </c>
      <c r="H345" s="140">
        <v>1.653</v>
      </c>
      <c r="I345" s="140">
        <v>1.5893520000000001</v>
      </c>
      <c r="J345" s="140">
        <v>1.516294</v>
      </c>
    </row>
    <row r="346" spans="2:10">
      <c r="B346" s="133" t="s">
        <v>296</v>
      </c>
      <c r="C346" s="140">
        <v>1.8470390000000001</v>
      </c>
      <c r="D346" s="140">
        <v>1.8054539999999999</v>
      </c>
      <c r="E346" s="140">
        <v>1.8630899999999999</v>
      </c>
      <c r="F346" s="140">
        <v>1.932687</v>
      </c>
      <c r="G346" s="140">
        <v>1.97</v>
      </c>
      <c r="H346" s="140">
        <v>1.653</v>
      </c>
      <c r="I346" s="140">
        <v>1.5893520000000001</v>
      </c>
      <c r="J346" s="140">
        <v>1.516294</v>
      </c>
    </row>
    <row r="347" spans="2:10">
      <c r="B347" s="132" t="s">
        <v>295</v>
      </c>
      <c r="C347" s="140">
        <v>0</v>
      </c>
      <c r="D347" s="140">
        <v>0</v>
      </c>
      <c r="E347" s="140">
        <v>0</v>
      </c>
      <c r="F347" s="140">
        <v>0</v>
      </c>
      <c r="G347" s="140">
        <v>0</v>
      </c>
      <c r="H347" s="140">
        <v>0</v>
      </c>
      <c r="I347" s="140">
        <v>0</v>
      </c>
      <c r="J347" s="140">
        <v>0</v>
      </c>
    </row>
    <row r="348" spans="2:10">
      <c r="B348" s="132" t="s">
        <v>303</v>
      </c>
      <c r="C348" s="140">
        <v>0</v>
      </c>
      <c r="D348" s="140">
        <v>0</v>
      </c>
      <c r="E348" s="140">
        <v>0</v>
      </c>
      <c r="F348" s="140">
        <v>0</v>
      </c>
      <c r="G348" s="140">
        <v>0</v>
      </c>
      <c r="H348" s="140">
        <v>0</v>
      </c>
      <c r="I348" s="140">
        <v>0</v>
      </c>
      <c r="J348" s="140">
        <v>0</v>
      </c>
    </row>
    <row r="349" spans="2:10">
      <c r="B349" s="65" t="s">
        <v>287</v>
      </c>
      <c r="C349" s="271">
        <v>0.2063888233428568</v>
      </c>
      <c r="D349" s="271">
        <v>0.330544793158636</v>
      </c>
      <c r="E349" s="271">
        <v>0.29358272858104001</v>
      </c>
      <c r="F349" s="271">
        <v>0.32879999999999998</v>
      </c>
      <c r="G349" s="271">
        <v>0.33</v>
      </c>
      <c r="H349" s="271">
        <v>0.28520000000000001</v>
      </c>
      <c r="I349" s="271">
        <v>0.27213311552752728</v>
      </c>
      <c r="J349" s="271">
        <v>0.3380599254033711</v>
      </c>
    </row>
    <row r="350" spans="2:10">
      <c r="B350" s="136"/>
      <c r="C350" s="140"/>
      <c r="D350" s="140"/>
      <c r="E350" s="140"/>
      <c r="F350" s="140"/>
      <c r="G350" s="140"/>
      <c r="H350" s="140"/>
      <c r="I350" s="140"/>
      <c r="J350" s="140"/>
    </row>
    <row r="351" spans="2:10">
      <c r="B351" s="114" t="s">
        <v>302</v>
      </c>
      <c r="C351" s="107"/>
      <c r="D351" s="107"/>
      <c r="E351" s="107"/>
      <c r="F351" s="107"/>
      <c r="G351" s="107"/>
      <c r="H351" s="107"/>
      <c r="I351" s="107"/>
      <c r="J351" s="107"/>
    </row>
    <row r="352" spans="2:10">
      <c r="B352" s="114"/>
      <c r="C352" s="107"/>
      <c r="D352" s="107"/>
      <c r="E352" s="107"/>
      <c r="F352" s="107"/>
      <c r="G352" s="107"/>
      <c r="H352" s="107"/>
      <c r="I352" s="107"/>
      <c r="J352" s="107"/>
    </row>
    <row r="353" spans="2:10">
      <c r="B353" s="59" t="s">
        <v>573</v>
      </c>
      <c r="C353" s="107"/>
      <c r="D353" s="107"/>
      <c r="E353" s="107"/>
      <c r="F353" s="107"/>
      <c r="G353" s="107"/>
      <c r="H353" s="107"/>
      <c r="I353" s="107"/>
      <c r="J353" s="107"/>
    </row>
    <row r="354" spans="2:10">
      <c r="B354" s="71" t="s">
        <v>297</v>
      </c>
      <c r="C354" s="140">
        <v>23.853919999999999</v>
      </c>
      <c r="D354" s="140">
        <v>20.9</v>
      </c>
      <c r="E354" s="140">
        <v>18.093720999999999</v>
      </c>
      <c r="F354" s="140">
        <v>13.472</v>
      </c>
      <c r="G354" s="140">
        <v>11.481999999999999</v>
      </c>
      <c r="H354" s="140">
        <v>9.9350000000000005</v>
      </c>
      <c r="I354" s="140">
        <v>5.3696149999999996</v>
      </c>
      <c r="J354" s="140">
        <v>5.5905329999999998</v>
      </c>
    </row>
    <row r="355" spans="2:10">
      <c r="B355" s="133" t="s">
        <v>296</v>
      </c>
      <c r="C355" s="140">
        <v>23.853919999999999</v>
      </c>
      <c r="D355" s="140">
        <v>20.9</v>
      </c>
      <c r="E355" s="140">
        <v>18.093720999999999</v>
      </c>
      <c r="F355" s="140">
        <v>13.472</v>
      </c>
      <c r="G355" s="140">
        <v>11.481999999999999</v>
      </c>
      <c r="H355" s="140">
        <v>9.9350000000000005</v>
      </c>
      <c r="I355" s="140">
        <v>5.3696149999999996</v>
      </c>
      <c r="J355" s="140">
        <v>5.5905329999999998</v>
      </c>
    </row>
    <row r="356" spans="2:10">
      <c r="B356" s="131" t="s">
        <v>294</v>
      </c>
      <c r="C356" s="140">
        <v>0</v>
      </c>
      <c r="D356" s="140">
        <v>0</v>
      </c>
      <c r="E356" s="140">
        <v>0</v>
      </c>
      <c r="F356" s="140">
        <v>0</v>
      </c>
      <c r="G356" s="140">
        <v>0</v>
      </c>
      <c r="H356" s="140">
        <v>0</v>
      </c>
      <c r="I356" s="140">
        <v>0</v>
      </c>
      <c r="J356" s="140">
        <v>0</v>
      </c>
    </row>
    <row r="357" spans="2:10">
      <c r="B357" s="131" t="s">
        <v>293</v>
      </c>
      <c r="C357" s="140">
        <v>0</v>
      </c>
      <c r="D357" s="140">
        <v>0</v>
      </c>
      <c r="E357" s="140">
        <v>0</v>
      </c>
      <c r="F357" s="140">
        <v>0</v>
      </c>
      <c r="G357" s="140">
        <v>0</v>
      </c>
      <c r="H357" s="140">
        <v>0</v>
      </c>
      <c r="I357" s="140">
        <v>0</v>
      </c>
      <c r="J357" s="140">
        <v>0</v>
      </c>
    </row>
    <row r="358" spans="2:10">
      <c r="B358" s="131" t="s">
        <v>292</v>
      </c>
      <c r="C358" s="140">
        <v>0</v>
      </c>
      <c r="D358" s="140">
        <v>0</v>
      </c>
      <c r="E358" s="140">
        <v>0</v>
      </c>
      <c r="F358" s="140">
        <v>0</v>
      </c>
      <c r="G358" s="140">
        <v>0</v>
      </c>
      <c r="H358" s="140">
        <v>0</v>
      </c>
      <c r="I358" s="140">
        <v>0</v>
      </c>
      <c r="J358" s="140">
        <v>0</v>
      </c>
    </row>
    <row r="359" spans="2:10">
      <c r="B359" s="131" t="s">
        <v>291</v>
      </c>
      <c r="C359" s="140">
        <v>0</v>
      </c>
      <c r="D359" s="140">
        <v>0</v>
      </c>
      <c r="E359" s="140">
        <v>0</v>
      </c>
      <c r="F359" s="140">
        <v>0</v>
      </c>
      <c r="G359" s="140">
        <v>0</v>
      </c>
      <c r="H359" s="140">
        <v>0</v>
      </c>
      <c r="I359" s="140">
        <v>0</v>
      </c>
      <c r="J359" s="140">
        <v>0</v>
      </c>
    </row>
    <row r="360" spans="2:10">
      <c r="B360" s="131" t="s">
        <v>290</v>
      </c>
      <c r="C360" s="140">
        <v>0</v>
      </c>
      <c r="D360" s="140">
        <v>0</v>
      </c>
      <c r="E360" s="140">
        <v>0</v>
      </c>
      <c r="F360" s="140">
        <v>0</v>
      </c>
      <c r="G360" s="140">
        <v>0</v>
      </c>
      <c r="H360" s="140">
        <v>0</v>
      </c>
      <c r="I360" s="140">
        <v>0</v>
      </c>
      <c r="J360" s="140">
        <v>0</v>
      </c>
    </row>
    <row r="361" spans="2:10">
      <c r="B361" s="131" t="s">
        <v>289</v>
      </c>
      <c r="C361" s="140">
        <v>23.853919999999999</v>
      </c>
      <c r="D361" s="140">
        <v>20.9</v>
      </c>
      <c r="E361" s="140">
        <v>18.093720999999999</v>
      </c>
      <c r="F361" s="140">
        <v>13.472</v>
      </c>
      <c r="G361" s="140">
        <v>11.481999999999999</v>
      </c>
      <c r="H361" s="140">
        <v>9.9350000000000005</v>
      </c>
      <c r="I361" s="140">
        <v>5.3696149999999996</v>
      </c>
      <c r="J361" s="140">
        <v>5.5905329999999998</v>
      </c>
    </row>
    <row r="362" spans="2:10">
      <c r="B362" s="131" t="s">
        <v>288</v>
      </c>
      <c r="C362" s="140">
        <v>0</v>
      </c>
      <c r="D362" s="140">
        <v>0</v>
      </c>
      <c r="E362" s="140">
        <v>0</v>
      </c>
      <c r="F362" s="140">
        <v>0</v>
      </c>
      <c r="G362" s="140">
        <v>0</v>
      </c>
      <c r="H362" s="140">
        <v>0</v>
      </c>
      <c r="I362" s="140">
        <v>0</v>
      </c>
      <c r="J362" s="140">
        <v>0</v>
      </c>
    </row>
    <row r="363" spans="2:10">
      <c r="B363" s="132" t="s">
        <v>295</v>
      </c>
      <c r="C363" s="140">
        <v>0</v>
      </c>
      <c r="D363" s="140">
        <v>0</v>
      </c>
      <c r="E363" s="140">
        <v>0</v>
      </c>
      <c r="F363" s="140">
        <v>0</v>
      </c>
      <c r="G363" s="140">
        <v>0</v>
      </c>
      <c r="H363" s="140">
        <v>0</v>
      </c>
      <c r="I363" s="140">
        <v>0</v>
      </c>
      <c r="J363" s="140">
        <v>0</v>
      </c>
    </row>
    <row r="364" spans="2:10">
      <c r="B364" s="131" t="s">
        <v>294</v>
      </c>
      <c r="C364" s="140">
        <v>0</v>
      </c>
      <c r="D364" s="140">
        <v>0</v>
      </c>
      <c r="E364" s="140">
        <v>0</v>
      </c>
      <c r="F364" s="140">
        <v>0</v>
      </c>
      <c r="G364" s="140">
        <v>0</v>
      </c>
      <c r="H364" s="140">
        <v>0</v>
      </c>
      <c r="I364" s="140">
        <v>0</v>
      </c>
      <c r="J364" s="140">
        <v>0</v>
      </c>
    </row>
    <row r="365" spans="2:10">
      <c r="B365" s="131" t="s">
        <v>293</v>
      </c>
      <c r="C365" s="140">
        <v>0</v>
      </c>
      <c r="D365" s="140">
        <v>0</v>
      </c>
      <c r="E365" s="140">
        <v>0</v>
      </c>
      <c r="F365" s="140">
        <v>0</v>
      </c>
      <c r="G365" s="140">
        <v>0</v>
      </c>
      <c r="H365" s="140">
        <v>0</v>
      </c>
      <c r="I365" s="140">
        <v>0</v>
      </c>
      <c r="J365" s="140">
        <v>0</v>
      </c>
    </row>
    <row r="366" spans="2:10">
      <c r="B366" s="131" t="s">
        <v>292</v>
      </c>
      <c r="C366" s="140">
        <v>0</v>
      </c>
      <c r="D366" s="140">
        <v>0</v>
      </c>
      <c r="E366" s="140">
        <v>0</v>
      </c>
      <c r="F366" s="140">
        <v>0</v>
      </c>
      <c r="G366" s="140">
        <v>0</v>
      </c>
      <c r="H366" s="140">
        <v>0</v>
      </c>
      <c r="I366" s="140">
        <v>0</v>
      </c>
      <c r="J366" s="140">
        <v>0</v>
      </c>
    </row>
    <row r="367" spans="2:10">
      <c r="B367" s="131" t="s">
        <v>291</v>
      </c>
      <c r="C367" s="140">
        <v>0</v>
      </c>
      <c r="D367" s="140">
        <v>0</v>
      </c>
      <c r="E367" s="140">
        <v>0</v>
      </c>
      <c r="F367" s="140">
        <v>0</v>
      </c>
      <c r="G367" s="140">
        <v>0</v>
      </c>
      <c r="H367" s="140">
        <v>0</v>
      </c>
      <c r="I367" s="140">
        <v>0</v>
      </c>
      <c r="J367" s="140">
        <v>0</v>
      </c>
    </row>
    <row r="368" spans="2:10">
      <c r="B368" s="131" t="s">
        <v>290</v>
      </c>
      <c r="C368" s="140">
        <v>0</v>
      </c>
      <c r="D368" s="140">
        <v>0</v>
      </c>
      <c r="E368" s="140">
        <v>0</v>
      </c>
      <c r="F368" s="140">
        <v>0</v>
      </c>
      <c r="G368" s="140">
        <v>0</v>
      </c>
      <c r="H368" s="140">
        <v>0</v>
      </c>
      <c r="I368" s="140">
        <v>0</v>
      </c>
      <c r="J368" s="140">
        <v>0</v>
      </c>
    </row>
    <row r="369" spans="2:10">
      <c r="B369" s="131" t="s">
        <v>289</v>
      </c>
      <c r="C369" s="140">
        <v>0</v>
      </c>
      <c r="D369" s="140">
        <v>0</v>
      </c>
      <c r="E369" s="140">
        <v>0</v>
      </c>
      <c r="F369" s="140">
        <v>0</v>
      </c>
      <c r="G369" s="140">
        <v>0</v>
      </c>
      <c r="H369" s="140">
        <v>0</v>
      </c>
      <c r="I369" s="140">
        <v>0</v>
      </c>
      <c r="J369" s="140">
        <v>0</v>
      </c>
    </row>
    <row r="370" spans="2:10">
      <c r="B370" s="131" t="s">
        <v>288</v>
      </c>
      <c r="C370" s="140">
        <v>0</v>
      </c>
      <c r="D370" s="140">
        <v>0</v>
      </c>
      <c r="E370" s="140">
        <v>0</v>
      </c>
      <c r="F370" s="140">
        <v>0</v>
      </c>
      <c r="G370" s="140">
        <v>0</v>
      </c>
      <c r="H370" s="140">
        <v>0</v>
      </c>
      <c r="I370" s="140">
        <v>0</v>
      </c>
      <c r="J370" s="140">
        <v>0</v>
      </c>
    </row>
    <row r="371" spans="2:10">
      <c r="B371" s="65" t="s">
        <v>287</v>
      </c>
      <c r="C371" s="139">
        <v>0</v>
      </c>
      <c r="D371" s="139">
        <v>0</v>
      </c>
      <c r="E371" s="139">
        <v>0</v>
      </c>
      <c r="F371" s="272">
        <v>0.73309999999999997</v>
      </c>
      <c r="G371" s="272">
        <v>0.73199999999999998</v>
      </c>
      <c r="H371" s="272">
        <v>0.7278</v>
      </c>
      <c r="I371" s="272">
        <v>0.73286837138230576</v>
      </c>
      <c r="J371" s="272">
        <v>0.71</v>
      </c>
    </row>
    <row r="372" spans="2:10">
      <c r="B372" s="114"/>
      <c r="C372" s="107"/>
      <c r="D372" s="107"/>
      <c r="E372" s="107"/>
      <c r="F372" s="107"/>
      <c r="G372" s="107"/>
      <c r="H372" s="107"/>
      <c r="I372" s="107"/>
      <c r="J372" s="107"/>
    </row>
    <row r="373" spans="2:10">
      <c r="B373" s="59" t="s">
        <v>574</v>
      </c>
      <c r="C373" s="107"/>
      <c r="D373" s="107"/>
      <c r="E373" s="107"/>
      <c r="F373" s="107"/>
      <c r="G373" s="107"/>
      <c r="H373" s="107"/>
      <c r="I373" s="107"/>
      <c r="J373" s="107"/>
    </row>
    <row r="374" spans="2:10">
      <c r="B374" s="71" t="s">
        <v>297</v>
      </c>
      <c r="C374" s="129">
        <v>11.610922</v>
      </c>
      <c r="D374" s="129">
        <v>10.82775</v>
      </c>
      <c r="E374" s="129">
        <v>11.195679</v>
      </c>
      <c r="F374" s="129">
        <v>11.754534</v>
      </c>
      <c r="G374" s="129">
        <v>11.733000000000001</v>
      </c>
      <c r="H374" s="129">
        <v>11.451427000000001</v>
      </c>
      <c r="I374" s="129">
        <v>10.083778000000001</v>
      </c>
      <c r="J374" s="129">
        <v>16.22514</v>
      </c>
    </row>
    <row r="375" spans="2:10">
      <c r="B375" s="133" t="s">
        <v>296</v>
      </c>
      <c r="C375" s="129">
        <v>11.610922</v>
      </c>
      <c r="D375" s="129">
        <v>10.82775</v>
      </c>
      <c r="E375" s="129">
        <v>11.195679</v>
      </c>
      <c r="F375" s="129">
        <v>11.754534</v>
      </c>
      <c r="G375" s="129">
        <v>11.733000000000001</v>
      </c>
      <c r="H375" s="129">
        <v>11.451427000000001</v>
      </c>
      <c r="I375" s="129">
        <v>10.083778000000001</v>
      </c>
      <c r="J375" s="129">
        <v>16.22514</v>
      </c>
    </row>
    <row r="376" spans="2:10">
      <c r="B376" s="131" t="s">
        <v>294</v>
      </c>
      <c r="C376" s="129">
        <v>11.035981</v>
      </c>
      <c r="D376" s="129">
        <v>10.410511</v>
      </c>
      <c r="E376" s="129">
        <v>10.909837</v>
      </c>
      <c r="F376" s="129">
        <v>11.549242</v>
      </c>
      <c r="G376" s="129">
        <v>11.567335</v>
      </c>
      <c r="H376" s="129">
        <v>11.249571</v>
      </c>
      <c r="I376" s="129">
        <v>9.8175810000000006</v>
      </c>
      <c r="J376" s="129">
        <v>15.905326000000001</v>
      </c>
    </row>
    <row r="377" spans="2:10">
      <c r="B377" s="131" t="s">
        <v>293</v>
      </c>
      <c r="C377" s="129">
        <v>0.57494100000000004</v>
      </c>
      <c r="D377" s="129">
        <v>0.41723900000000003</v>
      </c>
      <c r="E377" s="129">
        <v>0.28584199999999998</v>
      </c>
      <c r="F377" s="129">
        <v>0.205292</v>
      </c>
      <c r="G377" s="129">
        <v>0.16566500000000062</v>
      </c>
      <c r="H377" s="129">
        <v>0.20185600000000115</v>
      </c>
      <c r="I377" s="129">
        <v>0.26619700000000002</v>
      </c>
      <c r="J377" s="129">
        <v>0.31981399999999999</v>
      </c>
    </row>
    <row r="378" spans="2:10">
      <c r="B378" s="131" t="s">
        <v>292</v>
      </c>
      <c r="C378" s="129">
        <v>0</v>
      </c>
      <c r="D378" s="129">
        <v>0</v>
      </c>
      <c r="E378" s="129">
        <v>0</v>
      </c>
      <c r="F378" s="129">
        <v>0</v>
      </c>
      <c r="G378" s="129">
        <v>0</v>
      </c>
      <c r="H378" s="129">
        <v>0</v>
      </c>
      <c r="I378" s="129">
        <v>0</v>
      </c>
      <c r="J378" s="129">
        <v>0</v>
      </c>
    </row>
    <row r="379" spans="2:10">
      <c r="B379" s="131" t="s">
        <v>291</v>
      </c>
      <c r="C379" s="129">
        <v>0</v>
      </c>
      <c r="D379" s="129">
        <v>0</v>
      </c>
      <c r="E379" s="129">
        <v>0</v>
      </c>
      <c r="F379" s="129">
        <v>0</v>
      </c>
      <c r="G379" s="129">
        <v>0</v>
      </c>
      <c r="H379" s="129">
        <v>0</v>
      </c>
      <c r="I379" s="129">
        <v>0</v>
      </c>
      <c r="J379" s="129">
        <v>0</v>
      </c>
    </row>
    <row r="380" spans="2:10">
      <c r="B380" s="131" t="s">
        <v>290</v>
      </c>
      <c r="C380" s="129">
        <v>0</v>
      </c>
      <c r="D380" s="129">
        <v>0</v>
      </c>
      <c r="E380" s="129">
        <v>0</v>
      </c>
      <c r="F380" s="129">
        <v>0</v>
      </c>
      <c r="G380" s="129">
        <v>0</v>
      </c>
      <c r="H380" s="129">
        <v>0</v>
      </c>
      <c r="I380" s="129">
        <v>0</v>
      </c>
      <c r="J380" s="129">
        <v>0</v>
      </c>
    </row>
    <row r="381" spans="2:10">
      <c r="B381" s="131" t="s">
        <v>289</v>
      </c>
      <c r="C381" s="129">
        <v>0</v>
      </c>
      <c r="D381" s="129">
        <v>0</v>
      </c>
      <c r="E381" s="129">
        <v>0</v>
      </c>
      <c r="F381" s="129">
        <v>0</v>
      </c>
      <c r="G381" s="129">
        <v>0</v>
      </c>
      <c r="H381" s="129">
        <v>0</v>
      </c>
      <c r="I381" s="129">
        <v>0</v>
      </c>
      <c r="J381" s="129">
        <v>0</v>
      </c>
    </row>
    <row r="382" spans="2:10">
      <c r="B382" s="131" t="s">
        <v>288</v>
      </c>
      <c r="C382" s="129">
        <v>0</v>
      </c>
      <c r="D382" s="129">
        <v>0</v>
      </c>
      <c r="E382" s="129">
        <v>0</v>
      </c>
      <c r="F382" s="129">
        <v>0</v>
      </c>
      <c r="G382" s="129">
        <v>0</v>
      </c>
      <c r="H382" s="129">
        <v>0</v>
      </c>
      <c r="I382" s="129">
        <v>0</v>
      </c>
      <c r="J382" s="129">
        <v>0</v>
      </c>
    </row>
    <row r="383" spans="2:10">
      <c r="B383" s="132" t="s">
        <v>295</v>
      </c>
      <c r="C383" s="129">
        <v>0</v>
      </c>
      <c r="D383" s="129">
        <v>0</v>
      </c>
      <c r="E383" s="129">
        <v>0</v>
      </c>
      <c r="F383" s="129">
        <v>0</v>
      </c>
      <c r="G383" s="129">
        <v>0</v>
      </c>
      <c r="H383" s="129">
        <v>0</v>
      </c>
      <c r="I383" s="129">
        <v>0</v>
      </c>
      <c r="J383" s="129">
        <v>0</v>
      </c>
    </row>
    <row r="384" spans="2:10">
      <c r="B384" s="131" t="s">
        <v>294</v>
      </c>
      <c r="C384" s="129">
        <v>0</v>
      </c>
      <c r="D384" s="129">
        <v>0</v>
      </c>
      <c r="E384" s="129">
        <v>0</v>
      </c>
      <c r="F384" s="129">
        <v>0</v>
      </c>
      <c r="G384" s="129">
        <v>0</v>
      </c>
      <c r="H384" s="129">
        <v>0</v>
      </c>
      <c r="I384" s="129">
        <v>0</v>
      </c>
      <c r="J384" s="129">
        <v>0</v>
      </c>
    </row>
    <row r="385" spans="2:10">
      <c r="B385" s="131" t="s">
        <v>293</v>
      </c>
      <c r="C385" s="129">
        <v>0</v>
      </c>
      <c r="D385" s="129">
        <v>0</v>
      </c>
      <c r="E385" s="129">
        <v>0</v>
      </c>
      <c r="F385" s="129">
        <v>0</v>
      </c>
      <c r="G385" s="129">
        <v>0</v>
      </c>
      <c r="H385" s="129">
        <v>0</v>
      </c>
      <c r="I385" s="129">
        <v>0</v>
      </c>
      <c r="J385" s="129">
        <v>0</v>
      </c>
    </row>
    <row r="386" spans="2:10">
      <c r="B386" s="131" t="s">
        <v>292</v>
      </c>
      <c r="C386" s="129">
        <v>0</v>
      </c>
      <c r="D386" s="129">
        <v>0</v>
      </c>
      <c r="E386" s="129">
        <v>0</v>
      </c>
      <c r="F386" s="129">
        <v>0</v>
      </c>
      <c r="G386" s="129">
        <v>0</v>
      </c>
      <c r="H386" s="129">
        <v>0</v>
      </c>
      <c r="I386" s="129">
        <v>0</v>
      </c>
      <c r="J386" s="129">
        <v>0</v>
      </c>
    </row>
    <row r="387" spans="2:10">
      <c r="B387" s="131" t="s">
        <v>291</v>
      </c>
      <c r="C387" s="129">
        <v>0</v>
      </c>
      <c r="D387" s="129">
        <v>0</v>
      </c>
      <c r="E387" s="129">
        <v>0</v>
      </c>
      <c r="F387" s="129">
        <v>0</v>
      </c>
      <c r="G387" s="129">
        <v>0</v>
      </c>
      <c r="H387" s="129">
        <v>0</v>
      </c>
      <c r="I387" s="129">
        <v>0</v>
      </c>
      <c r="J387" s="129">
        <v>0</v>
      </c>
    </row>
    <row r="388" spans="2:10">
      <c r="B388" s="131" t="s">
        <v>290</v>
      </c>
      <c r="C388" s="129">
        <v>0</v>
      </c>
      <c r="D388" s="129">
        <v>0</v>
      </c>
      <c r="E388" s="129">
        <v>0</v>
      </c>
      <c r="F388" s="129">
        <v>0</v>
      </c>
      <c r="G388" s="129">
        <v>0</v>
      </c>
      <c r="H388" s="129">
        <v>0</v>
      </c>
      <c r="I388" s="129">
        <v>0</v>
      </c>
      <c r="J388" s="129">
        <v>0</v>
      </c>
    </row>
    <row r="389" spans="2:10">
      <c r="B389" s="131" t="s">
        <v>289</v>
      </c>
      <c r="C389" s="129">
        <v>0</v>
      </c>
      <c r="D389" s="129">
        <v>0</v>
      </c>
      <c r="E389" s="129">
        <v>0</v>
      </c>
      <c r="F389" s="129">
        <v>0</v>
      </c>
      <c r="G389" s="129">
        <v>0</v>
      </c>
      <c r="H389" s="129">
        <v>0</v>
      </c>
      <c r="I389" s="129">
        <v>0</v>
      </c>
      <c r="J389" s="129">
        <v>0</v>
      </c>
    </row>
    <row r="390" spans="2:10">
      <c r="B390" s="131" t="s">
        <v>288</v>
      </c>
      <c r="C390" s="129">
        <v>0</v>
      </c>
      <c r="D390" s="129">
        <v>0</v>
      </c>
      <c r="E390" s="129">
        <v>0</v>
      </c>
      <c r="F390" s="129">
        <v>0</v>
      </c>
      <c r="G390" s="129">
        <v>0</v>
      </c>
      <c r="H390" s="129">
        <v>0</v>
      </c>
      <c r="I390" s="129">
        <v>0</v>
      </c>
      <c r="J390" s="129">
        <v>0</v>
      </c>
    </row>
    <row r="391" spans="2:10">
      <c r="B391" s="65" t="s">
        <v>287</v>
      </c>
      <c r="C391" s="273">
        <v>0.79786566475943943</v>
      </c>
      <c r="D391" s="273">
        <v>0.8659</v>
      </c>
      <c r="E391" s="273">
        <v>0.90499959850581646</v>
      </c>
      <c r="F391" s="273">
        <v>0.89100000000000001</v>
      </c>
      <c r="G391" s="273">
        <v>0.88239999999999996</v>
      </c>
      <c r="H391" s="273">
        <v>0.82169999999999999</v>
      </c>
      <c r="I391" s="273">
        <v>0.81257639745738153</v>
      </c>
      <c r="J391" s="273">
        <v>0.9</v>
      </c>
    </row>
    <row r="392" spans="2:10">
      <c r="B392" s="114"/>
      <c r="C392" s="107"/>
      <c r="D392" s="107"/>
      <c r="E392" s="107"/>
      <c r="F392" s="107"/>
      <c r="G392" s="107"/>
      <c r="H392" s="107"/>
      <c r="I392" s="107"/>
      <c r="J392" s="107"/>
    </row>
    <row r="393" spans="2:10">
      <c r="B393" s="59" t="s">
        <v>577</v>
      </c>
      <c r="C393" s="107"/>
      <c r="D393" s="107"/>
      <c r="E393" s="107"/>
      <c r="F393" s="107"/>
      <c r="G393" s="107"/>
      <c r="H393" s="107"/>
      <c r="I393" s="107"/>
      <c r="J393" s="107"/>
    </row>
    <row r="394" spans="2:10">
      <c r="B394" s="71" t="s">
        <v>297</v>
      </c>
      <c r="C394" s="140">
        <v>135.773574</v>
      </c>
      <c r="D394" s="140">
        <v>147.91714999999999</v>
      </c>
      <c r="E394" s="140">
        <v>158.97026199999999</v>
      </c>
      <c r="F394" s="140">
        <v>174.49826200000001</v>
      </c>
      <c r="G394" s="140">
        <v>196.54626099999999</v>
      </c>
      <c r="H394" s="140">
        <v>221.95</v>
      </c>
      <c r="I394" s="140">
        <v>255.856641</v>
      </c>
      <c r="J394" s="140">
        <v>294.29752000000002</v>
      </c>
    </row>
    <row r="395" spans="2:10">
      <c r="B395" s="133" t="s">
        <v>296</v>
      </c>
      <c r="C395" s="140">
        <v>135.773574</v>
      </c>
      <c r="D395" s="140">
        <v>147.91714999999999</v>
      </c>
      <c r="E395" s="140">
        <v>158.97026199999999</v>
      </c>
      <c r="F395" s="140">
        <v>174.49826200000001</v>
      </c>
      <c r="G395" s="140">
        <v>196.54626099999999</v>
      </c>
      <c r="H395" s="140">
        <v>221.95</v>
      </c>
      <c r="I395" s="140">
        <v>255.856641</v>
      </c>
      <c r="J395" s="140">
        <v>294.29752000000002</v>
      </c>
    </row>
    <row r="396" spans="2:10">
      <c r="B396" s="131" t="s">
        <v>294</v>
      </c>
      <c r="C396" s="140">
        <v>130.177502</v>
      </c>
      <c r="D396" s="140">
        <v>141.70192599999999</v>
      </c>
      <c r="E396" s="140">
        <v>151.10110599999999</v>
      </c>
      <c r="F396" s="140">
        <v>164.35761600000001</v>
      </c>
      <c r="G396" s="140">
        <v>181.34458599999999</v>
      </c>
      <c r="H396" s="140">
        <v>201.43392</v>
      </c>
      <c r="I396" s="140">
        <v>241.11922200000001</v>
      </c>
      <c r="J396" s="140">
        <v>282.55306300000001</v>
      </c>
    </row>
    <row r="397" spans="2:10">
      <c r="B397" s="131" t="s">
        <v>293</v>
      </c>
      <c r="C397" s="140">
        <v>5.5960720000000004</v>
      </c>
      <c r="D397" s="140">
        <v>6.2152240000000001</v>
      </c>
      <c r="E397" s="140">
        <v>7.8691560000000038</v>
      </c>
      <c r="F397" s="140">
        <v>10.140646</v>
      </c>
      <c r="G397" s="140">
        <v>15.201674999999994</v>
      </c>
      <c r="H397" s="140">
        <v>20.516079999999988</v>
      </c>
      <c r="I397" s="140">
        <v>14.737418999999989</v>
      </c>
      <c r="J397" s="140">
        <v>11.744457000000011</v>
      </c>
    </row>
    <row r="398" spans="2:10">
      <c r="B398" s="131" t="s">
        <v>292</v>
      </c>
      <c r="C398" s="140">
        <v>0</v>
      </c>
      <c r="D398" s="140">
        <v>0</v>
      </c>
      <c r="E398" s="140">
        <v>0</v>
      </c>
      <c r="F398" s="140">
        <v>0</v>
      </c>
      <c r="G398" s="140">
        <v>0</v>
      </c>
      <c r="H398" s="140">
        <v>0</v>
      </c>
      <c r="I398" s="140">
        <v>0</v>
      </c>
      <c r="J398" s="140">
        <v>0</v>
      </c>
    </row>
    <row r="399" spans="2:10">
      <c r="B399" s="131" t="s">
        <v>291</v>
      </c>
      <c r="C399" s="140">
        <v>0</v>
      </c>
      <c r="D399" s="140">
        <v>0</v>
      </c>
      <c r="E399" s="140">
        <v>0</v>
      </c>
      <c r="F399" s="140">
        <v>0</v>
      </c>
      <c r="G399" s="140">
        <v>0</v>
      </c>
      <c r="H399" s="140">
        <v>0</v>
      </c>
      <c r="I399" s="140">
        <v>0</v>
      </c>
      <c r="J399" s="140">
        <v>0</v>
      </c>
    </row>
    <row r="400" spans="2:10">
      <c r="B400" s="131" t="s">
        <v>290</v>
      </c>
      <c r="C400" s="140">
        <v>0</v>
      </c>
      <c r="D400" s="140">
        <v>0</v>
      </c>
      <c r="E400" s="140">
        <v>0</v>
      </c>
      <c r="F400" s="140">
        <v>0</v>
      </c>
      <c r="G400" s="140">
        <v>0</v>
      </c>
      <c r="H400" s="140">
        <v>0</v>
      </c>
      <c r="I400" s="140">
        <v>0</v>
      </c>
      <c r="J400" s="140">
        <v>0</v>
      </c>
    </row>
    <row r="401" spans="2:10">
      <c r="B401" s="131" t="s">
        <v>289</v>
      </c>
      <c r="C401" s="140">
        <v>0</v>
      </c>
      <c r="D401" s="140">
        <v>0</v>
      </c>
      <c r="E401" s="140">
        <v>0</v>
      </c>
      <c r="F401" s="140">
        <v>0</v>
      </c>
      <c r="G401" s="140">
        <v>0</v>
      </c>
      <c r="H401" s="140">
        <v>0</v>
      </c>
      <c r="I401" s="140">
        <v>0</v>
      </c>
      <c r="J401" s="140">
        <v>0</v>
      </c>
    </row>
    <row r="402" spans="2:10">
      <c r="B402" s="131" t="s">
        <v>288</v>
      </c>
      <c r="C402" s="140">
        <v>0</v>
      </c>
      <c r="D402" s="140">
        <v>0</v>
      </c>
      <c r="E402" s="140">
        <v>0</v>
      </c>
      <c r="F402" s="140">
        <v>0</v>
      </c>
      <c r="G402" s="140">
        <v>0</v>
      </c>
      <c r="H402" s="140">
        <v>0</v>
      </c>
      <c r="I402" s="140">
        <v>0</v>
      </c>
      <c r="J402" s="140">
        <v>0</v>
      </c>
    </row>
    <row r="403" spans="2:10">
      <c r="B403" s="132" t="s">
        <v>295</v>
      </c>
      <c r="C403" s="140">
        <v>0</v>
      </c>
      <c r="D403" s="140">
        <v>0</v>
      </c>
      <c r="E403" s="140">
        <v>0</v>
      </c>
      <c r="F403" s="140">
        <v>0</v>
      </c>
      <c r="G403" s="140">
        <v>0</v>
      </c>
      <c r="H403" s="140">
        <v>0</v>
      </c>
      <c r="I403" s="140">
        <v>0</v>
      </c>
      <c r="J403" s="140">
        <v>0</v>
      </c>
    </row>
    <row r="404" spans="2:10">
      <c r="B404" s="131" t="s">
        <v>294</v>
      </c>
      <c r="C404" s="140">
        <v>0</v>
      </c>
      <c r="D404" s="140">
        <v>0</v>
      </c>
      <c r="E404" s="140">
        <v>0</v>
      </c>
      <c r="F404" s="140">
        <v>0</v>
      </c>
      <c r="G404" s="140">
        <v>0</v>
      </c>
      <c r="H404" s="140">
        <v>0</v>
      </c>
      <c r="I404" s="140">
        <v>0</v>
      </c>
      <c r="J404" s="140">
        <v>0</v>
      </c>
    </row>
    <row r="405" spans="2:10">
      <c r="B405" s="131" t="s">
        <v>293</v>
      </c>
      <c r="C405" s="140">
        <v>0</v>
      </c>
      <c r="D405" s="140">
        <v>0</v>
      </c>
      <c r="E405" s="140">
        <v>0</v>
      </c>
      <c r="F405" s="140">
        <v>0</v>
      </c>
      <c r="G405" s="140">
        <v>0</v>
      </c>
      <c r="H405" s="140">
        <v>0</v>
      </c>
      <c r="I405" s="140">
        <v>0</v>
      </c>
      <c r="J405" s="140">
        <v>0</v>
      </c>
    </row>
    <row r="406" spans="2:10">
      <c r="B406" s="131" t="s">
        <v>292</v>
      </c>
      <c r="C406" s="140">
        <v>0</v>
      </c>
      <c r="D406" s="140">
        <v>0</v>
      </c>
      <c r="E406" s="140">
        <v>0</v>
      </c>
      <c r="F406" s="140">
        <v>0</v>
      </c>
      <c r="G406" s="140">
        <v>0</v>
      </c>
      <c r="H406" s="140">
        <v>0</v>
      </c>
      <c r="I406" s="140">
        <v>0</v>
      </c>
      <c r="J406" s="140">
        <v>0</v>
      </c>
    </row>
    <row r="407" spans="2:10">
      <c r="B407" s="131" t="s">
        <v>291</v>
      </c>
      <c r="C407" s="140">
        <v>0</v>
      </c>
      <c r="D407" s="140">
        <v>0</v>
      </c>
      <c r="E407" s="140">
        <v>0</v>
      </c>
      <c r="F407" s="140">
        <v>0</v>
      </c>
      <c r="G407" s="140">
        <v>0</v>
      </c>
      <c r="H407" s="140">
        <v>0</v>
      </c>
      <c r="I407" s="140">
        <v>0</v>
      </c>
      <c r="J407" s="140">
        <v>0</v>
      </c>
    </row>
    <row r="408" spans="2:10">
      <c r="B408" s="131" t="s">
        <v>290</v>
      </c>
      <c r="C408" s="140">
        <v>0</v>
      </c>
      <c r="D408" s="140">
        <v>0</v>
      </c>
      <c r="E408" s="140">
        <v>0</v>
      </c>
      <c r="F408" s="140">
        <v>0</v>
      </c>
      <c r="G408" s="140">
        <v>0</v>
      </c>
      <c r="H408" s="140">
        <v>0</v>
      </c>
      <c r="I408" s="140">
        <v>0</v>
      </c>
      <c r="J408" s="140">
        <v>0</v>
      </c>
    </row>
    <row r="409" spans="2:10">
      <c r="B409" s="131" t="s">
        <v>289</v>
      </c>
      <c r="C409" s="140">
        <v>0</v>
      </c>
      <c r="D409" s="140">
        <v>0</v>
      </c>
      <c r="E409" s="140">
        <v>0</v>
      </c>
      <c r="F409" s="140">
        <v>0</v>
      </c>
      <c r="G409" s="140">
        <v>0</v>
      </c>
      <c r="H409" s="140">
        <v>0</v>
      </c>
      <c r="I409" s="140">
        <v>0</v>
      </c>
      <c r="J409" s="140">
        <v>0</v>
      </c>
    </row>
    <row r="410" spans="2:10">
      <c r="B410" s="131" t="s">
        <v>288</v>
      </c>
      <c r="C410" s="140">
        <v>0</v>
      </c>
      <c r="D410" s="140">
        <v>0</v>
      </c>
      <c r="E410" s="140">
        <v>0</v>
      </c>
      <c r="F410" s="140">
        <v>0</v>
      </c>
      <c r="G410" s="140">
        <v>0</v>
      </c>
      <c r="H410" s="140">
        <v>0</v>
      </c>
      <c r="I410" s="140">
        <v>0</v>
      </c>
      <c r="J410" s="140">
        <v>0</v>
      </c>
    </row>
    <row r="411" spans="2:10" ht="15" thickBot="1">
      <c r="B411" s="65" t="s">
        <v>287</v>
      </c>
      <c r="C411" s="273">
        <v>0.68959451981815911</v>
      </c>
      <c r="D411" s="273">
        <v>0.66822194078445452</v>
      </c>
      <c r="E411" s="273">
        <v>0.66263690691749921</v>
      </c>
      <c r="F411" s="273">
        <v>0.69210000000000005</v>
      </c>
      <c r="G411" s="273">
        <v>0.7036</v>
      </c>
      <c r="H411" s="273">
        <v>0.73429999999999995</v>
      </c>
      <c r="I411" s="273">
        <v>0.72284709967380645</v>
      </c>
      <c r="J411" s="273">
        <v>0.68966907471684136</v>
      </c>
    </row>
    <row r="412" spans="2:10" ht="15" thickTop="1">
      <c r="B412" s="2039" t="s">
        <v>578</v>
      </c>
      <c r="C412" s="2039"/>
      <c r="D412" s="2039"/>
      <c r="E412" s="2039"/>
      <c r="F412" s="2039"/>
      <c r="G412" s="2039"/>
      <c r="H412" s="2039"/>
      <c r="I412" s="2039"/>
      <c r="J412" s="2039"/>
    </row>
    <row r="413" spans="2:10">
      <c r="B413" s="69"/>
      <c r="C413" s="69"/>
      <c r="D413" s="69"/>
      <c r="E413" s="69"/>
      <c r="F413" s="69"/>
      <c r="G413" s="69"/>
      <c r="H413" s="69"/>
      <c r="I413" s="69"/>
      <c r="J413" s="69"/>
    </row>
    <row r="414" spans="2:10">
      <c r="B414" s="2024" t="s">
        <v>313</v>
      </c>
      <c r="C414" s="2024"/>
      <c r="D414" s="2024"/>
      <c r="E414" s="2024"/>
      <c r="F414" s="2024"/>
      <c r="G414" s="2024"/>
      <c r="H414" s="2024"/>
      <c r="I414" s="2024"/>
      <c r="J414" s="2024"/>
    </row>
    <row r="415" spans="2:10">
      <c r="B415" s="12" t="s">
        <v>312</v>
      </c>
    </row>
    <row r="416" spans="2:10">
      <c r="B416" s="62" t="s">
        <v>311</v>
      </c>
    </row>
    <row r="417" spans="2:10">
      <c r="B417" s="64"/>
    </row>
    <row r="418" spans="2:10">
      <c r="B418" s="61"/>
      <c r="C418" s="60">
        <v>2014</v>
      </c>
      <c r="D418" s="60">
        <v>2015</v>
      </c>
      <c r="E418" s="60">
        <v>2016</v>
      </c>
      <c r="F418" s="60">
        <v>2017</v>
      </c>
      <c r="G418" s="60">
        <v>2018</v>
      </c>
      <c r="H418" s="60">
        <v>2019</v>
      </c>
      <c r="I418" s="60">
        <v>2020</v>
      </c>
      <c r="J418" s="60">
        <v>2021</v>
      </c>
    </row>
    <row r="419" spans="2:10">
      <c r="B419" s="114" t="s">
        <v>310</v>
      </c>
      <c r="C419" s="107"/>
      <c r="D419" s="107"/>
      <c r="E419" s="107"/>
      <c r="F419" s="107"/>
      <c r="G419" s="107"/>
      <c r="H419" s="107"/>
      <c r="I419" s="107"/>
      <c r="J419" s="107"/>
    </row>
    <row r="420" spans="2:10">
      <c r="B420" s="114"/>
      <c r="C420" s="107"/>
      <c r="D420" s="107"/>
      <c r="E420" s="107"/>
      <c r="F420" s="107"/>
      <c r="G420" s="107"/>
      <c r="H420" s="107"/>
      <c r="I420" s="107"/>
      <c r="J420" s="107"/>
    </row>
    <row r="421" spans="2:10">
      <c r="B421" s="59" t="s">
        <v>572</v>
      </c>
      <c r="C421" s="107"/>
      <c r="D421" s="107"/>
      <c r="E421" s="107"/>
      <c r="F421" s="107"/>
      <c r="G421" s="107"/>
      <c r="H421" s="107"/>
      <c r="I421" s="107"/>
      <c r="J421" s="107"/>
    </row>
    <row r="422" spans="2:10">
      <c r="B422" s="71" t="s">
        <v>297</v>
      </c>
      <c r="C422" s="129">
        <v>4381319.4563848292</v>
      </c>
      <c r="D422" s="129">
        <v>3695452.2459739232</v>
      </c>
      <c r="E422" s="129">
        <v>4196068.0155366771</v>
      </c>
      <c r="F422" s="129">
        <v>4572578.3169272998</v>
      </c>
      <c r="G422" s="129">
        <v>4574386.5308509897</v>
      </c>
      <c r="H422" s="129">
        <v>3772693.8328474071</v>
      </c>
      <c r="I422" s="129">
        <v>3937801.7198464097</v>
      </c>
      <c r="J422" s="129">
        <f>13047093470/J11</f>
        <v>3277209.0219935901</v>
      </c>
    </row>
    <row r="423" spans="2:10">
      <c r="B423" s="133" t="s">
        <v>296</v>
      </c>
      <c r="C423" s="129">
        <v>4381319.4563848302</v>
      </c>
      <c r="D423" s="129">
        <v>3695452.2459739232</v>
      </c>
      <c r="E423" s="129">
        <v>4196068.0155366771</v>
      </c>
      <c r="F423" s="129">
        <v>4572578.3169272998</v>
      </c>
      <c r="G423" s="129">
        <v>4574386.5308509897</v>
      </c>
      <c r="H423" s="129">
        <v>3772693.8328474071</v>
      </c>
      <c r="I423" s="129">
        <v>3937801.7198464097</v>
      </c>
      <c r="J423" s="129">
        <f>13047093470/J11</f>
        <v>3277209.0219935901</v>
      </c>
    </row>
    <row r="424" spans="2:10">
      <c r="B424" s="132" t="s">
        <v>295</v>
      </c>
      <c r="C424" s="129">
        <v>0</v>
      </c>
      <c r="D424" s="129">
        <v>0</v>
      </c>
      <c r="E424" s="129">
        <v>0</v>
      </c>
      <c r="F424" s="129">
        <v>0</v>
      </c>
      <c r="G424" s="129">
        <v>0</v>
      </c>
      <c r="H424" s="129">
        <v>0</v>
      </c>
      <c r="I424" s="129">
        <v>0</v>
      </c>
      <c r="J424" s="129">
        <v>0</v>
      </c>
    </row>
    <row r="425" spans="2:10">
      <c r="B425" s="132" t="s">
        <v>303</v>
      </c>
      <c r="C425" s="129">
        <v>0</v>
      </c>
      <c r="D425" s="129">
        <v>0</v>
      </c>
      <c r="E425" s="129">
        <v>0</v>
      </c>
      <c r="F425" s="129">
        <v>0</v>
      </c>
      <c r="G425" s="129">
        <v>0</v>
      </c>
      <c r="H425" s="129">
        <v>0</v>
      </c>
      <c r="I425" s="129">
        <v>0</v>
      </c>
      <c r="J425" s="129">
        <v>0</v>
      </c>
    </row>
    <row r="426" spans="2:10">
      <c r="B426" s="65" t="s">
        <v>301</v>
      </c>
      <c r="C426" s="273">
        <v>0.3581828616552859</v>
      </c>
      <c r="D426" s="273">
        <v>0.375</v>
      </c>
      <c r="E426" s="273">
        <v>0.31642239755763862</v>
      </c>
      <c r="F426" s="273">
        <v>0.36499999999999999</v>
      </c>
      <c r="G426" s="273">
        <v>0.35399999999999998</v>
      </c>
      <c r="H426" s="273">
        <v>0.35899999999999999</v>
      </c>
      <c r="I426" s="273">
        <v>0.35546992243575015</v>
      </c>
      <c r="J426" s="273">
        <v>0.33810000000000001</v>
      </c>
    </row>
    <row r="427" spans="2:10">
      <c r="B427" s="136"/>
    </row>
    <row r="428" spans="2:10">
      <c r="B428" s="114" t="s">
        <v>302</v>
      </c>
      <c r="C428" s="107"/>
      <c r="D428" s="107"/>
      <c r="E428" s="107"/>
      <c r="F428" s="107"/>
      <c r="G428" s="107"/>
      <c r="H428" s="107"/>
      <c r="I428" s="107"/>
      <c r="J428" s="107"/>
    </row>
    <row r="429" spans="2:10">
      <c r="B429" s="114"/>
      <c r="C429" s="107"/>
      <c r="D429" s="107"/>
      <c r="E429" s="107"/>
      <c r="F429" s="107"/>
      <c r="G429" s="107"/>
      <c r="H429" s="107"/>
      <c r="I429" s="107"/>
      <c r="J429" s="107"/>
    </row>
    <row r="430" spans="2:10">
      <c r="B430" s="59" t="s">
        <v>573</v>
      </c>
      <c r="C430" s="107"/>
      <c r="D430" s="107"/>
      <c r="E430" s="107"/>
      <c r="F430" s="107"/>
      <c r="G430" s="107"/>
      <c r="H430" s="107"/>
      <c r="I430" s="107"/>
      <c r="J430" s="107"/>
    </row>
    <row r="431" spans="2:10">
      <c r="B431" s="71" t="s">
        <v>297</v>
      </c>
      <c r="C431" s="129">
        <v>146474.12693537824</v>
      </c>
      <c r="D431" s="129">
        <v>103905.74082367549</v>
      </c>
      <c r="E431" s="129">
        <v>87773.232965003161</v>
      </c>
      <c r="F431" s="129">
        <v>70800.880673635693</v>
      </c>
      <c r="G431" s="129">
        <v>63848.496973590118</v>
      </c>
      <c r="H431" s="129">
        <v>56534.207021551374</v>
      </c>
      <c r="I431" s="129">
        <v>34542.916605575527</v>
      </c>
      <c r="J431" s="129">
        <f>152213789.117832/J11</f>
        <v>38233.527192534842</v>
      </c>
    </row>
    <row r="432" spans="2:10">
      <c r="B432" s="133" t="s">
        <v>296</v>
      </c>
      <c r="C432" s="129">
        <v>146474.12693537824</v>
      </c>
      <c r="D432" s="129">
        <v>103905.74082367549</v>
      </c>
      <c r="E432" s="129">
        <v>87773.232965003161</v>
      </c>
      <c r="F432" s="129">
        <v>70800.880673635693</v>
      </c>
      <c r="G432" s="129">
        <v>63848.496973590118</v>
      </c>
      <c r="H432" s="129">
        <v>56534.207021551374</v>
      </c>
      <c r="I432" s="129">
        <v>34542.916605575527</v>
      </c>
      <c r="J432" s="129">
        <f>152213789.117832/J11</f>
        <v>38233.527192534842</v>
      </c>
    </row>
    <row r="433" spans="2:10">
      <c r="B433" s="131" t="s">
        <v>294</v>
      </c>
      <c r="C433" s="129">
        <v>0</v>
      </c>
      <c r="D433" s="129">
        <v>0</v>
      </c>
      <c r="E433" s="129">
        <v>0</v>
      </c>
      <c r="F433" s="129">
        <v>0</v>
      </c>
      <c r="G433" s="129">
        <v>0</v>
      </c>
      <c r="H433" s="129">
        <v>0</v>
      </c>
      <c r="I433" s="129">
        <v>0</v>
      </c>
      <c r="J433" s="129">
        <v>0</v>
      </c>
    </row>
    <row r="434" spans="2:10">
      <c r="B434" s="131" t="s">
        <v>293</v>
      </c>
      <c r="C434" s="129">
        <v>0</v>
      </c>
      <c r="D434" s="129">
        <v>0</v>
      </c>
      <c r="E434" s="129">
        <v>0</v>
      </c>
      <c r="F434" s="129">
        <v>0</v>
      </c>
      <c r="G434" s="129">
        <v>0</v>
      </c>
      <c r="H434" s="129">
        <v>0</v>
      </c>
      <c r="I434" s="129">
        <v>0</v>
      </c>
      <c r="J434" s="129">
        <v>0</v>
      </c>
    </row>
    <row r="435" spans="2:10">
      <c r="B435" s="131" t="s">
        <v>292</v>
      </c>
      <c r="C435" s="129">
        <v>0</v>
      </c>
      <c r="D435" s="129">
        <v>0</v>
      </c>
      <c r="E435" s="129">
        <v>0</v>
      </c>
      <c r="F435" s="129">
        <v>0</v>
      </c>
      <c r="G435" s="129">
        <v>0</v>
      </c>
      <c r="H435" s="129">
        <v>0</v>
      </c>
      <c r="I435" s="129">
        <v>0</v>
      </c>
      <c r="J435" s="129">
        <v>0</v>
      </c>
    </row>
    <row r="436" spans="2:10">
      <c r="B436" s="131" t="s">
        <v>291</v>
      </c>
      <c r="C436" s="129">
        <v>0</v>
      </c>
      <c r="D436" s="129">
        <v>0</v>
      </c>
      <c r="E436" s="129">
        <v>0</v>
      </c>
      <c r="F436" s="129">
        <v>0</v>
      </c>
      <c r="G436" s="129">
        <v>0</v>
      </c>
      <c r="H436" s="129">
        <v>0</v>
      </c>
      <c r="I436" s="129">
        <v>0</v>
      </c>
      <c r="J436" s="129">
        <v>0</v>
      </c>
    </row>
    <row r="437" spans="2:10">
      <c r="B437" s="131" t="s">
        <v>290</v>
      </c>
      <c r="C437" s="129">
        <v>0</v>
      </c>
      <c r="D437" s="129">
        <v>0</v>
      </c>
      <c r="E437" s="129">
        <v>0</v>
      </c>
      <c r="F437" s="129">
        <v>0</v>
      </c>
      <c r="G437" s="129">
        <v>0</v>
      </c>
      <c r="H437" s="129">
        <v>0</v>
      </c>
      <c r="I437" s="129">
        <v>0</v>
      </c>
      <c r="J437" s="129">
        <v>0</v>
      </c>
    </row>
    <row r="438" spans="2:10">
      <c r="B438" s="131" t="s">
        <v>289</v>
      </c>
      <c r="C438" s="129">
        <v>146474.12693537824</v>
      </c>
      <c r="D438" s="129">
        <v>103905.74082367549</v>
      </c>
      <c r="E438" s="129">
        <v>87773.232965003161</v>
      </c>
      <c r="F438" s="129">
        <v>70800.880673635693</v>
      </c>
      <c r="G438" s="129">
        <v>63848.496973590118</v>
      </c>
      <c r="H438" s="129">
        <v>56534.207021551374</v>
      </c>
      <c r="I438" s="129">
        <v>34542.916605575527</v>
      </c>
      <c r="J438" s="129">
        <f>152213789.117832/J11</f>
        <v>38233.527192534842</v>
      </c>
    </row>
    <row r="439" spans="2:10">
      <c r="B439" s="131" t="s">
        <v>288</v>
      </c>
      <c r="C439" s="129">
        <v>0</v>
      </c>
      <c r="D439" s="129">
        <v>0</v>
      </c>
      <c r="E439" s="129">
        <v>0</v>
      </c>
      <c r="F439" s="129">
        <v>0</v>
      </c>
      <c r="G439" s="129">
        <v>0</v>
      </c>
      <c r="H439" s="129">
        <v>0</v>
      </c>
      <c r="I439" s="129">
        <v>0</v>
      </c>
      <c r="J439" s="129">
        <v>0</v>
      </c>
    </row>
    <row r="440" spans="2:10">
      <c r="B440" s="132" t="s">
        <v>295</v>
      </c>
      <c r="C440" s="129">
        <v>0</v>
      </c>
      <c r="D440" s="129">
        <v>0</v>
      </c>
      <c r="E440" s="129">
        <v>0</v>
      </c>
      <c r="F440" s="129">
        <v>0</v>
      </c>
      <c r="G440" s="129">
        <v>0</v>
      </c>
      <c r="H440" s="129">
        <v>0</v>
      </c>
      <c r="I440" s="129">
        <v>0</v>
      </c>
      <c r="J440" s="129">
        <v>0</v>
      </c>
    </row>
    <row r="441" spans="2:10">
      <c r="B441" s="131" t="s">
        <v>294</v>
      </c>
      <c r="C441" s="129">
        <v>0</v>
      </c>
      <c r="D441" s="129">
        <v>0</v>
      </c>
      <c r="E441" s="129">
        <v>0</v>
      </c>
      <c r="F441" s="129">
        <v>0</v>
      </c>
      <c r="G441" s="129">
        <v>0</v>
      </c>
      <c r="H441" s="129">
        <v>0</v>
      </c>
      <c r="I441" s="129">
        <v>0</v>
      </c>
      <c r="J441" s="129">
        <v>0</v>
      </c>
    </row>
    <row r="442" spans="2:10">
      <c r="B442" s="131" t="s">
        <v>293</v>
      </c>
      <c r="C442" s="129">
        <v>0</v>
      </c>
      <c r="D442" s="129">
        <v>0</v>
      </c>
      <c r="E442" s="129">
        <v>0</v>
      </c>
      <c r="F442" s="129">
        <v>0</v>
      </c>
      <c r="G442" s="129">
        <v>0</v>
      </c>
      <c r="H442" s="129">
        <v>0</v>
      </c>
      <c r="I442" s="129">
        <v>0</v>
      </c>
      <c r="J442" s="129">
        <v>0</v>
      </c>
    </row>
    <row r="443" spans="2:10">
      <c r="B443" s="131" t="s">
        <v>292</v>
      </c>
      <c r="C443" s="129">
        <v>0</v>
      </c>
      <c r="D443" s="129">
        <v>0</v>
      </c>
      <c r="E443" s="129">
        <v>0</v>
      </c>
      <c r="F443" s="129">
        <v>0</v>
      </c>
      <c r="G443" s="129">
        <v>0</v>
      </c>
      <c r="H443" s="129">
        <v>0</v>
      </c>
      <c r="I443" s="129">
        <v>0</v>
      </c>
      <c r="J443" s="129">
        <v>0</v>
      </c>
    </row>
    <row r="444" spans="2:10">
      <c r="B444" s="131" t="s">
        <v>291</v>
      </c>
      <c r="C444" s="129">
        <v>0</v>
      </c>
      <c r="D444" s="129">
        <v>0</v>
      </c>
      <c r="E444" s="129">
        <v>0</v>
      </c>
      <c r="F444" s="129">
        <v>0</v>
      </c>
      <c r="G444" s="129">
        <v>0</v>
      </c>
      <c r="H444" s="129">
        <v>0</v>
      </c>
      <c r="I444" s="129">
        <v>0</v>
      </c>
      <c r="J444" s="129">
        <v>0</v>
      </c>
    </row>
    <row r="445" spans="2:10">
      <c r="B445" s="131" t="s">
        <v>290</v>
      </c>
      <c r="C445" s="129">
        <v>0</v>
      </c>
      <c r="D445" s="129">
        <v>0</v>
      </c>
      <c r="E445" s="129">
        <v>0</v>
      </c>
      <c r="F445" s="129">
        <v>0</v>
      </c>
      <c r="G445" s="129">
        <v>0</v>
      </c>
      <c r="H445" s="129">
        <v>0</v>
      </c>
      <c r="I445" s="129">
        <v>0</v>
      </c>
      <c r="J445" s="129">
        <v>0</v>
      </c>
    </row>
    <row r="446" spans="2:10">
      <c r="B446" s="131" t="s">
        <v>289</v>
      </c>
      <c r="C446" s="129">
        <v>0</v>
      </c>
      <c r="D446" s="129">
        <v>0</v>
      </c>
      <c r="E446" s="129">
        <v>0</v>
      </c>
      <c r="F446" s="129">
        <v>0</v>
      </c>
      <c r="G446" s="129">
        <v>0</v>
      </c>
      <c r="H446" s="129">
        <v>0</v>
      </c>
      <c r="I446" s="129">
        <v>0</v>
      </c>
      <c r="J446" s="129">
        <v>0</v>
      </c>
    </row>
    <row r="447" spans="2:10">
      <c r="B447" s="131" t="s">
        <v>288</v>
      </c>
      <c r="C447" s="129">
        <v>0</v>
      </c>
      <c r="D447" s="129">
        <v>0</v>
      </c>
      <c r="E447" s="129">
        <v>0</v>
      </c>
      <c r="F447" s="129">
        <v>0</v>
      </c>
      <c r="G447" s="129">
        <v>0</v>
      </c>
      <c r="H447" s="129">
        <v>0</v>
      </c>
      <c r="I447" s="129">
        <v>0</v>
      </c>
      <c r="J447" s="129">
        <v>0</v>
      </c>
    </row>
    <row r="448" spans="2:10">
      <c r="B448" s="65" t="s">
        <v>301</v>
      </c>
      <c r="C448" s="273">
        <v>0.72148214434495206</v>
      </c>
      <c r="D448" s="273">
        <v>0.72099999999999997</v>
      </c>
      <c r="E448" s="273">
        <v>0.72213950928136161</v>
      </c>
      <c r="F448" s="273">
        <v>0.73299999999999998</v>
      </c>
      <c r="G448" s="273">
        <v>0.71299999999999997</v>
      </c>
      <c r="H448" s="273">
        <v>0.70779999999999998</v>
      </c>
      <c r="I448" s="273">
        <v>0.70519417777369087</v>
      </c>
      <c r="J448" s="273">
        <v>0.71399999999999997</v>
      </c>
    </row>
    <row r="449" spans="2:10">
      <c r="B449" s="65"/>
      <c r="C449" s="129"/>
      <c r="D449" s="129"/>
      <c r="E449" s="129"/>
      <c r="F449" s="129"/>
      <c r="G449" s="129"/>
      <c r="H449" s="129"/>
      <c r="I449" s="129"/>
      <c r="J449" s="129"/>
    </row>
    <row r="450" spans="2:10">
      <c r="B450" s="59" t="s">
        <v>574</v>
      </c>
      <c r="C450" s="107"/>
      <c r="D450" s="107"/>
      <c r="E450" s="107"/>
      <c r="F450" s="107"/>
      <c r="G450" s="107"/>
      <c r="H450" s="107"/>
      <c r="I450" s="107"/>
      <c r="J450" s="107"/>
    </row>
    <row r="451" spans="2:10">
      <c r="B451" s="71" t="s">
        <v>297</v>
      </c>
      <c r="C451" s="129">
        <v>81805.686066737311</v>
      </c>
      <c r="D451" s="129">
        <v>63686.841654924327</v>
      </c>
      <c r="E451" s="129">
        <v>58878.801475067303</v>
      </c>
      <c r="F451" s="129">
        <v>65411.050399777625</v>
      </c>
      <c r="G451" s="129">
        <v>68444.791006431828</v>
      </c>
      <c r="H451" s="129">
        <v>66428.090507221874</v>
      </c>
      <c r="I451" s="129">
        <v>70171.391114348138</v>
      </c>
      <c r="J451" s="129">
        <f>276894000/J11</f>
        <v>69551.085613238349</v>
      </c>
    </row>
    <row r="452" spans="2:10">
      <c r="B452" s="133" t="s">
        <v>296</v>
      </c>
      <c r="C452" s="129">
        <v>81805.686066737311</v>
      </c>
      <c r="D452" s="129">
        <v>63686.841654924327</v>
      </c>
      <c r="E452" s="129">
        <v>58878.801475067303</v>
      </c>
      <c r="F452" s="129">
        <v>65411.050399777625</v>
      </c>
      <c r="G452" s="129">
        <v>68444.791006431828</v>
      </c>
      <c r="H452" s="129">
        <v>66428.090507221874</v>
      </c>
      <c r="I452" s="129">
        <v>70171.391114348138</v>
      </c>
      <c r="J452" s="129">
        <f>276894000/J11</f>
        <v>69551.085613238349</v>
      </c>
    </row>
    <row r="453" spans="2:10">
      <c r="B453" s="131" t="s">
        <v>294</v>
      </c>
      <c r="C453" s="129">
        <v>81591.25897194953</v>
      </c>
      <c r="D453" s="129">
        <v>63502.605162262837</v>
      </c>
      <c r="E453" s="129">
        <v>58676.500448677223</v>
      </c>
      <c r="F453" s="129">
        <v>65216.271622926652</v>
      </c>
      <c r="G453" s="129">
        <v>68271.886565921843</v>
      </c>
      <c r="H453" s="129">
        <v>66277.620879907627</v>
      </c>
      <c r="I453" s="129">
        <v>70006.409322651132</v>
      </c>
      <c r="J453" s="129">
        <f>276150000/J11</f>
        <v>69364.205407469184</v>
      </c>
    </row>
    <row r="454" spans="2:10">
      <c r="B454" s="131" t="s">
        <v>293</v>
      </c>
      <c r="C454" s="129">
        <v>214.42709478777215</v>
      </c>
      <c r="D454" s="129">
        <v>184.23649266148914</v>
      </c>
      <c r="E454" s="129">
        <v>202.30102639008064</v>
      </c>
      <c r="F454" s="129">
        <v>194.77877685096988</v>
      </c>
      <c r="G454" s="129">
        <v>172.90444050998147</v>
      </c>
      <c r="H454" s="129">
        <v>150.46962731424358</v>
      </c>
      <c r="I454" s="129">
        <v>164.98179169701385</v>
      </c>
      <c r="J454" s="129">
        <f>743800/J11</f>
        <v>186.82996915471873</v>
      </c>
    </row>
    <row r="455" spans="2:10">
      <c r="B455" s="131" t="s">
        <v>292</v>
      </c>
      <c r="C455" s="129">
        <v>0</v>
      </c>
      <c r="D455" s="129">
        <v>0</v>
      </c>
      <c r="E455" s="129">
        <v>0</v>
      </c>
      <c r="F455" s="129">
        <v>0</v>
      </c>
      <c r="G455" s="129">
        <v>0</v>
      </c>
      <c r="H455" s="129">
        <v>0</v>
      </c>
      <c r="I455" s="129">
        <v>0</v>
      </c>
      <c r="J455" s="129">
        <v>0</v>
      </c>
    </row>
    <row r="456" spans="2:10">
      <c r="B456" s="131" t="s">
        <v>291</v>
      </c>
      <c r="C456" s="129">
        <v>0</v>
      </c>
      <c r="D456" s="129">
        <v>0</v>
      </c>
      <c r="E456" s="129">
        <v>0</v>
      </c>
      <c r="F456" s="129">
        <v>0</v>
      </c>
      <c r="G456" s="129">
        <v>0</v>
      </c>
      <c r="H456" s="129">
        <v>0</v>
      </c>
      <c r="I456" s="129">
        <v>0</v>
      </c>
      <c r="J456" s="129">
        <v>0</v>
      </c>
    </row>
    <row r="457" spans="2:10">
      <c r="B457" s="131" t="s">
        <v>290</v>
      </c>
      <c r="C457" s="129">
        <v>0</v>
      </c>
      <c r="D457" s="129">
        <v>0</v>
      </c>
      <c r="E457" s="129">
        <v>0</v>
      </c>
      <c r="F457" s="129">
        <v>0</v>
      </c>
      <c r="G457" s="129">
        <v>0</v>
      </c>
      <c r="H457" s="129">
        <v>0</v>
      </c>
      <c r="I457" s="129">
        <v>0</v>
      </c>
      <c r="J457" s="129">
        <v>0</v>
      </c>
    </row>
    <row r="458" spans="2:10">
      <c r="B458" s="131" t="s">
        <v>289</v>
      </c>
      <c r="C458" s="129">
        <v>0</v>
      </c>
      <c r="D458" s="129">
        <v>0</v>
      </c>
      <c r="E458" s="129">
        <v>0</v>
      </c>
      <c r="F458" s="129">
        <v>0</v>
      </c>
      <c r="G458" s="129">
        <v>0</v>
      </c>
      <c r="H458" s="129">
        <v>0</v>
      </c>
      <c r="I458" s="129">
        <v>0</v>
      </c>
      <c r="J458" s="129">
        <v>0</v>
      </c>
    </row>
    <row r="459" spans="2:10">
      <c r="B459" s="131" t="s">
        <v>288</v>
      </c>
      <c r="C459" s="129">
        <v>0</v>
      </c>
      <c r="D459" s="129">
        <v>0</v>
      </c>
      <c r="E459" s="129">
        <v>0</v>
      </c>
      <c r="F459" s="129">
        <v>0</v>
      </c>
      <c r="G459" s="129">
        <v>0</v>
      </c>
      <c r="H459" s="129">
        <v>0</v>
      </c>
      <c r="I459" s="129">
        <v>0</v>
      </c>
      <c r="J459" s="129">
        <v>0</v>
      </c>
    </row>
    <row r="460" spans="2:10">
      <c r="B460" s="132" t="s">
        <v>295</v>
      </c>
      <c r="C460" s="129">
        <v>0</v>
      </c>
      <c r="D460" s="129">
        <v>0</v>
      </c>
      <c r="E460" s="129">
        <v>0</v>
      </c>
      <c r="F460" s="129">
        <v>0</v>
      </c>
      <c r="G460" s="129">
        <v>0</v>
      </c>
      <c r="H460" s="129">
        <v>0</v>
      </c>
      <c r="I460" s="129">
        <v>0</v>
      </c>
      <c r="J460" s="129">
        <v>0</v>
      </c>
    </row>
    <row r="461" spans="2:10">
      <c r="B461" s="131" t="s">
        <v>294</v>
      </c>
      <c r="C461" s="129">
        <v>0</v>
      </c>
      <c r="D461" s="129">
        <v>0</v>
      </c>
      <c r="E461" s="129">
        <v>0</v>
      </c>
      <c r="F461" s="129">
        <v>0</v>
      </c>
      <c r="G461" s="129">
        <v>0</v>
      </c>
      <c r="H461" s="129">
        <v>0</v>
      </c>
      <c r="I461" s="129">
        <v>0</v>
      </c>
      <c r="J461" s="129">
        <v>0</v>
      </c>
    </row>
    <row r="462" spans="2:10">
      <c r="B462" s="131" t="s">
        <v>293</v>
      </c>
      <c r="C462" s="129">
        <v>0</v>
      </c>
      <c r="D462" s="129">
        <v>0</v>
      </c>
      <c r="E462" s="129">
        <v>0</v>
      </c>
      <c r="F462" s="129">
        <v>0</v>
      </c>
      <c r="G462" s="129">
        <v>0</v>
      </c>
      <c r="H462" s="129">
        <v>0</v>
      </c>
      <c r="I462" s="129">
        <v>0</v>
      </c>
      <c r="J462" s="129">
        <v>0</v>
      </c>
    </row>
    <row r="463" spans="2:10">
      <c r="B463" s="131" t="s">
        <v>292</v>
      </c>
      <c r="C463" s="129">
        <v>0</v>
      </c>
      <c r="D463" s="129">
        <v>0</v>
      </c>
      <c r="E463" s="129">
        <v>0</v>
      </c>
      <c r="F463" s="129">
        <v>0</v>
      </c>
      <c r="G463" s="129">
        <v>0</v>
      </c>
      <c r="H463" s="129">
        <v>0</v>
      </c>
      <c r="I463" s="129">
        <v>0</v>
      </c>
      <c r="J463" s="129">
        <v>0</v>
      </c>
    </row>
    <row r="464" spans="2:10">
      <c r="B464" s="131" t="s">
        <v>291</v>
      </c>
      <c r="C464" s="129">
        <v>0</v>
      </c>
      <c r="D464" s="129">
        <v>0</v>
      </c>
      <c r="E464" s="129">
        <v>0</v>
      </c>
      <c r="F464" s="129">
        <v>0</v>
      </c>
      <c r="G464" s="129">
        <v>0</v>
      </c>
      <c r="H464" s="129">
        <v>0</v>
      </c>
      <c r="I464" s="129">
        <v>0</v>
      </c>
      <c r="J464" s="129">
        <v>0</v>
      </c>
    </row>
    <row r="465" spans="2:10">
      <c r="B465" s="131" t="s">
        <v>290</v>
      </c>
      <c r="C465" s="129">
        <v>0</v>
      </c>
      <c r="D465" s="129">
        <v>0</v>
      </c>
      <c r="E465" s="129">
        <v>0</v>
      </c>
      <c r="F465" s="129">
        <v>0</v>
      </c>
      <c r="G465" s="129">
        <v>0</v>
      </c>
      <c r="H465" s="129">
        <v>0</v>
      </c>
      <c r="I465" s="129">
        <v>0</v>
      </c>
      <c r="J465" s="129">
        <v>0</v>
      </c>
    </row>
    <row r="466" spans="2:10">
      <c r="B466" s="131" t="s">
        <v>289</v>
      </c>
      <c r="C466" s="129">
        <v>0</v>
      </c>
      <c r="D466" s="129">
        <v>0</v>
      </c>
      <c r="E466" s="129">
        <v>0</v>
      </c>
      <c r="F466" s="129">
        <v>0</v>
      </c>
      <c r="G466" s="129">
        <v>0</v>
      </c>
      <c r="H466" s="129">
        <v>0</v>
      </c>
      <c r="I466" s="129">
        <v>0</v>
      </c>
      <c r="J466" s="129">
        <v>0</v>
      </c>
    </row>
    <row r="467" spans="2:10">
      <c r="B467" s="131" t="s">
        <v>288</v>
      </c>
      <c r="C467" s="129">
        <v>0</v>
      </c>
      <c r="D467" s="129">
        <v>0</v>
      </c>
      <c r="E467" s="129">
        <v>0</v>
      </c>
      <c r="F467" s="129">
        <v>0</v>
      </c>
      <c r="G467" s="129">
        <v>0</v>
      </c>
      <c r="H467" s="129">
        <v>0</v>
      </c>
      <c r="I467" s="129">
        <v>0</v>
      </c>
      <c r="J467" s="129">
        <v>0</v>
      </c>
    </row>
    <row r="468" spans="2:10">
      <c r="B468" s="65" t="s">
        <v>301</v>
      </c>
      <c r="C468" s="273">
        <v>0.91022965000049294</v>
      </c>
      <c r="D468" s="273">
        <v>0.91814836733125871</v>
      </c>
      <c r="E468" s="273">
        <v>0.9393795586379915</v>
      </c>
      <c r="F468" s="273">
        <v>0.93969999999999998</v>
      </c>
      <c r="G468" s="273">
        <v>0.92530000000000001</v>
      </c>
      <c r="H468" s="273">
        <v>0.9365</v>
      </c>
      <c r="I468" s="273">
        <v>0.9446656155267773</v>
      </c>
      <c r="J468" s="273">
        <v>0.91400000000000003</v>
      </c>
    </row>
    <row r="469" spans="2:10">
      <c r="B469" s="65"/>
      <c r="C469" s="129"/>
      <c r="D469" s="129"/>
      <c r="E469" s="129"/>
      <c r="F469" s="129"/>
      <c r="G469" s="129"/>
      <c r="H469" s="129"/>
      <c r="I469" s="129"/>
      <c r="J469" s="129"/>
    </row>
    <row r="470" spans="2:10">
      <c r="B470" s="59" t="s">
        <v>579</v>
      </c>
      <c r="C470" s="107"/>
      <c r="D470" s="107"/>
      <c r="E470" s="107"/>
      <c r="F470" s="107"/>
      <c r="G470" s="107"/>
      <c r="H470" s="107"/>
      <c r="I470" s="107"/>
      <c r="J470" s="107"/>
    </row>
    <row r="471" spans="2:10">
      <c r="B471" s="71" t="s">
        <v>297</v>
      </c>
      <c r="C471" s="129">
        <v>309269.8454025978</v>
      </c>
      <c r="D471" s="129">
        <v>253461.32957542303</v>
      </c>
      <c r="E471" s="129">
        <v>240299.72475817974</v>
      </c>
      <c r="F471" s="129">
        <v>273892.71583835478</v>
      </c>
      <c r="G471" s="129">
        <v>308242.24793864932</v>
      </c>
      <c r="H471" s="129">
        <v>313331.22784204804</v>
      </c>
      <c r="I471" s="129">
        <v>325363.63576842827</v>
      </c>
      <c r="J471" s="129">
        <f>1376034944.33378/J11</f>
        <v>345636.68486917886</v>
      </c>
    </row>
    <row r="472" spans="2:10">
      <c r="B472" s="133" t="s">
        <v>296</v>
      </c>
      <c r="C472" s="129">
        <v>309269.8454025978</v>
      </c>
      <c r="D472" s="129">
        <v>253461.32957542303</v>
      </c>
      <c r="E472" s="129">
        <v>240299.72475817974</v>
      </c>
      <c r="F472" s="129">
        <v>273892.71583835478</v>
      </c>
      <c r="G472" s="129">
        <v>308242.24793864932</v>
      </c>
      <c r="H472" s="129">
        <v>313331.22784204804</v>
      </c>
      <c r="I472" s="129">
        <v>325363.63576842827</v>
      </c>
      <c r="J472" s="129">
        <f>1376034944.33378/J11</f>
        <v>345636.68486917886</v>
      </c>
    </row>
    <row r="473" spans="2:10">
      <c r="B473" s="131" t="s">
        <v>294</v>
      </c>
      <c r="C473" s="129">
        <v>308326.89972789399</v>
      </c>
      <c r="D473" s="129">
        <v>252695.07949526524</v>
      </c>
      <c r="E473" s="129">
        <v>239451.6315159536</v>
      </c>
      <c r="F473" s="129">
        <v>272824.46438204293</v>
      </c>
      <c r="G473" s="129">
        <v>306906.21476477798</v>
      </c>
      <c r="H473" s="129">
        <v>312061.90742490685</v>
      </c>
      <c r="I473" s="129">
        <v>324312.36392356415</v>
      </c>
      <c r="J473" s="129">
        <f>1372908540.26574/J11</f>
        <v>344851.38509020989</v>
      </c>
    </row>
    <row r="474" spans="2:10">
      <c r="B474" s="131" t="s">
        <v>293</v>
      </c>
      <c r="C474" s="129">
        <v>942.94567470378081</v>
      </c>
      <c r="D474" s="129">
        <v>766.25008015780088</v>
      </c>
      <c r="E474" s="129">
        <v>848.09324222614816</v>
      </c>
      <c r="F474" s="129">
        <v>1068.2514563118275</v>
      </c>
      <c r="G474" s="129">
        <v>1336.0331738713469</v>
      </c>
      <c r="H474" s="129">
        <v>1269.320417141193</v>
      </c>
      <c r="I474" s="129">
        <v>1051.2718448640999</v>
      </c>
      <c r="J474" s="129">
        <f>3126404.06803657/J11</f>
        <v>785.29977896808225</v>
      </c>
    </row>
    <row r="475" spans="2:10">
      <c r="B475" s="131" t="s">
        <v>292</v>
      </c>
      <c r="C475" s="129">
        <v>0</v>
      </c>
      <c r="D475" s="129">
        <v>0</v>
      </c>
      <c r="E475" s="129">
        <v>0</v>
      </c>
      <c r="F475" s="129">
        <v>0</v>
      </c>
      <c r="G475" s="129">
        <v>0</v>
      </c>
      <c r="H475" s="129"/>
      <c r="I475" s="129">
        <v>0</v>
      </c>
      <c r="J475" s="129">
        <v>0</v>
      </c>
    </row>
    <row r="476" spans="2:10">
      <c r="B476" s="131" t="s">
        <v>291</v>
      </c>
      <c r="C476" s="129">
        <v>0</v>
      </c>
      <c r="D476" s="129">
        <v>0</v>
      </c>
      <c r="E476" s="129">
        <v>0</v>
      </c>
      <c r="F476" s="129">
        <v>0</v>
      </c>
      <c r="G476" s="129">
        <v>0</v>
      </c>
      <c r="H476" s="129"/>
      <c r="I476" s="129">
        <v>0</v>
      </c>
      <c r="J476" s="129">
        <v>0</v>
      </c>
    </row>
    <row r="477" spans="2:10">
      <c r="B477" s="131" t="s">
        <v>290</v>
      </c>
      <c r="C477" s="129">
        <v>0</v>
      </c>
      <c r="D477" s="129">
        <v>0</v>
      </c>
      <c r="E477" s="129">
        <v>0</v>
      </c>
      <c r="F477" s="129">
        <v>0</v>
      </c>
      <c r="G477" s="129">
        <v>0</v>
      </c>
      <c r="H477" s="129">
        <v>0</v>
      </c>
      <c r="I477" s="129">
        <v>0</v>
      </c>
      <c r="J477" s="129">
        <v>0</v>
      </c>
    </row>
    <row r="478" spans="2:10">
      <c r="B478" s="131" t="s">
        <v>289</v>
      </c>
      <c r="C478" s="129">
        <v>0</v>
      </c>
      <c r="D478" s="129">
        <v>0</v>
      </c>
      <c r="E478" s="129">
        <v>0</v>
      </c>
      <c r="F478" s="129">
        <v>0</v>
      </c>
      <c r="G478" s="129">
        <v>0</v>
      </c>
      <c r="H478" s="129">
        <v>0</v>
      </c>
      <c r="I478" s="129">
        <v>0</v>
      </c>
      <c r="J478" s="129">
        <v>0</v>
      </c>
    </row>
    <row r="479" spans="2:10">
      <c r="B479" s="131" t="s">
        <v>288</v>
      </c>
      <c r="C479" s="129">
        <v>0</v>
      </c>
      <c r="D479" s="129">
        <v>0</v>
      </c>
      <c r="E479" s="129">
        <v>0</v>
      </c>
      <c r="F479" s="129">
        <v>0</v>
      </c>
      <c r="G479" s="129">
        <v>0</v>
      </c>
      <c r="H479" s="129">
        <v>0</v>
      </c>
      <c r="I479" s="129">
        <v>0</v>
      </c>
      <c r="J479" s="129">
        <v>0</v>
      </c>
    </row>
    <row r="480" spans="2:10">
      <c r="B480" s="132" t="s">
        <v>295</v>
      </c>
      <c r="C480" s="129">
        <v>0</v>
      </c>
      <c r="D480" s="129">
        <v>0</v>
      </c>
      <c r="E480" s="129">
        <v>0</v>
      </c>
      <c r="F480" s="129">
        <v>0</v>
      </c>
      <c r="G480" s="129">
        <v>0</v>
      </c>
      <c r="H480" s="129">
        <v>0</v>
      </c>
      <c r="I480" s="129">
        <v>0</v>
      </c>
      <c r="J480" s="129">
        <v>0</v>
      </c>
    </row>
    <row r="481" spans="2:10">
      <c r="B481" s="131" t="s">
        <v>294</v>
      </c>
      <c r="C481" s="129">
        <v>0</v>
      </c>
      <c r="D481" s="129">
        <v>0</v>
      </c>
      <c r="E481" s="129">
        <v>0</v>
      </c>
      <c r="F481" s="129">
        <v>0</v>
      </c>
      <c r="G481" s="129">
        <v>0</v>
      </c>
      <c r="H481" s="129">
        <v>0</v>
      </c>
      <c r="I481" s="129">
        <v>0</v>
      </c>
      <c r="J481" s="129">
        <v>0</v>
      </c>
    </row>
    <row r="482" spans="2:10">
      <c r="B482" s="131" t="s">
        <v>293</v>
      </c>
      <c r="C482" s="129">
        <v>0</v>
      </c>
      <c r="D482" s="129">
        <v>0</v>
      </c>
      <c r="E482" s="129">
        <v>0</v>
      </c>
      <c r="F482" s="129">
        <v>0</v>
      </c>
      <c r="G482" s="129">
        <v>0</v>
      </c>
      <c r="H482" s="129">
        <v>0</v>
      </c>
      <c r="I482" s="129">
        <v>0</v>
      </c>
      <c r="J482" s="129">
        <v>0</v>
      </c>
    </row>
    <row r="483" spans="2:10">
      <c r="B483" s="131" t="s">
        <v>292</v>
      </c>
      <c r="C483" s="129">
        <v>0</v>
      </c>
      <c r="D483" s="129">
        <v>0</v>
      </c>
      <c r="E483" s="129">
        <v>0</v>
      </c>
      <c r="F483" s="129">
        <v>0</v>
      </c>
      <c r="G483" s="129">
        <v>0</v>
      </c>
      <c r="H483" s="129">
        <v>0</v>
      </c>
      <c r="I483" s="129">
        <v>0</v>
      </c>
      <c r="J483" s="129">
        <v>0</v>
      </c>
    </row>
    <row r="484" spans="2:10">
      <c r="B484" s="131" t="s">
        <v>291</v>
      </c>
      <c r="C484" s="129">
        <v>0</v>
      </c>
      <c r="D484" s="129">
        <v>0</v>
      </c>
      <c r="E484" s="129">
        <v>0</v>
      </c>
      <c r="F484" s="129">
        <v>0</v>
      </c>
      <c r="G484" s="129">
        <v>0</v>
      </c>
      <c r="H484" s="129">
        <v>0</v>
      </c>
      <c r="I484" s="129">
        <v>0</v>
      </c>
      <c r="J484" s="129">
        <v>0</v>
      </c>
    </row>
    <row r="485" spans="2:10">
      <c r="B485" s="131" t="s">
        <v>290</v>
      </c>
      <c r="C485" s="129">
        <v>0</v>
      </c>
      <c r="D485" s="129">
        <v>0</v>
      </c>
      <c r="E485" s="129">
        <v>0</v>
      </c>
      <c r="F485" s="129">
        <v>0</v>
      </c>
      <c r="G485" s="129">
        <v>0</v>
      </c>
      <c r="H485" s="129">
        <v>0</v>
      </c>
      <c r="I485" s="129">
        <v>0</v>
      </c>
      <c r="J485" s="129">
        <v>0</v>
      </c>
    </row>
    <row r="486" spans="2:10">
      <c r="B486" s="131" t="s">
        <v>289</v>
      </c>
      <c r="C486" s="129">
        <v>0</v>
      </c>
      <c r="D486" s="129">
        <v>0</v>
      </c>
      <c r="E486" s="129">
        <v>0</v>
      </c>
      <c r="F486" s="129">
        <v>0</v>
      </c>
      <c r="G486" s="129">
        <v>0</v>
      </c>
      <c r="H486" s="129">
        <v>0</v>
      </c>
      <c r="I486" s="129">
        <v>0</v>
      </c>
      <c r="J486" s="129">
        <v>0</v>
      </c>
    </row>
    <row r="487" spans="2:10">
      <c r="B487" s="131" t="s">
        <v>288</v>
      </c>
      <c r="C487" s="129">
        <v>0</v>
      </c>
      <c r="D487" s="129">
        <v>0</v>
      </c>
      <c r="E487" s="129">
        <v>0</v>
      </c>
      <c r="F487" s="129">
        <v>0</v>
      </c>
      <c r="G487" s="129">
        <v>0</v>
      </c>
      <c r="H487" s="129">
        <v>0</v>
      </c>
      <c r="I487" s="129">
        <v>0</v>
      </c>
      <c r="J487" s="129">
        <v>0</v>
      </c>
    </row>
    <row r="488" spans="2:10" ht="15" thickBot="1">
      <c r="B488" s="65" t="s">
        <v>301</v>
      </c>
      <c r="C488" s="273">
        <v>0.70240429238262725</v>
      </c>
      <c r="D488" s="273">
        <v>0.70279999999999998</v>
      </c>
      <c r="E488" s="273">
        <v>0.85281291134636961</v>
      </c>
      <c r="F488" s="273">
        <v>0.91</v>
      </c>
      <c r="G488" s="273">
        <v>0.74250000000000005</v>
      </c>
      <c r="H488" s="273">
        <v>0.74250000000000005</v>
      </c>
      <c r="I488" s="273">
        <v>0.74325003129789891</v>
      </c>
      <c r="J488" s="273">
        <v>0.72199999999999998</v>
      </c>
    </row>
    <row r="489" spans="2:10" ht="15" thickTop="1">
      <c r="B489" s="2039" t="s">
        <v>578</v>
      </c>
      <c r="C489" s="2039"/>
      <c r="D489" s="2039"/>
      <c r="E489" s="2039"/>
      <c r="F489" s="2039"/>
      <c r="G489" s="2039"/>
      <c r="H489" s="2039"/>
      <c r="I489" s="2039"/>
      <c r="J489" s="2039"/>
    </row>
    <row r="490" spans="2:10">
      <c r="B490" s="274"/>
      <c r="C490" s="274"/>
      <c r="D490" s="274"/>
      <c r="E490" s="274"/>
      <c r="F490" s="274"/>
      <c r="G490" s="274"/>
      <c r="H490" s="274"/>
      <c r="I490" s="274"/>
      <c r="J490" s="274"/>
    </row>
    <row r="491" spans="2:10">
      <c r="B491" s="2024" t="s">
        <v>285</v>
      </c>
      <c r="C491" s="2024"/>
      <c r="D491" s="2024"/>
      <c r="E491" s="2024"/>
      <c r="F491" s="2024"/>
      <c r="G491" s="2024"/>
      <c r="H491" s="2024"/>
      <c r="I491" s="2024"/>
      <c r="J491" s="2024"/>
    </row>
    <row r="492" spans="2:10">
      <c r="B492" s="12" t="s">
        <v>284</v>
      </c>
    </row>
    <row r="493" spans="2:10">
      <c r="B493" s="62" t="s">
        <v>269</v>
      </c>
    </row>
    <row r="494" spans="2:10">
      <c r="B494" s="64"/>
    </row>
    <row r="495" spans="2:10">
      <c r="B495" s="2024" t="s">
        <v>271</v>
      </c>
      <c r="C495" s="2024"/>
      <c r="D495" s="2024"/>
      <c r="E495" s="2024"/>
      <c r="F495" s="2024"/>
      <c r="G495" s="2024"/>
      <c r="H495" s="2024"/>
      <c r="I495" s="2024"/>
      <c r="J495" s="2024"/>
    </row>
    <row r="496" spans="2:10">
      <c r="B496" s="12" t="s">
        <v>270</v>
      </c>
    </row>
    <row r="497" spans="2:10">
      <c r="B497" s="77" t="s">
        <v>269</v>
      </c>
    </row>
    <row r="498" spans="2:10">
      <c r="B498" s="76"/>
    </row>
    <row r="499" spans="2:10">
      <c r="B499" s="61"/>
      <c r="C499" s="60">
        <v>2014</v>
      </c>
      <c r="D499" s="60">
        <v>2015</v>
      </c>
      <c r="E499" s="60">
        <v>2016</v>
      </c>
      <c r="F499" s="60">
        <v>2017</v>
      </c>
      <c r="G499" s="60">
        <v>2018</v>
      </c>
      <c r="H499" s="60">
        <v>2019</v>
      </c>
      <c r="I499" s="60">
        <v>2020</v>
      </c>
      <c r="J499" s="60">
        <v>2021</v>
      </c>
    </row>
    <row r="500" spans="2:10">
      <c r="B500" s="76" t="s">
        <v>580</v>
      </c>
      <c r="C500" s="121"/>
      <c r="D500" s="121"/>
      <c r="E500" s="121"/>
      <c r="F500" s="121"/>
      <c r="G500" s="121"/>
      <c r="H500" s="121"/>
      <c r="I500" s="121"/>
      <c r="J500" s="121"/>
    </row>
    <row r="501" spans="2:10">
      <c r="B501" s="71" t="s">
        <v>265</v>
      </c>
      <c r="C501" s="275">
        <v>41</v>
      </c>
      <c r="D501" s="275">
        <v>30</v>
      </c>
      <c r="E501" s="275">
        <v>30</v>
      </c>
      <c r="F501" s="275">
        <v>31</v>
      </c>
      <c r="G501" s="275">
        <v>30</v>
      </c>
      <c r="H501" s="275">
        <v>29</v>
      </c>
      <c r="I501" s="275">
        <v>30</v>
      </c>
      <c r="J501" s="275">
        <v>30</v>
      </c>
    </row>
    <row r="502" spans="2:10">
      <c r="B502" s="52" t="s">
        <v>262</v>
      </c>
      <c r="C502" s="74">
        <v>0</v>
      </c>
      <c r="D502" s="74">
        <v>0</v>
      </c>
      <c r="E502" s="74">
        <v>0</v>
      </c>
      <c r="F502" s="74">
        <v>0</v>
      </c>
      <c r="G502" s="74">
        <v>0</v>
      </c>
      <c r="H502" s="74">
        <v>0</v>
      </c>
      <c r="I502" s="74">
        <v>0</v>
      </c>
      <c r="J502" s="74">
        <v>0</v>
      </c>
    </row>
    <row r="503" spans="2:10">
      <c r="B503" s="52" t="s">
        <v>261</v>
      </c>
      <c r="C503" s="74">
        <v>0</v>
      </c>
      <c r="D503" s="74">
        <v>0</v>
      </c>
      <c r="E503" s="74">
        <v>0</v>
      </c>
      <c r="F503" s="74">
        <v>0</v>
      </c>
      <c r="G503" s="74">
        <v>0</v>
      </c>
      <c r="H503" s="74">
        <v>0</v>
      </c>
      <c r="I503" s="74">
        <v>0</v>
      </c>
      <c r="J503" s="74">
        <v>0</v>
      </c>
    </row>
    <row r="504" spans="2:10">
      <c r="B504" s="52" t="s">
        <v>260</v>
      </c>
      <c r="C504" s="275">
        <v>17</v>
      </c>
      <c r="D504" s="275">
        <v>13</v>
      </c>
      <c r="E504" s="275">
        <v>13</v>
      </c>
      <c r="F504" s="275">
        <v>13</v>
      </c>
      <c r="G504" s="275">
        <v>13</v>
      </c>
      <c r="H504" s="275">
        <v>14</v>
      </c>
      <c r="I504" s="275">
        <v>13</v>
      </c>
      <c r="J504" s="275">
        <v>17</v>
      </c>
    </row>
    <row r="505" spans="2:10">
      <c r="B505" s="52" t="s">
        <v>117</v>
      </c>
      <c r="C505" s="275">
        <v>24</v>
      </c>
      <c r="D505" s="275">
        <v>17</v>
      </c>
      <c r="E505" s="275">
        <v>17</v>
      </c>
      <c r="F505" s="275">
        <v>18</v>
      </c>
      <c r="G505" s="275">
        <v>17</v>
      </c>
      <c r="H505" s="275">
        <v>15</v>
      </c>
      <c r="I505" s="275">
        <v>17</v>
      </c>
      <c r="J505" s="275">
        <v>13</v>
      </c>
    </row>
    <row r="506" spans="2:10">
      <c r="B506" s="52"/>
      <c r="C506" s="275"/>
      <c r="D506" s="275"/>
      <c r="E506" s="275"/>
      <c r="F506" s="275"/>
      <c r="G506" s="275"/>
      <c r="H506" s="275"/>
      <c r="I506" s="275"/>
      <c r="J506" s="275"/>
    </row>
    <row r="507" spans="2:10">
      <c r="B507" s="71" t="s">
        <v>264</v>
      </c>
      <c r="C507" s="275">
        <v>41</v>
      </c>
      <c r="D507" s="275">
        <v>30</v>
      </c>
      <c r="E507" s="275">
        <v>30</v>
      </c>
      <c r="F507" s="275">
        <v>31</v>
      </c>
      <c r="G507" s="275">
        <v>30</v>
      </c>
      <c r="H507" s="275">
        <v>29</v>
      </c>
      <c r="I507" s="275">
        <v>30</v>
      </c>
      <c r="J507" s="275">
        <v>30</v>
      </c>
    </row>
    <row r="508" spans="2:10">
      <c r="B508" s="52" t="s">
        <v>262</v>
      </c>
      <c r="C508" s="74">
        <v>0</v>
      </c>
      <c r="D508" s="74">
        <v>0</v>
      </c>
      <c r="E508" s="74">
        <v>0</v>
      </c>
      <c r="F508" s="74">
        <v>0</v>
      </c>
      <c r="G508" s="74">
        <v>0</v>
      </c>
      <c r="H508" s="74">
        <v>0</v>
      </c>
      <c r="I508" s="74">
        <v>0</v>
      </c>
      <c r="J508" s="74">
        <v>0</v>
      </c>
    </row>
    <row r="509" spans="2:10">
      <c r="B509" s="52" t="s">
        <v>261</v>
      </c>
      <c r="C509" s="74">
        <v>0</v>
      </c>
      <c r="D509" s="74">
        <v>0</v>
      </c>
      <c r="E509" s="74">
        <v>0</v>
      </c>
      <c r="F509" s="74">
        <v>0</v>
      </c>
      <c r="G509" s="74">
        <v>0</v>
      </c>
      <c r="H509" s="74">
        <v>0</v>
      </c>
      <c r="I509" s="74">
        <v>0</v>
      </c>
      <c r="J509" s="74">
        <v>0</v>
      </c>
    </row>
    <row r="510" spans="2:10">
      <c r="B510" s="52" t="s">
        <v>260</v>
      </c>
      <c r="C510" s="275">
        <v>17</v>
      </c>
      <c r="D510" s="275">
        <v>13</v>
      </c>
      <c r="E510" s="275">
        <v>13</v>
      </c>
      <c r="F510" s="275">
        <v>13</v>
      </c>
      <c r="G510" s="275">
        <v>13</v>
      </c>
      <c r="H510" s="275">
        <v>14</v>
      </c>
      <c r="I510" s="275">
        <v>14</v>
      </c>
      <c r="J510" s="275">
        <v>17</v>
      </c>
    </row>
    <row r="511" spans="2:10">
      <c r="B511" s="52" t="s">
        <v>117</v>
      </c>
      <c r="C511" s="275">
        <v>24</v>
      </c>
      <c r="D511" s="275">
        <v>17</v>
      </c>
      <c r="E511" s="275">
        <v>17</v>
      </c>
      <c r="F511" s="275">
        <v>18</v>
      </c>
      <c r="G511" s="275">
        <v>17</v>
      </c>
      <c r="H511" s="275">
        <v>15</v>
      </c>
      <c r="I511" s="275">
        <v>16</v>
      </c>
      <c r="J511" s="275">
        <v>13</v>
      </c>
    </row>
    <row r="512" spans="2:10">
      <c r="B512" s="52"/>
      <c r="C512" s="275"/>
      <c r="D512" s="275"/>
      <c r="E512" s="275"/>
      <c r="F512" s="275"/>
      <c r="G512" s="275"/>
      <c r="H512" s="275"/>
      <c r="I512" s="275"/>
      <c r="J512" s="275"/>
    </row>
    <row r="513" spans="2:10">
      <c r="B513" s="71" t="s">
        <v>263</v>
      </c>
      <c r="C513" s="74">
        <v>0</v>
      </c>
      <c r="D513" s="74">
        <v>0</v>
      </c>
      <c r="E513" s="74">
        <v>0</v>
      </c>
      <c r="F513" s="74">
        <v>0</v>
      </c>
      <c r="G513" s="74">
        <v>0</v>
      </c>
      <c r="H513" s="74">
        <v>0</v>
      </c>
      <c r="I513" s="74">
        <v>0</v>
      </c>
      <c r="J513" s="74">
        <v>0</v>
      </c>
    </row>
    <row r="514" spans="2:10">
      <c r="B514" s="52" t="s">
        <v>262</v>
      </c>
      <c r="C514" s="74">
        <v>0</v>
      </c>
      <c r="D514" s="74">
        <v>0</v>
      </c>
      <c r="E514" s="74">
        <v>0</v>
      </c>
      <c r="F514" s="74">
        <v>0</v>
      </c>
      <c r="G514" s="74">
        <v>0</v>
      </c>
      <c r="H514" s="74">
        <v>0</v>
      </c>
      <c r="I514" s="74">
        <v>0</v>
      </c>
      <c r="J514" s="74">
        <v>0</v>
      </c>
    </row>
    <row r="515" spans="2:10">
      <c r="B515" s="52" t="s">
        <v>261</v>
      </c>
      <c r="C515" s="74">
        <v>0</v>
      </c>
      <c r="D515" s="74">
        <v>0</v>
      </c>
      <c r="E515" s="74">
        <v>0</v>
      </c>
      <c r="F515" s="74">
        <v>0</v>
      </c>
      <c r="G515" s="74">
        <v>0</v>
      </c>
      <c r="H515" s="74">
        <v>0</v>
      </c>
      <c r="I515" s="74">
        <v>0</v>
      </c>
      <c r="J515" s="74">
        <v>0</v>
      </c>
    </row>
    <row r="516" spans="2:10">
      <c r="B516" s="52" t="s">
        <v>260</v>
      </c>
      <c r="C516" s="74">
        <v>0</v>
      </c>
      <c r="D516" s="74">
        <v>0</v>
      </c>
      <c r="E516" s="74">
        <v>0</v>
      </c>
      <c r="F516" s="74">
        <v>0</v>
      </c>
      <c r="G516" s="74">
        <v>0</v>
      </c>
      <c r="H516" s="74">
        <v>0</v>
      </c>
      <c r="I516" s="74">
        <v>0</v>
      </c>
      <c r="J516" s="74">
        <v>0</v>
      </c>
    </row>
    <row r="517" spans="2:10">
      <c r="B517" s="52" t="s">
        <v>117</v>
      </c>
      <c r="C517" s="74">
        <v>0</v>
      </c>
      <c r="D517" s="74">
        <v>0</v>
      </c>
      <c r="E517" s="74">
        <v>0</v>
      </c>
      <c r="F517" s="74">
        <v>0</v>
      </c>
      <c r="G517" s="74">
        <v>0</v>
      </c>
      <c r="H517" s="74">
        <v>0</v>
      </c>
      <c r="I517" s="74">
        <v>0</v>
      </c>
      <c r="J517" s="74">
        <v>0</v>
      </c>
    </row>
    <row r="518" spans="2:10">
      <c r="B518" s="52"/>
      <c r="C518" s="275"/>
      <c r="D518" s="275"/>
      <c r="E518" s="275"/>
      <c r="F518" s="275"/>
      <c r="G518" s="275"/>
      <c r="H518" s="275"/>
      <c r="I518" s="275"/>
      <c r="J518" s="275"/>
    </row>
    <row r="519" spans="2:10">
      <c r="B519" s="76" t="s">
        <v>581</v>
      </c>
      <c r="C519" s="275"/>
      <c r="D519" s="275"/>
      <c r="E519" s="275"/>
      <c r="F519" s="275"/>
      <c r="G519" s="275"/>
      <c r="H519" s="275"/>
      <c r="I519" s="275"/>
      <c r="J519" s="275"/>
    </row>
    <row r="520" spans="2:10">
      <c r="B520" s="71" t="s">
        <v>265</v>
      </c>
      <c r="C520" s="74">
        <v>107</v>
      </c>
      <c r="D520" s="74">
        <v>107</v>
      </c>
      <c r="E520" s="74">
        <v>108</v>
      </c>
      <c r="F520" s="74">
        <v>100</v>
      </c>
      <c r="G520" s="74">
        <v>102</v>
      </c>
      <c r="H520" s="74">
        <v>103</v>
      </c>
      <c r="I520" s="74">
        <v>98</v>
      </c>
      <c r="J520" s="74">
        <v>91</v>
      </c>
    </row>
    <row r="521" spans="2:10">
      <c r="B521" s="52" t="s">
        <v>262</v>
      </c>
      <c r="C521" s="74">
        <v>0</v>
      </c>
      <c r="D521" s="74">
        <v>0</v>
      </c>
      <c r="E521" s="74">
        <v>0</v>
      </c>
      <c r="F521" s="74">
        <v>0</v>
      </c>
      <c r="G521" s="74">
        <v>0</v>
      </c>
      <c r="H521" s="74">
        <v>0</v>
      </c>
      <c r="I521" s="74">
        <v>0</v>
      </c>
      <c r="J521" s="74">
        <v>0</v>
      </c>
    </row>
    <row r="522" spans="2:10">
      <c r="B522" s="52" t="s">
        <v>261</v>
      </c>
      <c r="C522" s="74">
        <v>0</v>
      </c>
      <c r="D522" s="74">
        <v>0</v>
      </c>
      <c r="E522" s="74">
        <v>0</v>
      </c>
      <c r="F522" s="74">
        <v>0</v>
      </c>
      <c r="G522" s="74">
        <v>0</v>
      </c>
      <c r="H522" s="74">
        <v>0</v>
      </c>
      <c r="I522" s="74">
        <v>0</v>
      </c>
      <c r="J522" s="74">
        <v>0</v>
      </c>
    </row>
    <row r="523" spans="2:10">
      <c r="B523" s="52" t="s">
        <v>260</v>
      </c>
      <c r="C523" s="74">
        <v>21</v>
      </c>
      <c r="D523" s="74">
        <v>20</v>
      </c>
      <c r="E523" s="74">
        <v>20</v>
      </c>
      <c r="F523" s="74">
        <v>20</v>
      </c>
      <c r="G523" s="74">
        <v>21</v>
      </c>
      <c r="H523" s="74">
        <v>21</v>
      </c>
      <c r="I523" s="74">
        <v>20</v>
      </c>
      <c r="J523" s="74">
        <v>23</v>
      </c>
    </row>
    <row r="524" spans="2:10">
      <c r="B524" s="52" t="s">
        <v>117</v>
      </c>
      <c r="C524" s="74">
        <v>86</v>
      </c>
      <c r="D524" s="74">
        <v>87</v>
      </c>
      <c r="E524" s="74">
        <v>88</v>
      </c>
      <c r="F524" s="74">
        <v>80</v>
      </c>
      <c r="G524" s="74">
        <v>81</v>
      </c>
      <c r="H524" s="74">
        <v>82</v>
      </c>
      <c r="I524" s="74">
        <v>78</v>
      </c>
      <c r="J524" s="74">
        <v>68</v>
      </c>
    </row>
    <row r="525" spans="2:10">
      <c r="B525" s="52"/>
      <c r="C525" s="74"/>
      <c r="D525" s="74"/>
      <c r="E525" s="74"/>
      <c r="F525" s="74"/>
      <c r="G525" s="74"/>
      <c r="H525" s="74"/>
      <c r="I525" s="74"/>
      <c r="J525" s="74"/>
    </row>
    <row r="526" spans="2:10">
      <c r="B526" s="71" t="s">
        <v>264</v>
      </c>
      <c r="C526" s="74">
        <v>107</v>
      </c>
      <c r="D526" s="74">
        <v>107</v>
      </c>
      <c r="E526" s="74">
        <v>108</v>
      </c>
      <c r="F526" s="74">
        <v>100</v>
      </c>
      <c r="G526" s="74">
        <v>102</v>
      </c>
      <c r="H526" s="74">
        <v>103</v>
      </c>
      <c r="I526" s="74">
        <v>98</v>
      </c>
      <c r="J526" s="74">
        <v>91</v>
      </c>
    </row>
    <row r="527" spans="2:10">
      <c r="B527" s="52" t="s">
        <v>262</v>
      </c>
      <c r="C527" s="74">
        <v>0</v>
      </c>
      <c r="D527" s="74">
        <v>0</v>
      </c>
      <c r="E527" s="74">
        <v>0</v>
      </c>
      <c r="F527" s="74">
        <v>0</v>
      </c>
      <c r="G527" s="74">
        <v>0</v>
      </c>
      <c r="H527" s="74">
        <v>0</v>
      </c>
      <c r="I527" s="74">
        <v>0</v>
      </c>
      <c r="J527" s="74">
        <v>0</v>
      </c>
    </row>
    <row r="528" spans="2:10">
      <c r="B528" s="52" t="s">
        <v>261</v>
      </c>
      <c r="C528" s="74">
        <v>0</v>
      </c>
      <c r="D528" s="74">
        <v>0</v>
      </c>
      <c r="E528" s="74">
        <v>0</v>
      </c>
      <c r="F528" s="74">
        <v>0</v>
      </c>
      <c r="G528" s="74">
        <v>0</v>
      </c>
      <c r="H528" s="74">
        <v>0</v>
      </c>
      <c r="I528" s="74">
        <v>0</v>
      </c>
      <c r="J528" s="74">
        <v>0</v>
      </c>
    </row>
    <row r="529" spans="2:10">
      <c r="B529" s="52" t="s">
        <v>260</v>
      </c>
      <c r="C529" s="74">
        <v>21</v>
      </c>
      <c r="D529" s="74">
        <v>20</v>
      </c>
      <c r="E529" s="74">
        <v>20</v>
      </c>
      <c r="F529" s="74">
        <v>20</v>
      </c>
      <c r="G529" s="74">
        <v>21</v>
      </c>
      <c r="H529" s="74">
        <v>21</v>
      </c>
      <c r="I529" s="74">
        <v>20</v>
      </c>
      <c r="J529" s="74">
        <v>23</v>
      </c>
    </row>
    <row r="530" spans="2:10">
      <c r="B530" s="52" t="s">
        <v>117</v>
      </c>
      <c r="C530" s="74">
        <v>86</v>
      </c>
      <c r="D530" s="74">
        <v>87</v>
      </c>
      <c r="E530" s="74">
        <v>88</v>
      </c>
      <c r="F530" s="74">
        <v>80</v>
      </c>
      <c r="G530" s="74">
        <v>81</v>
      </c>
      <c r="H530" s="74">
        <v>82</v>
      </c>
      <c r="I530" s="74">
        <v>78</v>
      </c>
      <c r="J530" s="74">
        <v>68</v>
      </c>
    </row>
    <row r="531" spans="2:10">
      <c r="B531" s="52"/>
      <c r="C531" s="74"/>
      <c r="D531" s="74"/>
      <c r="E531" s="74"/>
      <c r="F531" s="74"/>
      <c r="G531" s="74"/>
      <c r="H531" s="74"/>
      <c r="I531" s="74"/>
      <c r="J531" s="74"/>
    </row>
    <row r="532" spans="2:10">
      <c r="B532" s="71" t="s">
        <v>263</v>
      </c>
      <c r="C532" s="74">
        <v>0</v>
      </c>
      <c r="D532" s="74">
        <v>0</v>
      </c>
      <c r="E532" s="74">
        <v>0</v>
      </c>
      <c r="F532" s="74">
        <v>0</v>
      </c>
      <c r="G532" s="74">
        <v>0</v>
      </c>
      <c r="H532" s="74">
        <v>0</v>
      </c>
      <c r="I532" s="74">
        <v>0</v>
      </c>
      <c r="J532" s="74">
        <v>0</v>
      </c>
    </row>
    <row r="533" spans="2:10">
      <c r="B533" s="52" t="s">
        <v>262</v>
      </c>
      <c r="C533" s="74">
        <v>0</v>
      </c>
      <c r="D533" s="74">
        <v>0</v>
      </c>
      <c r="E533" s="74">
        <v>0</v>
      </c>
      <c r="F533" s="74">
        <v>0</v>
      </c>
      <c r="G533" s="74">
        <v>0</v>
      </c>
      <c r="H533" s="74">
        <v>0</v>
      </c>
      <c r="I533" s="74">
        <v>0</v>
      </c>
      <c r="J533" s="74">
        <v>0</v>
      </c>
    </row>
    <row r="534" spans="2:10">
      <c r="B534" s="52" t="s">
        <v>261</v>
      </c>
      <c r="C534" s="74">
        <v>0</v>
      </c>
      <c r="D534" s="74">
        <v>0</v>
      </c>
      <c r="E534" s="74">
        <v>0</v>
      </c>
      <c r="F534" s="74">
        <v>0</v>
      </c>
      <c r="G534" s="74">
        <v>0</v>
      </c>
      <c r="H534" s="74">
        <v>0</v>
      </c>
      <c r="I534" s="74">
        <v>0</v>
      </c>
      <c r="J534" s="74">
        <v>0</v>
      </c>
    </row>
    <row r="535" spans="2:10">
      <c r="B535" s="52" t="s">
        <v>260</v>
      </c>
      <c r="C535" s="74">
        <v>0</v>
      </c>
      <c r="D535" s="74">
        <v>0</v>
      </c>
      <c r="E535" s="74">
        <v>0</v>
      </c>
      <c r="F535" s="74">
        <v>0</v>
      </c>
      <c r="G535" s="74">
        <v>0</v>
      </c>
      <c r="H535" s="74">
        <v>0</v>
      </c>
      <c r="I535" s="74">
        <v>0</v>
      </c>
      <c r="J535" s="74">
        <v>0</v>
      </c>
    </row>
    <row r="536" spans="2:10">
      <c r="B536" s="52" t="s">
        <v>117</v>
      </c>
      <c r="C536" s="74">
        <v>0</v>
      </c>
      <c r="D536" s="74">
        <v>0</v>
      </c>
      <c r="E536" s="74">
        <v>0</v>
      </c>
      <c r="F536" s="74">
        <v>0</v>
      </c>
      <c r="G536" s="74">
        <v>0</v>
      </c>
      <c r="H536" s="74">
        <v>0</v>
      </c>
      <c r="I536" s="74">
        <v>0</v>
      </c>
      <c r="J536" s="74">
        <v>0</v>
      </c>
    </row>
    <row r="537" spans="2:10">
      <c r="B537" s="52"/>
      <c r="C537" s="74"/>
      <c r="D537" s="74"/>
      <c r="E537" s="74"/>
      <c r="F537" s="74"/>
      <c r="G537" s="74"/>
      <c r="H537" s="74"/>
      <c r="I537" s="74"/>
      <c r="J537" s="74"/>
    </row>
    <row r="538" spans="2:10">
      <c r="B538" s="76" t="s">
        <v>582</v>
      </c>
      <c r="C538" s="74"/>
      <c r="D538" s="74"/>
      <c r="E538" s="74"/>
      <c r="F538" s="74"/>
      <c r="G538" s="74"/>
      <c r="H538" s="74"/>
      <c r="I538" s="74"/>
      <c r="J538" s="74"/>
    </row>
    <row r="539" spans="2:10">
      <c r="B539" s="71" t="s">
        <v>265</v>
      </c>
      <c r="C539" s="74">
        <v>44</v>
      </c>
      <c r="D539" s="74">
        <v>43</v>
      </c>
      <c r="E539" s="74">
        <v>41</v>
      </c>
      <c r="F539" s="74">
        <v>40</v>
      </c>
      <c r="G539" s="74">
        <v>39</v>
      </c>
      <c r="H539" s="74">
        <v>38</v>
      </c>
      <c r="I539" s="74">
        <v>36</v>
      </c>
      <c r="J539" s="74">
        <v>30</v>
      </c>
    </row>
    <row r="540" spans="2:10">
      <c r="B540" s="52" t="s">
        <v>262</v>
      </c>
      <c r="C540" s="74">
        <v>0</v>
      </c>
      <c r="D540" s="74">
        <v>0</v>
      </c>
      <c r="E540" s="74">
        <v>0</v>
      </c>
      <c r="F540" s="74">
        <v>0</v>
      </c>
      <c r="G540" s="74">
        <v>0</v>
      </c>
      <c r="H540" s="74">
        <v>0</v>
      </c>
      <c r="I540" s="74">
        <v>0</v>
      </c>
      <c r="J540" s="74">
        <v>0</v>
      </c>
    </row>
    <row r="541" spans="2:10">
      <c r="B541" s="52" t="s">
        <v>261</v>
      </c>
      <c r="C541" s="74">
        <v>1</v>
      </c>
      <c r="D541" s="74">
        <v>1</v>
      </c>
      <c r="E541" s="74">
        <v>1</v>
      </c>
      <c r="F541" s="74">
        <v>1</v>
      </c>
      <c r="G541" s="74">
        <v>1</v>
      </c>
      <c r="H541" s="74">
        <v>1</v>
      </c>
      <c r="I541" s="74">
        <v>1</v>
      </c>
      <c r="J541" s="74">
        <v>1</v>
      </c>
    </row>
    <row r="542" spans="2:10">
      <c r="B542" s="52" t="s">
        <v>260</v>
      </c>
      <c r="C542" s="74">
        <v>12</v>
      </c>
      <c r="D542" s="74">
        <v>11</v>
      </c>
      <c r="E542" s="74">
        <v>11</v>
      </c>
      <c r="F542" s="74">
        <v>11</v>
      </c>
      <c r="G542" s="74">
        <v>11</v>
      </c>
      <c r="H542" s="74">
        <v>11</v>
      </c>
      <c r="I542" s="74">
        <v>12</v>
      </c>
      <c r="J542" s="74">
        <v>11</v>
      </c>
    </row>
    <row r="543" spans="2:10">
      <c r="B543" s="52" t="s">
        <v>117</v>
      </c>
      <c r="C543" s="74">
        <v>31</v>
      </c>
      <c r="D543" s="74">
        <v>31</v>
      </c>
      <c r="E543" s="74">
        <v>29</v>
      </c>
      <c r="F543" s="74">
        <v>28</v>
      </c>
      <c r="G543" s="74">
        <v>27</v>
      </c>
      <c r="H543" s="74">
        <v>26</v>
      </c>
      <c r="I543" s="74">
        <v>23</v>
      </c>
      <c r="J543" s="74">
        <v>18</v>
      </c>
    </row>
    <row r="544" spans="2:10">
      <c r="B544" s="52"/>
      <c r="C544" s="74"/>
      <c r="D544" s="74"/>
      <c r="E544" s="74"/>
      <c r="F544" s="74"/>
      <c r="G544" s="74"/>
      <c r="H544" s="74"/>
      <c r="I544" s="74"/>
      <c r="J544" s="74"/>
    </row>
    <row r="545" spans="2:10">
      <c r="B545" s="71" t="s">
        <v>264</v>
      </c>
      <c r="C545" s="74">
        <v>44</v>
      </c>
      <c r="D545" s="74">
        <v>43</v>
      </c>
      <c r="E545" s="74">
        <v>41</v>
      </c>
      <c r="F545" s="74">
        <v>40</v>
      </c>
      <c r="G545" s="74">
        <v>39</v>
      </c>
      <c r="H545" s="74">
        <v>38</v>
      </c>
      <c r="I545" s="74">
        <v>36</v>
      </c>
      <c r="J545" s="74">
        <v>30</v>
      </c>
    </row>
    <row r="546" spans="2:10">
      <c r="B546" s="52" t="s">
        <v>262</v>
      </c>
      <c r="C546" s="74">
        <v>0</v>
      </c>
      <c r="D546" s="74">
        <v>0</v>
      </c>
      <c r="E546" s="74">
        <v>0</v>
      </c>
      <c r="F546" s="74">
        <v>0</v>
      </c>
      <c r="G546" s="74">
        <v>0</v>
      </c>
      <c r="H546" s="74">
        <v>0</v>
      </c>
      <c r="I546" s="74">
        <v>0</v>
      </c>
      <c r="J546" s="74">
        <v>0</v>
      </c>
    </row>
    <row r="547" spans="2:10">
      <c r="B547" s="52" t="s">
        <v>261</v>
      </c>
      <c r="C547" s="74">
        <v>1</v>
      </c>
      <c r="D547" s="74">
        <v>1</v>
      </c>
      <c r="E547" s="74">
        <v>1</v>
      </c>
      <c r="F547" s="74">
        <v>1</v>
      </c>
      <c r="G547" s="74">
        <v>1</v>
      </c>
      <c r="H547" s="74">
        <v>1</v>
      </c>
      <c r="I547" s="74">
        <v>1</v>
      </c>
      <c r="J547" s="74">
        <v>1</v>
      </c>
    </row>
    <row r="548" spans="2:10">
      <c r="B548" s="52" t="s">
        <v>260</v>
      </c>
      <c r="C548" s="74">
        <v>12</v>
      </c>
      <c r="D548" s="74">
        <v>11</v>
      </c>
      <c r="E548" s="74">
        <v>11</v>
      </c>
      <c r="F548" s="74">
        <v>11</v>
      </c>
      <c r="G548" s="74">
        <v>11</v>
      </c>
      <c r="H548" s="74">
        <v>11</v>
      </c>
      <c r="I548" s="74">
        <v>12</v>
      </c>
      <c r="J548" s="74">
        <v>11</v>
      </c>
    </row>
    <row r="549" spans="2:10">
      <c r="B549" s="52" t="s">
        <v>117</v>
      </c>
      <c r="C549" s="74">
        <v>31</v>
      </c>
      <c r="D549" s="74">
        <v>31</v>
      </c>
      <c r="E549" s="74">
        <v>29</v>
      </c>
      <c r="F549" s="74">
        <v>28</v>
      </c>
      <c r="G549" s="74">
        <v>27</v>
      </c>
      <c r="H549" s="74">
        <v>26</v>
      </c>
      <c r="I549" s="74">
        <v>23</v>
      </c>
      <c r="J549" s="74">
        <v>18</v>
      </c>
    </row>
    <row r="550" spans="2:10">
      <c r="B550" s="52"/>
      <c r="C550" s="74"/>
      <c r="D550" s="74"/>
      <c r="E550" s="74"/>
      <c r="F550" s="74"/>
      <c r="G550" s="74"/>
      <c r="H550" s="74"/>
      <c r="I550" s="74"/>
      <c r="J550" s="74"/>
    </row>
    <row r="551" spans="2:10">
      <c r="B551" s="71" t="s">
        <v>263</v>
      </c>
      <c r="C551" s="74">
        <v>0</v>
      </c>
      <c r="D551" s="74">
        <v>0</v>
      </c>
      <c r="E551" s="74">
        <v>0</v>
      </c>
      <c r="F551" s="74">
        <v>0</v>
      </c>
      <c r="G551" s="74">
        <v>0</v>
      </c>
      <c r="H551" s="74">
        <v>0</v>
      </c>
      <c r="I551" s="74">
        <v>0</v>
      </c>
      <c r="J551" s="74">
        <v>0</v>
      </c>
    </row>
    <row r="552" spans="2:10">
      <c r="B552" s="52" t="s">
        <v>262</v>
      </c>
      <c r="C552" s="74">
        <v>0</v>
      </c>
      <c r="D552" s="74">
        <v>0</v>
      </c>
      <c r="E552" s="74">
        <v>0</v>
      </c>
      <c r="F552" s="74">
        <v>0</v>
      </c>
      <c r="G552" s="74">
        <v>0</v>
      </c>
      <c r="H552" s="74">
        <v>0</v>
      </c>
      <c r="I552" s="74">
        <v>0</v>
      </c>
      <c r="J552" s="74">
        <v>0</v>
      </c>
    </row>
    <row r="553" spans="2:10">
      <c r="B553" s="52" t="s">
        <v>261</v>
      </c>
      <c r="C553" s="74">
        <v>0</v>
      </c>
      <c r="D553" s="74">
        <v>0</v>
      </c>
      <c r="E553" s="74">
        <v>0</v>
      </c>
      <c r="F553" s="74">
        <v>0</v>
      </c>
      <c r="G553" s="74">
        <v>0</v>
      </c>
      <c r="H553" s="74">
        <v>0</v>
      </c>
      <c r="I553" s="74">
        <v>0</v>
      </c>
      <c r="J553" s="74">
        <v>0</v>
      </c>
    </row>
    <row r="554" spans="2:10">
      <c r="B554" s="52" t="s">
        <v>260</v>
      </c>
      <c r="C554" s="74">
        <v>0</v>
      </c>
      <c r="D554" s="74">
        <v>0</v>
      </c>
      <c r="E554" s="74">
        <v>0</v>
      </c>
      <c r="F554" s="74">
        <v>0</v>
      </c>
      <c r="G554" s="74">
        <v>0</v>
      </c>
      <c r="H554" s="74">
        <v>0</v>
      </c>
      <c r="I554" s="74">
        <v>0</v>
      </c>
      <c r="J554" s="74">
        <v>0</v>
      </c>
    </row>
    <row r="555" spans="2:10" ht="15" thickBot="1">
      <c r="B555" s="52" t="s">
        <v>117</v>
      </c>
      <c r="C555" s="74">
        <v>0</v>
      </c>
      <c r="D555" s="74">
        <v>0</v>
      </c>
      <c r="E555" s="74">
        <v>0</v>
      </c>
      <c r="F555" s="74">
        <v>0</v>
      </c>
      <c r="G555" s="74">
        <v>0</v>
      </c>
      <c r="H555" s="74">
        <v>0</v>
      </c>
      <c r="I555" s="74">
        <v>0</v>
      </c>
      <c r="J555" s="74">
        <v>0</v>
      </c>
    </row>
    <row r="556" spans="2:10" ht="15" thickTop="1">
      <c r="B556" s="2039" t="s">
        <v>583</v>
      </c>
      <c r="C556" s="2039"/>
      <c r="D556" s="2039"/>
      <c r="E556" s="2039"/>
      <c r="F556" s="2039"/>
      <c r="G556" s="2039"/>
      <c r="H556" s="2039"/>
      <c r="I556" s="2039"/>
      <c r="J556" s="2039"/>
    </row>
    <row r="557" spans="2:10">
      <c r="B557" s="62"/>
    </row>
    <row r="558" spans="2:10">
      <c r="B558" s="2024" t="s">
        <v>258</v>
      </c>
      <c r="C558" s="2024"/>
      <c r="D558" s="2024"/>
      <c r="E558" s="2024"/>
      <c r="F558" s="2024"/>
      <c r="G558" s="2024"/>
      <c r="H558" s="2024"/>
      <c r="I558" s="2024"/>
      <c r="J558" s="2024"/>
    </row>
    <row r="559" spans="2:10">
      <c r="B559" s="12" t="s">
        <v>257</v>
      </c>
    </row>
    <row r="560" spans="2:10">
      <c r="B560" s="77" t="s">
        <v>256</v>
      </c>
    </row>
    <row r="561" spans="2:10">
      <c r="B561" s="62"/>
    </row>
    <row r="562" spans="2:10">
      <c r="B562" s="61"/>
      <c r="C562" s="60">
        <v>2014</v>
      </c>
      <c r="D562" s="60">
        <v>2015</v>
      </c>
      <c r="E562" s="60">
        <v>2016</v>
      </c>
      <c r="F562" s="60">
        <v>2017</v>
      </c>
      <c r="G562" s="60">
        <v>2018</v>
      </c>
      <c r="H562" s="60">
        <v>2019</v>
      </c>
      <c r="I562" s="60">
        <v>2020</v>
      </c>
      <c r="J562" s="60">
        <v>2021</v>
      </c>
    </row>
    <row r="563" spans="2:10">
      <c r="B563" s="59" t="s">
        <v>584</v>
      </c>
    </row>
    <row r="564" spans="2:10">
      <c r="B564" s="71" t="s">
        <v>247</v>
      </c>
      <c r="C564" s="276">
        <v>0.52100000000000002</v>
      </c>
      <c r="D564" s="276">
        <v>0.36899999999999999</v>
      </c>
      <c r="E564" s="276">
        <v>0.29199999999999998</v>
      </c>
      <c r="F564" s="276">
        <v>0.253</v>
      </c>
      <c r="G564" s="276">
        <v>0.20300000000000001</v>
      </c>
      <c r="H564" s="276">
        <v>0.20299999999999999</v>
      </c>
      <c r="I564" s="276">
        <v>0.23599999999999999</v>
      </c>
      <c r="J564" s="276">
        <v>0.247</v>
      </c>
    </row>
    <row r="565" spans="2:10">
      <c r="B565" s="52" t="s">
        <v>121</v>
      </c>
      <c r="C565" s="276">
        <v>0.52100000000000002</v>
      </c>
      <c r="D565" s="276">
        <v>0.36899999999999999</v>
      </c>
      <c r="E565" s="276">
        <v>0.29199999999999998</v>
      </c>
      <c r="F565" s="276">
        <v>0.253</v>
      </c>
      <c r="G565" s="276">
        <v>0.20300000000000001</v>
      </c>
      <c r="H565" s="276">
        <v>0.20299999999999999</v>
      </c>
      <c r="I565" s="276">
        <v>0.23599999999999999</v>
      </c>
      <c r="J565" s="276">
        <v>0.247</v>
      </c>
    </row>
    <row r="566" spans="2:10">
      <c r="B566" s="53" t="s">
        <v>120</v>
      </c>
      <c r="C566" s="276">
        <v>0.20300000000000001</v>
      </c>
      <c r="D566" s="276">
        <v>0.187</v>
      </c>
      <c r="E566" s="276">
        <v>0.109</v>
      </c>
      <c r="F566" s="276">
        <v>0.14299999999999999</v>
      </c>
      <c r="G566" s="276">
        <v>0.14000000000000001</v>
      </c>
      <c r="H566" s="276">
        <v>0.151</v>
      </c>
      <c r="I566" s="276">
        <v>0.191</v>
      </c>
      <c r="J566" s="276">
        <v>0.20399999999999999</v>
      </c>
    </row>
    <row r="567" spans="2:10">
      <c r="B567" s="53" t="s">
        <v>119</v>
      </c>
      <c r="C567" s="276">
        <v>0.318</v>
      </c>
      <c r="D567" s="276">
        <v>0.182</v>
      </c>
      <c r="E567" s="276">
        <v>0.183</v>
      </c>
      <c r="F567" s="276">
        <v>0.11</v>
      </c>
      <c r="G567" s="276">
        <v>6.3E-2</v>
      </c>
      <c r="H567" s="276">
        <v>5.1999999999999998E-2</v>
      </c>
      <c r="I567" s="276">
        <v>4.4999999999999998E-2</v>
      </c>
      <c r="J567" s="276">
        <v>4.2999999999999997E-2</v>
      </c>
    </row>
    <row r="568" spans="2:10">
      <c r="B568" s="52" t="s">
        <v>118</v>
      </c>
      <c r="C568" s="67">
        <v>0</v>
      </c>
      <c r="D568" s="67">
        <v>0</v>
      </c>
      <c r="E568" s="67">
        <v>0</v>
      </c>
      <c r="F568" s="67">
        <v>0</v>
      </c>
      <c r="G568" s="67">
        <v>0</v>
      </c>
      <c r="H568" s="67">
        <v>0</v>
      </c>
      <c r="I568" s="67">
        <v>0</v>
      </c>
      <c r="J568" s="67">
        <v>0</v>
      </c>
    </row>
    <row r="569" spans="2:10">
      <c r="B569" s="52" t="s">
        <v>117</v>
      </c>
      <c r="C569" s="67">
        <v>0</v>
      </c>
      <c r="D569" s="67">
        <v>0</v>
      </c>
      <c r="E569" s="67">
        <v>0</v>
      </c>
      <c r="F569" s="67">
        <v>0</v>
      </c>
      <c r="G569" s="67">
        <v>0</v>
      </c>
      <c r="H569" s="67">
        <v>0</v>
      </c>
      <c r="I569" s="67">
        <v>0</v>
      </c>
      <c r="J569" s="67">
        <v>0</v>
      </c>
    </row>
    <row r="570" spans="2:10">
      <c r="B570" s="52"/>
      <c r="C570" s="276"/>
      <c r="D570" s="276"/>
      <c r="E570" s="276"/>
      <c r="F570" s="276"/>
      <c r="G570" s="276"/>
      <c r="H570" s="276"/>
      <c r="I570" s="276"/>
      <c r="J570" s="276"/>
    </row>
    <row r="571" spans="2:10">
      <c r="B571" s="59" t="s">
        <v>585</v>
      </c>
      <c r="C571" s="277"/>
      <c r="D571" s="277"/>
      <c r="E571" s="277"/>
      <c r="F571" s="277"/>
      <c r="G571" s="277"/>
      <c r="H571" s="277"/>
      <c r="I571" s="277"/>
      <c r="J571" s="277"/>
    </row>
    <row r="572" spans="2:10">
      <c r="B572" s="71" t="s">
        <v>247</v>
      </c>
      <c r="C572" s="276">
        <v>0.19800000000000001</v>
      </c>
      <c r="D572" s="276">
        <v>0.20200000000000001</v>
      </c>
      <c r="E572" s="276">
        <v>0.19800000000000001</v>
      </c>
      <c r="F572" s="276">
        <v>0.83</v>
      </c>
      <c r="G572" s="276">
        <v>0.86</v>
      </c>
      <c r="H572" s="276">
        <v>1.0409999999999999</v>
      </c>
      <c r="I572" s="276">
        <v>1.0900000000000001</v>
      </c>
      <c r="J572" s="276">
        <v>1.1080000000000001</v>
      </c>
    </row>
    <row r="573" spans="2:10">
      <c r="B573" s="52" t="s">
        <v>121</v>
      </c>
      <c r="C573" s="276">
        <v>0.19800000000000001</v>
      </c>
      <c r="D573" s="276">
        <v>0.20200000000000001</v>
      </c>
      <c r="E573" s="276">
        <v>0.19800000000000001</v>
      </c>
      <c r="F573" s="276">
        <v>0.83</v>
      </c>
      <c r="G573" s="276">
        <v>0.86</v>
      </c>
      <c r="H573" s="276">
        <v>1.0409999999999999</v>
      </c>
      <c r="I573" s="276">
        <v>1.0900000000000001</v>
      </c>
      <c r="J573" s="276">
        <v>1.1080000000000001</v>
      </c>
    </row>
    <row r="574" spans="2:10">
      <c r="B574" s="53" t="s">
        <v>120</v>
      </c>
      <c r="C574" s="67">
        <v>0</v>
      </c>
      <c r="D574" s="67">
        <v>0</v>
      </c>
      <c r="E574" s="67">
        <v>0</v>
      </c>
      <c r="F574" s="67">
        <v>0</v>
      </c>
      <c r="G574" s="67">
        <v>0</v>
      </c>
      <c r="H574" s="276">
        <v>8.0000000000000002E-3</v>
      </c>
      <c r="I574" s="276">
        <v>8.0000000000000002E-3</v>
      </c>
      <c r="J574" s="276">
        <v>8.0000000000000002E-3</v>
      </c>
    </row>
    <row r="575" spans="2:10">
      <c r="B575" s="53" t="s">
        <v>119</v>
      </c>
      <c r="C575" s="67">
        <v>0</v>
      </c>
      <c r="D575" s="67">
        <v>0</v>
      </c>
      <c r="E575" s="67">
        <v>0</v>
      </c>
      <c r="F575" s="67">
        <v>0</v>
      </c>
      <c r="G575" s="67">
        <v>0</v>
      </c>
      <c r="H575" s="276">
        <v>1.0329999999999999</v>
      </c>
      <c r="I575" s="276">
        <v>1.0820000000000001</v>
      </c>
      <c r="J575" s="276">
        <v>1.1000000000000001</v>
      </c>
    </row>
    <row r="576" spans="2:10">
      <c r="B576" s="52" t="s">
        <v>118</v>
      </c>
      <c r="C576" s="67">
        <v>0</v>
      </c>
      <c r="D576" s="67">
        <v>0</v>
      </c>
      <c r="E576" s="67">
        <v>0</v>
      </c>
      <c r="F576" s="67">
        <v>0</v>
      </c>
      <c r="G576" s="67">
        <v>0</v>
      </c>
      <c r="H576" s="67">
        <v>0</v>
      </c>
      <c r="I576" s="67">
        <v>0</v>
      </c>
      <c r="J576" s="67">
        <v>0</v>
      </c>
    </row>
    <row r="577" spans="2:10">
      <c r="B577" s="52" t="s">
        <v>117</v>
      </c>
      <c r="C577" s="67">
        <v>0</v>
      </c>
      <c r="D577" s="67">
        <v>0</v>
      </c>
      <c r="E577" s="67">
        <v>0</v>
      </c>
      <c r="F577" s="67">
        <v>0</v>
      </c>
      <c r="G577" s="67">
        <v>0</v>
      </c>
      <c r="H577" s="67">
        <v>0</v>
      </c>
      <c r="I577" s="67">
        <v>0</v>
      </c>
      <c r="J577" s="67">
        <v>0</v>
      </c>
    </row>
    <row r="578" spans="2:10">
      <c r="B578" s="52"/>
      <c r="C578" s="276"/>
      <c r="D578" s="276"/>
      <c r="E578" s="276"/>
      <c r="F578" s="276"/>
      <c r="G578" s="276"/>
      <c r="H578" s="276"/>
      <c r="I578" s="276"/>
      <c r="J578" s="276"/>
    </row>
    <row r="579" spans="2:10">
      <c r="B579" s="59" t="s">
        <v>586</v>
      </c>
      <c r="C579" s="277"/>
      <c r="D579" s="277"/>
      <c r="E579" s="277"/>
      <c r="F579" s="277"/>
      <c r="G579" s="277"/>
      <c r="H579" s="277"/>
      <c r="I579" s="277"/>
      <c r="J579" s="277"/>
    </row>
    <row r="580" spans="2:10">
      <c r="B580" s="71" t="s">
        <v>247</v>
      </c>
      <c r="C580" s="276">
        <v>8.8999999999999996E-2</v>
      </c>
      <c r="D580" s="276">
        <v>0.09</v>
      </c>
      <c r="E580" s="276">
        <v>8.7999999999999995E-2</v>
      </c>
      <c r="F580" s="276">
        <v>8.5000000000000006E-2</v>
      </c>
      <c r="G580" s="276">
        <v>8.4000000000000005E-2</v>
      </c>
      <c r="H580" s="276">
        <v>8.3000000000000004E-2</v>
      </c>
      <c r="I580" s="276">
        <v>8.1000000000000003E-2</v>
      </c>
      <c r="J580" s="276">
        <v>0.08</v>
      </c>
    </row>
    <row r="581" spans="2:10">
      <c r="B581" s="52" t="s">
        <v>121</v>
      </c>
      <c r="C581" s="67">
        <v>0</v>
      </c>
      <c r="D581" s="67">
        <v>0</v>
      </c>
      <c r="E581" s="67">
        <v>0</v>
      </c>
      <c r="F581" s="67">
        <v>0</v>
      </c>
      <c r="G581" s="67">
        <v>0</v>
      </c>
      <c r="H581" s="67">
        <v>0</v>
      </c>
      <c r="I581" s="67">
        <v>0</v>
      </c>
      <c r="J581" s="67">
        <v>0</v>
      </c>
    </row>
    <row r="582" spans="2:10">
      <c r="B582" s="53" t="s">
        <v>120</v>
      </c>
      <c r="C582" s="67">
        <v>0</v>
      </c>
      <c r="D582" s="67">
        <v>0</v>
      </c>
      <c r="E582" s="67">
        <v>0</v>
      </c>
      <c r="F582" s="67">
        <v>0</v>
      </c>
      <c r="G582" s="67">
        <v>0</v>
      </c>
      <c r="H582" s="67">
        <v>0</v>
      </c>
      <c r="I582" s="67">
        <v>0</v>
      </c>
      <c r="J582" s="67">
        <v>0</v>
      </c>
    </row>
    <row r="583" spans="2:10">
      <c r="B583" s="53" t="s">
        <v>197</v>
      </c>
      <c r="C583" s="67">
        <v>0</v>
      </c>
      <c r="D583" s="67">
        <v>0</v>
      </c>
      <c r="E583" s="67">
        <v>0</v>
      </c>
      <c r="F583" s="67">
        <v>0</v>
      </c>
      <c r="G583" s="67">
        <v>0</v>
      </c>
      <c r="H583" s="67">
        <v>0</v>
      </c>
      <c r="I583" s="67">
        <v>0</v>
      </c>
      <c r="J583" s="67">
        <v>0</v>
      </c>
    </row>
    <row r="584" spans="2:10">
      <c r="B584" s="52" t="s">
        <v>118</v>
      </c>
      <c r="C584" s="276">
        <v>8.6999999999999994E-2</v>
      </c>
      <c r="D584" s="276">
        <v>8.6999999999999994E-2</v>
      </c>
      <c r="E584" s="276">
        <v>8.4999999999999992E-2</v>
      </c>
      <c r="F584" s="276">
        <v>8.2000000000000003E-2</v>
      </c>
      <c r="G584" s="276">
        <v>8.1000000000000003E-2</v>
      </c>
      <c r="H584" s="276">
        <v>8.1000000000000003E-2</v>
      </c>
      <c r="I584" s="276">
        <v>7.9000000000000001E-2</v>
      </c>
      <c r="J584" s="276">
        <v>7.8E-2</v>
      </c>
    </row>
    <row r="585" spans="2:10" ht="15" thickBot="1">
      <c r="B585" s="52" t="s">
        <v>117</v>
      </c>
      <c r="C585" s="276">
        <v>2E-3</v>
      </c>
      <c r="D585" s="276">
        <v>3.0000000000000001E-3</v>
      </c>
      <c r="E585" s="276">
        <v>3.0000000000000001E-3</v>
      </c>
      <c r="F585" s="276">
        <v>3.0000000000000001E-3</v>
      </c>
      <c r="G585" s="276">
        <v>3.0000000000000001E-3</v>
      </c>
      <c r="H585" s="276">
        <v>2E-3</v>
      </c>
      <c r="I585" s="276">
        <v>2E-3</v>
      </c>
      <c r="J585" s="276">
        <v>2E-3</v>
      </c>
    </row>
    <row r="586" spans="2:10" ht="15" thickTop="1">
      <c r="B586" s="2039" t="s">
        <v>587</v>
      </c>
      <c r="C586" s="2039"/>
      <c r="D586" s="2039"/>
      <c r="E586" s="2039"/>
      <c r="F586" s="2039"/>
      <c r="G586" s="2039"/>
      <c r="H586" s="2039"/>
      <c r="I586" s="2039"/>
      <c r="J586" s="2039"/>
    </row>
    <row r="587" spans="2:10">
      <c r="B587" s="64"/>
    </row>
    <row r="588" spans="2:10">
      <c r="B588" s="2024" t="s">
        <v>244</v>
      </c>
      <c r="C588" s="2024"/>
      <c r="D588" s="2024"/>
      <c r="E588" s="2024"/>
      <c r="F588" s="2024"/>
      <c r="G588" s="2024"/>
      <c r="H588" s="2024"/>
      <c r="I588" s="2024"/>
      <c r="J588" s="2024"/>
    </row>
    <row r="589" spans="2:10">
      <c r="B589" s="12" t="s">
        <v>243</v>
      </c>
    </row>
    <row r="590" spans="2:10">
      <c r="B590" s="62" t="s">
        <v>242</v>
      </c>
    </row>
    <row r="591" spans="2:10">
      <c r="B591" s="64"/>
    </row>
    <row r="592" spans="2:10">
      <c r="B592" s="61"/>
      <c r="C592" s="60">
        <v>2014</v>
      </c>
      <c r="D592" s="60">
        <v>2015</v>
      </c>
      <c r="E592" s="60">
        <v>2016</v>
      </c>
      <c r="F592" s="60">
        <v>2017</v>
      </c>
      <c r="G592" s="60">
        <v>2018</v>
      </c>
      <c r="H592" s="60">
        <v>2019</v>
      </c>
      <c r="I592" s="60">
        <v>2020</v>
      </c>
      <c r="J592" s="60">
        <v>2021</v>
      </c>
    </row>
    <row r="593" spans="2:10">
      <c r="B593" s="114" t="s">
        <v>586</v>
      </c>
    </row>
    <row r="594" spans="2:10" ht="15" thickBot="1">
      <c r="B594" s="278" t="s">
        <v>239</v>
      </c>
      <c r="C594" s="109">
        <v>152189.51351727865</v>
      </c>
      <c r="D594" s="109">
        <v>88487.854681899698</v>
      </c>
      <c r="E594" s="109">
        <v>103770.15169322328</v>
      </c>
      <c r="F594" s="109">
        <v>121931.58749521807</v>
      </c>
      <c r="G594" s="109">
        <v>104516.77077112164</v>
      </c>
      <c r="H594" s="109">
        <v>133282.73825323093</v>
      </c>
      <c r="I594" s="109">
        <v>106528.15061553415</v>
      </c>
      <c r="J594" s="109">
        <f>370318722.080994/J11</f>
        <v>93017.794331550103</v>
      </c>
    </row>
    <row r="595" spans="2:10" ht="15" thickTop="1">
      <c r="B595" s="2025" t="s">
        <v>588</v>
      </c>
      <c r="C595" s="2025"/>
      <c r="D595" s="2025"/>
      <c r="E595" s="2025"/>
      <c r="F595" s="2025"/>
      <c r="G595" s="2025"/>
      <c r="H595" s="2025"/>
      <c r="I595" s="2025"/>
      <c r="J595" s="2025"/>
    </row>
    <row r="596" spans="2:10">
      <c r="B596" s="279"/>
    </row>
    <row r="597" spans="2:10">
      <c r="B597" s="2024" t="s">
        <v>238</v>
      </c>
      <c r="C597" s="2024"/>
      <c r="D597" s="2024"/>
      <c r="E597" s="2024"/>
      <c r="F597" s="2024"/>
      <c r="G597" s="2024"/>
      <c r="H597" s="2024"/>
      <c r="I597" s="2024"/>
      <c r="J597" s="2024"/>
    </row>
    <row r="598" spans="2:10">
      <c r="B598" s="12" t="s">
        <v>237</v>
      </c>
    </row>
    <row r="599" spans="2:10">
      <c r="B599" s="62" t="s">
        <v>236</v>
      </c>
    </row>
    <row r="600" spans="2:10">
      <c r="B600" s="64"/>
    </row>
    <row r="601" spans="2:10">
      <c r="B601" s="61"/>
      <c r="C601" s="60">
        <v>2014</v>
      </c>
      <c r="D601" s="60">
        <v>2015</v>
      </c>
      <c r="E601" s="60">
        <v>2016</v>
      </c>
      <c r="F601" s="60">
        <v>2017</v>
      </c>
      <c r="G601" s="60">
        <v>2018</v>
      </c>
      <c r="H601" s="60">
        <v>2019</v>
      </c>
      <c r="I601" s="60">
        <v>2020</v>
      </c>
      <c r="J601" s="60">
        <v>2021</v>
      </c>
    </row>
    <row r="602" spans="2:10">
      <c r="B602" s="59" t="s">
        <v>584</v>
      </c>
    </row>
    <row r="603" spans="2:10">
      <c r="B603" s="71" t="s">
        <v>231</v>
      </c>
      <c r="C603" s="66">
        <v>258.41800000000001</v>
      </c>
      <c r="D603" s="66">
        <v>193.34299999999999</v>
      </c>
      <c r="E603" s="66">
        <v>150.636</v>
      </c>
      <c r="F603" s="66">
        <v>305.92399999999998</v>
      </c>
      <c r="G603" s="66">
        <v>424.49599999999998</v>
      </c>
      <c r="H603" s="66">
        <v>187.566</v>
      </c>
      <c r="I603" s="66">
        <v>151.86099999999999</v>
      </c>
      <c r="J603" s="66">
        <v>170.429</v>
      </c>
    </row>
    <row r="604" spans="2:10">
      <c r="B604" s="52" t="s">
        <v>121</v>
      </c>
      <c r="C604" s="66">
        <v>258.41800000000001</v>
      </c>
      <c r="D604" s="66">
        <v>193.34299999999999</v>
      </c>
      <c r="E604" s="66">
        <v>150.636</v>
      </c>
      <c r="F604" s="66">
        <v>305.92399999999998</v>
      </c>
      <c r="G604" s="66">
        <v>424.49599999999998</v>
      </c>
      <c r="H604" s="66">
        <v>187.566</v>
      </c>
      <c r="I604" s="66">
        <v>151.86099999999999</v>
      </c>
      <c r="J604" s="66">
        <v>170.429</v>
      </c>
    </row>
    <row r="605" spans="2:10">
      <c r="B605" s="82" t="s">
        <v>120</v>
      </c>
      <c r="C605" s="67">
        <v>0</v>
      </c>
      <c r="D605" s="67">
        <v>0</v>
      </c>
      <c r="E605" s="67">
        <v>0</v>
      </c>
      <c r="F605" s="67">
        <v>0</v>
      </c>
      <c r="G605" s="67">
        <v>0</v>
      </c>
      <c r="H605" s="67">
        <v>0</v>
      </c>
      <c r="I605" s="67">
        <v>0</v>
      </c>
      <c r="J605" s="67">
        <v>0</v>
      </c>
    </row>
    <row r="606" spans="2:10">
      <c r="B606" s="82" t="s">
        <v>498</v>
      </c>
      <c r="C606" s="66">
        <v>258.41800000000001</v>
      </c>
      <c r="D606" s="66">
        <v>193.34299999999999</v>
      </c>
      <c r="E606" s="66">
        <v>150.636</v>
      </c>
      <c r="F606" s="66">
        <v>305.92399999999998</v>
      </c>
      <c r="G606" s="66">
        <v>424.49599999999998</v>
      </c>
      <c r="H606" s="66">
        <v>187.566</v>
      </c>
      <c r="I606" s="66">
        <v>151.86099999999999</v>
      </c>
      <c r="J606" s="66">
        <v>170.429</v>
      </c>
    </row>
    <row r="607" spans="2:10">
      <c r="B607" s="52" t="s">
        <v>118</v>
      </c>
      <c r="C607" s="67">
        <v>0</v>
      </c>
      <c r="D607" s="67">
        <v>0</v>
      </c>
      <c r="E607" s="67">
        <v>0</v>
      </c>
      <c r="F607" s="67">
        <v>0</v>
      </c>
      <c r="G607" s="67">
        <v>0</v>
      </c>
      <c r="H607" s="67">
        <v>0</v>
      </c>
      <c r="I607" s="67">
        <v>0</v>
      </c>
      <c r="J607" s="67">
        <v>0</v>
      </c>
    </row>
    <row r="608" spans="2:10">
      <c r="B608" s="52" t="s">
        <v>117</v>
      </c>
      <c r="C608" s="67">
        <v>0</v>
      </c>
      <c r="D608" s="67">
        <v>0</v>
      </c>
      <c r="E608" s="67">
        <v>0</v>
      </c>
      <c r="F608" s="67">
        <v>0</v>
      </c>
      <c r="G608" s="67">
        <v>0</v>
      </c>
      <c r="H608" s="67">
        <v>0</v>
      </c>
      <c r="I608" s="67">
        <v>0</v>
      </c>
      <c r="J608" s="67">
        <v>0</v>
      </c>
    </row>
    <row r="609" spans="2:10">
      <c r="B609" s="52"/>
      <c r="C609" s="66"/>
      <c r="D609" s="66"/>
      <c r="E609" s="66"/>
      <c r="F609" s="66"/>
      <c r="G609" s="66"/>
      <c r="H609" s="66"/>
      <c r="I609" s="66"/>
      <c r="J609" s="66"/>
    </row>
    <row r="610" spans="2:10">
      <c r="B610" s="71" t="s">
        <v>230</v>
      </c>
      <c r="C610" s="67">
        <v>0</v>
      </c>
      <c r="D610" s="67">
        <v>0</v>
      </c>
      <c r="E610" s="67">
        <v>0</v>
      </c>
      <c r="F610" s="67">
        <v>0</v>
      </c>
      <c r="G610" s="67">
        <v>0</v>
      </c>
      <c r="H610" s="67">
        <v>0</v>
      </c>
      <c r="I610" s="67">
        <v>0</v>
      </c>
      <c r="J610" s="67">
        <v>0</v>
      </c>
    </row>
    <row r="611" spans="2:10">
      <c r="B611" s="52" t="s">
        <v>169</v>
      </c>
      <c r="C611" s="67">
        <v>0</v>
      </c>
      <c r="D611" s="67">
        <v>0</v>
      </c>
      <c r="E611" s="67">
        <v>0</v>
      </c>
      <c r="F611" s="67">
        <v>0</v>
      </c>
      <c r="G611" s="67">
        <v>0</v>
      </c>
      <c r="H611" s="67">
        <v>0</v>
      </c>
      <c r="I611" s="67">
        <v>0</v>
      </c>
      <c r="J611" s="67">
        <v>0</v>
      </c>
    </row>
    <row r="612" spans="2:10">
      <c r="B612" s="52" t="s">
        <v>168</v>
      </c>
      <c r="C612" s="67">
        <v>0</v>
      </c>
      <c r="D612" s="67">
        <v>0</v>
      </c>
      <c r="E612" s="67">
        <v>0</v>
      </c>
      <c r="F612" s="67">
        <v>0</v>
      </c>
      <c r="G612" s="67">
        <v>0</v>
      </c>
      <c r="H612" s="67">
        <v>0</v>
      </c>
      <c r="I612" s="67">
        <v>0</v>
      </c>
      <c r="J612" s="67">
        <v>0</v>
      </c>
    </row>
    <row r="613" spans="2:10">
      <c r="B613" s="52" t="s">
        <v>167</v>
      </c>
      <c r="C613" s="67">
        <v>0</v>
      </c>
      <c r="D613" s="67">
        <v>0</v>
      </c>
      <c r="E613" s="67">
        <v>0</v>
      </c>
      <c r="F613" s="67">
        <v>0</v>
      </c>
      <c r="G613" s="67">
        <v>0</v>
      </c>
      <c r="H613" s="67">
        <v>0</v>
      </c>
      <c r="I613" s="67">
        <v>0</v>
      </c>
      <c r="J613" s="67">
        <v>0</v>
      </c>
    </row>
    <row r="614" spans="2:10">
      <c r="B614" s="52" t="s">
        <v>166</v>
      </c>
      <c r="C614" s="67">
        <v>0</v>
      </c>
      <c r="D614" s="67">
        <v>0</v>
      </c>
      <c r="E614" s="67">
        <v>0</v>
      </c>
      <c r="F614" s="67">
        <v>0</v>
      </c>
      <c r="G614" s="67">
        <v>0</v>
      </c>
      <c r="H614" s="67">
        <v>0</v>
      </c>
      <c r="I614" s="67">
        <v>0</v>
      </c>
      <c r="J614" s="67">
        <v>0</v>
      </c>
    </row>
    <row r="615" spans="2:10">
      <c r="B615" s="52" t="s">
        <v>165</v>
      </c>
      <c r="C615" s="67">
        <v>0</v>
      </c>
      <c r="D615" s="67">
        <v>0</v>
      </c>
      <c r="E615" s="67">
        <v>0</v>
      </c>
      <c r="F615" s="67">
        <v>0</v>
      </c>
      <c r="G615" s="67">
        <v>0</v>
      </c>
      <c r="H615" s="67">
        <v>0</v>
      </c>
      <c r="I615" s="67">
        <v>0</v>
      </c>
      <c r="J615" s="67">
        <v>0</v>
      </c>
    </row>
    <row r="616" spans="2:10">
      <c r="B616" s="52" t="s">
        <v>164</v>
      </c>
      <c r="C616" s="67">
        <v>0</v>
      </c>
      <c r="D616" s="67">
        <v>0</v>
      </c>
      <c r="E616" s="67">
        <v>0</v>
      </c>
      <c r="F616" s="67">
        <v>0</v>
      </c>
      <c r="G616" s="67">
        <v>0</v>
      </c>
      <c r="H616" s="67">
        <v>0</v>
      </c>
      <c r="I616" s="67">
        <v>0</v>
      </c>
      <c r="J616" s="67">
        <v>0</v>
      </c>
    </row>
    <row r="617" spans="2:10">
      <c r="B617" s="52"/>
      <c r="C617" s="66"/>
      <c r="D617" s="66"/>
      <c r="E617" s="66"/>
      <c r="F617" s="66"/>
      <c r="G617" s="66"/>
      <c r="H617" s="66"/>
      <c r="I617" s="66"/>
      <c r="J617" s="66"/>
    </row>
    <row r="618" spans="2:10">
      <c r="B618" s="59" t="s">
        <v>585</v>
      </c>
      <c r="C618" s="66"/>
      <c r="D618" s="66"/>
      <c r="E618" s="66"/>
      <c r="F618" s="66"/>
      <c r="G618" s="66"/>
      <c r="H618" s="66"/>
      <c r="I618" s="66"/>
      <c r="J618" s="66"/>
    </row>
    <row r="619" spans="2:10">
      <c r="B619" s="71" t="s">
        <v>231</v>
      </c>
      <c r="C619" s="66">
        <v>423.62900000000002</v>
      </c>
      <c r="D619" s="66">
        <v>389.97800000000001</v>
      </c>
      <c r="E619" s="66">
        <v>411.82799999999997</v>
      </c>
      <c r="F619" s="66">
        <v>355.32100000000003</v>
      </c>
      <c r="G619" s="66">
        <v>299.726</v>
      </c>
      <c r="H619" s="66">
        <v>256.48200000000003</v>
      </c>
      <c r="I619" s="66">
        <v>214.33600000000001</v>
      </c>
      <c r="J619" s="66">
        <v>176.02</v>
      </c>
    </row>
    <row r="620" spans="2:10">
      <c r="B620" s="52" t="s">
        <v>121</v>
      </c>
      <c r="C620" s="66">
        <v>423.62900000000002</v>
      </c>
      <c r="D620" s="66">
        <v>389.97800000000001</v>
      </c>
      <c r="E620" s="66">
        <v>411.82799999999997</v>
      </c>
      <c r="F620" s="66">
        <v>355.32100000000003</v>
      </c>
      <c r="G620" s="66">
        <v>299.726</v>
      </c>
      <c r="H620" s="66">
        <v>256.48200000000003</v>
      </c>
      <c r="I620" s="66">
        <v>214.33600000000001</v>
      </c>
      <c r="J620" s="66">
        <v>176.02</v>
      </c>
    </row>
    <row r="621" spans="2:10">
      <c r="B621" s="82" t="s">
        <v>120</v>
      </c>
      <c r="C621" s="66">
        <v>58.822000000000003</v>
      </c>
      <c r="D621" s="66">
        <v>66.724000000000004</v>
      </c>
      <c r="E621" s="66">
        <v>90.412000000000006</v>
      </c>
      <c r="F621" s="66">
        <v>74.486999999999995</v>
      </c>
      <c r="G621" s="66">
        <v>71.256</v>
      </c>
      <c r="H621" s="66">
        <v>68.388000000000005</v>
      </c>
      <c r="I621" s="66">
        <v>59.505000000000003</v>
      </c>
      <c r="J621" s="66">
        <v>47.423000000000002</v>
      </c>
    </row>
    <row r="622" spans="2:10">
      <c r="B622" s="82" t="s">
        <v>119</v>
      </c>
      <c r="C622" s="66">
        <v>364.80700000000002</v>
      </c>
      <c r="D622" s="66">
        <v>323.25400000000002</v>
      </c>
      <c r="E622" s="66">
        <v>321.41599999999994</v>
      </c>
      <c r="F622" s="66">
        <v>280.83400000000006</v>
      </c>
      <c r="G622" s="66">
        <v>228.47</v>
      </c>
      <c r="H622" s="66">
        <v>188.09400000000002</v>
      </c>
      <c r="I622" s="66">
        <v>154.83100000000002</v>
      </c>
      <c r="J622" s="66">
        <v>128.59700000000001</v>
      </c>
    </row>
    <row r="623" spans="2:10">
      <c r="B623" s="52" t="s">
        <v>118</v>
      </c>
      <c r="C623" s="67">
        <v>0</v>
      </c>
      <c r="D623" s="67">
        <v>0</v>
      </c>
      <c r="E623" s="67">
        <v>0</v>
      </c>
      <c r="F623" s="67">
        <v>0</v>
      </c>
      <c r="G623" s="67">
        <v>0</v>
      </c>
      <c r="H623" s="67">
        <v>0</v>
      </c>
      <c r="I623" s="67">
        <v>0</v>
      </c>
      <c r="J623" s="67">
        <v>0</v>
      </c>
    </row>
    <row r="624" spans="2:10">
      <c r="B624" s="52" t="s">
        <v>117</v>
      </c>
      <c r="C624" s="67">
        <v>0</v>
      </c>
      <c r="D624" s="67">
        <v>0</v>
      </c>
      <c r="E624" s="67">
        <v>0</v>
      </c>
      <c r="F624" s="67">
        <v>0</v>
      </c>
      <c r="G624" s="67">
        <v>0</v>
      </c>
      <c r="H624" s="67">
        <v>0</v>
      </c>
      <c r="I624" s="67">
        <v>0</v>
      </c>
      <c r="J624" s="67">
        <v>0</v>
      </c>
    </row>
    <row r="625" spans="2:10">
      <c r="B625" s="52"/>
      <c r="C625" s="66"/>
      <c r="D625" s="66"/>
      <c r="E625" s="66"/>
      <c r="F625" s="66"/>
      <c r="G625" s="66"/>
      <c r="H625" s="66"/>
      <c r="I625" s="66"/>
      <c r="J625" s="66"/>
    </row>
    <row r="626" spans="2:10">
      <c r="B626" s="71" t="s">
        <v>230</v>
      </c>
      <c r="C626" s="67">
        <v>0</v>
      </c>
      <c r="D626" s="67">
        <v>0</v>
      </c>
      <c r="E626" s="67">
        <v>0</v>
      </c>
      <c r="F626" s="67">
        <v>0</v>
      </c>
      <c r="G626" s="67">
        <v>0</v>
      </c>
      <c r="H626" s="67">
        <v>0</v>
      </c>
      <c r="I626" s="67">
        <v>0</v>
      </c>
      <c r="J626" s="67">
        <v>0</v>
      </c>
    </row>
    <row r="627" spans="2:10">
      <c r="B627" s="52" t="s">
        <v>169</v>
      </c>
      <c r="C627" s="67">
        <v>0</v>
      </c>
      <c r="D627" s="67">
        <v>0</v>
      </c>
      <c r="E627" s="67">
        <v>0</v>
      </c>
      <c r="F627" s="67">
        <v>0</v>
      </c>
      <c r="G627" s="67">
        <v>0</v>
      </c>
      <c r="H627" s="67">
        <v>0</v>
      </c>
      <c r="I627" s="67">
        <v>0</v>
      </c>
      <c r="J627" s="67">
        <v>0</v>
      </c>
    </row>
    <row r="628" spans="2:10">
      <c r="B628" s="52" t="s">
        <v>168</v>
      </c>
      <c r="C628" s="67">
        <v>0</v>
      </c>
      <c r="D628" s="67">
        <v>0</v>
      </c>
      <c r="E628" s="67">
        <v>0</v>
      </c>
      <c r="F628" s="67">
        <v>0</v>
      </c>
      <c r="G628" s="67">
        <v>0</v>
      </c>
      <c r="H628" s="67">
        <v>0</v>
      </c>
      <c r="I628" s="67">
        <v>0</v>
      </c>
      <c r="J628" s="67">
        <v>0</v>
      </c>
    </row>
    <row r="629" spans="2:10">
      <c r="B629" s="52" t="s">
        <v>167</v>
      </c>
      <c r="C629" s="67">
        <v>0</v>
      </c>
      <c r="D629" s="67">
        <v>0</v>
      </c>
      <c r="E629" s="67">
        <v>0</v>
      </c>
      <c r="F629" s="67">
        <v>0</v>
      </c>
      <c r="G629" s="67">
        <v>0</v>
      </c>
      <c r="H629" s="67">
        <v>0</v>
      </c>
      <c r="I629" s="67">
        <v>0</v>
      </c>
      <c r="J629" s="67">
        <v>0</v>
      </c>
    </row>
    <row r="630" spans="2:10">
      <c r="B630" s="52" t="s">
        <v>166</v>
      </c>
      <c r="C630" s="67">
        <v>0</v>
      </c>
      <c r="D630" s="67">
        <v>0</v>
      </c>
      <c r="E630" s="67">
        <v>0</v>
      </c>
      <c r="F630" s="67">
        <v>0</v>
      </c>
      <c r="G630" s="67">
        <v>0</v>
      </c>
      <c r="H630" s="67">
        <v>0</v>
      </c>
      <c r="I630" s="67">
        <v>0</v>
      </c>
      <c r="J630" s="67">
        <v>0</v>
      </c>
    </row>
    <row r="631" spans="2:10">
      <c r="B631" s="52" t="s">
        <v>165</v>
      </c>
      <c r="C631" s="67">
        <v>0</v>
      </c>
      <c r="D631" s="67">
        <v>0</v>
      </c>
      <c r="E631" s="67">
        <v>0</v>
      </c>
      <c r="F631" s="67">
        <v>0</v>
      </c>
      <c r="G631" s="67">
        <v>0</v>
      </c>
      <c r="H631" s="67">
        <v>0</v>
      </c>
      <c r="I631" s="67">
        <v>0</v>
      </c>
      <c r="J631" s="67">
        <v>0</v>
      </c>
    </row>
    <row r="632" spans="2:10">
      <c r="B632" s="52" t="s">
        <v>164</v>
      </c>
      <c r="C632" s="67">
        <v>0</v>
      </c>
      <c r="D632" s="67">
        <v>0</v>
      </c>
      <c r="E632" s="67">
        <v>0</v>
      </c>
      <c r="F632" s="67">
        <v>0</v>
      </c>
      <c r="G632" s="67">
        <v>0</v>
      </c>
      <c r="H632" s="67">
        <v>0</v>
      </c>
      <c r="I632" s="67">
        <v>0</v>
      </c>
      <c r="J632" s="67">
        <v>0</v>
      </c>
    </row>
    <row r="633" spans="2:10">
      <c r="B633" s="71"/>
      <c r="C633" s="66"/>
      <c r="D633" s="66"/>
      <c r="E633" s="66"/>
      <c r="F633" s="66"/>
      <c r="G633" s="66"/>
      <c r="H633" s="66"/>
      <c r="I633" s="66"/>
      <c r="J633" s="66"/>
    </row>
    <row r="634" spans="2:10">
      <c r="B634" s="59" t="s">
        <v>586</v>
      </c>
      <c r="C634" s="66"/>
      <c r="D634" s="66"/>
      <c r="E634" s="66"/>
      <c r="F634" s="66"/>
      <c r="G634" s="66"/>
      <c r="H634" s="66"/>
      <c r="I634" s="66"/>
      <c r="J634" s="66"/>
    </row>
    <row r="635" spans="2:10">
      <c r="B635" s="71" t="s">
        <v>231</v>
      </c>
      <c r="C635" s="66">
        <v>651.82600000000002</v>
      </c>
      <c r="D635" s="66">
        <v>580.03700000000003</v>
      </c>
      <c r="E635" s="66">
        <v>602.60399999999993</v>
      </c>
      <c r="F635" s="66">
        <v>527.05700000000002</v>
      </c>
      <c r="G635" s="66">
        <v>564.36099999999999</v>
      </c>
      <c r="H635" s="66">
        <v>572.24800000000005</v>
      </c>
      <c r="I635" s="66">
        <v>908.31700000000001</v>
      </c>
      <c r="J635" s="66">
        <v>925.68</v>
      </c>
    </row>
    <row r="636" spans="2:10">
      <c r="B636" s="52" t="s">
        <v>121</v>
      </c>
      <c r="C636" s="67">
        <v>0</v>
      </c>
      <c r="D636" s="67">
        <v>0</v>
      </c>
      <c r="E636" s="67">
        <v>0</v>
      </c>
      <c r="F636" s="67">
        <v>0</v>
      </c>
      <c r="G636" s="67">
        <v>0</v>
      </c>
      <c r="H636" s="67">
        <v>0</v>
      </c>
      <c r="I636" s="67">
        <v>0</v>
      </c>
      <c r="J636" s="67">
        <v>0</v>
      </c>
    </row>
    <row r="637" spans="2:10">
      <c r="B637" s="82" t="s">
        <v>120</v>
      </c>
      <c r="C637" s="67">
        <v>0</v>
      </c>
      <c r="D637" s="67">
        <v>0</v>
      </c>
      <c r="E637" s="67">
        <v>0</v>
      </c>
      <c r="F637" s="67">
        <v>0</v>
      </c>
      <c r="G637" s="67">
        <v>0</v>
      </c>
      <c r="H637" s="67">
        <v>0</v>
      </c>
      <c r="I637" s="67">
        <v>0</v>
      </c>
      <c r="J637" s="67">
        <v>0</v>
      </c>
    </row>
    <row r="638" spans="2:10">
      <c r="B638" s="82" t="s">
        <v>498</v>
      </c>
      <c r="C638" s="67">
        <v>0</v>
      </c>
      <c r="D638" s="67">
        <v>0</v>
      </c>
      <c r="E638" s="67">
        <v>0</v>
      </c>
      <c r="F638" s="67">
        <v>0</v>
      </c>
      <c r="G638" s="67">
        <v>0</v>
      </c>
      <c r="H638" s="67">
        <v>0</v>
      </c>
      <c r="I638" s="67">
        <v>0</v>
      </c>
      <c r="J638" s="67">
        <v>0</v>
      </c>
    </row>
    <row r="639" spans="2:10">
      <c r="B639" s="52" t="s">
        <v>118</v>
      </c>
      <c r="C639" s="66">
        <v>649.74300000000005</v>
      </c>
      <c r="D639" s="66">
        <v>578.798</v>
      </c>
      <c r="E639" s="66">
        <v>600.60199999999998</v>
      </c>
      <c r="F639" s="66">
        <v>524.798</v>
      </c>
      <c r="G639" s="66">
        <v>561.08000000000004</v>
      </c>
      <c r="H639" s="66">
        <v>568.45000000000005</v>
      </c>
      <c r="I639" s="66">
        <v>904.04899999999998</v>
      </c>
      <c r="J639" s="66">
        <v>917.83799999999997</v>
      </c>
    </row>
    <row r="640" spans="2:10">
      <c r="B640" s="52" t="s">
        <v>117</v>
      </c>
      <c r="C640" s="66">
        <v>2.0830000000000002</v>
      </c>
      <c r="D640" s="66">
        <v>1.2390000000000001</v>
      </c>
      <c r="E640" s="66">
        <v>2.0019999999999998</v>
      </c>
      <c r="F640" s="66">
        <v>2.2589999999999999</v>
      </c>
      <c r="G640" s="66">
        <v>3.2810000000000001</v>
      </c>
      <c r="H640" s="66">
        <v>3.798</v>
      </c>
      <c r="I640" s="66">
        <v>4.2679999999999998</v>
      </c>
      <c r="J640" s="66">
        <v>7.8419999999999996</v>
      </c>
    </row>
    <row r="641" spans="2:10">
      <c r="B641" s="52"/>
      <c r="C641" s="66"/>
      <c r="D641" s="66"/>
      <c r="E641" s="66"/>
      <c r="F641" s="66"/>
      <c r="G641" s="66"/>
      <c r="H641" s="66"/>
      <c r="I641" s="66"/>
      <c r="J641" s="66"/>
    </row>
    <row r="642" spans="2:10">
      <c r="B642" s="71" t="s">
        <v>230</v>
      </c>
      <c r="C642" s="66">
        <v>44.999000000000002</v>
      </c>
      <c r="D642" s="66">
        <v>64.597999999999999</v>
      </c>
      <c r="E642" s="66">
        <v>66.209000000000003</v>
      </c>
      <c r="F642" s="66">
        <v>56.182000000000002</v>
      </c>
      <c r="G642" s="66">
        <v>62.494</v>
      </c>
      <c r="H642" s="66">
        <v>59.066000000000003</v>
      </c>
      <c r="I642" s="66">
        <v>51.722000000000001</v>
      </c>
      <c r="J642" s="66">
        <v>45.887999999999998</v>
      </c>
    </row>
    <row r="643" spans="2:10">
      <c r="B643" s="52" t="s">
        <v>169</v>
      </c>
      <c r="C643" s="66">
        <v>44.999000000000002</v>
      </c>
      <c r="D643" s="66">
        <v>64.597999999999999</v>
      </c>
      <c r="E643" s="66">
        <v>66.209000000000003</v>
      </c>
      <c r="F643" s="66">
        <v>56.182000000000002</v>
      </c>
      <c r="G643" s="66">
        <v>62.49</v>
      </c>
      <c r="H643" s="66">
        <v>58.898000000000003</v>
      </c>
      <c r="I643" s="66">
        <v>51.633000000000003</v>
      </c>
      <c r="J643" s="66">
        <v>45.750999999999998</v>
      </c>
    </row>
    <row r="644" spans="2:10">
      <c r="B644" s="52" t="s">
        <v>168</v>
      </c>
      <c r="C644" s="67">
        <v>0</v>
      </c>
      <c r="D644" s="67">
        <v>0</v>
      </c>
      <c r="E644" s="67">
        <v>0</v>
      </c>
      <c r="F644" s="67">
        <v>0</v>
      </c>
      <c r="G644" s="66">
        <v>4.0000000000000001E-3</v>
      </c>
      <c r="H644" s="66">
        <v>0.16800000000000001</v>
      </c>
      <c r="I644" s="66">
        <v>8.8999999999999996E-2</v>
      </c>
      <c r="J644" s="66">
        <v>0.13700000000000001</v>
      </c>
    </row>
    <row r="645" spans="2:10">
      <c r="B645" s="52" t="s">
        <v>167</v>
      </c>
      <c r="C645" s="67">
        <v>0</v>
      </c>
      <c r="D645" s="67">
        <v>0</v>
      </c>
      <c r="E645" s="67">
        <v>0</v>
      </c>
      <c r="F645" s="67">
        <v>0</v>
      </c>
      <c r="G645" s="67">
        <v>0</v>
      </c>
      <c r="H645" s="67">
        <v>0</v>
      </c>
      <c r="I645" s="67">
        <v>0</v>
      </c>
      <c r="J645" s="67">
        <v>0</v>
      </c>
    </row>
    <row r="646" spans="2:10">
      <c r="B646" s="52" t="s">
        <v>166</v>
      </c>
      <c r="C646" s="67">
        <v>0</v>
      </c>
      <c r="D646" s="67">
        <v>0</v>
      </c>
      <c r="E646" s="67">
        <v>0</v>
      </c>
      <c r="F646" s="67">
        <v>0</v>
      </c>
      <c r="G646" s="67">
        <v>0</v>
      </c>
      <c r="H646" s="67">
        <v>0</v>
      </c>
      <c r="I646" s="67">
        <v>0</v>
      </c>
      <c r="J646" s="67">
        <v>0</v>
      </c>
    </row>
    <row r="647" spans="2:10">
      <c r="B647" s="52" t="s">
        <v>165</v>
      </c>
      <c r="C647" s="67">
        <v>0</v>
      </c>
      <c r="D647" s="67">
        <v>0</v>
      </c>
      <c r="E647" s="67">
        <v>0</v>
      </c>
      <c r="F647" s="67">
        <v>0</v>
      </c>
      <c r="G647" s="67">
        <v>0</v>
      </c>
      <c r="H647" s="67">
        <v>0</v>
      </c>
      <c r="I647" s="67">
        <v>0</v>
      </c>
      <c r="J647" s="67">
        <v>0</v>
      </c>
    </row>
    <row r="648" spans="2:10" ht="15" thickBot="1">
      <c r="B648" s="280" t="s">
        <v>164</v>
      </c>
      <c r="C648" s="117">
        <v>0</v>
      </c>
      <c r="D648" s="117">
        <v>0</v>
      </c>
      <c r="E648" s="117">
        <v>0</v>
      </c>
      <c r="F648" s="117">
        <v>0</v>
      </c>
      <c r="G648" s="117">
        <v>0</v>
      </c>
      <c r="H648" s="117">
        <v>0</v>
      </c>
      <c r="I648" s="117">
        <v>0</v>
      </c>
      <c r="J648" s="117">
        <v>0</v>
      </c>
    </row>
    <row r="649" spans="2:10" ht="15" thickTop="1">
      <c r="B649" s="2039" t="s">
        <v>589</v>
      </c>
      <c r="C649" s="2039"/>
      <c r="D649" s="2039"/>
      <c r="E649" s="2039"/>
      <c r="F649" s="2039"/>
      <c r="G649" s="2039"/>
      <c r="H649" s="2039"/>
      <c r="I649" s="2039"/>
      <c r="J649" s="2039"/>
    </row>
    <row r="650" spans="2:10">
      <c r="B650" s="64"/>
    </row>
    <row r="651" spans="2:10">
      <c r="B651" s="2024" t="s">
        <v>228</v>
      </c>
      <c r="C651" s="2024"/>
      <c r="D651" s="2024"/>
      <c r="E651" s="2024"/>
      <c r="F651" s="2024"/>
      <c r="G651" s="2024"/>
      <c r="H651" s="2024"/>
      <c r="I651" s="2024"/>
      <c r="J651" s="2024"/>
    </row>
    <row r="652" spans="2:10">
      <c r="B652" s="12" t="s">
        <v>227</v>
      </c>
    </row>
    <row r="653" spans="2:10">
      <c r="B653" s="62" t="s">
        <v>127</v>
      </c>
    </row>
    <row r="654" spans="2:10">
      <c r="B654" s="62"/>
    </row>
    <row r="655" spans="2:10">
      <c r="B655" s="61"/>
      <c r="C655" s="60">
        <v>2014</v>
      </c>
      <c r="D655" s="60">
        <v>2015</v>
      </c>
      <c r="E655" s="60">
        <v>2016</v>
      </c>
      <c r="F655" s="60">
        <v>2017</v>
      </c>
      <c r="G655" s="60">
        <v>2018</v>
      </c>
      <c r="H655" s="60">
        <v>2019</v>
      </c>
      <c r="I655" s="60">
        <v>2020</v>
      </c>
      <c r="J655" s="60">
        <v>2021</v>
      </c>
    </row>
    <row r="656" spans="2:10">
      <c r="B656" s="59" t="s">
        <v>584</v>
      </c>
      <c r="C656" s="107"/>
      <c r="D656" s="107"/>
      <c r="E656" s="107"/>
      <c r="F656" s="107"/>
      <c r="G656" s="107"/>
      <c r="H656" s="107"/>
      <c r="I656" s="107"/>
      <c r="J656" s="107"/>
    </row>
    <row r="657" spans="2:10">
      <c r="B657" s="71" t="s">
        <v>222</v>
      </c>
      <c r="C657" s="102">
        <v>782788.0237721937</v>
      </c>
      <c r="D657" s="102">
        <v>564714.73898490786</v>
      </c>
      <c r="E657" s="102">
        <v>442574.97797455639</v>
      </c>
      <c r="F657" s="102">
        <v>711319.77567856933</v>
      </c>
      <c r="G657" s="102">
        <v>1012739.0260314917</v>
      </c>
      <c r="H657" s="102">
        <v>445072.72675472446</v>
      </c>
      <c r="I657" s="102">
        <v>454192.77240728622</v>
      </c>
      <c r="J657" s="102">
        <f>1463587142.79505/J11</f>
        <v>367628.31506270787</v>
      </c>
    </row>
    <row r="658" spans="2:10">
      <c r="B658" s="52" t="s">
        <v>121</v>
      </c>
      <c r="C658" s="102">
        <v>782788.0237721937</v>
      </c>
      <c r="D658" s="102">
        <v>564714.73898490786</v>
      </c>
      <c r="E658" s="102">
        <v>442574.97797455639</v>
      </c>
      <c r="F658" s="102">
        <v>711319.77567856933</v>
      </c>
      <c r="G658" s="102">
        <v>1012739.0260314917</v>
      </c>
      <c r="H658" s="102">
        <v>445072.72675472446</v>
      </c>
      <c r="I658" s="102">
        <v>454192.77240728622</v>
      </c>
      <c r="J658" s="102">
        <f>1463587142.79505/J11</f>
        <v>367628.31506270787</v>
      </c>
    </row>
    <row r="659" spans="2:10">
      <c r="B659" s="53" t="s">
        <v>120</v>
      </c>
      <c r="C659" s="102">
        <v>0</v>
      </c>
      <c r="D659" s="102">
        <v>0</v>
      </c>
      <c r="E659" s="102">
        <v>0</v>
      </c>
      <c r="F659" s="102">
        <v>0</v>
      </c>
      <c r="G659" s="102">
        <v>0</v>
      </c>
      <c r="H659" s="102">
        <v>0</v>
      </c>
      <c r="I659" s="102">
        <v>0</v>
      </c>
      <c r="J659" s="102">
        <v>0</v>
      </c>
    </row>
    <row r="660" spans="2:10">
      <c r="B660" s="53" t="s">
        <v>498</v>
      </c>
      <c r="C660" s="102">
        <v>782788.0237721937</v>
      </c>
      <c r="D660" s="102">
        <v>564714.73898490786</v>
      </c>
      <c r="E660" s="102">
        <v>442574.97797455639</v>
      </c>
      <c r="F660" s="102">
        <v>711319.77567856933</v>
      </c>
      <c r="G660" s="102">
        <v>1012739.0260314917</v>
      </c>
      <c r="H660" s="102">
        <v>445072.72675472446</v>
      </c>
      <c r="I660" s="102">
        <v>454192.77240728622</v>
      </c>
      <c r="J660" s="102">
        <f>1463587142.79505/J11</f>
        <v>367628.31506270787</v>
      </c>
    </row>
    <row r="661" spans="2:10">
      <c r="B661" s="52" t="s">
        <v>118</v>
      </c>
      <c r="C661" s="102">
        <v>0</v>
      </c>
      <c r="D661" s="102">
        <v>0</v>
      </c>
      <c r="E661" s="102">
        <v>0</v>
      </c>
      <c r="F661" s="102">
        <v>0</v>
      </c>
      <c r="G661" s="102">
        <v>0</v>
      </c>
      <c r="H661" s="102">
        <v>0</v>
      </c>
      <c r="I661" s="102">
        <v>0</v>
      </c>
      <c r="J661" s="102">
        <v>0</v>
      </c>
    </row>
    <row r="662" spans="2:10">
      <c r="B662" s="52" t="s">
        <v>117</v>
      </c>
      <c r="C662" s="102">
        <v>0</v>
      </c>
      <c r="D662" s="102">
        <v>0</v>
      </c>
      <c r="E662" s="102">
        <v>0</v>
      </c>
      <c r="F662" s="102">
        <v>0</v>
      </c>
      <c r="G662" s="102">
        <v>0</v>
      </c>
      <c r="H662" s="102">
        <v>0</v>
      </c>
      <c r="I662" s="102">
        <v>0</v>
      </c>
      <c r="J662" s="102">
        <v>0</v>
      </c>
    </row>
    <row r="663" spans="2:10">
      <c r="B663" s="52"/>
      <c r="C663" s="129"/>
      <c r="D663" s="129"/>
      <c r="E663" s="129"/>
      <c r="F663" s="129"/>
      <c r="G663" s="129"/>
      <c r="H663" s="129"/>
      <c r="I663" s="129"/>
      <c r="J663" s="129"/>
    </row>
    <row r="664" spans="2:10">
      <c r="B664" s="71" t="s">
        <v>221</v>
      </c>
      <c r="C664" s="102">
        <v>0</v>
      </c>
      <c r="D664" s="102">
        <v>0</v>
      </c>
      <c r="E664" s="102">
        <v>0</v>
      </c>
      <c r="F664" s="102">
        <v>0</v>
      </c>
      <c r="G664" s="102">
        <v>0</v>
      </c>
      <c r="H664" s="102">
        <v>0</v>
      </c>
      <c r="I664" s="102">
        <v>0</v>
      </c>
      <c r="J664" s="102">
        <v>0</v>
      </c>
    </row>
    <row r="665" spans="2:10">
      <c r="B665" s="52" t="s">
        <v>169</v>
      </c>
      <c r="C665" s="102">
        <v>0</v>
      </c>
      <c r="D665" s="102">
        <v>0</v>
      </c>
      <c r="E665" s="102">
        <v>0</v>
      </c>
      <c r="F665" s="102">
        <v>0</v>
      </c>
      <c r="G665" s="102">
        <v>0</v>
      </c>
      <c r="H665" s="102">
        <v>0</v>
      </c>
      <c r="I665" s="102">
        <v>0</v>
      </c>
      <c r="J665" s="102">
        <v>0</v>
      </c>
    </row>
    <row r="666" spans="2:10">
      <c r="B666" s="52" t="s">
        <v>168</v>
      </c>
      <c r="C666" s="102">
        <v>0</v>
      </c>
      <c r="D666" s="102">
        <v>0</v>
      </c>
      <c r="E666" s="102">
        <v>0</v>
      </c>
      <c r="F666" s="102">
        <v>0</v>
      </c>
      <c r="G666" s="102">
        <v>0</v>
      </c>
      <c r="H666" s="102">
        <v>0</v>
      </c>
      <c r="I666" s="102">
        <v>0</v>
      </c>
      <c r="J666" s="102">
        <v>0</v>
      </c>
    </row>
    <row r="667" spans="2:10">
      <c r="B667" s="52" t="s">
        <v>167</v>
      </c>
      <c r="C667" s="102">
        <v>0</v>
      </c>
      <c r="D667" s="102">
        <v>0</v>
      </c>
      <c r="E667" s="102">
        <v>0</v>
      </c>
      <c r="F667" s="102">
        <v>0</v>
      </c>
      <c r="G667" s="102">
        <v>0</v>
      </c>
      <c r="H667" s="102">
        <v>0</v>
      </c>
      <c r="I667" s="102">
        <v>0</v>
      </c>
      <c r="J667" s="102">
        <v>0</v>
      </c>
    </row>
    <row r="668" spans="2:10">
      <c r="B668" s="52" t="s">
        <v>166</v>
      </c>
      <c r="C668" s="102">
        <v>0</v>
      </c>
      <c r="D668" s="102">
        <v>0</v>
      </c>
      <c r="E668" s="102">
        <v>0</v>
      </c>
      <c r="F668" s="102">
        <v>0</v>
      </c>
      <c r="G668" s="102">
        <v>0</v>
      </c>
      <c r="H668" s="102">
        <v>0</v>
      </c>
      <c r="I668" s="102">
        <v>0</v>
      </c>
      <c r="J668" s="102">
        <v>0</v>
      </c>
    </row>
    <row r="669" spans="2:10">
      <c r="B669" s="52" t="s">
        <v>165</v>
      </c>
      <c r="C669" s="102">
        <v>0</v>
      </c>
      <c r="D669" s="102">
        <v>0</v>
      </c>
      <c r="E669" s="102">
        <v>0</v>
      </c>
      <c r="F669" s="102">
        <v>0</v>
      </c>
      <c r="G669" s="102">
        <v>0</v>
      </c>
      <c r="H669" s="102">
        <v>0</v>
      </c>
      <c r="I669" s="102">
        <v>0</v>
      </c>
      <c r="J669" s="102">
        <v>0</v>
      </c>
    </row>
    <row r="670" spans="2:10">
      <c r="B670" s="52" t="s">
        <v>164</v>
      </c>
      <c r="C670" s="102">
        <v>0</v>
      </c>
      <c r="D670" s="102">
        <v>0</v>
      </c>
      <c r="E670" s="102">
        <v>0</v>
      </c>
      <c r="F670" s="102">
        <v>0</v>
      </c>
      <c r="G670" s="102">
        <v>0</v>
      </c>
      <c r="H670" s="102">
        <v>0</v>
      </c>
      <c r="I670" s="102">
        <v>0</v>
      </c>
      <c r="J670" s="102">
        <v>0</v>
      </c>
    </row>
    <row r="671" spans="2:10">
      <c r="B671" s="71"/>
      <c r="C671" s="129"/>
      <c r="D671" s="129"/>
      <c r="E671" s="129"/>
      <c r="F671" s="129"/>
      <c r="G671" s="129"/>
      <c r="H671" s="129"/>
      <c r="I671" s="129"/>
      <c r="J671" s="129"/>
    </row>
    <row r="672" spans="2:10">
      <c r="B672" s="59" t="s">
        <v>585</v>
      </c>
      <c r="C672" s="129"/>
      <c r="D672" s="129"/>
      <c r="E672" s="129"/>
      <c r="F672" s="129"/>
      <c r="G672" s="129"/>
      <c r="H672" s="129"/>
      <c r="I672" s="129"/>
      <c r="J672" s="129"/>
    </row>
    <row r="673" spans="2:10">
      <c r="B673" s="71" t="s">
        <v>222</v>
      </c>
      <c r="C673" s="102">
        <f>1048338111.33125/C11</f>
        <v>438184.17500449327</v>
      </c>
      <c r="D673" s="102">
        <f>943075761.930154/D11</f>
        <v>299439.51265773416</v>
      </c>
      <c r="E673" s="102">
        <f>1030002381.64778/E11</f>
        <v>343252.89069846133</v>
      </c>
      <c r="F673" s="102">
        <f>1003687979.54448/F11</f>
        <v>336356.5615095442</v>
      </c>
      <c r="G673" s="102">
        <f>1062147595.57185/G11</f>
        <v>326839.78631336254</v>
      </c>
      <c r="H673" s="102">
        <f>1116473789.49712/H11</f>
        <v>340685.41151648085</v>
      </c>
      <c r="I673" s="102">
        <f>997155222.249285/I11</f>
        <v>290504.07057517406</v>
      </c>
      <c r="J673" s="102">
        <f>855882602.549217/J11</f>
        <v>214983.22161109251</v>
      </c>
    </row>
    <row r="674" spans="2:10">
      <c r="B674" s="52" t="s">
        <v>121</v>
      </c>
      <c r="C674" s="102">
        <f>1048338111.33125/C11</f>
        <v>438184.17500449327</v>
      </c>
      <c r="D674" s="102">
        <f>943075761.930154/D11</f>
        <v>299439.51265773416</v>
      </c>
      <c r="E674" s="102">
        <f>1030002381.64778/E11</f>
        <v>343252.89069846133</v>
      </c>
      <c r="F674" s="102">
        <f>1003687979.54448/F11</f>
        <v>336356.5615095442</v>
      </c>
      <c r="G674" s="102">
        <f>1062147595.57185/G11</f>
        <v>326839.78631336254</v>
      </c>
      <c r="H674" s="102">
        <f>1116473789.49712/H11</f>
        <v>340685.41151648085</v>
      </c>
      <c r="I674" s="102">
        <f>997155222.249285/I11</f>
        <v>290504.07057517406</v>
      </c>
      <c r="J674" s="102">
        <f>855882602.549217/J11</f>
        <v>214983.22161109251</v>
      </c>
    </row>
    <row r="675" spans="2:10">
      <c r="B675" s="53" t="s">
        <v>120</v>
      </c>
      <c r="C675" s="102">
        <f>111055747.265026/C11</f>
        <v>46419.061244503981</v>
      </c>
      <c r="D675" s="102">
        <f>117864755.768198/D11</f>
        <v>37423.679466131762</v>
      </c>
      <c r="E675" s="102">
        <f>162925001.8324/E11</f>
        <v>54295.484012916939</v>
      </c>
      <c r="F675" s="102">
        <f>160558051.53027/F11</f>
        <v>53806.317536953757</v>
      </c>
      <c r="G675" s="102">
        <f>168231669.090582/G11</f>
        <v>51767.572610379881</v>
      </c>
      <c r="H675" s="102">
        <f>186150947.375727/H11</f>
        <v>56802.866943654226</v>
      </c>
      <c r="I675" s="102">
        <f>170434668.302024/I11</f>
        <v>49653.217276627533</v>
      </c>
      <c r="J675" s="102">
        <f>128944120.338756/J11</f>
        <v>32388.580297892073</v>
      </c>
    </row>
    <row r="676" spans="2:10">
      <c r="B676" s="53" t="s">
        <v>498</v>
      </c>
      <c r="C676" s="102">
        <f>937282364.066224/C11</f>
        <v>391765.11375998927</v>
      </c>
      <c r="D676" s="102">
        <f>825211006.161956/D11</f>
        <v>262015.8331916024</v>
      </c>
      <c r="E676" s="102">
        <f>867077379.81538/E11</f>
        <v>288957.40668554441</v>
      </c>
      <c r="F676" s="102">
        <f>843129928.01421/F11</f>
        <v>282550.24397259048</v>
      </c>
      <c r="G676" s="102">
        <f>893915926.481268/G11</f>
        <v>275072.2137029827</v>
      </c>
      <c r="H676" s="102">
        <f>930322842.121393/H11</f>
        <v>283882.54457282659</v>
      </c>
      <c r="I676" s="102">
        <f>826720553.947261/I11</f>
        <v>240850.85329854654</v>
      </c>
      <c r="J676" s="102">
        <f>726938482.210461/J11</f>
        <v>182594.64131320044</v>
      </c>
    </row>
    <row r="677" spans="2:10">
      <c r="B677" s="52" t="s">
        <v>118</v>
      </c>
      <c r="C677" s="129">
        <v>0</v>
      </c>
      <c r="D677" s="129">
        <v>0</v>
      </c>
      <c r="E677" s="129">
        <v>0</v>
      </c>
      <c r="F677" s="129">
        <v>0</v>
      </c>
      <c r="G677" s="129">
        <v>0</v>
      </c>
      <c r="H677" s="129">
        <v>0</v>
      </c>
      <c r="I677" s="129">
        <v>0</v>
      </c>
      <c r="J677" s="129">
        <v>0</v>
      </c>
    </row>
    <row r="678" spans="2:10">
      <c r="B678" s="52" t="s">
        <v>117</v>
      </c>
      <c r="C678" s="129">
        <v>0</v>
      </c>
      <c r="D678" s="129">
        <v>0</v>
      </c>
      <c r="E678" s="129">
        <v>0</v>
      </c>
      <c r="F678" s="129">
        <v>0</v>
      </c>
      <c r="G678" s="129">
        <v>0</v>
      </c>
      <c r="H678" s="129">
        <v>0</v>
      </c>
      <c r="I678" s="129">
        <v>0</v>
      </c>
      <c r="J678" s="129">
        <v>0</v>
      </c>
    </row>
    <row r="679" spans="2:10">
      <c r="B679" s="52"/>
      <c r="C679" s="129"/>
      <c r="D679" s="129"/>
      <c r="E679" s="129"/>
      <c r="F679" s="129"/>
      <c r="G679" s="129"/>
      <c r="H679" s="129"/>
      <c r="I679" s="129"/>
      <c r="J679" s="129"/>
    </row>
    <row r="680" spans="2:10">
      <c r="B680" s="71" t="s">
        <v>221</v>
      </c>
      <c r="C680" s="129">
        <v>0</v>
      </c>
      <c r="D680" s="129">
        <v>0</v>
      </c>
      <c r="E680" s="129">
        <v>0</v>
      </c>
      <c r="F680" s="129">
        <v>0</v>
      </c>
      <c r="G680" s="129">
        <v>0</v>
      </c>
      <c r="H680" s="129">
        <v>0</v>
      </c>
      <c r="I680" s="129">
        <v>0</v>
      </c>
      <c r="J680" s="129">
        <v>0</v>
      </c>
    </row>
    <row r="681" spans="2:10">
      <c r="B681" s="52" t="s">
        <v>169</v>
      </c>
      <c r="C681" s="129">
        <v>0</v>
      </c>
      <c r="D681" s="129">
        <v>0</v>
      </c>
      <c r="E681" s="129">
        <v>0</v>
      </c>
      <c r="F681" s="129">
        <v>0</v>
      </c>
      <c r="G681" s="129">
        <v>0</v>
      </c>
      <c r="H681" s="129">
        <v>0</v>
      </c>
      <c r="I681" s="129">
        <v>0</v>
      </c>
      <c r="J681" s="129">
        <v>0</v>
      </c>
    </row>
    <row r="682" spans="2:10">
      <c r="B682" s="52" t="s">
        <v>168</v>
      </c>
      <c r="C682" s="129">
        <v>0</v>
      </c>
      <c r="D682" s="129">
        <v>0</v>
      </c>
      <c r="E682" s="129">
        <v>0</v>
      </c>
      <c r="F682" s="129">
        <v>0</v>
      </c>
      <c r="G682" s="129">
        <v>0</v>
      </c>
      <c r="H682" s="129">
        <v>0</v>
      </c>
      <c r="I682" s="129">
        <v>0</v>
      </c>
      <c r="J682" s="129">
        <v>0</v>
      </c>
    </row>
    <row r="683" spans="2:10">
      <c r="B683" s="52" t="s">
        <v>167</v>
      </c>
      <c r="C683" s="129">
        <v>0</v>
      </c>
      <c r="D683" s="129">
        <v>0</v>
      </c>
      <c r="E683" s="129">
        <v>0</v>
      </c>
      <c r="F683" s="129">
        <v>0</v>
      </c>
      <c r="G683" s="129">
        <v>0</v>
      </c>
      <c r="H683" s="129">
        <v>0</v>
      </c>
      <c r="I683" s="129">
        <v>0</v>
      </c>
      <c r="J683" s="129">
        <v>0</v>
      </c>
    </row>
    <row r="684" spans="2:10">
      <c r="B684" s="52" t="s">
        <v>166</v>
      </c>
      <c r="C684" s="129">
        <v>0</v>
      </c>
      <c r="D684" s="129">
        <v>0</v>
      </c>
      <c r="E684" s="129">
        <v>0</v>
      </c>
      <c r="F684" s="129">
        <v>0</v>
      </c>
      <c r="G684" s="129">
        <v>0</v>
      </c>
      <c r="H684" s="129">
        <v>0</v>
      </c>
      <c r="I684" s="129">
        <v>0</v>
      </c>
      <c r="J684" s="129">
        <v>0</v>
      </c>
    </row>
    <row r="685" spans="2:10">
      <c r="B685" s="52" t="s">
        <v>165</v>
      </c>
      <c r="C685" s="129">
        <v>0</v>
      </c>
      <c r="D685" s="129">
        <v>0</v>
      </c>
      <c r="E685" s="129">
        <v>0</v>
      </c>
      <c r="F685" s="129">
        <v>0</v>
      </c>
      <c r="G685" s="129">
        <v>0</v>
      </c>
      <c r="H685" s="129">
        <v>0</v>
      </c>
      <c r="I685" s="129">
        <v>0</v>
      </c>
      <c r="J685" s="129">
        <v>0</v>
      </c>
    </row>
    <row r="686" spans="2:10">
      <c r="B686" s="52" t="s">
        <v>164</v>
      </c>
      <c r="C686" s="129">
        <v>0</v>
      </c>
      <c r="D686" s="129">
        <v>0</v>
      </c>
      <c r="E686" s="129">
        <v>0</v>
      </c>
      <c r="F686" s="129">
        <v>0</v>
      </c>
      <c r="G686" s="129">
        <v>0</v>
      </c>
      <c r="H686" s="129">
        <v>0</v>
      </c>
      <c r="I686" s="129">
        <v>0</v>
      </c>
      <c r="J686" s="129">
        <v>0</v>
      </c>
    </row>
    <row r="687" spans="2:10">
      <c r="B687" s="52"/>
      <c r="C687" s="129"/>
      <c r="D687" s="129"/>
      <c r="E687" s="129"/>
      <c r="F687" s="129"/>
      <c r="G687" s="129"/>
      <c r="H687" s="129"/>
      <c r="I687" s="129"/>
      <c r="J687" s="129"/>
    </row>
    <row r="688" spans="2:10">
      <c r="B688" s="59" t="s">
        <v>586</v>
      </c>
    </row>
    <row r="689" spans="2:10">
      <c r="B689" s="71" t="s">
        <v>222</v>
      </c>
      <c r="C689" s="102">
        <f>49110048.5964134/C11</f>
        <v>20527.009269293278</v>
      </c>
      <c r="D689" s="102">
        <f>39734174.0989729/D11</f>
        <v>12616.14624015244</v>
      </c>
      <c r="E689" s="102">
        <f>42039016.4848983/E11</f>
        <v>14009.689868363919</v>
      </c>
      <c r="F689" s="102">
        <f>41222261.2982629/F11</f>
        <v>13814.430729980864</v>
      </c>
      <c r="G689" s="102">
        <f>44460080.2945711/G11</f>
        <v>13681.077096567768</v>
      </c>
      <c r="H689" s="102">
        <f>46007979.3485544/H11</f>
        <v>14039.064351402261</v>
      </c>
      <c r="I689" s="102">
        <f>34760728.7745361/I11</f>
        <v>10126.942104744678</v>
      </c>
      <c r="J689" s="102">
        <f>29637225.603369/J11</f>
        <v>7444.3693806249939</v>
      </c>
    </row>
    <row r="690" spans="2:10">
      <c r="B690" s="52" t="s">
        <v>121</v>
      </c>
      <c r="C690" s="102">
        <v>0</v>
      </c>
      <c r="D690" s="102">
        <v>0</v>
      </c>
      <c r="E690" s="102">
        <v>0</v>
      </c>
      <c r="F690" s="102">
        <v>0</v>
      </c>
      <c r="G690" s="102">
        <v>0</v>
      </c>
      <c r="H690" s="102">
        <v>0</v>
      </c>
      <c r="I690" s="102">
        <v>0</v>
      </c>
      <c r="J690" s="102">
        <v>0</v>
      </c>
    </row>
    <row r="691" spans="2:10">
      <c r="B691" s="53" t="s">
        <v>120</v>
      </c>
      <c r="C691" s="102">
        <v>0</v>
      </c>
      <c r="D691" s="102">
        <v>0</v>
      </c>
      <c r="E691" s="102">
        <v>0</v>
      </c>
      <c r="F691" s="102">
        <v>0</v>
      </c>
      <c r="G691" s="102">
        <v>0</v>
      </c>
      <c r="H691" s="102">
        <v>0</v>
      </c>
      <c r="I691" s="102">
        <v>0</v>
      </c>
      <c r="J691" s="102">
        <v>0</v>
      </c>
    </row>
    <row r="692" spans="2:10">
      <c r="B692" s="53" t="s">
        <v>498</v>
      </c>
      <c r="C692" s="102">
        <v>0</v>
      </c>
      <c r="D692" s="102">
        <v>0</v>
      </c>
      <c r="E692" s="102">
        <v>0</v>
      </c>
      <c r="F692" s="102">
        <v>0</v>
      </c>
      <c r="G692" s="102">
        <v>0</v>
      </c>
      <c r="H692" s="102">
        <v>0</v>
      </c>
      <c r="I692" s="102">
        <v>0</v>
      </c>
      <c r="J692" s="102">
        <v>0</v>
      </c>
    </row>
    <row r="693" spans="2:10">
      <c r="B693" s="52" t="s">
        <v>118</v>
      </c>
      <c r="C693" s="102">
        <f>47642597.9484456/C11</f>
        <v>19913.644511693237</v>
      </c>
      <c r="D693" s="102">
        <f>38943697.5307969/D11</f>
        <v>12365.159068286697</v>
      </c>
      <c r="E693" s="102">
        <f>39957522.7727028/E11</f>
        <v>13316.022798838541</v>
      </c>
      <c r="F693" s="102">
        <f>39186938.7040949/F11</f>
        <v>13132.352112632339</v>
      </c>
      <c r="G693" s="102">
        <f>42660693.58265/G11</f>
        <v>13127.377054434955</v>
      </c>
      <c r="H693" s="102">
        <f>42758040.2066485/H11</f>
        <v>13047.364533296868</v>
      </c>
      <c r="I693" s="102">
        <f>31648171.3963686/I11</f>
        <v>9220.151899888886</v>
      </c>
      <c r="J693" s="102">
        <f>27303718.4285104/J11</f>
        <v>6858.2318792790047</v>
      </c>
    </row>
    <row r="694" spans="2:10">
      <c r="B694" s="52" t="s">
        <v>117</v>
      </c>
      <c r="C694" s="102">
        <f>1467450.64796781/C11</f>
        <v>613.36475760004771</v>
      </c>
      <c r="D694" s="102">
        <f>790476.568176/D11</f>
        <v>250.98717186574251</v>
      </c>
      <c r="E694" s="102">
        <f>2081493.7121955/E11</f>
        <v>693.66706952537902</v>
      </c>
      <c r="F694" s="102">
        <f>2035322.594168/F11</f>
        <v>682.07861734852543</v>
      </c>
      <c r="G694" s="102">
        <f>1799386.71192108/G11</f>
        <v>553.70004213280401</v>
      </c>
      <c r="H694" s="102">
        <f>3249939.1419059/H11</f>
        <v>991.6998181053907</v>
      </c>
      <c r="I694" s="102">
        <f>3112557.37816751/I11</f>
        <v>906.79020485579315</v>
      </c>
      <c r="J694" s="102">
        <f>2333507.17485858/J11</f>
        <v>586.13750134598456</v>
      </c>
    </row>
    <row r="695" spans="2:10">
      <c r="B695" s="52"/>
      <c r="C695" s="102"/>
      <c r="D695" s="102"/>
      <c r="E695" s="102"/>
      <c r="F695" s="102"/>
      <c r="G695" s="102"/>
      <c r="H695" s="102"/>
      <c r="I695" s="102"/>
      <c r="J695" s="102"/>
    </row>
    <row r="696" spans="2:10">
      <c r="B696" s="71" t="s">
        <v>221</v>
      </c>
      <c r="C696" s="102">
        <f>95185663.0512/C11</f>
        <v>39785.686302466915</v>
      </c>
      <c r="D696" s="102">
        <f>120777071.1206/D11</f>
        <v>38348.379606917995</v>
      </c>
      <c r="E696" s="102">
        <f>133415382.66645/E11</f>
        <v>44461.271721175988</v>
      </c>
      <c r="F696" s="102">
        <f>131617392.9788/F11</f>
        <v>44107.705421849867</v>
      </c>
      <c r="G696" s="102">
        <f>149506091.74565/G11</f>
        <v>46005.413261220092</v>
      </c>
      <c r="H696" s="102">
        <f>112290560.27805/H11</f>
        <v>34264.804151806151</v>
      </c>
      <c r="I696" s="102">
        <f>90401754.35155/I11</f>
        <v>26337.000539417335</v>
      </c>
      <c r="J696" s="102">
        <f>101555251.43935/J11</f>
        <v>25508.960061728241</v>
      </c>
    </row>
    <row r="697" spans="2:10">
      <c r="B697" s="52" t="s">
        <v>169</v>
      </c>
      <c r="C697" s="102">
        <f>95185663.0512/C11</f>
        <v>39785.686302466915</v>
      </c>
      <c r="D697" s="102">
        <f>120777071.1206/D11</f>
        <v>38348.379606917995</v>
      </c>
      <c r="E697" s="102">
        <f>133415382.66645/E11</f>
        <v>44461.271721175988</v>
      </c>
      <c r="F697" s="102">
        <f>131617392.9788/F11</f>
        <v>44107.705421849867</v>
      </c>
      <c r="G697" s="102">
        <f>149506085.40265/G11</f>
        <v>46005.411309377647</v>
      </c>
      <c r="H697" s="102">
        <f>112287842.28755/H11</f>
        <v>34263.974772988033</v>
      </c>
      <c r="I697" s="102">
        <f>90399284.35105/I11</f>
        <v>26336.280947137657</v>
      </c>
      <c r="J697" s="102">
        <f>101553468.59835/J11</f>
        <v>25508.512242248493</v>
      </c>
    </row>
    <row r="698" spans="2:10">
      <c r="B698" s="52" t="s">
        <v>168</v>
      </c>
      <c r="C698" s="102">
        <v>0</v>
      </c>
      <c r="D698" s="102">
        <v>0</v>
      </c>
      <c r="E698" s="102">
        <v>0</v>
      </c>
      <c r="F698" s="102">
        <v>0</v>
      </c>
      <c r="G698" s="102">
        <f>6.343/G11</f>
        <v>1.9518424494191862E-3</v>
      </c>
      <c r="H698" s="102">
        <f>2717.9905/H11</f>
        <v>0.82937881811579606</v>
      </c>
      <c r="I698" s="102">
        <f>2470.0005/I11</f>
        <v>0.71959227967953387</v>
      </c>
      <c r="J698" s="102">
        <f>1782.841/J11</f>
        <v>0.44781947974962072</v>
      </c>
    </row>
    <row r="699" spans="2:10">
      <c r="B699" s="52" t="s">
        <v>167</v>
      </c>
      <c r="C699" s="102">
        <v>0</v>
      </c>
      <c r="D699" s="102">
        <v>0</v>
      </c>
      <c r="E699" s="102">
        <v>0</v>
      </c>
      <c r="F699" s="102">
        <v>0</v>
      </c>
      <c r="G699" s="102">
        <v>0</v>
      </c>
      <c r="H699" s="102">
        <v>0</v>
      </c>
      <c r="I699" s="102">
        <v>0</v>
      </c>
      <c r="J699" s="102">
        <v>0</v>
      </c>
    </row>
    <row r="700" spans="2:10">
      <c r="B700" s="52" t="s">
        <v>166</v>
      </c>
      <c r="C700" s="102">
        <v>0</v>
      </c>
      <c r="D700" s="102">
        <v>0</v>
      </c>
      <c r="E700" s="102">
        <v>0</v>
      </c>
      <c r="F700" s="102">
        <v>0</v>
      </c>
      <c r="G700" s="102">
        <v>0</v>
      </c>
      <c r="H700" s="102">
        <v>0</v>
      </c>
      <c r="I700" s="102">
        <v>0</v>
      </c>
      <c r="J700" s="102">
        <v>0</v>
      </c>
    </row>
    <row r="701" spans="2:10">
      <c r="B701" s="52" t="s">
        <v>165</v>
      </c>
      <c r="C701" s="102">
        <v>0</v>
      </c>
      <c r="D701" s="102">
        <v>0</v>
      </c>
      <c r="E701" s="102">
        <v>0</v>
      </c>
      <c r="F701" s="102">
        <v>0</v>
      </c>
      <c r="G701" s="102">
        <v>0</v>
      </c>
      <c r="H701" s="102">
        <v>0</v>
      </c>
      <c r="I701" s="102">
        <v>0</v>
      </c>
      <c r="J701" s="102">
        <v>0</v>
      </c>
    </row>
    <row r="702" spans="2:10" ht="15" thickBot="1">
      <c r="B702" s="50" t="s">
        <v>164</v>
      </c>
      <c r="C702" s="102">
        <v>0</v>
      </c>
      <c r="D702" s="102">
        <v>0</v>
      </c>
      <c r="E702" s="102">
        <v>0</v>
      </c>
      <c r="F702" s="102">
        <v>0</v>
      </c>
      <c r="G702" s="102">
        <v>0</v>
      </c>
      <c r="H702" s="102">
        <v>0</v>
      </c>
      <c r="I702" s="102">
        <v>0</v>
      </c>
      <c r="J702" s="102">
        <v>0</v>
      </c>
    </row>
    <row r="703" spans="2:10" ht="15" thickTop="1">
      <c r="B703" s="2039" t="s">
        <v>590</v>
      </c>
      <c r="C703" s="2039"/>
      <c r="D703" s="2039"/>
      <c r="E703" s="2039"/>
      <c r="F703" s="2039"/>
      <c r="G703" s="2039"/>
      <c r="H703" s="2039"/>
      <c r="I703" s="2039"/>
      <c r="J703" s="2039"/>
    </row>
    <row r="704" spans="2:10">
      <c r="B704" s="64"/>
    </row>
    <row r="705" spans="2:10">
      <c r="B705" s="2024" t="s">
        <v>219</v>
      </c>
      <c r="C705" s="2024"/>
      <c r="D705" s="2024"/>
      <c r="E705" s="2024"/>
      <c r="F705" s="2024"/>
      <c r="G705" s="2024"/>
      <c r="H705" s="2024"/>
      <c r="I705" s="2024"/>
      <c r="J705" s="2024"/>
    </row>
    <row r="706" spans="2:10">
      <c r="B706" s="12" t="s">
        <v>218</v>
      </c>
    </row>
    <row r="707" spans="2:10">
      <c r="B707" s="77" t="s">
        <v>159</v>
      </c>
    </row>
    <row r="708" spans="2:10">
      <c r="B708" s="76"/>
    </row>
    <row r="709" spans="2:10">
      <c r="B709" s="61"/>
      <c r="C709" s="60">
        <v>2014</v>
      </c>
      <c r="D709" s="60">
        <v>2015</v>
      </c>
      <c r="E709" s="60">
        <v>2016</v>
      </c>
      <c r="F709" s="60">
        <v>2017</v>
      </c>
      <c r="G709" s="60">
        <v>2018</v>
      </c>
      <c r="H709" s="60">
        <v>2019</v>
      </c>
      <c r="I709" s="60">
        <v>2020</v>
      </c>
      <c r="J709" s="60">
        <v>2021</v>
      </c>
    </row>
    <row r="710" spans="2:10" ht="26">
      <c r="B710" s="59" t="s">
        <v>591</v>
      </c>
    </row>
    <row r="711" spans="2:10">
      <c r="B711" s="71" t="s">
        <v>217</v>
      </c>
      <c r="C711" s="74">
        <v>31</v>
      </c>
      <c r="D711" s="74">
        <v>32</v>
      </c>
      <c r="E711" s="74">
        <v>36</v>
      </c>
      <c r="F711" s="74">
        <v>37</v>
      </c>
      <c r="G711" s="74">
        <v>36</v>
      </c>
      <c r="H711" s="74">
        <v>37</v>
      </c>
      <c r="I711" s="74">
        <v>52</v>
      </c>
      <c r="J711" s="74">
        <v>52</v>
      </c>
    </row>
    <row r="712" spans="2:10">
      <c r="B712" s="52" t="s">
        <v>150</v>
      </c>
      <c r="C712" s="74">
        <v>0</v>
      </c>
      <c r="D712" s="74">
        <v>0</v>
      </c>
      <c r="E712" s="74">
        <v>0</v>
      </c>
      <c r="F712" s="74">
        <v>0</v>
      </c>
      <c r="G712" s="74">
        <v>0</v>
      </c>
      <c r="H712" s="74">
        <v>0</v>
      </c>
      <c r="I712" s="74">
        <v>1</v>
      </c>
      <c r="J712" s="74">
        <v>1</v>
      </c>
    </row>
    <row r="713" spans="2:10">
      <c r="B713" s="52" t="s">
        <v>214</v>
      </c>
      <c r="C713" s="74">
        <v>0</v>
      </c>
      <c r="D713" s="74">
        <v>0</v>
      </c>
      <c r="E713" s="74">
        <v>0</v>
      </c>
      <c r="F713" s="74">
        <v>0</v>
      </c>
      <c r="G713" s="74">
        <v>0</v>
      </c>
      <c r="H713" s="74">
        <v>0</v>
      </c>
      <c r="I713" s="74">
        <v>0</v>
      </c>
      <c r="J713" s="74">
        <v>0</v>
      </c>
    </row>
    <row r="714" spans="2:10">
      <c r="B714" s="52" t="s">
        <v>147</v>
      </c>
      <c r="C714" s="74">
        <v>13</v>
      </c>
      <c r="D714" s="74">
        <v>13</v>
      </c>
      <c r="E714" s="74">
        <v>15</v>
      </c>
      <c r="F714" s="74">
        <v>14</v>
      </c>
      <c r="G714" s="74">
        <v>15</v>
      </c>
      <c r="H714" s="74">
        <v>14</v>
      </c>
      <c r="I714" s="74">
        <v>19</v>
      </c>
      <c r="J714" s="74">
        <v>19</v>
      </c>
    </row>
    <row r="715" spans="2:10">
      <c r="B715" s="52" t="s">
        <v>146</v>
      </c>
      <c r="C715" s="74">
        <v>18</v>
      </c>
      <c r="D715" s="74">
        <v>19</v>
      </c>
      <c r="E715" s="74">
        <v>21</v>
      </c>
      <c r="F715" s="74">
        <v>23</v>
      </c>
      <c r="G715" s="74">
        <v>21</v>
      </c>
      <c r="H715" s="74">
        <v>23</v>
      </c>
      <c r="I715" s="74">
        <v>32</v>
      </c>
      <c r="J715" s="74">
        <v>32</v>
      </c>
    </row>
    <row r="716" spans="2:10">
      <c r="B716" s="52"/>
      <c r="C716" s="74"/>
      <c r="D716" s="74"/>
      <c r="E716" s="74"/>
      <c r="F716" s="74"/>
      <c r="G716" s="74"/>
      <c r="H716" s="74"/>
      <c r="I716" s="74"/>
      <c r="J716" s="74"/>
    </row>
    <row r="717" spans="2:10">
      <c r="B717" s="71" t="s">
        <v>216</v>
      </c>
      <c r="C717" s="74">
        <v>31</v>
      </c>
      <c r="D717" s="74">
        <v>32</v>
      </c>
      <c r="E717" s="74">
        <v>36</v>
      </c>
      <c r="F717" s="74">
        <v>37</v>
      </c>
      <c r="G717" s="74">
        <v>36</v>
      </c>
      <c r="H717" s="74">
        <v>37</v>
      </c>
      <c r="I717" s="74">
        <v>52</v>
      </c>
      <c r="J717" s="74">
        <v>52</v>
      </c>
    </row>
    <row r="718" spans="2:10">
      <c r="B718" s="52" t="s">
        <v>150</v>
      </c>
      <c r="C718" s="74">
        <v>0</v>
      </c>
      <c r="D718" s="74">
        <v>0</v>
      </c>
      <c r="E718" s="74">
        <v>0</v>
      </c>
      <c r="F718" s="74">
        <v>0</v>
      </c>
      <c r="G718" s="74">
        <v>0</v>
      </c>
      <c r="H718" s="74">
        <v>0</v>
      </c>
      <c r="I718" s="74">
        <v>1</v>
      </c>
      <c r="J718" s="74">
        <v>1</v>
      </c>
    </row>
    <row r="719" spans="2:10">
      <c r="B719" s="52" t="s">
        <v>214</v>
      </c>
      <c r="C719" s="74">
        <v>0</v>
      </c>
      <c r="D719" s="74">
        <v>0</v>
      </c>
      <c r="E719" s="74">
        <v>0</v>
      </c>
      <c r="F719" s="74">
        <v>0</v>
      </c>
      <c r="G719" s="74">
        <v>0</v>
      </c>
      <c r="H719" s="74">
        <v>0</v>
      </c>
      <c r="I719" s="74">
        <v>0</v>
      </c>
      <c r="J719" s="74">
        <v>0</v>
      </c>
    </row>
    <row r="720" spans="2:10">
      <c r="B720" s="52" t="s">
        <v>147</v>
      </c>
      <c r="C720" s="74">
        <v>13</v>
      </c>
      <c r="D720" s="74">
        <v>13</v>
      </c>
      <c r="E720" s="74">
        <v>15</v>
      </c>
      <c r="F720" s="74">
        <v>14</v>
      </c>
      <c r="G720" s="74">
        <v>15</v>
      </c>
      <c r="H720" s="74">
        <v>14</v>
      </c>
      <c r="I720" s="74">
        <v>19</v>
      </c>
      <c r="J720" s="74">
        <v>19</v>
      </c>
    </row>
    <row r="721" spans="2:10">
      <c r="B721" s="52" t="s">
        <v>146</v>
      </c>
      <c r="C721" s="74">
        <v>18</v>
      </c>
      <c r="D721" s="74">
        <v>19</v>
      </c>
      <c r="E721" s="74">
        <v>21</v>
      </c>
      <c r="F721" s="74">
        <v>23</v>
      </c>
      <c r="G721" s="74">
        <v>21</v>
      </c>
      <c r="H721" s="74">
        <v>23</v>
      </c>
      <c r="I721" s="74">
        <v>32</v>
      </c>
      <c r="J721" s="74">
        <v>32</v>
      </c>
    </row>
    <row r="722" spans="2:10">
      <c r="B722" s="52"/>
      <c r="C722" s="74"/>
      <c r="D722" s="74"/>
      <c r="E722" s="74"/>
      <c r="F722" s="74"/>
      <c r="G722" s="74"/>
      <c r="H722" s="74"/>
      <c r="I722" s="74"/>
      <c r="J722" s="74"/>
    </row>
    <row r="723" spans="2:10">
      <c r="B723" s="71" t="s">
        <v>215</v>
      </c>
      <c r="C723" s="74"/>
      <c r="D723" s="74"/>
      <c r="E723" s="74"/>
      <c r="F723" s="74"/>
      <c r="G723" s="74"/>
      <c r="H723" s="74"/>
      <c r="I723" s="74"/>
      <c r="J723" s="74"/>
    </row>
    <row r="724" spans="2:10">
      <c r="B724" s="52" t="s">
        <v>150</v>
      </c>
      <c r="C724" s="74">
        <v>0</v>
      </c>
      <c r="D724" s="74">
        <v>0</v>
      </c>
      <c r="E724" s="74">
        <v>0</v>
      </c>
      <c r="F724" s="74">
        <v>0</v>
      </c>
      <c r="G724" s="74">
        <v>0</v>
      </c>
      <c r="H724" s="74">
        <v>0</v>
      </c>
      <c r="I724" s="74">
        <v>0</v>
      </c>
      <c r="J724" s="74">
        <v>0</v>
      </c>
    </row>
    <row r="725" spans="2:10">
      <c r="B725" s="52" t="s">
        <v>214</v>
      </c>
      <c r="C725" s="74">
        <v>0</v>
      </c>
      <c r="D725" s="74">
        <v>0</v>
      </c>
      <c r="E725" s="74">
        <v>0</v>
      </c>
      <c r="F725" s="74">
        <v>0</v>
      </c>
      <c r="G725" s="74">
        <v>0</v>
      </c>
      <c r="H725" s="74">
        <v>0</v>
      </c>
      <c r="I725" s="74">
        <v>0</v>
      </c>
      <c r="J725" s="74">
        <v>0</v>
      </c>
    </row>
    <row r="726" spans="2:10">
      <c r="B726" s="52" t="s">
        <v>147</v>
      </c>
      <c r="C726" s="74">
        <v>0</v>
      </c>
      <c r="D726" s="74">
        <v>0</v>
      </c>
      <c r="E726" s="74">
        <v>0</v>
      </c>
      <c r="F726" s="74">
        <v>0</v>
      </c>
      <c r="G726" s="74">
        <v>0</v>
      </c>
      <c r="H726" s="74">
        <v>0</v>
      </c>
      <c r="I726" s="74">
        <v>0</v>
      </c>
      <c r="J726" s="74">
        <v>0</v>
      </c>
    </row>
    <row r="727" spans="2:10">
      <c r="B727" s="52" t="s">
        <v>146</v>
      </c>
      <c r="C727" s="74">
        <v>0</v>
      </c>
      <c r="D727" s="74">
        <v>0</v>
      </c>
      <c r="E727" s="74">
        <v>0</v>
      </c>
      <c r="F727" s="74">
        <v>0</v>
      </c>
      <c r="G727" s="74">
        <v>0</v>
      </c>
      <c r="H727" s="74">
        <v>0</v>
      </c>
      <c r="I727" s="74">
        <v>0</v>
      </c>
      <c r="J727" s="74">
        <v>0</v>
      </c>
    </row>
    <row r="728" spans="2:10">
      <c r="B728" s="52"/>
      <c r="C728" s="74"/>
      <c r="D728" s="74"/>
      <c r="E728" s="74"/>
      <c r="F728" s="74"/>
      <c r="G728" s="74"/>
      <c r="H728" s="74"/>
      <c r="I728" s="74"/>
      <c r="J728" s="74"/>
    </row>
    <row r="729" spans="2:10" ht="26">
      <c r="B729" s="59" t="s">
        <v>592</v>
      </c>
      <c r="C729" s="281"/>
      <c r="D729" s="281"/>
      <c r="E729" s="281"/>
      <c r="F729" s="281"/>
      <c r="G729" s="281"/>
      <c r="H729" s="281"/>
      <c r="I729" s="281"/>
      <c r="J729" s="281"/>
    </row>
    <row r="730" spans="2:10">
      <c r="B730" s="71" t="s">
        <v>217</v>
      </c>
      <c r="C730" s="74">
        <v>36</v>
      </c>
      <c r="D730" s="74">
        <v>35</v>
      </c>
      <c r="E730" s="74">
        <v>35</v>
      </c>
      <c r="F730" s="74">
        <v>36</v>
      </c>
      <c r="G730" s="74">
        <v>36</v>
      </c>
      <c r="H730" s="74">
        <v>38</v>
      </c>
      <c r="I730" s="74">
        <v>33</v>
      </c>
      <c r="J730" s="74">
        <v>0</v>
      </c>
    </row>
    <row r="731" spans="2:10">
      <c r="B731" s="52" t="s">
        <v>150</v>
      </c>
      <c r="C731" s="74">
        <v>1</v>
      </c>
      <c r="D731" s="74">
        <v>1</v>
      </c>
      <c r="E731" s="74">
        <v>1</v>
      </c>
      <c r="F731" s="74">
        <v>1</v>
      </c>
      <c r="G731" s="74">
        <v>1</v>
      </c>
      <c r="H731" s="74">
        <v>1</v>
      </c>
      <c r="I731" s="74">
        <v>1</v>
      </c>
      <c r="J731" s="74">
        <v>0</v>
      </c>
    </row>
    <row r="732" spans="2:10">
      <c r="B732" s="52" t="s">
        <v>214</v>
      </c>
      <c r="C732" s="74">
        <v>0</v>
      </c>
      <c r="D732" s="74">
        <v>0</v>
      </c>
      <c r="E732" s="74">
        <v>0</v>
      </c>
      <c r="F732" s="74">
        <v>0</v>
      </c>
      <c r="G732" s="74">
        <v>0</v>
      </c>
      <c r="H732" s="74">
        <v>0</v>
      </c>
      <c r="I732" s="74">
        <v>0</v>
      </c>
      <c r="J732" s="74">
        <v>0</v>
      </c>
    </row>
    <row r="733" spans="2:10">
      <c r="B733" s="52" t="s">
        <v>147</v>
      </c>
      <c r="C733" s="74">
        <v>16</v>
      </c>
      <c r="D733" s="74">
        <v>17</v>
      </c>
      <c r="E733" s="74">
        <v>19</v>
      </c>
      <c r="F733" s="74">
        <v>19</v>
      </c>
      <c r="G733" s="74">
        <v>17</v>
      </c>
      <c r="H733" s="74">
        <v>18</v>
      </c>
      <c r="I733" s="74">
        <v>18</v>
      </c>
      <c r="J733" s="74">
        <v>0</v>
      </c>
    </row>
    <row r="734" spans="2:10">
      <c r="B734" s="52" t="s">
        <v>146</v>
      </c>
      <c r="C734" s="74">
        <v>19</v>
      </c>
      <c r="D734" s="74">
        <v>17</v>
      </c>
      <c r="E734" s="74">
        <v>15</v>
      </c>
      <c r="F734" s="74">
        <v>16</v>
      </c>
      <c r="G734" s="74">
        <v>18</v>
      </c>
      <c r="H734" s="74">
        <v>19</v>
      </c>
      <c r="I734" s="74">
        <v>14</v>
      </c>
      <c r="J734" s="74">
        <v>0</v>
      </c>
    </row>
    <row r="735" spans="2:10">
      <c r="B735" s="52"/>
      <c r="C735" s="74"/>
      <c r="D735" s="74"/>
      <c r="E735" s="74"/>
      <c r="F735" s="74"/>
      <c r="G735" s="74"/>
      <c r="H735" s="74"/>
      <c r="I735" s="74"/>
      <c r="J735" s="74"/>
    </row>
    <row r="736" spans="2:10">
      <c r="B736" s="71" t="s">
        <v>216</v>
      </c>
      <c r="C736" s="74">
        <v>36</v>
      </c>
      <c r="D736" s="74">
        <v>35</v>
      </c>
      <c r="E736" s="74">
        <v>35</v>
      </c>
      <c r="F736" s="74">
        <v>36</v>
      </c>
      <c r="G736" s="74">
        <v>36</v>
      </c>
      <c r="H736" s="74">
        <v>38</v>
      </c>
      <c r="I736" s="74">
        <v>33</v>
      </c>
      <c r="J736" s="74">
        <v>0</v>
      </c>
    </row>
    <row r="737" spans="2:10">
      <c r="B737" s="52" t="s">
        <v>150</v>
      </c>
      <c r="C737" s="74">
        <v>1</v>
      </c>
      <c r="D737" s="74">
        <v>1</v>
      </c>
      <c r="E737" s="74">
        <v>1</v>
      </c>
      <c r="F737" s="74">
        <v>1</v>
      </c>
      <c r="G737" s="74">
        <v>1</v>
      </c>
      <c r="H737" s="74">
        <v>1</v>
      </c>
      <c r="I737" s="74">
        <v>1</v>
      </c>
      <c r="J737" s="74">
        <v>0</v>
      </c>
    </row>
    <row r="738" spans="2:10">
      <c r="B738" s="52" t="s">
        <v>214</v>
      </c>
      <c r="C738" s="74">
        <v>0</v>
      </c>
      <c r="D738" s="74">
        <v>0</v>
      </c>
      <c r="E738" s="74">
        <v>0</v>
      </c>
      <c r="F738" s="74">
        <v>0</v>
      </c>
      <c r="G738" s="74">
        <v>0</v>
      </c>
      <c r="H738" s="74">
        <v>0</v>
      </c>
      <c r="I738" s="74">
        <v>0</v>
      </c>
      <c r="J738" s="74">
        <v>0</v>
      </c>
    </row>
    <row r="739" spans="2:10">
      <c r="B739" s="52" t="s">
        <v>147</v>
      </c>
      <c r="C739" s="74">
        <v>16</v>
      </c>
      <c r="D739" s="74">
        <v>17</v>
      </c>
      <c r="E739" s="74">
        <v>19</v>
      </c>
      <c r="F739" s="74">
        <v>19</v>
      </c>
      <c r="G739" s="74">
        <v>17</v>
      </c>
      <c r="H739" s="74">
        <v>18</v>
      </c>
      <c r="I739" s="74">
        <v>18</v>
      </c>
      <c r="J739" s="74">
        <v>0</v>
      </c>
    </row>
    <row r="740" spans="2:10">
      <c r="B740" s="52" t="s">
        <v>146</v>
      </c>
      <c r="C740" s="74">
        <v>19</v>
      </c>
      <c r="D740" s="74">
        <v>17</v>
      </c>
      <c r="E740" s="74">
        <v>15</v>
      </c>
      <c r="F740" s="74">
        <v>16</v>
      </c>
      <c r="G740" s="74">
        <v>18</v>
      </c>
      <c r="H740" s="74">
        <v>19</v>
      </c>
      <c r="I740" s="74">
        <v>14</v>
      </c>
      <c r="J740" s="74">
        <v>0</v>
      </c>
    </row>
    <row r="741" spans="2:10">
      <c r="B741" s="52"/>
      <c r="C741" s="74"/>
      <c r="D741" s="74"/>
      <c r="E741" s="74"/>
      <c r="F741" s="74"/>
      <c r="G741" s="74"/>
      <c r="H741" s="74"/>
      <c r="I741" s="74"/>
      <c r="J741" s="74"/>
    </row>
    <row r="742" spans="2:10">
      <c r="B742" s="71" t="s">
        <v>215</v>
      </c>
      <c r="C742" s="74"/>
      <c r="D742" s="74"/>
      <c r="E742" s="74"/>
      <c r="F742" s="74"/>
      <c r="G742" s="74"/>
      <c r="H742" s="74"/>
      <c r="I742" s="74"/>
      <c r="J742" s="74"/>
    </row>
    <row r="743" spans="2:10">
      <c r="B743" s="52" t="s">
        <v>150</v>
      </c>
      <c r="C743" s="74">
        <v>0</v>
      </c>
      <c r="D743" s="74">
        <v>0</v>
      </c>
      <c r="E743" s="74">
        <v>0</v>
      </c>
      <c r="F743" s="74">
        <v>0</v>
      </c>
      <c r="G743" s="74">
        <v>0</v>
      </c>
      <c r="H743" s="74">
        <v>0</v>
      </c>
      <c r="I743" s="74">
        <v>0</v>
      </c>
      <c r="J743" s="74">
        <v>0</v>
      </c>
    </row>
    <row r="744" spans="2:10">
      <c r="B744" s="52" t="s">
        <v>214</v>
      </c>
      <c r="C744" s="74">
        <v>0</v>
      </c>
      <c r="D744" s="74">
        <v>0</v>
      </c>
      <c r="E744" s="74">
        <v>0</v>
      </c>
      <c r="F744" s="74">
        <v>0</v>
      </c>
      <c r="G744" s="74">
        <v>0</v>
      </c>
      <c r="H744" s="74">
        <v>0</v>
      </c>
      <c r="I744" s="74">
        <v>0</v>
      </c>
      <c r="J744" s="74">
        <v>0</v>
      </c>
    </row>
    <row r="745" spans="2:10">
      <c r="B745" s="52" t="s">
        <v>147</v>
      </c>
      <c r="C745" s="74">
        <v>0</v>
      </c>
      <c r="D745" s="74">
        <v>0</v>
      </c>
      <c r="E745" s="74">
        <v>0</v>
      </c>
      <c r="F745" s="74">
        <v>0</v>
      </c>
      <c r="G745" s="74">
        <v>0</v>
      </c>
      <c r="H745" s="74">
        <v>0</v>
      </c>
      <c r="I745" s="74">
        <v>0</v>
      </c>
      <c r="J745" s="74">
        <v>0</v>
      </c>
    </row>
    <row r="746" spans="2:10" ht="15" thickBot="1">
      <c r="B746" s="50" t="s">
        <v>146</v>
      </c>
      <c r="C746" s="74">
        <v>0</v>
      </c>
      <c r="D746" s="74">
        <v>0</v>
      </c>
      <c r="E746" s="74">
        <v>0</v>
      </c>
      <c r="F746" s="74">
        <v>0</v>
      </c>
      <c r="G746" s="74">
        <v>0</v>
      </c>
      <c r="H746" s="74">
        <v>0</v>
      </c>
      <c r="I746" s="74">
        <v>0</v>
      </c>
      <c r="J746" s="74">
        <v>0</v>
      </c>
    </row>
    <row r="747" spans="2:10" ht="15" thickTop="1">
      <c r="B747" s="2025" t="s">
        <v>593</v>
      </c>
      <c r="C747" s="2025"/>
      <c r="D747" s="2025"/>
      <c r="E747" s="2025"/>
      <c r="F747" s="2025"/>
      <c r="G747" s="2025"/>
      <c r="H747" s="2025"/>
      <c r="I747" s="2025"/>
      <c r="J747" s="2025"/>
    </row>
    <row r="748" spans="2:10">
      <c r="B748" s="62"/>
    </row>
    <row r="749" spans="2:10">
      <c r="B749" s="2024" t="s">
        <v>212</v>
      </c>
      <c r="C749" s="2024"/>
      <c r="D749" s="2024"/>
      <c r="E749" s="2024"/>
      <c r="F749" s="2024"/>
      <c r="G749" s="2024"/>
      <c r="H749" s="2024"/>
      <c r="I749" s="2024"/>
      <c r="J749" s="2024"/>
    </row>
    <row r="750" spans="2:10">
      <c r="B750" s="12" t="s">
        <v>211</v>
      </c>
    </row>
    <row r="751" spans="2:10">
      <c r="B751" s="62" t="s">
        <v>210</v>
      </c>
    </row>
    <row r="752" spans="2:10">
      <c r="B752" s="61"/>
      <c r="C752" s="60">
        <v>2014</v>
      </c>
      <c r="D752" s="60">
        <v>2015</v>
      </c>
      <c r="E752" s="60">
        <v>2016</v>
      </c>
      <c r="F752" s="60">
        <v>2017</v>
      </c>
      <c r="G752" s="60">
        <v>2018</v>
      </c>
      <c r="H752" s="60">
        <v>2019</v>
      </c>
      <c r="I752" s="60">
        <v>2020</v>
      </c>
      <c r="J752" s="60">
        <v>2021</v>
      </c>
    </row>
    <row r="753" spans="2:10" ht="26">
      <c r="B753" s="59" t="s">
        <v>594</v>
      </c>
      <c r="C753" s="87"/>
      <c r="D753" s="87"/>
      <c r="E753" s="87"/>
      <c r="F753" s="87"/>
      <c r="G753" s="87"/>
      <c r="H753" s="87"/>
      <c r="I753" s="87"/>
      <c r="J753" s="87"/>
    </row>
    <row r="754" spans="2:10">
      <c r="B754" s="71" t="s">
        <v>209</v>
      </c>
      <c r="C754" s="282">
        <v>3556.20552</v>
      </c>
      <c r="D754" s="282">
        <v>3996.92</v>
      </c>
      <c r="E754" s="282">
        <v>5255.9597144400004</v>
      </c>
      <c r="F754" s="282">
        <v>11506.845826320001</v>
      </c>
      <c r="G754" s="282">
        <v>12421.923319199999</v>
      </c>
      <c r="H754" s="282">
        <v>11720.7244888</v>
      </c>
      <c r="I754" s="266">
        <v>12477.623796399999</v>
      </c>
      <c r="J754" s="266">
        <v>8806.6754331599986</v>
      </c>
    </row>
    <row r="755" spans="2:10">
      <c r="B755" s="71"/>
      <c r="C755" s="282"/>
      <c r="D755" s="282"/>
      <c r="E755" s="282"/>
      <c r="F755" s="282"/>
      <c r="G755" s="282"/>
      <c r="H755" s="282"/>
      <c r="I755" s="282"/>
      <c r="J755" s="282"/>
    </row>
    <row r="756" spans="2:10">
      <c r="B756" s="71" t="s">
        <v>208</v>
      </c>
      <c r="C756" s="266">
        <v>98.009999999999991</v>
      </c>
      <c r="D756" s="266">
        <v>194.96</v>
      </c>
      <c r="E756" s="266">
        <v>397.56399999999996</v>
      </c>
      <c r="F756" s="266">
        <v>463.73</v>
      </c>
      <c r="G756" s="266">
        <v>548.80600000000004</v>
      </c>
      <c r="H756" s="266">
        <v>479.72800000000007</v>
      </c>
      <c r="I756" s="282">
        <v>1207.9079999999999</v>
      </c>
      <c r="J756" s="282">
        <v>2734.0769999999998</v>
      </c>
    </row>
    <row r="757" spans="2:10">
      <c r="B757" s="52" t="s">
        <v>121</v>
      </c>
      <c r="C757" s="266">
        <v>22.242000000000001</v>
      </c>
      <c r="D757" s="266">
        <v>66.09</v>
      </c>
      <c r="E757" s="266">
        <v>232.16399999999999</v>
      </c>
      <c r="F757" s="266">
        <v>322.786</v>
      </c>
      <c r="G757" s="266">
        <v>345.52200000000005</v>
      </c>
      <c r="H757" s="266">
        <v>281.29600000000005</v>
      </c>
      <c r="I757" s="282">
        <v>323.97800000000001</v>
      </c>
      <c r="J757" s="282">
        <v>328.226</v>
      </c>
    </row>
    <row r="758" spans="2:10">
      <c r="B758" s="53" t="s">
        <v>120</v>
      </c>
      <c r="C758" s="266">
        <v>0</v>
      </c>
      <c r="D758" s="266">
        <v>0</v>
      </c>
      <c r="E758" s="266">
        <v>0</v>
      </c>
      <c r="F758" s="266">
        <v>0</v>
      </c>
      <c r="G758" s="266">
        <v>0</v>
      </c>
      <c r="H758" s="266">
        <v>0</v>
      </c>
      <c r="I758" s="266">
        <v>0</v>
      </c>
      <c r="J758" s="266">
        <v>0</v>
      </c>
    </row>
    <row r="759" spans="2:10">
      <c r="B759" s="53" t="s">
        <v>119</v>
      </c>
      <c r="C759" s="266">
        <v>0</v>
      </c>
      <c r="D759" s="266">
        <v>0</v>
      </c>
      <c r="E759" s="266">
        <v>0</v>
      </c>
      <c r="F759" s="266">
        <v>0</v>
      </c>
      <c r="G759" s="266">
        <v>0</v>
      </c>
      <c r="H759" s="266">
        <v>0</v>
      </c>
      <c r="I759" s="266">
        <v>0</v>
      </c>
      <c r="J759" s="266">
        <v>0</v>
      </c>
    </row>
    <row r="760" spans="2:10">
      <c r="B760" s="53" t="s">
        <v>172</v>
      </c>
      <c r="C760" s="266">
        <v>22.242000000000001</v>
      </c>
      <c r="D760" s="266">
        <v>66.09</v>
      </c>
      <c r="E760" s="266">
        <v>232.16399999999999</v>
      </c>
      <c r="F760" s="266">
        <v>322.786</v>
      </c>
      <c r="G760" s="266">
        <v>345.52200000000005</v>
      </c>
      <c r="H760" s="266">
        <v>281.29600000000005</v>
      </c>
      <c r="I760" s="266">
        <v>323.97800000000001</v>
      </c>
      <c r="J760" s="266">
        <v>328.226</v>
      </c>
    </row>
    <row r="761" spans="2:10">
      <c r="B761" s="52" t="s">
        <v>118</v>
      </c>
      <c r="C761" s="266">
        <v>23.058</v>
      </c>
      <c r="D761" s="266">
        <v>16.149999999999999</v>
      </c>
      <c r="E761" s="266">
        <v>13.071999999999999</v>
      </c>
      <c r="F761" s="266">
        <v>26.060000000000002</v>
      </c>
      <c r="G761" s="266">
        <v>63.464000000000006</v>
      </c>
      <c r="H761" s="266">
        <v>63.012</v>
      </c>
      <c r="I761" s="266">
        <v>759.97400000000005</v>
      </c>
      <c r="J761" s="266">
        <v>1878.664</v>
      </c>
    </row>
    <row r="762" spans="2:10">
      <c r="B762" s="52" t="s">
        <v>117</v>
      </c>
      <c r="C762" s="266">
        <v>52.71</v>
      </c>
      <c r="D762" s="266">
        <v>112.72</v>
      </c>
      <c r="E762" s="266">
        <v>152.328</v>
      </c>
      <c r="F762" s="266">
        <v>114.884</v>
      </c>
      <c r="G762" s="266">
        <v>139.82</v>
      </c>
      <c r="H762" s="266">
        <v>135.41999999999999</v>
      </c>
      <c r="I762" s="266">
        <v>123.956</v>
      </c>
      <c r="J762" s="266">
        <v>527.18700000000001</v>
      </c>
    </row>
    <row r="763" spans="2:10">
      <c r="B763" s="52"/>
      <c r="C763" s="266"/>
      <c r="D763" s="266"/>
      <c r="E763" s="266"/>
      <c r="F763" s="266"/>
      <c r="G763" s="266"/>
      <c r="H763" s="266"/>
      <c r="I763" s="266"/>
      <c r="J763" s="266"/>
    </row>
    <row r="764" spans="2:10">
      <c r="B764" s="83" t="s">
        <v>205</v>
      </c>
      <c r="C764" s="266">
        <v>0</v>
      </c>
      <c r="D764" s="266">
        <v>47.6</v>
      </c>
      <c r="E764" s="266">
        <v>215.78</v>
      </c>
      <c r="F764" s="266">
        <v>312.68600000000004</v>
      </c>
      <c r="G764" s="266">
        <v>383.62400000000002</v>
      </c>
      <c r="H764" s="266">
        <v>325.05600000000004</v>
      </c>
      <c r="I764" s="266">
        <v>353.30399999999997</v>
      </c>
      <c r="J764" s="266">
        <v>353.50200000000001</v>
      </c>
    </row>
    <row r="765" spans="2:10">
      <c r="B765" s="81" t="s">
        <v>121</v>
      </c>
      <c r="C765" s="266">
        <v>0</v>
      </c>
      <c r="D765" s="266">
        <v>47.6</v>
      </c>
      <c r="E765" s="266">
        <v>215.78</v>
      </c>
      <c r="F765" s="266">
        <v>293.05200000000002</v>
      </c>
      <c r="G765" s="266">
        <v>325.72000000000003</v>
      </c>
      <c r="H765" s="266">
        <v>271.79000000000002</v>
      </c>
      <c r="I765" s="266">
        <v>316.36799999999999</v>
      </c>
      <c r="J765" s="266">
        <v>321.19400000000002</v>
      </c>
    </row>
    <row r="766" spans="2:10">
      <c r="B766" s="82" t="s">
        <v>120</v>
      </c>
      <c r="C766" s="266">
        <v>0</v>
      </c>
      <c r="D766" s="266">
        <v>0</v>
      </c>
      <c r="E766" s="266">
        <v>0</v>
      </c>
      <c r="F766" s="266">
        <v>0</v>
      </c>
      <c r="G766" s="266">
        <v>0</v>
      </c>
      <c r="H766" s="266">
        <v>0</v>
      </c>
      <c r="I766" s="266">
        <v>0</v>
      </c>
      <c r="J766" s="266">
        <v>0</v>
      </c>
    </row>
    <row r="767" spans="2:10">
      <c r="B767" s="82" t="s">
        <v>119</v>
      </c>
      <c r="C767" s="266">
        <v>0</v>
      </c>
      <c r="D767" s="266">
        <v>0</v>
      </c>
      <c r="E767" s="266">
        <v>0</v>
      </c>
      <c r="F767" s="266">
        <v>0</v>
      </c>
      <c r="G767" s="266">
        <v>0</v>
      </c>
      <c r="H767" s="266">
        <v>0</v>
      </c>
      <c r="I767" s="266">
        <v>0</v>
      </c>
      <c r="J767" s="266">
        <v>0</v>
      </c>
    </row>
    <row r="768" spans="2:10">
      <c r="B768" s="82" t="s">
        <v>172</v>
      </c>
      <c r="C768" s="266">
        <v>0</v>
      </c>
      <c r="D768" s="266">
        <v>47.6</v>
      </c>
      <c r="E768" s="266">
        <v>215.78</v>
      </c>
      <c r="F768" s="266">
        <v>293.05200000000002</v>
      </c>
      <c r="G768" s="266">
        <v>325.72000000000003</v>
      </c>
      <c r="H768" s="266">
        <v>271.79000000000002</v>
      </c>
      <c r="I768" s="266">
        <v>316.36799999999999</v>
      </c>
      <c r="J768" s="266">
        <v>321.19400000000002</v>
      </c>
    </row>
    <row r="769" spans="2:10">
      <c r="B769" s="81" t="s">
        <v>118</v>
      </c>
      <c r="C769" s="266">
        <v>0</v>
      </c>
      <c r="D769" s="266">
        <v>0</v>
      </c>
      <c r="E769" s="266">
        <v>0</v>
      </c>
      <c r="F769" s="266">
        <v>19.634</v>
      </c>
      <c r="G769" s="266">
        <v>57.904000000000003</v>
      </c>
      <c r="H769" s="266">
        <v>53.265999999999998</v>
      </c>
      <c r="I769" s="266">
        <v>36.936</v>
      </c>
      <c r="J769" s="266">
        <v>32.308</v>
      </c>
    </row>
    <row r="770" spans="2:10">
      <c r="B770" s="81" t="s">
        <v>117</v>
      </c>
      <c r="C770" s="266">
        <v>0</v>
      </c>
      <c r="D770" s="266">
        <v>0</v>
      </c>
      <c r="E770" s="266">
        <v>0</v>
      </c>
      <c r="F770" s="266">
        <v>0</v>
      </c>
      <c r="G770" s="266">
        <v>0</v>
      </c>
      <c r="H770" s="266">
        <v>0</v>
      </c>
      <c r="I770" s="266">
        <v>0</v>
      </c>
      <c r="J770" s="266">
        <v>0</v>
      </c>
    </row>
    <row r="771" spans="2:10">
      <c r="B771" s="81"/>
      <c r="C771" s="266"/>
      <c r="D771" s="266"/>
      <c r="E771" s="266"/>
      <c r="F771" s="266"/>
      <c r="G771" s="266"/>
      <c r="H771" s="266"/>
      <c r="I771" s="266"/>
      <c r="J771" s="266"/>
    </row>
    <row r="772" spans="2:10">
      <c r="B772" s="83" t="s">
        <v>204</v>
      </c>
      <c r="C772" s="266">
        <v>98.009999999999991</v>
      </c>
      <c r="D772" s="266">
        <v>147.36000000000001</v>
      </c>
      <c r="E772" s="266">
        <v>181.78399999999999</v>
      </c>
      <c r="F772" s="266">
        <v>151.04400000000001</v>
      </c>
      <c r="G772" s="266">
        <v>165.18199999999999</v>
      </c>
      <c r="H772" s="266">
        <v>154.672</v>
      </c>
      <c r="I772" s="266">
        <v>854.60400000000004</v>
      </c>
      <c r="J772" s="266">
        <v>2380.5749999999998</v>
      </c>
    </row>
    <row r="773" spans="2:10">
      <c r="B773" s="81" t="s">
        <v>121</v>
      </c>
      <c r="C773" s="266">
        <v>22.242000000000001</v>
      </c>
      <c r="D773" s="266">
        <v>18.489999999999998</v>
      </c>
      <c r="E773" s="266">
        <v>16.384</v>
      </c>
      <c r="F773" s="266">
        <v>29.734000000000002</v>
      </c>
      <c r="G773" s="266">
        <v>19.802</v>
      </c>
      <c r="H773" s="266">
        <v>9.5060000000000002</v>
      </c>
      <c r="I773" s="266">
        <v>7.61</v>
      </c>
      <c r="J773" s="266">
        <v>7.032</v>
      </c>
    </row>
    <row r="774" spans="2:10">
      <c r="B774" s="82" t="s">
        <v>120</v>
      </c>
      <c r="C774" s="266">
        <v>0</v>
      </c>
      <c r="D774" s="266">
        <v>0</v>
      </c>
      <c r="E774" s="266">
        <v>0</v>
      </c>
      <c r="F774" s="266">
        <v>0</v>
      </c>
      <c r="G774" s="266">
        <v>0</v>
      </c>
      <c r="H774" s="266">
        <v>0</v>
      </c>
      <c r="I774" s="266">
        <v>0</v>
      </c>
      <c r="J774" s="266">
        <v>0</v>
      </c>
    </row>
    <row r="775" spans="2:10">
      <c r="B775" s="82" t="s">
        <v>119</v>
      </c>
      <c r="C775" s="266">
        <v>0</v>
      </c>
      <c r="D775" s="266">
        <v>0</v>
      </c>
      <c r="E775" s="266">
        <v>0</v>
      </c>
      <c r="F775" s="266">
        <v>0</v>
      </c>
      <c r="G775" s="266">
        <v>0</v>
      </c>
      <c r="H775" s="266">
        <v>0</v>
      </c>
      <c r="I775" s="266">
        <v>0</v>
      </c>
      <c r="J775" s="266">
        <v>0</v>
      </c>
    </row>
    <row r="776" spans="2:10">
      <c r="B776" s="82" t="s">
        <v>172</v>
      </c>
      <c r="C776" s="266">
        <v>22.242000000000001</v>
      </c>
      <c r="D776" s="266">
        <v>18.489999999999998</v>
      </c>
      <c r="E776" s="266">
        <v>16.384</v>
      </c>
      <c r="F776" s="266">
        <v>29.734000000000002</v>
      </c>
      <c r="G776" s="266">
        <v>19.802</v>
      </c>
      <c r="H776" s="266">
        <v>9.5060000000000002</v>
      </c>
      <c r="I776" s="266">
        <v>7.61</v>
      </c>
      <c r="J776" s="266">
        <v>7.032</v>
      </c>
    </row>
    <row r="777" spans="2:10">
      <c r="B777" s="81" t="s">
        <v>118</v>
      </c>
      <c r="C777" s="266">
        <v>23.058</v>
      </c>
      <c r="D777" s="266">
        <v>16.149999999999999</v>
      </c>
      <c r="E777" s="266">
        <v>13.071999999999999</v>
      </c>
      <c r="F777" s="266">
        <v>6.4260000000000002</v>
      </c>
      <c r="G777" s="266">
        <v>5.56</v>
      </c>
      <c r="H777" s="266">
        <v>9.7460000000000004</v>
      </c>
      <c r="I777" s="266">
        <v>723.03800000000001</v>
      </c>
      <c r="J777" s="266">
        <v>1846.356</v>
      </c>
    </row>
    <row r="778" spans="2:10">
      <c r="B778" s="81" t="s">
        <v>117</v>
      </c>
      <c r="C778" s="266">
        <v>52.71</v>
      </c>
      <c r="D778" s="266">
        <v>112.72</v>
      </c>
      <c r="E778" s="266">
        <v>152.328</v>
      </c>
      <c r="F778" s="266">
        <v>114.884</v>
      </c>
      <c r="G778" s="266">
        <v>139.82</v>
      </c>
      <c r="H778" s="266">
        <v>135.41999999999999</v>
      </c>
      <c r="I778" s="266">
        <v>123.956</v>
      </c>
      <c r="J778" s="266">
        <v>527.18700000000001</v>
      </c>
    </row>
    <row r="779" spans="2:10">
      <c r="B779" s="81"/>
      <c r="C779" s="266"/>
      <c r="D779" s="266"/>
      <c r="E779" s="266"/>
      <c r="F779" s="266"/>
      <c r="G779" s="266"/>
      <c r="H779" s="266"/>
      <c r="I779" s="266"/>
      <c r="J779" s="266"/>
    </row>
    <row r="780" spans="2:10">
      <c r="B780" s="71" t="s">
        <v>203</v>
      </c>
      <c r="C780" s="266">
        <v>953.95799999999997</v>
      </c>
      <c r="D780" s="266">
        <v>755.74</v>
      </c>
      <c r="E780" s="266">
        <v>1301.588</v>
      </c>
      <c r="F780" s="266">
        <v>1860.52</v>
      </c>
      <c r="G780" s="266">
        <v>879.45600000000002</v>
      </c>
      <c r="H780" s="266">
        <v>1210.32</v>
      </c>
      <c r="I780" s="266">
        <v>1086.58</v>
      </c>
      <c r="J780" s="266">
        <v>520.42999999999995</v>
      </c>
    </row>
    <row r="781" spans="2:10">
      <c r="B781" s="52" t="s">
        <v>169</v>
      </c>
      <c r="C781" s="266">
        <v>953.95799999999997</v>
      </c>
      <c r="D781" s="266">
        <v>755.74</v>
      </c>
      <c r="E781" s="266">
        <v>1301.588</v>
      </c>
      <c r="F781" s="266">
        <v>1860.2760000000001</v>
      </c>
      <c r="G781" s="266">
        <v>879.404</v>
      </c>
      <c r="H781" s="266">
        <v>1209.8879999999999</v>
      </c>
      <c r="I781" s="266">
        <v>1086.288</v>
      </c>
      <c r="J781" s="266">
        <v>520.28599999999994</v>
      </c>
    </row>
    <row r="782" spans="2:10">
      <c r="B782" s="52" t="s">
        <v>168</v>
      </c>
      <c r="C782" s="266">
        <v>0</v>
      </c>
      <c r="D782" s="266">
        <v>0</v>
      </c>
      <c r="E782" s="266">
        <v>0</v>
      </c>
      <c r="F782" s="266">
        <v>0</v>
      </c>
      <c r="G782" s="266">
        <v>0</v>
      </c>
      <c r="H782" s="266">
        <v>1.2E-2</v>
      </c>
      <c r="I782" s="266">
        <v>0</v>
      </c>
      <c r="J782" s="266">
        <v>0</v>
      </c>
    </row>
    <row r="783" spans="2:10">
      <c r="B783" s="52" t="s">
        <v>167</v>
      </c>
      <c r="C783" s="266">
        <v>0</v>
      </c>
      <c r="D783" s="266">
        <v>0</v>
      </c>
      <c r="E783" s="266">
        <v>0</v>
      </c>
      <c r="F783" s="266">
        <v>0</v>
      </c>
      <c r="G783" s="266">
        <v>0</v>
      </c>
      <c r="H783" s="266">
        <v>0</v>
      </c>
      <c r="I783" s="266">
        <v>0</v>
      </c>
      <c r="J783" s="266">
        <v>0</v>
      </c>
    </row>
    <row r="784" spans="2:10">
      <c r="B784" s="52" t="s">
        <v>166</v>
      </c>
      <c r="C784" s="266">
        <v>0</v>
      </c>
      <c r="D784" s="266">
        <v>0</v>
      </c>
      <c r="E784" s="266">
        <v>0</v>
      </c>
      <c r="F784" s="266">
        <v>0.24399999999999999</v>
      </c>
      <c r="G784" s="266">
        <v>5.1999999999999998E-2</v>
      </c>
      <c r="H784" s="266">
        <v>0.42</v>
      </c>
      <c r="I784" s="266">
        <v>0.29199999999999998</v>
      </c>
      <c r="J784" s="266">
        <v>0.14399999999999999</v>
      </c>
    </row>
    <row r="785" spans="2:10">
      <c r="B785" s="52" t="s">
        <v>165</v>
      </c>
      <c r="C785" s="266">
        <v>0</v>
      </c>
      <c r="D785" s="266">
        <v>0</v>
      </c>
      <c r="E785" s="266">
        <v>0</v>
      </c>
      <c r="F785" s="266">
        <v>0</v>
      </c>
      <c r="G785" s="266">
        <v>0</v>
      </c>
      <c r="H785" s="266">
        <v>0</v>
      </c>
      <c r="I785" s="266">
        <v>0</v>
      </c>
      <c r="J785" s="266">
        <v>0</v>
      </c>
    </row>
    <row r="786" spans="2:10">
      <c r="B786" s="52" t="s">
        <v>164</v>
      </c>
      <c r="C786" s="266">
        <v>0</v>
      </c>
      <c r="D786" s="266">
        <v>0</v>
      </c>
      <c r="E786" s="266">
        <v>0</v>
      </c>
      <c r="F786" s="266">
        <v>0</v>
      </c>
      <c r="G786" s="266">
        <v>0</v>
      </c>
      <c r="H786" s="266">
        <v>0</v>
      </c>
      <c r="I786" s="266">
        <v>0</v>
      </c>
      <c r="J786" s="266">
        <v>0</v>
      </c>
    </row>
    <row r="787" spans="2:10">
      <c r="B787" s="52"/>
      <c r="C787" s="266"/>
      <c r="D787" s="266"/>
      <c r="E787" s="266"/>
      <c r="F787" s="266"/>
      <c r="G787" s="266"/>
      <c r="H787" s="266"/>
      <c r="I787" s="266"/>
      <c r="J787" s="266"/>
    </row>
    <row r="788" spans="2:10">
      <c r="B788" s="80" t="s">
        <v>202</v>
      </c>
      <c r="C788" s="266">
        <v>2504.2375200000001</v>
      </c>
      <c r="D788" s="266">
        <v>3046.2200000000003</v>
      </c>
      <c r="E788" s="266">
        <v>3556.8077144400004</v>
      </c>
      <c r="F788" s="266">
        <v>9182.5958263200009</v>
      </c>
      <c r="G788" s="266">
        <v>10993.661319199999</v>
      </c>
      <c r="H788" s="266">
        <v>10030.6764888</v>
      </c>
      <c r="I788" s="266">
        <v>10183.1357964</v>
      </c>
      <c r="J788" s="266">
        <v>5552.1684331599999</v>
      </c>
    </row>
    <row r="789" spans="2:10">
      <c r="B789" s="52" t="s">
        <v>169</v>
      </c>
      <c r="C789" s="266">
        <v>2504.2175200000001</v>
      </c>
      <c r="D789" s="266">
        <v>3046.17</v>
      </c>
      <c r="E789" s="266">
        <v>3467.5017144400003</v>
      </c>
      <c r="F789" s="266">
        <v>8902.78782632</v>
      </c>
      <c r="G789" s="266">
        <v>10724.317319199999</v>
      </c>
      <c r="H789" s="266">
        <v>9741.5244887999997</v>
      </c>
      <c r="I789" s="266">
        <v>9896.5357963999995</v>
      </c>
      <c r="J789" s="266">
        <v>5326.9844331599998</v>
      </c>
    </row>
    <row r="790" spans="2:10">
      <c r="B790" s="52" t="s">
        <v>168</v>
      </c>
      <c r="C790" s="266">
        <v>0</v>
      </c>
      <c r="D790" s="266">
        <v>0</v>
      </c>
      <c r="E790" s="266">
        <v>0</v>
      </c>
      <c r="F790" s="266">
        <v>0</v>
      </c>
      <c r="G790" s="266">
        <v>0</v>
      </c>
      <c r="H790" s="266">
        <v>7.2359999999999998</v>
      </c>
      <c r="I790" s="266">
        <v>2.0720000000000001</v>
      </c>
      <c r="J790" s="266">
        <v>2.3159999999999998</v>
      </c>
    </row>
    <row r="791" spans="2:10">
      <c r="B791" s="52" t="s">
        <v>167</v>
      </c>
      <c r="C791" s="266">
        <v>0</v>
      </c>
      <c r="D791" s="266">
        <v>0</v>
      </c>
      <c r="E791" s="266">
        <v>87.4</v>
      </c>
      <c r="F791" s="266">
        <v>278.15199999999999</v>
      </c>
      <c r="G791" s="266">
        <v>266.54399999999998</v>
      </c>
      <c r="H791" s="266">
        <v>281.06</v>
      </c>
      <c r="I791" s="266">
        <v>283.62799999999999</v>
      </c>
      <c r="J791" s="266">
        <v>222.85</v>
      </c>
    </row>
    <row r="792" spans="2:10">
      <c r="B792" s="52" t="s">
        <v>166</v>
      </c>
      <c r="C792" s="266">
        <v>0.02</v>
      </c>
      <c r="D792" s="266">
        <v>0.05</v>
      </c>
      <c r="E792" s="266">
        <v>1.9059999999999999</v>
      </c>
      <c r="F792" s="266">
        <v>1.6559999999999999</v>
      </c>
      <c r="G792" s="266">
        <v>2.8</v>
      </c>
      <c r="H792" s="266">
        <v>0.85599999999999998</v>
      </c>
      <c r="I792" s="266">
        <v>0.9</v>
      </c>
      <c r="J792" s="266">
        <v>1.7999999999999999E-2</v>
      </c>
    </row>
    <row r="793" spans="2:10">
      <c r="B793" s="52" t="s">
        <v>165</v>
      </c>
      <c r="C793" s="266">
        <v>0</v>
      </c>
      <c r="D793" s="266">
        <v>0</v>
      </c>
      <c r="E793" s="266">
        <v>0</v>
      </c>
      <c r="F793" s="266">
        <v>0</v>
      </c>
      <c r="G793" s="266">
        <v>0</v>
      </c>
      <c r="H793" s="266">
        <v>0</v>
      </c>
      <c r="I793" s="266">
        <v>0</v>
      </c>
      <c r="J793" s="266">
        <v>0</v>
      </c>
    </row>
    <row r="794" spans="2:10">
      <c r="B794" s="52" t="s">
        <v>164</v>
      </c>
      <c r="C794" s="266">
        <v>0</v>
      </c>
      <c r="D794" s="266">
        <v>0</v>
      </c>
      <c r="E794" s="266">
        <v>0</v>
      </c>
      <c r="F794" s="266">
        <v>0</v>
      </c>
      <c r="G794" s="266">
        <v>0</v>
      </c>
      <c r="H794" s="266">
        <v>0</v>
      </c>
      <c r="I794" s="266">
        <v>0</v>
      </c>
      <c r="J794" s="266">
        <v>0</v>
      </c>
    </row>
    <row r="795" spans="2:10">
      <c r="B795" s="64"/>
      <c r="C795" s="283"/>
      <c r="D795" s="283"/>
      <c r="E795" s="283"/>
      <c r="F795" s="283"/>
      <c r="G795" s="283"/>
      <c r="H795" s="283"/>
      <c r="I795" s="266"/>
      <c r="J795" s="266"/>
    </row>
    <row r="796" spans="2:10" ht="26">
      <c r="B796" s="59" t="s">
        <v>595</v>
      </c>
      <c r="C796" s="282"/>
      <c r="D796" s="282"/>
      <c r="E796" s="282"/>
      <c r="F796" s="282"/>
      <c r="G796" s="282"/>
      <c r="H796" s="282"/>
      <c r="I796" s="266"/>
      <c r="J796" s="266"/>
    </row>
    <row r="797" spans="2:10">
      <c r="B797" s="71" t="s">
        <v>209</v>
      </c>
      <c r="C797" s="266"/>
      <c r="D797" s="266"/>
      <c r="E797" s="266"/>
      <c r="F797" s="266"/>
      <c r="G797" s="266"/>
      <c r="H797" s="266"/>
      <c r="I797" s="283"/>
      <c r="J797" s="283"/>
    </row>
    <row r="798" spans="2:10">
      <c r="B798" s="71"/>
      <c r="C798" s="282"/>
      <c r="D798" s="282"/>
      <c r="E798" s="282"/>
      <c r="F798" s="282"/>
      <c r="G798" s="282"/>
      <c r="H798" s="282"/>
      <c r="I798" s="282"/>
      <c r="J798" s="282"/>
    </row>
    <row r="799" spans="2:10">
      <c r="B799" s="71" t="s">
        <v>208</v>
      </c>
      <c r="C799" s="266">
        <v>351.14497256635912</v>
      </c>
      <c r="D799" s="266">
        <v>429.93</v>
      </c>
      <c r="E799" s="266">
        <v>531.53899999999999</v>
      </c>
      <c r="F799" s="266">
        <v>394.32900000000001</v>
      </c>
      <c r="G799" s="266">
        <v>410.91300000000001</v>
      </c>
      <c r="H799" s="266">
        <v>435.60500000000002</v>
      </c>
      <c r="I799" s="266">
        <v>360.46300000000002</v>
      </c>
      <c r="J799" s="266">
        <v>0</v>
      </c>
    </row>
    <row r="800" spans="2:10">
      <c r="B800" s="52" t="s">
        <v>121</v>
      </c>
      <c r="C800" s="266">
        <v>0</v>
      </c>
      <c r="D800" s="266">
        <v>0</v>
      </c>
      <c r="E800" s="266">
        <v>0</v>
      </c>
      <c r="F800" s="266">
        <v>0</v>
      </c>
      <c r="G800" s="266">
        <v>0</v>
      </c>
      <c r="H800" s="266">
        <v>0</v>
      </c>
      <c r="I800" s="282">
        <v>0</v>
      </c>
      <c r="J800" s="282">
        <v>0</v>
      </c>
    </row>
    <row r="801" spans="2:10">
      <c r="B801" s="53" t="s">
        <v>120</v>
      </c>
      <c r="C801" s="266">
        <v>0</v>
      </c>
      <c r="D801" s="266">
        <v>0</v>
      </c>
      <c r="E801" s="266">
        <v>0</v>
      </c>
      <c r="F801" s="266">
        <v>0</v>
      </c>
      <c r="G801" s="266">
        <v>0</v>
      </c>
      <c r="H801" s="266">
        <v>0</v>
      </c>
      <c r="I801" s="266">
        <v>0</v>
      </c>
      <c r="J801" s="266">
        <v>0</v>
      </c>
    </row>
    <row r="802" spans="2:10">
      <c r="B802" s="53" t="s">
        <v>119</v>
      </c>
      <c r="C802" s="266">
        <v>0</v>
      </c>
      <c r="D802" s="266">
        <v>0</v>
      </c>
      <c r="E802" s="266">
        <v>0</v>
      </c>
      <c r="F802" s="266">
        <v>0</v>
      </c>
      <c r="G802" s="266">
        <v>0</v>
      </c>
      <c r="H802" s="266">
        <v>0</v>
      </c>
      <c r="I802" s="266">
        <v>0</v>
      </c>
      <c r="J802" s="266">
        <v>0</v>
      </c>
    </row>
    <row r="803" spans="2:10">
      <c r="B803" s="53" t="s">
        <v>172</v>
      </c>
      <c r="C803" s="266">
        <v>0</v>
      </c>
      <c r="D803" s="266">
        <v>0</v>
      </c>
      <c r="E803" s="266">
        <v>0</v>
      </c>
      <c r="F803" s="266">
        <v>0</v>
      </c>
      <c r="G803" s="266">
        <v>0</v>
      </c>
      <c r="H803" s="266">
        <v>0</v>
      </c>
      <c r="I803" s="266">
        <v>0</v>
      </c>
      <c r="J803" s="266">
        <v>0</v>
      </c>
    </row>
    <row r="804" spans="2:10">
      <c r="B804" s="52" t="s">
        <v>118</v>
      </c>
      <c r="C804" s="266">
        <v>0</v>
      </c>
      <c r="D804" s="266">
        <v>0</v>
      </c>
      <c r="E804" s="266">
        <v>0</v>
      </c>
      <c r="F804" s="266">
        <v>0</v>
      </c>
      <c r="G804" s="266">
        <v>0</v>
      </c>
      <c r="H804" s="266">
        <v>0</v>
      </c>
      <c r="I804" s="266">
        <v>0</v>
      </c>
      <c r="J804" s="266">
        <v>0</v>
      </c>
    </row>
    <row r="805" spans="2:10" ht="15" thickBot="1">
      <c r="B805" s="50" t="s">
        <v>596</v>
      </c>
      <c r="C805" s="284">
        <v>351.14497256635912</v>
      </c>
      <c r="D805" s="284">
        <v>429.93</v>
      </c>
      <c r="E805" s="284">
        <v>531.53899999999999</v>
      </c>
      <c r="F805" s="284">
        <v>394.32900000000001</v>
      </c>
      <c r="G805" s="284">
        <v>410.91300000000001</v>
      </c>
      <c r="H805" s="284">
        <v>435.60500000000002</v>
      </c>
      <c r="I805" s="284">
        <v>360.46300000000002</v>
      </c>
      <c r="J805" s="284">
        <v>0</v>
      </c>
    </row>
    <row r="806" spans="2:10" ht="15" thickTop="1">
      <c r="B806" s="2031" t="s">
        <v>593</v>
      </c>
      <c r="C806" s="2031"/>
      <c r="D806" s="2031"/>
      <c r="E806" s="2031"/>
      <c r="F806" s="2031"/>
      <c r="G806" s="2031"/>
      <c r="H806" s="2031"/>
      <c r="I806" s="2031"/>
      <c r="J806" s="2031"/>
    </row>
    <row r="807" spans="2:10">
      <c r="B807" s="64"/>
    </row>
    <row r="808" spans="2:10">
      <c r="B808" s="2024" t="s">
        <v>199</v>
      </c>
      <c r="C808" s="2024"/>
      <c r="D808" s="2024"/>
      <c r="E808" s="2024"/>
      <c r="F808" s="2024"/>
      <c r="G808" s="2024"/>
      <c r="H808" s="2024"/>
      <c r="I808" s="2024"/>
      <c r="J808" s="2024"/>
    </row>
    <row r="809" spans="2:10">
      <c r="B809" s="12" t="s">
        <v>198</v>
      </c>
    </row>
    <row r="810" spans="2:10">
      <c r="B810" s="62" t="s">
        <v>127</v>
      </c>
    </row>
    <row r="811" spans="2:10">
      <c r="B811" s="61"/>
      <c r="C811" s="60">
        <v>2014</v>
      </c>
      <c r="D811" s="60">
        <v>2015</v>
      </c>
      <c r="E811" s="60">
        <v>2016</v>
      </c>
      <c r="F811" s="60">
        <v>2017</v>
      </c>
      <c r="G811" s="60">
        <v>2018</v>
      </c>
      <c r="H811" s="60">
        <v>2019</v>
      </c>
      <c r="I811" s="60">
        <v>2020</v>
      </c>
      <c r="J811" s="60">
        <v>2021</v>
      </c>
    </row>
    <row r="812" spans="2:10" ht="26">
      <c r="B812" s="59" t="s">
        <v>594</v>
      </c>
      <c r="C812" s="89"/>
      <c r="D812" s="89"/>
      <c r="E812" s="89"/>
      <c r="F812" s="89"/>
      <c r="G812" s="89"/>
      <c r="H812" s="89"/>
      <c r="I812" s="89"/>
      <c r="J812" s="89"/>
    </row>
    <row r="813" spans="2:10">
      <c r="B813" s="71" t="s">
        <v>186</v>
      </c>
      <c r="C813" s="285">
        <v>348047.71321738657</v>
      </c>
      <c r="D813" s="285">
        <v>617509.00153960846</v>
      </c>
      <c r="E813" s="285">
        <v>1400570.6844316279</v>
      </c>
      <c r="F813" s="285">
        <v>2760432.3093363876</v>
      </c>
      <c r="G813" s="285">
        <v>3072295.0627591475</v>
      </c>
      <c r="H813" s="285">
        <v>2580647.0765851</v>
      </c>
      <c r="I813" s="285">
        <v>2677989.8902740977</v>
      </c>
      <c r="J813" s="285">
        <f>+J815+J839+J847</f>
        <v>2347496.7464539693</v>
      </c>
    </row>
    <row r="814" spans="2:10">
      <c r="B814" s="71"/>
      <c r="C814" s="286"/>
      <c r="D814" s="286"/>
      <c r="E814" s="286"/>
      <c r="F814" s="286"/>
      <c r="G814" s="286"/>
      <c r="H814" s="286"/>
      <c r="I814" s="286"/>
      <c r="J814" s="286"/>
    </row>
    <row r="815" spans="2:10">
      <c r="B815" s="71" t="s">
        <v>190</v>
      </c>
      <c r="C815" s="285">
        <v>174023.85660869343</v>
      </c>
      <c r="D815" s="285">
        <v>456272.82350748102</v>
      </c>
      <c r="E815" s="285">
        <v>1196151.1947878713</v>
      </c>
      <c r="F815" s="285">
        <v>2257008.8605023022</v>
      </c>
      <c r="G815" s="285">
        <v>2512408.3372634295</v>
      </c>
      <c r="H815" s="285">
        <v>2031632.1494777501</v>
      </c>
      <c r="I815" s="285">
        <v>2084487.1273357612</v>
      </c>
      <c r="J815" s="285">
        <f>+J823+J831</f>
        <v>2062672.5806296743</v>
      </c>
    </row>
    <row r="816" spans="2:10">
      <c r="B816" s="52" t="s">
        <v>121</v>
      </c>
      <c r="C816" s="285">
        <v>62927.108558090411</v>
      </c>
      <c r="D816" s="285">
        <v>328216.08109948219</v>
      </c>
      <c r="E816" s="285">
        <v>1072670.0629535224</v>
      </c>
      <c r="F816" s="285">
        <v>1851261.1556624062</v>
      </c>
      <c r="G816" s="285">
        <v>2007291.3721825618</v>
      </c>
      <c r="H816" s="285">
        <v>1514845.8226423557</v>
      </c>
      <c r="I816" s="285">
        <v>1798415.5111522216</v>
      </c>
      <c r="J816" s="285">
        <f>+J824+J832</f>
        <v>1380734.6741929438</v>
      </c>
    </row>
    <row r="817" spans="2:10">
      <c r="B817" s="53" t="s">
        <v>120</v>
      </c>
      <c r="C817" s="286">
        <v>0</v>
      </c>
      <c r="D817" s="286">
        <v>0</v>
      </c>
      <c r="E817" s="286">
        <v>0</v>
      </c>
      <c r="F817" s="286">
        <v>0</v>
      </c>
      <c r="G817" s="286">
        <v>0</v>
      </c>
      <c r="H817" s="286">
        <v>0</v>
      </c>
      <c r="I817" s="286">
        <v>0</v>
      </c>
      <c r="J817" s="286">
        <f t="shared" ref="J817:J821" si="0">+J825+J833</f>
        <v>0</v>
      </c>
    </row>
    <row r="818" spans="2:10">
      <c r="B818" s="53" t="s">
        <v>119</v>
      </c>
      <c r="C818" s="286">
        <v>0</v>
      </c>
      <c r="D818" s="286">
        <v>0</v>
      </c>
      <c r="E818" s="286">
        <v>0</v>
      </c>
      <c r="F818" s="286">
        <v>0</v>
      </c>
      <c r="G818" s="286">
        <v>0</v>
      </c>
      <c r="H818" s="286">
        <v>0</v>
      </c>
      <c r="I818" s="286">
        <v>0</v>
      </c>
      <c r="J818" s="286">
        <f t="shared" si="0"/>
        <v>0</v>
      </c>
    </row>
    <row r="819" spans="2:10">
      <c r="B819" s="53" t="s">
        <v>197</v>
      </c>
      <c r="C819" s="286">
        <v>62927.108558090411</v>
      </c>
      <c r="D819" s="286">
        <v>328216.08109948219</v>
      </c>
      <c r="E819" s="286">
        <v>1072670.0629535224</v>
      </c>
      <c r="F819" s="286">
        <v>1851261.1556624062</v>
      </c>
      <c r="G819" s="286">
        <v>2007291.3721825618</v>
      </c>
      <c r="H819" s="286">
        <v>1514845.8226423557</v>
      </c>
      <c r="I819" s="286">
        <v>1798415.5111522216</v>
      </c>
      <c r="J819" s="286">
        <f t="shared" si="0"/>
        <v>1380734.6741929438</v>
      </c>
    </row>
    <row r="820" spans="2:10">
      <c r="B820" s="52" t="s">
        <v>118</v>
      </c>
      <c r="C820" s="285">
        <v>1693.2384209368809</v>
      </c>
      <c r="D820" s="285">
        <v>567.15182300514061</v>
      </c>
      <c r="E820" s="285">
        <v>603.15713361471126</v>
      </c>
      <c r="F820" s="285">
        <v>4477.709071494638</v>
      </c>
      <c r="G820" s="285">
        <v>10017.067492527118</v>
      </c>
      <c r="H820" s="285">
        <v>13222.242119581098</v>
      </c>
      <c r="I820" s="285">
        <v>10916.321220684633</v>
      </c>
      <c r="J820" s="285">
        <f t="shared" si="0"/>
        <v>14283.853685781029</v>
      </c>
    </row>
    <row r="821" spans="2:10">
      <c r="B821" s="52" t="s">
        <v>117</v>
      </c>
      <c r="C821" s="285">
        <v>109403.50962966612</v>
      </c>
      <c r="D821" s="285">
        <v>127489.59058499367</v>
      </c>
      <c r="E821" s="285">
        <v>122877.97470073416</v>
      </c>
      <c r="F821" s="285">
        <v>401269.99576840148</v>
      </c>
      <c r="G821" s="285">
        <v>495099.89758834068</v>
      </c>
      <c r="H821" s="285">
        <v>503564.08471581322</v>
      </c>
      <c r="I821" s="285">
        <v>275155.29496285506</v>
      </c>
      <c r="J821" s="285">
        <f t="shared" si="0"/>
        <v>667654.05275094952</v>
      </c>
    </row>
    <row r="822" spans="2:10">
      <c r="B822" s="52"/>
      <c r="C822"/>
      <c r="D822"/>
      <c r="E822"/>
      <c r="F822"/>
      <c r="G822"/>
      <c r="H822"/>
      <c r="I822"/>
      <c r="J822"/>
    </row>
    <row r="823" spans="2:10">
      <c r="B823" s="83" t="s">
        <v>187</v>
      </c>
      <c r="C823" s="285">
        <v>0</v>
      </c>
      <c r="D823" s="285">
        <v>295927.44229676301</v>
      </c>
      <c r="E823" s="285">
        <v>1052425.3777434775</v>
      </c>
      <c r="F823" s="285">
        <v>1753585.411668217</v>
      </c>
      <c r="G823" s="285">
        <v>1952488.9134186076</v>
      </c>
      <c r="H823" s="285">
        <v>1482422.8455662357</v>
      </c>
      <c r="I823" s="285">
        <v>1781455.414881282</v>
      </c>
      <c r="J823" s="285">
        <f t="shared" ref="J823" si="1">J824+J828+J829</f>
        <v>1362250.6820636257</v>
      </c>
    </row>
    <row r="824" spans="2:10">
      <c r="B824" s="81" t="s">
        <v>121</v>
      </c>
      <c r="C824" s="285">
        <v>0</v>
      </c>
      <c r="D824" s="285">
        <v>295927.44229676301</v>
      </c>
      <c r="E824" s="285">
        <v>1052425.3777434775</v>
      </c>
      <c r="F824" s="285">
        <v>1750674.3207931032</v>
      </c>
      <c r="G824" s="285">
        <v>1943547.1683053405</v>
      </c>
      <c r="H824" s="285">
        <v>1471068.3683071733</v>
      </c>
      <c r="I824" s="285">
        <v>1777047.6601514933</v>
      </c>
      <c r="J824" s="285">
        <f t="shared" ref="J824" si="2">+J825+J826+J827</f>
        <v>1360683.0780978359</v>
      </c>
    </row>
    <row r="825" spans="2:10">
      <c r="B825" s="82" t="s">
        <v>120</v>
      </c>
      <c r="C825" s="286">
        <v>0</v>
      </c>
      <c r="D825" s="286">
        <v>0</v>
      </c>
      <c r="E825" s="286">
        <v>0</v>
      </c>
      <c r="F825" s="286">
        <v>0</v>
      </c>
      <c r="G825" s="286">
        <v>0</v>
      </c>
      <c r="H825" s="286">
        <v>0</v>
      </c>
      <c r="I825" s="286">
        <v>0</v>
      </c>
      <c r="J825" s="286">
        <f>0/J11</f>
        <v>0</v>
      </c>
    </row>
    <row r="826" spans="2:10">
      <c r="B826" s="82" t="s">
        <v>119</v>
      </c>
      <c r="C826" s="286">
        <v>0</v>
      </c>
      <c r="D826" s="286">
        <v>0</v>
      </c>
      <c r="E826" s="286">
        <v>0</v>
      </c>
      <c r="F826" s="286">
        <v>0</v>
      </c>
      <c r="G826" s="286">
        <v>0</v>
      </c>
      <c r="H826" s="286">
        <v>0</v>
      </c>
      <c r="I826" s="286">
        <v>0</v>
      </c>
      <c r="J826" s="286">
        <f>0/J11</f>
        <v>0</v>
      </c>
    </row>
    <row r="827" spans="2:10">
      <c r="B827" s="82" t="s">
        <v>172</v>
      </c>
      <c r="C827" s="286">
        <v>0</v>
      </c>
      <c r="D827" s="286">
        <v>295927.44229676301</v>
      </c>
      <c r="E827" s="286">
        <v>1052425.3777434775</v>
      </c>
      <c r="F827" s="286">
        <v>1750674.3207931032</v>
      </c>
      <c r="G827" s="286">
        <v>1943547.1683053405</v>
      </c>
      <c r="H827" s="286">
        <v>1471068.3683071733</v>
      </c>
      <c r="I827" s="286">
        <v>1777047.6601514933</v>
      </c>
      <c r="J827" s="286">
        <f>5417097043.19998/J11</f>
        <v>1360683.0780978359</v>
      </c>
    </row>
    <row r="828" spans="2:10">
      <c r="B828" s="81" t="s">
        <v>118</v>
      </c>
      <c r="C828" s="285">
        <v>0</v>
      </c>
      <c r="D828" s="285">
        <v>0</v>
      </c>
      <c r="E828" s="285">
        <v>0</v>
      </c>
      <c r="F828" s="285">
        <v>2911.0908751139409</v>
      </c>
      <c r="G828" s="285">
        <v>8941.745113267174</v>
      </c>
      <c r="H828" s="285">
        <v>11354.477259062476</v>
      </c>
      <c r="I828" s="285">
        <v>4407.7547297887832</v>
      </c>
      <c r="J828" s="285">
        <f>6240882.204444/J11</f>
        <v>1567.6039657898702</v>
      </c>
    </row>
    <row r="829" spans="2:10">
      <c r="B829" s="81" t="s">
        <v>117</v>
      </c>
      <c r="C829" s="285">
        <v>0</v>
      </c>
      <c r="D829" s="285">
        <v>0</v>
      </c>
      <c r="E829" s="285">
        <v>0</v>
      </c>
      <c r="F829" s="285">
        <v>0</v>
      </c>
      <c r="G829" s="285">
        <v>0</v>
      </c>
      <c r="H829" s="285">
        <v>0</v>
      </c>
      <c r="I829" s="285">
        <v>0</v>
      </c>
      <c r="J829" s="285">
        <f>0/J11</f>
        <v>0</v>
      </c>
    </row>
    <row r="830" spans="2:10">
      <c r="B830" s="81"/>
      <c r="C830"/>
      <c r="D830"/>
      <c r="E830"/>
      <c r="F830"/>
      <c r="G830"/>
      <c r="H830"/>
      <c r="I830"/>
      <c r="J830"/>
    </row>
    <row r="831" spans="2:10">
      <c r="B831" s="83" t="s">
        <v>173</v>
      </c>
      <c r="C831" s="285">
        <v>174023.85660869343</v>
      </c>
      <c r="D831" s="285">
        <v>160345.38121071801</v>
      </c>
      <c r="E831" s="285">
        <v>143725.81704439383</v>
      </c>
      <c r="F831" s="285">
        <v>503423.44883408514</v>
      </c>
      <c r="G831" s="285">
        <v>559919.42384482198</v>
      </c>
      <c r="H831" s="285">
        <v>549209.30391151435</v>
      </c>
      <c r="I831" s="285">
        <v>303031.71245447925</v>
      </c>
      <c r="J831" s="285">
        <f t="shared" ref="J831" si="3">J832+J836+J837</f>
        <v>700421.89856604859</v>
      </c>
    </row>
    <row r="832" spans="2:10">
      <c r="B832" s="81" t="s">
        <v>121</v>
      </c>
      <c r="C832" s="285">
        <v>62927.108558090411</v>
      </c>
      <c r="D832" s="285">
        <v>32288.63880271919</v>
      </c>
      <c r="E832" s="285">
        <v>20244.685210044954</v>
      </c>
      <c r="F832" s="285">
        <v>100586.83486930295</v>
      </c>
      <c r="G832" s="285">
        <v>63744.203877221327</v>
      </c>
      <c r="H832" s="285">
        <v>43777.454335182505</v>
      </c>
      <c r="I832" s="285">
        <v>21367.851000728333</v>
      </c>
      <c r="J832" s="285">
        <f t="shared" ref="J832" si="4">+J833+J834+J835</f>
        <v>20051.596095107961</v>
      </c>
    </row>
    <row r="833" spans="2:10">
      <c r="B833" s="82" t="s">
        <v>120</v>
      </c>
      <c r="C833" s="286">
        <v>0</v>
      </c>
      <c r="D833" s="286">
        <v>0</v>
      </c>
      <c r="E833" s="286">
        <v>0</v>
      </c>
      <c r="F833" s="286">
        <v>0</v>
      </c>
      <c r="G833" s="286">
        <v>0</v>
      </c>
      <c r="H833" s="286">
        <v>0</v>
      </c>
      <c r="I833" s="286">
        <v>0</v>
      </c>
      <c r="J833" s="286">
        <v>0</v>
      </c>
    </row>
    <row r="834" spans="2:10">
      <c r="B834" s="82" t="s">
        <v>119</v>
      </c>
      <c r="C834" s="286">
        <v>0</v>
      </c>
      <c r="D834" s="286">
        <v>0</v>
      </c>
      <c r="E834" s="286">
        <v>0</v>
      </c>
      <c r="F834" s="286">
        <v>0</v>
      </c>
      <c r="G834" s="286">
        <v>0</v>
      </c>
      <c r="H834" s="286">
        <v>0</v>
      </c>
      <c r="I834" s="286">
        <v>0</v>
      </c>
      <c r="J834" s="286">
        <v>0</v>
      </c>
    </row>
    <row r="835" spans="2:10">
      <c r="B835" s="82" t="s">
        <v>197</v>
      </c>
      <c r="C835" s="286">
        <v>62927.108558090411</v>
      </c>
      <c r="D835" s="286">
        <v>32288.63880271919</v>
      </c>
      <c r="E835" s="286">
        <v>20244.685210044954</v>
      </c>
      <c r="F835" s="286">
        <v>100586.83486930295</v>
      </c>
      <c r="G835" s="286">
        <v>63744.203877221327</v>
      </c>
      <c r="H835" s="286">
        <v>43777.454335182505</v>
      </c>
      <c r="I835" s="286">
        <v>21367.851000728333</v>
      </c>
      <c r="J835" s="286">
        <f>79828612.31/J11</f>
        <v>20051.596095107961</v>
      </c>
    </row>
    <row r="836" spans="2:10">
      <c r="B836" s="81" t="s">
        <v>118</v>
      </c>
      <c r="C836" s="285">
        <v>1693.2384209368809</v>
      </c>
      <c r="D836" s="285">
        <v>567.15182300514061</v>
      </c>
      <c r="E836" s="285">
        <v>603.15713361471126</v>
      </c>
      <c r="F836" s="285">
        <v>1566.6181963806971</v>
      </c>
      <c r="G836" s="285">
        <v>1075.3223792599431</v>
      </c>
      <c r="H836" s="285">
        <v>1867.764860518623</v>
      </c>
      <c r="I836" s="285">
        <v>6508.5664908958488</v>
      </c>
      <c r="J836" s="285">
        <f>50625424.73524/J11</f>
        <v>12716.249719991158</v>
      </c>
    </row>
    <row r="837" spans="2:10">
      <c r="B837" s="81" t="s">
        <v>597</v>
      </c>
      <c r="C837" s="285">
        <v>109403.50962966612</v>
      </c>
      <c r="D837" s="285">
        <v>127489.59058499367</v>
      </c>
      <c r="E837" s="285">
        <v>122877.97470073416</v>
      </c>
      <c r="F837" s="285">
        <v>401269.99576840148</v>
      </c>
      <c r="G837" s="285">
        <v>495099.89758834068</v>
      </c>
      <c r="H837" s="285">
        <v>503564.08471581322</v>
      </c>
      <c r="I837" s="285">
        <v>275155.29496285506</v>
      </c>
      <c r="J837" s="285">
        <f>2658037608.64997/J11</f>
        <v>667654.05275094952</v>
      </c>
    </row>
    <row r="838" spans="2:10">
      <c r="B838" s="81"/>
      <c r="C838"/>
      <c r="D838"/>
      <c r="E838"/>
      <c r="F838"/>
      <c r="G838"/>
      <c r="H838"/>
      <c r="I838"/>
      <c r="J838"/>
    </row>
    <row r="839" spans="2:10">
      <c r="B839" s="71" t="s">
        <v>171</v>
      </c>
      <c r="C839" s="285">
        <v>48005.364083350571</v>
      </c>
      <c r="D839" s="285">
        <v>15502.008229754943</v>
      </c>
      <c r="E839" s="285">
        <v>13357.904423619742</v>
      </c>
      <c r="F839" s="285">
        <v>22079.948172050939</v>
      </c>
      <c r="G839" s="285">
        <v>14296.142382952536</v>
      </c>
      <c r="H839" s="285">
        <v>7643.9463419322947</v>
      </c>
      <c r="I839" s="285">
        <v>5040.3479626511289</v>
      </c>
      <c r="J839" s="285">
        <f t="shared" ref="J839" si="5">SUM(J840:J845)</f>
        <v>1448.0976354881493</v>
      </c>
    </row>
    <row r="840" spans="2:10">
      <c r="B840" s="52" t="s">
        <v>169</v>
      </c>
      <c r="C840" s="285">
        <v>48005.296524502395</v>
      </c>
      <c r="D840" s="285">
        <v>15502.008229754943</v>
      </c>
      <c r="E840" s="285">
        <v>13356.498329728631</v>
      </c>
      <c r="F840" s="285">
        <v>22079.150625134051</v>
      </c>
      <c r="G840" s="285">
        <v>14295.295597815217</v>
      </c>
      <c r="H840" s="285">
        <v>7635.0535006133396</v>
      </c>
      <c r="I840" s="285">
        <v>5036.956312250546</v>
      </c>
      <c r="J840" s="285">
        <f>5764230.5425/J11</f>
        <v>1447.8771369399874</v>
      </c>
    </row>
    <row r="841" spans="2:10">
      <c r="B841" s="52" t="s">
        <v>168</v>
      </c>
      <c r="C841" s="285">
        <v>0</v>
      </c>
      <c r="D841" s="285">
        <v>0</v>
      </c>
      <c r="E841" s="285">
        <v>0</v>
      </c>
      <c r="F841" s="285">
        <v>0</v>
      </c>
      <c r="G841" s="285">
        <v>0</v>
      </c>
      <c r="H841" s="285">
        <v>2.2354858199527638E-3</v>
      </c>
      <c r="I841" s="285">
        <v>0</v>
      </c>
      <c r="J841" s="285">
        <v>0</v>
      </c>
    </row>
    <row r="842" spans="2:10">
      <c r="B842" s="52" t="s">
        <v>167</v>
      </c>
      <c r="C842" s="285">
        <v>0</v>
      </c>
      <c r="D842" s="285">
        <v>0</v>
      </c>
      <c r="E842" s="285">
        <v>0</v>
      </c>
      <c r="F842" s="285">
        <v>0</v>
      </c>
      <c r="G842" s="285">
        <v>0</v>
      </c>
      <c r="H842" s="285">
        <v>0</v>
      </c>
      <c r="I842" s="285">
        <v>0</v>
      </c>
      <c r="J842" s="285">
        <v>0</v>
      </c>
    </row>
    <row r="843" spans="2:10">
      <c r="B843" s="52" t="s">
        <v>166</v>
      </c>
      <c r="C843" s="285">
        <v>6.7558848173439059E-2</v>
      </c>
      <c r="D843" s="285">
        <v>0</v>
      </c>
      <c r="E843" s="285">
        <v>1.4060938911124365</v>
      </c>
      <c r="F843" s="285">
        <v>0.7975469168900805</v>
      </c>
      <c r="G843" s="285">
        <v>0.84678513731825533</v>
      </c>
      <c r="H843" s="285">
        <v>8.8906058331349893</v>
      </c>
      <c r="I843" s="285">
        <v>3.3916504005826655</v>
      </c>
      <c r="J843" s="285">
        <f>877.84/J11</f>
        <v>0.22049854816184231</v>
      </c>
    </row>
    <row r="844" spans="2:10">
      <c r="B844" s="52" t="s">
        <v>165</v>
      </c>
      <c r="C844" s="285">
        <v>0</v>
      </c>
      <c r="D844" s="285">
        <v>0</v>
      </c>
      <c r="E844" s="285">
        <v>0</v>
      </c>
      <c r="F844" s="285">
        <v>0</v>
      </c>
      <c r="G844" s="285">
        <v>0</v>
      </c>
      <c r="H844" s="285">
        <v>0</v>
      </c>
      <c r="I844" s="285">
        <v>0</v>
      </c>
      <c r="J844" s="285">
        <v>0</v>
      </c>
    </row>
    <row r="845" spans="2:10">
      <c r="B845" s="52" t="s">
        <v>164</v>
      </c>
      <c r="C845" s="285">
        <v>0</v>
      </c>
      <c r="D845" s="285">
        <v>0</v>
      </c>
      <c r="E845" s="285">
        <v>0</v>
      </c>
      <c r="F845" s="285">
        <v>0</v>
      </c>
      <c r="G845" s="285">
        <v>0</v>
      </c>
      <c r="H845" s="285">
        <v>0</v>
      </c>
      <c r="I845" s="285">
        <v>0</v>
      </c>
      <c r="J845" s="285">
        <v>0</v>
      </c>
    </row>
    <row r="846" spans="2:10">
      <c r="B846" s="52"/>
      <c r="C846"/>
      <c r="D846"/>
      <c r="E846"/>
      <c r="F846"/>
      <c r="G846"/>
      <c r="H846"/>
      <c r="I846"/>
      <c r="J846"/>
    </row>
    <row r="847" spans="2:10">
      <c r="B847" s="80" t="s">
        <v>170</v>
      </c>
      <c r="C847" s="285">
        <v>126018.49252534255</v>
      </c>
      <c r="D847" s="285">
        <v>145734.16980237249</v>
      </c>
      <c r="E847" s="285">
        <v>191061.58522013656</v>
      </c>
      <c r="F847" s="285">
        <v>481343.5006620342</v>
      </c>
      <c r="G847" s="285">
        <v>545590.58311276557</v>
      </c>
      <c r="H847" s="285">
        <v>541370.98076541745</v>
      </c>
      <c r="I847" s="285">
        <v>588462.4149756853</v>
      </c>
      <c r="J847" s="285">
        <f t="shared" ref="J847" si="6">SUM(J848:J853)</f>
        <v>283376.06818880676</v>
      </c>
    </row>
    <row r="848" spans="2:10">
      <c r="B848" s="52" t="s">
        <v>169</v>
      </c>
      <c r="C848" s="285">
        <v>126017.81693686081</v>
      </c>
      <c r="D848" s="285">
        <v>61284.856584070978</v>
      </c>
      <c r="E848" s="285">
        <v>75960.932650572693</v>
      </c>
      <c r="F848" s="285">
        <v>433899.48191739613</v>
      </c>
      <c r="G848" s="285">
        <v>504051.25233839836</v>
      </c>
      <c r="H848" s="285">
        <v>497686.95625624171</v>
      </c>
      <c r="I848" s="285">
        <v>543738.27945929789</v>
      </c>
      <c r="J848" s="285">
        <f>1015181565.08855/J11</f>
        <v>254996.42443120849</v>
      </c>
    </row>
    <row r="849" spans="2:10">
      <c r="B849" s="52" t="s">
        <v>168</v>
      </c>
      <c r="C849" s="285">
        <v>0</v>
      </c>
      <c r="D849" s="285">
        <v>0</v>
      </c>
      <c r="E849" s="285">
        <v>0</v>
      </c>
      <c r="F849" s="285">
        <v>0</v>
      </c>
      <c r="G849" s="285">
        <v>0</v>
      </c>
      <c r="H849" s="285">
        <v>3.2960557071104684</v>
      </c>
      <c r="I849" s="285">
        <v>109.12817130371448</v>
      </c>
      <c r="J849" s="285">
        <f>446244.613/J11</f>
        <v>112.08909287745281</v>
      </c>
    </row>
    <row r="850" spans="2:10">
      <c r="B850" s="52" t="s">
        <v>167</v>
      </c>
      <c r="C850" s="285">
        <v>0</v>
      </c>
      <c r="D850" s="285">
        <v>84448.649322471407</v>
      </c>
      <c r="E850" s="285">
        <v>115080.88340160029</v>
      </c>
      <c r="F850" s="285">
        <v>47431.513530160861</v>
      </c>
      <c r="G850" s="285">
        <v>41527.278794984231</v>
      </c>
      <c r="H850" s="285">
        <v>43676.93148415997</v>
      </c>
      <c r="I850" s="285">
        <v>44610.812152075749</v>
      </c>
      <c r="J850" s="285">
        <f>112527490.809/J11</f>
        <v>28265.000856283095</v>
      </c>
    </row>
    <row r="851" spans="2:10">
      <c r="B851" s="52" t="s">
        <v>166</v>
      </c>
      <c r="C851" s="285">
        <v>0.67558848173439057</v>
      </c>
      <c r="D851" s="285">
        <v>0.66389583009204733</v>
      </c>
      <c r="E851" s="285">
        <v>19.769167963581953</v>
      </c>
      <c r="F851" s="285">
        <v>12.505214477211796</v>
      </c>
      <c r="G851" s="285">
        <v>12.051979383029463</v>
      </c>
      <c r="H851" s="285">
        <v>3.7969693086044543</v>
      </c>
      <c r="I851" s="285">
        <v>4.1951930080116533</v>
      </c>
      <c r="J851" s="285">
        <f>10167.12/J11</f>
        <v>2.5538084377417638</v>
      </c>
    </row>
    <row r="852" spans="2:10">
      <c r="B852" s="52" t="s">
        <v>165</v>
      </c>
      <c r="C852" s="285">
        <v>0</v>
      </c>
      <c r="D852" s="285">
        <v>0</v>
      </c>
      <c r="E852" s="285">
        <v>0</v>
      </c>
      <c r="F852" s="285">
        <v>0</v>
      </c>
      <c r="G852" s="285">
        <v>0</v>
      </c>
      <c r="H852" s="285">
        <v>0</v>
      </c>
      <c r="I852" s="285">
        <v>0</v>
      </c>
      <c r="J852" s="285">
        <v>0</v>
      </c>
    </row>
    <row r="853" spans="2:10">
      <c r="B853" s="52" t="s">
        <v>164</v>
      </c>
      <c r="C853" s="285">
        <v>0</v>
      </c>
      <c r="D853" s="285">
        <v>0</v>
      </c>
      <c r="E853" s="285">
        <v>0</v>
      </c>
      <c r="F853" s="285">
        <v>0</v>
      </c>
      <c r="G853" s="285">
        <v>0</v>
      </c>
      <c r="H853" s="285">
        <v>0</v>
      </c>
      <c r="I853" s="285">
        <v>0</v>
      </c>
      <c r="J853" s="285">
        <v>0</v>
      </c>
    </row>
    <row r="854" spans="2:10">
      <c r="B854" s="52"/>
      <c r="C854" s="55"/>
      <c r="D854" s="55"/>
      <c r="E854" s="55"/>
      <c r="F854" s="55"/>
      <c r="G854" s="55"/>
      <c r="H854" s="55"/>
      <c r="I854" s="55"/>
      <c r="J854" s="55"/>
    </row>
    <row r="855" spans="2:10" ht="26">
      <c r="B855" s="59" t="s">
        <v>595</v>
      </c>
      <c r="C855" s="89"/>
      <c r="D855" s="89"/>
      <c r="E855" s="89"/>
      <c r="F855" s="89"/>
      <c r="G855" s="89"/>
      <c r="H855" s="89"/>
      <c r="I855" s="89"/>
      <c r="J855" s="89"/>
    </row>
    <row r="856" spans="2:10">
      <c r="B856" s="71" t="s">
        <v>186</v>
      </c>
      <c r="C856" s="55"/>
      <c r="D856" s="55"/>
      <c r="E856" s="55"/>
      <c r="F856" s="55"/>
      <c r="G856" s="55"/>
      <c r="H856" s="55"/>
      <c r="I856" s="55"/>
      <c r="J856" s="55"/>
    </row>
    <row r="857" spans="2:10">
      <c r="B857" s="71"/>
      <c r="C857" s="89"/>
      <c r="D857" s="89"/>
      <c r="E857" s="89"/>
      <c r="F857" s="89"/>
      <c r="G857" s="89"/>
      <c r="H857" s="89"/>
      <c r="I857" s="89"/>
      <c r="J857" s="89"/>
    </row>
    <row r="858" spans="2:10">
      <c r="B858" s="71" t="s">
        <v>190</v>
      </c>
      <c r="C858" s="55">
        <v>279478.77897537407</v>
      </c>
      <c r="D858" s="55">
        <v>272462.0591267955</v>
      </c>
      <c r="E858" s="55">
        <v>312698.14175580168</v>
      </c>
      <c r="F858" s="55">
        <v>271242.53596055775</v>
      </c>
      <c r="G858" s="55">
        <v>348901.80052235309</v>
      </c>
      <c r="H858" s="55">
        <v>359744.91193916631</v>
      </c>
      <c r="I858" s="55">
        <v>353592.35632876912</v>
      </c>
      <c r="J858" s="55">
        <v>0</v>
      </c>
    </row>
    <row r="859" spans="2:10">
      <c r="B859" s="52" t="s">
        <v>121</v>
      </c>
      <c r="C859" s="79">
        <v>0</v>
      </c>
      <c r="D859" s="79">
        <v>0</v>
      </c>
      <c r="E859" s="79">
        <v>0</v>
      </c>
      <c r="F859" s="79">
        <v>0</v>
      </c>
      <c r="G859" s="79">
        <v>0</v>
      </c>
      <c r="H859" s="79">
        <v>0</v>
      </c>
      <c r="I859" s="79">
        <v>0</v>
      </c>
      <c r="J859" s="79">
        <v>0</v>
      </c>
    </row>
    <row r="860" spans="2:10">
      <c r="B860" s="53" t="s">
        <v>120</v>
      </c>
      <c r="C860" s="79">
        <v>0</v>
      </c>
      <c r="D860" s="79">
        <v>0</v>
      </c>
      <c r="E860" s="79">
        <v>0</v>
      </c>
      <c r="F860" s="79">
        <v>0</v>
      </c>
      <c r="G860" s="79">
        <v>0</v>
      </c>
      <c r="H860" s="79">
        <v>0</v>
      </c>
      <c r="I860" s="79">
        <v>0</v>
      </c>
      <c r="J860" s="79">
        <v>0</v>
      </c>
    </row>
    <row r="861" spans="2:10">
      <c r="B861" s="53" t="s">
        <v>119</v>
      </c>
      <c r="C861" s="79">
        <v>0</v>
      </c>
      <c r="D861" s="79">
        <v>0</v>
      </c>
      <c r="E861" s="79">
        <v>0</v>
      </c>
      <c r="F861" s="79">
        <v>0</v>
      </c>
      <c r="G861" s="79">
        <v>0</v>
      </c>
      <c r="H861" s="79">
        <v>0</v>
      </c>
      <c r="I861" s="79">
        <v>0</v>
      </c>
      <c r="J861" s="79">
        <v>0</v>
      </c>
    </row>
    <row r="862" spans="2:10">
      <c r="B862" s="53" t="s">
        <v>172</v>
      </c>
      <c r="C862" s="79">
        <v>0</v>
      </c>
      <c r="D862" s="79">
        <v>0</v>
      </c>
      <c r="E862" s="79">
        <v>0</v>
      </c>
      <c r="F862" s="79">
        <v>0</v>
      </c>
      <c r="G862" s="79">
        <v>0</v>
      </c>
      <c r="H862" s="79">
        <v>0</v>
      </c>
      <c r="I862" s="79">
        <v>0</v>
      </c>
      <c r="J862" s="79">
        <v>0</v>
      </c>
    </row>
    <row r="863" spans="2:10">
      <c r="B863" s="52" t="s">
        <v>118</v>
      </c>
      <c r="C863" s="79">
        <v>0</v>
      </c>
      <c r="D863" s="79">
        <v>0</v>
      </c>
      <c r="E863" s="79">
        <v>0</v>
      </c>
      <c r="F863" s="79">
        <v>0</v>
      </c>
      <c r="G863" s="79">
        <v>0</v>
      </c>
      <c r="H863" s="79">
        <v>0</v>
      </c>
      <c r="I863" s="79">
        <v>0</v>
      </c>
      <c r="J863" s="79">
        <v>0</v>
      </c>
    </row>
    <row r="864" spans="2:10" ht="15" thickBot="1">
      <c r="B864" s="50" t="s">
        <v>596</v>
      </c>
      <c r="C864" s="101">
        <v>279478.77897537407</v>
      </c>
      <c r="D864" s="101">
        <v>272462.0591267955</v>
      </c>
      <c r="E864" s="101">
        <v>312698.14175580168</v>
      </c>
      <c r="F864" s="101">
        <v>271242.53596055775</v>
      </c>
      <c r="G864" s="101">
        <v>348901.80052235309</v>
      </c>
      <c r="H864" s="101">
        <v>359744.91193916631</v>
      </c>
      <c r="I864" s="101">
        <v>353592.35632876912</v>
      </c>
      <c r="J864" s="101">
        <v>0</v>
      </c>
    </row>
    <row r="865" spans="2:10" ht="15" thickTop="1">
      <c r="B865" s="2031" t="s">
        <v>598</v>
      </c>
      <c r="C865" s="2031"/>
      <c r="D865" s="2031"/>
      <c r="E865" s="2031"/>
      <c r="F865" s="2031"/>
      <c r="G865" s="2031"/>
      <c r="H865" s="2031"/>
      <c r="I865" s="2031"/>
      <c r="J865" s="2031"/>
    </row>
    <row r="866" spans="2:10">
      <c r="B866" s="64"/>
    </row>
    <row r="867" spans="2:10">
      <c r="B867" s="14" t="s">
        <v>161</v>
      </c>
      <c r="C867" s="14"/>
      <c r="D867" s="14"/>
      <c r="E867" s="14"/>
      <c r="F867" s="14"/>
      <c r="G867" s="14"/>
      <c r="H867" s="14"/>
      <c r="I867" s="14"/>
      <c r="J867" s="14"/>
    </row>
    <row r="868" spans="2:10">
      <c r="B868" s="12" t="s">
        <v>160</v>
      </c>
    </row>
    <row r="869" spans="2:10">
      <c r="B869" s="77" t="s">
        <v>159</v>
      </c>
    </row>
    <row r="870" spans="2:10">
      <c r="B870" s="76"/>
    </row>
    <row r="871" spans="2:10">
      <c r="B871" s="61"/>
      <c r="C871" s="60">
        <v>2014</v>
      </c>
      <c r="D871" s="60">
        <v>2015</v>
      </c>
      <c r="E871" s="60">
        <v>2016</v>
      </c>
      <c r="F871" s="60">
        <v>2017</v>
      </c>
      <c r="G871" s="60">
        <v>2018</v>
      </c>
      <c r="H871" s="60">
        <v>2019</v>
      </c>
      <c r="I871" s="60">
        <v>2020</v>
      </c>
      <c r="J871" s="60">
        <v>2021</v>
      </c>
    </row>
    <row r="872" spans="2:10">
      <c r="B872" s="59" t="s">
        <v>599</v>
      </c>
    </row>
    <row r="873" spans="2:10">
      <c r="B873" s="71" t="s">
        <v>516</v>
      </c>
      <c r="C873" s="74">
        <v>132</v>
      </c>
      <c r="D873" s="74">
        <v>130</v>
      </c>
      <c r="E873" s="74">
        <v>125</v>
      </c>
      <c r="F873" s="74">
        <v>133</v>
      </c>
      <c r="G873" s="74">
        <v>130</v>
      </c>
      <c r="H873" s="74">
        <v>126</v>
      </c>
      <c r="I873" s="74">
        <v>120</v>
      </c>
      <c r="J873" s="74">
        <v>121</v>
      </c>
    </row>
    <row r="874" spans="2:10">
      <c r="B874" s="52" t="s">
        <v>150</v>
      </c>
      <c r="C874" s="74">
        <v>1</v>
      </c>
      <c r="D874" s="74">
        <v>1</v>
      </c>
      <c r="E874" s="74">
        <v>1</v>
      </c>
      <c r="F874" s="74">
        <v>1</v>
      </c>
      <c r="G874" s="74">
        <v>1</v>
      </c>
      <c r="H874" s="74">
        <v>1</v>
      </c>
      <c r="I874" s="74">
        <v>1</v>
      </c>
      <c r="J874" s="74">
        <v>1</v>
      </c>
    </row>
    <row r="875" spans="2:10">
      <c r="B875" s="52" t="s">
        <v>149</v>
      </c>
      <c r="C875" s="74">
        <v>1</v>
      </c>
      <c r="D875" s="74">
        <v>1</v>
      </c>
      <c r="E875" s="74">
        <v>1</v>
      </c>
      <c r="F875" s="74">
        <v>1</v>
      </c>
      <c r="G875" s="74">
        <v>1</v>
      </c>
      <c r="H875" s="74">
        <v>1</v>
      </c>
      <c r="I875" s="74">
        <v>1</v>
      </c>
      <c r="J875" s="74">
        <v>1</v>
      </c>
    </row>
    <row r="876" spans="2:10">
      <c r="B876" s="52" t="s">
        <v>600</v>
      </c>
      <c r="C876" s="74">
        <v>1</v>
      </c>
      <c r="D876" s="74">
        <v>1</v>
      </c>
      <c r="E876" s="74">
        <v>1</v>
      </c>
      <c r="F876" s="74">
        <v>1</v>
      </c>
      <c r="G876" s="74">
        <v>1</v>
      </c>
      <c r="H876" s="74">
        <v>1</v>
      </c>
      <c r="I876" s="74">
        <v>1</v>
      </c>
      <c r="J876" s="74">
        <v>1</v>
      </c>
    </row>
    <row r="877" spans="2:10">
      <c r="B877" s="52" t="s">
        <v>147</v>
      </c>
      <c r="C877" s="74">
        <v>22</v>
      </c>
      <c r="D877" s="74">
        <v>25</v>
      </c>
      <c r="E877" s="74">
        <v>25</v>
      </c>
      <c r="F877" s="74">
        <v>25</v>
      </c>
      <c r="G877" s="74">
        <v>25</v>
      </c>
      <c r="H877" s="74">
        <v>26</v>
      </c>
      <c r="I877" s="74">
        <v>25</v>
      </c>
      <c r="J877" s="74">
        <v>25</v>
      </c>
    </row>
    <row r="878" spans="2:10">
      <c r="B878" s="52" t="s">
        <v>146</v>
      </c>
      <c r="C878" s="74">
        <v>107</v>
      </c>
      <c r="D878" s="74">
        <v>102</v>
      </c>
      <c r="E878" s="74">
        <v>97</v>
      </c>
      <c r="F878" s="74">
        <v>105</v>
      </c>
      <c r="G878" s="74">
        <v>102</v>
      </c>
      <c r="H878" s="74">
        <v>97</v>
      </c>
      <c r="I878" s="74">
        <v>92</v>
      </c>
      <c r="J878" s="74">
        <v>93</v>
      </c>
    </row>
    <row r="879" spans="2:10">
      <c r="B879" s="52"/>
      <c r="C879" s="74"/>
      <c r="D879" s="74"/>
      <c r="E879" s="74"/>
      <c r="F879" s="74"/>
      <c r="G879" s="74"/>
      <c r="H879" s="74"/>
      <c r="I879" s="74"/>
      <c r="J879" s="74"/>
    </row>
    <row r="880" spans="2:10">
      <c r="B880" s="71" t="s">
        <v>152</v>
      </c>
      <c r="C880" s="74">
        <v>132</v>
      </c>
      <c r="D880" s="74">
        <v>130</v>
      </c>
      <c r="E880" s="74">
        <v>125</v>
      </c>
      <c r="F880" s="74">
        <v>133</v>
      </c>
      <c r="G880" s="74">
        <v>130</v>
      </c>
      <c r="H880" s="74">
        <v>126</v>
      </c>
      <c r="I880" s="74">
        <v>120</v>
      </c>
      <c r="J880" s="74">
        <v>121</v>
      </c>
    </row>
    <row r="881" spans="2:10">
      <c r="B881" s="52" t="s">
        <v>150</v>
      </c>
      <c r="C881" s="74">
        <v>1</v>
      </c>
      <c r="D881" s="74">
        <v>1</v>
      </c>
      <c r="E881" s="74">
        <v>1</v>
      </c>
      <c r="F881" s="74">
        <v>1</v>
      </c>
      <c r="G881" s="74">
        <v>1</v>
      </c>
      <c r="H881" s="74">
        <v>1</v>
      </c>
      <c r="I881" s="74">
        <v>1</v>
      </c>
      <c r="J881" s="74">
        <v>1</v>
      </c>
    </row>
    <row r="882" spans="2:10">
      <c r="B882" s="52" t="s">
        <v>149</v>
      </c>
      <c r="C882" s="74">
        <v>1</v>
      </c>
      <c r="D882" s="74">
        <v>1</v>
      </c>
      <c r="E882" s="74">
        <v>1</v>
      </c>
      <c r="F882" s="74">
        <v>1</v>
      </c>
      <c r="G882" s="74">
        <v>1</v>
      </c>
      <c r="H882" s="74">
        <v>1</v>
      </c>
      <c r="I882" s="74">
        <v>1</v>
      </c>
      <c r="J882" s="74">
        <v>1</v>
      </c>
    </row>
    <row r="883" spans="2:10">
      <c r="B883" s="52" t="s">
        <v>600</v>
      </c>
      <c r="C883" s="74">
        <v>1</v>
      </c>
      <c r="D883" s="74">
        <v>1</v>
      </c>
      <c r="E883" s="74">
        <v>1</v>
      </c>
      <c r="F883" s="74">
        <v>1</v>
      </c>
      <c r="G883" s="74">
        <v>1</v>
      </c>
      <c r="H883" s="74">
        <v>1</v>
      </c>
      <c r="I883" s="74">
        <v>1</v>
      </c>
      <c r="J883" s="74">
        <v>1</v>
      </c>
    </row>
    <row r="884" spans="2:10">
      <c r="B884" s="52" t="s">
        <v>147</v>
      </c>
      <c r="C884" s="74">
        <v>22</v>
      </c>
      <c r="D884" s="74">
        <v>25</v>
      </c>
      <c r="E884" s="74">
        <v>25</v>
      </c>
      <c r="F884" s="74">
        <v>25</v>
      </c>
      <c r="G884" s="74">
        <v>25</v>
      </c>
      <c r="H884" s="74">
        <v>26</v>
      </c>
      <c r="I884" s="74">
        <v>25</v>
      </c>
      <c r="J884" s="74">
        <v>25</v>
      </c>
    </row>
    <row r="885" spans="2:10">
      <c r="B885" s="52" t="s">
        <v>146</v>
      </c>
      <c r="C885" s="74">
        <v>107</v>
      </c>
      <c r="D885" s="74">
        <v>102</v>
      </c>
      <c r="E885" s="74">
        <v>97</v>
      </c>
      <c r="F885" s="74">
        <v>105</v>
      </c>
      <c r="G885" s="74">
        <v>102</v>
      </c>
      <c r="H885" s="74">
        <v>97</v>
      </c>
      <c r="I885" s="74">
        <v>92</v>
      </c>
      <c r="J885" s="74">
        <v>93</v>
      </c>
    </row>
    <row r="886" spans="2:10">
      <c r="B886" s="52"/>
      <c r="C886" s="74"/>
      <c r="D886" s="74"/>
      <c r="E886" s="74"/>
      <c r="F886" s="74"/>
      <c r="G886" s="74"/>
      <c r="H886" s="74"/>
      <c r="I886" s="74"/>
      <c r="J886" s="74"/>
    </row>
    <row r="887" spans="2:10">
      <c r="B887" s="71" t="s">
        <v>151</v>
      </c>
      <c r="C887" s="74">
        <v>0</v>
      </c>
      <c r="D887" s="74">
        <v>0</v>
      </c>
      <c r="E887" s="74">
        <v>0</v>
      </c>
      <c r="F887" s="74">
        <v>0</v>
      </c>
      <c r="G887" s="74">
        <v>0</v>
      </c>
      <c r="H887" s="74">
        <v>0</v>
      </c>
      <c r="I887" s="74">
        <v>0</v>
      </c>
      <c r="J887" s="74">
        <v>0</v>
      </c>
    </row>
    <row r="888" spans="2:10">
      <c r="B888" s="52" t="s">
        <v>150</v>
      </c>
      <c r="C888" s="74">
        <v>0</v>
      </c>
      <c r="D888" s="74">
        <v>0</v>
      </c>
      <c r="E888" s="74">
        <v>0</v>
      </c>
      <c r="F888" s="74">
        <v>0</v>
      </c>
      <c r="G888" s="74">
        <v>0</v>
      </c>
      <c r="H888" s="74">
        <v>0</v>
      </c>
      <c r="I888" s="74">
        <v>0</v>
      </c>
      <c r="J888" s="74">
        <v>0</v>
      </c>
    </row>
    <row r="889" spans="2:10">
      <c r="B889" s="52" t="s">
        <v>149</v>
      </c>
      <c r="C889" s="74">
        <v>0</v>
      </c>
      <c r="D889" s="74">
        <v>0</v>
      </c>
      <c r="E889" s="74">
        <v>0</v>
      </c>
      <c r="F889" s="74">
        <v>0</v>
      </c>
      <c r="G889" s="74">
        <v>0</v>
      </c>
      <c r="H889" s="74">
        <v>0</v>
      </c>
      <c r="I889" s="74">
        <v>0</v>
      </c>
      <c r="J889" s="74">
        <v>0</v>
      </c>
    </row>
    <row r="890" spans="2:10">
      <c r="B890" s="52" t="s">
        <v>600</v>
      </c>
      <c r="C890" s="74">
        <v>0</v>
      </c>
      <c r="D890" s="74">
        <v>0</v>
      </c>
      <c r="E890" s="74">
        <v>0</v>
      </c>
      <c r="F890" s="74">
        <v>0</v>
      </c>
      <c r="G890" s="74">
        <v>0</v>
      </c>
      <c r="H890" s="74">
        <v>0</v>
      </c>
      <c r="I890" s="74">
        <v>0</v>
      </c>
      <c r="J890" s="74">
        <v>0</v>
      </c>
    </row>
    <row r="891" spans="2:10">
      <c r="B891" s="52" t="s">
        <v>147</v>
      </c>
      <c r="C891" s="74">
        <v>0</v>
      </c>
      <c r="D891" s="74">
        <v>0</v>
      </c>
      <c r="E891" s="74">
        <v>0</v>
      </c>
      <c r="F891" s="74">
        <v>0</v>
      </c>
      <c r="G891" s="74">
        <v>0</v>
      </c>
      <c r="H891" s="74">
        <v>0</v>
      </c>
      <c r="I891" s="74">
        <v>0</v>
      </c>
      <c r="J891" s="74">
        <v>0</v>
      </c>
    </row>
    <row r="892" spans="2:10">
      <c r="B892" s="52" t="s">
        <v>146</v>
      </c>
      <c r="C892" s="74">
        <v>0</v>
      </c>
      <c r="D892" s="74">
        <v>0</v>
      </c>
      <c r="E892" s="74">
        <v>0</v>
      </c>
      <c r="F892" s="74">
        <v>0</v>
      </c>
      <c r="G892" s="74">
        <v>0</v>
      </c>
      <c r="H892" s="74">
        <v>0</v>
      </c>
      <c r="I892" s="74">
        <v>0</v>
      </c>
      <c r="J892" s="74">
        <v>0</v>
      </c>
    </row>
    <row r="893" spans="2:10">
      <c r="B893" s="52"/>
      <c r="C893" s="74"/>
      <c r="D893" s="74"/>
      <c r="E893" s="74"/>
      <c r="F893" s="74"/>
      <c r="G893" s="74"/>
      <c r="H893" s="74"/>
      <c r="I893" s="74"/>
      <c r="J893" s="74"/>
    </row>
    <row r="894" spans="2:10">
      <c r="B894" s="59" t="s">
        <v>601</v>
      </c>
      <c r="C894" s="281"/>
      <c r="D894" s="281"/>
      <c r="E894" s="281"/>
      <c r="F894" s="281"/>
      <c r="G894" s="281"/>
      <c r="H894" s="281"/>
      <c r="I894" s="281"/>
      <c r="J894" s="281"/>
    </row>
    <row r="895" spans="2:10">
      <c r="B895" s="71" t="s">
        <v>516</v>
      </c>
      <c r="C895" s="74">
        <v>109</v>
      </c>
      <c r="D895" s="74">
        <v>391</v>
      </c>
      <c r="E895" s="74">
        <v>411</v>
      </c>
      <c r="F895" s="74">
        <v>233</v>
      </c>
      <c r="G895" s="74">
        <v>251</v>
      </c>
      <c r="H895" s="74">
        <v>251</v>
      </c>
      <c r="I895" s="74">
        <v>314</v>
      </c>
      <c r="J895" s="74">
        <f>SUM(J896:J900)</f>
        <v>381</v>
      </c>
    </row>
    <row r="896" spans="2:10">
      <c r="B896" s="52" t="s">
        <v>150</v>
      </c>
      <c r="C896" s="74">
        <v>0</v>
      </c>
      <c r="D896" s="74">
        <v>1</v>
      </c>
      <c r="E896" s="74">
        <v>1</v>
      </c>
      <c r="F896" s="74">
        <v>1</v>
      </c>
      <c r="G896" s="74">
        <v>1</v>
      </c>
      <c r="H896" s="74">
        <v>1</v>
      </c>
      <c r="I896" s="74">
        <v>1</v>
      </c>
      <c r="J896" s="74">
        <v>1</v>
      </c>
    </row>
    <row r="897" spans="2:10">
      <c r="B897" s="52" t="s">
        <v>149</v>
      </c>
      <c r="C897" s="74">
        <v>1</v>
      </c>
      <c r="D897" s="74">
        <v>2</v>
      </c>
      <c r="E897" s="74">
        <v>2</v>
      </c>
      <c r="F897" s="74">
        <v>2</v>
      </c>
      <c r="G897" s="74">
        <v>2</v>
      </c>
      <c r="H897" s="74">
        <v>2</v>
      </c>
      <c r="I897" s="74">
        <v>2</v>
      </c>
      <c r="J897" s="74">
        <v>2</v>
      </c>
    </row>
    <row r="898" spans="2:10">
      <c r="B898" s="52" t="s">
        <v>600</v>
      </c>
      <c r="C898" s="74">
        <v>1</v>
      </c>
      <c r="D898" s="74">
        <v>5</v>
      </c>
      <c r="E898" s="74">
        <v>5</v>
      </c>
      <c r="F898" s="74">
        <v>5</v>
      </c>
      <c r="G898" s="74">
        <v>5</v>
      </c>
      <c r="H898" s="74">
        <v>5</v>
      </c>
      <c r="I898" s="74">
        <v>5</v>
      </c>
      <c r="J898" s="74">
        <v>5</v>
      </c>
    </row>
    <row r="899" spans="2:10">
      <c r="B899" s="52" t="s">
        <v>147</v>
      </c>
      <c r="C899" s="74">
        <v>22</v>
      </c>
      <c r="D899" s="74">
        <v>28</v>
      </c>
      <c r="E899" s="74">
        <v>28</v>
      </c>
      <c r="F899" s="74">
        <v>25</v>
      </c>
      <c r="G899" s="74">
        <v>30</v>
      </c>
      <c r="H899" s="74">
        <v>30</v>
      </c>
      <c r="I899" s="74">
        <v>32</v>
      </c>
      <c r="J899" s="74">
        <v>31</v>
      </c>
    </row>
    <row r="900" spans="2:10">
      <c r="B900" s="52" t="s">
        <v>146</v>
      </c>
      <c r="C900" s="74">
        <v>85</v>
      </c>
      <c r="D900" s="74">
        <v>355</v>
      </c>
      <c r="E900" s="74">
        <v>375</v>
      </c>
      <c r="F900" s="74">
        <v>200</v>
      </c>
      <c r="G900" s="74">
        <v>213</v>
      </c>
      <c r="H900" s="74">
        <v>213</v>
      </c>
      <c r="I900" s="74">
        <v>274</v>
      </c>
      <c r="J900" s="74">
        <v>342</v>
      </c>
    </row>
    <row r="901" spans="2:10">
      <c r="B901" s="52"/>
      <c r="C901" s="74"/>
      <c r="D901" s="74"/>
      <c r="E901" s="74"/>
      <c r="F901" s="74"/>
      <c r="G901" s="74"/>
      <c r="H901" s="74"/>
      <c r="I901" s="74"/>
      <c r="J901" s="74"/>
    </row>
    <row r="902" spans="2:10">
      <c r="B902" s="71" t="s">
        <v>152</v>
      </c>
      <c r="C902" s="74">
        <v>109</v>
      </c>
      <c r="D902" s="74">
        <v>384</v>
      </c>
      <c r="E902" s="74">
        <v>404</v>
      </c>
      <c r="F902" s="74">
        <v>228</v>
      </c>
      <c r="G902" s="74">
        <v>246</v>
      </c>
      <c r="H902" s="74">
        <v>246</v>
      </c>
      <c r="I902" s="74">
        <v>309</v>
      </c>
      <c r="J902" s="74">
        <f>SUM(J903:J907)</f>
        <v>376</v>
      </c>
    </row>
    <row r="903" spans="2:10">
      <c r="B903" s="52" t="s">
        <v>150</v>
      </c>
      <c r="C903" s="74">
        <v>0</v>
      </c>
      <c r="D903" s="74">
        <v>1</v>
      </c>
      <c r="E903" s="74">
        <v>1</v>
      </c>
      <c r="F903" s="74">
        <v>1</v>
      </c>
      <c r="G903" s="74">
        <v>1</v>
      </c>
      <c r="H903" s="74">
        <v>1</v>
      </c>
      <c r="I903" s="74">
        <v>1</v>
      </c>
      <c r="J903" s="74">
        <v>1</v>
      </c>
    </row>
    <row r="904" spans="2:10">
      <c r="B904" s="52" t="s">
        <v>149</v>
      </c>
      <c r="C904" s="74">
        <v>1</v>
      </c>
      <c r="D904" s="74">
        <v>2</v>
      </c>
      <c r="E904" s="74">
        <v>2</v>
      </c>
      <c r="F904" s="74">
        <v>2</v>
      </c>
      <c r="G904" s="74">
        <v>2</v>
      </c>
      <c r="H904" s="74">
        <v>2</v>
      </c>
      <c r="I904" s="74">
        <v>2</v>
      </c>
      <c r="J904" s="74">
        <v>2</v>
      </c>
    </row>
    <row r="905" spans="2:10">
      <c r="B905" s="52" t="s">
        <v>600</v>
      </c>
      <c r="C905" s="74">
        <v>1</v>
      </c>
      <c r="D905" s="74">
        <v>2</v>
      </c>
      <c r="E905" s="74">
        <v>2</v>
      </c>
      <c r="F905" s="74">
        <v>2</v>
      </c>
      <c r="G905" s="74">
        <v>2</v>
      </c>
      <c r="H905" s="74">
        <v>2</v>
      </c>
      <c r="I905" s="74">
        <v>2</v>
      </c>
      <c r="J905" s="74">
        <v>2</v>
      </c>
    </row>
    <row r="906" spans="2:10">
      <c r="B906" s="52" t="s">
        <v>147</v>
      </c>
      <c r="C906" s="74">
        <v>22</v>
      </c>
      <c r="D906" s="74">
        <v>25</v>
      </c>
      <c r="E906" s="74">
        <v>25</v>
      </c>
      <c r="F906" s="74">
        <v>25</v>
      </c>
      <c r="G906" s="74">
        <v>30</v>
      </c>
      <c r="H906" s="74">
        <v>30</v>
      </c>
      <c r="I906" s="74">
        <v>32</v>
      </c>
      <c r="J906" s="74">
        <v>31</v>
      </c>
    </row>
    <row r="907" spans="2:10">
      <c r="B907" s="52" t="s">
        <v>146</v>
      </c>
      <c r="C907" s="74">
        <v>85</v>
      </c>
      <c r="D907" s="74">
        <v>354</v>
      </c>
      <c r="E907" s="74">
        <v>374</v>
      </c>
      <c r="F907" s="74">
        <v>198</v>
      </c>
      <c r="G907" s="74">
        <v>211</v>
      </c>
      <c r="H907" s="74">
        <v>211</v>
      </c>
      <c r="I907" s="74">
        <v>272</v>
      </c>
      <c r="J907" s="74">
        <v>340</v>
      </c>
    </row>
    <row r="908" spans="2:10">
      <c r="B908" s="52"/>
      <c r="C908" s="74"/>
      <c r="D908" s="74"/>
      <c r="E908" s="74"/>
      <c r="F908" s="74"/>
      <c r="G908" s="74"/>
      <c r="H908" s="74"/>
      <c r="I908" s="74"/>
      <c r="J908" s="74"/>
    </row>
    <row r="909" spans="2:10">
      <c r="B909" s="71" t="s">
        <v>151</v>
      </c>
      <c r="C909" s="74">
        <v>0</v>
      </c>
      <c r="D909" s="74">
        <v>7</v>
      </c>
      <c r="E909" s="74">
        <v>7</v>
      </c>
      <c r="F909" s="74">
        <v>5</v>
      </c>
      <c r="G909" s="74">
        <v>5</v>
      </c>
      <c r="H909" s="74">
        <v>5</v>
      </c>
      <c r="I909" s="74">
        <v>5</v>
      </c>
      <c r="J909" s="74">
        <f>SUM(J910:J914)</f>
        <v>5</v>
      </c>
    </row>
    <row r="910" spans="2:10">
      <c r="B910" s="52" t="s">
        <v>150</v>
      </c>
      <c r="C910" s="74">
        <v>0</v>
      </c>
      <c r="D910" s="74">
        <v>0</v>
      </c>
      <c r="E910" s="74">
        <v>0</v>
      </c>
      <c r="F910" s="74">
        <v>0</v>
      </c>
      <c r="G910" s="74">
        <v>0</v>
      </c>
      <c r="H910" s="74">
        <v>0</v>
      </c>
      <c r="I910" s="74">
        <v>0</v>
      </c>
      <c r="J910" s="74">
        <v>0</v>
      </c>
    </row>
    <row r="911" spans="2:10">
      <c r="B911" s="52" t="s">
        <v>149</v>
      </c>
      <c r="C911" s="74">
        <v>0</v>
      </c>
      <c r="D911" s="74">
        <v>0</v>
      </c>
      <c r="E911" s="74">
        <v>0</v>
      </c>
      <c r="F911" s="74">
        <v>0</v>
      </c>
      <c r="G911" s="74">
        <v>0</v>
      </c>
      <c r="H911" s="74">
        <v>0</v>
      </c>
      <c r="I911" s="74">
        <v>0</v>
      </c>
      <c r="J911" s="74">
        <v>0</v>
      </c>
    </row>
    <row r="912" spans="2:10">
      <c r="B912" s="52" t="s">
        <v>600</v>
      </c>
      <c r="C912" s="74">
        <v>0</v>
      </c>
      <c r="D912" s="74">
        <v>3</v>
      </c>
      <c r="E912" s="74">
        <v>3</v>
      </c>
      <c r="F912" s="74">
        <v>3</v>
      </c>
      <c r="G912" s="74">
        <v>3</v>
      </c>
      <c r="H912" s="74">
        <v>3</v>
      </c>
      <c r="I912" s="74">
        <v>3</v>
      </c>
      <c r="J912" s="74">
        <v>3</v>
      </c>
    </row>
    <row r="913" spans="2:10">
      <c r="B913" s="52" t="s">
        <v>147</v>
      </c>
      <c r="C913" s="74">
        <v>0</v>
      </c>
      <c r="D913" s="74">
        <v>3</v>
      </c>
      <c r="E913" s="74">
        <v>3</v>
      </c>
      <c r="F913" s="74">
        <v>0</v>
      </c>
      <c r="G913" s="74">
        <v>0</v>
      </c>
      <c r="H913" s="74">
        <v>0</v>
      </c>
      <c r="I913" s="74">
        <v>0</v>
      </c>
      <c r="J913" s="74">
        <v>0</v>
      </c>
    </row>
    <row r="914" spans="2:10" ht="15" thickBot="1">
      <c r="B914" s="50" t="s">
        <v>146</v>
      </c>
      <c r="C914" s="74">
        <v>0</v>
      </c>
      <c r="D914" s="74">
        <v>1</v>
      </c>
      <c r="E914" s="74">
        <v>1</v>
      </c>
      <c r="F914" s="74">
        <v>2</v>
      </c>
      <c r="G914" s="74">
        <v>2</v>
      </c>
      <c r="H914" s="74">
        <v>2</v>
      </c>
      <c r="I914" s="74">
        <v>2</v>
      </c>
      <c r="J914" s="74">
        <v>2</v>
      </c>
    </row>
    <row r="915" spans="2:10" ht="15" thickTop="1">
      <c r="B915" s="2079" t="s">
        <v>602</v>
      </c>
      <c r="C915" s="2079"/>
      <c r="D915" s="2079"/>
      <c r="E915" s="2079"/>
      <c r="F915" s="2079"/>
      <c r="G915" s="2079"/>
      <c r="H915" s="2079"/>
      <c r="I915" s="2079"/>
      <c r="J915" s="2079"/>
    </row>
    <row r="916" spans="2:10">
      <c r="B916" s="62"/>
    </row>
    <row r="917" spans="2:10">
      <c r="B917" s="14" t="s">
        <v>144</v>
      </c>
      <c r="C917" s="14"/>
      <c r="D917" s="14"/>
      <c r="E917" s="14"/>
      <c r="F917" s="14"/>
      <c r="G917" s="14"/>
      <c r="H917" s="14"/>
      <c r="I917" s="14"/>
      <c r="J917" s="14"/>
    </row>
    <row r="918" spans="2:10">
      <c r="B918" s="12" t="s">
        <v>143</v>
      </c>
    </row>
    <row r="919" spans="2:10">
      <c r="B919" s="62" t="s">
        <v>142</v>
      </c>
    </row>
    <row r="920" spans="2:10">
      <c r="B920" s="62"/>
    </row>
    <row r="921" spans="2:10">
      <c r="B921" s="61"/>
      <c r="C921" s="60">
        <v>2014</v>
      </c>
      <c r="D921" s="60">
        <v>2015</v>
      </c>
      <c r="E921" s="60">
        <v>2016</v>
      </c>
      <c r="F921" s="60">
        <v>2017</v>
      </c>
      <c r="G921" s="60">
        <v>2018</v>
      </c>
      <c r="H921" s="60">
        <v>2019</v>
      </c>
      <c r="I921" s="60">
        <v>2020</v>
      </c>
      <c r="J921" s="60">
        <v>2021</v>
      </c>
    </row>
    <row r="922" spans="2:10">
      <c r="B922" s="59" t="s">
        <v>503</v>
      </c>
    </row>
    <row r="923" spans="2:10">
      <c r="B923" s="71" t="s">
        <v>141</v>
      </c>
      <c r="C923" s="74">
        <v>1.573</v>
      </c>
      <c r="D923" s="74">
        <v>1.228</v>
      </c>
      <c r="E923" s="74">
        <v>0.94599999999999995</v>
      </c>
      <c r="F923" s="74">
        <v>0.54400000000000004</v>
      </c>
      <c r="G923" s="74">
        <v>0.46800000000000003</v>
      </c>
      <c r="H923" s="74">
        <v>0.38700000000000001</v>
      </c>
      <c r="I923" s="74">
        <v>0.53200000000000003</v>
      </c>
      <c r="J923" s="74">
        <v>0.96799999999999997</v>
      </c>
    </row>
    <row r="924" spans="2:10">
      <c r="B924" s="52" t="s">
        <v>121</v>
      </c>
      <c r="C924" s="74">
        <v>0</v>
      </c>
      <c r="D924" s="74">
        <v>0</v>
      </c>
      <c r="E924" s="74">
        <v>0</v>
      </c>
      <c r="F924" s="74">
        <v>0</v>
      </c>
      <c r="G924" s="74">
        <v>0</v>
      </c>
      <c r="H924" s="74">
        <v>0</v>
      </c>
      <c r="I924" s="74">
        <v>0</v>
      </c>
      <c r="J924" s="74">
        <v>0</v>
      </c>
    </row>
    <row r="925" spans="2:10">
      <c r="B925" s="53" t="s">
        <v>120</v>
      </c>
      <c r="C925" s="74">
        <v>0</v>
      </c>
      <c r="D925" s="74">
        <v>0</v>
      </c>
      <c r="E925" s="74">
        <v>0</v>
      </c>
      <c r="F925" s="74">
        <v>0</v>
      </c>
      <c r="G925" s="74">
        <v>0</v>
      </c>
      <c r="H925" s="74">
        <v>0</v>
      </c>
      <c r="I925" s="74">
        <v>0</v>
      </c>
      <c r="J925" s="74">
        <v>0</v>
      </c>
    </row>
    <row r="926" spans="2:10">
      <c r="B926" s="53" t="s">
        <v>119</v>
      </c>
      <c r="C926" s="74">
        <v>0</v>
      </c>
      <c r="D926" s="74">
        <v>0</v>
      </c>
      <c r="E926" s="74">
        <v>0</v>
      </c>
      <c r="F926" s="74">
        <v>0</v>
      </c>
      <c r="G926" s="74">
        <v>0</v>
      </c>
      <c r="H926" s="74">
        <v>0</v>
      </c>
      <c r="I926" s="74">
        <v>0</v>
      </c>
      <c r="J926" s="74">
        <v>0</v>
      </c>
    </row>
    <row r="927" spans="2:10">
      <c r="B927" s="52" t="s">
        <v>118</v>
      </c>
      <c r="C927" s="74">
        <v>0</v>
      </c>
      <c r="D927" s="74">
        <v>0</v>
      </c>
      <c r="E927" s="74">
        <v>0</v>
      </c>
      <c r="F927" s="74">
        <v>0</v>
      </c>
      <c r="G927" s="74">
        <v>0</v>
      </c>
      <c r="H927" s="74">
        <v>0</v>
      </c>
      <c r="I927" s="74">
        <v>0</v>
      </c>
      <c r="J927" s="74">
        <v>0</v>
      </c>
    </row>
    <row r="928" spans="2:10">
      <c r="B928" s="52" t="s">
        <v>117</v>
      </c>
      <c r="C928" s="74">
        <v>0</v>
      </c>
      <c r="D928" s="74">
        <v>0</v>
      </c>
      <c r="E928" s="74">
        <v>0</v>
      </c>
      <c r="F928" s="74">
        <v>0</v>
      </c>
      <c r="G928" s="74">
        <v>0</v>
      </c>
      <c r="H928" s="74">
        <v>0</v>
      </c>
      <c r="I928" s="74">
        <v>0</v>
      </c>
      <c r="J928" s="74">
        <v>0</v>
      </c>
    </row>
    <row r="929" spans="2:10">
      <c r="B929" s="52"/>
      <c r="C929" s="74"/>
      <c r="D929" s="74"/>
      <c r="E929" s="74"/>
      <c r="F929" s="74"/>
      <c r="G929" s="74"/>
      <c r="H929" s="74"/>
      <c r="I929" s="74"/>
      <c r="J929" s="74"/>
    </row>
    <row r="930" spans="2:10">
      <c r="B930" s="59" t="s">
        <v>603</v>
      </c>
      <c r="C930" s="281"/>
      <c r="D930" s="281"/>
      <c r="E930" s="281"/>
      <c r="F930" s="281"/>
      <c r="G930" s="281"/>
      <c r="H930" s="281"/>
      <c r="I930" s="281"/>
      <c r="J930" s="281"/>
    </row>
    <row r="931" spans="2:10">
      <c r="B931" s="71" t="s">
        <v>141</v>
      </c>
      <c r="C931" s="74">
        <v>12.231999999999999</v>
      </c>
      <c r="D931" s="74">
        <v>75.838999999999999</v>
      </c>
      <c r="E931" s="74">
        <v>88.429000000000002</v>
      </c>
      <c r="F931" s="74">
        <v>128.15700000000001</v>
      </c>
      <c r="G931" s="74">
        <v>94.207000000000008</v>
      </c>
      <c r="H931" s="74">
        <v>105.696</v>
      </c>
      <c r="I931" s="74">
        <v>112.56599999999999</v>
      </c>
      <c r="J931" s="74">
        <f>+J932+J935+J936</f>
        <v>114.62199999999999</v>
      </c>
    </row>
    <row r="932" spans="2:10">
      <c r="B932" s="52" t="s">
        <v>121</v>
      </c>
      <c r="C932" s="74">
        <v>0</v>
      </c>
      <c r="D932" s="74">
        <v>22.867999999999999</v>
      </c>
      <c r="E932" s="74">
        <v>22.123000000000001</v>
      </c>
      <c r="F932" s="74">
        <v>33.859000000000002</v>
      </c>
      <c r="G932" s="74">
        <v>20.811</v>
      </c>
      <c r="H932" s="74">
        <v>19.375</v>
      </c>
      <c r="I932" s="74">
        <v>110.69799999999999</v>
      </c>
      <c r="J932" s="74">
        <f>+J933+J934</f>
        <v>113.05099999999999</v>
      </c>
    </row>
    <row r="933" spans="2:10">
      <c r="B933" s="53" t="s">
        <v>120</v>
      </c>
      <c r="C933" s="74">
        <v>0</v>
      </c>
      <c r="D933" s="74">
        <v>0</v>
      </c>
      <c r="E933" s="74">
        <v>0</v>
      </c>
      <c r="F933" s="74">
        <v>0</v>
      </c>
      <c r="G933" s="74">
        <v>0</v>
      </c>
      <c r="H933" s="74">
        <v>0.57599999999999996</v>
      </c>
      <c r="I933" s="74">
        <v>93.590999999999994</v>
      </c>
      <c r="J933" s="74">
        <v>97.474999999999994</v>
      </c>
    </row>
    <row r="934" spans="2:10">
      <c r="B934" s="53" t="s">
        <v>119</v>
      </c>
      <c r="C934" s="74">
        <v>0</v>
      </c>
      <c r="D934" s="74">
        <v>22.867999999999999</v>
      </c>
      <c r="E934" s="74">
        <v>22.123000000000001</v>
      </c>
      <c r="F934" s="74">
        <v>33.859000000000002</v>
      </c>
      <c r="G934" s="74">
        <v>20.811</v>
      </c>
      <c r="H934" s="74">
        <v>18.798999999999999</v>
      </c>
      <c r="I934" s="74">
        <v>16.981999999999999</v>
      </c>
      <c r="J934" s="74">
        <v>15.576000000000001</v>
      </c>
    </row>
    <row r="935" spans="2:10">
      <c r="B935" s="52" t="s">
        <v>118</v>
      </c>
      <c r="C935" s="74">
        <v>0</v>
      </c>
      <c r="D935" s="74">
        <v>0.16300000000000001</v>
      </c>
      <c r="E935" s="74">
        <v>0.161</v>
      </c>
      <c r="F935" s="74">
        <v>0.28499999999999998</v>
      </c>
      <c r="G935" s="74">
        <v>0.16</v>
      </c>
      <c r="H935" s="74">
        <v>0.156</v>
      </c>
      <c r="I935" s="74">
        <v>0.14499999999999999</v>
      </c>
      <c r="J935" s="74">
        <v>0.16400000000000001</v>
      </c>
    </row>
    <row r="936" spans="2:10" ht="15" thickBot="1">
      <c r="B936" s="50" t="s">
        <v>117</v>
      </c>
      <c r="C936" s="74">
        <v>0</v>
      </c>
      <c r="D936" s="74">
        <v>52.808</v>
      </c>
      <c r="E936" s="287">
        <v>66.144999999999996</v>
      </c>
      <c r="F936" s="287">
        <v>94.013000000000005</v>
      </c>
      <c r="G936" s="287">
        <v>73.236000000000004</v>
      </c>
      <c r="H936" s="287">
        <v>86.165000000000006</v>
      </c>
      <c r="I936" s="287">
        <v>1.7230000000000001</v>
      </c>
      <c r="J936" s="287">
        <v>1.407</v>
      </c>
    </row>
    <row r="937" spans="2:10" ht="15" thickTop="1">
      <c r="B937" s="2079" t="s">
        <v>602</v>
      </c>
      <c r="C937" s="2079"/>
      <c r="D937" s="2079"/>
      <c r="E937" s="2079"/>
      <c r="F937" s="2079"/>
      <c r="G937" s="2079"/>
      <c r="H937" s="2079"/>
      <c r="I937" s="2079"/>
      <c r="J937" s="2079"/>
    </row>
    <row r="938" spans="2:10">
      <c r="B938" s="64"/>
    </row>
    <row r="939" spans="2:10">
      <c r="B939" s="2024" t="s">
        <v>140</v>
      </c>
      <c r="C939" s="2024"/>
      <c r="D939" s="2024"/>
      <c r="E939" s="2024"/>
      <c r="F939" s="2024"/>
      <c r="G939" s="2024"/>
      <c r="H939" s="2024"/>
      <c r="I939" s="2024"/>
      <c r="J939" s="2024"/>
    </row>
    <row r="940" spans="2:10">
      <c r="B940" s="12" t="s">
        <v>139</v>
      </c>
    </row>
    <row r="941" spans="2:10">
      <c r="B941" s="62" t="s">
        <v>138</v>
      </c>
    </row>
    <row r="942" spans="2:10">
      <c r="B942" s="64"/>
    </row>
    <row r="943" spans="2:10">
      <c r="B943" s="61"/>
      <c r="C943" s="60">
        <v>2014</v>
      </c>
      <c r="D943" s="60">
        <v>2015</v>
      </c>
      <c r="E943" s="60">
        <v>2016</v>
      </c>
      <c r="F943" s="60">
        <v>2017</v>
      </c>
      <c r="G943" s="60">
        <v>2018</v>
      </c>
      <c r="H943" s="60">
        <v>2019</v>
      </c>
      <c r="I943" s="60">
        <v>2020</v>
      </c>
      <c r="J943" s="60">
        <v>2021</v>
      </c>
    </row>
    <row r="944" spans="2:10">
      <c r="B944" s="59" t="s">
        <v>503</v>
      </c>
    </row>
    <row r="945" spans="2:10">
      <c r="B945" s="71" t="s">
        <v>137</v>
      </c>
      <c r="C945" s="203">
        <v>84684.383437967612</v>
      </c>
      <c r="D945" s="203">
        <v>66024.836559802134</v>
      </c>
      <c r="E945" s="203">
        <v>79886.921612863953</v>
      </c>
      <c r="F945" s="203">
        <v>89034.817547506711</v>
      </c>
      <c r="G945" s="203">
        <v>93618.022632094158</v>
      </c>
      <c r="H945" s="203">
        <v>98695.910259666067</v>
      </c>
      <c r="I945" s="203">
        <v>108456.05184953008</v>
      </c>
      <c r="J945" s="203">
        <f t="shared" ref="J945" si="7">+J946+J949+J950</f>
        <v>106510.47963448366</v>
      </c>
    </row>
    <row r="946" spans="2:10">
      <c r="B946" s="52" t="s">
        <v>121</v>
      </c>
      <c r="C946" s="66">
        <v>84684.383437967612</v>
      </c>
      <c r="D946" s="66">
        <v>66024.836559802134</v>
      </c>
      <c r="E946" s="66">
        <v>79886.921612863953</v>
      </c>
      <c r="F946" s="66">
        <v>89034.817547506711</v>
      </c>
      <c r="G946" s="66">
        <v>93618.022632094158</v>
      </c>
      <c r="H946" s="66">
        <v>98695.910259666067</v>
      </c>
      <c r="I946" s="66">
        <v>108456.05184953008</v>
      </c>
      <c r="J946" s="66">
        <f>424035261.101621/J11</f>
        <v>106510.47963448366</v>
      </c>
    </row>
    <row r="947" spans="2:10">
      <c r="B947" s="53" t="s">
        <v>120</v>
      </c>
      <c r="C947" s="66">
        <v>0</v>
      </c>
      <c r="D947" s="66">
        <v>0</v>
      </c>
      <c r="E947" s="66">
        <v>0</v>
      </c>
      <c r="F947" s="66">
        <v>0</v>
      </c>
      <c r="G947" s="66">
        <v>0</v>
      </c>
      <c r="H947" s="66">
        <v>0</v>
      </c>
      <c r="I947" s="66">
        <v>0</v>
      </c>
      <c r="J947" s="66">
        <v>0</v>
      </c>
    </row>
    <row r="948" spans="2:10">
      <c r="B948" s="53" t="s">
        <v>119</v>
      </c>
      <c r="C948" s="66">
        <v>0</v>
      </c>
      <c r="D948" s="66">
        <v>0</v>
      </c>
      <c r="E948" s="66">
        <v>0</v>
      </c>
      <c r="F948" s="66">
        <v>0</v>
      </c>
      <c r="G948" s="66">
        <v>0</v>
      </c>
      <c r="H948" s="66">
        <v>0</v>
      </c>
      <c r="I948" s="66">
        <v>0</v>
      </c>
      <c r="J948" s="66">
        <v>0</v>
      </c>
    </row>
    <row r="949" spans="2:10">
      <c r="B949" s="52" t="s">
        <v>118</v>
      </c>
      <c r="C949" s="66">
        <v>0</v>
      </c>
      <c r="D949" s="66">
        <v>0</v>
      </c>
      <c r="E949" s="66">
        <v>0</v>
      </c>
      <c r="F949" s="66">
        <v>0</v>
      </c>
      <c r="G949" s="66">
        <v>0</v>
      </c>
      <c r="H949" s="66">
        <v>0</v>
      </c>
      <c r="I949" s="66">
        <v>0</v>
      </c>
      <c r="J949" s="66">
        <v>0</v>
      </c>
    </row>
    <row r="950" spans="2:10">
      <c r="B950" s="52" t="s">
        <v>117</v>
      </c>
      <c r="C950" s="66">
        <v>0</v>
      </c>
      <c r="D950" s="66">
        <v>0</v>
      </c>
      <c r="E950" s="66">
        <v>0</v>
      </c>
      <c r="F950" s="66">
        <v>0</v>
      </c>
      <c r="G950" s="66">
        <v>0</v>
      </c>
      <c r="H950" s="66">
        <v>0</v>
      </c>
      <c r="I950" s="66">
        <v>0</v>
      </c>
      <c r="J950" s="66">
        <v>0</v>
      </c>
    </row>
    <row r="951" spans="2:10">
      <c r="B951" s="52"/>
      <c r="C951" s="66"/>
      <c r="D951" s="66"/>
      <c r="E951" s="66"/>
      <c r="F951" s="66"/>
      <c r="G951" s="66"/>
      <c r="H951" s="66"/>
      <c r="I951" s="66"/>
      <c r="J951" s="66"/>
    </row>
    <row r="952" spans="2:10">
      <c r="B952" s="59" t="s">
        <v>603</v>
      </c>
      <c r="C952" s="267"/>
      <c r="D952" s="267"/>
      <c r="E952" s="267"/>
      <c r="F952" s="267"/>
      <c r="G952" s="267"/>
      <c r="H952" s="267"/>
      <c r="I952" s="267"/>
      <c r="J952" s="267"/>
    </row>
    <row r="953" spans="2:10">
      <c r="B953" s="71" t="s">
        <v>137</v>
      </c>
      <c r="C953" s="203">
        <v>176260.83612683177</v>
      </c>
      <c r="D953" s="203">
        <v>121071.15793013577</v>
      </c>
      <c r="E953" s="203">
        <v>146725.9497477026</v>
      </c>
      <c r="F953" s="203">
        <v>163054.47404617042</v>
      </c>
      <c r="G953" s="203">
        <v>144786.1215013199</v>
      </c>
      <c r="H953" s="203">
        <v>148222.01578559767</v>
      </c>
      <c r="I953" s="203">
        <v>157689.38940719006</v>
      </c>
      <c r="J953" s="203">
        <f>+J954+J957+J958</f>
        <v>133625.18358111253</v>
      </c>
    </row>
    <row r="954" spans="2:10">
      <c r="B954" s="52" t="s">
        <v>121</v>
      </c>
      <c r="C954" s="66">
        <v>55412.875868353076</v>
      </c>
      <c r="D954" s="66">
        <v>45321.817077273605</v>
      </c>
      <c r="E954" s="66">
        <v>58498.319799790916</v>
      </c>
      <c r="F954" s="66">
        <v>66210.62697056889</v>
      </c>
      <c r="G954" s="66">
        <v>63820.466174110566</v>
      </c>
      <c r="H954" s="66">
        <v>20748.402578398724</v>
      </c>
      <c r="I954" s="66">
        <v>58140.67997553946</v>
      </c>
      <c r="J954" s="66">
        <f>+J955+J956</f>
        <v>48452.517168839484</v>
      </c>
    </row>
    <row r="955" spans="2:10">
      <c r="B955" s="53" t="s">
        <v>120</v>
      </c>
      <c r="C955" s="66">
        <v>33063.398761107812</v>
      </c>
      <c r="D955" s="66">
        <v>28467.77025487581</v>
      </c>
      <c r="E955" s="66">
        <v>37794.894695163479</v>
      </c>
      <c r="F955" s="66">
        <v>40633.583741925933</v>
      </c>
      <c r="G955" s="66">
        <v>37883.774607990767</v>
      </c>
      <c r="H955" s="66">
        <v>223.29915025537207</v>
      </c>
      <c r="I955" s="66">
        <v>35907.939521731394</v>
      </c>
      <c r="J955" s="66">
        <f>110391625.334936/J11</f>
        <v>27728.507604551436</v>
      </c>
    </row>
    <row r="956" spans="2:10">
      <c r="B956" s="53" t="s">
        <v>119</v>
      </c>
      <c r="C956" s="66">
        <v>22349.47710724526</v>
      </c>
      <c r="D956" s="66">
        <v>16854.046822397799</v>
      </c>
      <c r="E956" s="66">
        <v>20703.42510462744</v>
      </c>
      <c r="F956" s="66">
        <v>25577.04322864296</v>
      </c>
      <c r="G956" s="66">
        <v>25936.691566119796</v>
      </c>
      <c r="H956" s="66">
        <v>20525.103428143353</v>
      </c>
      <c r="I956" s="66">
        <v>22232.74045380807</v>
      </c>
      <c r="J956" s="66">
        <f>82505597.916961/J11</f>
        <v>20724.009564288048</v>
      </c>
    </row>
    <row r="957" spans="2:10">
      <c r="B957" s="52" t="s">
        <v>118</v>
      </c>
      <c r="C957" s="66">
        <v>116962.40187923727</v>
      </c>
      <c r="D957" s="66">
        <v>73282.092936082583</v>
      </c>
      <c r="E957" s="66">
        <v>85234.393394440311</v>
      </c>
      <c r="F957" s="66">
        <v>94223.987912547935</v>
      </c>
      <c r="G957" s="66">
        <v>78412.551910256487</v>
      </c>
      <c r="H957" s="66">
        <v>86461.762416841506</v>
      </c>
      <c r="I957" s="66">
        <v>90432.40976718106</v>
      </c>
      <c r="J957" s="66">
        <f>302494382.040837/J11</f>
        <v>75981.468225551595</v>
      </c>
    </row>
    <row r="958" spans="2:10" ht="15" thickBot="1">
      <c r="B958" s="50" t="s">
        <v>117</v>
      </c>
      <c r="C958" s="66">
        <v>3885.55837924145</v>
      </c>
      <c r="D958" s="66">
        <v>2467.2479167795823</v>
      </c>
      <c r="E958" s="66">
        <v>2993.2365534713986</v>
      </c>
      <c r="F958" s="66">
        <v>2619.8591630535825</v>
      </c>
      <c r="G958" s="66">
        <v>2553.1034169528548</v>
      </c>
      <c r="H958" s="66">
        <v>41011.85079035745</v>
      </c>
      <c r="I958" s="66">
        <v>9116.2996644695122</v>
      </c>
      <c r="J958" s="66">
        <f>36591630.573048/J11</f>
        <v>9191.1981867214599</v>
      </c>
    </row>
    <row r="959" spans="2:10" ht="15" thickTop="1">
      <c r="B959" s="2079" t="s">
        <v>602</v>
      </c>
      <c r="C959" s="2079"/>
      <c r="D959" s="2079"/>
      <c r="E959" s="2079"/>
      <c r="F959" s="2079"/>
      <c r="G959" s="2079"/>
      <c r="H959" s="2079"/>
      <c r="I959" s="2079"/>
      <c r="J959" s="2079"/>
    </row>
    <row r="960" spans="2:10">
      <c r="B960" s="64"/>
    </row>
    <row r="961" spans="2:10">
      <c r="B961" s="2024" t="s">
        <v>133</v>
      </c>
      <c r="C961" s="2024"/>
      <c r="D961" s="2024"/>
      <c r="E961" s="2024"/>
      <c r="F961" s="2024"/>
      <c r="G961" s="2024"/>
      <c r="H961" s="2024"/>
      <c r="I961" s="2024"/>
      <c r="J961" s="2024"/>
    </row>
    <row r="962" spans="2:10">
      <c r="B962" s="12" t="s">
        <v>132</v>
      </c>
    </row>
    <row r="963" spans="2:10">
      <c r="B963" s="62" t="s">
        <v>131</v>
      </c>
    </row>
    <row r="964" spans="2:10">
      <c r="B964" s="62"/>
    </row>
    <row r="965" spans="2:10">
      <c r="B965" s="61"/>
      <c r="C965" s="60">
        <v>2014</v>
      </c>
      <c r="D965" s="60">
        <v>2015</v>
      </c>
      <c r="E965" s="60">
        <v>2016</v>
      </c>
      <c r="F965" s="60">
        <v>2017</v>
      </c>
      <c r="G965" s="60">
        <v>2018</v>
      </c>
      <c r="H965" s="60">
        <v>2019</v>
      </c>
      <c r="I965" s="60">
        <v>2020</v>
      </c>
      <c r="J965" s="60">
        <v>2021</v>
      </c>
    </row>
    <row r="966" spans="2:10">
      <c r="B966" s="71" t="s">
        <v>130</v>
      </c>
      <c r="C966" s="66">
        <v>2083.4650000000001</v>
      </c>
      <c r="D966" s="66">
        <v>1882.3779999999999</v>
      </c>
      <c r="E966" s="66">
        <v>1759.9380000000001</v>
      </c>
      <c r="F966" s="66">
        <v>1772.2829999999999</v>
      </c>
      <c r="G966" s="66">
        <v>2058.683</v>
      </c>
      <c r="H966" s="66">
        <v>1892.3650000000002</v>
      </c>
      <c r="I966" s="66">
        <v>2249.0410000000002</v>
      </c>
      <c r="J966" s="66">
        <f>+J969+J984+J991</f>
        <v>1717.182</v>
      </c>
    </row>
    <row r="967" spans="2:10">
      <c r="B967" s="71"/>
      <c r="C967" s="267"/>
      <c r="D967" s="267"/>
      <c r="E967" s="267"/>
      <c r="F967" s="267"/>
      <c r="G967" s="267"/>
      <c r="H967" s="267"/>
      <c r="I967" s="267"/>
      <c r="J967" s="267"/>
    </row>
    <row r="968" spans="2:10">
      <c r="B968" s="59" t="s">
        <v>503</v>
      </c>
      <c r="C968" s="267"/>
      <c r="D968" s="267"/>
      <c r="E968" s="267"/>
      <c r="F968" s="267"/>
      <c r="G968" s="267"/>
      <c r="H968" s="267"/>
      <c r="I968" s="267"/>
      <c r="J968" s="267"/>
    </row>
    <row r="969" spans="2:10">
      <c r="B969" s="54" t="s">
        <v>123</v>
      </c>
      <c r="C969" s="66">
        <v>852.1930000000001</v>
      </c>
      <c r="D969" s="66">
        <v>683</v>
      </c>
      <c r="E969" s="66">
        <v>616.26</v>
      </c>
      <c r="F969" s="66">
        <v>723.27200000000005</v>
      </c>
      <c r="G969" s="66">
        <v>880.45500000000004</v>
      </c>
      <c r="H969" s="66">
        <v>608.70600000000002</v>
      </c>
      <c r="I969" s="66">
        <v>562.41399999999999</v>
      </c>
      <c r="J969" s="66">
        <v>611.29100000000005</v>
      </c>
    </row>
    <row r="970" spans="2:10">
      <c r="B970" s="52" t="s">
        <v>121</v>
      </c>
      <c r="C970" s="66">
        <v>0</v>
      </c>
      <c r="D970" s="66">
        <v>0</v>
      </c>
      <c r="E970" s="66">
        <v>0</v>
      </c>
      <c r="F970" s="66">
        <v>0</v>
      </c>
      <c r="G970" s="66">
        <v>0</v>
      </c>
      <c r="H970" s="66">
        <v>0</v>
      </c>
      <c r="I970" s="66">
        <v>0</v>
      </c>
      <c r="J970" s="66">
        <v>0</v>
      </c>
    </row>
    <row r="971" spans="2:10">
      <c r="B971" s="53" t="s">
        <v>120</v>
      </c>
      <c r="C971" s="66">
        <v>0</v>
      </c>
      <c r="D971" s="66">
        <v>0</v>
      </c>
      <c r="E971" s="66">
        <v>0</v>
      </c>
      <c r="F971" s="66">
        <v>0</v>
      </c>
      <c r="G971" s="66">
        <v>0</v>
      </c>
      <c r="H971" s="66">
        <v>0</v>
      </c>
      <c r="I971" s="66">
        <v>0</v>
      </c>
      <c r="J971" s="66">
        <v>0</v>
      </c>
    </row>
    <row r="972" spans="2:10">
      <c r="B972" s="53" t="s">
        <v>119</v>
      </c>
      <c r="C972" s="66">
        <v>0</v>
      </c>
      <c r="D972" s="66">
        <v>0</v>
      </c>
      <c r="E972" s="66">
        <v>0</v>
      </c>
      <c r="F972" s="66">
        <v>0</v>
      </c>
      <c r="G972" s="66">
        <v>0</v>
      </c>
      <c r="H972" s="66">
        <v>0</v>
      </c>
      <c r="I972" s="66">
        <v>0</v>
      </c>
      <c r="J972" s="66">
        <v>0</v>
      </c>
    </row>
    <row r="973" spans="2:10">
      <c r="B973" s="52" t="s">
        <v>118</v>
      </c>
      <c r="C973" s="66">
        <v>0</v>
      </c>
      <c r="D973" s="66">
        <v>0</v>
      </c>
      <c r="E973" s="66">
        <v>0</v>
      </c>
      <c r="F973" s="66">
        <v>0</v>
      </c>
      <c r="G973" s="66">
        <v>0</v>
      </c>
      <c r="H973" s="66">
        <v>0</v>
      </c>
      <c r="I973" s="66">
        <v>0</v>
      </c>
      <c r="J973" s="66">
        <v>0</v>
      </c>
    </row>
    <row r="974" spans="2:10">
      <c r="B974" s="52" t="s">
        <v>117</v>
      </c>
      <c r="C974" s="66">
        <v>0</v>
      </c>
      <c r="D974" s="66">
        <v>0</v>
      </c>
      <c r="E974" s="66">
        <v>0</v>
      </c>
      <c r="F974" s="66">
        <v>0</v>
      </c>
      <c r="G974" s="66">
        <v>0</v>
      </c>
      <c r="H974" s="66">
        <v>0</v>
      </c>
      <c r="I974" s="66">
        <v>0</v>
      </c>
      <c r="J974" s="66">
        <v>0</v>
      </c>
    </row>
    <row r="975" spans="2:10">
      <c r="B975" s="52"/>
      <c r="C975" s="267"/>
      <c r="D975" s="267"/>
      <c r="E975" s="267"/>
      <c r="F975" s="267"/>
      <c r="G975" s="267"/>
      <c r="H975" s="267"/>
      <c r="I975" s="267"/>
      <c r="J975" s="267"/>
    </row>
    <row r="976" spans="2:10">
      <c r="B976" s="54" t="s">
        <v>122</v>
      </c>
      <c r="C976" s="66">
        <v>0</v>
      </c>
      <c r="D976" s="66">
        <v>0</v>
      </c>
      <c r="E976" s="66">
        <v>0</v>
      </c>
      <c r="F976" s="66">
        <v>0</v>
      </c>
      <c r="G976" s="66">
        <v>0</v>
      </c>
      <c r="H976" s="66">
        <v>0</v>
      </c>
      <c r="I976" s="66">
        <v>0</v>
      </c>
      <c r="J976" s="66">
        <v>0</v>
      </c>
    </row>
    <row r="977" spans="2:10">
      <c r="B977" s="52" t="s">
        <v>121</v>
      </c>
      <c r="C977" s="66">
        <v>0</v>
      </c>
      <c r="D977" s="66">
        <v>0</v>
      </c>
      <c r="E977" s="66">
        <v>0</v>
      </c>
      <c r="F977" s="66">
        <v>0</v>
      </c>
      <c r="G977" s="66">
        <v>0</v>
      </c>
      <c r="H977" s="66">
        <v>0</v>
      </c>
      <c r="I977" s="66">
        <v>0</v>
      </c>
      <c r="J977" s="66">
        <v>0</v>
      </c>
    </row>
    <row r="978" spans="2:10">
      <c r="B978" s="53" t="s">
        <v>120</v>
      </c>
      <c r="C978" s="66">
        <v>0</v>
      </c>
      <c r="D978" s="66">
        <v>0</v>
      </c>
      <c r="E978" s="66">
        <v>0</v>
      </c>
      <c r="F978" s="66">
        <v>0</v>
      </c>
      <c r="G978" s="66">
        <v>0</v>
      </c>
      <c r="H978" s="66">
        <v>0</v>
      </c>
      <c r="I978" s="66">
        <v>0</v>
      </c>
      <c r="J978" s="66">
        <v>0</v>
      </c>
    </row>
    <row r="979" spans="2:10">
      <c r="B979" s="53" t="s">
        <v>119</v>
      </c>
      <c r="C979" s="66">
        <v>0</v>
      </c>
      <c r="D979" s="66">
        <v>0</v>
      </c>
      <c r="E979" s="66">
        <v>0</v>
      </c>
      <c r="F979" s="66">
        <v>0</v>
      </c>
      <c r="G979" s="66">
        <v>0</v>
      </c>
      <c r="H979" s="66">
        <v>0</v>
      </c>
      <c r="I979" s="66">
        <v>0</v>
      </c>
      <c r="J979" s="66">
        <v>0</v>
      </c>
    </row>
    <row r="980" spans="2:10">
      <c r="B980" s="52" t="s">
        <v>118</v>
      </c>
      <c r="C980" s="66">
        <v>0</v>
      </c>
      <c r="D980" s="66">
        <v>0</v>
      </c>
      <c r="E980" s="66">
        <v>0</v>
      </c>
      <c r="F980" s="66">
        <v>0</v>
      </c>
      <c r="G980" s="66">
        <v>0</v>
      </c>
      <c r="H980" s="66">
        <v>0</v>
      </c>
      <c r="I980" s="66">
        <v>0</v>
      </c>
      <c r="J980" s="66">
        <v>0</v>
      </c>
    </row>
    <row r="981" spans="2:10">
      <c r="B981" s="52" t="s">
        <v>117</v>
      </c>
      <c r="C981" s="66">
        <v>0</v>
      </c>
      <c r="D981" s="66">
        <v>0</v>
      </c>
      <c r="E981" s="66">
        <v>0</v>
      </c>
      <c r="F981" s="66">
        <v>0</v>
      </c>
      <c r="G981" s="66">
        <v>0</v>
      </c>
      <c r="H981" s="66">
        <v>0</v>
      </c>
      <c r="I981" s="66">
        <v>0</v>
      </c>
      <c r="J981" s="66">
        <v>0</v>
      </c>
    </row>
    <row r="982" spans="2:10">
      <c r="B982" s="52"/>
      <c r="C982" s="66"/>
      <c r="D982" s="66"/>
      <c r="E982" s="66"/>
      <c r="F982" s="66"/>
      <c r="G982" s="66"/>
      <c r="H982" s="66"/>
      <c r="I982" s="66"/>
      <c r="J982" s="66"/>
    </row>
    <row r="983" spans="2:10">
      <c r="B983" s="59" t="s">
        <v>603</v>
      </c>
      <c r="C983" s="66"/>
      <c r="D983" s="66"/>
      <c r="E983" s="66"/>
      <c r="F983" s="66"/>
      <c r="G983" s="66"/>
      <c r="H983" s="66"/>
      <c r="I983" s="66"/>
      <c r="J983" s="66"/>
    </row>
    <row r="984" spans="2:10">
      <c r="B984" s="54" t="s">
        <v>123</v>
      </c>
      <c r="C984" s="66">
        <v>169.07599999999999</v>
      </c>
      <c r="D984" s="66">
        <v>162.66300000000001</v>
      </c>
      <c r="E984" s="66">
        <v>158.28000000000003</v>
      </c>
      <c r="F984" s="66">
        <v>142.16899999999998</v>
      </c>
      <c r="G984" s="66">
        <v>156.346</v>
      </c>
      <c r="H984" s="66">
        <v>147.01900000000001</v>
      </c>
      <c r="I984" s="66">
        <v>483.2</v>
      </c>
      <c r="J984" s="66">
        <v>183.40800000000002</v>
      </c>
    </row>
    <row r="985" spans="2:10">
      <c r="B985" s="52" t="s">
        <v>121</v>
      </c>
      <c r="C985" s="66">
        <v>77.760999999999996</v>
      </c>
      <c r="D985" s="66">
        <v>78.116</v>
      </c>
      <c r="E985" s="66">
        <v>88.109000000000009</v>
      </c>
      <c r="F985" s="66">
        <v>78.054999999999993</v>
      </c>
      <c r="G985" s="66">
        <v>84.070999999999998</v>
      </c>
      <c r="H985" s="66">
        <v>81.789000000000001</v>
      </c>
      <c r="I985" s="66">
        <v>90.015000000000001</v>
      </c>
      <c r="J985" s="66">
        <v>59.481000000000002</v>
      </c>
    </row>
    <row r="986" spans="2:10">
      <c r="B986" s="53" t="s">
        <v>120</v>
      </c>
      <c r="C986" s="66">
        <v>36.552</v>
      </c>
      <c r="D986" s="66">
        <v>50.393999999999998</v>
      </c>
      <c r="E986" s="66">
        <v>58.704000000000001</v>
      </c>
      <c r="F986" s="66">
        <v>47.796999999999997</v>
      </c>
      <c r="G986" s="66">
        <v>55.447000000000003</v>
      </c>
      <c r="H986" s="66">
        <v>53.622999999999998</v>
      </c>
      <c r="I986" s="66">
        <v>51.683</v>
      </c>
      <c r="J986" s="66">
        <v>39.734000000000002</v>
      </c>
    </row>
    <row r="987" spans="2:10">
      <c r="B987" s="53" t="s">
        <v>119</v>
      </c>
      <c r="C987" s="66">
        <v>41.209000000000003</v>
      </c>
      <c r="D987" s="66">
        <v>27.722000000000001</v>
      </c>
      <c r="E987" s="66">
        <v>29.405000000000001</v>
      </c>
      <c r="F987" s="66">
        <v>30.257999999999999</v>
      </c>
      <c r="G987" s="66">
        <v>28.623999999999999</v>
      </c>
      <c r="H987" s="66">
        <v>28.166</v>
      </c>
      <c r="I987" s="66">
        <v>38.332000000000001</v>
      </c>
      <c r="J987" s="66">
        <v>19.747</v>
      </c>
    </row>
    <row r="988" spans="2:10">
      <c r="B988" s="52" t="s">
        <v>118</v>
      </c>
      <c r="C988" s="66">
        <v>91.314999999999998</v>
      </c>
      <c r="D988" s="66">
        <v>84.546999999999997</v>
      </c>
      <c r="E988" s="66">
        <v>70.171000000000006</v>
      </c>
      <c r="F988" s="66">
        <v>64.114000000000004</v>
      </c>
      <c r="G988" s="66">
        <v>72.275000000000006</v>
      </c>
      <c r="H988" s="66">
        <v>65.23</v>
      </c>
      <c r="I988" s="66">
        <v>393.185</v>
      </c>
      <c r="J988" s="66">
        <v>123.92700000000001</v>
      </c>
    </row>
    <row r="989" spans="2:10">
      <c r="B989" s="52" t="s">
        <v>117</v>
      </c>
      <c r="C989" s="66">
        <v>0</v>
      </c>
      <c r="D989" s="66">
        <v>0</v>
      </c>
      <c r="E989" s="66">
        <v>0</v>
      </c>
      <c r="F989" s="66">
        <v>0</v>
      </c>
      <c r="G989" s="66">
        <v>0</v>
      </c>
      <c r="H989" s="66">
        <v>0</v>
      </c>
      <c r="I989" s="66">
        <v>0</v>
      </c>
      <c r="J989" s="66">
        <v>0</v>
      </c>
    </row>
    <row r="990" spans="2:10">
      <c r="B990" s="52"/>
      <c r="C990" s="66"/>
      <c r="D990" s="66"/>
      <c r="E990" s="66"/>
      <c r="F990" s="66"/>
      <c r="G990" s="66"/>
      <c r="H990" s="66"/>
      <c r="I990" s="66"/>
      <c r="J990" s="66"/>
    </row>
    <row r="991" spans="2:10">
      <c r="B991" s="54" t="s">
        <v>122</v>
      </c>
      <c r="C991" s="66">
        <v>1062.1959999999999</v>
      </c>
      <c r="D991" s="66">
        <v>1036.7149999999999</v>
      </c>
      <c r="E991" s="66">
        <v>985.39800000000002</v>
      </c>
      <c r="F991" s="66">
        <v>906.84199999999998</v>
      </c>
      <c r="G991" s="66">
        <v>1021.8819999999999</v>
      </c>
      <c r="H991" s="66">
        <v>1136.6400000000001</v>
      </c>
      <c r="I991" s="66">
        <v>1203.4269999999999</v>
      </c>
      <c r="J991" s="66">
        <v>922.48299999999995</v>
      </c>
    </row>
    <row r="992" spans="2:10">
      <c r="B992" s="52" t="s">
        <v>121</v>
      </c>
      <c r="C992" s="66">
        <v>0</v>
      </c>
      <c r="D992" s="66">
        <v>0</v>
      </c>
      <c r="E992" s="66">
        <v>0</v>
      </c>
      <c r="F992" s="66">
        <v>0</v>
      </c>
      <c r="G992" s="66">
        <v>0</v>
      </c>
      <c r="H992" s="66">
        <v>0</v>
      </c>
      <c r="I992" s="66">
        <v>0</v>
      </c>
      <c r="J992" s="66">
        <v>0</v>
      </c>
    </row>
    <row r="993" spans="2:10">
      <c r="B993" s="53" t="s">
        <v>120</v>
      </c>
      <c r="C993" s="66">
        <v>0</v>
      </c>
      <c r="D993" s="66">
        <v>0</v>
      </c>
      <c r="E993" s="66">
        <v>0</v>
      </c>
      <c r="F993" s="66">
        <v>0</v>
      </c>
      <c r="G993" s="66">
        <v>0</v>
      </c>
      <c r="H993" s="66">
        <v>0</v>
      </c>
      <c r="I993" s="66">
        <v>0</v>
      </c>
      <c r="J993" s="66">
        <v>0</v>
      </c>
    </row>
    <row r="994" spans="2:10">
      <c r="B994" s="53" t="s">
        <v>119</v>
      </c>
      <c r="C994" s="66">
        <v>0</v>
      </c>
      <c r="D994" s="66">
        <v>0</v>
      </c>
      <c r="E994" s="66">
        <v>0</v>
      </c>
      <c r="F994" s="66">
        <v>0</v>
      </c>
      <c r="G994" s="66">
        <v>0</v>
      </c>
      <c r="H994" s="66">
        <v>0</v>
      </c>
      <c r="I994" s="66">
        <v>0</v>
      </c>
      <c r="J994" s="66">
        <v>0</v>
      </c>
    </row>
    <row r="995" spans="2:10">
      <c r="B995" s="52" t="s">
        <v>118</v>
      </c>
      <c r="C995" s="66">
        <v>0</v>
      </c>
      <c r="D995" s="66">
        <v>0</v>
      </c>
      <c r="E995" s="66">
        <v>0</v>
      </c>
      <c r="F995" s="66">
        <v>0</v>
      </c>
      <c r="G995" s="66">
        <v>0</v>
      </c>
      <c r="H995" s="66">
        <v>0</v>
      </c>
      <c r="I995" s="66">
        <v>0</v>
      </c>
      <c r="J995" s="66">
        <v>0</v>
      </c>
    </row>
    <row r="996" spans="2:10" ht="15" thickBot="1">
      <c r="B996" s="50" t="s">
        <v>117</v>
      </c>
      <c r="C996" s="66">
        <v>0</v>
      </c>
      <c r="D996" s="66">
        <v>0</v>
      </c>
      <c r="E996" s="66">
        <v>0</v>
      </c>
      <c r="F996" s="66">
        <v>0</v>
      </c>
      <c r="G996" s="66">
        <v>0</v>
      </c>
      <c r="H996" s="66">
        <v>0</v>
      </c>
      <c r="I996" s="66">
        <v>0</v>
      </c>
      <c r="J996" s="66">
        <v>0</v>
      </c>
    </row>
    <row r="997" spans="2:10" ht="15" thickTop="1">
      <c r="B997" s="2079" t="s">
        <v>602</v>
      </c>
      <c r="C997" s="2079"/>
      <c r="D997" s="2079"/>
      <c r="E997" s="2079"/>
      <c r="F997" s="2079"/>
      <c r="G997" s="2079"/>
      <c r="H997" s="2079"/>
      <c r="I997" s="2079"/>
      <c r="J997" s="2079"/>
    </row>
    <row r="998" spans="2:10">
      <c r="B998" s="64"/>
    </row>
    <row r="999" spans="2:10">
      <c r="B999" s="2080" t="s">
        <v>129</v>
      </c>
      <c r="C999" s="2080"/>
      <c r="D999" s="2080"/>
      <c r="E999" s="2080"/>
      <c r="F999" s="2080"/>
      <c r="G999" s="2080"/>
      <c r="H999" s="2080"/>
      <c r="I999" s="2080"/>
      <c r="J999" s="2080"/>
    </row>
    <row r="1000" spans="2:10">
      <c r="B1000" s="12" t="s">
        <v>128</v>
      </c>
    </row>
    <row r="1001" spans="2:10">
      <c r="B1001" s="62" t="s">
        <v>127</v>
      </c>
    </row>
    <row r="1002" spans="2:10">
      <c r="B1002" s="62"/>
    </row>
    <row r="1003" spans="2:10">
      <c r="B1003" s="61"/>
      <c r="C1003" s="60">
        <v>2014</v>
      </c>
      <c r="D1003" s="60">
        <v>2015</v>
      </c>
      <c r="E1003" s="60">
        <v>2016</v>
      </c>
      <c r="F1003" s="60">
        <v>2017</v>
      </c>
      <c r="G1003" s="60">
        <v>2018</v>
      </c>
      <c r="H1003" s="60">
        <v>2019</v>
      </c>
      <c r="I1003" s="60">
        <v>2020</v>
      </c>
      <c r="J1003" s="60">
        <v>2021</v>
      </c>
    </row>
    <row r="1004" spans="2:10">
      <c r="B1004" s="71" t="s">
        <v>124</v>
      </c>
      <c r="C1004" s="66">
        <v>2971086.0938654407</v>
      </c>
      <c r="D1004" s="66">
        <v>2808810.1603232874</v>
      </c>
      <c r="E1004" s="66">
        <v>2647084.290988971</v>
      </c>
      <c r="F1004" s="66">
        <v>3058380.2565995851</v>
      </c>
      <c r="G1004" s="66">
        <v>3200328.2217174862</v>
      </c>
      <c r="H1004" s="66">
        <v>3245296.0487610027</v>
      </c>
      <c r="I1004" s="66">
        <v>2275398.9549520034</v>
      </c>
      <c r="J1004" s="66">
        <f>+J1007+J1022+J1029</f>
        <v>2540772.195761974</v>
      </c>
    </row>
    <row r="1005" spans="2:10">
      <c r="B1005" s="71"/>
      <c r="C1005" s="267"/>
      <c r="D1005" s="267"/>
      <c r="E1005" s="267"/>
      <c r="F1005" s="267"/>
      <c r="G1005" s="267"/>
      <c r="H1005" s="267"/>
      <c r="I1005" s="267"/>
      <c r="J1005" s="267"/>
    </row>
    <row r="1006" spans="2:10">
      <c r="B1006" s="59" t="s">
        <v>503</v>
      </c>
      <c r="C1006" s="267"/>
      <c r="D1006" s="267"/>
      <c r="E1006" s="267"/>
      <c r="F1006" s="267"/>
      <c r="G1006" s="267"/>
      <c r="H1006" s="267"/>
      <c r="I1006" s="267"/>
      <c r="J1006" s="267"/>
    </row>
    <row r="1007" spans="2:10">
      <c r="B1007" s="54" t="s">
        <v>123</v>
      </c>
      <c r="C1007" s="66">
        <v>2539478.6214579931</v>
      </c>
      <c r="D1007" s="66">
        <v>2499779.3026711703</v>
      </c>
      <c r="E1007" s="66">
        <v>2354022.2715675556</v>
      </c>
      <c r="F1007" s="66">
        <v>2758113.9660569471</v>
      </c>
      <c r="G1007" s="66">
        <v>2889844.0251285327</v>
      </c>
      <c r="H1007" s="66">
        <v>2965272.687970154</v>
      </c>
      <c r="I1007" s="66">
        <v>2043344.7602882213</v>
      </c>
      <c r="J1007" s="66">
        <f>9483782655.5524/J11</f>
        <v>2382165.6641663238</v>
      </c>
    </row>
    <row r="1008" spans="2:10">
      <c r="B1008" s="52" t="s">
        <v>121</v>
      </c>
      <c r="C1008" s="66">
        <v>0</v>
      </c>
      <c r="D1008" s="66">
        <v>0</v>
      </c>
      <c r="E1008" s="66">
        <v>0</v>
      </c>
      <c r="F1008" s="66">
        <v>0</v>
      </c>
      <c r="G1008" s="66">
        <v>0</v>
      </c>
      <c r="H1008" s="66">
        <v>0</v>
      </c>
      <c r="I1008" s="66">
        <v>0</v>
      </c>
      <c r="J1008" s="66">
        <v>0</v>
      </c>
    </row>
    <row r="1009" spans="2:10">
      <c r="B1009" s="53" t="s">
        <v>120</v>
      </c>
      <c r="C1009" s="66">
        <v>0</v>
      </c>
      <c r="D1009" s="66">
        <v>0</v>
      </c>
      <c r="E1009" s="66">
        <v>0</v>
      </c>
      <c r="F1009" s="66">
        <v>0</v>
      </c>
      <c r="G1009" s="66">
        <v>0</v>
      </c>
      <c r="H1009" s="66">
        <v>0</v>
      </c>
      <c r="I1009" s="66">
        <v>0</v>
      </c>
      <c r="J1009" s="66">
        <v>0</v>
      </c>
    </row>
    <row r="1010" spans="2:10">
      <c r="B1010" s="53" t="s">
        <v>119</v>
      </c>
      <c r="C1010" s="66">
        <v>0</v>
      </c>
      <c r="D1010" s="66">
        <v>0</v>
      </c>
      <c r="E1010" s="66">
        <v>0</v>
      </c>
      <c r="F1010" s="66">
        <v>0</v>
      </c>
      <c r="G1010" s="66">
        <v>0</v>
      </c>
      <c r="H1010" s="66">
        <v>0</v>
      </c>
      <c r="I1010" s="66">
        <v>0</v>
      </c>
      <c r="J1010" s="66">
        <v>0</v>
      </c>
    </row>
    <row r="1011" spans="2:10">
      <c r="B1011" s="52" t="s">
        <v>118</v>
      </c>
      <c r="C1011" s="66">
        <v>0</v>
      </c>
      <c r="D1011" s="66">
        <v>0</v>
      </c>
      <c r="E1011" s="66">
        <v>0</v>
      </c>
      <c r="F1011" s="66">
        <v>0</v>
      </c>
      <c r="G1011" s="66">
        <v>0</v>
      </c>
      <c r="H1011" s="66">
        <v>0</v>
      </c>
      <c r="I1011" s="66">
        <v>0</v>
      </c>
      <c r="J1011" s="66">
        <v>0</v>
      </c>
    </row>
    <row r="1012" spans="2:10">
      <c r="B1012" s="52" t="s">
        <v>117</v>
      </c>
      <c r="C1012" s="66">
        <v>0</v>
      </c>
      <c r="D1012" s="66">
        <v>0</v>
      </c>
      <c r="E1012" s="66">
        <v>0</v>
      </c>
      <c r="F1012" s="66">
        <v>0</v>
      </c>
      <c r="G1012" s="66">
        <v>0</v>
      </c>
      <c r="H1012" s="66">
        <v>0</v>
      </c>
      <c r="I1012" s="66">
        <v>0</v>
      </c>
      <c r="J1012" s="66">
        <v>0</v>
      </c>
    </row>
    <row r="1013" spans="2:10">
      <c r="B1013" s="52"/>
      <c r="C1013" s="267"/>
      <c r="D1013" s="267"/>
      <c r="E1013" s="267"/>
      <c r="F1013" s="267"/>
      <c r="G1013" s="267"/>
      <c r="H1013" s="267"/>
      <c r="I1013" s="267"/>
      <c r="J1013" s="267"/>
    </row>
    <row r="1014" spans="2:10">
      <c r="B1014" s="54" t="s">
        <v>122</v>
      </c>
      <c r="C1014" s="66">
        <v>0</v>
      </c>
      <c r="D1014" s="66">
        <v>0</v>
      </c>
      <c r="E1014" s="66">
        <v>0</v>
      </c>
      <c r="F1014" s="66">
        <v>0</v>
      </c>
      <c r="G1014" s="66">
        <v>0</v>
      </c>
      <c r="H1014" s="66">
        <v>0</v>
      </c>
      <c r="I1014" s="66">
        <v>0</v>
      </c>
      <c r="J1014" s="66">
        <v>0</v>
      </c>
    </row>
    <row r="1015" spans="2:10">
      <c r="B1015" s="52" t="s">
        <v>121</v>
      </c>
      <c r="C1015" s="66">
        <v>0</v>
      </c>
      <c r="D1015" s="66">
        <v>0</v>
      </c>
      <c r="E1015" s="66">
        <v>0</v>
      </c>
      <c r="F1015" s="66">
        <v>0</v>
      </c>
      <c r="G1015" s="66">
        <v>0</v>
      </c>
      <c r="H1015" s="66">
        <v>0</v>
      </c>
      <c r="I1015" s="66">
        <v>0</v>
      </c>
      <c r="J1015" s="66">
        <v>0</v>
      </c>
    </row>
    <row r="1016" spans="2:10">
      <c r="B1016" s="53" t="s">
        <v>120</v>
      </c>
      <c r="C1016" s="66">
        <v>0</v>
      </c>
      <c r="D1016" s="66">
        <v>0</v>
      </c>
      <c r="E1016" s="66">
        <v>0</v>
      </c>
      <c r="F1016" s="66">
        <v>0</v>
      </c>
      <c r="G1016" s="66">
        <v>0</v>
      </c>
      <c r="H1016" s="66">
        <v>0</v>
      </c>
      <c r="I1016" s="66">
        <v>0</v>
      </c>
      <c r="J1016" s="66">
        <v>0</v>
      </c>
    </row>
    <row r="1017" spans="2:10">
      <c r="B1017" s="53" t="s">
        <v>119</v>
      </c>
      <c r="C1017" s="66">
        <v>0</v>
      </c>
      <c r="D1017" s="66">
        <v>0</v>
      </c>
      <c r="E1017" s="66">
        <v>0</v>
      </c>
      <c r="F1017" s="66">
        <v>0</v>
      </c>
      <c r="G1017" s="66">
        <v>0</v>
      </c>
      <c r="H1017" s="66">
        <v>0</v>
      </c>
      <c r="I1017" s="66">
        <v>0</v>
      </c>
      <c r="J1017" s="66">
        <v>0</v>
      </c>
    </row>
    <row r="1018" spans="2:10">
      <c r="B1018" s="52" t="s">
        <v>118</v>
      </c>
      <c r="C1018" s="66">
        <v>0</v>
      </c>
      <c r="D1018" s="66">
        <v>0</v>
      </c>
      <c r="E1018" s="66">
        <v>0</v>
      </c>
      <c r="F1018" s="66">
        <v>0</v>
      </c>
      <c r="G1018" s="66">
        <v>0</v>
      </c>
      <c r="H1018" s="66">
        <v>0</v>
      </c>
      <c r="I1018" s="66">
        <v>0</v>
      </c>
      <c r="J1018" s="66">
        <v>0</v>
      </c>
    </row>
    <row r="1019" spans="2:10">
      <c r="B1019" s="52" t="s">
        <v>117</v>
      </c>
      <c r="C1019" s="66">
        <v>0</v>
      </c>
      <c r="D1019" s="66">
        <v>0</v>
      </c>
      <c r="E1019" s="66">
        <v>0</v>
      </c>
      <c r="F1019" s="66">
        <v>0</v>
      </c>
      <c r="G1019" s="66">
        <v>0</v>
      </c>
      <c r="H1019" s="66">
        <v>0</v>
      </c>
      <c r="I1019" s="66">
        <v>0</v>
      </c>
      <c r="J1019" s="66">
        <v>0</v>
      </c>
    </row>
    <row r="1020" spans="2:10">
      <c r="B1020" s="52"/>
      <c r="C1020" s="66"/>
      <c r="D1020" s="66"/>
      <c r="E1020" s="66"/>
      <c r="F1020" s="66"/>
      <c r="G1020" s="66"/>
      <c r="H1020" s="66"/>
      <c r="I1020" s="66"/>
      <c r="J1020" s="66"/>
    </row>
    <row r="1021" spans="2:10">
      <c r="B1021" s="59" t="s">
        <v>603</v>
      </c>
      <c r="C1021" s="267"/>
      <c r="D1021" s="267"/>
      <c r="E1021" s="267"/>
      <c r="F1021" s="267"/>
      <c r="G1021" s="267"/>
      <c r="H1021" s="267"/>
      <c r="I1021" s="267"/>
      <c r="J1021" s="267"/>
    </row>
    <row r="1022" spans="2:10">
      <c r="B1022" s="54" t="s">
        <v>123</v>
      </c>
      <c r="C1022" s="66">
        <v>85020.330952656193</v>
      </c>
      <c r="D1022" s="66">
        <v>59966.868650609089</v>
      </c>
      <c r="E1022" s="66">
        <v>69376.550128235322</v>
      </c>
      <c r="F1022" s="66">
        <v>69558.435354167857</v>
      </c>
      <c r="G1022" s="66">
        <v>82312.539701371556</v>
      </c>
      <c r="H1022" s="66">
        <v>77338.485544079798</v>
      </c>
      <c r="I1022" s="66">
        <v>162615.75401982828</v>
      </c>
      <c r="J1022" s="66">
        <f>381079389.645678/J11</f>
        <v>95720.691870127805</v>
      </c>
    </row>
    <row r="1023" spans="2:10">
      <c r="B1023" s="52" t="s">
        <v>121</v>
      </c>
      <c r="C1023" s="66">
        <v>65709.864920390173</v>
      </c>
      <c r="D1023" s="66">
        <v>46909.067169377486</v>
      </c>
      <c r="E1023" s="66">
        <v>58463.173237698378</v>
      </c>
      <c r="F1023" s="66">
        <v>59020.254874611819</v>
      </c>
      <c r="G1023" s="66">
        <v>68670.532984256453</v>
      </c>
      <c r="H1023" s="66">
        <v>64871.161745177953</v>
      </c>
      <c r="I1023" s="66">
        <v>98208.89651008138</v>
      </c>
      <c r="J1023" s="66">
        <f>283892983.950557/J11</f>
        <v>71309.111904710444</v>
      </c>
    </row>
    <row r="1024" spans="2:10">
      <c r="B1024" s="53" t="s">
        <v>120</v>
      </c>
      <c r="C1024" s="66">
        <v>43170.865489719203</v>
      </c>
      <c r="D1024" s="66">
        <v>35241.177378680492</v>
      </c>
      <c r="E1024" s="66">
        <v>46057.464779711525</v>
      </c>
      <c r="F1024" s="66">
        <v>43209.08149895769</v>
      </c>
      <c r="G1024" s="66">
        <v>49333.949314420941</v>
      </c>
      <c r="H1024" s="66">
        <v>47488.204626774052</v>
      </c>
      <c r="I1024" s="66">
        <v>64520.989556947323</v>
      </c>
      <c r="J1024" s="66">
        <f>214046184.190239/J11</f>
        <v>53764.778152658779</v>
      </c>
    </row>
    <row r="1025" spans="2:10">
      <c r="B1025" s="53" t="s">
        <v>119</v>
      </c>
      <c r="C1025" s="66">
        <v>22538.999430670963</v>
      </c>
      <c r="D1025" s="66">
        <v>11667.889790697003</v>
      </c>
      <c r="E1025" s="66">
        <v>12405.708457986851</v>
      </c>
      <c r="F1025" s="66">
        <v>15811.173375654131</v>
      </c>
      <c r="G1025" s="66">
        <v>19336.583669835523</v>
      </c>
      <c r="H1025" s="66">
        <v>17382.957118403898</v>
      </c>
      <c r="I1025" s="66">
        <v>33687.906953134057</v>
      </c>
      <c r="J1025" s="66">
        <f>69846799.7603183/J11</f>
        <v>17544.333752051738</v>
      </c>
    </row>
    <row r="1026" spans="2:10">
      <c r="B1026" s="52" t="s">
        <v>118</v>
      </c>
      <c r="C1026" s="66">
        <v>19310.466032266027</v>
      </c>
      <c r="D1026" s="66">
        <v>13057.801481231601</v>
      </c>
      <c r="E1026" s="66">
        <v>10913.376890536956</v>
      </c>
      <c r="F1026" s="66">
        <v>10538.18047955604</v>
      </c>
      <c r="G1026" s="66">
        <v>13642.006717115095</v>
      </c>
      <c r="H1026" s="66">
        <v>12467.323798901854</v>
      </c>
      <c r="I1026" s="66">
        <v>64406.857509746893</v>
      </c>
      <c r="J1026" s="66">
        <f>97186405.6951202/J11</f>
        <v>24411.579965417164</v>
      </c>
    </row>
    <row r="1027" spans="2:10">
      <c r="B1027" s="52" t="s">
        <v>117</v>
      </c>
      <c r="C1027" s="66">
        <v>0</v>
      </c>
      <c r="D1027" s="66">
        <v>0</v>
      </c>
      <c r="E1027" s="66">
        <v>0</v>
      </c>
      <c r="F1027" s="66">
        <v>0</v>
      </c>
      <c r="G1027" s="66">
        <v>0</v>
      </c>
      <c r="H1027" s="66">
        <v>0</v>
      </c>
      <c r="I1027" s="66">
        <v>0</v>
      </c>
      <c r="J1027" s="66">
        <v>0</v>
      </c>
    </row>
    <row r="1028" spans="2:10">
      <c r="B1028" s="52"/>
      <c r="C1028" s="267"/>
      <c r="D1028" s="267"/>
      <c r="E1028" s="267"/>
      <c r="F1028" s="267"/>
      <c r="G1028" s="267"/>
      <c r="H1028" s="267"/>
      <c r="I1028" s="267"/>
      <c r="J1028" s="267"/>
    </row>
    <row r="1029" spans="2:10">
      <c r="B1029" s="54" t="s">
        <v>122</v>
      </c>
      <c r="C1029" s="66">
        <v>346587.14145479171</v>
      </c>
      <c r="D1029" s="66">
        <v>249063.98900150767</v>
      </c>
      <c r="E1029" s="66">
        <v>223685.46929318013</v>
      </c>
      <c r="F1029" s="66">
        <v>230707.85518846998</v>
      </c>
      <c r="G1029" s="66">
        <v>228171.65688758201</v>
      </c>
      <c r="H1029" s="66">
        <v>202684.87524676888</v>
      </c>
      <c r="I1029" s="66">
        <v>69438.440643954193</v>
      </c>
      <c r="J1029" s="66">
        <f>250358589.681661/J11</f>
        <v>62885.839725522463</v>
      </c>
    </row>
    <row r="1030" spans="2:10">
      <c r="B1030" s="52" t="s">
        <v>121</v>
      </c>
      <c r="C1030" s="66">
        <v>0</v>
      </c>
      <c r="D1030" s="66">
        <v>0</v>
      </c>
      <c r="E1030" s="66">
        <v>0</v>
      </c>
      <c r="F1030" s="66">
        <v>0</v>
      </c>
      <c r="G1030" s="66">
        <v>0</v>
      </c>
      <c r="H1030" s="66">
        <v>0</v>
      </c>
      <c r="I1030" s="66">
        <v>0</v>
      </c>
      <c r="J1030" s="66">
        <v>0</v>
      </c>
    </row>
    <row r="1031" spans="2:10">
      <c r="B1031" s="53" t="s">
        <v>120</v>
      </c>
      <c r="C1031" s="66">
        <v>0</v>
      </c>
      <c r="D1031" s="66">
        <v>0</v>
      </c>
      <c r="E1031" s="66">
        <v>0</v>
      </c>
      <c r="F1031" s="66">
        <v>0</v>
      </c>
      <c r="G1031" s="66">
        <v>0</v>
      </c>
      <c r="H1031" s="66">
        <v>0</v>
      </c>
      <c r="I1031" s="66">
        <v>0</v>
      </c>
      <c r="J1031" s="66">
        <v>0</v>
      </c>
    </row>
    <row r="1032" spans="2:10">
      <c r="B1032" s="53" t="s">
        <v>119</v>
      </c>
      <c r="C1032" s="66">
        <v>0</v>
      </c>
      <c r="D1032" s="66">
        <v>0</v>
      </c>
      <c r="E1032" s="66">
        <v>0</v>
      </c>
      <c r="F1032" s="66">
        <v>0</v>
      </c>
      <c r="G1032" s="66">
        <v>0</v>
      </c>
      <c r="H1032" s="66">
        <v>0</v>
      </c>
      <c r="I1032" s="66">
        <v>0</v>
      </c>
      <c r="J1032" s="66">
        <v>0</v>
      </c>
    </row>
    <row r="1033" spans="2:10">
      <c r="B1033" s="52" t="s">
        <v>118</v>
      </c>
      <c r="C1033" s="66">
        <v>0</v>
      </c>
      <c r="D1033" s="66">
        <v>0</v>
      </c>
      <c r="E1033" s="66">
        <v>0</v>
      </c>
      <c r="F1033" s="66">
        <v>0</v>
      </c>
      <c r="G1033" s="66">
        <v>0</v>
      </c>
      <c r="H1033" s="66">
        <v>0</v>
      </c>
      <c r="I1033" s="66">
        <v>0</v>
      </c>
      <c r="J1033" s="66">
        <v>0</v>
      </c>
    </row>
    <row r="1034" spans="2:10" ht="15" thickBot="1">
      <c r="B1034" s="50" t="s">
        <v>117</v>
      </c>
      <c r="C1034" s="66">
        <v>0</v>
      </c>
      <c r="D1034" s="66">
        <v>0</v>
      </c>
      <c r="E1034" s="66">
        <v>0</v>
      </c>
      <c r="F1034" s="66">
        <v>0</v>
      </c>
      <c r="G1034" s="66">
        <v>0</v>
      </c>
      <c r="H1034" s="66">
        <v>0</v>
      </c>
      <c r="I1034" s="66">
        <v>0</v>
      </c>
      <c r="J1034" s="66">
        <v>0</v>
      </c>
    </row>
    <row r="1035" spans="2:10" ht="15" thickTop="1">
      <c r="B1035" s="2079" t="s">
        <v>602</v>
      </c>
      <c r="C1035" s="2079"/>
      <c r="D1035" s="2079"/>
      <c r="E1035" s="2079"/>
      <c r="F1035" s="2079"/>
      <c r="G1035" s="2079"/>
      <c r="H1035" s="2079"/>
      <c r="I1035" s="2079"/>
      <c r="J1035" s="2079"/>
    </row>
    <row r="1038" spans="2:10">
      <c r="B1038" s="14" t="s">
        <v>115</v>
      </c>
      <c r="C1038" s="13"/>
      <c r="D1038" s="13"/>
      <c r="E1038" s="13"/>
      <c r="F1038" s="13"/>
      <c r="G1038" s="13"/>
      <c r="H1038" s="13"/>
      <c r="I1038" s="13"/>
      <c r="J1038" s="13"/>
    </row>
    <row r="1039" spans="2:10">
      <c r="B1039" s="12" t="s">
        <v>114</v>
      </c>
    </row>
    <row r="1041" spans="2:10">
      <c r="B1041" s="2019" t="s">
        <v>11</v>
      </c>
      <c r="C1041" s="2019" t="s">
        <v>604</v>
      </c>
      <c r="D1041" s="2019" t="s">
        <v>113</v>
      </c>
      <c r="E1041" s="2021" t="s">
        <v>24</v>
      </c>
      <c r="F1041" s="2019" t="s">
        <v>112</v>
      </c>
      <c r="G1041" s="2019" t="s">
        <v>111</v>
      </c>
      <c r="H1041" s="2021" t="s">
        <v>110</v>
      </c>
      <c r="I1041" s="2016"/>
      <c r="J1041" s="2016"/>
    </row>
    <row r="1042" spans="2:10">
      <c r="B1042" s="2020"/>
      <c r="C1042" s="2020"/>
      <c r="D1042" s="2020"/>
      <c r="E1042" s="2022"/>
      <c r="F1042" s="2020"/>
      <c r="G1042" s="2020"/>
      <c r="H1042" s="2022"/>
      <c r="I1042" s="2016"/>
      <c r="J1042" s="2016"/>
    </row>
    <row r="1043" spans="2:10">
      <c r="B1043" s="23" t="s">
        <v>605</v>
      </c>
      <c r="C1043" s="16" t="s">
        <v>606</v>
      </c>
      <c r="D1043" s="16" t="s">
        <v>94</v>
      </c>
      <c r="E1043" s="16" t="s">
        <v>1</v>
      </c>
      <c r="F1043" s="16" t="s">
        <v>106</v>
      </c>
      <c r="G1043" s="16" t="s">
        <v>522</v>
      </c>
      <c r="H1043" s="16" t="s">
        <v>102</v>
      </c>
      <c r="I1043" s="16"/>
      <c r="J1043" s="16"/>
    </row>
    <row r="1044" spans="2:10">
      <c r="B1044" s="20" t="s">
        <v>573</v>
      </c>
      <c r="C1044" s="4" t="s">
        <v>103</v>
      </c>
      <c r="D1044" s="4" t="s">
        <v>105</v>
      </c>
      <c r="E1044" s="4" t="s">
        <v>1</v>
      </c>
      <c r="F1044" s="4" t="s">
        <v>489</v>
      </c>
      <c r="G1044" s="4" t="s">
        <v>522</v>
      </c>
      <c r="H1044" s="19" t="s">
        <v>607</v>
      </c>
      <c r="I1044" s="19"/>
      <c r="J1044" s="19"/>
    </row>
    <row r="1045" spans="2:10">
      <c r="B1045" s="20" t="s">
        <v>608</v>
      </c>
      <c r="C1045" s="4" t="s">
        <v>103</v>
      </c>
      <c r="D1045" s="4" t="s">
        <v>105</v>
      </c>
      <c r="E1045" s="4" t="s">
        <v>1</v>
      </c>
      <c r="F1045" s="4" t="s">
        <v>489</v>
      </c>
      <c r="G1045" s="4" t="s">
        <v>522</v>
      </c>
      <c r="H1045" s="4" t="s">
        <v>102</v>
      </c>
      <c r="I1045" s="4"/>
      <c r="J1045" s="4"/>
    </row>
    <row r="1046" spans="2:10" ht="15" thickBot="1">
      <c r="B1046" s="25" t="s">
        <v>609</v>
      </c>
      <c r="C1046" s="17" t="s">
        <v>103</v>
      </c>
      <c r="D1046" s="17" t="s">
        <v>105</v>
      </c>
      <c r="E1046" s="17" t="s">
        <v>108</v>
      </c>
      <c r="F1046" s="17" t="s">
        <v>489</v>
      </c>
      <c r="G1046" s="17" t="s">
        <v>522</v>
      </c>
      <c r="H1046" s="17" t="s">
        <v>102</v>
      </c>
      <c r="I1046" s="16"/>
      <c r="J1046" s="16"/>
    </row>
    <row r="1047" spans="2:10" ht="15" thickTop="1">
      <c r="B1047" s="2077" t="s">
        <v>576</v>
      </c>
      <c r="C1047" s="2077"/>
      <c r="D1047" s="2077"/>
      <c r="E1047" s="2077"/>
      <c r="F1047" s="2077"/>
      <c r="G1047" s="2077"/>
      <c r="H1047" s="2077"/>
      <c r="I1047" s="2078"/>
      <c r="J1047" s="2078"/>
    </row>
    <row r="1048" spans="2:10">
      <c r="B1048" s="288"/>
      <c r="C1048" s="16"/>
      <c r="D1048" s="16"/>
      <c r="E1048" s="289"/>
      <c r="F1048" s="16"/>
      <c r="G1048" s="16"/>
      <c r="H1048" s="16"/>
      <c r="I1048" s="16"/>
      <c r="J1048" s="16"/>
    </row>
    <row r="1049" spans="2:10">
      <c r="B1049" s="2019" t="s">
        <v>11</v>
      </c>
      <c r="C1049" s="2019" t="s">
        <v>610</v>
      </c>
      <c r="D1049" s="2021" t="s">
        <v>101</v>
      </c>
      <c r="E1049" s="2021" t="s">
        <v>100</v>
      </c>
      <c r="F1049" s="2021" t="s">
        <v>99</v>
      </c>
      <c r="G1049" s="2019" t="s">
        <v>98</v>
      </c>
      <c r="H1049" s="2019"/>
      <c r="I1049" s="46"/>
      <c r="J1049" s="46"/>
    </row>
    <row r="1050" spans="2:10">
      <c r="B1050" s="2020"/>
      <c r="C1050" s="2020"/>
      <c r="D1050" s="2022"/>
      <c r="E1050" s="2022"/>
      <c r="F1050" s="2022"/>
      <c r="G1050" s="45" t="s">
        <v>97</v>
      </c>
      <c r="H1050" s="45" t="s">
        <v>96</v>
      </c>
      <c r="I1050" s="44"/>
      <c r="J1050" s="44"/>
    </row>
    <row r="1051" spans="2:10">
      <c r="B1051" s="23" t="s">
        <v>605</v>
      </c>
      <c r="C1051" s="16" t="s">
        <v>611</v>
      </c>
      <c r="D1051" s="290">
        <v>0.83333333333333337</v>
      </c>
      <c r="E1051" s="16" t="s">
        <v>612</v>
      </c>
      <c r="F1051" s="290">
        <v>0.83333333333333337</v>
      </c>
      <c r="G1051" s="290">
        <v>0.29166666666666669</v>
      </c>
      <c r="H1051" s="290">
        <v>0.83333333333333337</v>
      </c>
      <c r="I1051" s="290"/>
      <c r="J1051" s="290"/>
    </row>
    <row r="1052" spans="2:10">
      <c r="B1052" s="20" t="s">
        <v>573</v>
      </c>
      <c r="C1052" s="4" t="s">
        <v>611</v>
      </c>
      <c r="D1052" s="290">
        <v>0.85416666666666663</v>
      </c>
      <c r="E1052" s="291" t="s">
        <v>612</v>
      </c>
      <c r="F1052" s="290">
        <v>0.85416666666666663</v>
      </c>
      <c r="G1052" s="290">
        <v>0.29166666666666669</v>
      </c>
      <c r="H1052" s="290">
        <v>0.85416666666666663</v>
      </c>
      <c r="I1052" s="290"/>
      <c r="J1052" s="290"/>
    </row>
    <row r="1053" spans="2:10">
      <c r="B1053" s="20" t="s">
        <v>608</v>
      </c>
      <c r="C1053" s="4" t="s">
        <v>611</v>
      </c>
      <c r="D1053" s="290">
        <v>0.77083333333333337</v>
      </c>
      <c r="E1053" s="290" t="s">
        <v>612</v>
      </c>
      <c r="F1053" s="290">
        <v>0.8125</v>
      </c>
      <c r="G1053" s="290">
        <v>0.35416666666666669</v>
      </c>
      <c r="H1053" s="290">
        <v>0.77083333333333337</v>
      </c>
      <c r="I1053" s="290"/>
      <c r="J1053" s="290"/>
    </row>
    <row r="1054" spans="2:10" ht="15" thickBot="1">
      <c r="B1054" s="25" t="s">
        <v>609</v>
      </c>
      <c r="C1054" s="16" t="s">
        <v>611</v>
      </c>
      <c r="D1054" s="290">
        <v>0.77083333333333337</v>
      </c>
      <c r="E1054" s="290" t="s">
        <v>612</v>
      </c>
      <c r="F1054" s="290">
        <v>0.77083333333333337</v>
      </c>
      <c r="G1054" s="290">
        <v>0.29166666666666669</v>
      </c>
      <c r="H1054" s="290">
        <v>0.77083333333333337</v>
      </c>
      <c r="I1054" s="290"/>
      <c r="J1054" s="290"/>
    </row>
    <row r="1055" spans="2:10" ht="15" thickTop="1">
      <c r="B1055" s="2077" t="s">
        <v>576</v>
      </c>
      <c r="C1055" s="2077"/>
      <c r="D1055" s="2077"/>
      <c r="E1055" s="2077"/>
      <c r="F1055" s="2077"/>
      <c r="G1055" s="2077"/>
      <c r="H1055" s="2077"/>
      <c r="I1055" s="2078"/>
      <c r="J1055" s="2078"/>
    </row>
    <row r="1057" spans="2:10">
      <c r="B1057" s="14" t="s">
        <v>76</v>
      </c>
      <c r="C1057" s="13"/>
      <c r="D1057" s="13"/>
      <c r="E1057" s="13"/>
      <c r="F1057" s="13"/>
      <c r="G1057" s="13"/>
      <c r="H1057" s="13"/>
      <c r="I1057" s="13"/>
      <c r="J1057" s="13"/>
    </row>
    <row r="1058" spans="2:10">
      <c r="B1058" s="12" t="s">
        <v>75</v>
      </c>
    </row>
    <row r="1060" spans="2:10" ht="25">
      <c r="B1060" s="33" t="s">
        <v>11</v>
      </c>
      <c r="C1060" s="32" t="s">
        <v>24</v>
      </c>
      <c r="D1060" s="32" t="s">
        <v>74</v>
      </c>
      <c r="E1060" s="32" t="s">
        <v>73</v>
      </c>
      <c r="F1060" s="32" t="s">
        <v>72</v>
      </c>
      <c r="G1060" s="32" t="s">
        <v>71</v>
      </c>
    </row>
    <row r="1061" spans="2:10">
      <c r="B1061" s="20" t="s">
        <v>584</v>
      </c>
      <c r="C1061" s="292" t="s">
        <v>1</v>
      </c>
      <c r="D1061" s="292" t="s">
        <v>57</v>
      </c>
      <c r="E1061" s="292" t="s">
        <v>56</v>
      </c>
      <c r="F1061" s="292" t="s">
        <v>613</v>
      </c>
      <c r="G1061" s="292" t="s">
        <v>41</v>
      </c>
    </row>
    <row r="1062" spans="2:10">
      <c r="B1062" s="20" t="s">
        <v>585</v>
      </c>
      <c r="C1062" s="292" t="s">
        <v>19</v>
      </c>
      <c r="D1062" s="292" t="s">
        <v>614</v>
      </c>
      <c r="E1062" s="292" t="s">
        <v>56</v>
      </c>
      <c r="F1062" s="292" t="s">
        <v>615</v>
      </c>
      <c r="G1062" s="292" t="s">
        <v>41</v>
      </c>
    </row>
    <row r="1063" spans="2:10" ht="15" thickBot="1">
      <c r="B1063" s="18" t="s">
        <v>616</v>
      </c>
      <c r="C1063" s="293" t="s">
        <v>19</v>
      </c>
      <c r="D1063" s="294" t="s">
        <v>617</v>
      </c>
      <c r="E1063" s="294" t="s">
        <v>56</v>
      </c>
      <c r="F1063" s="294" t="s">
        <v>618</v>
      </c>
      <c r="G1063" s="294" t="s">
        <v>41</v>
      </c>
    </row>
    <row r="1064" spans="2:10" ht="15" thickTop="1">
      <c r="B1064" s="2037" t="s">
        <v>619</v>
      </c>
      <c r="C1064" s="2037"/>
      <c r="D1064" s="2037"/>
      <c r="E1064" s="2037"/>
      <c r="F1064" s="2037"/>
      <c r="G1064" s="2037"/>
      <c r="H1064" s="2037"/>
      <c r="I1064" s="2037"/>
      <c r="J1064" s="2037"/>
    </row>
    <row r="1065" spans="2:10">
      <c r="B1065" s="2032"/>
      <c r="C1065" s="2032"/>
      <c r="D1065" s="2032"/>
      <c r="E1065" s="2032"/>
      <c r="F1065" s="2032"/>
      <c r="G1065" s="2032"/>
      <c r="H1065" s="2032"/>
      <c r="I1065" s="2032"/>
      <c r="J1065" s="2032"/>
    </row>
    <row r="1067" spans="2:10">
      <c r="B1067" s="14" t="s">
        <v>52</v>
      </c>
      <c r="C1067" s="13"/>
      <c r="D1067" s="13"/>
      <c r="E1067" s="13"/>
      <c r="F1067" s="13"/>
      <c r="G1067" s="13"/>
      <c r="H1067" s="13"/>
      <c r="I1067" s="13"/>
      <c r="J1067" s="13"/>
    </row>
    <row r="1068" spans="2:10">
      <c r="B1068" s="12" t="s">
        <v>51</v>
      </c>
    </row>
    <row r="1070" spans="2:10">
      <c r="B1070" s="2019" t="s">
        <v>38</v>
      </c>
      <c r="C1070" s="2021" t="s">
        <v>530</v>
      </c>
      <c r="D1070" s="2021" t="s">
        <v>24</v>
      </c>
      <c r="E1070" s="2021" t="s">
        <v>50</v>
      </c>
      <c r="F1070" s="2021" t="s">
        <v>49</v>
      </c>
      <c r="G1070" s="2021" t="s">
        <v>48</v>
      </c>
      <c r="H1070" s="2021" t="s">
        <v>47</v>
      </c>
      <c r="I1070" s="2016"/>
      <c r="J1070" s="2016"/>
    </row>
    <row r="1071" spans="2:10">
      <c r="B1071" s="2020"/>
      <c r="C1071" s="2022"/>
      <c r="D1071" s="2022"/>
      <c r="E1071" s="2022"/>
      <c r="F1071" s="2022"/>
      <c r="G1071" s="2022"/>
      <c r="H1071" s="2022"/>
      <c r="I1071" s="2016"/>
      <c r="J1071" s="2016"/>
    </row>
    <row r="1072" spans="2:10">
      <c r="B1072" s="23" t="s">
        <v>620</v>
      </c>
      <c r="C1072" s="4" t="s">
        <v>536</v>
      </c>
      <c r="D1072" s="4" t="s">
        <v>543</v>
      </c>
      <c r="E1072" s="4" t="s">
        <v>41</v>
      </c>
      <c r="F1072" s="4" t="s">
        <v>41</v>
      </c>
      <c r="G1072" s="4" t="s">
        <v>533</v>
      </c>
      <c r="H1072" s="4" t="s">
        <v>621</v>
      </c>
      <c r="I1072" s="4"/>
      <c r="J1072" s="4"/>
    </row>
    <row r="1073" spans="2:10" ht="15" thickBot="1">
      <c r="B1073" s="25" t="s">
        <v>622</v>
      </c>
      <c r="C1073" s="295" t="s">
        <v>623</v>
      </c>
      <c r="D1073" s="295" t="s">
        <v>543</v>
      </c>
      <c r="E1073" s="295" t="s">
        <v>41</v>
      </c>
      <c r="F1073" s="295" t="s">
        <v>41</v>
      </c>
      <c r="G1073" s="295" t="s">
        <v>533</v>
      </c>
      <c r="H1073" s="295" t="s">
        <v>624</v>
      </c>
      <c r="I1073" s="4"/>
      <c r="J1073" s="4"/>
    </row>
    <row r="1074" spans="2:10" ht="15" thickTop="1">
      <c r="B1074" s="24"/>
      <c r="C1074" s="16"/>
      <c r="D1074" s="16"/>
      <c r="E1074" s="16"/>
      <c r="F1074" s="16"/>
      <c r="G1074" s="16"/>
      <c r="H1074" s="16"/>
      <c r="I1074" s="16"/>
      <c r="J1074" s="16"/>
    </row>
    <row r="1075" spans="2:10">
      <c r="B1075" s="2019" t="s">
        <v>38</v>
      </c>
      <c r="C1075" s="2021" t="s">
        <v>538</v>
      </c>
      <c r="D1075" s="2021" t="s">
        <v>37</v>
      </c>
      <c r="E1075" s="2021" t="s">
        <v>8</v>
      </c>
      <c r="F1075" s="2021" t="s">
        <v>36</v>
      </c>
      <c r="G1075" s="8"/>
      <c r="H1075" s="8"/>
      <c r="I1075" s="8"/>
      <c r="J1075" s="8"/>
    </row>
    <row r="1076" spans="2:10">
      <c r="B1076" s="2020"/>
      <c r="C1076" s="2022"/>
      <c r="D1076" s="2022"/>
      <c r="E1076" s="2022"/>
      <c r="F1076" s="2022"/>
      <c r="G1076" s="7"/>
      <c r="H1076" s="7"/>
      <c r="I1076" s="7"/>
      <c r="J1076" s="7"/>
    </row>
    <row r="1077" spans="2:10">
      <c r="B1077" s="23" t="s">
        <v>620</v>
      </c>
      <c r="C1077" s="4" t="s">
        <v>625</v>
      </c>
      <c r="D1077" s="19" t="s">
        <v>626</v>
      </c>
      <c r="E1077" s="4" t="s">
        <v>1</v>
      </c>
      <c r="F1077" s="4">
        <v>0</v>
      </c>
      <c r="G1077" s="16"/>
      <c r="H1077" s="16"/>
      <c r="I1077" s="16"/>
      <c r="J1077" s="16"/>
    </row>
    <row r="1078" spans="2:10" ht="15" thickBot="1">
      <c r="B1078" s="25" t="s">
        <v>622</v>
      </c>
      <c r="C1078" s="295" t="s">
        <v>627</v>
      </c>
      <c r="D1078" s="295">
        <v>0</v>
      </c>
      <c r="E1078" s="295" t="s">
        <v>628</v>
      </c>
      <c r="F1078" s="295">
        <v>0</v>
      </c>
      <c r="G1078" s="16"/>
      <c r="H1078" s="16"/>
      <c r="I1078" s="16"/>
      <c r="J1078" s="16"/>
    </row>
    <row r="1079" spans="2:10" ht="15" thickTop="1">
      <c r="B1079" s="9" t="s">
        <v>629</v>
      </c>
    </row>
    <row r="1080" spans="2:10">
      <c r="B1080" s="9" t="s">
        <v>630</v>
      </c>
    </row>
    <row r="1082" spans="2:10">
      <c r="B1082" s="14" t="s">
        <v>26</v>
      </c>
      <c r="C1082" s="13"/>
      <c r="D1082" s="13"/>
      <c r="E1082" s="13"/>
      <c r="F1082" s="13"/>
      <c r="G1082" s="13"/>
      <c r="H1082" s="13"/>
      <c r="I1082" s="13"/>
      <c r="J1082" s="13"/>
    </row>
    <row r="1083" spans="2:10">
      <c r="B1083" s="12" t="s">
        <v>25</v>
      </c>
    </row>
    <row r="1085" spans="2:10">
      <c r="B1085" s="2019" t="s">
        <v>11</v>
      </c>
      <c r="C1085" s="2021" t="s">
        <v>541</v>
      </c>
      <c r="D1085" s="2021" t="s">
        <v>24</v>
      </c>
      <c r="E1085" s="2021" t="s">
        <v>23</v>
      </c>
      <c r="F1085" s="2021" t="s">
        <v>22</v>
      </c>
      <c r="G1085" s="2021" t="s">
        <v>21</v>
      </c>
      <c r="H1085" s="2021" t="s">
        <v>20</v>
      </c>
      <c r="I1085" s="2016"/>
      <c r="J1085" s="2016"/>
    </row>
    <row r="1086" spans="2:10">
      <c r="B1086" s="2020"/>
      <c r="C1086" s="2022"/>
      <c r="D1086" s="2022"/>
      <c r="E1086" s="2022"/>
      <c r="F1086" s="2022"/>
      <c r="G1086" s="2022"/>
      <c r="H1086" s="2022"/>
      <c r="I1086" s="2016"/>
      <c r="J1086" s="2016"/>
    </row>
    <row r="1087" spans="2:10" ht="24">
      <c r="B1087" s="23" t="s">
        <v>503</v>
      </c>
      <c r="C1087" s="296" t="s">
        <v>57</v>
      </c>
      <c r="D1087" s="297" t="s">
        <v>1</v>
      </c>
      <c r="E1087" s="297" t="s">
        <v>503</v>
      </c>
      <c r="F1087" s="298">
        <v>0.83333333333333337</v>
      </c>
      <c r="G1087" s="296" t="s">
        <v>631</v>
      </c>
      <c r="H1087" s="297" t="s">
        <v>632</v>
      </c>
      <c r="I1087" s="4"/>
      <c r="J1087" s="4"/>
    </row>
    <row r="1088" spans="2:10" ht="24.5" thickBot="1">
      <c r="B1088" s="25" t="s">
        <v>603</v>
      </c>
      <c r="C1088" s="299" t="s">
        <v>633</v>
      </c>
      <c r="D1088" s="295" t="s">
        <v>522</v>
      </c>
      <c r="E1088" s="295" t="s">
        <v>601</v>
      </c>
      <c r="F1088" s="300">
        <v>0.83333333333333337</v>
      </c>
      <c r="G1088" s="299" t="s">
        <v>634</v>
      </c>
      <c r="H1088" s="295" t="s">
        <v>632</v>
      </c>
      <c r="I1088" s="4"/>
      <c r="J1088" s="4"/>
    </row>
    <row r="1089" spans="2:10" ht="15" thickTop="1">
      <c r="B1089" s="9"/>
    </row>
    <row r="1090" spans="2:10">
      <c r="B1090" s="2019" t="s">
        <v>11</v>
      </c>
      <c r="C1090" s="2021" t="s">
        <v>546</v>
      </c>
      <c r="D1090" s="2021" t="s">
        <v>10</v>
      </c>
      <c r="E1090" s="2021" t="s">
        <v>9</v>
      </c>
      <c r="F1090" s="2021" t="s">
        <v>8</v>
      </c>
      <c r="G1090" s="8"/>
      <c r="H1090" s="8"/>
      <c r="I1090" s="8"/>
      <c r="J1090" s="8"/>
    </row>
    <row r="1091" spans="2:10">
      <c r="B1091" s="2020"/>
      <c r="C1091" s="2022"/>
      <c r="D1091" s="2022"/>
      <c r="E1091" s="2022"/>
      <c r="F1091" s="2022"/>
      <c r="G1091" s="7"/>
      <c r="H1091" s="7"/>
      <c r="I1091" s="7"/>
      <c r="J1091" s="7"/>
    </row>
    <row r="1092" spans="2:10">
      <c r="B1092" s="23" t="s">
        <v>503</v>
      </c>
      <c r="C1092" s="4" t="s">
        <v>547</v>
      </c>
      <c r="D1092" s="4" t="s">
        <v>3</v>
      </c>
      <c r="E1092" s="4" t="s">
        <v>625</v>
      </c>
      <c r="F1092" s="4" t="s">
        <v>1</v>
      </c>
      <c r="G1092" s="7"/>
      <c r="H1092" s="7"/>
      <c r="I1092" s="7"/>
      <c r="J1092" s="7"/>
    </row>
    <row r="1093" spans="2:10" ht="15" thickBot="1">
      <c r="B1093" s="25" t="s">
        <v>603</v>
      </c>
      <c r="C1093" s="301" t="s">
        <v>547</v>
      </c>
      <c r="D1093" s="295" t="s">
        <v>3</v>
      </c>
      <c r="E1093" s="295" t="s">
        <v>625</v>
      </c>
      <c r="F1093" s="295" t="s">
        <v>1</v>
      </c>
      <c r="G1093" s="3"/>
      <c r="H1093" s="3"/>
      <c r="I1093" s="3"/>
      <c r="J1093" s="3"/>
    </row>
    <row r="1094" spans="2:10" ht="15" thickTop="1">
      <c r="B1094" s="9" t="s">
        <v>635</v>
      </c>
    </row>
  </sheetData>
  <mergeCells count="94">
    <mergeCell ref="B49:J49"/>
    <mergeCell ref="B2:J2"/>
    <mergeCell ref="B13:J13"/>
    <mergeCell ref="B15:J15"/>
    <mergeCell ref="B31:J31"/>
    <mergeCell ref="B34:J34"/>
    <mergeCell ref="B335:J335"/>
    <mergeCell ref="B51:J51"/>
    <mergeCell ref="B79:J79"/>
    <mergeCell ref="B81:J81"/>
    <mergeCell ref="B108:J108"/>
    <mergeCell ref="B110:J110"/>
    <mergeCell ref="B141:J141"/>
    <mergeCell ref="B143:J143"/>
    <mergeCell ref="B207:J207"/>
    <mergeCell ref="B209:J209"/>
    <mergeCell ref="B273:J273"/>
    <mergeCell ref="B275:J275"/>
    <mergeCell ref="B597:J597"/>
    <mergeCell ref="B337:J337"/>
    <mergeCell ref="B412:J412"/>
    <mergeCell ref="B414:J414"/>
    <mergeCell ref="B489:J489"/>
    <mergeCell ref="B491:J491"/>
    <mergeCell ref="B495:J495"/>
    <mergeCell ref="B556:J556"/>
    <mergeCell ref="B558:J558"/>
    <mergeCell ref="B586:J586"/>
    <mergeCell ref="B588:J588"/>
    <mergeCell ref="B595:J595"/>
    <mergeCell ref="B939:J939"/>
    <mergeCell ref="B649:J649"/>
    <mergeCell ref="B651:J651"/>
    <mergeCell ref="B703:J703"/>
    <mergeCell ref="B705:J705"/>
    <mergeCell ref="B747:J747"/>
    <mergeCell ref="B749:J749"/>
    <mergeCell ref="B806:J806"/>
    <mergeCell ref="B808:J808"/>
    <mergeCell ref="B865:J865"/>
    <mergeCell ref="B915:J915"/>
    <mergeCell ref="B937:J937"/>
    <mergeCell ref="B959:J959"/>
    <mergeCell ref="B961:J961"/>
    <mergeCell ref="B997:J997"/>
    <mergeCell ref="B999:J999"/>
    <mergeCell ref="B1035:J1035"/>
    <mergeCell ref="G1041:G1042"/>
    <mergeCell ref="H1041:H1042"/>
    <mergeCell ref="I1041:I1042"/>
    <mergeCell ref="J1041:J1042"/>
    <mergeCell ref="B1047:J1047"/>
    <mergeCell ref="B1041:B1042"/>
    <mergeCell ref="C1041:C1042"/>
    <mergeCell ref="D1041:D1042"/>
    <mergeCell ref="E1041:E1042"/>
    <mergeCell ref="F1041:F1042"/>
    <mergeCell ref="G1049:H1049"/>
    <mergeCell ref="B1055:J1055"/>
    <mergeCell ref="B1064:J1064"/>
    <mergeCell ref="B1065:J1065"/>
    <mergeCell ref="B1070:B1071"/>
    <mergeCell ref="C1070:C1071"/>
    <mergeCell ref="D1070:D1071"/>
    <mergeCell ref="E1070:E1071"/>
    <mergeCell ref="F1070:F1071"/>
    <mergeCell ref="G1070:G1071"/>
    <mergeCell ref="B1049:B1050"/>
    <mergeCell ref="C1049:C1050"/>
    <mergeCell ref="D1049:D1050"/>
    <mergeCell ref="E1049:E1050"/>
    <mergeCell ref="F1049:F1050"/>
    <mergeCell ref="H1070:H1071"/>
    <mergeCell ref="I1070:I1071"/>
    <mergeCell ref="J1070:J1071"/>
    <mergeCell ref="B1075:B1076"/>
    <mergeCell ref="C1075:C1076"/>
    <mergeCell ref="D1075:D1076"/>
    <mergeCell ref="E1075:E1076"/>
    <mergeCell ref="F1075:F1076"/>
    <mergeCell ref="H1085:H1086"/>
    <mergeCell ref="I1085:I1086"/>
    <mergeCell ref="J1085:J1086"/>
    <mergeCell ref="B1090:B1091"/>
    <mergeCell ref="C1090:C1091"/>
    <mergeCell ref="D1090:D1091"/>
    <mergeCell ref="E1090:E1091"/>
    <mergeCell ref="F1090:F1091"/>
    <mergeCell ref="B1085:B1086"/>
    <mergeCell ref="C1085:C1086"/>
    <mergeCell ref="D1085:D1086"/>
    <mergeCell ref="E1085:E1086"/>
    <mergeCell ref="F1085:F1086"/>
    <mergeCell ref="G1085:G1086"/>
  </mergeCells>
  <pageMargins left="0.7" right="0.7" top="0.75" bottom="0.75" header="0.3" footer="0.3"/>
  <pageSetup paperSize="9" scale="29" orientation="portrait" r:id="rId1"/>
  <rowBreaks count="8" manualBreakCount="8">
    <brk id="79" min="1" max="9" man="1"/>
    <brk id="141" min="1" max="9" man="1"/>
    <brk id="273" min="1" max="9" man="1"/>
    <brk id="412" min="1" max="9" man="1"/>
    <brk id="557" min="1" max="9" man="1"/>
    <brk id="703" min="1" max="9" man="1"/>
    <brk id="865" min="1" max="9" man="1"/>
    <brk id="1035" min="1"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8F7D3-8E2F-451F-A780-CCE0C1613C9C}">
  <dimension ref="B2:J1003"/>
  <sheetViews>
    <sheetView view="pageBreakPreview" topLeftCell="A808" zoomScaleNormal="100" zoomScaleSheetLayoutView="100" workbookViewId="0">
      <selection activeCell="B824" sqref="B824"/>
    </sheetView>
  </sheetViews>
  <sheetFormatPr baseColWidth="10" defaultColWidth="11.54296875" defaultRowHeight="14.5"/>
  <cols>
    <col min="1" max="1" width="5.7265625" customWidth="1"/>
    <col min="2" max="2" width="47.54296875" style="1132" customWidth="1"/>
    <col min="3" max="10" width="14.7265625" style="191" customWidth="1"/>
  </cols>
  <sheetData>
    <row r="2" spans="2:10">
      <c r="B2" s="2081" t="s">
        <v>464</v>
      </c>
      <c r="C2" s="2081"/>
      <c r="D2" s="2081"/>
      <c r="E2" s="2081"/>
      <c r="F2" s="2081"/>
      <c r="G2" s="2081"/>
      <c r="H2" s="2081"/>
      <c r="I2" s="2081"/>
      <c r="J2" s="2081"/>
    </row>
    <row r="3" spans="2:10">
      <c r="B3" s="1049" t="s">
        <v>463</v>
      </c>
    </row>
    <row r="4" spans="2:10">
      <c r="B4" s="1050"/>
    </row>
    <row r="5" spans="2:10">
      <c r="B5" s="1051"/>
      <c r="C5" s="1052">
        <v>2014</v>
      </c>
      <c r="D5" s="1052">
        <v>2015</v>
      </c>
      <c r="E5" s="1052">
        <v>2016</v>
      </c>
      <c r="F5" s="1052">
        <v>2017</v>
      </c>
      <c r="G5" s="1052">
        <v>2018</v>
      </c>
      <c r="H5" s="1052">
        <v>2019</v>
      </c>
      <c r="I5" s="1052">
        <v>2020</v>
      </c>
      <c r="J5" s="1052">
        <v>2021</v>
      </c>
    </row>
    <row r="6" spans="2:10">
      <c r="B6" s="1053" t="s">
        <v>465</v>
      </c>
      <c r="C6" s="1054">
        <v>4773.1189999999997</v>
      </c>
      <c r="D6" s="1055">
        <v>4832.2269999999999</v>
      </c>
      <c r="E6" s="1055">
        <v>4890.3720000000003</v>
      </c>
      <c r="F6" s="1055">
        <v>4947.4809999999998</v>
      </c>
      <c r="G6" s="1055">
        <v>5003.4019576721303</v>
      </c>
      <c r="H6" s="1055">
        <v>5058.0071472190202</v>
      </c>
      <c r="I6" s="1055">
        <v>5111.2382164700002</v>
      </c>
      <c r="J6" s="1055">
        <v>5163.0209999999997</v>
      </c>
    </row>
    <row r="7" spans="2:10">
      <c r="B7" s="1053" t="s">
        <v>1607</v>
      </c>
      <c r="C7" s="1056">
        <f>C8*C6/1000</f>
        <v>52016.289742666653</v>
      </c>
      <c r="D7" s="1056">
        <f t="shared" ref="D7:J7" si="0">D8*D6/1000</f>
        <v>56441.841240517009</v>
      </c>
      <c r="E7" s="1056">
        <f t="shared" si="0"/>
        <v>58846.929910840154</v>
      </c>
      <c r="F7" s="1056">
        <f t="shared" si="0"/>
        <v>60515.939512856181</v>
      </c>
      <c r="G7" s="1056">
        <f t="shared" si="0"/>
        <v>62420.164964685144</v>
      </c>
      <c r="H7" s="1056">
        <f t="shared" si="0"/>
        <v>64417.670555762459</v>
      </c>
      <c r="I7" s="1056">
        <f t="shared" si="0"/>
        <v>62395.610764042052</v>
      </c>
      <c r="J7" s="1056">
        <f t="shared" si="0"/>
        <v>64616.269773297739</v>
      </c>
    </row>
    <row r="8" spans="2:10">
      <c r="B8" s="1053" t="s">
        <v>460</v>
      </c>
      <c r="C8" s="1057">
        <v>10897.75673782</v>
      </c>
      <c r="D8" s="1057">
        <v>11680.29590508</v>
      </c>
      <c r="E8" s="1057">
        <v>12033.221585359999</v>
      </c>
      <c r="F8" s="1057">
        <v>12231.6668852</v>
      </c>
      <c r="G8" s="1057">
        <v>12475.544737910001</v>
      </c>
      <c r="H8" s="1057">
        <v>12735.780848230001</v>
      </c>
      <c r="I8" s="1057">
        <v>12207.533306310001</v>
      </c>
      <c r="J8" s="1057">
        <v>12515.205685450001</v>
      </c>
    </row>
    <row r="9" spans="2:10">
      <c r="B9" s="1053" t="s">
        <v>466</v>
      </c>
      <c r="C9" s="1058">
        <v>5.13</v>
      </c>
      <c r="D9" s="1058">
        <v>-0.81</v>
      </c>
      <c r="E9" s="1058">
        <v>0.77</v>
      </c>
      <c r="F9" s="1058">
        <v>2.57</v>
      </c>
      <c r="G9" s="1058">
        <v>2.0299999999999998</v>
      </c>
      <c r="H9" s="1058">
        <v>1.52</v>
      </c>
      <c r="I9" s="1058">
        <v>0.89</v>
      </c>
      <c r="J9" s="1058">
        <v>3.3</v>
      </c>
    </row>
    <row r="10" spans="2:10">
      <c r="B10" s="1053" t="s">
        <v>467</v>
      </c>
      <c r="C10" s="1056"/>
      <c r="D10" s="1056"/>
      <c r="E10" s="1056"/>
      <c r="F10" s="1056"/>
      <c r="G10" s="1056"/>
      <c r="H10" s="1056"/>
      <c r="I10" s="1056"/>
      <c r="J10" s="1056"/>
    </row>
    <row r="11" spans="2:10">
      <c r="B11" s="1059" t="s">
        <v>468</v>
      </c>
      <c r="C11" s="1060">
        <v>539.41999999999996</v>
      </c>
      <c r="D11" s="1060">
        <v>538.40499999999997</v>
      </c>
      <c r="E11" s="1060">
        <v>554.64</v>
      </c>
      <c r="F11" s="1060">
        <v>569.49</v>
      </c>
      <c r="G11" s="1060">
        <v>608.06999999999994</v>
      </c>
      <c r="H11" s="1060">
        <v>573.29</v>
      </c>
      <c r="I11" s="1060">
        <v>613.91499999999996</v>
      </c>
      <c r="J11" s="1060">
        <v>642.15499999999997</v>
      </c>
    </row>
    <row r="12" spans="2:10" ht="15" thickBot="1">
      <c r="B12" s="1061" t="s">
        <v>456</v>
      </c>
      <c r="C12" s="1062">
        <v>538.35847945205501</v>
      </c>
      <c r="D12" s="1062">
        <v>534.55161643835515</v>
      </c>
      <c r="E12" s="1062">
        <v>544.76401639344306</v>
      </c>
      <c r="F12" s="1062">
        <v>567.55509589041083</v>
      </c>
      <c r="G12" s="1062">
        <v>576.98294520547938</v>
      </c>
      <c r="H12" s="1062">
        <v>587.13109589041017</v>
      </c>
      <c r="I12" s="1062">
        <v>584.9422131147536</v>
      </c>
      <c r="J12" s="1062">
        <v>620.83764383561595</v>
      </c>
    </row>
    <row r="13" spans="2:10" ht="15" thickTop="1">
      <c r="B13" s="2093" t="s">
        <v>1608</v>
      </c>
      <c r="C13" s="2093"/>
      <c r="D13" s="2093"/>
      <c r="E13" s="2093"/>
      <c r="F13" s="2093"/>
      <c r="G13" s="2093"/>
      <c r="H13" s="2093"/>
      <c r="I13" s="2093"/>
      <c r="J13" s="2093"/>
    </row>
    <row r="14" spans="2:10">
      <c r="B14" s="403"/>
    </row>
    <row r="15" spans="2:10">
      <c r="B15" s="2081" t="s">
        <v>454</v>
      </c>
      <c r="C15" s="2081"/>
      <c r="D15" s="2081"/>
      <c r="E15" s="2081"/>
      <c r="F15" s="2081"/>
      <c r="G15" s="2081"/>
      <c r="H15" s="2081"/>
      <c r="I15" s="2081"/>
      <c r="J15" s="2081"/>
    </row>
    <row r="16" spans="2:10">
      <c r="B16" s="1049" t="s">
        <v>453</v>
      </c>
    </row>
    <row r="17" spans="2:10">
      <c r="B17" s="1063" t="s">
        <v>242</v>
      </c>
    </row>
    <row r="18" spans="2:10">
      <c r="B18" s="403"/>
    </row>
    <row r="19" spans="2:10">
      <c r="B19" s="1051"/>
      <c r="C19" s="1052">
        <v>2014</v>
      </c>
      <c r="D19" s="1052">
        <v>2015</v>
      </c>
      <c r="E19" s="1052">
        <v>2016</v>
      </c>
      <c r="F19" s="1052">
        <v>2017</v>
      </c>
      <c r="G19" s="1052">
        <v>2018</v>
      </c>
      <c r="H19" s="1052">
        <v>2019</v>
      </c>
      <c r="I19" s="1052">
        <v>2020</v>
      </c>
      <c r="J19" s="1052">
        <v>2021</v>
      </c>
    </row>
    <row r="20" spans="2:10">
      <c r="B20" s="1064" t="s">
        <v>413</v>
      </c>
      <c r="C20" s="979">
        <v>1277.9208185949726</v>
      </c>
      <c r="D20" s="979">
        <v>1359.9129874182074</v>
      </c>
      <c r="E20" s="979">
        <v>1411.3986007201067</v>
      </c>
      <c r="F20" s="979">
        <v>1464.8820053612881</v>
      </c>
      <c r="G20" s="979">
        <v>1425.5969984865233</v>
      </c>
      <c r="H20" s="979">
        <v>1563.11468256031</v>
      </c>
      <c r="I20" s="979">
        <v>1687.6364045229391</v>
      </c>
      <c r="J20" s="979">
        <v>1508.7155580241531</v>
      </c>
    </row>
    <row r="21" spans="2:10">
      <c r="B21" s="1065" t="s">
        <v>452</v>
      </c>
      <c r="C21" s="979"/>
      <c r="D21" s="979"/>
      <c r="E21" s="979"/>
      <c r="F21" s="979"/>
      <c r="G21" s="979"/>
      <c r="H21" s="979"/>
      <c r="I21" s="979"/>
      <c r="J21" s="979"/>
    </row>
    <row r="22" spans="2:10">
      <c r="B22" s="1066" t="s">
        <v>379</v>
      </c>
      <c r="C22" s="979"/>
      <c r="D22" s="979"/>
      <c r="E22" s="979"/>
      <c r="F22" s="979"/>
      <c r="G22" s="979"/>
      <c r="H22" s="979"/>
      <c r="I22" s="979"/>
      <c r="J22" s="979"/>
    </row>
    <row r="23" spans="2:10">
      <c r="B23" s="124" t="s">
        <v>451</v>
      </c>
      <c r="C23" s="979">
        <v>7495.781085118072</v>
      </c>
      <c r="D23" s="979">
        <v>8843.8670115706773</v>
      </c>
      <c r="E23" s="979">
        <v>9438.4592141416597</v>
      </c>
      <c r="F23" s="979">
        <v>9114.0498520948568</v>
      </c>
      <c r="G23" s="979">
        <v>9053.099056787245</v>
      </c>
      <c r="H23" s="979">
        <v>10847.987764511643</v>
      </c>
      <c r="I23" s="979">
        <v>13213.12918007273</v>
      </c>
      <c r="J23" s="979">
        <v>14836.116327336624</v>
      </c>
    </row>
    <row r="24" spans="2:10">
      <c r="B24" s="124" t="s">
        <v>450</v>
      </c>
      <c r="C24" s="979">
        <v>5466.1856137498989</v>
      </c>
      <c r="D24" s="979">
        <v>5818.4100280413077</v>
      </c>
      <c r="E24" s="979">
        <v>6063.6621898842677</v>
      </c>
      <c r="F24" s="979">
        <v>6425.0666944140021</v>
      </c>
      <c r="G24" s="979">
        <v>6660.2774310777049</v>
      </c>
      <c r="H24" s="979">
        <v>7197.6707920530798</v>
      </c>
      <c r="I24" s="979">
        <v>9035.3181854601862</v>
      </c>
      <c r="J24" s="979">
        <v>10789.466569720083</v>
      </c>
    </row>
    <row r="25" spans="2:10">
      <c r="B25" s="1065" t="s">
        <v>449</v>
      </c>
      <c r="C25" s="979">
        <v>8773.7019037130449</v>
      </c>
      <c r="D25" s="979">
        <v>10203.779998988884</v>
      </c>
      <c r="E25" s="979">
        <v>10849.857814861765</v>
      </c>
      <c r="F25" s="979">
        <v>10578.931857456144</v>
      </c>
      <c r="G25" s="979">
        <v>10478.696055273769</v>
      </c>
      <c r="H25" s="979">
        <v>12411.102447071953</v>
      </c>
      <c r="I25" s="979">
        <v>14900.765584595671</v>
      </c>
      <c r="J25" s="979">
        <v>16344.831885360702</v>
      </c>
    </row>
    <row r="26" spans="2:10">
      <c r="B26" s="1065" t="s">
        <v>448</v>
      </c>
      <c r="C26" s="445"/>
      <c r="D26" s="445"/>
      <c r="E26" s="445"/>
      <c r="F26" s="445"/>
      <c r="G26" s="445"/>
      <c r="H26" s="445"/>
      <c r="I26" s="445"/>
      <c r="J26" s="445"/>
    </row>
    <row r="27" spans="2:10">
      <c r="B27" s="1067" t="s">
        <v>447</v>
      </c>
      <c r="C27" s="445">
        <v>0</v>
      </c>
      <c r="D27" s="445">
        <v>0</v>
      </c>
      <c r="E27" s="445">
        <v>0</v>
      </c>
      <c r="F27" s="445">
        <v>0</v>
      </c>
      <c r="G27" s="445">
        <v>0</v>
      </c>
      <c r="H27" s="445">
        <v>0</v>
      </c>
      <c r="I27" s="445">
        <v>0</v>
      </c>
      <c r="J27" s="445">
        <v>0</v>
      </c>
    </row>
    <row r="28" spans="2:10">
      <c r="B28" s="1067" t="s">
        <v>445</v>
      </c>
      <c r="C28" s="445">
        <v>0</v>
      </c>
      <c r="D28" s="445">
        <v>0</v>
      </c>
      <c r="E28" s="445">
        <v>0</v>
      </c>
      <c r="F28" s="445">
        <v>0</v>
      </c>
      <c r="G28" s="445">
        <v>0</v>
      </c>
      <c r="H28" s="445">
        <v>0</v>
      </c>
      <c r="I28" s="445">
        <v>0</v>
      </c>
      <c r="J28" s="445">
        <v>0</v>
      </c>
    </row>
    <row r="29" spans="2:10">
      <c r="B29" s="1067" t="s">
        <v>444</v>
      </c>
      <c r="C29" s="445">
        <v>0</v>
      </c>
      <c r="D29" s="445">
        <v>0</v>
      </c>
      <c r="E29" s="445">
        <v>0</v>
      </c>
      <c r="F29" s="445">
        <v>0</v>
      </c>
      <c r="G29" s="445">
        <v>0</v>
      </c>
      <c r="H29" s="445">
        <v>0</v>
      </c>
      <c r="I29" s="445">
        <v>0</v>
      </c>
      <c r="J29" s="445">
        <v>0</v>
      </c>
    </row>
    <row r="30" spans="2:10" ht="15" thickBot="1">
      <c r="B30" s="1068" t="s">
        <v>443</v>
      </c>
      <c r="C30" s="445">
        <v>0</v>
      </c>
      <c r="D30" s="445">
        <v>0</v>
      </c>
      <c r="E30" s="445">
        <v>0</v>
      </c>
      <c r="F30" s="445">
        <v>0</v>
      </c>
      <c r="G30" s="445">
        <v>0</v>
      </c>
      <c r="H30" s="445">
        <v>0</v>
      </c>
      <c r="I30" s="445">
        <v>0</v>
      </c>
      <c r="J30" s="445">
        <v>0</v>
      </c>
    </row>
    <row r="31" spans="2:10" ht="15" thickTop="1">
      <c r="B31" s="2093" t="s">
        <v>1609</v>
      </c>
      <c r="C31" s="2093"/>
      <c r="D31" s="2093"/>
      <c r="E31" s="2093"/>
      <c r="F31" s="2093"/>
      <c r="G31" s="2093"/>
      <c r="H31" s="2093"/>
      <c r="I31" s="2093"/>
      <c r="J31" s="2093"/>
    </row>
    <row r="32" spans="2:10">
      <c r="B32" s="1069"/>
      <c r="C32" s="1069"/>
      <c r="D32" s="1069"/>
      <c r="E32" s="1069"/>
      <c r="F32" s="1069"/>
      <c r="G32" s="1069"/>
      <c r="H32" s="1069"/>
      <c r="I32" s="1069"/>
      <c r="J32" s="1069"/>
    </row>
    <row r="33" spans="2:10">
      <c r="B33" s="403"/>
    </row>
    <row r="34" spans="2:10">
      <c r="B34" s="2081" t="s">
        <v>442</v>
      </c>
      <c r="C34" s="2081"/>
      <c r="D34" s="2081"/>
      <c r="E34" s="2081"/>
      <c r="F34" s="2081"/>
      <c r="G34" s="2081"/>
      <c r="H34" s="2081"/>
      <c r="I34" s="2081"/>
      <c r="J34" s="2081"/>
    </row>
    <row r="35" spans="2:10">
      <c r="B35" s="1049" t="s">
        <v>441</v>
      </c>
    </row>
    <row r="36" spans="2:10">
      <c r="B36" s="1070" t="s">
        <v>242</v>
      </c>
    </row>
    <row r="37" spans="2:10">
      <c r="B37" s="403"/>
    </row>
    <row r="38" spans="2:10">
      <c r="B38" s="1051"/>
      <c r="C38" s="1052">
        <v>2014</v>
      </c>
      <c r="D38" s="1052">
        <v>2015</v>
      </c>
      <c r="E38" s="1052">
        <v>2016</v>
      </c>
      <c r="F38" s="1052">
        <v>2017</v>
      </c>
      <c r="G38" s="1052">
        <v>2018</v>
      </c>
      <c r="H38" s="1052">
        <v>2019</v>
      </c>
      <c r="I38" s="1052">
        <v>2020</v>
      </c>
      <c r="J38" s="1052">
        <v>2021</v>
      </c>
    </row>
    <row r="39" spans="2:10">
      <c r="B39" s="1064" t="s">
        <v>1610</v>
      </c>
      <c r="C39" s="1071">
        <v>4007.804312835874</v>
      </c>
      <c r="D39" s="1071">
        <v>4558.6904559994045</v>
      </c>
      <c r="E39" s="1071">
        <v>5158.0622965654393</v>
      </c>
      <c r="F39" s="1071">
        <v>5499.5599514488795</v>
      </c>
      <c r="G39" s="1071">
        <v>5951.9630006264824</v>
      </c>
      <c r="H39" s="1071">
        <v>6221.0873897513129</v>
      </c>
      <c r="I39" s="1071">
        <v>6148.8520757462302</v>
      </c>
      <c r="J39" s="1072">
        <v>6548.5481684094848</v>
      </c>
    </row>
    <row r="40" spans="2:10">
      <c r="B40" s="123" t="s">
        <v>352</v>
      </c>
      <c r="C40" s="1071">
        <v>2234.2536230301412</v>
      </c>
      <c r="D40" s="1071">
        <v>2563.1723884851885</v>
      </c>
      <c r="E40" s="1071">
        <v>2511.0334493916303</v>
      </c>
      <c r="F40" s="1071">
        <v>2715.9923189151323</v>
      </c>
      <c r="G40" s="1071">
        <v>2787.5409079913084</v>
      </c>
      <c r="H40" s="1071">
        <v>2456.2225179178349</v>
      </c>
      <c r="I40" s="1071">
        <v>2746.0844982093022</v>
      </c>
      <c r="J40" s="1072">
        <v>2934.2931600958286</v>
      </c>
    </row>
    <row r="41" spans="2:10">
      <c r="B41" s="123" t="s">
        <v>351</v>
      </c>
      <c r="C41" s="1071">
        <v>1773.5506898057326</v>
      </c>
      <c r="D41" s="1071">
        <v>1995.518067514216</v>
      </c>
      <c r="E41" s="1071">
        <v>2647.028847173809</v>
      </c>
      <c r="F41" s="1071">
        <v>2783.5676325337472</v>
      </c>
      <c r="G41" s="1071">
        <v>3164.4220926351736</v>
      </c>
      <c r="H41" s="1071">
        <v>3764.8648718334775</v>
      </c>
      <c r="I41" s="1071">
        <v>3402.7675775369285</v>
      </c>
      <c r="J41" s="1072">
        <v>3614.2550083136566</v>
      </c>
    </row>
    <row r="42" spans="2:10">
      <c r="B42" s="123" t="s">
        <v>1611</v>
      </c>
      <c r="C42" s="1071">
        <v>1933.8797488780915</v>
      </c>
      <c r="D42" s="1071">
        <v>2207.4219748382707</v>
      </c>
      <c r="E42" s="1071">
        <v>2440.0589364738698</v>
      </c>
      <c r="F42" s="1071">
        <v>2657.393189154036</v>
      </c>
      <c r="G42" s="1071">
        <v>2671.9003091301306</v>
      </c>
      <c r="H42" s="1071">
        <v>2293.967793545271</v>
      </c>
      <c r="I42" s="1071">
        <v>2534.3559621245968</v>
      </c>
      <c r="J42" s="1071">
        <v>2660.1440779018112</v>
      </c>
    </row>
    <row r="43" spans="2:10">
      <c r="B43" s="123" t="s">
        <v>351</v>
      </c>
      <c r="C43" s="1071">
        <v>1602.9668607073363</v>
      </c>
      <c r="D43" s="1071">
        <v>1767.9404614263956</v>
      </c>
      <c r="E43" s="1071">
        <v>2259.3345435271876</v>
      </c>
      <c r="F43" s="1071">
        <v>2576.2852854424882</v>
      </c>
      <c r="G43" s="1071">
        <v>2891.2317138439994</v>
      </c>
      <c r="H43" s="1071">
        <v>2704.2731670730172</v>
      </c>
      <c r="I43" s="1071">
        <v>3050.3953411495163</v>
      </c>
      <c r="J43" s="1071">
        <v>3267.696312185069</v>
      </c>
    </row>
    <row r="44" spans="2:10">
      <c r="B44" s="1067" t="s">
        <v>471</v>
      </c>
      <c r="C44" s="1073"/>
      <c r="D44" s="1073"/>
      <c r="E44" s="1073"/>
      <c r="F44" s="1073"/>
      <c r="G44" s="1073"/>
      <c r="H44" s="1073"/>
      <c r="I44" s="1073"/>
      <c r="J44" s="1073"/>
    </row>
    <row r="45" spans="2:10">
      <c r="B45" s="123" t="s">
        <v>352</v>
      </c>
      <c r="C45" s="1071">
        <f>C40-C42</f>
        <v>300.37387415204967</v>
      </c>
      <c r="D45" s="1071">
        <f t="shared" ref="D45:J46" si="1">D40-D42</f>
        <v>355.75041364691788</v>
      </c>
      <c r="E45" s="1071">
        <f t="shared" si="1"/>
        <v>70.974512917760421</v>
      </c>
      <c r="F45" s="1071">
        <f t="shared" si="1"/>
        <v>58.599129761096265</v>
      </c>
      <c r="G45" s="1071">
        <f t="shared" si="1"/>
        <v>115.64059886117775</v>
      </c>
      <c r="H45" s="1071">
        <f t="shared" si="1"/>
        <v>162.25472437256394</v>
      </c>
      <c r="I45" s="1071">
        <f t="shared" si="1"/>
        <v>211.72853608470541</v>
      </c>
      <c r="J45" s="1072">
        <f t="shared" si="1"/>
        <v>274.14908219401741</v>
      </c>
    </row>
    <row r="46" spans="2:10">
      <c r="B46" s="123" t="s">
        <v>351</v>
      </c>
      <c r="C46" s="1071">
        <f>C41-C43</f>
        <v>170.58382909839634</v>
      </c>
      <c r="D46" s="1071">
        <f t="shared" si="1"/>
        <v>227.57760608782041</v>
      </c>
      <c r="E46" s="1071">
        <f t="shared" si="1"/>
        <v>387.69430364662139</v>
      </c>
      <c r="F46" s="1071">
        <f t="shared" si="1"/>
        <v>207.282347091259</v>
      </c>
      <c r="G46" s="1071">
        <f t="shared" si="1"/>
        <v>273.19037879117423</v>
      </c>
      <c r="H46" s="1071">
        <f t="shared" si="1"/>
        <v>1060.5917047604603</v>
      </c>
      <c r="I46" s="1071">
        <f t="shared" si="1"/>
        <v>352.37223638741216</v>
      </c>
      <c r="J46" s="1072">
        <f t="shared" si="1"/>
        <v>346.5586961285876</v>
      </c>
    </row>
    <row r="47" spans="2:10">
      <c r="B47" s="1064" t="s">
        <v>437</v>
      </c>
      <c r="C47" s="445">
        <v>0</v>
      </c>
      <c r="D47" s="445">
        <v>0</v>
      </c>
      <c r="E47" s="445">
        <v>0</v>
      </c>
      <c r="F47" s="445">
        <v>0</v>
      </c>
      <c r="G47" s="445">
        <v>0</v>
      </c>
      <c r="H47" s="445">
        <v>0</v>
      </c>
      <c r="I47" s="445">
        <v>0</v>
      </c>
      <c r="J47" s="445">
        <v>0</v>
      </c>
    </row>
    <row r="48" spans="2:10" ht="15" thickBot="1">
      <c r="B48" s="1074" t="s">
        <v>436</v>
      </c>
      <c r="C48" s="445">
        <v>0</v>
      </c>
      <c r="D48" s="445">
        <v>0</v>
      </c>
      <c r="E48" s="445">
        <v>0</v>
      </c>
      <c r="F48" s="445">
        <v>0</v>
      </c>
      <c r="G48" s="445">
        <v>0</v>
      </c>
      <c r="H48" s="445">
        <v>0</v>
      </c>
      <c r="I48" s="445">
        <v>0</v>
      </c>
      <c r="J48" s="445">
        <v>0</v>
      </c>
    </row>
    <row r="49" spans="2:10" ht="15" thickTop="1">
      <c r="B49" s="2093" t="s">
        <v>1612</v>
      </c>
      <c r="C49" s="2093"/>
      <c r="D49" s="2093"/>
      <c r="E49" s="2093"/>
      <c r="F49" s="2093"/>
      <c r="G49" s="2093"/>
      <c r="H49" s="2093"/>
      <c r="I49" s="2093"/>
      <c r="J49" s="2093"/>
    </row>
    <row r="50" spans="2:10">
      <c r="B50" s="403"/>
    </row>
    <row r="51" spans="2:10">
      <c r="B51" s="2081" t="s">
        <v>434</v>
      </c>
      <c r="C51" s="2081"/>
      <c r="D51" s="2081"/>
      <c r="E51" s="2081"/>
      <c r="F51" s="2081"/>
      <c r="G51" s="2081"/>
      <c r="H51" s="2081"/>
      <c r="I51" s="2081"/>
      <c r="J51" s="2081"/>
    </row>
    <row r="52" spans="2:10">
      <c r="B52" s="1049" t="s">
        <v>433</v>
      </c>
    </row>
    <row r="53" spans="2:10">
      <c r="B53" s="1063" t="s">
        <v>242</v>
      </c>
    </row>
    <row r="54" spans="2:10">
      <c r="B54" s="403"/>
    </row>
    <row r="55" spans="2:10">
      <c r="B55" s="1051"/>
      <c r="C55" s="1052">
        <v>2014</v>
      </c>
      <c r="D55" s="1052">
        <v>2015</v>
      </c>
      <c r="E55" s="1052">
        <v>2016</v>
      </c>
      <c r="F55" s="1052">
        <v>2017</v>
      </c>
      <c r="G55" s="1052">
        <v>2018</v>
      </c>
      <c r="H55" s="1052">
        <v>2019</v>
      </c>
      <c r="I55" s="1052">
        <v>2020</v>
      </c>
      <c r="J55" s="1052">
        <v>2021</v>
      </c>
    </row>
    <row r="56" spans="2:10">
      <c r="B56" s="403" t="s">
        <v>432</v>
      </c>
      <c r="C56" s="1075">
        <v>2073.270935078418</v>
      </c>
      <c r="D56" s="1075">
        <v>2192.6530411121744</v>
      </c>
      <c r="E56" s="1075">
        <v>2283.4301447785951</v>
      </c>
      <c r="F56" s="1075">
        <v>2381.4550780522923</v>
      </c>
      <c r="G56" s="1075">
        <v>2199.3880253918137</v>
      </c>
      <c r="H56" s="1075">
        <v>2513.9142667759775</v>
      </c>
      <c r="I56" s="1075">
        <v>2725.0051577172735</v>
      </c>
      <c r="J56" s="1075">
        <v>2824.9531340564195</v>
      </c>
    </row>
    <row r="57" spans="2:10">
      <c r="B57" s="1063"/>
      <c r="C57" s="1075"/>
      <c r="D57" s="1075"/>
      <c r="E57" s="1075"/>
      <c r="F57" s="1075"/>
      <c r="G57" s="1075"/>
      <c r="H57" s="1075"/>
      <c r="I57" s="1075"/>
      <c r="J57" s="1075"/>
    </row>
    <row r="58" spans="2:10">
      <c r="B58" s="403" t="s">
        <v>431</v>
      </c>
      <c r="C58" s="1075">
        <f>SUM(C60:C65)</f>
        <v>1955.618766452857</v>
      </c>
      <c r="D58" s="1075">
        <f t="shared" ref="D58:J58" si="2">SUM(D60:D65)</f>
        <v>2062.5213250248421</v>
      </c>
      <c r="E58" s="1075">
        <f t="shared" si="2"/>
        <v>2146.1127343862686</v>
      </c>
      <c r="F58" s="1075">
        <f t="shared" si="2"/>
        <v>2240.3409471632513</v>
      </c>
      <c r="G58" s="1075">
        <f t="shared" si="2"/>
        <v>2062.3507293568177</v>
      </c>
      <c r="H58" s="1075">
        <f t="shared" si="2"/>
        <v>2362.2703500845992</v>
      </c>
      <c r="I58" s="1075">
        <f>SUM(I60:I65)</f>
        <v>2576.4418429261386</v>
      </c>
      <c r="J58" s="1075">
        <f t="shared" si="2"/>
        <v>2677.184229664178</v>
      </c>
    </row>
    <row r="59" spans="2:10">
      <c r="B59" s="1076" t="s">
        <v>379</v>
      </c>
      <c r="C59" s="1075"/>
      <c r="D59" s="1075"/>
      <c r="E59" s="1075"/>
      <c r="F59" s="1075"/>
      <c r="G59" s="1075"/>
      <c r="H59" s="1075"/>
      <c r="I59" s="1075"/>
      <c r="J59" s="1075"/>
    </row>
    <row r="60" spans="2:10">
      <c r="B60" s="1077" t="s">
        <v>1613</v>
      </c>
      <c r="C60" s="1078">
        <v>87.525861110081237</v>
      </c>
      <c r="D60" s="1078">
        <v>95.560498138018758</v>
      </c>
      <c r="E60" s="1078">
        <v>104.36562454925719</v>
      </c>
      <c r="F60" s="1078">
        <v>119.02500482888189</v>
      </c>
      <c r="G60" s="1078">
        <v>88.401088690446812</v>
      </c>
      <c r="H60" s="1078">
        <v>79.182874287010023</v>
      </c>
      <c r="I60" s="1078">
        <v>44.048687521888205</v>
      </c>
      <c r="J60" s="1078">
        <v>25.347696428432425</v>
      </c>
    </row>
    <row r="61" spans="2:10">
      <c r="B61" s="1077" t="s">
        <v>1614</v>
      </c>
      <c r="C61" s="1078">
        <v>604.84702087427252</v>
      </c>
      <c r="D61" s="1078">
        <v>686.39221403961699</v>
      </c>
      <c r="E61" s="1078">
        <v>720.71332756382503</v>
      </c>
      <c r="F61" s="1078">
        <v>823.45733902263419</v>
      </c>
      <c r="G61" s="1078">
        <v>865.51262190208377</v>
      </c>
      <c r="H61" s="1078">
        <v>957.29777250606139</v>
      </c>
      <c r="I61" s="1078">
        <v>1196.0607575967356</v>
      </c>
      <c r="J61" s="1078">
        <v>1348.1786173120195</v>
      </c>
    </row>
    <row r="62" spans="2:10">
      <c r="B62" s="1077" t="s">
        <v>1615</v>
      </c>
      <c r="C62" s="1078">
        <v>941.53437024952746</v>
      </c>
      <c r="D62" s="1078">
        <v>961.94175388415817</v>
      </c>
      <c r="E62" s="1078">
        <v>975.63035482475141</v>
      </c>
      <c r="F62" s="1078">
        <v>950.73463976540427</v>
      </c>
      <c r="G62" s="1078">
        <v>775.88095120627565</v>
      </c>
      <c r="H62" s="1078">
        <v>959.87376371469952</v>
      </c>
      <c r="I62" s="1078">
        <v>907.16887517001555</v>
      </c>
      <c r="J62" s="1078">
        <v>945.94689755588649</v>
      </c>
    </row>
    <row r="63" spans="2:10">
      <c r="B63" s="1077" t="s">
        <v>1616</v>
      </c>
      <c r="C63" s="1078">
        <v>172.12340106039829</v>
      </c>
      <c r="D63" s="1078">
        <v>172.02197230709226</v>
      </c>
      <c r="E63" s="1078">
        <v>191.89772645319471</v>
      </c>
      <c r="F63" s="1078">
        <v>183.54120353298566</v>
      </c>
      <c r="G63" s="1078">
        <v>179.61655730425767</v>
      </c>
      <c r="H63" s="1078">
        <v>197.11768040607717</v>
      </c>
      <c r="I63" s="1078">
        <v>254.43739768534743</v>
      </c>
      <c r="J63" s="1078">
        <v>197.25445569994775</v>
      </c>
    </row>
    <row r="64" spans="2:10">
      <c r="B64" s="1077" t="s">
        <v>1617</v>
      </c>
      <c r="C64" s="1078">
        <v>90.72556820288456</v>
      </c>
      <c r="D64" s="1078">
        <v>85.045740659912155</v>
      </c>
      <c r="E64" s="1078">
        <v>90.370377181595245</v>
      </c>
      <c r="F64" s="1078">
        <v>97.481062002844681</v>
      </c>
      <c r="G64" s="1078">
        <v>91.636068215830434</v>
      </c>
      <c r="H64" s="1078">
        <v>100.72044514992419</v>
      </c>
      <c r="I64" s="1078">
        <v>109.9956736681788</v>
      </c>
      <c r="J64" s="1078">
        <v>98.295564155071517</v>
      </c>
    </row>
    <row r="65" spans="2:10">
      <c r="B65" s="1077" t="s">
        <v>1618</v>
      </c>
      <c r="C65" s="1078">
        <v>58.862544955693139</v>
      </c>
      <c r="D65" s="1078">
        <v>61.559145996043888</v>
      </c>
      <c r="E65" s="1078">
        <v>63.135323813644867</v>
      </c>
      <c r="F65" s="1078">
        <v>66.101698010500613</v>
      </c>
      <c r="G65" s="1078">
        <v>61.30344203792329</v>
      </c>
      <c r="H65" s="1078">
        <v>68.077814020827191</v>
      </c>
      <c r="I65" s="1078">
        <v>64.730451283972585</v>
      </c>
      <c r="J65" s="1078">
        <v>62.160998512820086</v>
      </c>
    </row>
    <row r="66" spans="2:10">
      <c r="B66" s="1077" t="s">
        <v>117</v>
      </c>
      <c r="C66" s="1075"/>
      <c r="D66" s="1075"/>
      <c r="E66" s="1075"/>
      <c r="F66" s="1075"/>
      <c r="G66" s="1075"/>
      <c r="H66" s="1075"/>
      <c r="I66" s="1075"/>
      <c r="J66" s="1075"/>
    </row>
    <row r="67" spans="2:10">
      <c r="B67" s="1076"/>
      <c r="C67" s="1075"/>
      <c r="D67" s="1075"/>
      <c r="E67" s="1075"/>
      <c r="F67" s="1075"/>
      <c r="G67" s="1075"/>
      <c r="H67" s="1075"/>
      <c r="I67" s="1075"/>
      <c r="J67" s="1075"/>
    </row>
    <row r="68" spans="2:10">
      <c r="B68" s="403" t="s">
        <v>424</v>
      </c>
      <c r="C68" s="1075">
        <f t="shared" ref="C68:J68" si="3">SUM(C70:C75)</f>
        <v>117.65216862556079</v>
      </c>
      <c r="D68" s="1075">
        <f t="shared" si="3"/>
        <v>130.13171608733205</v>
      </c>
      <c r="E68" s="1075">
        <f t="shared" si="3"/>
        <v>137.31741039232656</v>
      </c>
      <c r="F68" s="1075">
        <f t="shared" si="3"/>
        <v>141.11413088904109</v>
      </c>
      <c r="G68" s="1075">
        <f t="shared" si="3"/>
        <v>137.03729603499599</v>
      </c>
      <c r="H68" s="1075">
        <f t="shared" si="3"/>
        <v>151.64391669137783</v>
      </c>
      <c r="I68" s="1075">
        <f t="shared" si="3"/>
        <v>148.56331479113561</v>
      </c>
      <c r="J68" s="1075">
        <f t="shared" si="3"/>
        <v>147.76890439224178</v>
      </c>
    </row>
    <row r="69" spans="2:10">
      <c r="B69" s="1076" t="s">
        <v>379</v>
      </c>
      <c r="C69" s="1075"/>
      <c r="D69" s="1075"/>
      <c r="E69" s="1075"/>
      <c r="F69" s="1075"/>
      <c r="G69" s="1075"/>
      <c r="H69" s="1075"/>
      <c r="I69" s="1075"/>
      <c r="J69" s="1075"/>
    </row>
    <row r="70" spans="2:10">
      <c r="B70" s="1077" t="s">
        <v>1619</v>
      </c>
      <c r="C70" s="1078">
        <v>49.799276074302036</v>
      </c>
      <c r="D70" s="1078">
        <v>56.372801144120139</v>
      </c>
      <c r="E70" s="1078">
        <v>59.424001153901635</v>
      </c>
      <c r="F70" s="1078">
        <v>60.153562836924266</v>
      </c>
      <c r="G70" s="1078">
        <v>58.525178844540932</v>
      </c>
      <c r="H70" s="1078">
        <v>64.839633518812462</v>
      </c>
      <c r="I70" s="1078">
        <v>64.008423804598365</v>
      </c>
      <c r="J70" s="1078">
        <v>63.955170480647197</v>
      </c>
    </row>
    <row r="71" spans="2:10">
      <c r="B71" s="1077" t="s">
        <v>1620</v>
      </c>
      <c r="C71" s="1078">
        <v>39.832836935968267</v>
      </c>
      <c r="D71" s="1078">
        <v>42.354722560154528</v>
      </c>
      <c r="E71" s="1078">
        <v>44.525334631472674</v>
      </c>
      <c r="F71" s="1078">
        <v>46.287344290505544</v>
      </c>
      <c r="G71" s="1078">
        <v>44.255248408900293</v>
      </c>
      <c r="H71" s="1078">
        <v>48.280802560658664</v>
      </c>
      <c r="I71" s="1078">
        <v>47.550284159859274</v>
      </c>
      <c r="J71" s="1078">
        <v>47.287232366017562</v>
      </c>
    </row>
    <row r="72" spans="2:10">
      <c r="B72" s="1077" t="s">
        <v>1621</v>
      </c>
      <c r="C72" s="1078">
        <v>8.827550702606505</v>
      </c>
      <c r="D72" s="1078">
        <v>10.040011701228631</v>
      </c>
      <c r="E72" s="1078">
        <v>10.806607168613876</v>
      </c>
      <c r="F72" s="1078">
        <v>11.056019420885354</v>
      </c>
      <c r="G72" s="1078">
        <v>10.814950252438043</v>
      </c>
      <c r="H72" s="1078">
        <v>11.703181635821313</v>
      </c>
      <c r="I72" s="1078">
        <v>11.463107922106483</v>
      </c>
      <c r="J72" s="1078">
        <v>11.03374403376132</v>
      </c>
    </row>
    <row r="73" spans="2:10">
      <c r="B73" s="1077" t="s">
        <v>1622</v>
      </c>
      <c r="C73" s="1078">
        <v>5.9959560268436478</v>
      </c>
      <c r="D73" s="1078">
        <v>6.6957013772160368</v>
      </c>
      <c r="E73" s="1078">
        <v>6.9524619573056405</v>
      </c>
      <c r="F73" s="1078">
        <v>7.1707362728054926</v>
      </c>
      <c r="G73" s="1078">
        <v>7.0152309766967633</v>
      </c>
      <c r="H73" s="1078">
        <v>8.0034609011146181</v>
      </c>
      <c r="I73" s="1078">
        <v>7.722247542412223</v>
      </c>
      <c r="J73" s="1078">
        <v>7.4916351971097308</v>
      </c>
    </row>
    <row r="74" spans="2:10">
      <c r="B74" s="1077" t="s">
        <v>1623</v>
      </c>
      <c r="C74" s="1078">
        <v>8.2891483445181873</v>
      </c>
      <c r="D74" s="1078">
        <v>9.2110457740919962</v>
      </c>
      <c r="E74" s="1078">
        <v>9.8373029352372718</v>
      </c>
      <c r="F74" s="1078">
        <v>10.351209854431158</v>
      </c>
      <c r="G74" s="1078">
        <v>10.338411696021842</v>
      </c>
      <c r="H74" s="1078">
        <v>11.844628547506499</v>
      </c>
      <c r="I74" s="1078">
        <v>11.308401814583453</v>
      </c>
      <c r="J74" s="1078">
        <v>11.77659988632028</v>
      </c>
    </row>
    <row r="75" spans="2:10">
      <c r="B75" s="1077" t="s">
        <v>1624</v>
      </c>
      <c r="C75" s="1078">
        <v>4.9074005413221613</v>
      </c>
      <c r="D75" s="1078">
        <v>5.4574335305207056</v>
      </c>
      <c r="E75" s="1078">
        <v>5.7717025457954705</v>
      </c>
      <c r="F75" s="1078">
        <v>6.0952582134892621</v>
      </c>
      <c r="G75" s="1078">
        <v>6.0882758563981136</v>
      </c>
      <c r="H75" s="1078">
        <v>6.972209527464285</v>
      </c>
      <c r="I75" s="1078">
        <v>6.5108495475758046</v>
      </c>
      <c r="J75" s="1078">
        <v>6.2245224283856695</v>
      </c>
    </row>
    <row r="76" spans="2:10">
      <c r="B76" s="1077" t="s">
        <v>117</v>
      </c>
      <c r="C76" s="1075"/>
      <c r="D76" s="1075"/>
      <c r="E76" s="1075"/>
      <c r="F76" s="1075"/>
      <c r="G76" s="1075"/>
      <c r="H76" s="1075"/>
      <c r="I76" s="1075"/>
      <c r="J76" s="1075"/>
    </row>
    <row r="77" spans="2:10">
      <c r="B77" s="1076"/>
      <c r="C77" s="1075"/>
      <c r="D77" s="1075"/>
      <c r="E77" s="1075"/>
      <c r="F77" s="1075"/>
      <c r="G77" s="1075"/>
      <c r="H77" s="1075"/>
      <c r="I77" s="1075"/>
      <c r="J77" s="1075"/>
    </row>
    <row r="78" spans="2:10">
      <c r="B78" s="1065" t="s">
        <v>414</v>
      </c>
      <c r="C78" s="1075">
        <v>247.54968299284417</v>
      </c>
      <c r="D78" s="1075">
        <v>199.64654860188892</v>
      </c>
      <c r="E78" s="1075">
        <v>244.56404154045867</v>
      </c>
      <c r="F78" s="1075">
        <v>242.08045795360761</v>
      </c>
      <c r="G78" s="1075">
        <v>128.19050438271913</v>
      </c>
      <c r="H78" s="1075">
        <v>199.42856146104069</v>
      </c>
      <c r="I78" s="1075">
        <v>249.91635649886385</v>
      </c>
      <c r="J78" s="1075">
        <v>410.85267575585334</v>
      </c>
    </row>
    <row r="79" spans="2:10" ht="15" thickBot="1">
      <c r="B79" s="1079" t="s">
        <v>413</v>
      </c>
      <c r="C79" s="1080">
        <v>1825.7212520855737</v>
      </c>
      <c r="D79" s="1080">
        <v>1993.0064925102852</v>
      </c>
      <c r="E79" s="1080">
        <v>2038.8661032381365</v>
      </c>
      <c r="F79" s="1080">
        <v>2139.3746200986848</v>
      </c>
      <c r="G79" s="1080">
        <v>2071.1975210090945</v>
      </c>
      <c r="H79" s="1080">
        <v>2314.4857053149367</v>
      </c>
      <c r="I79" s="1080">
        <v>2475.08880121841</v>
      </c>
      <c r="J79" s="1080">
        <v>2414.1004583005661</v>
      </c>
    </row>
    <row r="80" spans="2:10" ht="15" thickTop="1">
      <c r="B80" s="2093" t="s">
        <v>1625</v>
      </c>
      <c r="C80" s="2093"/>
      <c r="D80" s="2093"/>
      <c r="E80" s="2093"/>
      <c r="F80" s="2093"/>
      <c r="G80" s="2093"/>
      <c r="H80" s="2093"/>
      <c r="I80" s="2093"/>
      <c r="J80" s="2093"/>
    </row>
    <row r="81" spans="2:10">
      <c r="B81"/>
      <c r="C81"/>
      <c r="D81"/>
      <c r="E81"/>
      <c r="F81"/>
      <c r="G81"/>
      <c r="H81"/>
      <c r="I81"/>
      <c r="J81"/>
    </row>
    <row r="82" spans="2:10">
      <c r="B82" s="403"/>
    </row>
    <row r="83" spans="2:10">
      <c r="B83" s="2081" t="s">
        <v>411</v>
      </c>
      <c r="C83" s="2081"/>
      <c r="D83" s="2081"/>
      <c r="E83" s="2081"/>
      <c r="F83" s="2081"/>
      <c r="G83" s="2081"/>
      <c r="H83" s="2081"/>
      <c r="I83" s="2081"/>
      <c r="J83" s="2081"/>
    </row>
    <row r="84" spans="2:10">
      <c r="B84" s="1049" t="s">
        <v>410</v>
      </c>
    </row>
    <row r="85" spans="2:10">
      <c r="B85" s="1063" t="s">
        <v>409</v>
      </c>
    </row>
    <row r="86" spans="2:10">
      <c r="B86" s="403"/>
    </row>
    <row r="87" spans="2:10">
      <c r="B87" s="1051"/>
      <c r="C87" s="1052">
        <v>2014</v>
      </c>
      <c r="D87" s="1052">
        <v>2015</v>
      </c>
      <c r="E87" s="1052">
        <v>2016</v>
      </c>
      <c r="F87" s="1052">
        <v>2017</v>
      </c>
      <c r="G87" s="1052">
        <v>2018</v>
      </c>
      <c r="H87" s="1052">
        <v>2019</v>
      </c>
      <c r="I87" s="1052">
        <v>2020</v>
      </c>
      <c r="J87" s="1052">
        <v>2021</v>
      </c>
    </row>
    <row r="88" spans="2:10">
      <c r="B88" s="1081" t="s">
        <v>262</v>
      </c>
    </row>
    <row r="89" spans="2:10">
      <c r="B89" s="410" t="s">
        <v>408</v>
      </c>
      <c r="C89" s="1082">
        <v>1</v>
      </c>
      <c r="D89" s="1082">
        <v>1</v>
      </c>
      <c r="E89" s="1082">
        <v>1</v>
      </c>
      <c r="F89" s="1082">
        <v>1</v>
      </c>
      <c r="G89" s="1082">
        <v>1</v>
      </c>
      <c r="H89" s="1082">
        <v>1</v>
      </c>
      <c r="I89" s="1082">
        <v>1</v>
      </c>
      <c r="J89" s="1082">
        <v>1</v>
      </c>
    </row>
    <row r="90" spans="2:10">
      <c r="B90" s="57" t="s">
        <v>407</v>
      </c>
      <c r="C90" s="445">
        <v>0</v>
      </c>
      <c r="D90" s="445">
        <v>0</v>
      </c>
      <c r="E90" s="445">
        <v>0</v>
      </c>
      <c r="F90" s="445">
        <v>0</v>
      </c>
      <c r="G90" s="445">
        <v>0</v>
      </c>
      <c r="H90" s="445">
        <v>0</v>
      </c>
      <c r="I90" s="445">
        <v>0</v>
      </c>
      <c r="J90" s="445">
        <v>0</v>
      </c>
    </row>
    <row r="91" spans="2:10">
      <c r="B91" s="57" t="s">
        <v>406</v>
      </c>
      <c r="C91" s="445">
        <v>0</v>
      </c>
      <c r="D91" s="445">
        <v>0</v>
      </c>
      <c r="E91" s="445">
        <v>0</v>
      </c>
      <c r="F91" s="445">
        <v>0</v>
      </c>
      <c r="G91" s="445">
        <v>0</v>
      </c>
      <c r="H91" s="445">
        <v>0</v>
      </c>
      <c r="I91" s="445">
        <v>0</v>
      </c>
      <c r="J91" s="445">
        <v>0</v>
      </c>
    </row>
    <row r="92" spans="2:10">
      <c r="B92" s="410" t="s">
        <v>401</v>
      </c>
      <c r="C92" s="445">
        <v>0</v>
      </c>
      <c r="D92" s="445">
        <v>0</v>
      </c>
      <c r="E92" s="445">
        <v>0</v>
      </c>
      <c r="F92" s="445">
        <v>0</v>
      </c>
      <c r="G92" s="445">
        <v>0</v>
      </c>
      <c r="H92" s="445">
        <v>0</v>
      </c>
      <c r="I92" s="445">
        <v>0</v>
      </c>
      <c r="J92" s="445">
        <v>0</v>
      </c>
    </row>
    <row r="93" spans="2:10">
      <c r="B93" s="410"/>
      <c r="C93" s="1083"/>
      <c r="D93" s="1083"/>
      <c r="E93" s="1083"/>
      <c r="F93" s="1083"/>
      <c r="G93" s="1083"/>
      <c r="H93" s="1083"/>
      <c r="I93" s="1083"/>
      <c r="J93" s="1083"/>
    </row>
    <row r="94" spans="2:10">
      <c r="B94" s="1081" t="s">
        <v>477</v>
      </c>
      <c r="C94" s="1083"/>
      <c r="D94" s="1083"/>
      <c r="E94" s="1083"/>
      <c r="F94" s="1083"/>
      <c r="G94" s="1083"/>
      <c r="H94" s="1083"/>
      <c r="I94" s="1083"/>
      <c r="J94" s="1083"/>
    </row>
    <row r="95" spans="2:10">
      <c r="B95" s="410" t="s">
        <v>399</v>
      </c>
      <c r="C95" s="1083">
        <v>15</v>
      </c>
      <c r="D95" s="1083">
        <v>16</v>
      </c>
      <c r="E95" s="1083">
        <v>17</v>
      </c>
      <c r="F95" s="1083">
        <v>16</v>
      </c>
      <c r="G95" s="1083">
        <v>15</v>
      </c>
      <c r="H95" s="1083">
        <v>15</v>
      </c>
      <c r="I95" s="1083">
        <v>15</v>
      </c>
      <c r="J95" s="1083">
        <v>15</v>
      </c>
    </row>
    <row r="96" spans="2:10">
      <c r="B96" s="410" t="s">
        <v>408</v>
      </c>
      <c r="C96" s="1084">
        <v>821</v>
      </c>
      <c r="D96" s="1084">
        <v>834</v>
      </c>
      <c r="E96" s="1084">
        <v>827</v>
      </c>
      <c r="F96" s="1084">
        <v>797</v>
      </c>
      <c r="G96" s="1084">
        <v>774</v>
      </c>
      <c r="H96" s="1084">
        <v>755</v>
      </c>
      <c r="I96" s="1084">
        <v>693</v>
      </c>
      <c r="J96" s="1084">
        <v>660</v>
      </c>
    </row>
    <row r="97" spans="2:10">
      <c r="B97" s="410" t="s">
        <v>402</v>
      </c>
      <c r="C97" s="445">
        <v>0</v>
      </c>
      <c r="D97" s="445">
        <v>0</v>
      </c>
      <c r="E97" s="445">
        <v>0</v>
      </c>
      <c r="F97" s="445">
        <v>0</v>
      </c>
      <c r="G97" s="445">
        <v>0</v>
      </c>
      <c r="H97" s="445">
        <v>0</v>
      </c>
      <c r="I97" s="445">
        <v>0</v>
      </c>
      <c r="J97" s="445">
        <v>0</v>
      </c>
    </row>
    <row r="98" spans="2:10">
      <c r="B98" s="410" t="s">
        <v>401</v>
      </c>
      <c r="C98" s="445">
        <v>0</v>
      </c>
      <c r="D98" s="445">
        <v>0</v>
      </c>
      <c r="E98" s="445">
        <v>0</v>
      </c>
      <c r="F98" s="445">
        <v>0</v>
      </c>
      <c r="G98" s="445">
        <v>0</v>
      </c>
      <c r="H98" s="445">
        <v>0</v>
      </c>
      <c r="I98" s="445">
        <v>0</v>
      </c>
      <c r="J98" s="445">
        <v>0</v>
      </c>
    </row>
    <row r="99" spans="2:10">
      <c r="B99" s="410"/>
      <c r="C99" s="1085"/>
      <c r="D99" s="1085"/>
      <c r="E99" s="1085"/>
      <c r="F99" s="1085"/>
      <c r="G99" s="1085"/>
      <c r="H99" s="1085"/>
      <c r="I99" s="1085"/>
      <c r="J99" s="1085"/>
    </row>
    <row r="100" spans="2:10" ht="26">
      <c r="B100" s="1086" t="s">
        <v>404</v>
      </c>
      <c r="C100" s="1083"/>
      <c r="D100" s="1083"/>
      <c r="E100" s="1083"/>
      <c r="F100" s="1083"/>
      <c r="G100" s="1083"/>
      <c r="H100" s="1083"/>
      <c r="I100" s="1083"/>
      <c r="J100" s="1083"/>
    </row>
    <row r="101" spans="2:10">
      <c r="B101" s="410" t="s">
        <v>399</v>
      </c>
      <c r="C101" s="1083">
        <v>36</v>
      </c>
      <c r="D101" s="1083">
        <v>36</v>
      </c>
      <c r="E101" s="1083">
        <v>36</v>
      </c>
      <c r="F101" s="1083">
        <v>33</v>
      </c>
      <c r="G101" s="1083">
        <v>32</v>
      </c>
      <c r="H101" s="1083">
        <v>31</v>
      </c>
      <c r="I101" s="1083">
        <v>29</v>
      </c>
      <c r="J101" s="1083">
        <v>31</v>
      </c>
    </row>
    <row r="102" spans="2:10">
      <c r="B102" s="410" t="s">
        <v>408</v>
      </c>
      <c r="C102" s="1087">
        <v>340</v>
      </c>
      <c r="D102" s="1087">
        <v>351.36778115501522</v>
      </c>
      <c r="E102" s="1087">
        <v>346</v>
      </c>
      <c r="F102" s="1087">
        <v>353</v>
      </c>
      <c r="G102" s="1087">
        <v>342</v>
      </c>
      <c r="H102" s="1087">
        <v>340</v>
      </c>
      <c r="I102" s="1087">
        <v>330</v>
      </c>
      <c r="J102" s="1087">
        <v>340</v>
      </c>
    </row>
    <row r="103" spans="2:10">
      <c r="B103" s="410" t="s">
        <v>402</v>
      </c>
      <c r="C103" s="445">
        <v>0</v>
      </c>
      <c r="D103" s="445">
        <v>0</v>
      </c>
      <c r="E103" s="445">
        <v>0</v>
      </c>
      <c r="F103" s="445">
        <v>0</v>
      </c>
      <c r="G103" s="445">
        <v>0</v>
      </c>
      <c r="H103" s="445">
        <v>0</v>
      </c>
      <c r="I103" s="445">
        <v>0</v>
      </c>
      <c r="J103" s="445">
        <v>0</v>
      </c>
    </row>
    <row r="104" spans="2:10">
      <c r="B104" s="410" t="s">
        <v>401</v>
      </c>
      <c r="C104" s="445">
        <v>0</v>
      </c>
      <c r="D104" s="445">
        <v>0</v>
      </c>
      <c r="E104" s="445">
        <v>0</v>
      </c>
      <c r="F104" s="445">
        <v>0</v>
      </c>
      <c r="G104" s="445">
        <v>0</v>
      </c>
      <c r="H104" s="445">
        <v>0</v>
      </c>
      <c r="I104" s="445">
        <v>0</v>
      </c>
      <c r="J104" s="445">
        <v>0</v>
      </c>
    </row>
    <row r="105" spans="2:10">
      <c r="B105" s="410"/>
      <c r="C105" s="1085"/>
      <c r="D105" s="1085"/>
      <c r="E105" s="1085"/>
      <c r="F105" s="1085"/>
      <c r="G105" s="1085"/>
      <c r="H105" s="1085"/>
      <c r="I105" s="1085"/>
      <c r="J105" s="1085"/>
    </row>
    <row r="106" spans="2:10">
      <c r="B106" s="1081" t="s">
        <v>400</v>
      </c>
      <c r="C106" s="1088"/>
      <c r="D106" s="1088"/>
      <c r="E106" s="1088"/>
      <c r="F106" s="1088"/>
      <c r="G106" s="1088"/>
      <c r="H106" s="1088"/>
      <c r="I106" s="1088"/>
      <c r="J106" s="1088"/>
    </row>
    <row r="107" spans="2:10">
      <c r="B107" s="410" t="s">
        <v>399</v>
      </c>
      <c r="C107" s="445">
        <v>0</v>
      </c>
      <c r="D107" s="445">
        <v>0</v>
      </c>
      <c r="E107" s="445">
        <v>0</v>
      </c>
      <c r="F107" s="445">
        <v>0</v>
      </c>
      <c r="G107" s="445">
        <v>0</v>
      </c>
      <c r="H107" s="445">
        <v>0</v>
      </c>
      <c r="I107" s="445">
        <v>0</v>
      </c>
      <c r="J107" s="445">
        <v>0</v>
      </c>
    </row>
    <row r="108" spans="2:10">
      <c r="B108" s="410" t="s">
        <v>401</v>
      </c>
      <c r="C108" s="445">
        <v>0</v>
      </c>
      <c r="D108" s="445">
        <v>0</v>
      </c>
      <c r="E108" s="445">
        <v>0</v>
      </c>
      <c r="F108" s="445">
        <v>0</v>
      </c>
      <c r="G108" s="445">
        <v>0</v>
      </c>
      <c r="H108" s="445">
        <v>0</v>
      </c>
      <c r="I108" s="445">
        <v>0</v>
      </c>
      <c r="J108" s="445">
        <v>0</v>
      </c>
    </row>
    <row r="109" spans="2:10" ht="15" thickBot="1">
      <c r="B109" s="1089" t="s">
        <v>395</v>
      </c>
      <c r="C109" s="445">
        <v>0</v>
      </c>
      <c r="D109" s="445">
        <v>0</v>
      </c>
      <c r="E109" s="445">
        <v>0</v>
      </c>
      <c r="F109" s="445">
        <v>0</v>
      </c>
      <c r="G109" s="445">
        <v>0</v>
      </c>
      <c r="H109" s="445">
        <v>0</v>
      </c>
      <c r="I109" s="445">
        <v>0</v>
      </c>
      <c r="J109" s="445">
        <v>0</v>
      </c>
    </row>
    <row r="110" spans="2:10" ht="15" thickTop="1">
      <c r="B110" s="2093" t="s">
        <v>1626</v>
      </c>
      <c r="C110" s="2093"/>
      <c r="D110" s="2093"/>
      <c r="E110" s="2093"/>
      <c r="F110" s="2093"/>
      <c r="G110" s="2093"/>
      <c r="H110" s="2093"/>
      <c r="I110" s="2093"/>
      <c r="J110" s="2093"/>
    </row>
    <row r="111" spans="2:10">
      <c r="B111" s="2094"/>
      <c r="C111" s="2094"/>
      <c r="D111" s="2094"/>
      <c r="E111" s="2094"/>
      <c r="F111" s="2094"/>
      <c r="G111" s="2094"/>
      <c r="H111" s="2094"/>
      <c r="I111" s="2094"/>
      <c r="J111" s="2094"/>
    </row>
    <row r="112" spans="2:10">
      <c r="B112" s="403"/>
    </row>
    <row r="113" spans="2:10">
      <c r="B113" s="2081" t="s">
        <v>393</v>
      </c>
      <c r="C113" s="2081"/>
      <c r="D113" s="2081"/>
      <c r="E113" s="2081"/>
      <c r="F113" s="2081"/>
      <c r="G113" s="2081"/>
      <c r="H113" s="2081"/>
      <c r="I113" s="2081"/>
      <c r="J113" s="2081"/>
    </row>
    <row r="114" spans="2:10">
      <c r="B114" s="1049" t="s">
        <v>392</v>
      </c>
    </row>
    <row r="115" spans="2:10">
      <c r="B115" s="1063" t="s">
        <v>269</v>
      </c>
    </row>
    <row r="116" spans="2:10">
      <c r="B116" s="403"/>
    </row>
    <row r="117" spans="2:10">
      <c r="B117" s="1051"/>
      <c r="C117" s="1052">
        <v>2014</v>
      </c>
      <c r="D117" s="1052">
        <v>2015</v>
      </c>
      <c r="E117" s="1052">
        <v>2016</v>
      </c>
      <c r="F117" s="1052">
        <v>2017</v>
      </c>
      <c r="G117" s="1052">
        <v>2018</v>
      </c>
      <c r="H117" s="1052">
        <v>2019</v>
      </c>
      <c r="I117" s="1052">
        <v>2020</v>
      </c>
      <c r="J117" s="1052">
        <v>2021</v>
      </c>
    </row>
    <row r="118" spans="2:10">
      <c r="B118" s="1090" t="s">
        <v>391</v>
      </c>
    </row>
    <row r="119" spans="2:10">
      <c r="B119" s="1091" t="s">
        <v>390</v>
      </c>
      <c r="C119" s="435">
        <v>5583168</v>
      </c>
      <c r="D119" s="435">
        <v>5757924</v>
      </c>
      <c r="E119" s="435">
        <v>5785791</v>
      </c>
      <c r="F119" s="435">
        <v>5842526</v>
      </c>
      <c r="G119" s="435">
        <v>6039142</v>
      </c>
      <c r="H119" s="435">
        <v>5709944</v>
      </c>
      <c r="I119" s="435">
        <v>6194887</v>
      </c>
      <c r="J119" s="435">
        <v>6622833</v>
      </c>
    </row>
    <row r="120" spans="2:10">
      <c r="B120" s="1091" t="s">
        <v>389</v>
      </c>
      <c r="C120" s="435">
        <v>5583168</v>
      </c>
      <c r="D120" s="435">
        <v>5757924</v>
      </c>
      <c r="E120" s="435">
        <v>5785791</v>
      </c>
      <c r="F120" s="435">
        <v>5842526</v>
      </c>
      <c r="G120" s="435">
        <v>6039142</v>
      </c>
      <c r="H120" s="435">
        <v>5709944</v>
      </c>
      <c r="I120" s="435">
        <v>6194887</v>
      </c>
      <c r="J120" s="435">
        <v>6622833</v>
      </c>
    </row>
    <row r="121" spans="2:10">
      <c r="B121" s="1091" t="s">
        <v>388</v>
      </c>
      <c r="C121" s="445">
        <v>0</v>
      </c>
      <c r="D121" s="445">
        <v>0</v>
      </c>
      <c r="E121" s="445">
        <v>0</v>
      </c>
      <c r="F121" s="445">
        <v>0</v>
      </c>
      <c r="G121" s="445">
        <v>0</v>
      </c>
      <c r="H121" s="445">
        <v>0</v>
      </c>
      <c r="I121" s="445">
        <v>0</v>
      </c>
      <c r="J121" s="445">
        <v>0</v>
      </c>
    </row>
    <row r="122" spans="2:10">
      <c r="B122" s="1091" t="s">
        <v>387</v>
      </c>
      <c r="C122" s="435">
        <v>1952527</v>
      </c>
      <c r="D122" s="435">
        <v>2272666</v>
      </c>
      <c r="E122" s="435">
        <v>2456983</v>
      </c>
      <c r="F122" s="435">
        <v>2766770</v>
      </c>
      <c r="G122" s="435">
        <v>3039477</v>
      </c>
      <c r="H122" s="435">
        <v>3127327</v>
      </c>
      <c r="I122" s="435">
        <v>2531666</v>
      </c>
      <c r="J122" s="435">
        <v>2495006</v>
      </c>
    </row>
    <row r="123" spans="2:10">
      <c r="B123" s="1091" t="s">
        <v>386</v>
      </c>
      <c r="C123" s="435">
        <v>788407</v>
      </c>
      <c r="D123" s="435">
        <v>1490619</v>
      </c>
      <c r="E123" s="435">
        <v>196251</v>
      </c>
      <c r="F123" s="435">
        <v>335965</v>
      </c>
      <c r="G123" s="435">
        <v>189874</v>
      </c>
      <c r="H123" s="435">
        <v>130767</v>
      </c>
      <c r="I123" s="435">
        <v>71692</v>
      </c>
      <c r="J123" s="435">
        <v>677130</v>
      </c>
    </row>
    <row r="124" spans="2:10" ht="26">
      <c r="B124" s="1092" t="s">
        <v>385</v>
      </c>
      <c r="C124" s="435">
        <v>788407</v>
      </c>
      <c r="D124" s="435">
        <v>1490619</v>
      </c>
      <c r="E124" s="435">
        <v>196251</v>
      </c>
      <c r="F124" s="435">
        <v>335965</v>
      </c>
      <c r="G124" s="435">
        <v>189874</v>
      </c>
      <c r="H124" s="435">
        <v>130767</v>
      </c>
      <c r="I124" s="435">
        <v>71692</v>
      </c>
      <c r="J124" s="435">
        <v>677130</v>
      </c>
    </row>
    <row r="125" spans="2:10">
      <c r="B125" s="444" t="s">
        <v>384</v>
      </c>
      <c r="C125" s="435"/>
      <c r="D125" s="435"/>
      <c r="E125" s="435"/>
      <c r="F125" s="435"/>
      <c r="G125" s="435"/>
      <c r="H125" s="435"/>
      <c r="I125" s="435"/>
      <c r="J125" s="435"/>
    </row>
    <row r="126" spans="2:10" ht="26">
      <c r="B126" s="1092" t="s">
        <v>383</v>
      </c>
      <c r="C126" s="435">
        <v>8324102</v>
      </c>
      <c r="D126" s="435">
        <v>9521209</v>
      </c>
      <c r="E126" s="435">
        <v>8439025</v>
      </c>
      <c r="F126" s="435">
        <v>8945261</v>
      </c>
      <c r="G126" s="435">
        <v>9268493</v>
      </c>
      <c r="H126" s="435">
        <v>8968038</v>
      </c>
      <c r="I126" s="435">
        <v>8798245</v>
      </c>
      <c r="J126" s="435">
        <v>9794969</v>
      </c>
    </row>
    <row r="127" spans="2:10">
      <c r="B127" s="1091" t="s">
        <v>382</v>
      </c>
      <c r="C127" s="435"/>
      <c r="D127" s="435"/>
      <c r="E127" s="435"/>
      <c r="F127" s="435"/>
      <c r="G127" s="435"/>
      <c r="H127" s="435"/>
      <c r="I127" s="435"/>
      <c r="J127" s="435"/>
    </row>
    <row r="128" spans="2:10">
      <c r="B128" s="1091"/>
      <c r="C128" s="435"/>
      <c r="D128" s="435"/>
      <c r="E128" s="435"/>
      <c r="F128" s="435"/>
      <c r="G128" s="435"/>
      <c r="H128" s="435"/>
      <c r="I128" s="435"/>
      <c r="J128" s="435"/>
    </row>
    <row r="129" spans="2:10">
      <c r="B129" s="1093" t="s">
        <v>381</v>
      </c>
      <c r="C129" s="435"/>
      <c r="D129" s="435"/>
      <c r="E129" s="435"/>
      <c r="F129" s="435"/>
      <c r="G129" s="435"/>
      <c r="H129" s="435"/>
      <c r="I129" s="435"/>
      <c r="J129" s="435"/>
    </row>
    <row r="130" spans="2:10">
      <c r="B130" s="1091" t="s">
        <v>380</v>
      </c>
      <c r="C130" s="435"/>
      <c r="D130" s="435"/>
      <c r="E130" s="435"/>
      <c r="F130" s="435"/>
      <c r="G130" s="435"/>
      <c r="H130" s="435"/>
      <c r="I130" s="435"/>
      <c r="J130" s="435"/>
    </row>
    <row r="131" spans="2:10">
      <c r="B131" s="1094" t="s">
        <v>379</v>
      </c>
      <c r="C131" s="435"/>
      <c r="D131" s="435"/>
      <c r="E131" s="435"/>
      <c r="F131" s="435"/>
      <c r="G131" s="435"/>
      <c r="H131" s="435"/>
      <c r="I131" s="435"/>
      <c r="J131" s="435"/>
    </row>
    <row r="132" spans="2:10">
      <c r="B132" s="1095" t="s">
        <v>378</v>
      </c>
      <c r="C132" s="435">
        <v>2346</v>
      </c>
      <c r="D132" s="435">
        <v>2454</v>
      </c>
      <c r="E132" s="435">
        <v>2647</v>
      </c>
      <c r="F132" s="435">
        <v>2592</v>
      </c>
      <c r="G132" s="435">
        <v>2682</v>
      </c>
      <c r="H132" s="435">
        <v>2809</v>
      </c>
      <c r="I132" s="435">
        <v>2695</v>
      </c>
      <c r="J132" s="435">
        <v>2646</v>
      </c>
    </row>
    <row r="133" spans="2:10">
      <c r="B133" s="1095" t="s">
        <v>377</v>
      </c>
      <c r="C133" s="445">
        <v>0</v>
      </c>
      <c r="D133" s="445">
        <v>0</v>
      </c>
      <c r="E133" s="445">
        <v>0</v>
      </c>
      <c r="F133" s="445">
        <v>0</v>
      </c>
      <c r="G133" s="445">
        <v>0</v>
      </c>
      <c r="H133" s="445">
        <v>0</v>
      </c>
      <c r="I133" s="445">
        <v>0</v>
      </c>
      <c r="J133" s="445">
        <v>0</v>
      </c>
    </row>
    <row r="134" spans="2:10">
      <c r="B134" s="1091" t="s">
        <v>376</v>
      </c>
      <c r="C134" s="445">
        <v>0</v>
      </c>
      <c r="D134" s="445">
        <v>0</v>
      </c>
      <c r="E134" s="445">
        <v>0</v>
      </c>
      <c r="F134" s="445">
        <v>0</v>
      </c>
      <c r="G134" s="445">
        <v>0</v>
      </c>
      <c r="H134" s="445">
        <v>0</v>
      </c>
      <c r="I134" s="445">
        <v>0</v>
      </c>
      <c r="J134" s="445">
        <v>0</v>
      </c>
    </row>
    <row r="135" spans="2:10">
      <c r="B135" s="1091"/>
      <c r="C135" s="435"/>
      <c r="D135" s="435"/>
      <c r="E135" s="435"/>
      <c r="F135" s="435"/>
      <c r="G135" s="435"/>
      <c r="H135" s="435"/>
      <c r="I135" s="435"/>
      <c r="J135" s="435"/>
    </row>
    <row r="136" spans="2:10">
      <c r="B136" s="1091" t="s">
        <v>375</v>
      </c>
      <c r="C136" s="435"/>
      <c r="D136" s="435"/>
      <c r="E136" s="435"/>
      <c r="F136" s="435"/>
      <c r="G136" s="435"/>
      <c r="H136" s="435"/>
      <c r="I136" s="435"/>
      <c r="J136" s="435"/>
    </row>
    <row r="137" spans="2:10">
      <c r="B137" s="1095" t="s">
        <v>374</v>
      </c>
      <c r="C137" s="435">
        <v>147905</v>
      </c>
      <c r="D137" s="435">
        <v>146646</v>
      </c>
      <c r="E137" s="435">
        <v>170400</v>
      </c>
      <c r="F137" s="435">
        <v>176600</v>
      </c>
      <c r="G137" s="435">
        <v>189206</v>
      </c>
      <c r="H137" s="435">
        <v>175184</v>
      </c>
      <c r="I137" s="435">
        <v>191711</v>
      </c>
      <c r="J137" s="435">
        <v>192477</v>
      </c>
    </row>
    <row r="138" spans="2:10">
      <c r="B138" s="1091" t="s">
        <v>478</v>
      </c>
      <c r="C138" s="445">
        <v>0</v>
      </c>
      <c r="D138" s="445">
        <v>0</v>
      </c>
      <c r="E138" s="445">
        <v>0</v>
      </c>
      <c r="F138" s="445">
        <v>0</v>
      </c>
      <c r="G138" s="445">
        <v>0</v>
      </c>
      <c r="H138" s="445">
        <v>0</v>
      </c>
      <c r="I138" s="445">
        <v>0</v>
      </c>
      <c r="J138" s="445">
        <v>0</v>
      </c>
    </row>
    <row r="139" spans="2:10">
      <c r="B139" s="751" t="s">
        <v>373</v>
      </c>
      <c r="C139" s="445">
        <v>0</v>
      </c>
      <c r="D139" s="445">
        <v>0</v>
      </c>
      <c r="E139" s="445">
        <v>0</v>
      </c>
      <c r="F139" s="445">
        <v>0</v>
      </c>
      <c r="G139" s="445">
        <v>0</v>
      </c>
      <c r="H139" s="445">
        <v>0</v>
      </c>
      <c r="I139" s="445">
        <v>0</v>
      </c>
      <c r="J139" s="445">
        <v>0</v>
      </c>
    </row>
    <row r="140" spans="2:10">
      <c r="B140" s="1091" t="s">
        <v>372</v>
      </c>
      <c r="C140" s="445">
        <v>0</v>
      </c>
      <c r="D140" s="445">
        <v>0</v>
      </c>
      <c r="E140" s="445">
        <v>0</v>
      </c>
      <c r="F140" s="445">
        <v>0</v>
      </c>
      <c r="G140" s="445">
        <v>0</v>
      </c>
      <c r="H140" s="445">
        <v>0</v>
      </c>
      <c r="I140" s="445">
        <v>0</v>
      </c>
      <c r="J140" s="445">
        <v>0</v>
      </c>
    </row>
    <row r="141" spans="2:10">
      <c r="B141" s="1091" t="s">
        <v>371</v>
      </c>
      <c r="C141" s="435">
        <v>5</v>
      </c>
      <c r="D141" s="435">
        <v>5</v>
      </c>
      <c r="E141" s="435">
        <v>5</v>
      </c>
      <c r="F141" s="435">
        <v>5</v>
      </c>
      <c r="G141" s="435">
        <v>5</v>
      </c>
      <c r="H141" s="435">
        <v>5</v>
      </c>
      <c r="I141" s="435">
        <v>5</v>
      </c>
      <c r="J141" s="435">
        <v>5</v>
      </c>
    </row>
    <row r="142" spans="2:10">
      <c r="B142" s="1092" t="s">
        <v>370</v>
      </c>
      <c r="C142" s="445">
        <v>0</v>
      </c>
      <c r="D142" s="445">
        <v>0</v>
      </c>
      <c r="E142" s="445">
        <v>0</v>
      </c>
      <c r="F142" s="445">
        <v>0</v>
      </c>
      <c r="G142" s="445">
        <v>0</v>
      </c>
      <c r="H142" s="445">
        <v>0</v>
      </c>
      <c r="I142" s="445">
        <v>0</v>
      </c>
      <c r="J142" s="445">
        <v>0</v>
      </c>
    </row>
    <row r="143" spans="2:10" ht="15" thickBot="1">
      <c r="B143" s="1096" t="s">
        <v>369</v>
      </c>
      <c r="C143" s="445">
        <v>0</v>
      </c>
      <c r="D143" s="445">
        <v>0</v>
      </c>
      <c r="E143" s="445">
        <v>0</v>
      </c>
      <c r="F143" s="445">
        <v>0</v>
      </c>
      <c r="G143" s="445">
        <v>0</v>
      </c>
      <c r="H143" s="445">
        <v>0</v>
      </c>
      <c r="I143" s="445">
        <v>0</v>
      </c>
      <c r="J143" s="445">
        <v>0</v>
      </c>
    </row>
    <row r="144" spans="2:10" ht="15" thickTop="1">
      <c r="B144" s="2093" t="s">
        <v>1627</v>
      </c>
      <c r="C144" s="2093"/>
      <c r="D144" s="2093"/>
      <c r="E144" s="2093"/>
      <c r="F144" s="2093"/>
      <c r="G144" s="2093"/>
      <c r="H144" s="2093"/>
      <c r="I144" s="2093"/>
      <c r="J144" s="2093"/>
    </row>
    <row r="145" spans="2:10">
      <c r="B145" s="2094"/>
      <c r="C145" s="2094"/>
      <c r="D145" s="2094"/>
      <c r="E145" s="2094"/>
      <c r="F145" s="2094"/>
      <c r="G145" s="2094"/>
      <c r="H145" s="2094"/>
      <c r="I145" s="2094"/>
      <c r="J145" s="2094"/>
    </row>
    <row r="146" spans="2:10">
      <c r="B146" s="403"/>
    </row>
    <row r="147" spans="2:10">
      <c r="B147" s="2081" t="s">
        <v>367</v>
      </c>
      <c r="C147" s="2081"/>
      <c r="D147" s="2081"/>
      <c r="E147" s="2081"/>
      <c r="F147" s="2081"/>
      <c r="G147" s="2081"/>
      <c r="H147" s="2081"/>
      <c r="I147" s="2081"/>
      <c r="J147" s="2081"/>
    </row>
    <row r="148" spans="2:10">
      <c r="B148" s="1049" t="s">
        <v>366</v>
      </c>
    </row>
    <row r="149" spans="2:10">
      <c r="B149" s="1063" t="s">
        <v>210</v>
      </c>
    </row>
    <row r="150" spans="2:10">
      <c r="B150" s="403"/>
    </row>
    <row r="151" spans="2:10">
      <c r="B151" s="1051"/>
      <c r="C151" s="1052">
        <v>2014</v>
      </c>
      <c r="D151" s="1052">
        <v>2015</v>
      </c>
      <c r="E151" s="1052">
        <v>2016</v>
      </c>
      <c r="F151" s="1052">
        <v>2017</v>
      </c>
      <c r="G151" s="1052">
        <v>2018</v>
      </c>
      <c r="H151" s="1052">
        <v>2019</v>
      </c>
      <c r="I151" s="1052">
        <v>2020</v>
      </c>
      <c r="J151" s="1052">
        <v>2021</v>
      </c>
    </row>
    <row r="152" spans="2:10">
      <c r="B152" s="1081" t="s">
        <v>362</v>
      </c>
    </row>
    <row r="153" spans="2:10">
      <c r="B153" s="444" t="s">
        <v>361</v>
      </c>
      <c r="C153" s="445">
        <v>0</v>
      </c>
      <c r="D153" s="445">
        <v>0</v>
      </c>
      <c r="E153" s="445">
        <v>0</v>
      </c>
      <c r="F153" s="1097">
        <f t="shared" ref="F153:J153" si="4">F155</f>
        <v>117803.84906063467</v>
      </c>
      <c r="G153" s="1097">
        <f t="shared" si="4"/>
        <v>126195.56600000001</v>
      </c>
      <c r="H153" s="1097">
        <f t="shared" si="4"/>
        <v>161672.31139204543</v>
      </c>
      <c r="I153" s="1097">
        <f t="shared" si="4"/>
        <v>232065.06</v>
      </c>
      <c r="J153" s="1097">
        <f t="shared" si="4"/>
        <v>353952.86</v>
      </c>
    </row>
    <row r="154" spans="2:10">
      <c r="B154" s="1098" t="s">
        <v>360</v>
      </c>
      <c r="C154" s="445">
        <v>0</v>
      </c>
      <c r="D154" s="445">
        <v>0</v>
      </c>
      <c r="E154" s="445">
        <v>0</v>
      </c>
      <c r="F154" s="445">
        <v>0</v>
      </c>
      <c r="G154" s="445">
        <v>0</v>
      </c>
      <c r="H154" s="445">
        <v>0</v>
      </c>
      <c r="I154" s="445">
        <v>0</v>
      </c>
      <c r="J154" s="445"/>
    </row>
    <row r="155" spans="2:10">
      <c r="B155" s="1098" t="s">
        <v>828</v>
      </c>
      <c r="C155" s="445">
        <v>0</v>
      </c>
      <c r="D155" s="445">
        <v>0</v>
      </c>
      <c r="E155" s="445">
        <v>0</v>
      </c>
      <c r="F155" s="1097">
        <v>117803.84906063467</v>
      </c>
      <c r="G155" s="1097">
        <v>126195.56600000001</v>
      </c>
      <c r="H155" s="1097">
        <v>161672.31139204543</v>
      </c>
      <c r="I155" s="1097">
        <v>232065.06</v>
      </c>
      <c r="J155" s="1097">
        <v>353952.86</v>
      </c>
    </row>
    <row r="156" spans="2:10">
      <c r="B156" s="422" t="s">
        <v>1628</v>
      </c>
      <c r="C156" s="445">
        <v>0</v>
      </c>
      <c r="D156" s="445">
        <v>0</v>
      </c>
      <c r="E156" s="445">
        <v>0</v>
      </c>
      <c r="F156" s="1073">
        <v>32973.781000000003</v>
      </c>
      <c r="G156" s="1097">
        <v>30016.314999999999</v>
      </c>
      <c r="H156" s="1097">
        <v>16491.63</v>
      </c>
      <c r="I156" s="1097">
        <v>19779.382000000001</v>
      </c>
      <c r="J156" s="1097">
        <v>32604.314999999999</v>
      </c>
    </row>
    <row r="157" spans="2:10">
      <c r="B157" s="1099" t="s">
        <v>357</v>
      </c>
      <c r="C157" s="1097">
        <v>253361.64500000002</v>
      </c>
      <c r="D157" s="1097">
        <v>298166.21911821258</v>
      </c>
      <c r="E157" s="1097">
        <v>351290.18800000002</v>
      </c>
      <c r="F157" s="1097">
        <v>377188.43900000001</v>
      </c>
      <c r="G157" s="1097">
        <v>403697.08999999997</v>
      </c>
      <c r="H157" s="1097">
        <v>517319.147</v>
      </c>
      <c r="I157" s="1097">
        <v>455355.83700000006</v>
      </c>
      <c r="J157" s="1097">
        <v>609939.98900000006</v>
      </c>
    </row>
    <row r="158" spans="2:10">
      <c r="B158" s="1098" t="s">
        <v>356</v>
      </c>
      <c r="C158" s="1097">
        <v>163877.20000000001</v>
      </c>
      <c r="D158" s="1097">
        <v>198912.6</v>
      </c>
      <c r="E158" s="1097">
        <v>243800.1</v>
      </c>
      <c r="F158" s="1097">
        <v>244643.9</v>
      </c>
      <c r="G158" s="1097">
        <v>261929.30900000001</v>
      </c>
      <c r="H158" s="1097">
        <v>340703.11599999998</v>
      </c>
      <c r="I158" s="1097">
        <v>325568.53000000003</v>
      </c>
      <c r="J158" s="1097">
        <v>453706.72200000001</v>
      </c>
    </row>
    <row r="159" spans="2:10">
      <c r="B159" s="1098" t="s">
        <v>355</v>
      </c>
      <c r="C159" s="445">
        <v>0</v>
      </c>
      <c r="D159" s="445">
        <v>0</v>
      </c>
      <c r="E159" s="445">
        <v>0</v>
      </c>
      <c r="F159" s="445">
        <v>0</v>
      </c>
      <c r="G159" s="445">
        <v>0</v>
      </c>
      <c r="H159" s="445">
        <v>0</v>
      </c>
      <c r="I159" s="445">
        <v>0</v>
      </c>
      <c r="J159" s="445">
        <v>0</v>
      </c>
    </row>
    <row r="160" spans="2:10">
      <c r="B160" s="1098" t="s">
        <v>354</v>
      </c>
      <c r="C160" s="1097">
        <v>89484.4</v>
      </c>
      <c r="D160" s="1097">
        <v>99253.6</v>
      </c>
      <c r="E160" s="1097">
        <v>119878.81</v>
      </c>
      <c r="F160" s="1097">
        <v>132544.53899999999</v>
      </c>
      <c r="G160" s="1097">
        <v>141767.78099999999</v>
      </c>
      <c r="H160" s="1097">
        <v>176616.03099999999</v>
      </c>
      <c r="I160" s="1097">
        <v>129787.307</v>
      </c>
      <c r="J160" s="1097">
        <v>156233.26699999999</v>
      </c>
    </row>
    <row r="161" spans="2:10">
      <c r="B161" s="1099" t="s">
        <v>338</v>
      </c>
      <c r="C161" s="445">
        <v>0</v>
      </c>
      <c r="D161" s="445">
        <v>0</v>
      </c>
      <c r="E161" s="445">
        <v>0</v>
      </c>
      <c r="F161" s="445">
        <v>0</v>
      </c>
      <c r="G161" s="445">
        <v>0</v>
      </c>
      <c r="H161" s="445">
        <v>0</v>
      </c>
      <c r="I161" s="445">
        <v>0</v>
      </c>
      <c r="J161" s="445">
        <v>0</v>
      </c>
    </row>
    <row r="162" spans="2:10">
      <c r="B162" s="1099" t="s">
        <v>353</v>
      </c>
      <c r="C162" s="1097">
        <f>C163+C166</f>
        <v>13462.040579431916</v>
      </c>
      <c r="D162" s="1097">
        <f t="shared" ref="D162:H162" si="5">D163+D166</f>
        <v>11980.464154671012</v>
      </c>
      <c r="E162" s="1097">
        <f t="shared" si="5"/>
        <v>11062.181</v>
      </c>
      <c r="F162" s="1097">
        <f t="shared" si="5"/>
        <v>7309.1570000000002</v>
      </c>
      <c r="G162" s="1097">
        <f t="shared" si="5"/>
        <v>7404.1506732709377</v>
      </c>
      <c r="H162" s="1097">
        <f t="shared" si="5"/>
        <v>6210.6509999999998</v>
      </c>
      <c r="I162" s="1097">
        <f>I163+I166</f>
        <v>4531.3360000000002</v>
      </c>
      <c r="J162" s="1097">
        <v>3653.3019999999997</v>
      </c>
    </row>
    <row r="163" spans="2:10">
      <c r="B163" s="1100" t="s">
        <v>1629</v>
      </c>
      <c r="C163" s="1097">
        <v>4336.6090000000004</v>
      </c>
      <c r="D163" s="1097">
        <v>4170.7529999999997</v>
      </c>
      <c r="E163" s="1097">
        <v>3598.3629999999998</v>
      </c>
      <c r="F163" s="1097">
        <v>2776.6630000000005</v>
      </c>
      <c r="G163" s="1097">
        <v>1576.8000000000002</v>
      </c>
      <c r="H163" s="1097">
        <v>1183.9880000000001</v>
      </c>
      <c r="I163" s="1097">
        <v>768.49</v>
      </c>
      <c r="J163" s="1097">
        <v>525.16</v>
      </c>
    </row>
    <row r="164" spans="2:10">
      <c r="B164" s="123" t="s">
        <v>1472</v>
      </c>
      <c r="C164" s="1097">
        <v>3647.114</v>
      </c>
      <c r="D164" s="1097">
        <v>3537.7640000000001</v>
      </c>
      <c r="E164" s="1097">
        <v>3067.77</v>
      </c>
      <c r="F164" s="1097">
        <v>2373.8560000000002</v>
      </c>
      <c r="G164" s="1097">
        <v>1295.6500000000001</v>
      </c>
      <c r="H164" s="1097">
        <v>973.024</v>
      </c>
      <c r="I164" s="1097">
        <v>654.30600000000004</v>
      </c>
      <c r="J164" s="1097">
        <v>443.04700000000003</v>
      </c>
    </row>
    <row r="165" spans="2:10">
      <c r="B165" s="123" t="s">
        <v>1473</v>
      </c>
      <c r="C165" s="1097">
        <v>682.34400000000005</v>
      </c>
      <c r="D165" s="1097">
        <v>626.69100000000003</v>
      </c>
      <c r="E165" s="1097">
        <v>525.25199999999995</v>
      </c>
      <c r="F165" s="1097">
        <v>402.80700000000002</v>
      </c>
      <c r="G165" s="1097">
        <v>281.14999999999998</v>
      </c>
      <c r="H165" s="1097">
        <v>210.964</v>
      </c>
      <c r="I165" s="1097">
        <v>114.184</v>
      </c>
      <c r="J165" s="1097">
        <v>82.113</v>
      </c>
    </row>
    <row r="166" spans="2:10">
      <c r="B166" s="1100" t="s">
        <v>1630</v>
      </c>
      <c r="C166" s="1097">
        <v>9125.4315794319155</v>
      </c>
      <c r="D166" s="1097">
        <v>7809.7111546710112</v>
      </c>
      <c r="E166" s="1097">
        <v>7463.8180000000002</v>
      </c>
      <c r="F166" s="1097">
        <v>4532.4939999999997</v>
      </c>
      <c r="G166" s="1097">
        <v>5827.3506732709375</v>
      </c>
      <c r="H166" s="1097">
        <v>5026.6629999999996</v>
      </c>
      <c r="I166" s="1097">
        <v>3762.846</v>
      </c>
      <c r="J166" s="1097">
        <v>3128.1419999999998</v>
      </c>
    </row>
    <row r="167" spans="2:10">
      <c r="B167" s="123" t="s">
        <v>1472</v>
      </c>
      <c r="C167" s="1097">
        <v>8285.779526730923</v>
      </c>
      <c r="D167" s="1097">
        <v>7106.8371507506208</v>
      </c>
      <c r="E167" s="1097">
        <v>6792.07438</v>
      </c>
      <c r="F167" s="1097">
        <v>4090.8229999999999</v>
      </c>
      <c r="G167" s="1097">
        <v>5382.0086732709378</v>
      </c>
      <c r="H167" s="1097">
        <v>4692.3159999999998</v>
      </c>
      <c r="I167" s="1097">
        <v>3521.2150000000001</v>
      </c>
      <c r="J167" s="1097">
        <v>2945.1579999999999</v>
      </c>
    </row>
    <row r="168" spans="2:10">
      <c r="B168" s="123" t="s">
        <v>1473</v>
      </c>
      <c r="C168" s="1097">
        <v>839.65205270099239</v>
      </c>
      <c r="D168" s="1097">
        <v>702.87400392039103</v>
      </c>
      <c r="E168" s="1097">
        <v>671.74361999999996</v>
      </c>
      <c r="F168" s="1097">
        <v>441.67099999999999</v>
      </c>
      <c r="G168" s="1097">
        <v>445.34199999999998</v>
      </c>
      <c r="H168" s="1097">
        <v>334.34699999999998</v>
      </c>
      <c r="I168" s="1097">
        <v>241.631</v>
      </c>
      <c r="J168" s="1097">
        <v>182.98400000000001</v>
      </c>
    </row>
    <row r="169" spans="2:10">
      <c r="B169" s="444" t="s">
        <v>350</v>
      </c>
      <c r="C169" s="445">
        <v>0</v>
      </c>
      <c r="D169" s="445">
        <v>0</v>
      </c>
      <c r="E169" s="445">
        <v>0</v>
      </c>
      <c r="F169" s="445">
        <v>0</v>
      </c>
      <c r="G169" s="445">
        <v>0</v>
      </c>
      <c r="H169" s="445">
        <v>0</v>
      </c>
      <c r="I169" s="445">
        <v>0</v>
      </c>
      <c r="J169" s="445">
        <v>0</v>
      </c>
    </row>
    <row r="170" spans="2:10">
      <c r="B170" s="444"/>
      <c r="C170" s="979"/>
      <c r="D170" s="979"/>
      <c r="E170" s="979"/>
      <c r="F170" s="979"/>
      <c r="G170" s="979"/>
      <c r="H170" s="979"/>
      <c r="I170" s="979"/>
      <c r="J170" s="979"/>
    </row>
    <row r="171" spans="2:10">
      <c r="B171" s="444" t="s">
        <v>365</v>
      </c>
      <c r="C171" s="1097">
        <f>+C157+C163+C166</f>
        <v>266823.68557943194</v>
      </c>
      <c r="D171" s="1097">
        <f t="shared" ref="D171:E171" si="6">+D157+D163+D166</f>
        <v>310146.68327288365</v>
      </c>
      <c r="E171" s="1097">
        <f t="shared" si="6"/>
        <v>362352.36900000006</v>
      </c>
      <c r="F171" s="1097">
        <f t="shared" ref="F171" si="7">+F155+F157+F163+F166</f>
        <v>502301.44506063469</v>
      </c>
      <c r="G171" s="1097">
        <f t="shared" ref="G171:H171" si="8">+G155+G156+G157+G163+G166</f>
        <v>567313.12167327094</v>
      </c>
      <c r="H171" s="1097">
        <f t="shared" si="8"/>
        <v>701693.73939204542</v>
      </c>
      <c r="I171" s="1097">
        <f>+I155+I156+I157+I163+I166</f>
        <v>711731.61500000011</v>
      </c>
      <c r="J171" s="1097">
        <f>+J155+J156+J157+J163+J166</f>
        <v>1000150.4660000001</v>
      </c>
    </row>
    <row r="172" spans="2:10">
      <c r="B172" s="1092" t="s">
        <v>348</v>
      </c>
      <c r="C172" s="445">
        <v>0</v>
      </c>
      <c r="D172" s="445">
        <v>0</v>
      </c>
      <c r="E172" s="445">
        <v>0</v>
      </c>
      <c r="F172" s="445">
        <v>0</v>
      </c>
      <c r="G172" s="445">
        <v>0</v>
      </c>
      <c r="H172" s="445">
        <v>0</v>
      </c>
      <c r="I172" s="445">
        <v>0</v>
      </c>
      <c r="J172" s="445">
        <v>0</v>
      </c>
    </row>
    <row r="173" spans="2:10">
      <c r="B173" s="1092"/>
      <c r="C173" s="1097"/>
      <c r="D173" s="1097"/>
      <c r="E173" s="1097"/>
      <c r="F173" s="1097"/>
      <c r="G173" s="1097"/>
      <c r="H173" s="1097"/>
      <c r="I173" s="1097"/>
      <c r="J173" s="1097"/>
    </row>
    <row r="174" spans="2:10">
      <c r="B174" s="444" t="s">
        <v>347</v>
      </c>
      <c r="C174" s="445">
        <v>0</v>
      </c>
      <c r="D174" s="445">
        <v>0</v>
      </c>
      <c r="E174" s="445">
        <v>0</v>
      </c>
      <c r="F174" s="445">
        <v>0</v>
      </c>
      <c r="G174" s="445">
        <v>0</v>
      </c>
      <c r="H174" s="445">
        <v>0</v>
      </c>
      <c r="I174" s="445">
        <v>0</v>
      </c>
      <c r="J174" s="445">
        <v>0</v>
      </c>
    </row>
    <row r="175" spans="2:10">
      <c r="B175" s="444"/>
      <c r="C175" s="1101"/>
      <c r="D175" s="1101"/>
      <c r="E175" s="1101"/>
      <c r="F175" s="1101"/>
      <c r="G175" s="1101"/>
      <c r="H175" s="1101"/>
      <c r="I175" s="1101"/>
      <c r="J175" s="1101"/>
    </row>
    <row r="176" spans="2:10">
      <c r="B176" s="1081" t="s">
        <v>346</v>
      </c>
      <c r="C176" s="1102"/>
      <c r="D176" s="1102"/>
      <c r="E176" s="1102"/>
      <c r="F176" s="1102"/>
      <c r="G176" s="1102"/>
      <c r="H176" s="1102"/>
      <c r="I176" s="1102"/>
      <c r="J176" s="1102"/>
    </row>
    <row r="177" spans="2:10">
      <c r="B177" s="444" t="s">
        <v>342</v>
      </c>
      <c r="C177" s="1102">
        <v>134934.75599999999</v>
      </c>
      <c r="D177" s="1102">
        <v>150832.91099999999</v>
      </c>
      <c r="E177" s="1102">
        <v>159336.75899999999</v>
      </c>
      <c r="F177" s="1102">
        <v>149248.31</v>
      </c>
      <c r="G177" s="1102">
        <v>162143.84999999998</v>
      </c>
      <c r="H177" s="1102">
        <v>155132.14736025099</v>
      </c>
      <c r="I177" s="1102">
        <v>117998.29300000001</v>
      </c>
      <c r="J177" s="1102">
        <v>97562.554999999993</v>
      </c>
    </row>
    <row r="178" spans="2:10">
      <c r="B178" s="1092" t="s">
        <v>341</v>
      </c>
      <c r="C178" s="1102">
        <v>134242.677</v>
      </c>
      <c r="D178" s="1102">
        <v>149983.693</v>
      </c>
      <c r="E178" s="1102">
        <v>157760.93299999999</v>
      </c>
      <c r="F178" s="1102">
        <v>147286.35399999999</v>
      </c>
      <c r="G178" s="1102">
        <v>159769.54799999998</v>
      </c>
      <c r="H178" s="1102">
        <v>150694.56400000001</v>
      </c>
      <c r="I178" s="1102">
        <v>114247.87699999999</v>
      </c>
      <c r="J178" s="1102">
        <v>89682.486000000004</v>
      </c>
    </row>
    <row r="179" spans="2:10">
      <c r="B179" s="1092" t="s">
        <v>1631</v>
      </c>
      <c r="C179" s="1102">
        <v>692.07899999999995</v>
      </c>
      <c r="D179" s="1102">
        <v>849.21799999999996</v>
      </c>
      <c r="E179" s="1102">
        <v>1575.826</v>
      </c>
      <c r="F179" s="1102">
        <v>1961.9559999999999</v>
      </c>
      <c r="G179" s="1102">
        <v>2374.3020000000001</v>
      </c>
      <c r="H179" s="1102">
        <v>4437.5833602509811</v>
      </c>
      <c r="I179" s="1102">
        <v>3750.416000000012</v>
      </c>
      <c r="J179" s="1102">
        <v>7880.0689999999886</v>
      </c>
    </row>
    <row r="180" spans="2:10">
      <c r="B180" s="444" t="s">
        <v>339</v>
      </c>
      <c r="C180" s="1102">
        <v>240668.60199999998</v>
      </c>
      <c r="D180" s="1102">
        <v>268377.18599999999</v>
      </c>
      <c r="E180" s="1102">
        <v>320700</v>
      </c>
      <c r="F180" s="1102">
        <v>347643.80199999997</v>
      </c>
      <c r="G180" s="1102">
        <v>389463.79000000004</v>
      </c>
      <c r="H180" s="1102">
        <v>434200</v>
      </c>
      <c r="I180" s="1102">
        <v>365123.21899999998</v>
      </c>
      <c r="J180" s="1102">
        <v>539867.549</v>
      </c>
    </row>
    <row r="181" spans="2:10">
      <c r="B181" s="444" t="s">
        <v>338</v>
      </c>
      <c r="C181" s="445">
        <v>0</v>
      </c>
      <c r="D181" s="445">
        <v>0</v>
      </c>
      <c r="E181" s="445">
        <v>0</v>
      </c>
      <c r="F181" s="445">
        <v>0</v>
      </c>
      <c r="G181" s="445">
        <v>0</v>
      </c>
      <c r="H181" s="445">
        <v>0</v>
      </c>
      <c r="I181" s="445">
        <v>0</v>
      </c>
      <c r="J181" s="445">
        <v>0</v>
      </c>
    </row>
    <row r="182" spans="2:10">
      <c r="B182" s="1092" t="s">
        <v>337</v>
      </c>
      <c r="C182" s="445">
        <v>0</v>
      </c>
      <c r="D182" s="445">
        <v>0</v>
      </c>
      <c r="E182" s="445">
        <v>0</v>
      </c>
      <c r="F182" s="445">
        <v>0</v>
      </c>
      <c r="G182" s="445">
        <v>0</v>
      </c>
      <c r="H182" s="445">
        <v>0</v>
      </c>
      <c r="I182" s="445">
        <v>0</v>
      </c>
      <c r="J182" s="445">
        <v>0</v>
      </c>
    </row>
    <row r="183" spans="2:10">
      <c r="B183" s="1092" t="s">
        <v>336</v>
      </c>
      <c r="C183" s="445">
        <v>0</v>
      </c>
      <c r="D183" s="445">
        <v>0</v>
      </c>
      <c r="E183" s="445">
        <v>0</v>
      </c>
      <c r="F183" s="445">
        <v>0</v>
      </c>
      <c r="G183" s="445">
        <v>0</v>
      </c>
      <c r="H183" s="445">
        <v>0</v>
      </c>
      <c r="I183" s="445">
        <v>0</v>
      </c>
      <c r="J183" s="445">
        <v>0</v>
      </c>
    </row>
    <row r="184" spans="2:10">
      <c r="B184" s="1092" t="s">
        <v>335</v>
      </c>
      <c r="C184" s="445">
        <v>0</v>
      </c>
      <c r="D184" s="445">
        <v>0</v>
      </c>
      <c r="E184" s="445">
        <v>0</v>
      </c>
      <c r="F184" s="445">
        <v>0</v>
      </c>
      <c r="G184" s="445">
        <v>0</v>
      </c>
      <c r="H184" s="445">
        <v>0</v>
      </c>
      <c r="I184" s="445">
        <v>0</v>
      </c>
      <c r="J184" s="445">
        <v>0</v>
      </c>
    </row>
    <row r="185" spans="2:10">
      <c r="B185" s="1092"/>
      <c r="C185" s="1102"/>
      <c r="D185" s="1102"/>
      <c r="E185" s="1102"/>
      <c r="F185" s="1102"/>
      <c r="G185" s="1102"/>
      <c r="H185" s="1102"/>
      <c r="I185" s="1102"/>
      <c r="J185" s="1102"/>
    </row>
    <row r="186" spans="2:10" ht="26">
      <c r="B186" s="1086" t="s">
        <v>345</v>
      </c>
      <c r="C186" s="1102"/>
      <c r="D186" s="1102"/>
      <c r="E186" s="1102"/>
      <c r="F186" s="1102"/>
      <c r="G186" s="1102"/>
      <c r="H186" s="1102"/>
      <c r="I186" s="1102"/>
      <c r="J186" s="1102"/>
    </row>
    <row r="187" spans="2:10">
      <c r="B187" s="444" t="s">
        <v>342</v>
      </c>
      <c r="C187" s="445">
        <v>0</v>
      </c>
      <c r="D187" s="445">
        <v>0</v>
      </c>
      <c r="E187" s="445">
        <v>0</v>
      </c>
      <c r="F187" s="445">
        <v>0</v>
      </c>
      <c r="G187" s="445">
        <v>0</v>
      </c>
      <c r="H187" s="445">
        <v>0</v>
      </c>
      <c r="I187" s="445">
        <v>0</v>
      </c>
      <c r="J187" s="1102">
        <v>0</v>
      </c>
    </row>
    <row r="188" spans="2:10">
      <c r="B188" s="1092" t="s">
        <v>341</v>
      </c>
      <c r="C188" s="445">
        <v>0</v>
      </c>
      <c r="D188" s="445">
        <v>0</v>
      </c>
      <c r="E188" s="445">
        <v>0</v>
      </c>
      <c r="F188" s="445">
        <v>0</v>
      </c>
      <c r="G188" s="445">
        <v>0</v>
      </c>
      <c r="H188" s="445">
        <v>0</v>
      </c>
      <c r="I188" s="445">
        <v>0</v>
      </c>
      <c r="J188" s="1102">
        <v>0</v>
      </c>
    </row>
    <row r="189" spans="2:10">
      <c r="B189" s="1092" t="s">
        <v>340</v>
      </c>
      <c r="C189" s="445">
        <v>0</v>
      </c>
      <c r="D189" s="445">
        <v>0</v>
      </c>
      <c r="E189" s="445">
        <v>0</v>
      </c>
      <c r="F189" s="445">
        <v>0</v>
      </c>
      <c r="G189" s="445">
        <v>0</v>
      </c>
      <c r="H189" s="445">
        <v>0</v>
      </c>
      <c r="I189" s="445">
        <v>0</v>
      </c>
      <c r="J189" s="1102">
        <v>0</v>
      </c>
    </row>
    <row r="190" spans="2:10">
      <c r="B190" s="444" t="s">
        <v>339</v>
      </c>
      <c r="C190" s="445">
        <v>0</v>
      </c>
      <c r="D190" s="445">
        <v>0</v>
      </c>
      <c r="E190" s="445">
        <v>0</v>
      </c>
      <c r="F190" s="445">
        <v>0</v>
      </c>
      <c r="G190" s="445">
        <v>0</v>
      </c>
      <c r="H190" s="445">
        <v>0</v>
      </c>
      <c r="I190" s="445">
        <v>0</v>
      </c>
      <c r="J190" s="445">
        <v>517019.17599999998</v>
      </c>
    </row>
    <row r="191" spans="2:10">
      <c r="B191" s="444" t="s">
        <v>338</v>
      </c>
      <c r="C191" s="445">
        <v>0</v>
      </c>
      <c r="D191" s="445">
        <v>0</v>
      </c>
      <c r="E191" s="445">
        <v>0</v>
      </c>
      <c r="F191" s="445">
        <v>0</v>
      </c>
      <c r="G191" s="445">
        <v>0</v>
      </c>
      <c r="H191" s="445">
        <v>0</v>
      </c>
      <c r="I191" s="445">
        <v>0</v>
      </c>
      <c r="J191" s="445">
        <v>0</v>
      </c>
    </row>
    <row r="192" spans="2:10">
      <c r="B192" s="1092" t="s">
        <v>337</v>
      </c>
      <c r="C192" s="445">
        <v>0</v>
      </c>
      <c r="D192" s="445">
        <v>0</v>
      </c>
      <c r="E192" s="445">
        <v>0</v>
      </c>
      <c r="F192" s="445">
        <v>0</v>
      </c>
      <c r="G192" s="445">
        <v>0</v>
      </c>
      <c r="H192" s="445">
        <v>0</v>
      </c>
      <c r="I192" s="445">
        <v>0</v>
      </c>
      <c r="J192" s="445">
        <v>0</v>
      </c>
    </row>
    <row r="193" spans="2:10">
      <c r="B193" s="1092" t="s">
        <v>336</v>
      </c>
      <c r="C193" s="445">
        <v>0</v>
      </c>
      <c r="D193" s="445">
        <v>0</v>
      </c>
      <c r="E193" s="445">
        <v>0</v>
      </c>
      <c r="F193" s="445">
        <v>0</v>
      </c>
      <c r="G193" s="445">
        <v>0</v>
      </c>
      <c r="H193" s="445">
        <v>0</v>
      </c>
      <c r="I193" s="445">
        <v>0</v>
      </c>
      <c r="J193" s="445">
        <v>0</v>
      </c>
    </row>
    <row r="194" spans="2:10">
      <c r="B194" s="1092" t="s">
        <v>335</v>
      </c>
      <c r="C194" s="445">
        <v>0</v>
      </c>
      <c r="D194" s="445">
        <v>0</v>
      </c>
      <c r="E194" s="445">
        <v>0</v>
      </c>
      <c r="F194" s="445">
        <v>0</v>
      </c>
      <c r="G194" s="445">
        <v>0</v>
      </c>
      <c r="H194" s="445">
        <v>0</v>
      </c>
      <c r="I194" s="445">
        <v>0</v>
      </c>
      <c r="J194" s="445">
        <v>0</v>
      </c>
    </row>
    <row r="195" spans="2:10">
      <c r="B195" s="1092"/>
      <c r="C195" s="1102"/>
      <c r="D195" s="1102"/>
      <c r="E195" s="1102"/>
      <c r="F195" s="1102"/>
      <c r="G195" s="1102"/>
      <c r="H195" s="1102"/>
      <c r="I195" s="1102"/>
      <c r="J195" s="1102"/>
    </row>
    <row r="196" spans="2:10" ht="26">
      <c r="B196" s="1086" t="s">
        <v>344</v>
      </c>
      <c r="C196" s="1102"/>
      <c r="D196" s="1102"/>
      <c r="E196" s="1102"/>
      <c r="F196" s="1102"/>
      <c r="G196" s="1102"/>
      <c r="H196" s="1102"/>
      <c r="I196" s="1102"/>
      <c r="J196" s="1102"/>
    </row>
    <row r="197" spans="2:10">
      <c r="B197" s="444" t="s">
        <v>342</v>
      </c>
      <c r="C197" s="445">
        <v>0</v>
      </c>
      <c r="D197" s="445">
        <v>0</v>
      </c>
      <c r="E197" s="445">
        <v>0</v>
      </c>
      <c r="F197" s="445">
        <v>0</v>
      </c>
      <c r="G197" s="445">
        <v>0</v>
      </c>
      <c r="H197" s="445">
        <v>0</v>
      </c>
      <c r="I197" s="445">
        <v>0</v>
      </c>
      <c r="J197" s="445">
        <v>0</v>
      </c>
    </row>
    <row r="198" spans="2:10">
      <c r="B198" s="1092" t="s">
        <v>341</v>
      </c>
      <c r="C198" s="445">
        <v>0</v>
      </c>
      <c r="D198" s="445">
        <v>0</v>
      </c>
      <c r="E198" s="445">
        <v>0</v>
      </c>
      <c r="F198" s="445">
        <v>0</v>
      </c>
      <c r="G198" s="445">
        <v>0</v>
      </c>
      <c r="H198" s="445">
        <v>0</v>
      </c>
      <c r="I198" s="445">
        <v>0</v>
      </c>
      <c r="J198" s="445">
        <v>0</v>
      </c>
    </row>
    <row r="199" spans="2:10">
      <c r="B199" s="1092" t="s">
        <v>340</v>
      </c>
      <c r="C199" s="445">
        <v>0</v>
      </c>
      <c r="D199" s="445">
        <v>0</v>
      </c>
      <c r="E199" s="445">
        <v>0</v>
      </c>
      <c r="F199" s="445">
        <v>0</v>
      </c>
      <c r="G199" s="445">
        <v>0</v>
      </c>
      <c r="H199" s="445">
        <v>0</v>
      </c>
      <c r="I199" s="445">
        <v>0</v>
      </c>
      <c r="J199" s="445">
        <v>0</v>
      </c>
    </row>
    <row r="200" spans="2:10">
      <c r="B200" s="444" t="s">
        <v>339</v>
      </c>
      <c r="C200" s="445">
        <v>0</v>
      </c>
      <c r="D200" s="445">
        <v>0</v>
      </c>
      <c r="E200" s="445">
        <v>0</v>
      </c>
      <c r="F200" s="445">
        <v>0</v>
      </c>
      <c r="G200" s="445">
        <v>0</v>
      </c>
      <c r="H200" s="445">
        <v>0</v>
      </c>
      <c r="I200" s="445">
        <v>0</v>
      </c>
      <c r="J200" s="445">
        <v>22878.373</v>
      </c>
    </row>
    <row r="201" spans="2:10">
      <c r="B201" s="444" t="s">
        <v>338</v>
      </c>
      <c r="C201" s="445">
        <v>0</v>
      </c>
      <c r="D201" s="445">
        <v>0</v>
      </c>
      <c r="E201" s="445">
        <v>0</v>
      </c>
      <c r="F201" s="445">
        <v>0</v>
      </c>
      <c r="G201" s="445">
        <v>0</v>
      </c>
      <c r="H201" s="445">
        <v>0</v>
      </c>
      <c r="I201" s="445">
        <v>0</v>
      </c>
      <c r="J201" s="445">
        <v>0</v>
      </c>
    </row>
    <row r="202" spans="2:10">
      <c r="B202" s="1092" t="s">
        <v>337</v>
      </c>
      <c r="C202" s="445">
        <v>0</v>
      </c>
      <c r="D202" s="445">
        <v>0</v>
      </c>
      <c r="E202" s="445">
        <v>0</v>
      </c>
      <c r="F202" s="445">
        <v>0</v>
      </c>
      <c r="G202" s="445">
        <v>0</v>
      </c>
      <c r="H202" s="445">
        <v>0</v>
      </c>
      <c r="I202" s="445">
        <v>0</v>
      </c>
      <c r="J202" s="445">
        <v>0</v>
      </c>
    </row>
    <row r="203" spans="2:10">
      <c r="B203" s="1092" t="s">
        <v>336</v>
      </c>
      <c r="C203" s="445">
        <v>0</v>
      </c>
      <c r="D203" s="445">
        <v>0</v>
      </c>
      <c r="E203" s="445">
        <v>0</v>
      </c>
      <c r="F203" s="445">
        <v>0</v>
      </c>
      <c r="G203" s="445">
        <v>0</v>
      </c>
      <c r="H203" s="445">
        <v>0</v>
      </c>
      <c r="I203" s="445">
        <v>0</v>
      </c>
      <c r="J203" s="445">
        <v>0</v>
      </c>
    </row>
    <row r="204" spans="2:10">
      <c r="B204" s="1092" t="s">
        <v>335</v>
      </c>
      <c r="C204" s="445">
        <v>0</v>
      </c>
      <c r="D204" s="445">
        <v>0</v>
      </c>
      <c r="E204" s="445">
        <v>0</v>
      </c>
      <c r="F204" s="445">
        <v>0</v>
      </c>
      <c r="G204" s="445">
        <v>0</v>
      </c>
      <c r="H204" s="445">
        <v>0</v>
      </c>
      <c r="I204" s="445">
        <v>0</v>
      </c>
      <c r="J204" s="445">
        <v>0</v>
      </c>
    </row>
    <row r="205" spans="2:10">
      <c r="B205" s="1092"/>
      <c r="C205" s="1102"/>
      <c r="D205" s="1102"/>
      <c r="E205" s="1102"/>
      <c r="F205" s="1102"/>
      <c r="G205" s="1102"/>
      <c r="H205" s="1102"/>
      <c r="I205" s="1102"/>
      <c r="J205" s="1102"/>
    </row>
    <row r="206" spans="2:10" ht="26">
      <c r="B206" s="1086" t="s">
        <v>343</v>
      </c>
      <c r="C206" s="1102"/>
      <c r="D206" s="1102"/>
      <c r="E206" s="1102"/>
      <c r="F206" s="1102"/>
      <c r="G206" s="1102"/>
      <c r="H206" s="1102"/>
      <c r="I206" s="1102"/>
      <c r="J206" s="1102"/>
    </row>
    <row r="207" spans="2:10">
      <c r="B207" s="444" t="s">
        <v>342</v>
      </c>
      <c r="C207" s="445">
        <v>0</v>
      </c>
      <c r="D207" s="445">
        <v>0</v>
      </c>
      <c r="E207" s="445">
        <v>0</v>
      </c>
      <c r="F207" s="445">
        <v>0</v>
      </c>
      <c r="G207" s="445">
        <v>0</v>
      </c>
      <c r="H207" s="445">
        <v>0</v>
      </c>
      <c r="I207" s="445">
        <v>0</v>
      </c>
      <c r="J207" s="445">
        <v>0</v>
      </c>
    </row>
    <row r="208" spans="2:10">
      <c r="B208" s="1092" t="s">
        <v>341</v>
      </c>
      <c r="C208" s="445">
        <v>0</v>
      </c>
      <c r="D208" s="445">
        <v>0</v>
      </c>
      <c r="E208" s="445">
        <v>0</v>
      </c>
      <c r="F208" s="445">
        <v>0</v>
      </c>
      <c r="G208" s="445">
        <v>0</v>
      </c>
      <c r="H208" s="445">
        <v>0</v>
      </c>
      <c r="I208" s="445">
        <v>0</v>
      </c>
      <c r="J208" s="445">
        <v>0</v>
      </c>
    </row>
    <row r="209" spans="2:10">
      <c r="B209" s="1092" t="s">
        <v>340</v>
      </c>
      <c r="C209" s="445">
        <v>0</v>
      </c>
      <c r="D209" s="445">
        <v>0</v>
      </c>
      <c r="E209" s="445">
        <v>0</v>
      </c>
      <c r="F209" s="445">
        <v>0</v>
      </c>
      <c r="G209" s="445">
        <v>0</v>
      </c>
      <c r="H209" s="445">
        <v>0</v>
      </c>
      <c r="I209" s="445">
        <v>0</v>
      </c>
      <c r="J209" s="445" t="s">
        <v>1632</v>
      </c>
    </row>
    <row r="210" spans="2:10">
      <c r="B210" s="444" t="s">
        <v>339</v>
      </c>
      <c r="C210" s="445">
        <v>0</v>
      </c>
      <c r="D210" s="445">
        <v>0</v>
      </c>
      <c r="E210" s="445">
        <v>0</v>
      </c>
      <c r="F210" s="445">
        <v>0</v>
      </c>
      <c r="G210" s="445">
        <v>0</v>
      </c>
      <c r="H210" s="445">
        <v>0</v>
      </c>
      <c r="I210" s="445">
        <v>0</v>
      </c>
      <c r="J210" s="445">
        <v>86802.521999999997</v>
      </c>
    </row>
    <row r="211" spans="2:10">
      <c r="B211" s="444" t="s">
        <v>338</v>
      </c>
      <c r="C211" s="445">
        <v>0</v>
      </c>
      <c r="D211" s="445">
        <v>0</v>
      </c>
      <c r="E211" s="445">
        <v>0</v>
      </c>
      <c r="F211" s="445">
        <v>0</v>
      </c>
      <c r="G211" s="445">
        <v>0</v>
      </c>
      <c r="H211" s="445">
        <v>0</v>
      </c>
      <c r="I211" s="445">
        <v>0</v>
      </c>
      <c r="J211" s="445">
        <v>0</v>
      </c>
    </row>
    <row r="212" spans="2:10">
      <c r="B212" s="1092" t="s">
        <v>337</v>
      </c>
      <c r="C212" s="445">
        <v>0</v>
      </c>
      <c r="D212" s="445">
        <v>0</v>
      </c>
      <c r="E212" s="445">
        <v>0</v>
      </c>
      <c r="F212" s="445">
        <v>0</v>
      </c>
      <c r="G212" s="445">
        <v>0</v>
      </c>
      <c r="H212" s="445">
        <v>0</v>
      </c>
      <c r="I212" s="445">
        <v>0</v>
      </c>
      <c r="J212" s="445">
        <v>0</v>
      </c>
    </row>
    <row r="213" spans="2:10">
      <c r="B213" s="1092" t="s">
        <v>336</v>
      </c>
      <c r="C213" s="445">
        <v>0</v>
      </c>
      <c r="D213" s="445">
        <v>0</v>
      </c>
      <c r="E213" s="445">
        <v>0</v>
      </c>
      <c r="F213" s="445">
        <v>0</v>
      </c>
      <c r="G213" s="445">
        <v>0</v>
      </c>
      <c r="H213" s="445">
        <v>0</v>
      </c>
      <c r="I213" s="445">
        <v>0</v>
      </c>
      <c r="J213" s="445">
        <v>0</v>
      </c>
    </row>
    <row r="214" spans="2:10" ht="15" thickBot="1">
      <c r="B214" s="1103" t="s">
        <v>335</v>
      </c>
      <c r="C214" s="445">
        <v>0</v>
      </c>
      <c r="D214" s="445">
        <v>0</v>
      </c>
      <c r="E214" s="445">
        <v>0</v>
      </c>
      <c r="F214" s="445">
        <v>0</v>
      </c>
      <c r="G214" s="445">
        <v>0</v>
      </c>
      <c r="H214" s="445">
        <v>0</v>
      </c>
      <c r="I214" s="445">
        <v>0</v>
      </c>
      <c r="J214" s="445">
        <v>0</v>
      </c>
    </row>
    <row r="215" spans="2:10" ht="15" thickTop="1">
      <c r="B215" s="2093" t="s">
        <v>1633</v>
      </c>
      <c r="C215" s="2093"/>
      <c r="D215" s="2093"/>
      <c r="E215" s="2093"/>
      <c r="F215" s="2093"/>
      <c r="G215" s="2093"/>
      <c r="H215" s="2093"/>
      <c r="I215" s="2093"/>
      <c r="J215" s="2093"/>
    </row>
    <row r="216" spans="2:10">
      <c r="B216" s="403"/>
    </row>
    <row r="217" spans="2:10">
      <c r="B217" s="2081" t="s">
        <v>364</v>
      </c>
      <c r="C217" s="2081"/>
      <c r="D217" s="2081"/>
      <c r="E217" s="2081"/>
      <c r="F217" s="2081"/>
      <c r="G217" s="2081"/>
      <c r="H217" s="2081"/>
      <c r="I217" s="2081"/>
      <c r="J217" s="2081"/>
    </row>
    <row r="218" spans="2:10">
      <c r="B218" s="1049" t="s">
        <v>363</v>
      </c>
    </row>
    <row r="219" spans="2:10">
      <c r="B219" s="1063" t="s">
        <v>311</v>
      </c>
    </row>
    <row r="220" spans="2:10">
      <c r="B220" s="403"/>
    </row>
    <row r="221" spans="2:10">
      <c r="B221" s="1051"/>
      <c r="C221" s="1052">
        <v>2014</v>
      </c>
      <c r="D221" s="1052">
        <v>2015</v>
      </c>
      <c r="E221" s="1052">
        <v>2016</v>
      </c>
      <c r="F221" s="1052">
        <v>2017</v>
      </c>
      <c r="G221" s="1052">
        <v>2018</v>
      </c>
      <c r="H221" s="1052">
        <v>2019</v>
      </c>
      <c r="I221" s="1052">
        <v>2020</v>
      </c>
      <c r="J221" s="1052">
        <v>2021</v>
      </c>
    </row>
    <row r="222" spans="2:10">
      <c r="B222" s="1081" t="s">
        <v>362</v>
      </c>
    </row>
    <row r="223" spans="2:10">
      <c r="B223" s="444" t="s">
        <v>361</v>
      </c>
      <c r="C223" s="1104">
        <f>C225</f>
        <v>0</v>
      </c>
      <c r="D223" s="1104">
        <f t="shared" ref="D223:J223" si="9">D225</f>
        <v>0</v>
      </c>
      <c r="E223" s="1104">
        <f t="shared" si="9"/>
        <v>0</v>
      </c>
      <c r="F223" s="1104">
        <f t="shared" si="9"/>
        <v>253015.36199326071</v>
      </c>
      <c r="G223" s="1104">
        <f t="shared" si="9"/>
        <v>262808.59936261934</v>
      </c>
      <c r="H223" s="1104">
        <f t="shared" si="9"/>
        <v>316003.65566640807</v>
      </c>
      <c r="I223" s="1104">
        <f t="shared" si="9"/>
        <v>305541.66549321514</v>
      </c>
      <c r="J223" s="1104">
        <f t="shared" si="9"/>
        <v>281341.53097388707</v>
      </c>
    </row>
    <row r="224" spans="2:10">
      <c r="B224" s="1098" t="s">
        <v>360</v>
      </c>
      <c r="C224" s="445">
        <v>0</v>
      </c>
      <c r="D224" s="445">
        <v>0</v>
      </c>
      <c r="E224" s="445">
        <v>0</v>
      </c>
      <c r="F224" s="445">
        <v>0</v>
      </c>
      <c r="G224" s="445">
        <v>0</v>
      </c>
      <c r="H224" s="445">
        <v>0</v>
      </c>
      <c r="I224" s="445">
        <v>0</v>
      </c>
      <c r="J224" s="445">
        <v>0</v>
      </c>
    </row>
    <row r="225" spans="2:10">
      <c r="B225" s="1098" t="s">
        <v>828</v>
      </c>
      <c r="C225" s="445">
        <v>0</v>
      </c>
      <c r="D225" s="445">
        <v>0</v>
      </c>
      <c r="E225" s="445">
        <v>0</v>
      </c>
      <c r="F225" s="1104">
        <v>253015.36199326071</v>
      </c>
      <c r="G225" s="1104">
        <v>262808.59936261934</v>
      </c>
      <c r="H225" s="1104">
        <v>316003.65566640807</v>
      </c>
      <c r="I225" s="1104">
        <v>305541.66549321514</v>
      </c>
      <c r="J225" s="1104">
        <v>281341.53097388707</v>
      </c>
    </row>
    <row r="226" spans="2:10">
      <c r="B226" s="422" t="s">
        <v>358</v>
      </c>
      <c r="C226" s="445">
        <v>0</v>
      </c>
      <c r="D226" s="445">
        <v>0</v>
      </c>
      <c r="E226" s="445">
        <v>0</v>
      </c>
      <c r="F226" s="445">
        <v>68800.498913011645</v>
      </c>
      <c r="G226" s="1104">
        <v>85577.006421880782</v>
      </c>
      <c r="H226" s="1104">
        <v>76121.249188787828</v>
      </c>
      <c r="I226" s="1104">
        <v>76566.117068042353</v>
      </c>
      <c r="J226" s="1104">
        <v>92321.547980389951</v>
      </c>
    </row>
    <row r="227" spans="2:10">
      <c r="B227" s="1099" t="s">
        <v>357</v>
      </c>
      <c r="C227" s="1105">
        <v>10228.686293944433</v>
      </c>
      <c r="D227" s="1105">
        <v>11741.803423624708</v>
      </c>
      <c r="E227" s="1105">
        <v>13366.43474478694</v>
      </c>
      <c r="F227" s="1105">
        <v>13023.58141706694</v>
      </c>
      <c r="G227" s="1105">
        <v>13296.369509902706</v>
      </c>
      <c r="H227" s="1105">
        <v>16295.678084438983</v>
      </c>
      <c r="I227" s="1105">
        <v>13328.053898381837</v>
      </c>
      <c r="J227" s="1105">
        <v>14453.620733043299</v>
      </c>
    </row>
    <row r="228" spans="2:10">
      <c r="B228" s="1098" t="s">
        <v>356</v>
      </c>
      <c r="C228" s="1105">
        <v>5128.738759367674</v>
      </c>
      <c r="D228" s="1105">
        <v>6217.3603030966951</v>
      </c>
      <c r="E228" s="1105">
        <v>6945.3926583641742</v>
      </c>
      <c r="F228" s="1105">
        <v>6079.9383619071505</v>
      </c>
      <c r="G228" s="1105">
        <v>6189.4695078954046</v>
      </c>
      <c r="H228" s="1105">
        <v>7227.951956361906</v>
      </c>
      <c r="I228" s="1105">
        <v>7264.6588716308024</v>
      </c>
      <c r="J228" s="1105">
        <v>8539.5842111907787</v>
      </c>
    </row>
    <row r="229" spans="2:10">
      <c r="B229" s="1098" t="s">
        <v>355</v>
      </c>
      <c r="C229" s="1105">
        <v>0</v>
      </c>
      <c r="D229" s="1105">
        <v>0</v>
      </c>
      <c r="E229" s="1105">
        <v>0</v>
      </c>
      <c r="F229" s="1105">
        <v>0</v>
      </c>
      <c r="G229" s="1105">
        <v>0</v>
      </c>
      <c r="H229" s="1105">
        <v>0</v>
      </c>
      <c r="I229" s="1105">
        <v>0</v>
      </c>
      <c r="J229" s="1105">
        <v>0</v>
      </c>
    </row>
    <row r="230" spans="2:10">
      <c r="B230" s="1098" t="s">
        <v>354</v>
      </c>
      <c r="C230" s="1105">
        <v>5099.9475345767578</v>
      </c>
      <c r="D230" s="1105">
        <v>5524.4431205280125</v>
      </c>
      <c r="E230" s="1105">
        <v>6421.0420864227663</v>
      </c>
      <c r="F230" s="1105">
        <v>6943.6430551597905</v>
      </c>
      <c r="G230" s="1105">
        <v>7106.9000020073017</v>
      </c>
      <c r="H230" s="1105">
        <v>9067.7261280770781</v>
      </c>
      <c r="I230" s="1105">
        <v>6063.3950267510336</v>
      </c>
      <c r="J230" s="1105">
        <v>5914.0365218525212</v>
      </c>
    </row>
    <row r="231" spans="2:10">
      <c r="B231" s="1099" t="s">
        <v>338</v>
      </c>
      <c r="C231" s="445">
        <v>0</v>
      </c>
      <c r="D231" s="445">
        <v>0</v>
      </c>
      <c r="E231" s="445">
        <v>0</v>
      </c>
      <c r="F231" s="445">
        <v>0</v>
      </c>
      <c r="G231" s="445">
        <v>0</v>
      </c>
      <c r="H231" s="445">
        <v>0</v>
      </c>
      <c r="I231" s="445">
        <v>0</v>
      </c>
      <c r="J231" s="445">
        <v>0</v>
      </c>
    </row>
    <row r="232" spans="2:10">
      <c r="B232" s="1099" t="s">
        <v>353</v>
      </c>
      <c r="C232" s="1105">
        <f>C233+C236</f>
        <v>25443.873285918955</v>
      </c>
      <c r="D232" s="1105">
        <f t="shared" ref="D232:I232" si="10">D233+D236</f>
        <v>24314.610718510459</v>
      </c>
      <c r="E232" s="1105">
        <f t="shared" si="10"/>
        <v>21940.858055884004</v>
      </c>
      <c r="F232" s="1105">
        <f t="shared" si="10"/>
        <v>21285.978830439413</v>
      </c>
      <c r="G232" s="1105">
        <f t="shared" si="10"/>
        <v>14941.983982304198</v>
      </c>
      <c r="H232" s="1105">
        <f t="shared" si="10"/>
        <v>11938.621727305803</v>
      </c>
      <c r="I232" s="1105">
        <f t="shared" si="10"/>
        <v>11051.58362977574</v>
      </c>
      <c r="J232" s="1105">
        <f>J233+J236</f>
        <v>9520.9819890914005</v>
      </c>
    </row>
    <row r="233" spans="2:10">
      <c r="B233" s="1100" t="s">
        <v>1629</v>
      </c>
      <c r="C233" s="1104">
        <v>13146.437263631789</v>
      </c>
      <c r="D233" s="1104">
        <v>12590.39782970082</v>
      </c>
      <c r="E233" s="1104">
        <v>11186.731129559445</v>
      </c>
      <c r="F233" s="1104">
        <v>8626.2579008094563</v>
      </c>
      <c r="G233" s="1104">
        <v>5686.2241886973961</v>
      </c>
      <c r="H233" s="1104">
        <v>4556.6052191589015</v>
      </c>
      <c r="I233" s="1104">
        <v>3004.5536618474985</v>
      </c>
      <c r="J233" s="1104">
        <v>2693.0132852213592</v>
      </c>
    </row>
    <row r="234" spans="2:10">
      <c r="B234" s="123" t="s">
        <v>1472</v>
      </c>
      <c r="C234" s="1104">
        <v>7705.5646266258236</v>
      </c>
      <c r="D234" s="1104">
        <v>7761.9024027582009</v>
      </c>
      <c r="E234" s="1104">
        <v>6798.7777282449733</v>
      </c>
      <c r="F234" s="1104">
        <v>5121.3276450339581</v>
      </c>
      <c r="G234" s="1104">
        <v>3175.3131425718457</v>
      </c>
      <c r="H234" s="1104">
        <v>2532.0210561158287</v>
      </c>
      <c r="I234" s="1104">
        <v>1766.4964944969843</v>
      </c>
      <c r="J234" s="1104">
        <v>1358.0190872443402</v>
      </c>
    </row>
    <row r="235" spans="2:10">
      <c r="B235" s="123" t="s">
        <v>1473</v>
      </c>
      <c r="C235" s="1104">
        <v>5440.872637005963</v>
      </c>
      <c r="D235" s="1104">
        <v>4828.495426942618</v>
      </c>
      <c r="E235" s="1104">
        <v>4387.9534013144703</v>
      </c>
      <c r="F235" s="1104">
        <v>3504.9302557754986</v>
      </c>
      <c r="G235" s="1104">
        <v>2510.9110461255509</v>
      </c>
      <c r="H235" s="1104">
        <v>2024.5841630430732</v>
      </c>
      <c r="I235" s="1104">
        <v>1238.0571673505142</v>
      </c>
      <c r="J235" s="1104">
        <v>1334.9941979770188</v>
      </c>
    </row>
    <row r="236" spans="2:10">
      <c r="B236" s="1100" t="s">
        <v>1630</v>
      </c>
      <c r="C236" s="1104">
        <v>12297.436022287164</v>
      </c>
      <c r="D236" s="1104">
        <v>11724.212888809639</v>
      </c>
      <c r="E236" s="1104">
        <v>10754.126926324558</v>
      </c>
      <c r="F236" s="1104">
        <v>12659.720929629957</v>
      </c>
      <c r="G236" s="1104">
        <v>9255.7597936068032</v>
      </c>
      <c r="H236" s="1104">
        <v>7382.0165081469022</v>
      </c>
      <c r="I236" s="1104">
        <v>8047.0299679282407</v>
      </c>
      <c r="J236" s="1104">
        <v>6827.9687038700404</v>
      </c>
    </row>
    <row r="237" spans="2:10">
      <c r="B237" s="123" t="s">
        <v>1472</v>
      </c>
      <c r="C237" s="1104">
        <v>9724.2842782681109</v>
      </c>
      <c r="D237" s="1104">
        <v>9379.3703110477127</v>
      </c>
      <c r="E237" s="1104">
        <v>8603.3015410596454</v>
      </c>
      <c r="F237" s="1104">
        <v>9596.7403566630219</v>
      </c>
      <c r="G237" s="1104">
        <v>7225.0181488529142</v>
      </c>
      <c r="H237" s="1104">
        <v>5897.2530546545422</v>
      </c>
      <c r="I237" s="1104">
        <v>6731.4988489616944</v>
      </c>
      <c r="J237" s="1104">
        <v>5872.5091413328946</v>
      </c>
    </row>
    <row r="238" spans="2:10">
      <c r="B238" s="123" t="s">
        <v>1473</v>
      </c>
      <c r="C238" s="1104">
        <v>2432.2525223701673</v>
      </c>
      <c r="D238" s="1104">
        <v>2344.8425777619282</v>
      </c>
      <c r="E238" s="1104">
        <v>2150.8253852649113</v>
      </c>
      <c r="F238" s="1104">
        <v>3062.9805729669351</v>
      </c>
      <c r="G238" s="1104">
        <v>2030.7416447538881</v>
      </c>
      <c r="H238" s="1104">
        <v>1484.7634534923611</v>
      </c>
      <c r="I238" s="1104">
        <v>1315.531118966547</v>
      </c>
      <c r="J238" s="1104">
        <v>955.45956253714598</v>
      </c>
    </row>
    <row r="239" spans="2:10">
      <c r="B239" s="444" t="s">
        <v>350</v>
      </c>
      <c r="C239" s="1105"/>
      <c r="D239" s="1105"/>
      <c r="E239" s="1105"/>
      <c r="F239" s="1105"/>
      <c r="G239" s="1105"/>
      <c r="H239" s="1105"/>
      <c r="I239" s="1105"/>
      <c r="J239" s="1105"/>
    </row>
    <row r="240" spans="2:10">
      <c r="B240" s="444"/>
      <c r="C240" s="1106"/>
      <c r="D240" s="1106"/>
      <c r="E240" s="1106"/>
      <c r="F240" s="1106"/>
      <c r="G240" s="1106"/>
      <c r="H240" s="1106"/>
      <c r="I240" s="1106"/>
      <c r="J240" s="1106"/>
    </row>
    <row r="241" spans="2:10">
      <c r="B241" s="444" t="s">
        <v>349</v>
      </c>
      <c r="C241" s="1106">
        <v>161992.68985654294</v>
      </c>
      <c r="D241" s="1106">
        <v>297145.54816182028</v>
      </c>
      <c r="E241" s="1106">
        <v>313808.21547403064</v>
      </c>
      <c r="F241" s="1106">
        <v>359066.95809550723</v>
      </c>
      <c r="G241" s="1106">
        <v>377222.84589005489</v>
      </c>
      <c r="H241" s="1106">
        <v>420556.54046800826</v>
      </c>
      <c r="I241" s="1097">
        <f>+I225+I226+I227+I233+I236</f>
        <v>406487.42008941504</v>
      </c>
      <c r="J241" s="1097">
        <f>+J225+J226+J227+J233+J236</f>
        <v>397637.68167641171</v>
      </c>
    </row>
    <row r="242" spans="2:10">
      <c r="B242" s="1092" t="s">
        <v>348</v>
      </c>
      <c r="C242" s="445">
        <v>0</v>
      </c>
      <c r="D242" s="445">
        <v>0</v>
      </c>
      <c r="E242" s="445">
        <v>0</v>
      </c>
      <c r="F242" s="445">
        <v>0</v>
      </c>
      <c r="G242" s="445">
        <v>0</v>
      </c>
      <c r="H242" s="445">
        <v>0</v>
      </c>
      <c r="I242" s="445">
        <v>0</v>
      </c>
      <c r="J242" s="445">
        <v>0</v>
      </c>
    </row>
    <row r="243" spans="2:10">
      <c r="B243" s="1092"/>
      <c r="C243" s="1106"/>
      <c r="D243" s="1106"/>
      <c r="E243" s="1106"/>
      <c r="F243" s="1106"/>
      <c r="G243" s="1106"/>
      <c r="H243" s="1106"/>
      <c r="I243" s="1106"/>
      <c r="J243" s="1106"/>
    </row>
    <row r="244" spans="2:10">
      <c r="B244" s="444" t="s">
        <v>347</v>
      </c>
      <c r="C244" s="445">
        <v>0</v>
      </c>
      <c r="D244" s="445">
        <v>0</v>
      </c>
      <c r="E244" s="445">
        <v>0</v>
      </c>
      <c r="F244" s="445">
        <v>0</v>
      </c>
      <c r="G244" s="445">
        <v>0</v>
      </c>
      <c r="H244" s="445">
        <v>0</v>
      </c>
      <c r="I244" s="445">
        <v>0</v>
      </c>
      <c r="J244" s="445">
        <v>0</v>
      </c>
    </row>
    <row r="245" spans="2:10">
      <c r="B245" s="444"/>
      <c r="C245" s="1106"/>
      <c r="D245" s="1106"/>
      <c r="E245" s="1106"/>
      <c r="F245" s="1106"/>
      <c r="G245" s="1106"/>
      <c r="H245" s="1106"/>
      <c r="I245" s="1106"/>
      <c r="J245" s="1106"/>
    </row>
    <row r="246" spans="2:10">
      <c r="B246" s="1081" t="s">
        <v>346</v>
      </c>
      <c r="C246" s="1106"/>
      <c r="D246" s="1106"/>
      <c r="E246" s="1106"/>
      <c r="F246" s="1106"/>
      <c r="G246" s="1106"/>
      <c r="H246" s="1106"/>
      <c r="I246" s="1106"/>
      <c r="J246" s="1106"/>
    </row>
    <row r="247" spans="2:10">
      <c r="B247" s="444" t="s">
        <v>342</v>
      </c>
      <c r="C247" s="1107">
        <v>12711.863470107064</v>
      </c>
      <c r="D247" s="1107">
        <v>14399.150805677291</v>
      </c>
      <c r="E247" s="1107">
        <v>15296.415995734074</v>
      </c>
      <c r="F247" s="1107">
        <v>15055.174628922901</v>
      </c>
      <c r="G247" s="1107">
        <v>15814.921026922832</v>
      </c>
      <c r="H247" s="1107">
        <v>15474.847309980492</v>
      </c>
      <c r="I247" s="1107">
        <v>13307.404195670397</v>
      </c>
      <c r="J247" s="1107">
        <v>8206.1971944266443</v>
      </c>
    </row>
    <row r="248" spans="2:10">
      <c r="B248" s="1092" t="s">
        <v>341</v>
      </c>
      <c r="C248" s="1106">
        <v>12711.863470107064</v>
      </c>
      <c r="D248" s="1106">
        <v>14120.020915983154</v>
      </c>
      <c r="E248" s="1106">
        <v>14987.43783497016</v>
      </c>
      <c r="F248" s="1106">
        <v>14404.118008275333</v>
      </c>
      <c r="G248" s="1106">
        <v>15143.342353374685</v>
      </c>
      <c r="H248" s="1106">
        <v>14804.788424271184</v>
      </c>
      <c r="I248" s="1106">
        <v>12533.924443077742</v>
      </c>
      <c r="J248" s="1106">
        <v>6408.3486147377207</v>
      </c>
    </row>
    <row r="249" spans="2:10">
      <c r="B249" s="1092" t="s">
        <v>1631</v>
      </c>
      <c r="C249" s="1108">
        <v>0</v>
      </c>
      <c r="D249" s="1108">
        <v>279.12988969413709</v>
      </c>
      <c r="E249" s="1108">
        <v>308.97816076391337</v>
      </c>
      <c r="F249" s="1107">
        <v>651.05662064756882</v>
      </c>
      <c r="G249" s="1107">
        <v>671.57867354814698</v>
      </c>
      <c r="H249" s="1107">
        <v>670.05888570930824</v>
      </c>
      <c r="I249" s="1107">
        <v>773.47975259265559</v>
      </c>
      <c r="J249" s="1107">
        <v>1797.848579688924</v>
      </c>
    </row>
    <row r="250" spans="2:10">
      <c r="B250" s="444" t="s">
        <v>339</v>
      </c>
      <c r="C250" s="1107">
        <v>10088.90111162323</v>
      </c>
      <c r="D250" s="1107">
        <v>12540.586236820523</v>
      </c>
      <c r="E250" s="1107">
        <v>11945.908658381661</v>
      </c>
      <c r="F250" s="1107">
        <v>12482.744974068515</v>
      </c>
      <c r="G250" s="1107">
        <v>12813.416216278627</v>
      </c>
      <c r="H250" s="1107">
        <v>13616.05790590281</v>
      </c>
      <c r="I250" s="1107">
        <v>12057.416960673972</v>
      </c>
      <c r="J250" s="1107">
        <v>15378.57428240771</v>
      </c>
    </row>
    <row r="251" spans="2:10">
      <c r="B251" s="444" t="s">
        <v>338</v>
      </c>
      <c r="C251" s="445">
        <v>0</v>
      </c>
      <c r="D251" s="445">
        <v>0</v>
      </c>
      <c r="E251" s="445">
        <v>0</v>
      </c>
      <c r="F251" s="445">
        <v>0</v>
      </c>
      <c r="G251" s="445">
        <v>0</v>
      </c>
      <c r="H251" s="445">
        <v>0</v>
      </c>
      <c r="I251" s="445">
        <v>0</v>
      </c>
      <c r="J251" s="445">
        <v>0</v>
      </c>
    </row>
    <row r="252" spans="2:10">
      <c r="B252" s="1092" t="s">
        <v>337</v>
      </c>
      <c r="C252" s="445">
        <v>0</v>
      </c>
      <c r="D252" s="445">
        <v>0</v>
      </c>
      <c r="E252" s="445">
        <v>0</v>
      </c>
      <c r="F252" s="445">
        <v>0</v>
      </c>
      <c r="G252" s="445">
        <v>0</v>
      </c>
      <c r="H252" s="445">
        <v>0</v>
      </c>
      <c r="I252" s="445">
        <v>0</v>
      </c>
      <c r="J252" s="445">
        <v>0</v>
      </c>
    </row>
    <row r="253" spans="2:10">
      <c r="B253" s="1092" t="s">
        <v>336</v>
      </c>
      <c r="C253" s="445">
        <v>0</v>
      </c>
      <c r="D253" s="445">
        <v>0</v>
      </c>
      <c r="E253" s="445">
        <v>0</v>
      </c>
      <c r="F253" s="445">
        <v>0</v>
      </c>
      <c r="G253" s="445">
        <v>0</v>
      </c>
      <c r="H253" s="445">
        <v>0</v>
      </c>
      <c r="I253" s="445">
        <v>0</v>
      </c>
      <c r="J253" s="445">
        <v>0</v>
      </c>
    </row>
    <row r="254" spans="2:10">
      <c r="B254" s="1092" t="s">
        <v>335</v>
      </c>
      <c r="C254" s="445">
        <v>0</v>
      </c>
      <c r="D254" s="445">
        <v>0</v>
      </c>
      <c r="E254" s="445">
        <v>0</v>
      </c>
      <c r="F254" s="445">
        <v>0</v>
      </c>
      <c r="G254" s="445">
        <v>0</v>
      </c>
      <c r="H254" s="445">
        <v>0</v>
      </c>
      <c r="I254" s="445">
        <v>0</v>
      </c>
      <c r="J254" s="445">
        <v>0</v>
      </c>
    </row>
    <row r="255" spans="2:10">
      <c r="B255" s="1092"/>
      <c r="C255" s="445">
        <v>0</v>
      </c>
      <c r="D255" s="445">
        <v>0</v>
      </c>
      <c r="E255" s="445">
        <v>0</v>
      </c>
      <c r="F255" s="445">
        <v>0</v>
      </c>
      <c r="G255" s="445">
        <v>0</v>
      </c>
      <c r="H255" s="445">
        <v>0</v>
      </c>
      <c r="I255" s="445">
        <v>0</v>
      </c>
      <c r="J255" s="445">
        <v>0</v>
      </c>
    </row>
    <row r="256" spans="2:10" ht="26">
      <c r="B256" s="1086" t="s">
        <v>345</v>
      </c>
      <c r="C256" s="1109"/>
      <c r="D256" s="1109"/>
      <c r="E256" s="1109"/>
      <c r="F256" s="1109"/>
      <c r="G256" s="1109"/>
      <c r="H256" s="1109"/>
      <c r="I256" s="1109"/>
      <c r="J256" s="1109"/>
    </row>
    <row r="257" spans="2:10">
      <c r="B257" s="444" t="s">
        <v>342</v>
      </c>
      <c r="C257" s="445">
        <v>0</v>
      </c>
      <c r="D257" s="445">
        <v>0</v>
      </c>
      <c r="E257" s="445">
        <v>0</v>
      </c>
      <c r="F257" s="445">
        <v>0</v>
      </c>
      <c r="G257" s="445">
        <v>0</v>
      </c>
      <c r="H257" s="445">
        <v>0</v>
      </c>
      <c r="I257" s="445">
        <v>0</v>
      </c>
      <c r="J257" s="1110">
        <v>0</v>
      </c>
    </row>
    <row r="258" spans="2:10">
      <c r="B258" s="1092" t="s">
        <v>341</v>
      </c>
      <c r="C258" s="445">
        <v>0</v>
      </c>
      <c r="D258" s="445">
        <v>0</v>
      </c>
      <c r="E258" s="445">
        <v>0</v>
      </c>
      <c r="F258" s="445">
        <v>0</v>
      </c>
      <c r="G258" s="445">
        <v>0</v>
      </c>
      <c r="H258" s="445">
        <v>0</v>
      </c>
      <c r="I258" s="445">
        <v>0</v>
      </c>
      <c r="J258" s="1111">
        <v>0</v>
      </c>
    </row>
    <row r="259" spans="2:10">
      <c r="B259" s="1092" t="s">
        <v>340</v>
      </c>
      <c r="C259" s="445">
        <v>0</v>
      </c>
      <c r="D259" s="445">
        <v>0</v>
      </c>
      <c r="E259" s="445">
        <v>0</v>
      </c>
      <c r="F259" s="445">
        <v>0</v>
      </c>
      <c r="G259" s="445">
        <v>0</v>
      </c>
      <c r="H259" s="445">
        <v>0</v>
      </c>
      <c r="I259" s="445">
        <v>0</v>
      </c>
      <c r="J259" s="1110">
        <v>0</v>
      </c>
    </row>
    <row r="260" spans="2:10">
      <c r="B260" s="444" t="s">
        <v>339</v>
      </c>
      <c r="C260" s="445">
        <v>0</v>
      </c>
      <c r="D260" s="445">
        <v>0</v>
      </c>
      <c r="E260" s="445">
        <v>0</v>
      </c>
      <c r="F260" s="445">
        <v>0</v>
      </c>
      <c r="G260" s="445">
        <v>0</v>
      </c>
      <c r="H260" s="445">
        <v>0</v>
      </c>
      <c r="I260" s="445">
        <v>0</v>
      </c>
      <c r="J260" s="445">
        <v>13225.985700550953</v>
      </c>
    </row>
    <row r="261" spans="2:10">
      <c r="B261" s="444" t="s">
        <v>338</v>
      </c>
      <c r="C261" s="445">
        <v>0</v>
      </c>
      <c r="D261" s="445">
        <v>0</v>
      </c>
      <c r="E261" s="445">
        <v>0</v>
      </c>
      <c r="F261" s="445">
        <v>0</v>
      </c>
      <c r="G261" s="445">
        <v>0</v>
      </c>
      <c r="H261" s="445">
        <v>0</v>
      </c>
      <c r="I261" s="445">
        <v>0</v>
      </c>
      <c r="J261" s="445">
        <v>0</v>
      </c>
    </row>
    <row r="262" spans="2:10">
      <c r="B262" s="1092" t="s">
        <v>337</v>
      </c>
      <c r="C262" s="445">
        <v>0</v>
      </c>
      <c r="D262" s="445">
        <v>0</v>
      </c>
      <c r="E262" s="445">
        <v>0</v>
      </c>
      <c r="F262" s="445">
        <v>0</v>
      </c>
      <c r="G262" s="445">
        <v>0</v>
      </c>
      <c r="H262" s="445">
        <v>0</v>
      </c>
      <c r="I262" s="445">
        <v>0</v>
      </c>
      <c r="J262" s="445">
        <v>0</v>
      </c>
    </row>
    <row r="263" spans="2:10">
      <c r="B263" s="1092" t="s">
        <v>336</v>
      </c>
      <c r="C263" s="445">
        <v>0</v>
      </c>
      <c r="D263" s="445">
        <v>0</v>
      </c>
      <c r="E263" s="445">
        <v>0</v>
      </c>
      <c r="F263" s="445">
        <v>0</v>
      </c>
      <c r="G263" s="445">
        <v>0</v>
      </c>
      <c r="H263" s="445">
        <v>0</v>
      </c>
      <c r="I263" s="445">
        <v>0</v>
      </c>
      <c r="J263" s="445">
        <v>0</v>
      </c>
    </row>
    <row r="264" spans="2:10">
      <c r="B264" s="1092" t="s">
        <v>335</v>
      </c>
      <c r="C264" s="445">
        <v>0</v>
      </c>
      <c r="D264" s="445">
        <v>0</v>
      </c>
      <c r="E264" s="445">
        <v>0</v>
      </c>
      <c r="F264" s="445">
        <v>0</v>
      </c>
      <c r="G264" s="445">
        <v>0</v>
      </c>
      <c r="H264" s="445">
        <v>0</v>
      </c>
      <c r="I264" s="445">
        <v>0</v>
      </c>
      <c r="J264" s="445">
        <v>0</v>
      </c>
    </row>
    <row r="265" spans="2:10">
      <c r="B265" s="1092"/>
      <c r="C265" s="1112"/>
      <c r="D265" s="1112"/>
      <c r="E265" s="1112"/>
      <c r="F265" s="1112"/>
      <c r="G265" s="1112"/>
      <c r="H265" s="1112"/>
      <c r="I265" s="1112"/>
      <c r="J265" s="1112"/>
    </row>
    <row r="266" spans="2:10" ht="26">
      <c r="B266" s="1086" t="s">
        <v>344</v>
      </c>
      <c r="C266" s="1112"/>
      <c r="D266" s="1112"/>
      <c r="E266" s="1112"/>
      <c r="F266" s="1112"/>
      <c r="G266" s="1112"/>
      <c r="H266" s="1112"/>
      <c r="I266" s="1112"/>
      <c r="J266" s="1112"/>
    </row>
    <row r="267" spans="2:10">
      <c r="B267" s="444" t="s">
        <v>342</v>
      </c>
      <c r="C267" s="445">
        <v>0</v>
      </c>
      <c r="D267" s="445">
        <v>0</v>
      </c>
      <c r="E267" s="445">
        <v>0</v>
      </c>
      <c r="F267" s="445">
        <v>0</v>
      </c>
      <c r="G267" s="445">
        <v>0</v>
      </c>
      <c r="H267" s="445">
        <v>0</v>
      </c>
      <c r="I267" s="445">
        <v>0</v>
      </c>
      <c r="J267" s="445">
        <v>0</v>
      </c>
    </row>
    <row r="268" spans="2:10">
      <c r="B268" s="1092" t="s">
        <v>341</v>
      </c>
      <c r="C268" s="445">
        <v>0</v>
      </c>
      <c r="D268" s="445">
        <v>0</v>
      </c>
      <c r="E268" s="445">
        <v>0</v>
      </c>
      <c r="F268" s="445">
        <v>0</v>
      </c>
      <c r="G268" s="445">
        <v>0</v>
      </c>
      <c r="H268" s="445">
        <v>0</v>
      </c>
      <c r="I268" s="445">
        <v>0</v>
      </c>
      <c r="J268" s="445">
        <v>0</v>
      </c>
    </row>
    <row r="269" spans="2:10">
      <c r="B269" s="1092" t="s">
        <v>340</v>
      </c>
      <c r="C269" s="445">
        <v>0</v>
      </c>
      <c r="D269" s="445">
        <v>0</v>
      </c>
      <c r="E269" s="445">
        <v>0</v>
      </c>
      <c r="F269" s="445">
        <v>0</v>
      </c>
      <c r="G269" s="445">
        <v>0</v>
      </c>
      <c r="H269" s="445">
        <v>0</v>
      </c>
      <c r="I269" s="445">
        <v>0</v>
      </c>
      <c r="J269" s="445">
        <v>0</v>
      </c>
    </row>
    <row r="270" spans="2:10">
      <c r="B270" s="444" t="s">
        <v>339</v>
      </c>
      <c r="C270" s="445">
        <v>0</v>
      </c>
      <c r="D270" s="445">
        <v>0</v>
      </c>
      <c r="E270" s="445">
        <v>0</v>
      </c>
      <c r="F270" s="445">
        <v>0</v>
      </c>
      <c r="G270" s="445">
        <v>0</v>
      </c>
      <c r="H270" s="445">
        <v>0</v>
      </c>
      <c r="I270" s="445">
        <v>0</v>
      </c>
      <c r="J270" s="445">
        <v>1978.3957657477661</v>
      </c>
    </row>
    <row r="271" spans="2:10">
      <c r="B271" s="444" t="s">
        <v>338</v>
      </c>
      <c r="C271" s="445">
        <v>0</v>
      </c>
      <c r="D271" s="445">
        <v>0</v>
      </c>
      <c r="E271" s="445">
        <v>0</v>
      </c>
      <c r="F271" s="445">
        <v>0</v>
      </c>
      <c r="G271" s="445">
        <v>0</v>
      </c>
      <c r="H271" s="445">
        <v>0</v>
      </c>
      <c r="I271" s="445">
        <v>0</v>
      </c>
      <c r="J271" s="445">
        <v>0</v>
      </c>
    </row>
    <row r="272" spans="2:10">
      <c r="B272" s="1092" t="s">
        <v>337</v>
      </c>
      <c r="C272" s="445">
        <v>0</v>
      </c>
      <c r="D272" s="445">
        <v>0</v>
      </c>
      <c r="E272" s="445">
        <v>0</v>
      </c>
      <c r="F272" s="445">
        <v>0</v>
      </c>
      <c r="G272" s="445">
        <v>0</v>
      </c>
      <c r="H272" s="445">
        <v>0</v>
      </c>
      <c r="I272" s="445">
        <v>0</v>
      </c>
      <c r="J272" s="445">
        <v>0</v>
      </c>
    </row>
    <row r="273" spans="2:10">
      <c r="B273" s="1092" t="s">
        <v>336</v>
      </c>
      <c r="C273" s="445">
        <v>0</v>
      </c>
      <c r="D273" s="445">
        <v>0</v>
      </c>
      <c r="E273" s="445">
        <v>0</v>
      </c>
      <c r="F273" s="445">
        <v>0</v>
      </c>
      <c r="G273" s="445">
        <v>0</v>
      </c>
      <c r="H273" s="445">
        <v>0</v>
      </c>
      <c r="I273" s="445">
        <v>0</v>
      </c>
      <c r="J273" s="445">
        <v>0</v>
      </c>
    </row>
    <row r="274" spans="2:10">
      <c r="B274" s="1092" t="s">
        <v>335</v>
      </c>
      <c r="C274" s="445">
        <v>0</v>
      </c>
      <c r="D274" s="445">
        <v>0</v>
      </c>
      <c r="E274" s="445">
        <v>0</v>
      </c>
      <c r="F274" s="445">
        <v>0</v>
      </c>
      <c r="G274" s="445">
        <v>0</v>
      </c>
      <c r="H274" s="445">
        <v>0</v>
      </c>
      <c r="I274" s="445">
        <v>0</v>
      </c>
      <c r="J274" s="445">
        <v>0</v>
      </c>
    </row>
    <row r="275" spans="2:10">
      <c r="B275" s="1092"/>
      <c r="C275" s="1112"/>
      <c r="D275" s="1112"/>
      <c r="E275" s="1112"/>
      <c r="F275" s="1112"/>
      <c r="G275" s="1112"/>
      <c r="H275" s="1112"/>
      <c r="I275" s="1112"/>
      <c r="J275" s="1112"/>
    </row>
    <row r="276" spans="2:10" ht="26">
      <c r="B276" s="1086" t="s">
        <v>343</v>
      </c>
      <c r="C276" s="1112"/>
      <c r="D276" s="1112"/>
      <c r="E276" s="1112"/>
      <c r="F276" s="1112"/>
      <c r="G276" s="1112"/>
      <c r="H276" s="1112"/>
      <c r="I276" s="1112"/>
      <c r="J276" s="1112"/>
    </row>
    <row r="277" spans="2:10">
      <c r="B277" s="444" t="s">
        <v>342</v>
      </c>
      <c r="C277" s="445">
        <v>0</v>
      </c>
      <c r="D277" s="445">
        <v>0</v>
      </c>
      <c r="E277" s="445">
        <v>0</v>
      </c>
      <c r="F277" s="445">
        <v>0</v>
      </c>
      <c r="G277" s="445">
        <v>0</v>
      </c>
      <c r="H277" s="445">
        <v>0</v>
      </c>
      <c r="I277" s="445">
        <v>0</v>
      </c>
      <c r="J277" s="445">
        <v>0</v>
      </c>
    </row>
    <row r="278" spans="2:10">
      <c r="B278" s="1092" t="s">
        <v>341</v>
      </c>
      <c r="C278" s="445">
        <v>0</v>
      </c>
      <c r="D278" s="445">
        <v>0</v>
      </c>
      <c r="E278" s="445">
        <v>0</v>
      </c>
      <c r="F278" s="445">
        <v>0</v>
      </c>
      <c r="G278" s="445">
        <v>0</v>
      </c>
      <c r="H278" s="445">
        <v>0</v>
      </c>
      <c r="I278" s="445">
        <v>0</v>
      </c>
      <c r="J278" s="445">
        <v>0</v>
      </c>
    </row>
    <row r="279" spans="2:10">
      <c r="B279" s="1092" t="s">
        <v>340</v>
      </c>
      <c r="C279" s="445">
        <v>0</v>
      </c>
      <c r="D279" s="445">
        <v>0</v>
      </c>
      <c r="E279" s="445">
        <v>0</v>
      </c>
      <c r="F279" s="445">
        <v>0</v>
      </c>
      <c r="G279" s="445">
        <v>0</v>
      </c>
      <c r="H279" s="445">
        <v>0</v>
      </c>
      <c r="I279" s="445">
        <v>0</v>
      </c>
      <c r="J279" s="445">
        <v>0</v>
      </c>
    </row>
    <row r="280" spans="2:10">
      <c r="B280" s="444" t="s">
        <v>339</v>
      </c>
      <c r="C280" s="445">
        <v>0</v>
      </c>
      <c r="D280" s="445">
        <v>0</v>
      </c>
      <c r="E280" s="445">
        <v>0</v>
      </c>
      <c r="F280" s="445">
        <v>0</v>
      </c>
      <c r="G280" s="445">
        <v>0</v>
      </c>
      <c r="H280" s="445">
        <v>0</v>
      </c>
      <c r="I280" s="445">
        <v>0</v>
      </c>
      <c r="J280" s="445">
        <v>498.456626576904</v>
      </c>
    </row>
    <row r="281" spans="2:10">
      <c r="B281" s="444" t="s">
        <v>338</v>
      </c>
      <c r="C281" s="445">
        <v>0</v>
      </c>
      <c r="D281" s="445">
        <v>0</v>
      </c>
      <c r="E281" s="445">
        <v>0</v>
      </c>
      <c r="F281" s="445">
        <v>0</v>
      </c>
      <c r="G281" s="445">
        <v>0</v>
      </c>
      <c r="H281" s="445">
        <v>0</v>
      </c>
      <c r="I281" s="445">
        <v>0</v>
      </c>
      <c r="J281" s="445">
        <v>0</v>
      </c>
    </row>
    <row r="282" spans="2:10">
      <c r="B282" s="1092" t="s">
        <v>337</v>
      </c>
      <c r="C282" s="445">
        <v>0</v>
      </c>
      <c r="D282" s="445">
        <v>0</v>
      </c>
      <c r="E282" s="445">
        <v>0</v>
      </c>
      <c r="F282" s="445">
        <v>0</v>
      </c>
      <c r="G282" s="445">
        <v>0</v>
      </c>
      <c r="H282" s="445">
        <v>0</v>
      </c>
      <c r="I282" s="445">
        <v>0</v>
      </c>
      <c r="J282" s="445">
        <v>0</v>
      </c>
    </row>
    <row r="283" spans="2:10">
      <c r="B283" s="1092" t="s">
        <v>336</v>
      </c>
      <c r="C283" s="445">
        <v>0</v>
      </c>
      <c r="D283" s="445">
        <v>0</v>
      </c>
      <c r="E283" s="445">
        <v>0</v>
      </c>
      <c r="F283" s="445">
        <v>0</v>
      </c>
      <c r="G283" s="445">
        <v>0</v>
      </c>
      <c r="H283" s="445">
        <v>0</v>
      </c>
      <c r="I283" s="445">
        <v>0</v>
      </c>
      <c r="J283" s="445">
        <v>0</v>
      </c>
    </row>
    <row r="284" spans="2:10" ht="15" thickBot="1">
      <c r="B284" s="1103" t="s">
        <v>335</v>
      </c>
      <c r="C284" s="445">
        <v>0</v>
      </c>
      <c r="D284" s="445">
        <v>0</v>
      </c>
      <c r="E284" s="445">
        <v>0</v>
      </c>
      <c r="F284" s="445">
        <v>0</v>
      </c>
      <c r="G284" s="445">
        <v>0</v>
      </c>
      <c r="H284" s="445">
        <v>0</v>
      </c>
      <c r="I284" s="445">
        <v>0</v>
      </c>
      <c r="J284" s="445">
        <v>0</v>
      </c>
    </row>
    <row r="285" spans="2:10" ht="15" thickTop="1">
      <c r="B285" s="2093" t="s">
        <v>1634</v>
      </c>
      <c r="C285" s="2093"/>
      <c r="D285" s="2093"/>
      <c r="E285" s="2093"/>
      <c r="F285" s="2093"/>
      <c r="G285" s="2093"/>
      <c r="H285" s="2093"/>
      <c r="I285" s="2093"/>
      <c r="J285" s="2093"/>
    </row>
    <row r="286" spans="2:10">
      <c r="B286" s="403"/>
    </row>
    <row r="287" spans="2:10">
      <c r="B287" s="2081" t="s">
        <v>333</v>
      </c>
      <c r="C287" s="2081"/>
      <c r="D287" s="2081"/>
      <c r="E287" s="2081"/>
      <c r="F287" s="2081"/>
      <c r="G287" s="2081"/>
      <c r="H287" s="2081"/>
      <c r="I287" s="2081"/>
      <c r="J287" s="2081"/>
    </row>
    <row r="288" spans="2:10">
      <c r="B288" s="1049" t="s">
        <v>332</v>
      </c>
    </row>
    <row r="289" spans="2:10">
      <c r="B289" s="1063" t="s">
        <v>269</v>
      </c>
    </row>
    <row r="290" spans="2:10">
      <c r="B290" s="403"/>
    </row>
    <row r="291" spans="2:10">
      <c r="B291" s="1051"/>
      <c r="C291" s="1052">
        <v>2014</v>
      </c>
      <c r="D291" s="1052">
        <v>2015</v>
      </c>
      <c r="E291" s="1052">
        <v>2016</v>
      </c>
      <c r="F291" s="1052">
        <v>2017</v>
      </c>
      <c r="G291" s="1052">
        <v>2018</v>
      </c>
      <c r="H291" s="1052">
        <v>2019</v>
      </c>
      <c r="I291" s="1052">
        <v>2020</v>
      </c>
      <c r="J291" s="1052">
        <v>2021</v>
      </c>
    </row>
    <row r="292" spans="2:10">
      <c r="B292" s="1081" t="s">
        <v>310</v>
      </c>
    </row>
    <row r="293" spans="2:10">
      <c r="B293" s="1081"/>
    </row>
    <row r="294" spans="2:10">
      <c r="B294" s="450" t="s">
        <v>1264</v>
      </c>
    </row>
    <row r="295" spans="2:10">
      <c r="B295" s="1099" t="s">
        <v>265</v>
      </c>
      <c r="C295" s="1113">
        <f>C296+C300</f>
        <v>69</v>
      </c>
      <c r="D295" s="1113">
        <f t="shared" ref="D295:I295" si="11">D296+D300</f>
        <v>72</v>
      </c>
      <c r="E295" s="1113">
        <f t="shared" si="11"/>
        <v>71</v>
      </c>
      <c r="F295" s="1113">
        <f t="shared" si="11"/>
        <v>75</v>
      </c>
      <c r="G295" s="1113">
        <f t="shared" si="11"/>
        <v>76</v>
      </c>
      <c r="H295" s="1113">
        <f t="shared" si="11"/>
        <v>75</v>
      </c>
      <c r="I295" s="1113">
        <f t="shared" si="11"/>
        <v>134</v>
      </c>
      <c r="J295" s="1113">
        <f>J296+J300</f>
        <v>135</v>
      </c>
    </row>
    <row r="296" spans="2:10">
      <c r="B296" s="1114" t="s">
        <v>330</v>
      </c>
      <c r="C296" s="1113">
        <f>SUM(C297:C299)</f>
        <v>17</v>
      </c>
      <c r="D296" s="1113">
        <f t="shared" ref="D296:J296" si="12">SUM(D297:D299)</f>
        <v>18</v>
      </c>
      <c r="E296" s="1113">
        <f t="shared" si="12"/>
        <v>18</v>
      </c>
      <c r="F296" s="1113">
        <f t="shared" si="12"/>
        <v>18</v>
      </c>
      <c r="G296" s="1113">
        <f t="shared" si="12"/>
        <v>17</v>
      </c>
      <c r="H296" s="1113">
        <f t="shared" si="12"/>
        <v>18</v>
      </c>
      <c r="I296" s="1113">
        <f t="shared" si="12"/>
        <v>17</v>
      </c>
      <c r="J296" s="1113">
        <f t="shared" si="12"/>
        <v>16</v>
      </c>
    </row>
    <row r="297" spans="2:10">
      <c r="B297" s="1115" t="s">
        <v>1635</v>
      </c>
      <c r="C297" s="1116">
        <v>2</v>
      </c>
      <c r="D297" s="51">
        <v>2</v>
      </c>
      <c r="E297" s="51">
        <v>2</v>
      </c>
      <c r="F297" s="51">
        <v>2</v>
      </c>
      <c r="G297" s="51">
        <v>2</v>
      </c>
      <c r="H297" s="51">
        <v>2</v>
      </c>
      <c r="I297" s="51">
        <v>2</v>
      </c>
      <c r="J297" s="1117">
        <v>2</v>
      </c>
    </row>
    <row r="298" spans="2:10">
      <c r="B298" s="1115" t="s">
        <v>1636</v>
      </c>
      <c r="C298" s="51">
        <v>4</v>
      </c>
      <c r="D298" s="51">
        <v>4</v>
      </c>
      <c r="E298" s="51">
        <v>4</v>
      </c>
      <c r="F298" s="51">
        <v>4</v>
      </c>
      <c r="G298" s="51">
        <v>4</v>
      </c>
      <c r="H298" s="51">
        <v>4</v>
      </c>
      <c r="I298" s="51">
        <v>4</v>
      </c>
      <c r="J298" s="1118">
        <v>3</v>
      </c>
    </row>
    <row r="299" spans="2:10">
      <c r="B299" s="1115" t="s">
        <v>1637</v>
      </c>
      <c r="C299" s="1116">
        <v>11</v>
      </c>
      <c r="D299" s="51">
        <v>12</v>
      </c>
      <c r="E299" s="51">
        <v>12</v>
      </c>
      <c r="F299" s="51">
        <v>12</v>
      </c>
      <c r="G299" s="51">
        <v>11</v>
      </c>
      <c r="H299" s="51">
        <v>12</v>
      </c>
      <c r="I299" s="51">
        <v>11</v>
      </c>
      <c r="J299" s="1117">
        <v>11</v>
      </c>
    </row>
    <row r="300" spans="2:10">
      <c r="B300" s="1114" t="s">
        <v>328</v>
      </c>
      <c r="C300" s="1113">
        <f t="shared" ref="C300:J300" si="13">SUM(C301:C310)</f>
        <v>52</v>
      </c>
      <c r="D300" s="1113">
        <f t="shared" si="13"/>
        <v>54</v>
      </c>
      <c r="E300" s="1113">
        <f t="shared" si="13"/>
        <v>53</v>
      </c>
      <c r="F300" s="1113">
        <f t="shared" si="13"/>
        <v>57</v>
      </c>
      <c r="G300" s="1113">
        <f t="shared" si="13"/>
        <v>59</v>
      </c>
      <c r="H300" s="1113">
        <f t="shared" si="13"/>
        <v>57</v>
      </c>
      <c r="I300" s="1113">
        <f t="shared" si="13"/>
        <v>117</v>
      </c>
      <c r="J300" s="1113">
        <f t="shared" si="13"/>
        <v>119</v>
      </c>
    </row>
    <row r="301" spans="2:10">
      <c r="B301" s="1115" t="s">
        <v>1638</v>
      </c>
      <c r="C301" s="1116">
        <v>2</v>
      </c>
      <c r="D301" s="1116">
        <v>2</v>
      </c>
      <c r="E301" s="51">
        <v>3</v>
      </c>
      <c r="F301" s="51">
        <v>2</v>
      </c>
      <c r="G301" s="51">
        <v>3</v>
      </c>
      <c r="H301" s="51">
        <v>3</v>
      </c>
      <c r="I301" s="51">
        <v>3</v>
      </c>
      <c r="J301" s="51">
        <v>2</v>
      </c>
    </row>
    <row r="302" spans="2:10">
      <c r="B302" s="1115" t="s">
        <v>1639</v>
      </c>
      <c r="C302" s="1116">
        <v>4</v>
      </c>
      <c r="D302" s="1116">
        <v>4</v>
      </c>
      <c r="E302" s="51">
        <v>3</v>
      </c>
      <c r="F302" s="51">
        <v>4</v>
      </c>
      <c r="G302" s="51">
        <v>3</v>
      </c>
      <c r="H302" s="51">
        <v>3</v>
      </c>
      <c r="I302" s="51">
        <v>3</v>
      </c>
      <c r="J302" s="51">
        <v>2</v>
      </c>
    </row>
    <row r="303" spans="2:10">
      <c r="B303" s="1115" t="s">
        <v>1640</v>
      </c>
      <c r="C303" s="1116">
        <v>7</v>
      </c>
      <c r="D303" s="1116">
        <v>7</v>
      </c>
      <c r="E303" s="51">
        <v>7</v>
      </c>
      <c r="F303" s="51">
        <v>6</v>
      </c>
      <c r="G303" s="51">
        <v>8</v>
      </c>
      <c r="H303" s="51">
        <v>6</v>
      </c>
      <c r="I303" s="51">
        <v>21</v>
      </c>
      <c r="J303" s="51">
        <v>20</v>
      </c>
    </row>
    <row r="304" spans="2:10">
      <c r="B304" s="1115" t="s">
        <v>1641</v>
      </c>
      <c r="C304" s="1116">
        <v>5</v>
      </c>
      <c r="D304" s="1116">
        <v>5</v>
      </c>
      <c r="E304" s="51">
        <v>4</v>
      </c>
      <c r="F304" s="51">
        <v>5</v>
      </c>
      <c r="G304" s="51">
        <v>5</v>
      </c>
      <c r="H304" s="51">
        <v>5</v>
      </c>
      <c r="I304" s="51">
        <v>5</v>
      </c>
      <c r="J304" s="51">
        <v>6</v>
      </c>
    </row>
    <row r="305" spans="2:10">
      <c r="B305" s="1115" t="s">
        <v>1642</v>
      </c>
      <c r="C305" s="1116">
        <v>10</v>
      </c>
      <c r="D305" s="1116">
        <v>10</v>
      </c>
      <c r="E305" s="51">
        <v>10</v>
      </c>
      <c r="F305" s="51">
        <v>12</v>
      </c>
      <c r="G305" s="51">
        <v>11</v>
      </c>
      <c r="H305" s="51">
        <v>11</v>
      </c>
      <c r="I305" s="51">
        <v>15</v>
      </c>
      <c r="J305" s="51">
        <v>15</v>
      </c>
    </row>
    <row r="306" spans="2:10">
      <c r="B306" s="1115" t="s">
        <v>1643</v>
      </c>
      <c r="C306" s="1116">
        <v>2</v>
      </c>
      <c r="D306" s="1116">
        <v>2</v>
      </c>
      <c r="E306" s="51">
        <v>2</v>
      </c>
      <c r="F306" s="51">
        <v>2</v>
      </c>
      <c r="G306" s="51">
        <v>2</v>
      </c>
      <c r="H306" s="51">
        <v>2</v>
      </c>
      <c r="I306" s="51">
        <v>2</v>
      </c>
      <c r="J306" s="51">
        <v>2</v>
      </c>
    </row>
    <row r="307" spans="2:10">
      <c r="B307" s="1115" t="s">
        <v>1644</v>
      </c>
      <c r="C307" s="1116">
        <v>6</v>
      </c>
      <c r="D307" s="1116">
        <v>6</v>
      </c>
      <c r="E307" s="51">
        <v>6</v>
      </c>
      <c r="F307" s="51">
        <v>6</v>
      </c>
      <c r="G307" s="51">
        <v>6</v>
      </c>
      <c r="H307" s="51">
        <v>6</v>
      </c>
      <c r="I307" s="51">
        <v>12</v>
      </c>
      <c r="J307" s="51">
        <v>9</v>
      </c>
    </row>
    <row r="308" spans="2:10">
      <c r="B308" s="1115" t="s">
        <v>496</v>
      </c>
      <c r="C308" s="191">
        <v>0</v>
      </c>
      <c r="D308" s="191">
        <v>1</v>
      </c>
      <c r="E308" s="191">
        <v>2</v>
      </c>
      <c r="F308" s="191">
        <v>5</v>
      </c>
      <c r="G308" s="191">
        <v>4</v>
      </c>
      <c r="H308" s="191">
        <v>4</v>
      </c>
      <c r="I308" s="191">
        <v>37</v>
      </c>
      <c r="J308" s="191">
        <v>46</v>
      </c>
    </row>
    <row r="309" spans="2:10">
      <c r="B309" s="1115" t="s">
        <v>1645</v>
      </c>
      <c r="C309" s="1116">
        <v>16</v>
      </c>
      <c r="D309" s="1116">
        <v>17</v>
      </c>
      <c r="E309" s="51">
        <v>16</v>
      </c>
      <c r="F309" s="51">
        <v>15</v>
      </c>
      <c r="G309" s="51">
        <v>15</v>
      </c>
      <c r="H309" s="51">
        <v>15</v>
      </c>
      <c r="I309" s="51">
        <v>15</v>
      </c>
      <c r="J309" s="51">
        <v>15</v>
      </c>
    </row>
    <row r="310" spans="2:10" ht="15" thickBot="1">
      <c r="B310" s="1119" t="s">
        <v>1646</v>
      </c>
      <c r="C310" s="1116">
        <v>0</v>
      </c>
      <c r="D310" s="1116">
        <v>0</v>
      </c>
      <c r="E310" s="51">
        <v>0</v>
      </c>
      <c r="F310" s="51">
        <v>0</v>
      </c>
      <c r="G310" s="51">
        <v>2</v>
      </c>
      <c r="H310" s="51">
        <v>2</v>
      </c>
      <c r="I310" s="51">
        <v>4</v>
      </c>
      <c r="J310" s="51">
        <v>2</v>
      </c>
    </row>
    <row r="311" spans="2:10" ht="15" thickTop="1">
      <c r="B311" s="2093" t="s">
        <v>1647</v>
      </c>
      <c r="C311" s="2093"/>
      <c r="D311" s="2093"/>
      <c r="E311" s="2093"/>
      <c r="F311" s="2093"/>
      <c r="G311" s="2093"/>
      <c r="H311" s="2093"/>
      <c r="I311" s="2093"/>
      <c r="J311" s="2093"/>
    </row>
    <row r="312" spans="2:10">
      <c r="B312" s="403"/>
    </row>
    <row r="313" spans="2:10">
      <c r="B313" s="2081" t="s">
        <v>320</v>
      </c>
      <c r="C313" s="2081"/>
      <c r="D313" s="2081"/>
      <c r="E313" s="2081"/>
      <c r="F313" s="2081"/>
      <c r="G313" s="2081"/>
      <c r="H313" s="2081"/>
      <c r="I313" s="2081"/>
      <c r="J313" s="2081"/>
    </row>
    <row r="314" spans="2:10">
      <c r="B314" s="1049" t="s">
        <v>319</v>
      </c>
    </row>
    <row r="315" spans="2:10">
      <c r="B315" s="1063" t="s">
        <v>242</v>
      </c>
    </row>
    <row r="316" spans="2:10">
      <c r="B316" s="403"/>
    </row>
    <row r="317" spans="2:10">
      <c r="B317" s="1051"/>
      <c r="C317" s="1052">
        <v>2014</v>
      </c>
      <c r="D317" s="1052">
        <v>2015</v>
      </c>
      <c r="E317" s="1052">
        <v>2016</v>
      </c>
      <c r="F317" s="1052">
        <v>2017</v>
      </c>
      <c r="G317" s="1052">
        <v>2018</v>
      </c>
      <c r="H317" s="1052">
        <v>2019</v>
      </c>
      <c r="I317" s="1052">
        <v>2020</v>
      </c>
      <c r="J317" s="1052">
        <v>2021</v>
      </c>
    </row>
    <row r="318" spans="2:10">
      <c r="B318" s="1081" t="s">
        <v>1264</v>
      </c>
    </row>
    <row r="319" spans="2:10">
      <c r="B319" s="1099" t="s">
        <v>297</v>
      </c>
      <c r="C319" s="1120">
        <v>29.452235000000002</v>
      </c>
      <c r="D319" s="1120">
        <v>33.419443000000008</v>
      </c>
      <c r="E319" s="1120">
        <v>37.760286999999991</v>
      </c>
      <c r="F319" s="1120">
        <v>42.437877</v>
      </c>
      <c r="G319" s="1120">
        <v>48.019450999999997</v>
      </c>
      <c r="H319" s="1120">
        <v>56.718286000000013</v>
      </c>
      <c r="I319" s="1120">
        <v>98.804517000000004</v>
      </c>
      <c r="J319" s="1120">
        <v>216.50653600000001</v>
      </c>
    </row>
    <row r="320" spans="2:10">
      <c r="B320" s="1099"/>
      <c r="C320" s="1121"/>
      <c r="D320" s="1121"/>
      <c r="E320" s="1121"/>
      <c r="F320" s="1121"/>
      <c r="G320" s="1121"/>
      <c r="H320" s="1121"/>
      <c r="I320" s="1121"/>
      <c r="J320" s="1121"/>
    </row>
    <row r="321" spans="2:10">
      <c r="B321" s="450" t="s">
        <v>1648</v>
      </c>
    </row>
    <row r="322" spans="2:10">
      <c r="B322" s="1099" t="s">
        <v>297</v>
      </c>
      <c r="C322" s="1122">
        <f>SUM(C324:C326)</f>
        <v>8.6345000000000005E-2</v>
      </c>
      <c r="D322" s="1122">
        <f t="shared" ref="D322:J322" si="14">SUM(D324:D326)</f>
        <v>8.551099999999999E-2</v>
      </c>
      <c r="E322" s="1122">
        <f t="shared" si="14"/>
        <v>7.9334000000000002E-2</v>
      </c>
      <c r="F322" s="1122">
        <f t="shared" si="14"/>
        <v>7.3719000000000007E-2</v>
      </c>
      <c r="G322" s="1122">
        <f t="shared" si="14"/>
        <v>7.1682999999999997E-2</v>
      </c>
      <c r="H322" s="1122">
        <f t="shared" si="14"/>
        <v>6.5049999999999997E-2</v>
      </c>
      <c r="I322" s="1122">
        <f t="shared" si="14"/>
        <v>5.8340000000000003E-2</v>
      </c>
      <c r="J322" s="1122">
        <f t="shared" si="14"/>
        <v>5.8071999999999999E-2</v>
      </c>
    </row>
    <row r="323" spans="2:10">
      <c r="B323" s="1100" t="s">
        <v>296</v>
      </c>
      <c r="C323" s="1121"/>
      <c r="D323" s="1121"/>
      <c r="E323" s="1121"/>
      <c r="F323" s="1121"/>
      <c r="G323" s="1121"/>
      <c r="H323" s="1121"/>
      <c r="I323" s="1121"/>
      <c r="J323" s="1121"/>
    </row>
    <row r="324" spans="2:10">
      <c r="B324" s="1100" t="s">
        <v>1649</v>
      </c>
      <c r="C324" s="445">
        <v>8.2491999999999996E-2</v>
      </c>
      <c r="D324" s="445">
        <v>8.1658999999999995E-2</v>
      </c>
      <c r="E324" s="445">
        <v>7.5405E-2</v>
      </c>
      <c r="F324" s="445">
        <v>6.9832000000000005E-2</v>
      </c>
      <c r="G324" s="445">
        <v>6.7900000000000002E-2</v>
      </c>
      <c r="H324" s="445">
        <v>6.1098E-2</v>
      </c>
      <c r="I324" s="445">
        <v>5.4810999999999999E-2</v>
      </c>
      <c r="J324" s="1121">
        <v>5.4795999999999997E-2</v>
      </c>
    </row>
    <row r="325" spans="2:10">
      <c r="B325" s="1123" t="s">
        <v>295</v>
      </c>
      <c r="C325" s="445">
        <v>1.6119999999999999E-3</v>
      </c>
      <c r="D325" s="445">
        <v>1.5950000000000001E-3</v>
      </c>
      <c r="E325" s="445">
        <v>1.5640000000000001E-3</v>
      </c>
      <c r="F325" s="445">
        <v>1.598E-3</v>
      </c>
      <c r="G325" s="445">
        <v>1.663E-3</v>
      </c>
      <c r="H325" s="445">
        <v>1.7160000000000001E-3</v>
      </c>
      <c r="I325" s="445">
        <v>1.82E-3</v>
      </c>
      <c r="J325" s="445">
        <v>1.4450000000000001E-3</v>
      </c>
    </row>
    <row r="326" spans="2:10">
      <c r="B326" s="1123" t="s">
        <v>303</v>
      </c>
      <c r="C326" s="445">
        <v>2.2409999999999999E-3</v>
      </c>
      <c r="D326" s="445">
        <v>2.2569999999999999E-3</v>
      </c>
      <c r="E326" s="445">
        <v>2.3649999999999999E-3</v>
      </c>
      <c r="F326" s="445">
        <v>2.2889999999999998E-3</v>
      </c>
      <c r="G326" s="445">
        <v>2.1199999999999999E-3</v>
      </c>
      <c r="H326" s="445">
        <v>2.2360000000000001E-3</v>
      </c>
      <c r="I326" s="445">
        <v>1.709E-3</v>
      </c>
      <c r="J326" s="445">
        <v>1.8309999999999999E-3</v>
      </c>
    </row>
    <row r="327" spans="2:10">
      <c r="B327" s="57" t="s">
        <v>287</v>
      </c>
      <c r="C327" s="1124">
        <f>C322/C319</f>
        <v>2.9316960155994953E-3</v>
      </c>
      <c r="D327" s="1124">
        <f t="shared" ref="D327:J327" si="15">D322/D319</f>
        <v>2.5587200839942178E-3</v>
      </c>
      <c r="E327" s="1124">
        <f t="shared" si="15"/>
        <v>2.1009903870698871E-3</v>
      </c>
      <c r="F327" s="1124">
        <f t="shared" si="15"/>
        <v>1.7371038612511178E-3</v>
      </c>
      <c r="G327" s="1124">
        <f t="shared" si="15"/>
        <v>1.4927909109164951E-3</v>
      </c>
      <c r="H327" s="1124">
        <f t="shared" si="15"/>
        <v>1.1468964347759025E-3</v>
      </c>
      <c r="I327" s="1124">
        <f t="shared" si="15"/>
        <v>5.9045883499435554E-4</v>
      </c>
      <c r="J327" s="1124">
        <f t="shared" si="15"/>
        <v>2.6822284940164573E-4</v>
      </c>
    </row>
    <row r="328" spans="2:10">
      <c r="B328" s="1125"/>
      <c r="C328" s="1121"/>
      <c r="D328" s="1121"/>
      <c r="E328" s="1121"/>
      <c r="F328" s="1121"/>
      <c r="G328" s="1121"/>
      <c r="H328" s="1121"/>
      <c r="I328" s="1121"/>
      <c r="J328" s="1121"/>
    </row>
    <row r="329" spans="2:10">
      <c r="B329" s="450" t="s">
        <v>1265</v>
      </c>
    </row>
    <row r="330" spans="2:10">
      <c r="B330" s="1099" t="s">
        <v>297</v>
      </c>
      <c r="C330" s="1121">
        <f t="shared" ref="C330:J330" si="16">SUM(C332:C346)</f>
        <v>29.214642000000001</v>
      </c>
      <c r="D330" s="1121">
        <f t="shared" si="16"/>
        <v>33.228043000000014</v>
      </c>
      <c r="E330" s="1121">
        <f t="shared" si="16"/>
        <v>37.703398999999983</v>
      </c>
      <c r="F330" s="1121">
        <f t="shared" si="16"/>
        <v>42.275390999999999</v>
      </c>
      <c r="G330" s="1121">
        <f t="shared" si="16"/>
        <v>47.862785999999993</v>
      </c>
      <c r="H330" s="1121">
        <f t="shared" si="16"/>
        <v>56.56554400000001</v>
      </c>
      <c r="I330" s="1121">
        <f t="shared" si="16"/>
        <v>98.656844000000007</v>
      </c>
      <c r="J330" s="1121">
        <f t="shared" si="16"/>
        <v>216.347238</v>
      </c>
    </row>
    <row r="331" spans="2:10">
      <c r="B331" s="1100" t="s">
        <v>296</v>
      </c>
      <c r="C331" s="1121"/>
      <c r="D331" s="1121"/>
      <c r="E331" s="1121"/>
      <c r="F331" s="1121"/>
      <c r="G331" s="1121"/>
      <c r="H331" s="1121"/>
      <c r="I331" s="1121"/>
      <c r="J331" s="1121"/>
    </row>
    <row r="332" spans="2:10">
      <c r="B332" s="1126" t="s">
        <v>1650</v>
      </c>
      <c r="C332" s="1122">
        <v>7.4280840000000001</v>
      </c>
      <c r="D332" s="1122">
        <v>8.7019199999999994</v>
      </c>
      <c r="E332" s="1122">
        <v>10.60037</v>
      </c>
      <c r="F332" s="1122">
        <v>12.186343000000001</v>
      </c>
      <c r="G332" s="1122">
        <v>14.228434999999999</v>
      </c>
      <c r="H332" s="1122">
        <v>16.246431000000001</v>
      </c>
      <c r="I332" s="1122">
        <v>18.029375000000002</v>
      </c>
      <c r="J332" s="1122">
        <v>18.677609</v>
      </c>
    </row>
    <row r="333" spans="2:10">
      <c r="B333" s="1126" t="s">
        <v>1651</v>
      </c>
      <c r="C333" s="1122">
        <v>15.410368</v>
      </c>
      <c r="D333" s="1122">
        <v>17.529311</v>
      </c>
      <c r="E333" s="1122">
        <v>19.544415999999998</v>
      </c>
      <c r="F333" s="1122">
        <v>21.792365</v>
      </c>
      <c r="G333" s="1122">
        <v>24.001396</v>
      </c>
      <c r="H333" s="1122">
        <v>25.622892</v>
      </c>
      <c r="I333" s="1122">
        <v>28.459202000000001</v>
      </c>
      <c r="J333" s="1122">
        <v>28.439837000000001</v>
      </c>
    </row>
    <row r="334" spans="2:10">
      <c r="B334" s="1126" t="s">
        <v>1652</v>
      </c>
      <c r="C334" s="1122">
        <v>1.711149</v>
      </c>
      <c r="D334" s="1122">
        <v>2.4275289999999998</v>
      </c>
      <c r="E334" s="1122">
        <v>3.4133659999999999</v>
      </c>
      <c r="F334" s="1122">
        <v>4.6402460000000003</v>
      </c>
      <c r="G334" s="1122">
        <v>6.4342139999999999</v>
      </c>
      <c r="H334" s="1122">
        <v>9.2791739999999994</v>
      </c>
      <c r="I334" s="1122">
        <v>13.767488</v>
      </c>
      <c r="J334" s="1122">
        <v>21.102402999999999</v>
      </c>
    </row>
    <row r="335" spans="2:10">
      <c r="B335" s="1126" t="s">
        <v>1653</v>
      </c>
      <c r="C335" s="1122">
        <v>0.240729</v>
      </c>
      <c r="D335" s="1122">
        <v>0.28808299999999998</v>
      </c>
      <c r="E335" s="1122">
        <v>0.34786699999999998</v>
      </c>
      <c r="F335" s="1122">
        <v>0.44901799999999997</v>
      </c>
      <c r="G335" s="1122">
        <v>0.65493400000000002</v>
      </c>
      <c r="H335" s="1122">
        <v>0.86538800000000005</v>
      </c>
      <c r="I335" s="1122">
        <v>0.68314200000000003</v>
      </c>
      <c r="J335" s="1122">
        <v>0.72293399999999997</v>
      </c>
    </row>
    <row r="336" spans="2:10">
      <c r="B336" s="1126" t="s">
        <v>1654</v>
      </c>
      <c r="C336" s="1122">
        <v>4.3294579999999998</v>
      </c>
      <c r="D336" s="1122">
        <v>4.1644550000000002</v>
      </c>
      <c r="E336" s="1122">
        <v>3.5930219999999999</v>
      </c>
      <c r="F336" s="1122">
        <v>2.7766630000000001</v>
      </c>
      <c r="G336" s="1122">
        <v>1.5768</v>
      </c>
      <c r="H336" s="1122">
        <v>1.183988</v>
      </c>
      <c r="I336" s="1122">
        <v>0.76849000000000001</v>
      </c>
      <c r="J336" s="1122">
        <v>0.52515999999999996</v>
      </c>
    </row>
    <row r="337" spans="2:10">
      <c r="B337" s="1126" t="s">
        <v>1655</v>
      </c>
      <c r="C337" s="1122">
        <v>1.5917000000000001E-2</v>
      </c>
      <c r="D337" s="1122">
        <v>1.3311E-2</v>
      </c>
      <c r="E337" s="1122">
        <v>1.0991000000000001E-2</v>
      </c>
      <c r="F337" s="1122">
        <v>1.3046E-2</v>
      </c>
      <c r="G337" s="1122">
        <v>6.4270000000000004E-3</v>
      </c>
      <c r="H337" s="1122">
        <v>6.1370000000000001E-3</v>
      </c>
      <c r="I337" s="1122">
        <v>4.8760000000000001E-3</v>
      </c>
      <c r="J337" s="1122">
        <v>3.4859999999999999E-3</v>
      </c>
    </row>
    <row r="338" spans="2:10">
      <c r="B338" s="1126" t="s">
        <v>1656</v>
      </c>
      <c r="C338" s="1122">
        <v>1.5511E-2</v>
      </c>
      <c r="D338" s="1122">
        <v>1.4588E-2</v>
      </c>
      <c r="E338" s="1122">
        <v>1.4534E-2</v>
      </c>
      <c r="F338" s="1122">
        <v>1.4517E-2</v>
      </c>
      <c r="G338" s="1122">
        <v>1.2751999999999999E-2</v>
      </c>
      <c r="H338" s="1122">
        <v>1.2756E-2</v>
      </c>
      <c r="I338" s="1122">
        <v>1.2822E-2</v>
      </c>
      <c r="J338" s="1122">
        <v>1.272E-2</v>
      </c>
    </row>
    <row r="339" spans="2:10">
      <c r="B339" s="1126" t="s">
        <v>1657</v>
      </c>
      <c r="C339" s="1122">
        <v>6.3425999999999996E-2</v>
      </c>
      <c r="D339" s="1122">
        <v>6.2812000000000007E-2</v>
      </c>
      <c r="E339" s="1122">
        <v>4.8724000000000003E-2</v>
      </c>
      <c r="F339" s="1122">
        <v>4.0432999999999997E-2</v>
      </c>
      <c r="G339" s="1122">
        <v>3.8185999999999998E-2</v>
      </c>
      <c r="H339" s="1122">
        <v>4.3117999999999997E-2</v>
      </c>
      <c r="I339" s="1122">
        <v>3.4158000000000001E-2</v>
      </c>
      <c r="J339" s="1122">
        <v>3.866E-2</v>
      </c>
    </row>
    <row r="340" spans="2:10">
      <c r="B340" s="1126" t="s">
        <v>1658</v>
      </c>
      <c r="C340" s="445">
        <v>0</v>
      </c>
      <c r="D340" s="445">
        <v>2.6034000000000002E-2</v>
      </c>
      <c r="E340" s="445">
        <v>0.130109</v>
      </c>
      <c r="F340" s="445">
        <v>0.36276000000000003</v>
      </c>
      <c r="G340" s="445">
        <v>0.90964199999999995</v>
      </c>
      <c r="H340" s="445">
        <v>3.30566</v>
      </c>
      <c r="I340" s="445">
        <v>36.897291000000003</v>
      </c>
      <c r="J340" s="445">
        <v>146.82442900000001</v>
      </c>
    </row>
    <row r="341" spans="2:10">
      <c r="B341" s="1127" t="s">
        <v>290</v>
      </c>
      <c r="C341" s="445">
        <v>0</v>
      </c>
      <c r="D341" s="445">
        <v>0</v>
      </c>
      <c r="E341" s="445">
        <v>0</v>
      </c>
      <c r="F341" s="445">
        <v>0</v>
      </c>
      <c r="G341" s="445">
        <v>0</v>
      </c>
      <c r="H341" s="445">
        <v>0</v>
      </c>
      <c r="I341" s="445">
        <v>0</v>
      </c>
      <c r="J341" s="445">
        <v>0</v>
      </c>
    </row>
    <row r="342" spans="2:10">
      <c r="B342" s="1127" t="s">
        <v>288</v>
      </c>
      <c r="C342" s="445">
        <v>0</v>
      </c>
      <c r="D342" s="445">
        <v>0</v>
      </c>
      <c r="E342" s="445">
        <v>0</v>
      </c>
      <c r="F342" s="445">
        <v>0</v>
      </c>
      <c r="G342" s="445">
        <v>0</v>
      </c>
      <c r="H342" s="445">
        <v>0</v>
      </c>
      <c r="I342" s="445">
        <v>0</v>
      </c>
      <c r="J342" s="445">
        <v>0</v>
      </c>
    </row>
    <row r="343" spans="2:10">
      <c r="B343" s="1123" t="s">
        <v>1659</v>
      </c>
      <c r="C343" s="445"/>
      <c r="D343" s="445"/>
      <c r="E343" s="445" t="s">
        <v>1346</v>
      </c>
      <c r="F343" s="445" t="s">
        <v>1346</v>
      </c>
      <c r="G343" s="445" t="s">
        <v>1346</v>
      </c>
      <c r="H343" s="445" t="s">
        <v>1346</v>
      </c>
      <c r="I343" s="445" t="s">
        <v>1346</v>
      </c>
      <c r="J343" s="445" t="s">
        <v>1346</v>
      </c>
    </row>
    <row r="344" spans="2:10">
      <c r="B344" s="1127" t="s">
        <v>1660</v>
      </c>
      <c r="C344" s="445">
        <v>0</v>
      </c>
      <c r="D344" s="445">
        <v>0</v>
      </c>
      <c r="E344" s="445">
        <v>0</v>
      </c>
      <c r="F344" s="445">
        <v>0</v>
      </c>
      <c r="G344" s="445">
        <v>0</v>
      </c>
      <c r="H344" s="445">
        <v>0</v>
      </c>
      <c r="I344" s="445">
        <v>0</v>
      </c>
      <c r="J344" s="445">
        <v>0</v>
      </c>
    </row>
    <row r="345" spans="2:10">
      <c r="B345" s="1127" t="s">
        <v>290</v>
      </c>
      <c r="C345" s="445">
        <v>0</v>
      </c>
      <c r="D345" s="445">
        <v>0</v>
      </c>
      <c r="E345" s="445">
        <v>0</v>
      </c>
      <c r="F345" s="445">
        <v>0</v>
      </c>
      <c r="G345" s="445">
        <v>0</v>
      </c>
      <c r="H345" s="445">
        <v>0</v>
      </c>
      <c r="I345" s="445">
        <v>0</v>
      </c>
      <c r="J345" s="445">
        <v>0</v>
      </c>
    </row>
    <row r="346" spans="2:10">
      <c r="B346" s="1127" t="s">
        <v>288</v>
      </c>
      <c r="C346" s="445">
        <v>0</v>
      </c>
      <c r="D346" s="445">
        <v>0</v>
      </c>
      <c r="E346" s="445">
        <v>0</v>
      </c>
      <c r="F346" s="445">
        <v>0</v>
      </c>
      <c r="G346" s="445">
        <v>0</v>
      </c>
      <c r="H346" s="445">
        <v>0</v>
      </c>
      <c r="I346" s="445">
        <v>0</v>
      </c>
      <c r="J346" s="445">
        <v>0</v>
      </c>
    </row>
    <row r="347" spans="2:10">
      <c r="B347" s="57" t="s">
        <v>287</v>
      </c>
      <c r="C347" s="1128">
        <f t="shared" ref="C347:J347" si="17">C330/C319</f>
        <v>0.99193293819637118</v>
      </c>
      <c r="D347" s="1128">
        <f t="shared" si="17"/>
        <v>0.99427279503132371</v>
      </c>
      <c r="E347" s="1128">
        <f t="shared" si="17"/>
        <v>0.99849344365417536</v>
      </c>
      <c r="F347" s="1128">
        <f t="shared" si="17"/>
        <v>0.99617120338041409</v>
      </c>
      <c r="G347" s="1128">
        <f t="shared" si="17"/>
        <v>0.99673746790649476</v>
      </c>
      <c r="H347" s="1128">
        <f t="shared" si="17"/>
        <v>0.99730700606855427</v>
      </c>
      <c r="I347" s="1128">
        <f t="shared" si="17"/>
        <v>0.99850540233904495</v>
      </c>
      <c r="J347" s="1128">
        <f t="shared" si="17"/>
        <v>0.99926423468342773</v>
      </c>
    </row>
    <row r="348" spans="2:10">
      <c r="B348" s="1127"/>
      <c r="C348" s="1128"/>
      <c r="D348" s="1128"/>
      <c r="E348" s="1128"/>
      <c r="F348" s="1128"/>
      <c r="G348" s="1128"/>
      <c r="H348" s="1128"/>
      <c r="I348" s="1128"/>
      <c r="J348" s="1128"/>
    </row>
    <row r="349" spans="2:10">
      <c r="B349" s="450" t="s">
        <v>1266</v>
      </c>
      <c r="C349" s="1121"/>
      <c r="D349" s="1121"/>
      <c r="E349" s="1121"/>
      <c r="F349" s="1121"/>
      <c r="G349" s="1121"/>
      <c r="H349" s="1121"/>
    </row>
    <row r="350" spans="2:10">
      <c r="B350" s="1099" t="s">
        <v>297</v>
      </c>
      <c r="C350" s="1122">
        <f>SUM(C351:C357)</f>
        <v>0.14795</v>
      </c>
      <c r="D350" s="1122">
        <f t="shared" ref="D350:J350" si="18">SUM(D351:D357)</f>
        <v>0.12947700000000001</v>
      </c>
      <c r="E350" s="1122">
        <f t="shared" si="18"/>
        <v>0.10624600000000001</v>
      </c>
      <c r="F350" s="1122">
        <f t="shared" si="18"/>
        <v>0.11671899999999999</v>
      </c>
      <c r="G350" s="1122">
        <f t="shared" si="18"/>
        <v>0.114332</v>
      </c>
      <c r="H350" s="1122">
        <f t="shared" si="18"/>
        <v>0.118021</v>
      </c>
      <c r="I350" s="1122">
        <f t="shared" si="18"/>
        <v>9.897800000000001E-2</v>
      </c>
      <c r="J350" s="1122">
        <f t="shared" si="18"/>
        <v>0.104502</v>
      </c>
    </row>
    <row r="351" spans="2:10">
      <c r="B351" s="1100" t="s">
        <v>296</v>
      </c>
      <c r="C351" s="1122"/>
      <c r="D351" s="1122"/>
      <c r="E351" s="1122"/>
      <c r="F351" s="1122"/>
      <c r="G351" s="1122"/>
      <c r="H351" s="1122"/>
      <c r="I351" s="1122"/>
      <c r="J351" s="1122"/>
    </row>
    <row r="352" spans="2:10">
      <c r="B352" s="1126" t="s">
        <v>1661</v>
      </c>
      <c r="C352" s="1122">
        <v>1.7755E-2</v>
      </c>
      <c r="D352" s="1122">
        <v>1.9046E-2</v>
      </c>
      <c r="E352" s="1122">
        <v>1.8183000000000001E-2</v>
      </c>
      <c r="F352" s="1122">
        <v>2.3907000000000001E-2</v>
      </c>
      <c r="G352" s="1122">
        <v>2.5566999999999999E-2</v>
      </c>
      <c r="H352" s="1122">
        <v>2.6377000000000001E-2</v>
      </c>
      <c r="I352" s="1122">
        <v>2.0209999999999999E-2</v>
      </c>
      <c r="J352" s="1122">
        <v>1.9805E-2</v>
      </c>
    </row>
    <row r="353" spans="2:10">
      <c r="B353" s="1126" t="s">
        <v>1662</v>
      </c>
      <c r="C353" s="1122">
        <v>8.1580000000000003E-3</v>
      </c>
      <c r="D353" s="1122">
        <v>7.7210000000000004E-3</v>
      </c>
      <c r="E353" s="1122">
        <v>6.8500000000000002E-3</v>
      </c>
      <c r="F353" s="1122">
        <v>6.9940000000000002E-3</v>
      </c>
      <c r="G353" s="1122">
        <v>7.5659999999999998E-3</v>
      </c>
      <c r="H353" s="1122">
        <v>7.3810000000000004E-3</v>
      </c>
      <c r="I353" s="1122">
        <v>6.9049999999999997E-3</v>
      </c>
      <c r="J353" s="1122">
        <v>7.2529999999999999E-3</v>
      </c>
    </row>
    <row r="354" spans="2:10">
      <c r="B354" s="1126" t="s">
        <v>1663</v>
      </c>
      <c r="C354" s="1122">
        <v>1.4559000000000001E-2</v>
      </c>
      <c r="D354" s="1122">
        <v>1.2907E-2</v>
      </c>
      <c r="E354" s="1122">
        <v>1.4037000000000001E-2</v>
      </c>
      <c r="F354" s="1122">
        <v>1.3993E-2</v>
      </c>
      <c r="G354" s="1122">
        <v>1.3103999999999999E-2</v>
      </c>
      <c r="H354" s="1122">
        <v>1.3504E-2</v>
      </c>
      <c r="I354" s="1122">
        <v>1.1554E-2</v>
      </c>
      <c r="J354" s="1122">
        <v>1.1009E-2</v>
      </c>
    </row>
    <row r="355" spans="2:10">
      <c r="B355" s="1126" t="s">
        <v>1664</v>
      </c>
      <c r="C355" s="1122">
        <v>7.8476000000000004E-2</v>
      </c>
      <c r="D355" s="1122">
        <v>7.1883000000000002E-2</v>
      </c>
      <c r="E355" s="1122">
        <v>5.5317999999999999E-2</v>
      </c>
      <c r="F355" s="1122">
        <v>5.8481999999999999E-2</v>
      </c>
      <c r="G355" s="1122">
        <v>5.2205000000000001E-2</v>
      </c>
      <c r="H355" s="1122">
        <v>5.6774999999999999E-2</v>
      </c>
      <c r="I355" s="1122">
        <v>5.1004000000000001E-2</v>
      </c>
      <c r="J355" s="1122">
        <v>5.8958000000000003E-2</v>
      </c>
    </row>
    <row r="356" spans="2:10">
      <c r="B356" s="1126" t="s">
        <v>1665</v>
      </c>
      <c r="C356" s="1122">
        <v>1.18E-4</v>
      </c>
      <c r="D356" s="1122">
        <v>5.5999999999999999E-5</v>
      </c>
      <c r="E356" s="1122">
        <v>0</v>
      </c>
      <c r="F356" s="1122">
        <v>0</v>
      </c>
      <c r="G356" s="1122">
        <v>0</v>
      </c>
      <c r="H356" s="1122">
        <v>0</v>
      </c>
      <c r="I356" s="1122">
        <v>0</v>
      </c>
      <c r="J356" s="1122">
        <v>0</v>
      </c>
    </row>
    <row r="357" spans="2:10">
      <c r="B357" s="1126" t="s">
        <v>1666</v>
      </c>
      <c r="C357" s="1122">
        <v>2.8884E-2</v>
      </c>
      <c r="D357" s="1122">
        <v>1.7864000000000001E-2</v>
      </c>
      <c r="E357" s="1122">
        <v>1.1858E-2</v>
      </c>
      <c r="F357" s="1122">
        <v>1.3343000000000001E-2</v>
      </c>
      <c r="G357" s="1122">
        <v>1.5890000000000001E-2</v>
      </c>
      <c r="H357" s="1122">
        <v>1.3984E-2</v>
      </c>
      <c r="I357" s="1122">
        <v>9.3050000000000008E-3</v>
      </c>
      <c r="J357" s="1122">
        <v>7.4770000000000001E-3</v>
      </c>
    </row>
    <row r="358" spans="2:10" ht="15" thickBot="1">
      <c r="B358" s="57" t="s">
        <v>287</v>
      </c>
      <c r="C358" s="1124">
        <f t="shared" ref="C358:J358" si="19">C350/C319</f>
        <v>5.0233878685267859E-3</v>
      </c>
      <c r="D358" s="1124">
        <f t="shared" si="19"/>
        <v>3.8743015555346024E-3</v>
      </c>
      <c r="E358" s="1124">
        <f t="shared" si="19"/>
        <v>2.8136968344546756E-3</v>
      </c>
      <c r="F358" s="1124">
        <f t="shared" si="19"/>
        <v>2.7503496463783987E-3</v>
      </c>
      <c r="G358" s="1124">
        <f t="shared" si="19"/>
        <v>2.3809518355384783E-3</v>
      </c>
      <c r="H358" s="1124">
        <f t="shared" si="19"/>
        <v>2.0808280419475295E-3</v>
      </c>
      <c r="I358" s="1124">
        <f t="shared" si="19"/>
        <v>1.0017558205360187E-3</v>
      </c>
      <c r="J358" s="1124">
        <f t="shared" si="19"/>
        <v>4.8267365009248492E-4</v>
      </c>
    </row>
    <row r="359" spans="2:10" ht="15" thickTop="1">
      <c r="B359" s="2093" t="s">
        <v>1667</v>
      </c>
      <c r="C359" s="2093"/>
      <c r="D359" s="2093"/>
      <c r="E359" s="2093"/>
      <c r="F359" s="2093"/>
      <c r="G359" s="2093"/>
      <c r="H359" s="2093"/>
      <c r="I359" s="2093"/>
      <c r="J359" s="2093"/>
    </row>
    <row r="360" spans="2:10">
      <c r="B360" s="403"/>
    </row>
    <row r="361" spans="2:10">
      <c r="B361" s="2081" t="s">
        <v>313</v>
      </c>
      <c r="C361" s="2081"/>
      <c r="D361" s="2081"/>
      <c r="E361" s="2081"/>
      <c r="F361" s="2081"/>
      <c r="G361" s="2081"/>
      <c r="H361" s="2081"/>
      <c r="I361" s="2081"/>
      <c r="J361" s="2081"/>
    </row>
    <row r="362" spans="2:10">
      <c r="B362" s="1049" t="s">
        <v>312</v>
      </c>
    </row>
    <row r="363" spans="2:10">
      <c r="B363" s="1063" t="s">
        <v>311</v>
      </c>
    </row>
    <row r="364" spans="2:10">
      <c r="B364" s="403"/>
    </row>
    <row r="365" spans="2:10">
      <c r="B365" s="1051"/>
      <c r="C365" s="1052">
        <v>2014</v>
      </c>
      <c r="D365" s="1052">
        <v>2015</v>
      </c>
      <c r="E365" s="1052">
        <v>2016</v>
      </c>
      <c r="F365" s="1052">
        <v>2017</v>
      </c>
      <c r="G365" s="1052">
        <v>2018</v>
      </c>
      <c r="H365" s="1052">
        <v>2019</v>
      </c>
      <c r="I365" s="1052">
        <v>2020</v>
      </c>
      <c r="J365" s="1052">
        <v>2021</v>
      </c>
    </row>
    <row r="366" spans="2:10">
      <c r="B366" s="1081" t="s">
        <v>1264</v>
      </c>
      <c r="C366" s="1129"/>
      <c r="D366" s="1129"/>
      <c r="E366" s="1129"/>
      <c r="F366" s="1129"/>
      <c r="G366" s="1129"/>
      <c r="H366" s="1129"/>
      <c r="I366" s="1129"/>
      <c r="J366" s="1129"/>
    </row>
    <row r="367" spans="2:10">
      <c r="B367" s="1099" t="s">
        <v>297</v>
      </c>
      <c r="C367" s="979">
        <f t="shared" ref="C367:J367" si="20">C370+C378+C398</f>
        <v>475153.38767897326</v>
      </c>
      <c r="D367" s="979">
        <f t="shared" si="20"/>
        <v>545328.91777752782</v>
      </c>
      <c r="E367" s="979">
        <f t="shared" si="20"/>
        <v>563186.49916888203</v>
      </c>
      <c r="F367" s="979">
        <f t="shared" si="20"/>
        <v>592314.33461631089</v>
      </c>
      <c r="G367" s="979">
        <f t="shared" si="20"/>
        <v>615168.51303334173</v>
      </c>
      <c r="H367" s="979">
        <f t="shared" si="20"/>
        <v>690511.66557318764</v>
      </c>
      <c r="I367" s="979">
        <f t="shared" si="20"/>
        <v>948633.65383162873</v>
      </c>
      <c r="J367" s="979">
        <f t="shared" si="20"/>
        <v>910894.81636003731</v>
      </c>
    </row>
    <row r="368" spans="2:10">
      <c r="B368" s="1081"/>
      <c r="C368" s="1130" t="s">
        <v>1668</v>
      </c>
      <c r="D368" s="1130" t="s">
        <v>1668</v>
      </c>
      <c r="E368" s="1130" t="s">
        <v>1668</v>
      </c>
      <c r="F368" s="1130" t="s">
        <v>1668</v>
      </c>
      <c r="G368" s="1130" t="s">
        <v>1668</v>
      </c>
      <c r="H368" s="1130" t="s">
        <v>1668</v>
      </c>
      <c r="I368" s="1130" t="s">
        <v>1668</v>
      </c>
      <c r="J368" s="1130" t="s">
        <v>1668</v>
      </c>
    </row>
    <row r="369" spans="2:10">
      <c r="B369" s="450" t="s">
        <v>1648</v>
      </c>
      <c r="C369" s="1130" t="s">
        <v>1668</v>
      </c>
      <c r="D369" s="1130" t="s">
        <v>1668</v>
      </c>
      <c r="E369" s="1130" t="s">
        <v>1668</v>
      </c>
      <c r="F369" s="1130" t="s">
        <v>1668</v>
      </c>
      <c r="G369" s="1130" t="s">
        <v>1668</v>
      </c>
      <c r="H369" s="1130" t="s">
        <v>1668</v>
      </c>
      <c r="I369" s="1130" t="s">
        <v>1668</v>
      </c>
      <c r="J369" s="1130" t="s">
        <v>1668</v>
      </c>
    </row>
    <row r="370" spans="2:10">
      <c r="B370" s="1099" t="s">
        <v>297</v>
      </c>
      <c r="C370" s="979">
        <f>SUM(C372:C374)</f>
        <v>107764.11306853364</v>
      </c>
      <c r="D370" s="979">
        <f t="shared" ref="D370:J370" si="21">SUM(D372:D374)</f>
        <v>101504.1205784521</v>
      </c>
      <c r="E370" s="979">
        <f t="shared" si="21"/>
        <v>105216.84456198644</v>
      </c>
      <c r="F370" s="979">
        <f t="shared" si="21"/>
        <v>114179.19459743575</v>
      </c>
      <c r="G370" s="979">
        <f t="shared" si="21"/>
        <v>105015.04270960296</v>
      </c>
      <c r="H370" s="979">
        <f t="shared" si="21"/>
        <v>94742.360787218699</v>
      </c>
      <c r="I370" s="979">
        <f t="shared" si="21"/>
        <v>76783.195720883756</v>
      </c>
      <c r="J370" s="979">
        <f t="shared" si="21"/>
        <v>81710.535874441543</v>
      </c>
    </row>
    <row r="371" spans="2:10">
      <c r="B371" s="1100" t="s">
        <v>296</v>
      </c>
      <c r="C371" s="979"/>
      <c r="D371" s="979"/>
      <c r="E371" s="979"/>
      <c r="F371" s="979"/>
      <c r="G371" s="979"/>
      <c r="H371" s="979"/>
      <c r="I371" s="979"/>
      <c r="J371" s="979"/>
    </row>
    <row r="372" spans="2:10">
      <c r="B372" s="1100" t="s">
        <v>1649</v>
      </c>
      <c r="C372" s="979">
        <v>89653.042854798769</v>
      </c>
      <c r="D372" s="979">
        <v>85042.067119659288</v>
      </c>
      <c r="E372" s="979">
        <v>87029.648726048108</v>
      </c>
      <c r="F372" s="979">
        <v>92768.743194052891</v>
      </c>
      <c r="G372" s="979">
        <v>81682.064324025821</v>
      </c>
      <c r="H372" s="979">
        <v>69997.666071456406</v>
      </c>
      <c r="I372" s="979">
        <v>54649.638880431041</v>
      </c>
      <c r="J372" s="979">
        <v>55425.984924253964</v>
      </c>
    </row>
    <row r="373" spans="2:10">
      <c r="B373" s="1123" t="s">
        <v>295</v>
      </c>
      <c r="C373" s="979">
        <v>9664.2412498277845</v>
      </c>
      <c r="D373" s="979">
        <v>8860.0957903250383</v>
      </c>
      <c r="E373" s="979">
        <v>9511.1201886670842</v>
      </c>
      <c r="F373" s="979">
        <v>11238.418054764154</v>
      </c>
      <c r="G373" s="979">
        <v>12264.290550219441</v>
      </c>
      <c r="H373" s="979">
        <v>13214.368111270847</v>
      </c>
      <c r="I373" s="979">
        <v>10431.556852327763</v>
      </c>
      <c r="J373" s="979">
        <v>13209.069823847574</v>
      </c>
    </row>
    <row r="374" spans="2:10">
      <c r="B374" s="1123" t="s">
        <v>303</v>
      </c>
      <c r="C374" s="979">
        <v>8446.8289639070845</v>
      </c>
      <c r="D374" s="979">
        <v>7601.9576684677695</v>
      </c>
      <c r="E374" s="979">
        <v>8676.0756472712401</v>
      </c>
      <c r="F374" s="979">
        <v>10172.033348618706</v>
      </c>
      <c r="G374" s="979">
        <v>11068.687835357692</v>
      </c>
      <c r="H374" s="979">
        <v>11530.326604491444</v>
      </c>
      <c r="I374" s="979">
        <v>11701.999988124959</v>
      </c>
      <c r="J374" s="979">
        <v>13075.481126340001</v>
      </c>
    </row>
    <row r="375" spans="2:10">
      <c r="B375" s="57" t="s">
        <v>301</v>
      </c>
      <c r="C375" s="1131">
        <f>C370/C367</f>
        <v>0.22679857886510965</v>
      </c>
      <c r="D375" s="1131">
        <f t="shared" ref="D375:J375" si="22">D370/D367</f>
        <v>0.1861337575717224</v>
      </c>
      <c r="E375" s="1131">
        <f t="shared" si="22"/>
        <v>0.18682415987822745</v>
      </c>
      <c r="F375" s="1131">
        <f t="shared" si="22"/>
        <v>0.19276790704617794</v>
      </c>
      <c r="G375" s="1131">
        <f t="shared" si="22"/>
        <v>0.17070939179214983</v>
      </c>
      <c r="H375" s="1131">
        <f t="shared" si="22"/>
        <v>0.13720602490991068</v>
      </c>
      <c r="I375" s="1131">
        <f t="shared" si="22"/>
        <v>8.0940830436226407E-2</v>
      </c>
      <c r="J375" s="1131">
        <f t="shared" si="22"/>
        <v>8.9703590806410854E-2</v>
      </c>
    </row>
    <row r="376" spans="2:10">
      <c r="B376" s="1125"/>
      <c r="C376" s="1132"/>
      <c r="D376" s="1132"/>
      <c r="E376" s="1132"/>
      <c r="F376" s="1132"/>
      <c r="G376" s="1132"/>
      <c r="H376" s="1132"/>
      <c r="I376" s="1132"/>
      <c r="J376" s="1132"/>
    </row>
    <row r="377" spans="2:10">
      <c r="B377" s="450" t="s">
        <v>1265</v>
      </c>
      <c r="C377" s="1130"/>
      <c r="D377" s="1130"/>
      <c r="E377" s="1130"/>
      <c r="F377" s="1130"/>
      <c r="G377" s="1130"/>
      <c r="H377" s="1130"/>
      <c r="I377" s="1130"/>
      <c r="J377" s="1130"/>
    </row>
    <row r="378" spans="2:10">
      <c r="B378" s="1099" t="s">
        <v>297</v>
      </c>
      <c r="C378" s="979">
        <f t="shared" ref="C378:J378" si="23">SUM(C379:C394)</f>
        <v>143847.6874575105</v>
      </c>
      <c r="D378" s="979">
        <f t="shared" si="23"/>
        <v>160291.12829459106</v>
      </c>
      <c r="E378" s="979">
        <f t="shared" si="23"/>
        <v>183469.31447896198</v>
      </c>
      <c r="F378" s="979">
        <f t="shared" si="23"/>
        <v>194022.34368233371</v>
      </c>
      <c r="G378" s="979">
        <f t="shared" si="23"/>
        <v>185892.19821726691</v>
      </c>
      <c r="H378" s="979">
        <f t="shared" si="23"/>
        <v>217887.62049302668</v>
      </c>
      <c r="I378" s="979">
        <f t="shared" si="23"/>
        <v>191372.26205107576</v>
      </c>
      <c r="J378" s="979">
        <f t="shared" si="23"/>
        <v>230588.16349226778</v>
      </c>
    </row>
    <row r="379" spans="2:10">
      <c r="B379" s="1100" t="s">
        <v>296</v>
      </c>
      <c r="C379" s="1130"/>
      <c r="D379" s="1130"/>
      <c r="E379" s="1130"/>
      <c r="F379" s="1130"/>
      <c r="G379" s="1130"/>
      <c r="H379" s="1130"/>
      <c r="I379" s="1130"/>
      <c r="J379" s="1130"/>
    </row>
    <row r="380" spans="2:10">
      <c r="B380" s="1126" t="s">
        <v>1669</v>
      </c>
      <c r="C380" s="1130">
        <v>74657.383500470954</v>
      </c>
      <c r="D380" s="1130">
        <v>80158.815879294401</v>
      </c>
      <c r="E380" s="1130">
        <v>89902.722861632021</v>
      </c>
      <c r="F380" s="1130">
        <v>92552.076148816923</v>
      </c>
      <c r="G380" s="1130">
        <v>88569.03894610783</v>
      </c>
      <c r="H380" s="1130">
        <v>102506.13646027089</v>
      </c>
      <c r="I380" s="1130">
        <v>84114.09025094728</v>
      </c>
      <c r="J380" s="1130">
        <v>98499.712238457418</v>
      </c>
    </row>
    <row r="381" spans="2:10">
      <c r="B381" s="1126" t="s">
        <v>1651</v>
      </c>
      <c r="C381" s="1130">
        <v>24657.728870537234</v>
      </c>
      <c r="D381" s="1130">
        <v>27754.034704103022</v>
      </c>
      <c r="E381" s="1130">
        <v>29972.366316695374</v>
      </c>
      <c r="F381" s="1130">
        <v>31122.960629590139</v>
      </c>
      <c r="G381" s="1130">
        <v>29619.775826705882</v>
      </c>
      <c r="H381" s="1130">
        <v>33735.10285582878</v>
      </c>
      <c r="I381" s="1130">
        <v>31114.654060968183</v>
      </c>
      <c r="J381" s="1130">
        <v>33992.112235271292</v>
      </c>
    </row>
    <row r="382" spans="2:10">
      <c r="B382" s="1126" t="s">
        <v>1652</v>
      </c>
      <c r="C382" s="1130">
        <v>26353.891881048283</v>
      </c>
      <c r="D382" s="1130">
        <v>34804.533436835693</v>
      </c>
      <c r="E382" s="1130">
        <v>47377.92716609202</v>
      </c>
      <c r="F382" s="1130">
        <v>55334.871602052575</v>
      </c>
      <c r="G382" s="1130">
        <v>54784.430971257927</v>
      </c>
      <c r="H382" s="1130">
        <v>67230.076477637354</v>
      </c>
      <c r="I382" s="1130">
        <v>62199.78093002642</v>
      </c>
      <c r="J382" s="1130">
        <v>79346.049254796162</v>
      </c>
    </row>
    <row r="383" spans="2:10">
      <c r="B383" s="1126" t="s">
        <v>1653</v>
      </c>
      <c r="C383" s="1130">
        <v>1380.020396576256</v>
      </c>
      <c r="D383" s="1130">
        <v>1176.6689418661724</v>
      </c>
      <c r="E383" s="1130">
        <v>1266.2031208788883</v>
      </c>
      <c r="F383" s="1130">
        <v>1290.1644211556509</v>
      </c>
      <c r="G383" s="1130">
        <v>1132.3737915153167</v>
      </c>
      <c r="H383" s="1130">
        <v>1029.7161157363673</v>
      </c>
      <c r="I383" s="1130">
        <v>933.63389030121937</v>
      </c>
      <c r="J383" s="1130">
        <v>1013.3011475552003</v>
      </c>
    </row>
    <row r="384" spans="2:10">
      <c r="B384" s="1126" t="s">
        <v>1654</v>
      </c>
      <c r="C384" s="1130">
        <v>13428.790020165452</v>
      </c>
      <c r="D384" s="1130">
        <v>12798.781741428131</v>
      </c>
      <c r="E384" s="1130">
        <v>11247.173455611503</v>
      </c>
      <c r="F384" s="1130">
        <v>8714.9390194828702</v>
      </c>
      <c r="G384" s="1130">
        <v>5458.4552351211996</v>
      </c>
      <c r="H384" s="1130">
        <v>4719.3544155994687</v>
      </c>
      <c r="I384" s="1130">
        <v>2757.9848411701632</v>
      </c>
      <c r="J384" s="1130">
        <v>2616.2238644490972</v>
      </c>
    </row>
    <row r="385" spans="2:10">
      <c r="B385" s="1126" t="s">
        <v>1655</v>
      </c>
      <c r="C385" s="1130">
        <v>1056.5227486077238</v>
      </c>
      <c r="D385" s="1130">
        <v>1117.559228316007</v>
      </c>
      <c r="E385" s="1130">
        <v>1163.784592325115</v>
      </c>
      <c r="F385" s="1130">
        <v>1291.803705901742</v>
      </c>
      <c r="G385" s="1130">
        <v>1129.1044757590062</v>
      </c>
      <c r="H385" s="1130">
        <v>975.99803836824663</v>
      </c>
      <c r="I385" s="1130">
        <v>110.58745470700505</v>
      </c>
      <c r="J385" s="1130">
        <v>109.20453748480155</v>
      </c>
    </row>
    <row r="386" spans="2:10">
      <c r="B386" s="1126" t="s">
        <v>1670</v>
      </c>
      <c r="C386" s="1130">
        <v>1134.220550165217</v>
      </c>
      <c r="D386" s="1130">
        <v>1184.7488350581496</v>
      </c>
      <c r="E386" s="1130">
        <v>1130.7891213465082</v>
      </c>
      <c r="F386" s="1130">
        <v>2216.3784852305093</v>
      </c>
      <c r="G386" s="1130">
        <v>3629.4186102799454</v>
      </c>
      <c r="H386" s="1130">
        <v>3995.4885304209861</v>
      </c>
      <c r="I386" s="1130">
        <v>4487.4492824287399</v>
      </c>
      <c r="J386" s="1130">
        <v>5170.4472596752348</v>
      </c>
    </row>
    <row r="387" spans="2:10">
      <c r="B387" s="1126" t="s">
        <v>1657</v>
      </c>
      <c r="C387" s="1130">
        <v>1179.1294899393743</v>
      </c>
      <c r="D387" s="1130">
        <v>1294.5280146995965</v>
      </c>
      <c r="E387" s="1130">
        <v>1400.613386742923</v>
      </c>
      <c r="F387" s="1130">
        <v>1480.1181962420444</v>
      </c>
      <c r="G387" s="1130">
        <v>1527.0700116252629</v>
      </c>
      <c r="H387" s="1130">
        <v>3553.6490655435546</v>
      </c>
      <c r="I387" s="1130">
        <v>4537.6530285191866</v>
      </c>
      <c r="J387" s="1130">
        <v>5620.499408451924</v>
      </c>
    </row>
    <row r="388" spans="2:10">
      <c r="B388" s="1126" t="s">
        <v>1658</v>
      </c>
      <c r="C388" s="1130">
        <v>0</v>
      </c>
      <c r="D388" s="1130">
        <v>1.4575129898692818</v>
      </c>
      <c r="E388" s="1130">
        <v>7.734457637605793</v>
      </c>
      <c r="F388" s="1130">
        <v>19.031473861258547</v>
      </c>
      <c r="G388" s="1130">
        <v>42.530348894565336</v>
      </c>
      <c r="H388" s="1130">
        <v>142.09853362105167</v>
      </c>
      <c r="I388" s="1130">
        <v>1116.428312007532</v>
      </c>
      <c r="J388" s="1130">
        <v>4220.6135461266076</v>
      </c>
    </row>
    <row r="389" spans="2:10">
      <c r="B389" s="1127" t="s">
        <v>290</v>
      </c>
      <c r="C389" s="979">
        <v>0</v>
      </c>
      <c r="D389" s="979">
        <v>0</v>
      </c>
      <c r="E389" s="979">
        <v>0</v>
      </c>
      <c r="F389" s="979">
        <v>0</v>
      </c>
      <c r="G389" s="979">
        <v>0</v>
      </c>
      <c r="H389" s="979">
        <v>0</v>
      </c>
      <c r="I389" s="979">
        <v>0</v>
      </c>
      <c r="J389" s="979">
        <v>0</v>
      </c>
    </row>
    <row r="390" spans="2:10">
      <c r="B390" s="1127" t="s">
        <v>288</v>
      </c>
      <c r="C390" s="979">
        <v>0</v>
      </c>
      <c r="D390" s="979">
        <v>0</v>
      </c>
      <c r="E390" s="979">
        <v>0</v>
      </c>
      <c r="F390" s="979">
        <v>0</v>
      </c>
      <c r="G390" s="979">
        <v>0</v>
      </c>
      <c r="H390" s="979">
        <v>0</v>
      </c>
      <c r="I390" s="979">
        <v>0</v>
      </c>
      <c r="J390" s="979">
        <v>0</v>
      </c>
    </row>
    <row r="391" spans="2:10">
      <c r="B391" s="1123" t="s">
        <v>1659</v>
      </c>
      <c r="C391" s="1133"/>
      <c r="D391" s="1133"/>
      <c r="E391" s="1133"/>
      <c r="F391" s="1133"/>
      <c r="G391" s="1133"/>
      <c r="H391" s="1133"/>
      <c r="I391" s="1133"/>
      <c r="J391" s="1133"/>
    </row>
    <row r="392" spans="2:10">
      <c r="B392" s="1127" t="s">
        <v>1660</v>
      </c>
      <c r="C392" s="979">
        <v>0</v>
      </c>
      <c r="D392" s="979">
        <v>0</v>
      </c>
      <c r="E392" s="979">
        <v>0</v>
      </c>
      <c r="F392" s="979">
        <v>0</v>
      </c>
      <c r="G392" s="979">
        <v>0</v>
      </c>
      <c r="H392" s="979">
        <v>0</v>
      </c>
      <c r="I392" s="979">
        <v>0</v>
      </c>
      <c r="J392" s="979">
        <v>0</v>
      </c>
    </row>
    <row r="393" spans="2:10">
      <c r="B393" s="1127" t="s">
        <v>290</v>
      </c>
      <c r="C393" s="979">
        <v>0</v>
      </c>
      <c r="D393" s="979">
        <v>0</v>
      </c>
      <c r="E393" s="979">
        <v>0</v>
      </c>
      <c r="F393" s="979">
        <v>0</v>
      </c>
      <c r="G393" s="979">
        <v>0</v>
      </c>
      <c r="H393" s="979">
        <v>0</v>
      </c>
      <c r="I393" s="979">
        <v>0</v>
      </c>
      <c r="J393" s="979">
        <v>0</v>
      </c>
    </row>
    <row r="394" spans="2:10">
      <c r="B394" s="1127" t="s">
        <v>288</v>
      </c>
      <c r="C394" s="979">
        <v>0</v>
      </c>
      <c r="D394" s="979">
        <v>0</v>
      </c>
      <c r="E394" s="979">
        <v>0</v>
      </c>
      <c r="F394" s="979">
        <v>0</v>
      </c>
      <c r="G394" s="979">
        <v>0</v>
      </c>
      <c r="H394" s="979">
        <v>0</v>
      </c>
      <c r="I394" s="979">
        <v>0</v>
      </c>
      <c r="J394" s="979">
        <v>0</v>
      </c>
    </row>
    <row r="395" spans="2:10">
      <c r="B395" s="57" t="s">
        <v>301</v>
      </c>
      <c r="C395" s="1134">
        <f t="shared" ref="C395:J395" si="24">C378/C367</f>
        <v>0.3027394756884233</v>
      </c>
      <c r="D395" s="1134">
        <f t="shared" si="24"/>
        <v>0.29393476683366232</v>
      </c>
      <c r="E395" s="1134">
        <f t="shared" si="24"/>
        <v>0.32577008637407923</v>
      </c>
      <c r="F395" s="1134">
        <f t="shared" si="24"/>
        <v>0.32756651720748481</v>
      </c>
      <c r="G395" s="1134">
        <f t="shared" si="24"/>
        <v>0.30218093787123279</v>
      </c>
      <c r="H395" s="1134">
        <f t="shared" si="24"/>
        <v>0.31554516941022293</v>
      </c>
      <c r="I395" s="1134">
        <f t="shared" si="24"/>
        <v>0.20173463304628034</v>
      </c>
      <c r="J395" s="1134">
        <f t="shared" si="24"/>
        <v>0.25314466538925418</v>
      </c>
    </row>
    <row r="396" spans="2:10">
      <c r="B396" s="1127"/>
      <c r="C396" s="1135"/>
      <c r="D396" s="1135"/>
      <c r="E396" s="1135"/>
      <c r="F396" s="1135"/>
      <c r="G396" s="1135"/>
      <c r="H396" s="1135"/>
      <c r="I396" s="1135"/>
      <c r="J396" s="1135"/>
    </row>
    <row r="397" spans="2:10">
      <c r="B397" s="450" t="s">
        <v>1277</v>
      </c>
      <c r="C397" s="1132"/>
      <c r="D397" s="1132"/>
      <c r="E397" s="1132"/>
      <c r="F397" s="1132"/>
      <c r="G397" s="1132"/>
      <c r="H397" s="1132"/>
      <c r="I397" s="1132"/>
      <c r="J397" s="1132"/>
    </row>
    <row r="398" spans="2:10">
      <c r="B398" s="1099" t="s">
        <v>297</v>
      </c>
      <c r="C398" s="979">
        <f>SUM(C400:C405)</f>
        <v>223541.5871529291</v>
      </c>
      <c r="D398" s="979">
        <f t="shared" ref="D398:J398" si="25">SUM(D400:D405)</f>
        <v>283533.66890448466</v>
      </c>
      <c r="E398" s="979">
        <f t="shared" si="25"/>
        <v>274500.3401279336</v>
      </c>
      <c r="F398" s="979">
        <f t="shared" si="25"/>
        <v>284112.79633654142</v>
      </c>
      <c r="G398" s="979">
        <f t="shared" si="25"/>
        <v>324261.27210647188</v>
      </c>
      <c r="H398" s="979">
        <f t="shared" si="25"/>
        <v>377881.68429294234</v>
      </c>
      <c r="I398" s="979">
        <f t="shared" si="25"/>
        <v>680478.19605966925</v>
      </c>
      <c r="J398" s="979">
        <f t="shared" si="25"/>
        <v>598596.11699332797</v>
      </c>
    </row>
    <row r="399" spans="2:10">
      <c r="B399" s="1100" t="s">
        <v>296</v>
      </c>
      <c r="C399" s="1132"/>
      <c r="D399" s="1132"/>
      <c r="E399" s="1132"/>
      <c r="F399" s="1132"/>
      <c r="G399" s="1132"/>
      <c r="H399" s="1132"/>
      <c r="I399" s="1132"/>
      <c r="J399" s="1132"/>
    </row>
    <row r="400" spans="2:10">
      <c r="B400" s="1126" t="s">
        <v>1661</v>
      </c>
      <c r="C400" s="1136">
        <v>151962.40116045749</v>
      </c>
      <c r="D400" s="1136">
        <v>214100.79555483756</v>
      </c>
      <c r="E400" s="1136">
        <v>199401.80193620874</v>
      </c>
      <c r="F400" s="1136">
        <v>194735.70292158242</v>
      </c>
      <c r="G400" s="1136">
        <v>232874.09184844623</v>
      </c>
      <c r="H400" s="1136">
        <v>299932.36086672812</v>
      </c>
      <c r="I400" s="1136">
        <v>604597.30775639007</v>
      </c>
      <c r="J400" s="1136">
        <v>512530.74680569093</v>
      </c>
    </row>
    <row r="401" spans="2:10">
      <c r="B401" s="1126" t="s">
        <v>1662</v>
      </c>
      <c r="C401" s="1136">
        <v>24739.995673505164</v>
      </c>
      <c r="D401" s="1136">
        <v>23436.079004697429</v>
      </c>
      <c r="E401" s="1136">
        <v>20276.557941962212</v>
      </c>
      <c r="F401" s="1137">
        <v>32656.320463805961</v>
      </c>
      <c r="G401" s="1137">
        <v>37583.061746393272</v>
      </c>
      <c r="H401" s="1137">
        <v>31224.099514876121</v>
      </c>
      <c r="I401" s="1137">
        <v>20722.871460854665</v>
      </c>
      <c r="J401" s="1137">
        <v>31225.278935040795</v>
      </c>
    </row>
    <row r="402" spans="2:10">
      <c r="B402" s="1126" t="s">
        <v>1663</v>
      </c>
      <c r="C402" s="1136">
        <v>23516.710142706226</v>
      </c>
      <c r="D402" s="1136">
        <v>22810.670405843834</v>
      </c>
      <c r="E402" s="1136">
        <v>23646.646196114387</v>
      </c>
      <c r="F402" s="1137">
        <v>22961.798789034259</v>
      </c>
      <c r="G402" s="1137">
        <v>21743.846610083772</v>
      </c>
      <c r="H402" s="1137">
        <v>21162.338666182859</v>
      </c>
      <c r="I402" s="1137">
        <v>15244.758547272537</v>
      </c>
      <c r="J402" s="1137">
        <v>16481.160066203396</v>
      </c>
    </row>
    <row r="403" spans="2:10">
      <c r="B403" s="1126" t="s">
        <v>1664</v>
      </c>
      <c r="C403" s="1136">
        <v>7843.2512076991516</v>
      </c>
      <c r="D403" s="1136">
        <v>7457.0238616049228</v>
      </c>
      <c r="E403" s="1136">
        <v>6490.2157674548453</v>
      </c>
      <c r="F403" s="1136">
        <v>8304.1616851628314</v>
      </c>
      <c r="G403" s="1136">
        <v>6867.8472946712245</v>
      </c>
      <c r="H403" s="1136">
        <v>8398.4104500227131</v>
      </c>
      <c r="I403" s="1136">
        <v>6280.3851767979786</v>
      </c>
      <c r="J403" s="1136">
        <v>7950.7779306794373</v>
      </c>
    </row>
    <row r="404" spans="2:10">
      <c r="B404" s="1126" t="s">
        <v>1665</v>
      </c>
      <c r="C404" s="1136">
        <v>3.2585047137835312E-2</v>
      </c>
      <c r="D404" s="1136">
        <v>1.5499318325078906E-2</v>
      </c>
      <c r="E404" s="1136">
        <v>0</v>
      </c>
      <c r="F404" s="1136">
        <v>0</v>
      </c>
      <c r="G404" s="1136">
        <v>0</v>
      </c>
      <c r="H404" s="1136">
        <v>0</v>
      </c>
      <c r="I404" s="1136">
        <v>0</v>
      </c>
      <c r="J404" s="1136">
        <v>0</v>
      </c>
    </row>
    <row r="405" spans="2:10">
      <c r="B405" s="1126" t="s">
        <v>1666</v>
      </c>
      <c r="C405" s="1136">
        <v>15479.19638351396</v>
      </c>
      <c r="D405" s="1136">
        <v>15729.08457818263</v>
      </c>
      <c r="E405" s="1136">
        <v>24685.118286193432</v>
      </c>
      <c r="F405" s="1136">
        <v>25454.812476955976</v>
      </c>
      <c r="G405" s="1136">
        <v>25192.424606877375</v>
      </c>
      <c r="H405" s="1136">
        <v>17164.474795132479</v>
      </c>
      <c r="I405" s="1136">
        <v>33632.873118354037</v>
      </c>
      <c r="J405" s="1136">
        <v>30408.153255713354</v>
      </c>
    </row>
    <row r="406" spans="2:10" ht="15" thickBot="1">
      <c r="B406" s="57" t="s">
        <v>301</v>
      </c>
      <c r="C406" s="1138">
        <f t="shared" ref="C406:J406" si="26">C398/C367</f>
        <v>0.47046194544646702</v>
      </c>
      <c r="D406" s="1138">
        <f t="shared" si="26"/>
        <v>0.51993147559461528</v>
      </c>
      <c r="E406" s="1138">
        <f t="shared" si="26"/>
        <v>0.48740575374769329</v>
      </c>
      <c r="F406" s="1138">
        <f t="shared" si="26"/>
        <v>0.47966557574633722</v>
      </c>
      <c r="G406" s="1138">
        <f t="shared" si="26"/>
        <v>0.52710967033661738</v>
      </c>
      <c r="H406" s="1138">
        <f t="shared" si="26"/>
        <v>0.54724880567986656</v>
      </c>
      <c r="I406" s="1138">
        <f t="shared" si="26"/>
        <v>0.71732453651749328</v>
      </c>
      <c r="J406" s="1138">
        <f t="shared" si="26"/>
        <v>0.65715174380433494</v>
      </c>
    </row>
    <row r="407" spans="2:10" ht="15" thickTop="1">
      <c r="B407" s="2093" t="s">
        <v>1667</v>
      </c>
      <c r="C407" s="2093"/>
      <c r="D407" s="2093"/>
      <c r="E407" s="2093"/>
      <c r="F407" s="2093"/>
      <c r="G407" s="2093"/>
      <c r="H407" s="2093"/>
      <c r="I407" s="2093"/>
      <c r="J407" s="2093"/>
    </row>
    <row r="408" spans="2:10">
      <c r="B408" s="403"/>
    </row>
    <row r="409" spans="2:10">
      <c r="B409" s="2081" t="s">
        <v>271</v>
      </c>
      <c r="C409" s="2081"/>
      <c r="D409" s="2081"/>
      <c r="E409" s="2081"/>
      <c r="F409" s="2081"/>
      <c r="G409" s="2081"/>
      <c r="H409" s="2081"/>
      <c r="I409" s="2081"/>
      <c r="J409" s="2081"/>
    </row>
    <row r="410" spans="2:10">
      <c r="B410" s="1049" t="s">
        <v>270</v>
      </c>
    </row>
    <row r="411" spans="2:10">
      <c r="B411" s="1070" t="s">
        <v>269</v>
      </c>
    </row>
    <row r="412" spans="2:10">
      <c r="B412" s="1050"/>
    </row>
    <row r="413" spans="2:10">
      <c r="B413" s="1051"/>
      <c r="C413" s="1052">
        <v>2014</v>
      </c>
      <c r="D413" s="1052">
        <v>2015</v>
      </c>
      <c r="E413" s="1052">
        <v>2016</v>
      </c>
      <c r="F413" s="1052">
        <v>2017</v>
      </c>
      <c r="G413" s="1052">
        <v>2018</v>
      </c>
      <c r="H413" s="1052">
        <v>2019</v>
      </c>
      <c r="I413" s="1052">
        <v>2020</v>
      </c>
      <c r="J413" s="1052">
        <v>2021</v>
      </c>
    </row>
    <row r="414" spans="2:10">
      <c r="B414" s="1050" t="s">
        <v>1671</v>
      </c>
    </row>
    <row r="415" spans="2:10">
      <c r="B415" s="1099" t="s">
        <v>265</v>
      </c>
      <c r="C415" s="1139">
        <f t="shared" ref="C415:H415" si="27">C416+C419</f>
        <v>74</v>
      </c>
      <c r="D415" s="1139">
        <f t="shared" si="27"/>
        <v>69</v>
      </c>
      <c r="E415" s="1139">
        <f t="shared" si="27"/>
        <v>74</v>
      </c>
      <c r="F415" s="1139">
        <f t="shared" si="27"/>
        <v>76</v>
      </c>
      <c r="G415" s="1139">
        <f t="shared" si="27"/>
        <v>74</v>
      </c>
      <c r="H415" s="1139">
        <f t="shared" si="27"/>
        <v>72</v>
      </c>
      <c r="I415" s="1139">
        <f>I416+I419</f>
        <v>74</v>
      </c>
      <c r="J415" s="1139">
        <f>J416+J419</f>
        <v>74</v>
      </c>
    </row>
    <row r="416" spans="2:10">
      <c r="B416" s="1140" t="s">
        <v>262</v>
      </c>
      <c r="C416" s="435">
        <v>1</v>
      </c>
      <c r="D416" s="435">
        <v>1</v>
      </c>
      <c r="E416" s="435">
        <v>1</v>
      </c>
      <c r="F416" s="435">
        <v>1</v>
      </c>
      <c r="G416" s="435">
        <v>1</v>
      </c>
      <c r="H416" s="435">
        <v>1</v>
      </c>
      <c r="I416" s="435">
        <v>1</v>
      </c>
      <c r="J416" s="435">
        <v>1</v>
      </c>
    </row>
    <row r="417" spans="2:10">
      <c r="B417" s="1140" t="s">
        <v>261</v>
      </c>
      <c r="C417" s="979">
        <v>0</v>
      </c>
      <c r="D417" s="979">
        <v>0</v>
      </c>
      <c r="E417" s="979">
        <v>0</v>
      </c>
      <c r="F417" s="979">
        <v>0</v>
      </c>
      <c r="G417" s="979">
        <v>0</v>
      </c>
      <c r="H417" s="979">
        <v>0</v>
      </c>
      <c r="I417" s="979">
        <v>0</v>
      </c>
      <c r="J417" s="979"/>
    </row>
    <row r="418" spans="2:10">
      <c r="B418" s="1140" t="s">
        <v>260</v>
      </c>
      <c r="C418" s="979">
        <v>0</v>
      </c>
      <c r="D418" s="979">
        <v>0</v>
      </c>
      <c r="E418" s="979">
        <v>0</v>
      </c>
      <c r="F418" s="979">
        <v>0</v>
      </c>
      <c r="G418" s="979">
        <v>0</v>
      </c>
      <c r="H418" s="979">
        <v>0</v>
      </c>
      <c r="I418" s="979">
        <v>0</v>
      </c>
      <c r="J418" s="979"/>
    </row>
    <row r="419" spans="2:10">
      <c r="B419" s="1140" t="s">
        <v>117</v>
      </c>
      <c r="C419" s="1141">
        <v>73</v>
      </c>
      <c r="D419" s="1141">
        <v>68</v>
      </c>
      <c r="E419" s="1141">
        <v>73</v>
      </c>
      <c r="F419" s="1141">
        <v>75</v>
      </c>
      <c r="G419" s="1141">
        <v>73</v>
      </c>
      <c r="H419" s="1141">
        <v>71</v>
      </c>
      <c r="I419" s="1141">
        <v>73</v>
      </c>
      <c r="J419" s="1141">
        <f>SUM(J420:J422)</f>
        <v>73</v>
      </c>
    </row>
    <row r="420" spans="2:10">
      <c r="B420" s="1142" t="s">
        <v>1672</v>
      </c>
      <c r="C420" s="1143">
        <v>43</v>
      </c>
      <c r="D420" s="1143">
        <v>39</v>
      </c>
      <c r="E420" s="1143">
        <v>42</v>
      </c>
      <c r="F420" s="1143">
        <v>45</v>
      </c>
      <c r="G420" s="1143">
        <v>43</v>
      </c>
      <c r="H420" s="1143">
        <v>41</v>
      </c>
      <c r="I420" s="1143">
        <v>43</v>
      </c>
      <c r="J420" s="1143">
        <v>43</v>
      </c>
    </row>
    <row r="421" spans="2:10">
      <c r="B421" s="1142" t="s">
        <v>1673</v>
      </c>
      <c r="C421" s="1143">
        <v>14</v>
      </c>
      <c r="D421" s="1143">
        <v>13</v>
      </c>
      <c r="E421" s="1143">
        <v>14</v>
      </c>
      <c r="F421" s="1143">
        <v>14</v>
      </c>
      <c r="G421" s="1143">
        <v>14</v>
      </c>
      <c r="H421" s="1143">
        <v>14</v>
      </c>
      <c r="I421" s="1143">
        <v>14</v>
      </c>
      <c r="J421" s="1143">
        <v>14</v>
      </c>
    </row>
    <row r="422" spans="2:10">
      <c r="B422" s="1142" t="s">
        <v>1645</v>
      </c>
      <c r="C422" s="1143">
        <v>16</v>
      </c>
      <c r="D422" s="1143">
        <v>16</v>
      </c>
      <c r="E422" s="1143">
        <v>17</v>
      </c>
      <c r="F422" s="1143">
        <v>16</v>
      </c>
      <c r="G422" s="1143">
        <v>16</v>
      </c>
      <c r="H422" s="1143">
        <v>16</v>
      </c>
      <c r="I422" s="1143">
        <v>16</v>
      </c>
      <c r="J422" s="1143">
        <v>16</v>
      </c>
    </row>
    <row r="423" spans="2:10">
      <c r="B423" s="1140"/>
      <c r="C423" s="1144"/>
      <c r="D423" s="1144"/>
      <c r="E423" s="1144"/>
      <c r="F423" s="1144"/>
      <c r="G423" s="1144"/>
      <c r="H423" s="1144"/>
      <c r="I423" s="1144"/>
      <c r="J423" s="1144"/>
    </row>
    <row r="424" spans="2:10">
      <c r="B424" s="1099" t="s">
        <v>264</v>
      </c>
      <c r="C424" s="1139">
        <f t="shared" ref="C424:I424" si="28">C425+C428</f>
        <v>74</v>
      </c>
      <c r="D424" s="1139">
        <f t="shared" si="28"/>
        <v>69</v>
      </c>
      <c r="E424" s="1139">
        <f t="shared" si="28"/>
        <v>74</v>
      </c>
      <c r="F424" s="1139">
        <f t="shared" si="28"/>
        <v>76</v>
      </c>
      <c r="G424" s="1139">
        <f t="shared" si="28"/>
        <v>74</v>
      </c>
      <c r="H424" s="1139">
        <f t="shared" si="28"/>
        <v>72</v>
      </c>
      <c r="I424" s="1139">
        <f t="shared" si="28"/>
        <v>74</v>
      </c>
      <c r="J424" s="1139">
        <f>J425+J428</f>
        <v>74</v>
      </c>
    </row>
    <row r="425" spans="2:10">
      <c r="B425" s="1140" t="s">
        <v>262</v>
      </c>
      <c r="C425" s="435">
        <v>1</v>
      </c>
      <c r="D425" s="435">
        <v>1</v>
      </c>
      <c r="E425" s="435">
        <v>1</v>
      </c>
      <c r="F425" s="435">
        <v>1</v>
      </c>
      <c r="G425" s="435">
        <v>1</v>
      </c>
      <c r="H425" s="435">
        <v>1</v>
      </c>
      <c r="I425" s="435">
        <v>1</v>
      </c>
      <c r="J425" s="435">
        <v>1</v>
      </c>
    </row>
    <row r="426" spans="2:10">
      <c r="B426" s="1140" t="s">
        <v>261</v>
      </c>
      <c r="C426" s="979">
        <v>0</v>
      </c>
      <c r="D426" s="979">
        <v>0</v>
      </c>
      <c r="E426" s="979">
        <v>0</v>
      </c>
      <c r="F426" s="979">
        <v>0</v>
      </c>
      <c r="G426" s="979">
        <v>0</v>
      </c>
      <c r="H426" s="979">
        <v>0</v>
      </c>
      <c r="I426" s="979">
        <v>0</v>
      </c>
      <c r="J426" s="979"/>
    </row>
    <row r="427" spans="2:10">
      <c r="B427" s="1140" t="s">
        <v>260</v>
      </c>
      <c r="C427" s="979">
        <v>0</v>
      </c>
      <c r="D427" s="979">
        <v>0</v>
      </c>
      <c r="E427" s="979">
        <v>0</v>
      </c>
      <c r="F427" s="979">
        <v>0</v>
      </c>
      <c r="G427" s="979">
        <v>0</v>
      </c>
      <c r="H427" s="979">
        <v>0</v>
      </c>
      <c r="I427" s="979">
        <v>0</v>
      </c>
      <c r="J427" s="979"/>
    </row>
    <row r="428" spans="2:10">
      <c r="B428" s="1140" t="s">
        <v>117</v>
      </c>
      <c r="C428" s="1141">
        <v>73</v>
      </c>
      <c r="D428" s="1141">
        <v>68</v>
      </c>
      <c r="E428" s="1141">
        <v>73</v>
      </c>
      <c r="F428" s="1141">
        <v>75</v>
      </c>
      <c r="G428" s="1141">
        <v>73</v>
      </c>
      <c r="H428" s="1141">
        <v>71</v>
      </c>
      <c r="I428" s="1141">
        <v>73</v>
      </c>
      <c r="J428" s="1141">
        <f>SUM(J429:J431)</f>
        <v>73</v>
      </c>
    </row>
    <row r="429" spans="2:10">
      <c r="B429" s="1142" t="s">
        <v>1674</v>
      </c>
      <c r="C429" s="1141">
        <v>43</v>
      </c>
      <c r="D429" s="1141">
        <v>39</v>
      </c>
      <c r="E429" s="1141">
        <v>42</v>
      </c>
      <c r="F429" s="1141">
        <v>45</v>
      </c>
      <c r="G429" s="1141">
        <v>43</v>
      </c>
      <c r="H429" s="1141">
        <v>41</v>
      </c>
      <c r="I429" s="1141">
        <v>43</v>
      </c>
      <c r="J429" s="1141">
        <v>43</v>
      </c>
    </row>
    <row r="430" spans="2:10">
      <c r="B430" s="1142" t="s">
        <v>1673</v>
      </c>
      <c r="C430" s="1141">
        <v>14</v>
      </c>
      <c r="D430" s="1141">
        <v>13</v>
      </c>
      <c r="E430" s="1141">
        <v>14</v>
      </c>
      <c r="F430" s="1141">
        <v>14</v>
      </c>
      <c r="G430" s="1141">
        <v>14</v>
      </c>
      <c r="H430" s="1141">
        <v>14</v>
      </c>
      <c r="I430" s="1141">
        <v>14</v>
      </c>
      <c r="J430" s="1141">
        <v>14</v>
      </c>
    </row>
    <row r="431" spans="2:10">
      <c r="B431" s="1142" t="s">
        <v>1645</v>
      </c>
      <c r="C431" s="1141">
        <v>16</v>
      </c>
      <c r="D431" s="1141">
        <v>16</v>
      </c>
      <c r="E431" s="1141">
        <v>17</v>
      </c>
      <c r="F431" s="1141">
        <v>16</v>
      </c>
      <c r="G431" s="1141">
        <v>16</v>
      </c>
      <c r="H431" s="1141">
        <v>16</v>
      </c>
      <c r="I431" s="1141">
        <v>16</v>
      </c>
      <c r="J431" s="1141">
        <v>16</v>
      </c>
    </row>
    <row r="432" spans="2:10">
      <c r="B432" s="1140"/>
      <c r="C432" s="1140"/>
      <c r="D432" s="1140"/>
      <c r="E432" s="1140"/>
      <c r="F432" s="1140"/>
      <c r="G432" s="1140"/>
      <c r="H432" s="1140"/>
      <c r="I432" s="1140"/>
      <c r="J432" s="1140"/>
    </row>
    <row r="433" spans="2:10">
      <c r="B433" s="1099" t="s">
        <v>263</v>
      </c>
      <c r="C433" s="979">
        <v>0</v>
      </c>
      <c r="D433" s="979">
        <v>0</v>
      </c>
      <c r="E433" s="979">
        <v>0</v>
      </c>
      <c r="F433" s="979">
        <v>0</v>
      </c>
      <c r="G433" s="979">
        <v>0</v>
      </c>
      <c r="H433" s="979">
        <v>0</v>
      </c>
      <c r="I433" s="979">
        <v>0</v>
      </c>
      <c r="J433" s="979">
        <v>0</v>
      </c>
    </row>
    <row r="434" spans="2:10">
      <c r="B434" s="1140" t="s">
        <v>262</v>
      </c>
      <c r="C434" s="979">
        <v>0</v>
      </c>
      <c r="D434" s="979">
        <v>0</v>
      </c>
      <c r="E434" s="979">
        <v>0</v>
      </c>
      <c r="F434" s="979">
        <v>0</v>
      </c>
      <c r="G434" s="979">
        <v>0</v>
      </c>
      <c r="H434" s="979">
        <v>0</v>
      </c>
      <c r="I434" s="979">
        <v>0</v>
      </c>
      <c r="J434" s="979">
        <v>0</v>
      </c>
    </row>
    <row r="435" spans="2:10">
      <c r="B435" s="1140" t="s">
        <v>261</v>
      </c>
      <c r="C435" s="979">
        <v>0</v>
      </c>
      <c r="D435" s="979">
        <v>0</v>
      </c>
      <c r="E435" s="979">
        <v>0</v>
      </c>
      <c r="F435" s="979">
        <v>0</v>
      </c>
      <c r="G435" s="979">
        <v>0</v>
      </c>
      <c r="H435" s="979">
        <v>0</v>
      </c>
      <c r="I435" s="979">
        <v>0</v>
      </c>
      <c r="J435" s="979">
        <v>0</v>
      </c>
    </row>
    <row r="436" spans="2:10">
      <c r="B436" s="1140" t="s">
        <v>260</v>
      </c>
      <c r="C436" s="979">
        <v>0</v>
      </c>
      <c r="D436" s="979">
        <v>0</v>
      </c>
      <c r="E436" s="979">
        <v>0</v>
      </c>
      <c r="F436" s="979">
        <v>0</v>
      </c>
      <c r="G436" s="979">
        <v>0</v>
      </c>
      <c r="H436" s="979">
        <v>0</v>
      </c>
      <c r="I436" s="979">
        <v>0</v>
      </c>
      <c r="J436" s="979">
        <v>0</v>
      </c>
    </row>
    <row r="437" spans="2:10">
      <c r="B437" s="1140" t="s">
        <v>117</v>
      </c>
      <c r="C437" s="979">
        <v>0</v>
      </c>
      <c r="D437" s="979">
        <v>0</v>
      </c>
      <c r="E437" s="979">
        <v>0</v>
      </c>
      <c r="F437" s="979">
        <v>0</v>
      </c>
      <c r="G437" s="979">
        <v>0</v>
      </c>
      <c r="H437" s="979">
        <v>0</v>
      </c>
      <c r="I437" s="979">
        <v>0</v>
      </c>
      <c r="J437" s="979">
        <v>0</v>
      </c>
    </row>
    <row r="438" spans="2:10">
      <c r="B438" s="1140"/>
      <c r="C438" s="979"/>
      <c r="D438" s="979"/>
      <c r="E438" s="979"/>
      <c r="F438" s="979"/>
      <c r="G438" s="979"/>
      <c r="H438" s="979"/>
      <c r="I438" s="979"/>
      <c r="J438" s="979"/>
    </row>
    <row r="439" spans="2:10">
      <c r="B439" s="1050" t="s">
        <v>1675</v>
      </c>
      <c r="C439" s="979"/>
      <c r="D439" s="979"/>
      <c r="E439" s="979"/>
      <c r="F439" s="979"/>
      <c r="G439" s="979"/>
      <c r="H439" s="979"/>
      <c r="I439" s="979"/>
      <c r="J439" s="979"/>
    </row>
    <row r="440" spans="2:10">
      <c r="B440" s="1099" t="s">
        <v>265</v>
      </c>
      <c r="C440" s="979"/>
      <c r="D440" s="979"/>
      <c r="E440" s="979"/>
      <c r="F440" s="979"/>
      <c r="G440" s="979"/>
      <c r="H440" s="979"/>
      <c r="I440" s="979"/>
      <c r="J440" s="979"/>
    </row>
    <row r="441" spans="2:10">
      <c r="B441" s="1140" t="s">
        <v>262</v>
      </c>
      <c r="C441" s="1145">
        <v>1</v>
      </c>
      <c r="D441" s="1145">
        <v>1</v>
      </c>
      <c r="E441" s="1146">
        <v>1</v>
      </c>
      <c r="F441" s="1146">
        <v>1</v>
      </c>
      <c r="G441" s="1146">
        <v>1</v>
      </c>
      <c r="H441" s="1146">
        <v>1</v>
      </c>
      <c r="I441" s="1146">
        <v>1</v>
      </c>
      <c r="J441" s="1146">
        <v>1</v>
      </c>
    </row>
    <row r="442" spans="2:10">
      <c r="B442" s="1140" t="s">
        <v>261</v>
      </c>
      <c r="C442" s="1145">
        <v>0</v>
      </c>
      <c r="D442" s="1145">
        <v>0</v>
      </c>
      <c r="E442" s="1145">
        <v>0</v>
      </c>
      <c r="F442" s="1145">
        <v>0</v>
      </c>
      <c r="G442" s="1145">
        <v>0</v>
      </c>
      <c r="H442" s="1145">
        <v>0</v>
      </c>
      <c r="I442" s="1145">
        <v>0</v>
      </c>
      <c r="J442" s="1145">
        <v>0</v>
      </c>
    </row>
    <row r="443" spans="2:10">
      <c r="B443" s="1140" t="s">
        <v>1676</v>
      </c>
      <c r="C443" s="1145">
        <v>1</v>
      </c>
      <c r="D443" s="1145">
        <v>1</v>
      </c>
      <c r="E443" s="1145">
        <v>1</v>
      </c>
      <c r="F443" s="1145">
        <v>1</v>
      </c>
      <c r="G443" s="1145">
        <v>1</v>
      </c>
      <c r="H443" s="1145">
        <v>1</v>
      </c>
      <c r="I443" s="1145">
        <v>1</v>
      </c>
      <c r="J443" s="1145">
        <v>1</v>
      </c>
    </row>
    <row r="444" spans="2:10">
      <c r="B444" s="1140" t="s">
        <v>260</v>
      </c>
      <c r="C444" s="1145">
        <v>9</v>
      </c>
      <c r="D444" s="1145">
        <v>10</v>
      </c>
      <c r="E444" s="1147">
        <v>11</v>
      </c>
      <c r="F444" s="1147">
        <v>11</v>
      </c>
      <c r="G444" s="1147">
        <v>11</v>
      </c>
      <c r="H444" s="1147">
        <v>11</v>
      </c>
      <c r="I444" s="1147">
        <v>11</v>
      </c>
      <c r="J444" s="1147">
        <v>10</v>
      </c>
    </row>
    <row r="445" spans="2:10">
      <c r="B445" s="1140" t="s">
        <v>117</v>
      </c>
      <c r="C445" s="1145">
        <v>18</v>
      </c>
      <c r="D445" s="1145">
        <v>18</v>
      </c>
      <c r="E445" s="1145">
        <v>18</v>
      </c>
      <c r="F445" s="1145">
        <v>19</v>
      </c>
      <c r="G445" s="1145">
        <v>19</v>
      </c>
      <c r="H445" s="1145">
        <v>18</v>
      </c>
      <c r="I445" s="1145">
        <v>19</v>
      </c>
      <c r="J445" s="1145">
        <v>18</v>
      </c>
    </row>
    <row r="446" spans="2:10">
      <c r="B446" s="1142" t="s">
        <v>1672</v>
      </c>
      <c r="C446" s="979">
        <v>0</v>
      </c>
      <c r="D446" s="979">
        <v>0</v>
      </c>
      <c r="E446" s="979">
        <v>0</v>
      </c>
      <c r="F446" s="979">
        <v>0</v>
      </c>
      <c r="G446" s="979">
        <v>0</v>
      </c>
      <c r="H446" s="979">
        <v>0</v>
      </c>
      <c r="I446" s="979">
        <v>0</v>
      </c>
      <c r="J446" s="979">
        <v>0</v>
      </c>
    </row>
    <row r="447" spans="2:10">
      <c r="B447" s="1142" t="s">
        <v>1673</v>
      </c>
      <c r="C447" s="979">
        <v>0</v>
      </c>
      <c r="D447" s="979">
        <v>0</v>
      </c>
      <c r="E447" s="979">
        <v>0</v>
      </c>
      <c r="F447" s="979">
        <v>0</v>
      </c>
      <c r="G447" s="979">
        <v>0</v>
      </c>
      <c r="H447" s="979">
        <v>0</v>
      </c>
      <c r="I447" s="979">
        <v>0</v>
      </c>
      <c r="J447" s="979">
        <v>0</v>
      </c>
    </row>
    <row r="448" spans="2:10">
      <c r="B448" s="1142" t="s">
        <v>1645</v>
      </c>
      <c r="C448" s="979">
        <v>0</v>
      </c>
      <c r="D448" s="979">
        <v>0</v>
      </c>
      <c r="E448" s="979">
        <v>0</v>
      </c>
      <c r="F448" s="979">
        <v>0</v>
      </c>
      <c r="G448" s="979">
        <v>0</v>
      </c>
      <c r="H448" s="979">
        <v>0</v>
      </c>
      <c r="I448" s="979">
        <v>0</v>
      </c>
      <c r="J448" s="979">
        <v>0</v>
      </c>
    </row>
    <row r="449" spans="2:10">
      <c r="B449" s="1142" t="s">
        <v>117</v>
      </c>
      <c r="C449" s="979">
        <v>0</v>
      </c>
      <c r="D449" s="979">
        <v>0</v>
      </c>
      <c r="E449" s="979">
        <v>0</v>
      </c>
      <c r="F449" s="979">
        <v>0</v>
      </c>
      <c r="G449" s="979">
        <v>0</v>
      </c>
      <c r="H449" s="979">
        <v>0</v>
      </c>
      <c r="I449" s="979">
        <v>0</v>
      </c>
      <c r="J449" s="979">
        <v>0</v>
      </c>
    </row>
    <row r="450" spans="2:10">
      <c r="B450" s="1140"/>
      <c r="C450" s="979"/>
      <c r="D450" s="979"/>
      <c r="E450" s="979"/>
      <c r="F450" s="979"/>
      <c r="G450" s="979"/>
      <c r="H450" s="979"/>
      <c r="I450" s="979"/>
      <c r="J450" s="979"/>
    </row>
    <row r="451" spans="2:10">
      <c r="B451" s="1099" t="s">
        <v>264</v>
      </c>
      <c r="C451" s="979"/>
      <c r="D451" s="979"/>
      <c r="E451" s="979"/>
      <c r="F451" s="979"/>
      <c r="G451" s="979"/>
      <c r="H451" s="979"/>
      <c r="I451" s="979"/>
      <c r="J451" s="979"/>
    </row>
    <row r="452" spans="2:10">
      <c r="B452" s="1140" t="s">
        <v>262</v>
      </c>
      <c r="C452" s="1145">
        <v>1</v>
      </c>
      <c r="D452" s="1145">
        <v>1</v>
      </c>
      <c r="E452" s="1146">
        <v>1</v>
      </c>
      <c r="F452" s="1146">
        <v>1</v>
      </c>
      <c r="G452" s="1146">
        <v>1</v>
      </c>
      <c r="H452" s="1146">
        <v>1</v>
      </c>
      <c r="I452" s="1146">
        <v>1</v>
      </c>
      <c r="J452" s="1146">
        <v>1</v>
      </c>
    </row>
    <row r="453" spans="2:10">
      <c r="B453" s="1140" t="s">
        <v>261</v>
      </c>
      <c r="C453" s="1145">
        <v>0</v>
      </c>
      <c r="D453" s="1145">
        <v>0</v>
      </c>
      <c r="E453" s="1145">
        <v>0</v>
      </c>
      <c r="F453" s="1145">
        <v>0</v>
      </c>
      <c r="G453" s="1145">
        <v>0</v>
      </c>
      <c r="H453" s="1145">
        <v>0</v>
      </c>
      <c r="I453" s="1145">
        <v>0</v>
      </c>
      <c r="J453" s="1145">
        <v>0</v>
      </c>
    </row>
    <row r="454" spans="2:10">
      <c r="B454" s="1140" t="s">
        <v>1676</v>
      </c>
      <c r="C454" s="1145">
        <v>1</v>
      </c>
      <c r="D454" s="1145">
        <v>1</v>
      </c>
      <c r="E454" s="1145">
        <v>1</v>
      </c>
      <c r="F454" s="1145">
        <v>1</v>
      </c>
      <c r="G454" s="1145">
        <v>1</v>
      </c>
      <c r="H454" s="1145">
        <v>1</v>
      </c>
      <c r="I454" s="1145">
        <v>1</v>
      </c>
      <c r="J454" s="1145">
        <v>1</v>
      </c>
    </row>
    <row r="455" spans="2:10">
      <c r="B455" s="1140" t="s">
        <v>260</v>
      </c>
      <c r="C455" s="1145">
        <v>9</v>
      </c>
      <c r="D455" s="1145">
        <v>10</v>
      </c>
      <c r="E455" s="1147">
        <v>11</v>
      </c>
      <c r="F455" s="1147">
        <v>11</v>
      </c>
      <c r="G455" s="1147">
        <v>11</v>
      </c>
      <c r="H455" s="1147">
        <v>11</v>
      </c>
      <c r="I455" s="1147">
        <v>11</v>
      </c>
      <c r="J455" s="1147">
        <v>10</v>
      </c>
    </row>
    <row r="456" spans="2:10">
      <c r="B456" s="1140" t="s">
        <v>117</v>
      </c>
      <c r="C456" s="1145">
        <v>18</v>
      </c>
      <c r="D456" s="1145">
        <v>18</v>
      </c>
      <c r="E456" s="1145">
        <v>18</v>
      </c>
      <c r="F456" s="1145">
        <v>19</v>
      </c>
      <c r="G456" s="1145">
        <v>19</v>
      </c>
      <c r="H456" s="1145">
        <v>18</v>
      </c>
      <c r="I456" s="1145">
        <v>19</v>
      </c>
      <c r="J456" s="1145">
        <v>18</v>
      </c>
    </row>
    <row r="457" spans="2:10">
      <c r="B457" s="1142" t="s">
        <v>1672</v>
      </c>
      <c r="C457" s="979">
        <v>0</v>
      </c>
      <c r="D457" s="979">
        <v>0</v>
      </c>
      <c r="E457" s="979">
        <v>0</v>
      </c>
      <c r="F457" s="979">
        <v>0</v>
      </c>
      <c r="G457" s="979">
        <v>0</v>
      </c>
      <c r="H457" s="979">
        <v>0</v>
      </c>
      <c r="I457" s="979">
        <v>0</v>
      </c>
      <c r="J457" s="979">
        <v>0</v>
      </c>
    </row>
    <row r="458" spans="2:10">
      <c r="B458" s="1142" t="s">
        <v>1673</v>
      </c>
      <c r="C458" s="979">
        <v>0</v>
      </c>
      <c r="D458" s="979">
        <v>0</v>
      </c>
      <c r="E458" s="979">
        <v>0</v>
      </c>
      <c r="F458" s="979">
        <v>0</v>
      </c>
      <c r="G458" s="979">
        <v>0</v>
      </c>
      <c r="H458" s="979">
        <v>0</v>
      </c>
      <c r="I458" s="979">
        <v>0</v>
      </c>
      <c r="J458" s="979">
        <v>0</v>
      </c>
    </row>
    <row r="459" spans="2:10">
      <c r="B459" s="1142" t="s">
        <v>1645</v>
      </c>
      <c r="C459" s="979">
        <v>0</v>
      </c>
      <c r="D459" s="979">
        <v>0</v>
      </c>
      <c r="E459" s="979">
        <v>0</v>
      </c>
      <c r="F459" s="979">
        <v>0</v>
      </c>
      <c r="G459" s="979">
        <v>0</v>
      </c>
      <c r="H459" s="979">
        <v>0</v>
      </c>
      <c r="I459" s="979">
        <v>0</v>
      </c>
      <c r="J459" s="979">
        <v>0</v>
      </c>
    </row>
    <row r="460" spans="2:10">
      <c r="B460" s="1142" t="s">
        <v>117</v>
      </c>
      <c r="C460" s="979">
        <v>0</v>
      </c>
      <c r="D460" s="979">
        <v>0</v>
      </c>
      <c r="E460" s="979">
        <v>0</v>
      </c>
      <c r="F460" s="979">
        <v>0</v>
      </c>
      <c r="G460" s="979">
        <v>0</v>
      </c>
      <c r="H460" s="979">
        <v>0</v>
      </c>
      <c r="I460" s="979">
        <v>0</v>
      </c>
      <c r="J460" s="979">
        <v>0</v>
      </c>
    </row>
    <row r="461" spans="2:10">
      <c r="B461" s="1140"/>
      <c r="C461" s="979"/>
      <c r="D461" s="979"/>
      <c r="E461" s="979"/>
      <c r="F461" s="979"/>
      <c r="G461" s="979"/>
      <c r="H461" s="979"/>
      <c r="I461" s="979"/>
      <c r="J461" s="979"/>
    </row>
    <row r="462" spans="2:10">
      <c r="B462" s="1099" t="s">
        <v>263</v>
      </c>
      <c r="C462" s="979"/>
      <c r="D462" s="979"/>
      <c r="E462" s="979"/>
      <c r="F462" s="979"/>
      <c r="G462" s="979"/>
      <c r="H462" s="979"/>
      <c r="I462" s="979"/>
      <c r="J462" s="979"/>
    </row>
    <row r="463" spans="2:10">
      <c r="B463" s="1140" t="s">
        <v>262</v>
      </c>
      <c r="C463" s="979">
        <v>0</v>
      </c>
      <c r="D463" s="979">
        <v>0</v>
      </c>
      <c r="E463" s="979">
        <v>0</v>
      </c>
      <c r="F463" s="979">
        <v>0</v>
      </c>
      <c r="G463" s="979">
        <v>0</v>
      </c>
      <c r="H463" s="979">
        <v>0</v>
      </c>
      <c r="I463" s="979">
        <v>0</v>
      </c>
      <c r="J463" s="979">
        <v>0</v>
      </c>
    </row>
    <row r="464" spans="2:10">
      <c r="B464" s="1140" t="s">
        <v>261</v>
      </c>
      <c r="C464" s="979">
        <v>0</v>
      </c>
      <c r="D464" s="979">
        <v>0</v>
      </c>
      <c r="E464" s="979">
        <v>0</v>
      </c>
      <c r="F464" s="979">
        <v>0</v>
      </c>
      <c r="G464" s="979">
        <v>0</v>
      </c>
      <c r="H464" s="979">
        <v>0</v>
      </c>
      <c r="I464" s="979">
        <v>0</v>
      </c>
      <c r="J464" s="979">
        <v>0</v>
      </c>
    </row>
    <row r="465" spans="2:10">
      <c r="B465" s="1140" t="s">
        <v>260</v>
      </c>
      <c r="C465" s="979">
        <v>0</v>
      </c>
      <c r="D465" s="979">
        <v>0</v>
      </c>
      <c r="E465" s="979">
        <v>0</v>
      </c>
      <c r="F465" s="979">
        <v>0</v>
      </c>
      <c r="G465" s="979">
        <v>0</v>
      </c>
      <c r="H465" s="979">
        <v>0</v>
      </c>
      <c r="I465" s="979">
        <v>0</v>
      </c>
      <c r="J465" s="979">
        <v>0</v>
      </c>
    </row>
    <row r="466" spans="2:10" ht="15" thickBot="1">
      <c r="B466" s="1140" t="s">
        <v>117</v>
      </c>
      <c r="C466" s="979">
        <v>0</v>
      </c>
      <c r="D466" s="979">
        <v>0</v>
      </c>
      <c r="E466" s="979">
        <v>0</v>
      </c>
      <c r="F466" s="979">
        <v>0</v>
      </c>
      <c r="G466" s="979">
        <v>0</v>
      </c>
      <c r="H466" s="979">
        <v>0</v>
      </c>
      <c r="I466" s="979">
        <v>0</v>
      </c>
      <c r="J466" s="979">
        <v>0</v>
      </c>
    </row>
    <row r="467" spans="2:10" ht="15" thickTop="1">
      <c r="B467" s="2093" t="s">
        <v>1677</v>
      </c>
      <c r="C467" s="2093"/>
      <c r="D467" s="2093"/>
      <c r="E467" s="2093"/>
      <c r="F467" s="2093"/>
      <c r="G467" s="2093"/>
      <c r="H467" s="2093"/>
      <c r="I467" s="2093"/>
      <c r="J467" s="2093"/>
    </row>
    <row r="468" spans="2:10">
      <c r="B468" s="1063"/>
    </row>
    <row r="469" spans="2:10">
      <c r="B469" s="2081" t="s">
        <v>258</v>
      </c>
      <c r="C469" s="2081"/>
      <c r="D469" s="2081"/>
      <c r="E469" s="2081"/>
      <c r="F469" s="2081"/>
      <c r="G469" s="2081"/>
      <c r="H469" s="2081"/>
      <c r="I469" s="2081"/>
      <c r="J469" s="2081"/>
    </row>
    <row r="470" spans="2:10">
      <c r="B470" s="1049" t="s">
        <v>257</v>
      </c>
    </row>
    <row r="471" spans="2:10">
      <c r="B471" s="1070" t="s">
        <v>256</v>
      </c>
    </row>
    <row r="472" spans="2:10">
      <c r="B472" s="1063"/>
    </row>
    <row r="473" spans="2:10">
      <c r="B473" s="1051"/>
      <c r="C473" s="1052">
        <v>2014</v>
      </c>
      <c r="D473" s="1052">
        <v>2015</v>
      </c>
      <c r="E473" s="1052">
        <v>2016</v>
      </c>
      <c r="F473" s="1052">
        <v>2017</v>
      </c>
      <c r="G473" s="1052">
        <v>2018</v>
      </c>
      <c r="H473" s="1052">
        <v>2019</v>
      </c>
      <c r="I473" s="1052">
        <v>2020</v>
      </c>
      <c r="J473" s="1052">
        <v>2021</v>
      </c>
    </row>
    <row r="474" spans="2:10">
      <c r="B474" s="1751" t="s">
        <v>1671</v>
      </c>
      <c r="C474" s="1148"/>
      <c r="D474" s="1148"/>
      <c r="E474" s="1148"/>
      <c r="F474" s="1148"/>
      <c r="G474" s="1148"/>
      <c r="H474" s="1148"/>
      <c r="I474" s="1148"/>
      <c r="J474" s="1148"/>
    </row>
    <row r="475" spans="2:10">
      <c r="B475" s="1149" t="s">
        <v>247</v>
      </c>
      <c r="C475" s="1150">
        <f>C476+C479</f>
        <v>0.45</v>
      </c>
      <c r="D475" s="1150">
        <f t="shared" ref="D475:J475" si="29">D476+D479</f>
        <v>0.47000000000000003</v>
      </c>
      <c r="E475" s="1150">
        <f t="shared" si="29"/>
        <v>0.50700000000000001</v>
      </c>
      <c r="F475" s="1150">
        <f t="shared" si="29"/>
        <v>0.54700000000000004</v>
      </c>
      <c r="G475" s="1150">
        <f t="shared" si="29"/>
        <v>0.53800000000000003</v>
      </c>
      <c r="H475" s="1150">
        <f t="shared" si="29"/>
        <v>0.55000000000000004</v>
      </c>
      <c r="I475" s="1150">
        <f t="shared" si="29"/>
        <v>0.57100000000000006</v>
      </c>
      <c r="J475" s="1150">
        <f t="shared" si="29"/>
        <v>0.54200000000000004</v>
      </c>
    </row>
    <row r="476" spans="2:10">
      <c r="B476" s="1151" t="s">
        <v>121</v>
      </c>
      <c r="C476" s="1150">
        <f>C477+C478</f>
        <v>0.437</v>
      </c>
      <c r="D476" s="1150">
        <f t="shared" ref="D476:J476" si="30">D477+D478</f>
        <v>0.45800000000000002</v>
      </c>
      <c r="E476" s="1150">
        <f t="shared" si="30"/>
        <v>0.49399999999999999</v>
      </c>
      <c r="F476" s="1150">
        <f t="shared" si="30"/>
        <v>0.53300000000000003</v>
      </c>
      <c r="G476" s="1150">
        <f t="shared" si="30"/>
        <v>0.52200000000000002</v>
      </c>
      <c r="H476" s="1150">
        <f t="shared" si="30"/>
        <v>0.53400000000000003</v>
      </c>
      <c r="I476" s="1150">
        <f t="shared" si="30"/>
        <v>0.55400000000000005</v>
      </c>
      <c r="J476" s="1150">
        <f t="shared" si="30"/>
        <v>0.52500000000000002</v>
      </c>
    </row>
    <row r="477" spans="2:10">
      <c r="B477" s="1152" t="s">
        <v>120</v>
      </c>
      <c r="C477" s="1153">
        <v>6.3E-2</v>
      </c>
      <c r="D477" s="1153">
        <v>5.1999999999999998E-2</v>
      </c>
      <c r="E477" s="1153">
        <v>4.8000000000000001E-2</v>
      </c>
      <c r="F477" s="1153">
        <v>0.05</v>
      </c>
      <c r="G477" s="1153">
        <v>3.5000000000000003E-2</v>
      </c>
      <c r="H477" s="1153">
        <v>4.8000000000000001E-2</v>
      </c>
      <c r="I477" s="1153">
        <v>5.5E-2</v>
      </c>
      <c r="J477" s="1153">
        <v>2.5999999999999999E-2</v>
      </c>
    </row>
    <row r="478" spans="2:10">
      <c r="B478" s="1152" t="s">
        <v>119</v>
      </c>
      <c r="C478" s="1153">
        <v>0.374</v>
      </c>
      <c r="D478" s="1153">
        <v>0.40600000000000003</v>
      </c>
      <c r="E478" s="1153">
        <v>0.44600000000000001</v>
      </c>
      <c r="F478" s="1153">
        <v>0.48299999999999998</v>
      </c>
      <c r="G478" s="1153">
        <v>0.48699999999999999</v>
      </c>
      <c r="H478" s="1153">
        <v>0.48599999999999999</v>
      </c>
      <c r="I478" s="1153">
        <v>0.499</v>
      </c>
      <c r="J478" s="1153">
        <v>0.499</v>
      </c>
    </row>
    <row r="479" spans="2:10">
      <c r="B479" s="1151" t="s">
        <v>118</v>
      </c>
      <c r="C479" s="1153">
        <v>1.2999999999999999E-2</v>
      </c>
      <c r="D479" s="1153">
        <v>1.2E-2</v>
      </c>
      <c r="E479" s="1153">
        <v>1.2999999999999999E-2</v>
      </c>
      <c r="F479" s="1153">
        <v>1.4E-2</v>
      </c>
      <c r="G479" s="1153">
        <v>1.6E-2</v>
      </c>
      <c r="H479" s="1153">
        <v>1.6E-2</v>
      </c>
      <c r="I479" s="1153">
        <v>1.7000000000000001E-2</v>
      </c>
      <c r="J479" s="1153">
        <v>1.7000000000000001E-2</v>
      </c>
    </row>
    <row r="480" spans="2:10">
      <c r="B480" s="1151" t="s">
        <v>117</v>
      </c>
      <c r="C480" s="1150">
        <v>0</v>
      </c>
      <c r="D480" s="1150">
        <v>0</v>
      </c>
      <c r="E480" s="1150">
        <v>0</v>
      </c>
      <c r="F480" s="1150">
        <v>0</v>
      </c>
      <c r="G480" s="1150">
        <v>0</v>
      </c>
      <c r="H480" s="1150">
        <v>0</v>
      </c>
      <c r="I480" s="1150">
        <v>0</v>
      </c>
      <c r="J480" s="1150">
        <v>0</v>
      </c>
    </row>
    <row r="481" spans="2:10">
      <c r="B481" s="1151"/>
      <c r="C481" s="1150"/>
      <c r="D481" s="1150"/>
      <c r="E481" s="1150"/>
      <c r="F481" s="1150"/>
      <c r="G481" s="1150"/>
      <c r="H481" s="1150"/>
      <c r="I481" s="1150"/>
      <c r="J481" s="1150"/>
    </row>
    <row r="482" spans="2:10">
      <c r="B482" s="450" t="s">
        <v>1675</v>
      </c>
      <c r="C482" s="1150"/>
      <c r="D482" s="1150"/>
      <c r="E482" s="1150"/>
      <c r="F482" s="1150"/>
      <c r="G482" s="1150"/>
      <c r="H482" s="1150"/>
      <c r="I482" s="1150"/>
      <c r="J482" s="1150"/>
    </row>
    <row r="483" spans="2:10">
      <c r="B483" s="424" t="s">
        <v>247</v>
      </c>
      <c r="C483" s="1155">
        <f>C484</f>
        <v>0.12</v>
      </c>
      <c r="D483" s="1155">
        <f t="shared" ref="D483:J483" si="31">D484</f>
        <v>0.23599999999999999</v>
      </c>
      <c r="E483" s="1155">
        <f t="shared" si="31"/>
        <v>0.25900000000000001</v>
      </c>
      <c r="F483" s="1155">
        <f t="shared" si="31"/>
        <v>0.245</v>
      </c>
      <c r="G483" s="1155">
        <f t="shared" si="31"/>
        <v>0.22700000000000001</v>
      </c>
      <c r="H483" s="1155">
        <f t="shared" si="31"/>
        <v>0.21000000000000002</v>
      </c>
      <c r="I483" s="1155">
        <f t="shared" si="31"/>
        <v>0.20500000000000002</v>
      </c>
      <c r="J483" s="1155">
        <f t="shared" si="31"/>
        <v>0.182</v>
      </c>
    </row>
    <row r="484" spans="2:10">
      <c r="B484" s="1156" t="s">
        <v>121</v>
      </c>
      <c r="C484" s="1155">
        <f>C485+C486</f>
        <v>0.12</v>
      </c>
      <c r="D484" s="1155">
        <f t="shared" ref="D484:J484" si="32">D485+D486</f>
        <v>0.23599999999999999</v>
      </c>
      <c r="E484" s="1155">
        <f t="shared" si="32"/>
        <v>0.25900000000000001</v>
      </c>
      <c r="F484" s="1155">
        <f t="shared" si="32"/>
        <v>0.245</v>
      </c>
      <c r="G484" s="1155">
        <f t="shared" si="32"/>
        <v>0.22700000000000001</v>
      </c>
      <c r="H484" s="1155">
        <f t="shared" si="32"/>
        <v>0.21000000000000002</v>
      </c>
      <c r="I484" s="1155">
        <f t="shared" si="32"/>
        <v>0.20500000000000002</v>
      </c>
      <c r="J484" s="1155">
        <f t="shared" si="32"/>
        <v>0.182</v>
      </c>
    </row>
    <row r="485" spans="2:10">
      <c r="B485" s="1157" t="s">
        <v>120</v>
      </c>
      <c r="C485" s="1158">
        <v>0</v>
      </c>
      <c r="D485" s="1158">
        <v>1.4999999999999999E-2</v>
      </c>
      <c r="E485" s="1158">
        <v>1.2E-2</v>
      </c>
      <c r="F485" s="1158">
        <v>8.0000000000000002E-3</v>
      </c>
      <c r="G485" s="1158">
        <v>5.0000000000000001E-3</v>
      </c>
      <c r="H485" s="1158">
        <v>7.0000000000000001E-3</v>
      </c>
      <c r="I485" s="1158">
        <v>8.9999999999999993E-3</v>
      </c>
      <c r="J485" s="1158">
        <v>2E-3</v>
      </c>
    </row>
    <row r="486" spans="2:10">
      <c r="B486" s="1157" t="s">
        <v>119</v>
      </c>
      <c r="C486" s="1158">
        <v>0.12</v>
      </c>
      <c r="D486" s="1158">
        <v>0.221</v>
      </c>
      <c r="E486" s="1158">
        <v>0.247</v>
      </c>
      <c r="F486" s="1158">
        <v>0.23699999999999999</v>
      </c>
      <c r="G486" s="1158">
        <v>0.222</v>
      </c>
      <c r="H486" s="1158">
        <v>0.20300000000000001</v>
      </c>
      <c r="I486" s="1158">
        <v>0.19600000000000001</v>
      </c>
      <c r="J486" s="1158">
        <v>0.18</v>
      </c>
    </row>
    <row r="487" spans="2:10">
      <c r="B487" s="1156" t="s">
        <v>118</v>
      </c>
      <c r="C487" s="1155">
        <v>0</v>
      </c>
      <c r="D487" s="1155">
        <v>0</v>
      </c>
      <c r="E487" s="1155">
        <v>0</v>
      </c>
      <c r="F487" s="1155">
        <v>0</v>
      </c>
      <c r="G487" s="1155">
        <v>0</v>
      </c>
      <c r="H487" s="1155">
        <v>0</v>
      </c>
      <c r="I487" s="1155">
        <v>0</v>
      </c>
      <c r="J487" s="1155">
        <v>0</v>
      </c>
    </row>
    <row r="488" spans="2:10" ht="15" thickBot="1">
      <c r="B488" s="1156" t="s">
        <v>117</v>
      </c>
      <c r="C488" s="1155">
        <v>0</v>
      </c>
      <c r="D488" s="1155">
        <v>0</v>
      </c>
      <c r="E488" s="1155">
        <v>0</v>
      </c>
      <c r="F488" s="1155">
        <v>0</v>
      </c>
      <c r="G488" s="1155">
        <v>0</v>
      </c>
      <c r="H488" s="1155">
        <v>0</v>
      </c>
      <c r="I488" s="1155">
        <v>0</v>
      </c>
      <c r="J488" s="1155">
        <v>0</v>
      </c>
    </row>
    <row r="489" spans="2:10" ht="15" thickTop="1">
      <c r="B489" s="2093" t="s">
        <v>1678</v>
      </c>
      <c r="C489" s="2093"/>
      <c r="D489" s="2093"/>
      <c r="E489" s="2093"/>
      <c r="F489" s="2093"/>
      <c r="G489" s="2093"/>
      <c r="H489" s="2093"/>
      <c r="I489" s="2093"/>
      <c r="J489" s="2093"/>
    </row>
    <row r="490" spans="2:10">
      <c r="B490" s="403"/>
    </row>
    <row r="491" spans="2:10">
      <c r="B491" s="2081" t="s">
        <v>244</v>
      </c>
      <c r="C491" s="2081"/>
      <c r="D491" s="2081"/>
      <c r="E491" s="2081"/>
      <c r="F491" s="2081"/>
      <c r="G491" s="2081"/>
      <c r="H491" s="2081"/>
      <c r="I491" s="2081"/>
      <c r="J491" s="2081"/>
    </row>
    <row r="492" spans="2:10">
      <c r="B492" s="1049" t="s">
        <v>243</v>
      </c>
    </row>
    <row r="493" spans="2:10">
      <c r="B493" s="1063" t="s">
        <v>242</v>
      </c>
    </row>
    <row r="494" spans="2:10">
      <c r="B494" s="403"/>
    </row>
    <row r="495" spans="2:10">
      <c r="B495" s="1051"/>
      <c r="C495" s="1052">
        <v>2014</v>
      </c>
      <c r="D495" s="1052">
        <v>2015</v>
      </c>
      <c r="E495" s="1052">
        <v>2016</v>
      </c>
      <c r="F495" s="1052">
        <v>2017</v>
      </c>
      <c r="G495" s="1052">
        <v>2018</v>
      </c>
      <c r="H495" s="1052">
        <v>2019</v>
      </c>
      <c r="I495" s="1052">
        <v>2020</v>
      </c>
      <c r="J495" s="1052">
        <v>2021</v>
      </c>
    </row>
    <row r="496" spans="2:10">
      <c r="B496" s="1159" t="s">
        <v>1317</v>
      </c>
    </row>
    <row r="497" spans="2:10" ht="15" thickBot="1">
      <c r="B497" s="1099" t="s">
        <v>239</v>
      </c>
      <c r="C497" s="1160">
        <v>2093.3773189361868</v>
      </c>
      <c r="D497" s="1160">
        <v>1954.1744989948174</v>
      </c>
      <c r="E497" s="1160">
        <v>2299.7642898050894</v>
      </c>
      <c r="F497" s="1160">
        <v>2409.8231480428949</v>
      </c>
      <c r="G497" s="1161">
        <v>2156.0921913151774</v>
      </c>
      <c r="H497" s="1161">
        <v>2139.019679032785</v>
      </c>
      <c r="I497" s="1161">
        <v>1781.4424327912786</v>
      </c>
      <c r="J497" s="1161">
        <v>2041.8449128325715</v>
      </c>
    </row>
    <row r="498" spans="2:10" ht="15" thickTop="1">
      <c r="B498" s="2093" t="s">
        <v>1679</v>
      </c>
      <c r="C498" s="2093"/>
      <c r="D498" s="2093"/>
      <c r="E498" s="2093"/>
      <c r="F498" s="2093"/>
      <c r="G498" s="2093"/>
      <c r="H498" s="2093"/>
      <c r="I498" s="2093"/>
      <c r="J498" s="2093"/>
    </row>
    <row r="499" spans="2:10">
      <c r="B499" s="2094"/>
      <c r="C499" s="2094"/>
      <c r="D499" s="2094"/>
      <c r="E499" s="2094"/>
      <c r="F499" s="2094"/>
      <c r="G499" s="2094"/>
      <c r="H499" s="2094"/>
      <c r="I499" s="2094"/>
      <c r="J499" s="2094"/>
    </row>
    <row r="500" spans="2:10">
      <c r="B500" s="403"/>
    </row>
    <row r="501" spans="2:10">
      <c r="B501" s="2081" t="s">
        <v>238</v>
      </c>
      <c r="C501" s="2081"/>
      <c r="D501" s="2081"/>
      <c r="E501" s="2081"/>
      <c r="F501" s="2081"/>
      <c r="G501" s="2081"/>
      <c r="H501" s="2081"/>
      <c r="I501" s="2081"/>
      <c r="J501" s="2081"/>
    </row>
    <row r="502" spans="2:10">
      <c r="B502" s="1049" t="s">
        <v>237</v>
      </c>
    </row>
    <row r="503" spans="2:10">
      <c r="B503" s="1063" t="s">
        <v>236</v>
      </c>
    </row>
    <row r="504" spans="2:10">
      <c r="B504" s="403"/>
    </row>
    <row r="505" spans="2:10">
      <c r="B505" s="1051"/>
      <c r="C505" s="1052">
        <v>2014</v>
      </c>
      <c r="D505" s="1052">
        <v>2015</v>
      </c>
      <c r="E505" s="1052">
        <v>2016</v>
      </c>
      <c r="F505" s="1052">
        <v>2017</v>
      </c>
      <c r="G505" s="1052">
        <v>2018</v>
      </c>
      <c r="H505" s="1052">
        <v>2019</v>
      </c>
      <c r="I505" s="1052">
        <v>2020</v>
      </c>
      <c r="J505" s="1052">
        <v>2021</v>
      </c>
    </row>
    <row r="506" spans="2:10">
      <c r="B506" s="1162" t="s">
        <v>1671</v>
      </c>
      <c r="C506" s="1163"/>
      <c r="D506" s="1163"/>
      <c r="E506" s="1163"/>
      <c r="F506" s="1163"/>
      <c r="G506" s="1163"/>
      <c r="H506" s="1163"/>
      <c r="I506" s="1163"/>
      <c r="J506" s="1163"/>
    </row>
    <row r="507" spans="2:10">
      <c r="B507" s="1164" t="s">
        <v>231</v>
      </c>
      <c r="C507" s="1165">
        <v>90048</v>
      </c>
      <c r="D507" s="1165">
        <v>96423</v>
      </c>
      <c r="E507" s="1165">
        <v>89441</v>
      </c>
      <c r="F507" s="1165">
        <v>84587</v>
      </c>
      <c r="G507" s="1165">
        <v>101587</v>
      </c>
      <c r="H507" s="1165">
        <v>104437</v>
      </c>
      <c r="I507" s="1165">
        <v>69054</v>
      </c>
      <c r="J507" s="1165">
        <v>62316</v>
      </c>
    </row>
    <row r="508" spans="2:10">
      <c r="B508" s="1166" t="s">
        <v>1680</v>
      </c>
      <c r="C508" s="1167">
        <v>5589</v>
      </c>
      <c r="D508" s="1167">
        <v>5235</v>
      </c>
      <c r="E508" s="1167">
        <v>5598</v>
      </c>
      <c r="F508" s="1167">
        <v>5444</v>
      </c>
      <c r="G508" s="1167">
        <v>5400</v>
      </c>
      <c r="H508" s="1167">
        <v>5357</v>
      </c>
      <c r="I508" s="1167">
        <v>1925</v>
      </c>
      <c r="J508" s="1167">
        <v>1845</v>
      </c>
    </row>
    <row r="509" spans="2:10">
      <c r="B509" s="1166" t="s">
        <v>118</v>
      </c>
      <c r="C509" s="1167">
        <v>614</v>
      </c>
      <c r="D509" s="1167">
        <v>480</v>
      </c>
      <c r="E509" s="1167">
        <v>464</v>
      </c>
      <c r="F509" s="1167">
        <v>492</v>
      </c>
      <c r="G509" s="1167">
        <v>542</v>
      </c>
      <c r="H509" s="1167">
        <v>520</v>
      </c>
      <c r="I509" s="1167">
        <v>484</v>
      </c>
      <c r="J509" s="1167">
        <v>624</v>
      </c>
    </row>
    <row r="510" spans="2:10">
      <c r="B510" s="1166" t="s">
        <v>118</v>
      </c>
      <c r="C510" s="1167">
        <v>2155</v>
      </c>
      <c r="D510" s="1167">
        <v>2365</v>
      </c>
      <c r="E510" s="1167">
        <v>2267</v>
      </c>
      <c r="F510" s="1167">
        <v>2496</v>
      </c>
      <c r="G510" s="1167">
        <v>2688</v>
      </c>
      <c r="H510" s="1167">
        <v>1690</v>
      </c>
      <c r="I510" s="1167">
        <v>880</v>
      </c>
      <c r="J510" s="1167">
        <v>1148</v>
      </c>
    </row>
    <row r="511" spans="2:10">
      <c r="B511" s="1166" t="s">
        <v>1681</v>
      </c>
      <c r="C511" s="1167">
        <v>9471</v>
      </c>
      <c r="D511" s="1167">
        <v>12010</v>
      </c>
      <c r="E511" s="1167">
        <v>10489</v>
      </c>
      <c r="F511" s="1167">
        <v>9404</v>
      </c>
      <c r="G511" s="1167">
        <v>7151</v>
      </c>
      <c r="H511" s="1167">
        <v>16775</v>
      </c>
      <c r="I511" s="1167">
        <v>14191</v>
      </c>
      <c r="J511" s="1167">
        <v>16660</v>
      </c>
    </row>
    <row r="512" spans="2:10">
      <c r="B512" s="1166" t="s">
        <v>1682</v>
      </c>
      <c r="C512" s="1167">
        <v>16</v>
      </c>
      <c r="D512" s="1167">
        <v>44</v>
      </c>
      <c r="E512" s="1167">
        <v>111</v>
      </c>
      <c r="F512" s="1167">
        <v>71</v>
      </c>
      <c r="G512" s="1167">
        <v>8</v>
      </c>
      <c r="H512" s="1167">
        <v>13</v>
      </c>
      <c r="I512" s="1167">
        <v>15</v>
      </c>
      <c r="J512" s="1167">
        <v>25</v>
      </c>
    </row>
    <row r="513" spans="2:10">
      <c r="B513" s="1166" t="s">
        <v>1683</v>
      </c>
      <c r="C513" s="1167">
        <v>54620</v>
      </c>
      <c r="D513" s="1167">
        <v>57858</v>
      </c>
      <c r="E513" s="1167">
        <v>53368</v>
      </c>
      <c r="F513" s="1167">
        <v>52122</v>
      </c>
      <c r="G513" s="1167">
        <v>62376</v>
      </c>
      <c r="H513" s="1167">
        <v>60334</v>
      </c>
      <c r="I513" s="1167">
        <v>41868</v>
      </c>
      <c r="J513" s="1167">
        <v>32814</v>
      </c>
    </row>
    <row r="514" spans="2:10">
      <c r="B514" s="1166" t="s">
        <v>1684</v>
      </c>
      <c r="C514" s="1167">
        <v>17302</v>
      </c>
      <c r="D514" s="1167">
        <v>18144</v>
      </c>
      <c r="E514" s="1167">
        <v>16968</v>
      </c>
      <c r="F514" s="1167">
        <v>14366</v>
      </c>
      <c r="G514" s="1167">
        <v>23200</v>
      </c>
      <c r="H514" s="1167">
        <v>19546</v>
      </c>
      <c r="I514" s="1167">
        <v>9544</v>
      </c>
      <c r="J514" s="1167">
        <v>9022</v>
      </c>
    </row>
    <row r="515" spans="2:10">
      <c r="B515" s="1166" t="s">
        <v>1685</v>
      </c>
      <c r="C515" s="1167">
        <v>272</v>
      </c>
      <c r="D515" s="1167">
        <v>284</v>
      </c>
      <c r="E515" s="1167">
        <v>176</v>
      </c>
      <c r="F515" s="1167">
        <v>192</v>
      </c>
      <c r="G515" s="1167">
        <v>222</v>
      </c>
      <c r="H515" s="1167">
        <v>202</v>
      </c>
      <c r="I515" s="1167">
        <v>52</v>
      </c>
      <c r="J515" s="1167">
        <v>44</v>
      </c>
    </row>
    <row r="516" spans="2:10">
      <c r="B516" s="1166" t="s">
        <v>1686</v>
      </c>
      <c r="C516" s="1168">
        <v>0</v>
      </c>
      <c r="D516" s="1168">
        <v>0</v>
      </c>
      <c r="E516" s="1168">
        <v>0</v>
      </c>
      <c r="F516" s="1168">
        <v>0</v>
      </c>
      <c r="G516" s="1168">
        <v>0</v>
      </c>
      <c r="H516" s="1168">
        <v>0</v>
      </c>
      <c r="I516" s="1168">
        <v>95</v>
      </c>
      <c r="J516" s="1168">
        <v>134</v>
      </c>
    </row>
    <row r="517" spans="2:10">
      <c r="B517" s="1166" t="s">
        <v>496</v>
      </c>
      <c r="C517" s="1167">
        <v>9</v>
      </c>
      <c r="D517" s="1167">
        <v>3</v>
      </c>
      <c r="E517" s="1168">
        <v>0</v>
      </c>
      <c r="F517" s="1168">
        <v>0</v>
      </c>
      <c r="G517" s="1168">
        <v>0</v>
      </c>
      <c r="H517" s="1168">
        <v>0</v>
      </c>
      <c r="I517" s="1168">
        <v>0</v>
      </c>
      <c r="J517" s="1168">
        <v>0</v>
      </c>
    </row>
    <row r="518" spans="2:10">
      <c r="B518" s="1140"/>
    </row>
    <row r="519" spans="2:10">
      <c r="B519" s="1099" t="s">
        <v>230</v>
      </c>
      <c r="C519" s="1169">
        <v>0</v>
      </c>
      <c r="D519" s="1169">
        <v>0</v>
      </c>
      <c r="E519" s="1169">
        <v>0</v>
      </c>
      <c r="F519" s="1169">
        <v>0</v>
      </c>
      <c r="G519" s="1169">
        <v>0</v>
      </c>
      <c r="H519" s="1169">
        <v>0</v>
      </c>
      <c r="I519" s="1169">
        <v>0</v>
      </c>
      <c r="J519" s="1169">
        <v>0</v>
      </c>
    </row>
    <row r="520" spans="2:10">
      <c r="B520" s="1140" t="s">
        <v>169</v>
      </c>
      <c r="C520" s="1169">
        <v>0</v>
      </c>
      <c r="D520" s="1169">
        <v>0</v>
      </c>
      <c r="E520" s="1169">
        <v>0</v>
      </c>
      <c r="F520" s="1169">
        <v>0</v>
      </c>
      <c r="G520" s="1169">
        <v>0</v>
      </c>
      <c r="H520" s="1169">
        <v>0</v>
      </c>
      <c r="I520" s="1169">
        <v>0</v>
      </c>
      <c r="J520" s="1169">
        <v>0</v>
      </c>
    </row>
    <row r="521" spans="2:10">
      <c r="B521" s="1140" t="s">
        <v>168</v>
      </c>
      <c r="C521" s="1169">
        <v>0</v>
      </c>
      <c r="D521" s="1169">
        <v>0</v>
      </c>
      <c r="E521" s="1169">
        <v>0</v>
      </c>
      <c r="F521" s="1169">
        <v>0</v>
      </c>
      <c r="G521" s="1169">
        <v>0</v>
      </c>
      <c r="H521" s="1169">
        <v>0</v>
      </c>
      <c r="I521" s="1169">
        <v>0</v>
      </c>
      <c r="J521" s="1169">
        <v>0</v>
      </c>
    </row>
    <row r="522" spans="2:10">
      <c r="B522" s="1140" t="s">
        <v>167</v>
      </c>
      <c r="C522" s="1169">
        <v>0</v>
      </c>
      <c r="D522" s="1169">
        <v>0</v>
      </c>
      <c r="E522" s="1169">
        <v>0</v>
      </c>
      <c r="F522" s="1169">
        <v>0</v>
      </c>
      <c r="G522" s="1169">
        <v>0</v>
      </c>
      <c r="H522" s="1169">
        <v>0</v>
      </c>
      <c r="I522" s="1169">
        <v>0</v>
      </c>
      <c r="J522" s="1169">
        <v>0</v>
      </c>
    </row>
    <row r="523" spans="2:10">
      <c r="B523" s="1140" t="s">
        <v>166</v>
      </c>
      <c r="C523" s="1169">
        <v>0</v>
      </c>
      <c r="D523" s="1169">
        <v>0</v>
      </c>
      <c r="E523" s="1169">
        <v>0</v>
      </c>
      <c r="F523" s="1169">
        <v>0</v>
      </c>
      <c r="G523" s="1169">
        <v>0</v>
      </c>
      <c r="H523" s="1169">
        <v>0</v>
      </c>
      <c r="I523" s="1169">
        <v>0</v>
      </c>
      <c r="J523" s="1169">
        <v>0</v>
      </c>
    </row>
    <row r="524" spans="2:10">
      <c r="B524" s="1140" t="s">
        <v>165</v>
      </c>
      <c r="C524" s="1169">
        <v>0</v>
      </c>
      <c r="D524" s="1169">
        <v>0</v>
      </c>
      <c r="E524" s="1169">
        <v>0</v>
      </c>
      <c r="F524" s="1169">
        <v>0</v>
      </c>
      <c r="G524" s="1169">
        <v>0</v>
      </c>
      <c r="H524" s="1169">
        <v>0</v>
      </c>
      <c r="I524" s="1169">
        <v>0</v>
      </c>
      <c r="J524" s="1169">
        <v>0</v>
      </c>
    </row>
    <row r="525" spans="2:10" ht="15.65" customHeight="1">
      <c r="B525" s="1140" t="s">
        <v>164</v>
      </c>
      <c r="C525" s="1169">
        <v>0</v>
      </c>
      <c r="D525" s="1169">
        <v>0</v>
      </c>
      <c r="E525" s="1169">
        <v>0</v>
      </c>
      <c r="F525" s="1169">
        <v>0</v>
      </c>
      <c r="G525" s="1169">
        <v>0</v>
      </c>
      <c r="H525" s="1169">
        <v>0</v>
      </c>
      <c r="I525" s="1169">
        <v>0</v>
      </c>
      <c r="J525" s="1169">
        <v>0</v>
      </c>
    </row>
    <row r="526" spans="2:10" ht="15.65" customHeight="1">
      <c r="B526" s="1140"/>
      <c r="C526" s="1170"/>
      <c r="D526" s="1170"/>
      <c r="E526" s="1170"/>
      <c r="F526" s="1170"/>
      <c r="G526" s="1170"/>
      <c r="H526" s="1170"/>
      <c r="I526" s="1170"/>
      <c r="J526" s="1170"/>
    </row>
    <row r="527" spans="2:10" ht="15.65" customHeight="1">
      <c r="B527" s="1171" t="s">
        <v>1675</v>
      </c>
      <c r="C527" s="1172"/>
      <c r="D527" s="1172"/>
      <c r="E527" s="1172"/>
      <c r="F527" s="1172"/>
      <c r="G527" s="1172"/>
      <c r="H527" s="1172"/>
      <c r="I527" s="1172"/>
      <c r="J527" s="1172"/>
    </row>
    <row r="528" spans="2:10" ht="15.65" customHeight="1" thickBot="1">
      <c r="B528" s="1173" t="s">
        <v>1680</v>
      </c>
      <c r="C528" s="1168">
        <v>0</v>
      </c>
      <c r="D528" s="1168">
        <v>0</v>
      </c>
      <c r="E528" s="1174">
        <v>3.0000000000000001E-3</v>
      </c>
      <c r="F528" s="1174">
        <v>1.7999999999999999E-2</v>
      </c>
      <c r="G528" s="1174">
        <v>2.8000000000000001E-2</v>
      </c>
      <c r="H528" s="1174">
        <v>0.57999999999999996</v>
      </c>
      <c r="I528" s="1174">
        <v>0.94099999999999995</v>
      </c>
      <c r="J528" s="1175">
        <v>1.4630000000000001</v>
      </c>
    </row>
    <row r="529" spans="2:10" ht="15" thickTop="1">
      <c r="B529" s="2093" t="s">
        <v>1687</v>
      </c>
      <c r="C529" s="2093"/>
      <c r="D529" s="2093"/>
      <c r="E529" s="2093"/>
      <c r="F529" s="2093"/>
      <c r="G529" s="2093"/>
      <c r="H529" s="2093"/>
      <c r="I529" s="2093"/>
      <c r="J529" s="2093"/>
    </row>
    <row r="530" spans="2:10">
      <c r="B530" s="2094"/>
      <c r="C530" s="2094"/>
      <c r="D530" s="2094"/>
      <c r="E530" s="2094"/>
      <c r="F530" s="2094"/>
      <c r="G530" s="2094"/>
      <c r="H530" s="2094"/>
      <c r="I530" s="2094"/>
      <c r="J530" s="2094"/>
    </row>
    <row r="531" spans="2:10">
      <c r="B531" s="2096" t="s">
        <v>228</v>
      </c>
      <c r="C531" s="2096"/>
      <c r="D531" s="2096"/>
      <c r="E531" s="2096"/>
      <c r="F531" s="2096"/>
      <c r="G531" s="2096"/>
      <c r="H531" s="2096"/>
      <c r="I531" s="2096"/>
      <c r="J531" s="2096"/>
    </row>
    <row r="532" spans="2:10">
      <c r="B532" s="1176" t="s">
        <v>227</v>
      </c>
      <c r="C532" s="1158"/>
      <c r="D532" s="1158"/>
      <c r="E532" s="1158"/>
      <c r="F532" s="1158"/>
      <c r="G532" s="1158"/>
      <c r="H532" s="1158"/>
      <c r="I532" s="1158"/>
      <c r="J532" s="1158"/>
    </row>
    <row r="533" spans="2:10">
      <c r="B533" s="1177" t="s">
        <v>127</v>
      </c>
      <c r="C533" s="1158"/>
      <c r="D533" s="1158"/>
      <c r="E533" s="1158"/>
      <c r="F533" s="1158"/>
      <c r="G533" s="1158"/>
      <c r="H533" s="1158"/>
      <c r="I533" s="1158"/>
      <c r="J533" s="1158"/>
    </row>
    <row r="534" spans="2:10">
      <c r="B534" s="1177"/>
      <c r="C534" s="1158"/>
      <c r="D534" s="1158"/>
      <c r="E534" s="1158"/>
      <c r="F534" s="1158"/>
      <c r="G534" s="1158"/>
      <c r="H534" s="1158"/>
      <c r="I534" s="1158"/>
      <c r="J534" s="1158"/>
    </row>
    <row r="535" spans="2:10">
      <c r="B535" s="1178"/>
      <c r="C535" s="1179">
        <v>2014</v>
      </c>
      <c r="D535" s="1179">
        <v>2015</v>
      </c>
      <c r="E535" s="1179">
        <v>2016</v>
      </c>
      <c r="F535" s="1179">
        <v>2017</v>
      </c>
      <c r="G535" s="1179">
        <v>2018</v>
      </c>
      <c r="H535" s="1179">
        <v>2019</v>
      </c>
      <c r="I535" s="1179">
        <v>2020</v>
      </c>
      <c r="J535" s="1179">
        <v>2021</v>
      </c>
    </row>
    <row r="536" spans="2:10">
      <c r="B536" s="1180" t="s">
        <v>1671</v>
      </c>
      <c r="C536" s="1158"/>
      <c r="D536" s="1158"/>
      <c r="E536" s="1158"/>
      <c r="F536" s="1158"/>
      <c r="G536" s="1158"/>
      <c r="H536" s="1158"/>
      <c r="I536" s="1158"/>
      <c r="J536" s="1158"/>
    </row>
    <row r="537" spans="2:10">
      <c r="B537" s="1181" t="s">
        <v>231</v>
      </c>
      <c r="C537" s="1182">
        <f>SUM(C538:C547)</f>
        <v>50376.82935570689</v>
      </c>
      <c r="D537" s="1182">
        <f t="shared" ref="D537:J537" si="33">SUM(D538:D547)</f>
        <v>54064.628973641513</v>
      </c>
      <c r="E537" s="1182">
        <f t="shared" si="33"/>
        <v>49026.687501671906</v>
      </c>
      <c r="F537" s="1182">
        <f t="shared" si="33"/>
        <v>46995.026247020331</v>
      </c>
      <c r="G537" s="1182">
        <f t="shared" si="33"/>
        <v>56705.758551230894</v>
      </c>
      <c r="H537" s="1182">
        <f t="shared" si="33"/>
        <v>56583.50525552981</v>
      </c>
      <c r="I537" s="1182">
        <f t="shared" si="33"/>
        <v>34163.709150281647</v>
      </c>
      <c r="J537" s="1182">
        <f t="shared" si="33"/>
        <v>34435.732314764187</v>
      </c>
    </row>
    <row r="538" spans="2:10">
      <c r="B538" s="1183" t="s">
        <v>1680</v>
      </c>
      <c r="C538" s="1182">
        <v>7800.8046187526234</v>
      </c>
      <c r="D538" s="1182">
        <v>8272.2353352193823</v>
      </c>
      <c r="E538" s="1182">
        <v>8737.3401298364297</v>
      </c>
      <c r="F538" s="1182">
        <v>9817.2933541519451</v>
      </c>
      <c r="G538" s="1182">
        <v>10840.042879902792</v>
      </c>
      <c r="H538" s="1182">
        <v>11297.161019790467</v>
      </c>
      <c r="I538" s="1182">
        <v>6641.9226801201221</v>
      </c>
      <c r="J538" s="1182">
        <v>5389.9665999434774</v>
      </c>
    </row>
    <row r="539" spans="2:10">
      <c r="B539" s="1183" t="s">
        <v>118</v>
      </c>
      <c r="C539" s="1182">
        <v>104.18406048369802</v>
      </c>
      <c r="D539" s="1182">
        <v>42.401929585435759</v>
      </c>
      <c r="E539" s="1182">
        <v>39.792797548277676</v>
      </c>
      <c r="F539" s="1182">
        <v>57.71519318068983</v>
      </c>
      <c r="G539" s="1182">
        <v>51.650979023975815</v>
      </c>
      <c r="H539" s="1182">
        <v>35.743264403623236</v>
      </c>
      <c r="I539" s="1182">
        <v>31.598467408353141</v>
      </c>
      <c r="J539" s="1182">
        <v>34.385911024314709</v>
      </c>
    </row>
    <row r="540" spans="2:10">
      <c r="B540" s="1183" t="s">
        <v>118</v>
      </c>
      <c r="C540" s="1182">
        <v>162.08280824732245</v>
      </c>
      <c r="D540" s="1182">
        <v>170.2371430589327</v>
      </c>
      <c r="E540" s="1182">
        <v>173.99984861083936</v>
      </c>
      <c r="F540" s="1182">
        <v>245.09181752965776</v>
      </c>
      <c r="G540" s="1182">
        <v>272.01016304582021</v>
      </c>
      <c r="H540" s="1182">
        <v>173.80156274169966</v>
      </c>
      <c r="I540" s="1182">
        <v>87.633520859826945</v>
      </c>
      <c r="J540" s="1182">
        <v>122.37671961033601</v>
      </c>
    </row>
    <row r="541" spans="2:10">
      <c r="B541" s="1183" t="s">
        <v>1681</v>
      </c>
      <c r="C541" s="1182">
        <v>5402.5721940047506</v>
      </c>
      <c r="D541" s="1182">
        <v>8014.6394253660646</v>
      </c>
      <c r="E541" s="1182">
        <v>7438.4131913072397</v>
      </c>
      <c r="F541" s="1182">
        <v>6588.400092036205</v>
      </c>
      <c r="G541" s="1182">
        <v>5182.9435477248153</v>
      </c>
      <c r="H541" s="1182">
        <v>10518.655172971348</v>
      </c>
      <c r="I541" s="1182">
        <v>9710.1889056636446</v>
      </c>
      <c r="J541" s="1182">
        <v>14135.328068727245</v>
      </c>
    </row>
    <row r="542" spans="2:10">
      <c r="B542" s="1183" t="s">
        <v>1682</v>
      </c>
      <c r="C542" s="1182">
        <v>8.4520671065533666</v>
      </c>
      <c r="D542" s="1182">
        <v>23.856162076484171</v>
      </c>
      <c r="E542" s="1182">
        <v>36.147210100664637</v>
      </c>
      <c r="F542" s="1182">
        <v>28.771811086254573</v>
      </c>
      <c r="G542" s="1182">
        <v>8.0308630237758987</v>
      </c>
      <c r="H542" s="1182">
        <v>12.455589648014497</v>
      </c>
      <c r="I542" s="1182">
        <v>7.0504526889165291</v>
      </c>
      <c r="J542" s="1182">
        <v>25.243996518247599</v>
      </c>
    </row>
    <row r="543" spans="2:10">
      <c r="B543" s="1183" t="s">
        <v>1683</v>
      </c>
      <c r="C543" s="1182">
        <v>16079.102923981887</v>
      </c>
      <c r="D543" s="1182">
        <v>18638.602977920233</v>
      </c>
      <c r="E543" s="1182">
        <v>18417.773074310317</v>
      </c>
      <c r="F543" s="1182">
        <v>17846.749436914244</v>
      </c>
      <c r="G543" s="1182">
        <v>21179.922223954058</v>
      </c>
      <c r="H543" s="1182">
        <v>18612.288385828771</v>
      </c>
      <c r="I543" s="1182">
        <v>13518.344815749128</v>
      </c>
      <c r="J543" s="1182">
        <v>10244.353570820738</v>
      </c>
    </row>
    <row r="544" spans="2:10">
      <c r="B544" s="1183" t="s">
        <v>1684</v>
      </c>
      <c r="C544" s="1182">
        <v>20780.549623032777</v>
      </c>
      <c r="D544" s="1182">
        <v>18857.102102061352</v>
      </c>
      <c r="E544" s="1182">
        <v>14152.739915342798</v>
      </c>
      <c r="F544" s="1182">
        <v>12365.589657845543</v>
      </c>
      <c r="G544" s="1182">
        <v>19122.775571937684</v>
      </c>
      <c r="H544" s="1182">
        <v>15889.955797438088</v>
      </c>
      <c r="I544" s="1182">
        <v>4161.1602459826445</v>
      </c>
      <c r="J544" s="1182">
        <v>4426.6867313977391</v>
      </c>
    </row>
    <row r="545" spans="2:10">
      <c r="B545" s="1183" t="s">
        <v>1685</v>
      </c>
      <c r="C545" s="1182">
        <v>0</v>
      </c>
      <c r="D545" s="1182">
        <v>0</v>
      </c>
      <c r="E545" s="1182">
        <v>0</v>
      </c>
      <c r="F545" s="1182">
        <v>0</v>
      </c>
      <c r="G545" s="1182">
        <v>0</v>
      </c>
      <c r="H545" s="1182">
        <v>0</v>
      </c>
      <c r="I545" s="1182">
        <v>0</v>
      </c>
      <c r="J545" s="1182">
        <v>6.5612094247934047</v>
      </c>
    </row>
    <row r="546" spans="2:10">
      <c r="B546" s="1183" t="s">
        <v>1686</v>
      </c>
      <c r="C546" s="1182">
        <v>38.789483005081671</v>
      </c>
      <c r="D546" s="1182">
        <v>45.43377898998601</v>
      </c>
      <c r="E546" s="1182">
        <v>30.481334615341094</v>
      </c>
      <c r="F546" s="1182">
        <v>45.414884275793696</v>
      </c>
      <c r="G546" s="1182">
        <v>48.38232261797345</v>
      </c>
      <c r="H546" s="1182">
        <v>43.444462707798863</v>
      </c>
      <c r="I546" s="1182">
        <v>5.8100618090079177</v>
      </c>
      <c r="J546" s="1182">
        <v>50.829507297294711</v>
      </c>
    </row>
    <row r="547" spans="2:10">
      <c r="B547" s="1183" t="s">
        <v>496</v>
      </c>
      <c r="C547" s="1182">
        <v>0.29157709220029043</v>
      </c>
      <c r="D547" s="1182">
        <v>0.12011936364129344</v>
      </c>
      <c r="E547" s="1182">
        <v>0</v>
      </c>
      <c r="F547" s="1182">
        <v>0</v>
      </c>
      <c r="G547" s="1182">
        <v>0</v>
      </c>
      <c r="H547" s="1182">
        <v>0</v>
      </c>
      <c r="I547" s="1182">
        <v>0</v>
      </c>
      <c r="J547" s="1182">
        <v>0</v>
      </c>
    </row>
    <row r="548" spans="2:10">
      <c r="B548" s="1184"/>
      <c r="C548" s="1185"/>
      <c r="D548" s="1185"/>
      <c r="E548" s="1185"/>
      <c r="F548" s="1185"/>
      <c r="G548" s="1185"/>
      <c r="H548" s="1185"/>
      <c r="I548" s="1185"/>
      <c r="J548" s="1185"/>
    </row>
    <row r="549" spans="2:10">
      <c r="B549" s="1186" t="s">
        <v>230</v>
      </c>
      <c r="C549" s="1174">
        <v>0</v>
      </c>
      <c r="D549" s="1174">
        <v>0</v>
      </c>
      <c r="E549" s="1174">
        <v>0</v>
      </c>
      <c r="F549" s="1174">
        <v>0</v>
      </c>
      <c r="G549" s="1174">
        <v>0</v>
      </c>
      <c r="H549" s="1174">
        <v>0</v>
      </c>
      <c r="I549" s="1174">
        <v>0</v>
      </c>
      <c r="J549" s="1174">
        <v>0</v>
      </c>
    </row>
    <row r="550" spans="2:10">
      <c r="B550" s="1184" t="s">
        <v>169</v>
      </c>
      <c r="C550" s="1174">
        <v>0</v>
      </c>
      <c r="D550" s="1174">
        <v>0</v>
      </c>
      <c r="E550" s="1174">
        <v>0</v>
      </c>
      <c r="F550" s="1174">
        <v>0</v>
      </c>
      <c r="G550" s="1174">
        <v>0</v>
      </c>
      <c r="H550" s="1174">
        <v>0</v>
      </c>
      <c r="I550" s="1174">
        <v>0</v>
      </c>
      <c r="J550" s="1174">
        <v>0</v>
      </c>
    </row>
    <row r="551" spans="2:10">
      <c r="B551" s="1184" t="s">
        <v>168</v>
      </c>
      <c r="C551" s="1174">
        <v>0</v>
      </c>
      <c r="D551" s="1174">
        <v>0</v>
      </c>
      <c r="E551" s="1174">
        <v>0</v>
      </c>
      <c r="F551" s="1174">
        <v>0</v>
      </c>
      <c r="G551" s="1174">
        <v>0</v>
      </c>
      <c r="H551" s="1174">
        <v>0</v>
      </c>
      <c r="I551" s="1174">
        <v>0</v>
      </c>
      <c r="J551" s="1174">
        <v>0</v>
      </c>
    </row>
    <row r="552" spans="2:10">
      <c r="B552" s="1184" t="s">
        <v>167</v>
      </c>
      <c r="C552" s="1174">
        <v>0</v>
      </c>
      <c r="D552" s="1174">
        <v>0</v>
      </c>
      <c r="E552" s="1174">
        <v>0</v>
      </c>
      <c r="F552" s="1174">
        <v>0</v>
      </c>
      <c r="G552" s="1174">
        <v>0</v>
      </c>
      <c r="H552" s="1174">
        <v>0</v>
      </c>
      <c r="I552" s="1174">
        <v>0</v>
      </c>
      <c r="J552" s="1174">
        <v>0</v>
      </c>
    </row>
    <row r="553" spans="2:10">
      <c r="B553" s="1184" t="s">
        <v>166</v>
      </c>
      <c r="C553" s="1174">
        <v>0</v>
      </c>
      <c r="D553" s="1174">
        <v>0</v>
      </c>
      <c r="E553" s="1174">
        <v>0</v>
      </c>
      <c r="F553" s="1174">
        <v>0</v>
      </c>
      <c r="G553" s="1174">
        <v>0</v>
      </c>
      <c r="H553" s="1174">
        <v>0</v>
      </c>
      <c r="I553" s="1174">
        <v>0</v>
      </c>
      <c r="J553" s="1174">
        <v>0</v>
      </c>
    </row>
    <row r="554" spans="2:10">
      <c r="B554" s="1184" t="s">
        <v>165</v>
      </c>
      <c r="C554" s="1174">
        <v>0</v>
      </c>
      <c r="D554" s="1174">
        <v>0</v>
      </c>
      <c r="E554" s="1174">
        <v>0</v>
      </c>
      <c r="F554" s="1174">
        <v>0</v>
      </c>
      <c r="G554" s="1174">
        <v>0</v>
      </c>
      <c r="H554" s="1174">
        <v>0</v>
      </c>
      <c r="I554" s="1174">
        <v>0</v>
      </c>
      <c r="J554" s="1174">
        <v>0</v>
      </c>
    </row>
    <row r="555" spans="2:10">
      <c r="B555" s="1184" t="s">
        <v>164</v>
      </c>
      <c r="C555" s="1174">
        <v>0</v>
      </c>
      <c r="D555" s="1174">
        <v>0</v>
      </c>
      <c r="E555" s="1174">
        <v>0</v>
      </c>
      <c r="F555" s="1174">
        <v>0</v>
      </c>
      <c r="G555" s="1174">
        <v>0</v>
      </c>
      <c r="H555" s="1174">
        <v>0</v>
      </c>
      <c r="I555" s="1174">
        <v>0</v>
      </c>
      <c r="J555" s="1174">
        <v>0</v>
      </c>
    </row>
    <row r="556" spans="2:10">
      <c r="B556" s="1184"/>
      <c r="C556" s="1174"/>
      <c r="D556" s="1174"/>
      <c r="E556" s="1174"/>
      <c r="F556" s="1174"/>
      <c r="G556" s="1174"/>
      <c r="H556" s="1174"/>
      <c r="I556" s="1174"/>
      <c r="J556" s="1174"/>
    </row>
    <row r="557" spans="2:10">
      <c r="B557" s="1718" t="s">
        <v>1675</v>
      </c>
      <c r="C557" s="1174"/>
      <c r="D557" s="1174"/>
      <c r="E557" s="1174"/>
      <c r="F557" s="1174"/>
      <c r="G557" s="1174"/>
      <c r="H557" s="1174"/>
      <c r="I557" s="1174"/>
      <c r="J557" s="1174"/>
    </row>
    <row r="558" spans="2:10">
      <c r="B558" s="1183" t="s">
        <v>1680</v>
      </c>
      <c r="C558" s="1174">
        <v>0</v>
      </c>
      <c r="D558" s="1174">
        <v>0</v>
      </c>
      <c r="E558" s="1174">
        <v>64</v>
      </c>
      <c r="F558" s="1174">
        <v>403.20677677025725</v>
      </c>
      <c r="G558" s="1174">
        <v>209.70028553110058</v>
      </c>
      <c r="H558" s="1174">
        <v>1403.5826355540787</v>
      </c>
      <c r="I558" s="1174">
        <v>2789.9755788729794</v>
      </c>
      <c r="J558" s="1174">
        <v>3740.997497133354</v>
      </c>
    </row>
    <row r="559" spans="2:10" ht="15" thickBot="1">
      <c r="B559" s="1140"/>
      <c r="C559" s="1170"/>
      <c r="D559" s="1170"/>
      <c r="E559" s="1170"/>
      <c r="F559" s="1170"/>
      <c r="G559" s="1170"/>
      <c r="H559" s="1170"/>
      <c r="I559" s="1170"/>
      <c r="J559" s="1170"/>
    </row>
    <row r="560" spans="2:10" ht="15" thickTop="1">
      <c r="B560" s="2093" t="s">
        <v>1688</v>
      </c>
      <c r="C560" s="2093"/>
      <c r="D560" s="2093"/>
      <c r="E560" s="2093"/>
      <c r="F560" s="2093"/>
      <c r="G560" s="2093"/>
      <c r="H560" s="2093"/>
      <c r="I560" s="2093"/>
      <c r="J560" s="2093"/>
    </row>
    <row r="561" spans="2:10">
      <c r="B561" s="2094"/>
      <c r="C561" s="2094"/>
      <c r="D561" s="2094"/>
      <c r="E561" s="2094"/>
      <c r="F561" s="2094"/>
      <c r="G561" s="2094"/>
      <c r="H561" s="2094"/>
      <c r="I561" s="2094"/>
      <c r="J561" s="2094"/>
    </row>
    <row r="562" spans="2:10">
      <c r="B562" s="403"/>
    </row>
    <row r="563" spans="2:10">
      <c r="B563" s="2081" t="s">
        <v>219</v>
      </c>
      <c r="C563" s="2081"/>
      <c r="D563" s="2081"/>
      <c r="E563" s="2081"/>
      <c r="F563" s="2081"/>
      <c r="G563" s="2081"/>
      <c r="H563" s="2081"/>
      <c r="I563" s="2081"/>
      <c r="J563" s="2081"/>
    </row>
    <row r="564" spans="2:10">
      <c r="B564" s="1049" t="s">
        <v>218</v>
      </c>
    </row>
    <row r="565" spans="2:10">
      <c r="B565" s="1070" t="s">
        <v>269</v>
      </c>
    </row>
    <row r="566" spans="2:10">
      <c r="B566" s="1050"/>
    </row>
    <row r="567" spans="2:10">
      <c r="B567" s="1051"/>
      <c r="C567" s="1052">
        <v>2014</v>
      </c>
      <c r="D567" s="1052">
        <v>2015</v>
      </c>
      <c r="E567" s="1052">
        <v>2016</v>
      </c>
      <c r="F567" s="1052">
        <v>2017</v>
      </c>
      <c r="G567" s="1052">
        <v>2018</v>
      </c>
      <c r="H567" s="1052">
        <v>2019</v>
      </c>
      <c r="I567" s="1052">
        <v>2020</v>
      </c>
      <c r="J567" s="1052">
        <v>2021</v>
      </c>
    </row>
    <row r="568" spans="2:10">
      <c r="B568" s="1187" t="s">
        <v>1689</v>
      </c>
      <c r="C568" s="1188"/>
      <c r="D568" s="1188"/>
      <c r="E568" s="1188"/>
      <c r="F568" s="1188"/>
      <c r="G568" s="1188"/>
      <c r="H568" s="1188"/>
      <c r="I568" s="1188"/>
      <c r="J568" s="1188"/>
    </row>
    <row r="569" spans="2:10">
      <c r="B569" s="1189" t="s">
        <v>217</v>
      </c>
      <c r="C569" s="1168">
        <v>28</v>
      </c>
      <c r="D569" s="1168">
        <v>28</v>
      </c>
      <c r="E569" s="1168">
        <v>28</v>
      </c>
      <c r="F569" s="1168">
        <v>28</v>
      </c>
      <c r="G569" s="1168">
        <v>23</v>
      </c>
      <c r="H569" s="1168">
        <v>23</v>
      </c>
      <c r="I569" s="1168">
        <v>23</v>
      </c>
      <c r="J569" s="1168">
        <v>23</v>
      </c>
    </row>
    <row r="570" spans="2:10">
      <c r="B570" s="1190" t="s">
        <v>150</v>
      </c>
      <c r="C570" s="1168"/>
      <c r="D570" s="1168"/>
      <c r="E570" s="1168">
        <v>1</v>
      </c>
      <c r="F570" s="1168">
        <v>1</v>
      </c>
      <c r="G570" s="1168">
        <v>1</v>
      </c>
      <c r="H570" s="1168">
        <v>1</v>
      </c>
      <c r="I570" s="1168">
        <v>1</v>
      </c>
      <c r="J570" s="1168">
        <v>1</v>
      </c>
    </row>
    <row r="571" spans="2:10">
      <c r="B571" s="1190" t="s">
        <v>214</v>
      </c>
      <c r="C571" s="1168"/>
      <c r="D571" s="1168"/>
      <c r="E571" s="1168"/>
      <c r="F571" s="1168"/>
      <c r="G571" s="1168"/>
      <c r="H571" s="1168"/>
      <c r="I571" s="1168"/>
      <c r="J571" s="1168"/>
    </row>
    <row r="572" spans="2:10">
      <c r="B572" s="1190" t="s">
        <v>147</v>
      </c>
      <c r="C572" s="1168">
        <v>12</v>
      </c>
      <c r="D572" s="1168">
        <v>12</v>
      </c>
      <c r="E572" s="1168">
        <v>11</v>
      </c>
      <c r="F572" s="1168">
        <v>11</v>
      </c>
      <c r="G572" s="1168">
        <v>9</v>
      </c>
      <c r="H572" s="1168">
        <v>9</v>
      </c>
      <c r="I572" s="1168">
        <v>9</v>
      </c>
      <c r="J572" s="1168">
        <v>9</v>
      </c>
    </row>
    <row r="573" spans="2:10">
      <c r="B573" s="1190" t="s">
        <v>146</v>
      </c>
      <c r="C573" s="1168">
        <v>16</v>
      </c>
      <c r="D573" s="1168">
        <v>16</v>
      </c>
      <c r="E573" s="1168">
        <v>16</v>
      </c>
      <c r="F573" s="1168">
        <v>16</v>
      </c>
      <c r="G573" s="1168">
        <v>13</v>
      </c>
      <c r="H573" s="1168">
        <v>13</v>
      </c>
      <c r="I573" s="1168">
        <v>13</v>
      </c>
      <c r="J573" s="1168">
        <v>13</v>
      </c>
    </row>
    <row r="574" spans="2:10">
      <c r="B574" s="1190"/>
      <c r="C574" s="1168"/>
      <c r="D574" s="1168"/>
      <c r="E574" s="1168"/>
      <c r="F574" s="1168"/>
      <c r="G574" s="1168"/>
      <c r="H574" s="1168"/>
      <c r="I574" s="1168"/>
      <c r="J574" s="1168"/>
    </row>
    <row r="575" spans="2:10">
      <c r="B575" s="1189" t="s">
        <v>216</v>
      </c>
      <c r="C575" s="1168">
        <v>28</v>
      </c>
      <c r="D575" s="1168">
        <v>28</v>
      </c>
      <c r="E575" s="1168">
        <v>28</v>
      </c>
      <c r="F575" s="1168">
        <v>28</v>
      </c>
      <c r="G575" s="1168">
        <v>23</v>
      </c>
      <c r="H575" s="1168">
        <v>23</v>
      </c>
      <c r="I575" s="1168">
        <v>23</v>
      </c>
      <c r="J575" s="1168">
        <v>23</v>
      </c>
    </row>
    <row r="576" spans="2:10">
      <c r="B576" s="1190" t="s">
        <v>150</v>
      </c>
      <c r="C576" s="1168"/>
      <c r="D576" s="1168"/>
      <c r="E576" s="1168">
        <v>1</v>
      </c>
      <c r="F576" s="1168">
        <v>1</v>
      </c>
      <c r="G576" s="1168">
        <v>1</v>
      </c>
      <c r="H576" s="1168">
        <v>1</v>
      </c>
      <c r="I576" s="1168">
        <v>1</v>
      </c>
      <c r="J576" s="1168">
        <v>1</v>
      </c>
    </row>
    <row r="577" spans="2:10">
      <c r="B577" s="1190" t="s">
        <v>214</v>
      </c>
      <c r="C577" s="1168"/>
      <c r="D577" s="1168"/>
      <c r="E577" s="1168"/>
      <c r="F577" s="1168"/>
      <c r="G577" s="1168"/>
      <c r="H577" s="1168"/>
      <c r="I577" s="1168"/>
      <c r="J577" s="1168"/>
    </row>
    <row r="578" spans="2:10">
      <c r="B578" s="1190" t="s">
        <v>147</v>
      </c>
      <c r="C578" s="1168">
        <v>12</v>
      </c>
      <c r="D578" s="1168">
        <v>12</v>
      </c>
      <c r="E578" s="1168">
        <v>11</v>
      </c>
      <c r="F578" s="1168">
        <v>11</v>
      </c>
      <c r="G578" s="1168">
        <v>9</v>
      </c>
      <c r="H578" s="1168">
        <v>9</v>
      </c>
      <c r="I578" s="1168">
        <v>9</v>
      </c>
      <c r="J578" s="1168">
        <v>9</v>
      </c>
    </row>
    <row r="579" spans="2:10">
      <c r="B579" s="1190" t="s">
        <v>146</v>
      </c>
      <c r="C579" s="1168">
        <v>16</v>
      </c>
      <c r="D579" s="1168">
        <v>16</v>
      </c>
      <c r="E579" s="1168">
        <v>16</v>
      </c>
      <c r="F579" s="1168">
        <v>16</v>
      </c>
      <c r="G579" s="1168">
        <v>13</v>
      </c>
      <c r="H579" s="1168">
        <v>13</v>
      </c>
      <c r="I579" s="1168">
        <v>13</v>
      </c>
      <c r="J579" s="1168">
        <v>13</v>
      </c>
    </row>
    <row r="580" spans="2:10">
      <c r="B580" s="1190"/>
      <c r="C580" s="1168"/>
      <c r="D580" s="1168"/>
      <c r="E580" s="1168"/>
      <c r="F580" s="1168"/>
      <c r="G580" s="1168"/>
      <c r="H580" s="1168"/>
      <c r="I580" s="1168"/>
      <c r="J580" s="1168"/>
    </row>
    <row r="581" spans="2:10">
      <c r="B581" s="1189" t="s">
        <v>215</v>
      </c>
      <c r="C581" s="1168">
        <v>0</v>
      </c>
      <c r="D581" s="1168">
        <v>0</v>
      </c>
      <c r="E581" s="1168">
        <v>0</v>
      </c>
      <c r="F581" s="1168">
        <v>0</v>
      </c>
      <c r="G581" s="1168">
        <v>0</v>
      </c>
      <c r="H581" s="1168">
        <v>0</v>
      </c>
      <c r="I581" s="1168">
        <v>0</v>
      </c>
      <c r="J581" s="1168">
        <v>0</v>
      </c>
    </row>
    <row r="582" spans="2:10">
      <c r="B582" s="1190" t="s">
        <v>150</v>
      </c>
      <c r="C582" s="1168"/>
      <c r="D582" s="1168"/>
      <c r="E582" s="1168"/>
      <c r="F582" s="1168"/>
      <c r="G582" s="1168"/>
      <c r="H582" s="1168"/>
      <c r="I582" s="1168"/>
      <c r="J582" s="1168"/>
    </row>
    <row r="583" spans="2:10">
      <c r="B583" s="1190" t="s">
        <v>214</v>
      </c>
      <c r="C583" s="1168"/>
      <c r="D583" s="1168"/>
      <c r="E583" s="1168"/>
      <c r="F583" s="1168"/>
      <c r="G583" s="1168"/>
      <c r="H583" s="1168"/>
      <c r="I583" s="1168"/>
      <c r="J583" s="1168"/>
    </row>
    <row r="584" spans="2:10">
      <c r="B584" s="1190" t="s">
        <v>147</v>
      </c>
      <c r="C584" s="1168"/>
      <c r="D584" s="1168"/>
      <c r="E584" s="1168"/>
      <c r="F584" s="1168"/>
      <c r="G584" s="1168"/>
      <c r="H584" s="1168"/>
      <c r="I584" s="1168"/>
      <c r="J584" s="1168"/>
    </row>
    <row r="585" spans="2:10">
      <c r="B585" s="1190" t="s">
        <v>146</v>
      </c>
      <c r="C585" s="1168"/>
      <c r="D585" s="1168"/>
      <c r="E585" s="1168"/>
      <c r="F585" s="1168"/>
      <c r="G585" s="1168"/>
      <c r="H585" s="1168"/>
      <c r="I585" s="1168"/>
      <c r="J585" s="1168"/>
    </row>
    <row r="586" spans="2:10">
      <c r="B586" s="1190"/>
      <c r="C586" s="1168"/>
      <c r="D586" s="1168"/>
      <c r="E586" s="1168"/>
      <c r="F586" s="1168"/>
      <c r="G586" s="1168"/>
      <c r="H586" s="1168"/>
      <c r="I586" s="1168"/>
      <c r="J586" s="1168"/>
    </row>
    <row r="587" spans="2:10">
      <c r="B587" s="1162" t="s">
        <v>1675</v>
      </c>
      <c r="C587" s="1168"/>
      <c r="D587" s="1188"/>
      <c r="E587" s="1188"/>
      <c r="F587" s="1188"/>
      <c r="G587" s="1188"/>
      <c r="H587" s="1188"/>
      <c r="I587" s="1188"/>
      <c r="J587" s="1188"/>
    </row>
    <row r="588" spans="2:10">
      <c r="B588" s="1191" t="s">
        <v>217</v>
      </c>
      <c r="C588" s="1168">
        <v>28</v>
      </c>
      <c r="D588" s="1168">
        <v>29</v>
      </c>
      <c r="E588" s="1168">
        <v>30</v>
      </c>
      <c r="F588" s="1168">
        <v>31</v>
      </c>
      <c r="G588" s="1168">
        <v>31</v>
      </c>
      <c r="H588" s="1168">
        <v>30</v>
      </c>
      <c r="I588" s="1168">
        <v>31</v>
      </c>
      <c r="J588" s="1168">
        <v>29</v>
      </c>
    </row>
    <row r="589" spans="2:10">
      <c r="B589" s="1192" t="s">
        <v>150</v>
      </c>
      <c r="C589" s="1168">
        <v>1</v>
      </c>
      <c r="D589" s="1168">
        <v>1</v>
      </c>
      <c r="E589" s="1168">
        <v>1</v>
      </c>
      <c r="F589" s="1168">
        <v>1</v>
      </c>
      <c r="G589" s="1168">
        <v>1</v>
      </c>
      <c r="H589" s="1168">
        <v>1</v>
      </c>
      <c r="I589" s="1168">
        <v>1</v>
      </c>
      <c r="J589" s="1168">
        <v>1</v>
      </c>
    </row>
    <row r="590" spans="2:10">
      <c r="B590" s="1192" t="s">
        <v>147</v>
      </c>
      <c r="C590" s="1168">
        <v>9</v>
      </c>
      <c r="D590" s="1168">
        <v>10</v>
      </c>
      <c r="E590" s="1168">
        <v>11</v>
      </c>
      <c r="F590" s="1168">
        <v>11</v>
      </c>
      <c r="G590" s="1168">
        <v>11</v>
      </c>
      <c r="H590" s="1168">
        <v>11</v>
      </c>
      <c r="I590" s="1168">
        <v>11</v>
      </c>
      <c r="J590" s="1168">
        <v>10</v>
      </c>
    </row>
    <row r="591" spans="2:10">
      <c r="B591" s="1192" t="s">
        <v>146</v>
      </c>
      <c r="C591" s="1168">
        <v>18</v>
      </c>
      <c r="D591" s="1168">
        <v>18</v>
      </c>
      <c r="E591" s="1168">
        <v>18</v>
      </c>
      <c r="F591" s="1168">
        <v>19</v>
      </c>
      <c r="G591" s="1168">
        <v>19</v>
      </c>
      <c r="H591" s="1168">
        <v>18</v>
      </c>
      <c r="I591" s="1168">
        <v>19</v>
      </c>
      <c r="J591" s="1168">
        <v>18</v>
      </c>
    </row>
    <row r="592" spans="2:10">
      <c r="B592" s="1192"/>
      <c r="C592" s="1168"/>
      <c r="D592" s="1168"/>
      <c r="E592" s="1168"/>
      <c r="F592" s="1168"/>
      <c r="G592" s="1168"/>
      <c r="H592" s="1168"/>
      <c r="I592" s="1168"/>
      <c r="J592" s="1168"/>
    </row>
    <row r="593" spans="2:10">
      <c r="B593" s="1191" t="s">
        <v>216</v>
      </c>
      <c r="C593" s="1168">
        <v>28</v>
      </c>
      <c r="D593" s="1168">
        <v>29</v>
      </c>
      <c r="E593" s="1168">
        <v>30</v>
      </c>
      <c r="F593" s="1168">
        <v>31</v>
      </c>
      <c r="G593" s="1168">
        <v>31</v>
      </c>
      <c r="H593" s="1168">
        <v>30</v>
      </c>
      <c r="I593" s="1168">
        <v>31</v>
      </c>
      <c r="J593" s="1168">
        <v>29</v>
      </c>
    </row>
    <row r="594" spans="2:10">
      <c r="B594" s="1192" t="s">
        <v>150</v>
      </c>
      <c r="C594" s="1168">
        <v>1</v>
      </c>
      <c r="D594" s="1168">
        <v>1</v>
      </c>
      <c r="E594" s="1168">
        <v>1</v>
      </c>
      <c r="F594" s="1168">
        <v>1</v>
      </c>
      <c r="G594" s="1168">
        <v>1</v>
      </c>
      <c r="H594" s="1168">
        <v>1</v>
      </c>
      <c r="I594" s="1168">
        <v>1</v>
      </c>
      <c r="J594" s="1168">
        <v>1</v>
      </c>
    </row>
    <row r="595" spans="2:10">
      <c r="B595" s="1192" t="s">
        <v>147</v>
      </c>
      <c r="C595" s="1168">
        <v>9</v>
      </c>
      <c r="D595" s="1168">
        <v>10</v>
      </c>
      <c r="E595" s="1168">
        <v>11</v>
      </c>
      <c r="F595" s="1168">
        <v>11</v>
      </c>
      <c r="G595" s="1168">
        <v>11</v>
      </c>
      <c r="H595" s="1168">
        <v>11</v>
      </c>
      <c r="I595" s="1168">
        <v>11</v>
      </c>
      <c r="J595" s="1168">
        <v>10</v>
      </c>
    </row>
    <row r="596" spans="2:10">
      <c r="B596" s="1192" t="s">
        <v>146</v>
      </c>
      <c r="C596" s="1168">
        <v>18</v>
      </c>
      <c r="D596" s="1168">
        <v>18</v>
      </c>
      <c r="E596" s="1168">
        <v>18</v>
      </c>
      <c r="F596" s="1168">
        <v>19</v>
      </c>
      <c r="G596" s="1168">
        <v>19</v>
      </c>
      <c r="H596" s="1168">
        <v>18</v>
      </c>
      <c r="I596" s="1168">
        <v>19</v>
      </c>
      <c r="J596" s="1168">
        <v>18</v>
      </c>
    </row>
    <row r="597" spans="2:10">
      <c r="B597" s="1192"/>
      <c r="C597" s="1193"/>
      <c r="D597" s="1193"/>
      <c r="E597" s="1193"/>
      <c r="F597" s="1193"/>
      <c r="G597" s="1193"/>
      <c r="H597" s="1193"/>
      <c r="I597" s="1193"/>
      <c r="J597" s="1193"/>
    </row>
    <row r="598" spans="2:10">
      <c r="B598" s="1191" t="s">
        <v>215</v>
      </c>
      <c r="C598" s="1168">
        <v>0</v>
      </c>
      <c r="D598" s="1168">
        <v>0</v>
      </c>
      <c r="E598" s="1168">
        <v>0</v>
      </c>
      <c r="F598" s="1168">
        <v>0</v>
      </c>
      <c r="G598" s="1168">
        <v>0</v>
      </c>
      <c r="H598" s="1168">
        <v>0</v>
      </c>
      <c r="I598" s="1168">
        <v>0</v>
      </c>
      <c r="J598" s="1168">
        <v>0</v>
      </c>
    </row>
    <row r="599" spans="2:10">
      <c r="B599" s="1192" t="s">
        <v>150</v>
      </c>
      <c r="C599" s="1168"/>
      <c r="D599" s="1168"/>
      <c r="E599" s="1168"/>
      <c r="F599" s="1168"/>
      <c r="G599" s="1168"/>
      <c r="H599" s="1168"/>
      <c r="I599" s="1168"/>
      <c r="J599" s="1168"/>
    </row>
    <row r="600" spans="2:10">
      <c r="B600" s="1192" t="s">
        <v>147</v>
      </c>
      <c r="C600" s="1168"/>
      <c r="D600" s="1188"/>
      <c r="E600" s="1188"/>
      <c r="F600" s="1188"/>
      <c r="G600" s="1188"/>
      <c r="H600" s="1188"/>
      <c r="I600" s="1188"/>
      <c r="J600" s="1188"/>
    </row>
    <row r="601" spans="2:10">
      <c r="B601" s="1192" t="s">
        <v>146</v>
      </c>
      <c r="C601" s="1168"/>
      <c r="D601" s="1188"/>
      <c r="E601" s="1188"/>
      <c r="F601" s="1188"/>
      <c r="G601" s="1188"/>
      <c r="H601" s="1188"/>
      <c r="I601" s="1188"/>
      <c r="J601" s="1188"/>
    </row>
    <row r="602" spans="2:10" ht="15" thickBot="1">
      <c r="B602" s="1194"/>
      <c r="C602" s="1195"/>
      <c r="D602" s="1196"/>
      <c r="E602" s="1196"/>
      <c r="F602" s="1196"/>
      <c r="G602" s="1196"/>
      <c r="H602" s="1196"/>
      <c r="I602" s="1196"/>
      <c r="J602" s="1196"/>
    </row>
    <row r="603" spans="2:10" ht="15" thickTop="1">
      <c r="B603" s="2093" t="s">
        <v>1690</v>
      </c>
      <c r="C603" s="2093"/>
      <c r="D603" s="2093"/>
      <c r="E603" s="2093"/>
      <c r="F603" s="2093"/>
      <c r="G603" s="2093"/>
      <c r="H603" s="2093"/>
      <c r="I603" s="2093"/>
      <c r="J603" s="2093"/>
    </row>
    <row r="604" spans="2:10">
      <c r="B604" s="1063"/>
    </row>
    <row r="605" spans="2:10">
      <c r="B605" s="2081" t="s">
        <v>212</v>
      </c>
      <c r="C605" s="2081"/>
      <c r="D605" s="2081"/>
      <c r="E605" s="2081"/>
      <c r="F605" s="2081"/>
      <c r="G605" s="2081"/>
      <c r="H605" s="2081"/>
      <c r="I605" s="2081"/>
      <c r="J605" s="2081"/>
    </row>
    <row r="606" spans="2:10">
      <c r="B606" s="1049" t="s">
        <v>211</v>
      </c>
    </row>
    <row r="607" spans="2:10">
      <c r="B607" s="403" t="s">
        <v>210</v>
      </c>
    </row>
    <row r="608" spans="2:10">
      <c r="B608" s="403"/>
    </row>
    <row r="609" spans="2:10">
      <c r="B609" s="1051"/>
      <c r="C609" s="1052">
        <v>2014</v>
      </c>
      <c r="D609" s="1052">
        <v>2015</v>
      </c>
      <c r="E609" s="1052">
        <v>2016</v>
      </c>
      <c r="F609" s="1052">
        <v>2017</v>
      </c>
      <c r="G609" s="1052">
        <v>2018</v>
      </c>
      <c r="H609" s="1052">
        <v>2019</v>
      </c>
      <c r="I609" s="1052">
        <v>2020</v>
      </c>
      <c r="J609" s="1052">
        <v>2021</v>
      </c>
    </row>
    <row r="610" spans="2:10">
      <c r="B610" s="450" t="s">
        <v>1671</v>
      </c>
    </row>
    <row r="611" spans="2:10">
      <c r="B611" s="1099" t="s">
        <v>209</v>
      </c>
      <c r="C611" s="1145">
        <v>90588</v>
      </c>
      <c r="D611" s="1145">
        <v>96957</v>
      </c>
      <c r="E611" s="1145">
        <v>89831</v>
      </c>
      <c r="F611" s="1145">
        <v>84435</v>
      </c>
      <c r="G611" s="1145">
        <v>101674.99999999999</v>
      </c>
      <c r="H611" s="1145">
        <v>104476</v>
      </c>
      <c r="I611" s="1145">
        <v>69058</v>
      </c>
      <c r="J611" s="1145">
        <v>62324</v>
      </c>
    </row>
    <row r="612" spans="2:10">
      <c r="B612" s="1099"/>
      <c r="C612" s="1145">
        <v>0</v>
      </c>
      <c r="D612" s="1145">
        <v>0</v>
      </c>
      <c r="E612" s="1145">
        <v>0</v>
      </c>
      <c r="F612" s="1145">
        <v>0</v>
      </c>
      <c r="G612" s="1145">
        <v>0</v>
      </c>
      <c r="H612" s="1145">
        <v>0</v>
      </c>
      <c r="I612" s="1145">
        <v>0</v>
      </c>
      <c r="J612" s="1145">
        <v>0</v>
      </c>
    </row>
    <row r="613" spans="2:10">
      <c r="B613" s="1099" t="s">
        <v>208</v>
      </c>
      <c r="C613" s="1145">
        <v>90588</v>
      </c>
      <c r="D613" s="1145">
        <v>96957.000000000015</v>
      </c>
      <c r="E613" s="1145">
        <v>89831</v>
      </c>
      <c r="F613" s="1145">
        <v>84435</v>
      </c>
      <c r="G613" s="1145">
        <v>101674.99999999999</v>
      </c>
      <c r="H613" s="1145">
        <v>104476</v>
      </c>
      <c r="I613" s="1145">
        <v>69058</v>
      </c>
      <c r="J613" s="1145">
        <v>62324</v>
      </c>
    </row>
    <row r="614" spans="2:10">
      <c r="B614" s="1140" t="s">
        <v>121</v>
      </c>
      <c r="C614" s="1145">
        <v>81095</v>
      </c>
      <c r="D614" s="1145">
        <v>87286</v>
      </c>
      <c r="E614" s="1145">
        <v>80905</v>
      </c>
      <c r="F614" s="1145">
        <v>75138</v>
      </c>
      <c r="G614" s="1145">
        <v>91216</v>
      </c>
      <c r="H614" s="1145">
        <v>95208</v>
      </c>
      <c r="I614" s="1145">
        <v>62641</v>
      </c>
      <c r="J614" s="1145">
        <v>56259</v>
      </c>
    </row>
    <row r="615" spans="2:10">
      <c r="B615" s="1197" t="s">
        <v>120</v>
      </c>
      <c r="C615" s="1145">
        <v>7982</v>
      </c>
      <c r="D615" s="1145">
        <v>5721</v>
      </c>
      <c r="E615" s="1145">
        <v>6562</v>
      </c>
      <c r="F615" s="1145">
        <v>7572</v>
      </c>
      <c r="G615" s="1145">
        <v>8023</v>
      </c>
      <c r="H615" s="1145">
        <v>3078.0000000000005</v>
      </c>
      <c r="I615" s="1145">
        <v>1387</v>
      </c>
      <c r="J615" s="1145">
        <v>927</v>
      </c>
    </row>
    <row r="616" spans="2:10">
      <c r="B616" s="1197" t="s">
        <v>119</v>
      </c>
      <c r="C616" s="1145">
        <v>73113</v>
      </c>
      <c r="D616" s="1145">
        <v>81565</v>
      </c>
      <c r="E616" s="1145">
        <v>74343</v>
      </c>
      <c r="F616" s="1145">
        <v>67566</v>
      </c>
      <c r="G616" s="1145">
        <v>83193</v>
      </c>
      <c r="H616" s="1145">
        <v>92130</v>
      </c>
      <c r="I616" s="1145">
        <v>61254</v>
      </c>
      <c r="J616" s="1145">
        <v>55332</v>
      </c>
    </row>
    <row r="617" spans="2:10">
      <c r="B617" s="1197" t="s">
        <v>172</v>
      </c>
      <c r="C617" s="1145">
        <v>0</v>
      </c>
      <c r="D617" s="1145">
        <v>0</v>
      </c>
      <c r="E617" s="1145">
        <v>0</v>
      </c>
      <c r="F617" s="1145">
        <v>0</v>
      </c>
      <c r="G617" s="1145">
        <v>0</v>
      </c>
      <c r="H617" s="1145">
        <v>0</v>
      </c>
      <c r="I617" s="1145">
        <v>0</v>
      </c>
      <c r="J617" s="1145">
        <v>0</v>
      </c>
    </row>
    <row r="618" spans="2:10">
      <c r="B618" s="1140" t="s">
        <v>118</v>
      </c>
      <c r="C618" s="1145">
        <v>2586</v>
      </c>
      <c r="D618" s="1145">
        <v>2387</v>
      </c>
      <c r="E618" s="1145">
        <v>1882</v>
      </c>
      <c r="F618" s="1145">
        <v>2073</v>
      </c>
      <c r="G618" s="1145">
        <v>2246</v>
      </c>
      <c r="H618" s="1145">
        <v>2331</v>
      </c>
      <c r="I618" s="1145">
        <v>1488</v>
      </c>
      <c r="J618" s="1145">
        <v>1412</v>
      </c>
    </row>
    <row r="619" spans="2:10">
      <c r="B619" s="1140" t="s">
        <v>117</v>
      </c>
      <c r="C619" s="1145">
        <v>6907</v>
      </c>
      <c r="D619" s="1145">
        <v>7284</v>
      </c>
      <c r="E619" s="1145">
        <v>7044</v>
      </c>
      <c r="F619" s="1145">
        <v>7224</v>
      </c>
      <c r="G619" s="1145">
        <v>8213</v>
      </c>
      <c r="H619" s="1145">
        <v>6936.9999999999991</v>
      </c>
      <c r="I619" s="1145">
        <v>4929</v>
      </c>
      <c r="J619" s="1145">
        <v>4653</v>
      </c>
    </row>
    <row r="620" spans="2:10">
      <c r="B620" s="1140"/>
      <c r="C620" s="1145"/>
      <c r="D620" s="1145"/>
      <c r="E620" s="1145"/>
      <c r="F620" s="1145"/>
      <c r="G620" s="1145"/>
      <c r="H620" s="1145"/>
      <c r="I620" s="1145"/>
      <c r="J620" s="1145"/>
    </row>
    <row r="621" spans="2:10">
      <c r="B621" s="1198" t="s">
        <v>205</v>
      </c>
      <c r="C621" s="1145">
        <v>54620</v>
      </c>
      <c r="D621" s="1145">
        <v>57858</v>
      </c>
      <c r="E621" s="1145">
        <v>53368</v>
      </c>
      <c r="F621" s="1145">
        <v>51552</v>
      </c>
      <c r="G621" s="1145">
        <v>62376.000000000007</v>
      </c>
      <c r="H621" s="1145">
        <v>60334</v>
      </c>
      <c r="I621" s="1145">
        <v>41868</v>
      </c>
      <c r="J621" s="1145">
        <v>32814</v>
      </c>
    </row>
    <row r="622" spans="2:10">
      <c r="B622" s="1199" t="s">
        <v>121</v>
      </c>
      <c r="C622" s="1145">
        <v>48016.000000000007</v>
      </c>
      <c r="D622" s="1145">
        <v>51366</v>
      </c>
      <c r="E622" s="1145">
        <v>47590</v>
      </c>
      <c r="F622" s="1145">
        <v>45674</v>
      </c>
      <c r="G622" s="1145">
        <v>55356</v>
      </c>
      <c r="H622" s="1145">
        <v>53450</v>
      </c>
      <c r="I622" s="1145">
        <v>36866</v>
      </c>
      <c r="J622" s="1145">
        <v>28567.999999999996</v>
      </c>
    </row>
    <row r="623" spans="2:10">
      <c r="B623" s="1200" t="s">
        <v>120</v>
      </c>
      <c r="C623" s="1145">
        <v>1758</v>
      </c>
      <c r="D623" s="1145">
        <v>1016</v>
      </c>
      <c r="E623" s="1145">
        <v>1624</v>
      </c>
      <c r="F623" s="1145">
        <v>1466</v>
      </c>
      <c r="G623" s="1145">
        <v>1924</v>
      </c>
      <c r="H623" s="1145">
        <v>494</v>
      </c>
      <c r="I623" s="1145">
        <v>78</v>
      </c>
      <c r="J623" s="1145">
        <v>28</v>
      </c>
    </row>
    <row r="624" spans="2:10">
      <c r="B624" s="1200" t="s">
        <v>119</v>
      </c>
      <c r="C624" s="1145">
        <v>46258</v>
      </c>
      <c r="D624" s="1145">
        <v>50350</v>
      </c>
      <c r="E624" s="1145">
        <v>45966</v>
      </c>
      <c r="F624" s="1145">
        <v>44208</v>
      </c>
      <c r="G624" s="1145">
        <v>53432</v>
      </c>
      <c r="H624" s="1145">
        <v>52956</v>
      </c>
      <c r="I624" s="1145">
        <v>36788</v>
      </c>
      <c r="J624" s="1145">
        <v>28540</v>
      </c>
    </row>
    <row r="625" spans="2:10">
      <c r="B625" s="1200" t="s">
        <v>172</v>
      </c>
      <c r="C625" s="1145">
        <v>0</v>
      </c>
      <c r="D625" s="1145">
        <v>0</v>
      </c>
      <c r="E625" s="1145">
        <v>0</v>
      </c>
      <c r="F625" s="1145">
        <v>0</v>
      </c>
      <c r="G625" s="1145">
        <v>0</v>
      </c>
      <c r="H625" s="1145">
        <v>0</v>
      </c>
      <c r="I625" s="1145">
        <v>0</v>
      </c>
      <c r="J625" s="1145">
        <v>0</v>
      </c>
    </row>
    <row r="626" spans="2:10">
      <c r="B626" s="1199" t="s">
        <v>118</v>
      </c>
      <c r="C626" s="1145">
        <v>1944</v>
      </c>
      <c r="D626" s="1145">
        <v>1804</v>
      </c>
      <c r="E626" s="1145">
        <v>1418</v>
      </c>
      <c r="F626" s="1145">
        <v>1466</v>
      </c>
      <c r="G626" s="1145">
        <v>1688</v>
      </c>
      <c r="H626" s="1145">
        <v>1794</v>
      </c>
      <c r="I626" s="1145">
        <v>996</v>
      </c>
      <c r="J626" s="1145">
        <v>780</v>
      </c>
    </row>
    <row r="627" spans="2:10">
      <c r="B627" s="1199" t="s">
        <v>117</v>
      </c>
      <c r="C627" s="1145">
        <v>4660</v>
      </c>
      <c r="D627" s="1145">
        <v>4688</v>
      </c>
      <c r="E627" s="1145">
        <v>4360</v>
      </c>
      <c r="F627" s="1145">
        <v>4412</v>
      </c>
      <c r="G627" s="1145">
        <v>5332</v>
      </c>
      <c r="H627" s="1145">
        <v>5090</v>
      </c>
      <c r="I627" s="1145">
        <v>4006</v>
      </c>
      <c r="J627" s="1145">
        <v>3466</v>
      </c>
    </row>
    <row r="628" spans="2:10">
      <c r="B628" s="1199"/>
      <c r="C628" s="1145"/>
      <c r="D628" s="1145"/>
      <c r="E628" s="1145"/>
      <c r="F628" s="1145"/>
      <c r="G628" s="1145"/>
      <c r="H628" s="1145"/>
      <c r="I628" s="1145"/>
      <c r="J628" s="1145"/>
    </row>
    <row r="629" spans="2:10">
      <c r="B629" s="1198" t="s">
        <v>204</v>
      </c>
      <c r="C629" s="1145">
        <v>35968</v>
      </c>
      <c r="D629" s="1145">
        <v>39099.000000000007</v>
      </c>
      <c r="E629" s="1145">
        <v>36462.999999999993</v>
      </c>
      <c r="F629" s="1145">
        <v>32882.999999999993</v>
      </c>
      <c r="G629" s="1145">
        <v>39299</v>
      </c>
      <c r="H629" s="1145">
        <v>44142</v>
      </c>
      <c r="I629" s="1145">
        <v>27190.000000000004</v>
      </c>
      <c r="J629" s="1145">
        <v>29510.000000000004</v>
      </c>
    </row>
    <row r="630" spans="2:10">
      <c r="B630" s="1199" t="s">
        <v>121</v>
      </c>
      <c r="C630" s="1145">
        <v>33079</v>
      </c>
      <c r="D630" s="1145">
        <v>35920</v>
      </c>
      <c r="E630" s="1145">
        <v>33315</v>
      </c>
      <c r="F630" s="1145">
        <v>29464</v>
      </c>
      <c r="G630" s="1145">
        <v>35860</v>
      </c>
      <c r="H630" s="1145">
        <v>41758</v>
      </c>
      <c r="I630" s="1145">
        <v>25775.000000000004</v>
      </c>
      <c r="J630" s="1145">
        <v>27691.000000000004</v>
      </c>
    </row>
    <row r="631" spans="2:10">
      <c r="B631" s="1200" t="s">
        <v>120</v>
      </c>
      <c r="C631" s="1145">
        <v>6224</v>
      </c>
      <c r="D631" s="1145">
        <v>4705</v>
      </c>
      <c r="E631" s="1145">
        <v>4938</v>
      </c>
      <c r="F631" s="1145">
        <v>6106</v>
      </c>
      <c r="G631" s="1145">
        <v>6099</v>
      </c>
      <c r="H631" s="1145">
        <v>2584</v>
      </c>
      <c r="I631" s="1145">
        <v>1309</v>
      </c>
      <c r="J631" s="1145">
        <v>899</v>
      </c>
    </row>
    <row r="632" spans="2:10">
      <c r="B632" s="1200" t="s">
        <v>119</v>
      </c>
      <c r="C632" s="1145">
        <v>26855</v>
      </c>
      <c r="D632" s="1145">
        <v>31215</v>
      </c>
      <c r="E632" s="1145">
        <v>28377</v>
      </c>
      <c r="F632" s="1145">
        <v>23358</v>
      </c>
      <c r="G632" s="1145">
        <v>29761</v>
      </c>
      <c r="H632" s="1145">
        <v>39174</v>
      </c>
      <c r="I632" s="1145">
        <v>24466</v>
      </c>
      <c r="J632" s="1145">
        <v>26792</v>
      </c>
    </row>
    <row r="633" spans="2:10">
      <c r="B633" s="1200" t="s">
        <v>172</v>
      </c>
      <c r="C633" s="1145">
        <v>0</v>
      </c>
      <c r="D633" s="1145">
        <v>0</v>
      </c>
      <c r="E633" s="1145">
        <v>0</v>
      </c>
      <c r="F633" s="1145">
        <v>0</v>
      </c>
      <c r="G633" s="1145">
        <v>0</v>
      </c>
      <c r="H633" s="1145">
        <v>0</v>
      </c>
      <c r="I633" s="1145">
        <v>0</v>
      </c>
      <c r="J633" s="1145">
        <v>0</v>
      </c>
    </row>
    <row r="634" spans="2:10">
      <c r="B634" s="1199" t="s">
        <v>118</v>
      </c>
      <c r="C634" s="1145">
        <v>642</v>
      </c>
      <c r="D634" s="1145">
        <v>583</v>
      </c>
      <c r="E634" s="1145">
        <v>464</v>
      </c>
      <c r="F634" s="1145">
        <v>607</v>
      </c>
      <c r="G634" s="1145">
        <v>558</v>
      </c>
      <c r="H634" s="1145">
        <v>537</v>
      </c>
      <c r="I634" s="1145">
        <v>492</v>
      </c>
      <c r="J634" s="1145">
        <v>631.99999999999989</v>
      </c>
    </row>
    <row r="635" spans="2:10">
      <c r="B635" s="1199" t="s">
        <v>117</v>
      </c>
      <c r="C635" s="1145">
        <v>2247</v>
      </c>
      <c r="D635" s="1145">
        <v>2596</v>
      </c>
      <c r="E635" s="1145">
        <v>2684</v>
      </c>
      <c r="F635" s="1145">
        <v>2812</v>
      </c>
      <c r="G635" s="1145">
        <v>2881</v>
      </c>
      <c r="H635" s="1145">
        <v>1847</v>
      </c>
      <c r="I635" s="1145">
        <v>923</v>
      </c>
      <c r="J635" s="1145">
        <v>1186.9999999999993</v>
      </c>
    </row>
    <row r="636" spans="2:10">
      <c r="B636" s="1199"/>
      <c r="C636" s="1121"/>
      <c r="D636" s="1121"/>
      <c r="E636" s="1121"/>
      <c r="F636" s="1121"/>
      <c r="G636" s="1121"/>
      <c r="H636" s="1121"/>
      <c r="I636" s="1121"/>
      <c r="J636" s="1121"/>
    </row>
    <row r="637" spans="2:10">
      <c r="B637" s="1099" t="s">
        <v>203</v>
      </c>
      <c r="C637" s="1145">
        <v>9</v>
      </c>
      <c r="D637" s="1145">
        <v>3</v>
      </c>
      <c r="E637" s="1145">
        <v>0</v>
      </c>
      <c r="F637" s="1145">
        <v>0</v>
      </c>
      <c r="G637" s="1145">
        <v>0</v>
      </c>
      <c r="H637" s="1145">
        <v>0</v>
      </c>
      <c r="I637" s="1145">
        <v>0</v>
      </c>
      <c r="J637" s="1145">
        <v>0</v>
      </c>
    </row>
    <row r="638" spans="2:10">
      <c r="B638" s="1140" t="s">
        <v>169</v>
      </c>
      <c r="C638" s="1145">
        <v>0</v>
      </c>
      <c r="D638" s="1145">
        <v>0</v>
      </c>
      <c r="E638" s="1145">
        <v>0</v>
      </c>
      <c r="F638" s="1145">
        <v>0</v>
      </c>
      <c r="G638" s="1145">
        <v>0</v>
      </c>
      <c r="H638" s="1145">
        <v>0</v>
      </c>
      <c r="I638" s="1145">
        <v>0</v>
      </c>
      <c r="J638" s="1145">
        <v>0</v>
      </c>
    </row>
    <row r="639" spans="2:10">
      <c r="B639" s="1140" t="s">
        <v>168</v>
      </c>
      <c r="C639" s="1145">
        <v>0</v>
      </c>
      <c r="D639" s="1145">
        <v>0</v>
      </c>
      <c r="E639" s="1145">
        <v>0</v>
      </c>
      <c r="F639" s="1145">
        <v>0</v>
      </c>
      <c r="G639" s="1145">
        <v>0</v>
      </c>
      <c r="H639" s="1145">
        <v>0</v>
      </c>
      <c r="I639" s="1145">
        <v>0</v>
      </c>
      <c r="J639" s="1145">
        <v>0</v>
      </c>
    </row>
    <row r="640" spans="2:10">
      <c r="B640" s="1140" t="s">
        <v>167</v>
      </c>
      <c r="C640" s="1145">
        <v>9</v>
      </c>
      <c r="D640" s="1145">
        <v>3</v>
      </c>
      <c r="E640" s="1145">
        <v>0</v>
      </c>
      <c r="F640" s="1145">
        <v>0</v>
      </c>
      <c r="G640" s="1145">
        <v>0</v>
      </c>
      <c r="H640" s="1145">
        <v>0</v>
      </c>
      <c r="I640" s="1145">
        <v>0</v>
      </c>
      <c r="J640" s="1145">
        <v>0</v>
      </c>
    </row>
    <row r="641" spans="2:10">
      <c r="B641" s="1140" t="s">
        <v>166</v>
      </c>
      <c r="C641" s="1145">
        <v>0</v>
      </c>
      <c r="D641" s="1145">
        <v>0</v>
      </c>
      <c r="E641" s="1145">
        <v>0</v>
      </c>
      <c r="F641" s="1145">
        <v>0</v>
      </c>
      <c r="G641" s="1145">
        <v>0</v>
      </c>
      <c r="H641" s="1145">
        <v>0</v>
      </c>
      <c r="I641" s="1145">
        <v>0</v>
      </c>
      <c r="J641" s="1145">
        <v>0</v>
      </c>
    </row>
    <row r="642" spans="2:10">
      <c r="B642" s="1140" t="s">
        <v>165</v>
      </c>
      <c r="C642" s="1145">
        <v>0</v>
      </c>
      <c r="D642" s="1145">
        <v>0</v>
      </c>
      <c r="E642" s="1145">
        <v>0</v>
      </c>
      <c r="F642" s="1145">
        <v>0</v>
      </c>
      <c r="G642" s="1145">
        <v>0</v>
      </c>
      <c r="H642" s="1145">
        <v>0</v>
      </c>
      <c r="I642" s="1145">
        <v>0</v>
      </c>
      <c r="J642" s="1145">
        <v>0</v>
      </c>
    </row>
    <row r="643" spans="2:10">
      <c r="B643" s="1140" t="s">
        <v>164</v>
      </c>
      <c r="C643" s="1145">
        <v>0</v>
      </c>
      <c r="D643" s="1145">
        <v>0</v>
      </c>
      <c r="E643" s="1145">
        <v>0</v>
      </c>
      <c r="F643" s="1145">
        <v>0</v>
      </c>
      <c r="G643" s="1145">
        <v>0</v>
      </c>
      <c r="H643" s="1145">
        <v>0</v>
      </c>
      <c r="I643" s="1145">
        <v>0</v>
      </c>
      <c r="J643" s="1145">
        <v>0</v>
      </c>
    </row>
    <row r="644" spans="2:10">
      <c r="B644" s="1140"/>
      <c r="C644" s="1145"/>
      <c r="D644" s="1145"/>
      <c r="E644" s="1145"/>
      <c r="F644" s="1145"/>
      <c r="G644" s="1145"/>
      <c r="H644" s="1145"/>
      <c r="I644" s="1145"/>
      <c r="J644" s="1145"/>
    </row>
    <row r="645" spans="2:10">
      <c r="B645" s="125" t="s">
        <v>202</v>
      </c>
      <c r="C645" s="1145">
        <v>0</v>
      </c>
      <c r="D645" s="1145">
        <v>0</v>
      </c>
      <c r="E645" s="1145">
        <v>0</v>
      </c>
      <c r="F645" s="1145">
        <v>0</v>
      </c>
      <c r="G645" s="1145">
        <v>0</v>
      </c>
      <c r="H645" s="1145">
        <v>0</v>
      </c>
      <c r="I645" s="1145">
        <v>0</v>
      </c>
      <c r="J645" s="1145">
        <v>0</v>
      </c>
    </row>
    <row r="646" spans="2:10">
      <c r="B646" s="1140" t="s">
        <v>169</v>
      </c>
      <c r="C646" s="1145">
        <v>0</v>
      </c>
      <c r="D646" s="1145">
        <v>0</v>
      </c>
      <c r="E646" s="1145">
        <v>0</v>
      </c>
      <c r="F646" s="1145">
        <v>0</v>
      </c>
      <c r="G646" s="1145">
        <v>0</v>
      </c>
      <c r="H646" s="1145">
        <v>0</v>
      </c>
      <c r="I646" s="1145">
        <v>0</v>
      </c>
      <c r="J646" s="1145">
        <v>0</v>
      </c>
    </row>
    <row r="647" spans="2:10">
      <c r="B647" s="1140" t="s">
        <v>168</v>
      </c>
      <c r="C647" s="1145">
        <v>0</v>
      </c>
      <c r="D647" s="1145">
        <v>0</v>
      </c>
      <c r="E647" s="1145">
        <v>0</v>
      </c>
      <c r="F647" s="1145">
        <v>0</v>
      </c>
      <c r="G647" s="1145">
        <v>0</v>
      </c>
      <c r="H647" s="1145">
        <v>0</v>
      </c>
      <c r="I647" s="1145">
        <v>0</v>
      </c>
      <c r="J647" s="1145">
        <v>0</v>
      </c>
    </row>
    <row r="648" spans="2:10">
      <c r="B648" s="1140" t="s">
        <v>167</v>
      </c>
      <c r="C648" s="1145">
        <v>0</v>
      </c>
      <c r="D648" s="1145">
        <v>0</v>
      </c>
      <c r="E648" s="1145">
        <v>0</v>
      </c>
      <c r="F648" s="1145">
        <v>0</v>
      </c>
      <c r="G648" s="1145">
        <v>0</v>
      </c>
      <c r="H648" s="1145">
        <v>0</v>
      </c>
      <c r="I648" s="1145">
        <v>0</v>
      </c>
      <c r="J648" s="1145">
        <v>0</v>
      </c>
    </row>
    <row r="649" spans="2:10">
      <c r="B649" s="1140" t="s">
        <v>166</v>
      </c>
      <c r="C649" s="1145">
        <v>0</v>
      </c>
      <c r="D649" s="1145">
        <v>0</v>
      </c>
      <c r="E649" s="1145">
        <v>0</v>
      </c>
      <c r="F649" s="1145">
        <v>0</v>
      </c>
      <c r="G649" s="1145">
        <v>0</v>
      </c>
      <c r="H649" s="1145">
        <v>0</v>
      </c>
      <c r="I649" s="1145">
        <v>0</v>
      </c>
      <c r="J649" s="1145">
        <v>0</v>
      </c>
    </row>
    <row r="650" spans="2:10">
      <c r="B650" s="1140" t="s">
        <v>165</v>
      </c>
      <c r="C650" s="1145">
        <v>0</v>
      </c>
      <c r="D650" s="1145">
        <v>0</v>
      </c>
      <c r="E650" s="1145">
        <v>0</v>
      </c>
      <c r="F650" s="1145">
        <v>0</v>
      </c>
      <c r="G650" s="1145">
        <v>0</v>
      </c>
      <c r="H650" s="1145">
        <v>0</v>
      </c>
      <c r="I650" s="1145">
        <v>0</v>
      </c>
      <c r="J650" s="1145">
        <v>0</v>
      </c>
    </row>
    <row r="651" spans="2:10">
      <c r="B651" s="1140" t="s">
        <v>164</v>
      </c>
      <c r="C651" s="1145">
        <v>0</v>
      </c>
      <c r="D651" s="1145">
        <v>0</v>
      </c>
      <c r="E651" s="1145">
        <v>0</v>
      </c>
      <c r="F651" s="1145">
        <v>0</v>
      </c>
      <c r="G651" s="1145">
        <v>0</v>
      </c>
      <c r="H651" s="1145">
        <v>0</v>
      </c>
      <c r="I651" s="1145">
        <v>0</v>
      </c>
      <c r="J651" s="1145">
        <v>0</v>
      </c>
    </row>
    <row r="652" spans="2:10">
      <c r="B652" s="1140"/>
      <c r="C652" s="1195"/>
      <c r="D652" s="1195"/>
      <c r="E652" s="1195"/>
      <c r="F652" s="1195"/>
      <c r="G652" s="1195"/>
      <c r="H652" s="1195"/>
      <c r="I652" s="1195"/>
      <c r="J652" s="1195"/>
    </row>
    <row r="653" spans="2:10" ht="15">
      <c r="B653" s="1154" t="s">
        <v>1691</v>
      </c>
      <c r="C653" s="1148"/>
      <c r="D653" s="1148"/>
      <c r="E653" s="1158"/>
      <c r="F653" s="1158"/>
      <c r="G653" s="1158"/>
      <c r="H653" s="1158"/>
      <c r="I653" s="1158"/>
      <c r="J653" s="1158"/>
    </row>
    <row r="654" spans="2:10">
      <c r="B654" s="424" t="s">
        <v>209</v>
      </c>
      <c r="C654" s="1201">
        <v>0</v>
      </c>
      <c r="D654" s="1201">
        <v>0</v>
      </c>
      <c r="E654" s="1174">
        <v>3.0000000000000001E-3</v>
      </c>
      <c r="F654" s="1174">
        <v>1.7999999999999999E-2</v>
      </c>
      <c r="G654" s="1174">
        <v>2.8000000000000001E-2</v>
      </c>
      <c r="H654" s="1174">
        <v>0.57999999999999996</v>
      </c>
      <c r="I654" s="1174">
        <v>0.94099999999999995</v>
      </c>
      <c r="J654" s="1174">
        <v>1.4630000000000001</v>
      </c>
    </row>
    <row r="655" spans="2:10">
      <c r="B655" s="424"/>
      <c r="C655" s="1201"/>
      <c r="D655" s="1201"/>
      <c r="E655" s="1201"/>
      <c r="F655" s="1201"/>
      <c r="G655" s="1201"/>
      <c r="H655" s="1201"/>
      <c r="I655" s="1201"/>
      <c r="J655" s="1201"/>
    </row>
    <row r="656" spans="2:10">
      <c r="B656" s="424" t="s">
        <v>208</v>
      </c>
      <c r="C656" s="1201">
        <v>0</v>
      </c>
      <c r="D656" s="1201">
        <v>0</v>
      </c>
      <c r="E656" s="1201">
        <v>0</v>
      </c>
      <c r="F656" s="1201">
        <v>0</v>
      </c>
      <c r="G656" s="1201">
        <v>0</v>
      </c>
      <c r="H656" s="1201">
        <v>0</v>
      </c>
      <c r="I656" s="1201">
        <v>0</v>
      </c>
      <c r="J656" s="1201">
        <v>0</v>
      </c>
    </row>
    <row r="657" spans="2:10">
      <c r="B657" s="1202" t="s">
        <v>1692</v>
      </c>
      <c r="C657" s="1201">
        <v>0</v>
      </c>
      <c r="D657" s="1201">
        <v>0</v>
      </c>
      <c r="E657" s="1201">
        <v>0</v>
      </c>
      <c r="F657" s="1201">
        <v>0</v>
      </c>
      <c r="G657" s="1201">
        <v>0</v>
      </c>
      <c r="H657" s="1201">
        <v>0</v>
      </c>
      <c r="I657" s="1201">
        <v>0</v>
      </c>
      <c r="J657" s="1201">
        <v>0</v>
      </c>
    </row>
    <row r="658" spans="2:10">
      <c r="B658" s="1156"/>
      <c r="C658" s="1201"/>
      <c r="D658" s="1201"/>
      <c r="E658" s="1201"/>
      <c r="F658" s="1201"/>
      <c r="G658" s="1201"/>
      <c r="H658" s="1201"/>
      <c r="I658" s="1201"/>
      <c r="J658" s="1201"/>
    </row>
    <row r="659" spans="2:10">
      <c r="B659" s="1203" t="s">
        <v>205</v>
      </c>
      <c r="C659" s="1201"/>
      <c r="D659" s="1201"/>
      <c r="E659" s="1201"/>
      <c r="F659" s="1201"/>
      <c r="G659" s="1201"/>
      <c r="H659" s="1201"/>
      <c r="I659" s="1201"/>
      <c r="J659" s="1201"/>
    </row>
    <row r="660" spans="2:10">
      <c r="B660" s="1202" t="s">
        <v>1692</v>
      </c>
      <c r="C660" s="1201">
        <v>0</v>
      </c>
      <c r="D660" s="1201">
        <v>0</v>
      </c>
      <c r="E660" s="1201">
        <v>0</v>
      </c>
      <c r="F660" s="1201">
        <v>0</v>
      </c>
      <c r="G660" s="1201">
        <v>0</v>
      </c>
      <c r="H660" s="1201">
        <v>0</v>
      </c>
      <c r="I660" s="1201">
        <v>0</v>
      </c>
      <c r="J660" s="1201">
        <v>0</v>
      </c>
    </row>
    <row r="661" spans="2:10">
      <c r="B661" s="1202"/>
      <c r="C661" s="1201"/>
      <c r="D661" s="1201"/>
      <c r="E661" s="1201"/>
      <c r="F661" s="1201"/>
      <c r="G661" s="1201"/>
      <c r="H661" s="1201"/>
      <c r="I661" s="1201"/>
      <c r="J661" s="1201"/>
    </row>
    <row r="662" spans="2:10">
      <c r="B662" s="1203" t="s">
        <v>204</v>
      </c>
      <c r="C662" s="1204"/>
      <c r="D662" s="1201"/>
      <c r="E662" s="1201"/>
      <c r="F662" s="1201"/>
      <c r="G662" s="1201"/>
      <c r="H662" s="1201"/>
      <c r="I662" s="1201"/>
      <c r="J662" s="1201"/>
    </row>
    <row r="663" spans="2:10">
      <c r="B663" s="1202" t="s">
        <v>1692</v>
      </c>
      <c r="C663" s="1201">
        <v>0</v>
      </c>
      <c r="D663" s="1201">
        <v>0</v>
      </c>
      <c r="E663" s="1201">
        <v>0</v>
      </c>
      <c r="F663" s="1201">
        <v>0</v>
      </c>
      <c r="G663" s="1201">
        <v>0</v>
      </c>
      <c r="H663" s="1201">
        <v>0</v>
      </c>
      <c r="I663" s="1201">
        <v>0</v>
      </c>
      <c r="J663" s="1201">
        <v>0</v>
      </c>
    </row>
    <row r="664" spans="2:10">
      <c r="B664" s="1202"/>
      <c r="C664" s="1201"/>
      <c r="D664" s="1201"/>
      <c r="E664" s="1201"/>
      <c r="F664" s="1201"/>
      <c r="G664" s="1201"/>
      <c r="H664" s="1201"/>
      <c r="I664" s="1201"/>
      <c r="J664" s="1201"/>
    </row>
    <row r="665" spans="2:10">
      <c r="B665" s="424" t="s">
        <v>203</v>
      </c>
      <c r="C665" s="1201">
        <v>0</v>
      </c>
      <c r="D665" s="1201">
        <v>0</v>
      </c>
      <c r="E665" s="1201">
        <v>0</v>
      </c>
      <c r="F665" s="1201">
        <v>0</v>
      </c>
      <c r="G665" s="1201">
        <v>0</v>
      </c>
      <c r="H665" s="1201">
        <v>0</v>
      </c>
      <c r="I665" s="1201">
        <v>0</v>
      </c>
      <c r="J665" s="1201">
        <v>0</v>
      </c>
    </row>
    <row r="666" spans="2:10">
      <c r="B666" s="1156" t="s">
        <v>169</v>
      </c>
      <c r="C666" s="1201"/>
      <c r="D666" s="1201"/>
      <c r="E666" s="1201"/>
      <c r="F666" s="1201"/>
      <c r="G666" s="1201"/>
      <c r="H666" s="1201"/>
      <c r="I666" s="1201"/>
      <c r="J666" s="1201"/>
    </row>
    <row r="667" spans="2:10">
      <c r="B667" s="1156" t="s">
        <v>168</v>
      </c>
      <c r="C667" s="1201"/>
      <c r="D667" s="1201"/>
      <c r="E667" s="1201"/>
      <c r="F667" s="1201"/>
      <c r="G667" s="1201"/>
      <c r="H667" s="1201"/>
      <c r="I667" s="1201"/>
      <c r="J667" s="1201"/>
    </row>
    <row r="668" spans="2:10">
      <c r="B668" s="1156" t="s">
        <v>167</v>
      </c>
      <c r="C668" s="1201"/>
      <c r="D668" s="1201"/>
      <c r="E668" s="1201"/>
      <c r="F668" s="1201"/>
      <c r="G668" s="1201"/>
      <c r="H668" s="1201"/>
      <c r="I668" s="1201"/>
      <c r="J668" s="1201"/>
    </row>
    <row r="669" spans="2:10">
      <c r="B669" s="1156" t="s">
        <v>166</v>
      </c>
      <c r="C669" s="1201"/>
      <c r="D669" s="1201"/>
      <c r="E669" s="1201"/>
      <c r="F669" s="1201"/>
      <c r="G669" s="1201"/>
      <c r="H669" s="1201"/>
      <c r="I669" s="1201"/>
      <c r="J669" s="1201"/>
    </row>
    <row r="670" spans="2:10">
      <c r="B670" s="1156" t="s">
        <v>165</v>
      </c>
      <c r="C670" s="1201"/>
      <c r="D670" s="1201"/>
      <c r="E670" s="1201"/>
      <c r="F670" s="1201"/>
      <c r="G670" s="1201"/>
      <c r="H670" s="1201"/>
      <c r="I670" s="1201"/>
      <c r="J670" s="1201"/>
    </row>
    <row r="671" spans="2:10">
      <c r="B671" s="1156" t="s">
        <v>164</v>
      </c>
      <c r="C671" s="1201"/>
      <c r="D671" s="1201"/>
      <c r="E671" s="1201"/>
      <c r="F671" s="1201"/>
      <c r="G671" s="1201"/>
      <c r="H671" s="1201"/>
      <c r="I671" s="1201"/>
      <c r="J671" s="1201"/>
    </row>
    <row r="672" spans="2:10">
      <c r="B672" s="1156"/>
      <c r="C672" s="1205"/>
      <c r="D672" s="1205"/>
      <c r="E672" s="1205"/>
      <c r="F672" s="1205"/>
      <c r="G672" s="1205"/>
      <c r="H672" s="1205"/>
      <c r="I672" s="1205"/>
      <c r="J672" s="1205"/>
    </row>
    <row r="673" spans="2:10">
      <c r="B673" s="1206" t="s">
        <v>202</v>
      </c>
      <c r="C673" s="1201">
        <v>0</v>
      </c>
      <c r="D673" s="1201">
        <v>0</v>
      </c>
      <c r="E673" s="1201">
        <v>0</v>
      </c>
      <c r="F673" s="1201">
        <v>0</v>
      </c>
      <c r="G673" s="1201">
        <v>0</v>
      </c>
      <c r="H673" s="1201">
        <v>0</v>
      </c>
      <c r="I673" s="1201">
        <v>0</v>
      </c>
      <c r="J673" s="1201">
        <v>0</v>
      </c>
    </row>
    <row r="674" spans="2:10">
      <c r="B674" s="1156" t="s">
        <v>169</v>
      </c>
      <c r="C674" s="1201"/>
      <c r="D674" s="1201"/>
      <c r="E674" s="1201"/>
      <c r="F674" s="1201"/>
      <c r="G674" s="1201"/>
      <c r="H674" s="1201"/>
      <c r="I674" s="1201"/>
      <c r="J674" s="1201"/>
    </row>
    <row r="675" spans="2:10">
      <c r="B675" s="1156" t="s">
        <v>168</v>
      </c>
      <c r="C675" s="1201"/>
      <c r="D675" s="1201"/>
      <c r="E675" s="1201"/>
      <c r="F675" s="1201"/>
      <c r="G675" s="1201"/>
      <c r="H675" s="1201"/>
      <c r="I675" s="1201"/>
      <c r="J675" s="1201"/>
    </row>
    <row r="676" spans="2:10">
      <c r="B676" s="1156" t="s">
        <v>167</v>
      </c>
      <c r="C676" s="1201"/>
      <c r="D676" s="1201"/>
      <c r="E676" s="1201"/>
      <c r="F676" s="1201"/>
      <c r="G676" s="1201"/>
      <c r="H676" s="1201"/>
      <c r="I676" s="1201"/>
      <c r="J676" s="1201"/>
    </row>
    <row r="677" spans="2:10">
      <c r="B677" s="1156" t="s">
        <v>166</v>
      </c>
      <c r="C677" s="1201"/>
      <c r="D677" s="1201"/>
      <c r="E677" s="1201"/>
      <c r="F677" s="1201"/>
      <c r="G677" s="1201"/>
      <c r="H677" s="1201"/>
      <c r="I677" s="1201"/>
      <c r="J677" s="1201"/>
    </row>
    <row r="678" spans="2:10">
      <c r="B678" s="1156" t="s">
        <v>165</v>
      </c>
      <c r="C678" s="1201"/>
      <c r="D678" s="1201"/>
      <c r="E678" s="1201"/>
      <c r="F678" s="1201"/>
      <c r="G678" s="1201"/>
      <c r="H678" s="1201"/>
      <c r="I678" s="1201"/>
      <c r="J678" s="1201"/>
    </row>
    <row r="679" spans="2:10" ht="15" thickBot="1">
      <c r="B679" s="1156" t="s">
        <v>164</v>
      </c>
      <c r="C679" s="1201"/>
      <c r="D679" s="1201"/>
      <c r="E679" s="1201"/>
      <c r="F679" s="1201"/>
      <c r="G679" s="1201"/>
      <c r="H679" s="1201"/>
      <c r="I679" s="1201"/>
      <c r="J679" s="1201"/>
    </row>
    <row r="680" spans="2:10" ht="15" thickTop="1">
      <c r="B680" s="2093" t="s">
        <v>1690</v>
      </c>
      <c r="C680" s="2093"/>
      <c r="D680" s="2093"/>
      <c r="E680" s="2093"/>
      <c r="F680" s="2093"/>
      <c r="G680" s="2093"/>
      <c r="H680" s="2093"/>
      <c r="I680" s="2093"/>
      <c r="J680" s="2093"/>
    </row>
    <row r="681" spans="2:10">
      <c r="B681" s="2095" t="s">
        <v>1693</v>
      </c>
      <c r="C681" s="2095"/>
      <c r="D681" s="2095"/>
      <c r="E681" s="2095"/>
      <c r="F681" s="2095"/>
      <c r="G681" s="2095"/>
      <c r="H681" s="2095"/>
      <c r="I681" s="2095"/>
      <c r="J681" s="2095"/>
    </row>
    <row r="682" spans="2:10">
      <c r="B682" s="403"/>
    </row>
    <row r="683" spans="2:10">
      <c r="B683" s="2081" t="s">
        <v>199</v>
      </c>
      <c r="C683" s="2081"/>
      <c r="D683" s="2081"/>
      <c r="E683" s="2081"/>
      <c r="F683" s="2081"/>
      <c r="G683" s="2081"/>
      <c r="H683" s="2081"/>
      <c r="I683" s="2081"/>
      <c r="J683" s="2081"/>
    </row>
    <row r="684" spans="2:10">
      <c r="B684" s="1049" t="s">
        <v>198</v>
      </c>
    </row>
    <row r="685" spans="2:10">
      <c r="B685" s="1063" t="s">
        <v>127</v>
      </c>
    </row>
    <row r="686" spans="2:10">
      <c r="B686" s="1063"/>
    </row>
    <row r="687" spans="2:10">
      <c r="B687" s="1051"/>
      <c r="C687" s="1052">
        <v>2014</v>
      </c>
      <c r="D687" s="1052">
        <v>2015</v>
      </c>
      <c r="E687" s="1052">
        <v>2016</v>
      </c>
      <c r="F687" s="1052">
        <v>2017</v>
      </c>
      <c r="G687" s="1052">
        <v>2018</v>
      </c>
      <c r="H687" s="1052">
        <v>2019</v>
      </c>
      <c r="I687" s="1052">
        <v>2020</v>
      </c>
      <c r="J687" s="1052">
        <v>2021</v>
      </c>
    </row>
    <row r="688" spans="2:10">
      <c r="B688" s="450" t="s">
        <v>1671</v>
      </c>
    </row>
    <row r="689" spans="2:10">
      <c r="B689" s="1099" t="s">
        <v>186</v>
      </c>
      <c r="C689" s="1073">
        <v>50718.169772234018</v>
      </c>
      <c r="D689" s="1073">
        <v>55301.625621084815</v>
      </c>
      <c r="E689" s="1073">
        <v>51204.958908730965</v>
      </c>
      <c r="F689" s="1073">
        <v>48391.678315603836</v>
      </c>
      <c r="G689" s="1207">
        <v>59711.035085129966</v>
      </c>
      <c r="H689" s="1207">
        <v>54973.930889958116</v>
      </c>
      <c r="I689" s="1207">
        <v>35775.539066194266</v>
      </c>
      <c r="J689" s="1207">
        <v>34436.350384045661</v>
      </c>
    </row>
    <row r="690" spans="2:10">
      <c r="B690" s="1099"/>
      <c r="C690" s="1073"/>
      <c r="D690" s="1073"/>
      <c r="E690" s="1073"/>
      <c r="F690" s="1073"/>
      <c r="G690" s="1207"/>
      <c r="H690" s="1207"/>
      <c r="I690" s="1207"/>
      <c r="J690" s="1207"/>
    </row>
    <row r="691" spans="2:10">
      <c r="B691" s="1099" t="s">
        <v>190</v>
      </c>
      <c r="C691" s="1073">
        <v>50718.16977223401</v>
      </c>
      <c r="D691" s="1073">
        <v>55301.625621084815</v>
      </c>
      <c r="E691" s="1073">
        <v>51204.958908730965</v>
      </c>
      <c r="F691" s="1073">
        <v>48391.678315603836</v>
      </c>
      <c r="G691" s="1207">
        <v>59711.035085129966</v>
      </c>
      <c r="H691" s="1207">
        <v>54973.930889958116</v>
      </c>
      <c r="I691" s="1207">
        <v>35775.539066194266</v>
      </c>
      <c r="J691" s="1207">
        <v>34436.350384045661</v>
      </c>
    </row>
    <row r="692" spans="2:10">
      <c r="B692" s="1140" t="s">
        <v>121</v>
      </c>
      <c r="C692" s="1073">
        <v>49582.333228944997</v>
      </c>
      <c r="D692" s="1073">
        <v>54139.252383635197</v>
      </c>
      <c r="E692" s="1073">
        <v>49955.293381528514</v>
      </c>
      <c r="F692" s="1073">
        <v>47028.733366181601</v>
      </c>
      <c r="G692" s="1207">
        <v>58155.103099564782</v>
      </c>
      <c r="H692" s="1207">
        <v>53726.632889029563</v>
      </c>
      <c r="I692" s="1207">
        <v>35004.991018390399</v>
      </c>
      <c r="J692" s="1207">
        <v>33739.003322834491</v>
      </c>
    </row>
    <row r="693" spans="2:10">
      <c r="B693" s="1197" t="s">
        <v>120</v>
      </c>
      <c r="C693" s="1073">
        <v>7394.3842719299882</v>
      </c>
      <c r="D693" s="1073">
        <v>5941.4757246921554</v>
      </c>
      <c r="E693" s="1073">
        <v>6061.5758504514351</v>
      </c>
      <c r="F693" s="1073">
        <v>7937.07120148181</v>
      </c>
      <c r="G693" s="1207">
        <v>7445.093281224219</v>
      </c>
      <c r="H693" s="1207">
        <v>3327.8225325846333</v>
      </c>
      <c r="I693" s="1207">
        <v>2357.9458345486855</v>
      </c>
      <c r="J693" s="1207">
        <v>1104.6077517416343</v>
      </c>
    </row>
    <row r="694" spans="2:10">
      <c r="B694" s="1197" t="s">
        <v>119</v>
      </c>
      <c r="C694" s="1073">
        <v>42187.948957015018</v>
      </c>
      <c r="D694" s="1073">
        <v>48197.776658943047</v>
      </c>
      <c r="E694" s="1073">
        <v>43893.717531077076</v>
      </c>
      <c r="F694" s="1073">
        <v>39091.662164699796</v>
      </c>
      <c r="G694" s="1207">
        <v>50710.009818340572</v>
      </c>
      <c r="H694" s="1207">
        <v>50398.810356444927</v>
      </c>
      <c r="I694" s="1207">
        <v>32647.045183841718</v>
      </c>
      <c r="J694" s="1207">
        <v>32634.395571092857</v>
      </c>
    </row>
    <row r="695" spans="2:10">
      <c r="B695" s="1197" t="s">
        <v>197</v>
      </c>
      <c r="C695" s="1073"/>
      <c r="D695" s="1073"/>
      <c r="E695" s="1073"/>
      <c r="F695" s="1073"/>
      <c r="G695" s="1207"/>
      <c r="H695" s="1207"/>
      <c r="I695" s="1207"/>
      <c r="J695" s="1207"/>
    </row>
    <row r="696" spans="2:10">
      <c r="B696" s="1140" t="s">
        <v>118</v>
      </c>
      <c r="C696" s="1073">
        <v>456.13634828753931</v>
      </c>
      <c r="D696" s="1073">
        <v>382.21947559259422</v>
      </c>
      <c r="E696" s="1073">
        <v>317.79397550759069</v>
      </c>
      <c r="F696" s="1073">
        <v>364.81955860982998</v>
      </c>
      <c r="G696" s="1207">
        <v>418.48267284214609</v>
      </c>
      <c r="H696" s="1207">
        <v>342.14192762418566</v>
      </c>
      <c r="I696" s="1207">
        <v>185.69740843816075</v>
      </c>
      <c r="J696" s="1207">
        <v>163.54925299809949</v>
      </c>
    </row>
    <row r="697" spans="2:10">
      <c r="B697" s="1140" t="s">
        <v>117</v>
      </c>
      <c r="C697" s="1073">
        <v>679.70019500146827</v>
      </c>
      <c r="D697" s="1073">
        <v>780.1537618570228</v>
      </c>
      <c r="E697" s="1073">
        <v>931.87155169486334</v>
      </c>
      <c r="F697" s="1073">
        <v>998.12539081240777</v>
      </c>
      <c r="G697" s="1207">
        <v>1137.4493127230221</v>
      </c>
      <c r="H697" s="1207">
        <v>905.15607330437274</v>
      </c>
      <c r="I697" s="1207">
        <v>584.85063936571157</v>
      </c>
      <c r="J697" s="1207">
        <v>533.79780821307588</v>
      </c>
    </row>
    <row r="698" spans="2:10">
      <c r="B698" s="1140"/>
      <c r="C698" s="1208"/>
      <c r="D698" s="1208"/>
      <c r="E698" s="1208"/>
      <c r="F698" s="1208"/>
      <c r="G698" s="1209"/>
      <c r="H698" s="1207">
        <v>0</v>
      </c>
      <c r="I698" s="1207">
        <v>0</v>
      </c>
      <c r="J698" s="1207"/>
    </row>
    <row r="699" spans="2:10">
      <c r="B699" s="1198" t="s">
        <v>187</v>
      </c>
      <c r="C699" s="1073">
        <v>15928.320455018455</v>
      </c>
      <c r="D699" s="1073">
        <v>18547.541852152259</v>
      </c>
      <c r="E699" s="1073">
        <v>18533.263101180404</v>
      </c>
      <c r="F699" s="1073">
        <v>17811.056388125828</v>
      </c>
      <c r="G699" s="1207">
        <v>22185.981924563235</v>
      </c>
      <c r="H699" s="1207">
        <v>18088.30292344085</v>
      </c>
      <c r="I699" s="1207">
        <v>14109.693028467476</v>
      </c>
      <c r="J699" s="1207">
        <v>10244.353572192824</v>
      </c>
    </row>
    <row r="700" spans="2:10">
      <c r="B700" s="1199" t="s">
        <v>121</v>
      </c>
      <c r="C700" s="1073">
        <v>15120.36507529299</v>
      </c>
      <c r="D700" s="1073">
        <v>17685.110502532585</v>
      </c>
      <c r="E700" s="1073">
        <v>17716.169744817489</v>
      </c>
      <c r="F700" s="1073">
        <v>17013.533197457546</v>
      </c>
      <c r="G700" s="1207">
        <v>21168.670898724788</v>
      </c>
      <c r="H700" s="1207">
        <v>17221.555367996287</v>
      </c>
      <c r="I700" s="1207">
        <v>13529.807800908813</v>
      </c>
      <c r="J700" s="1207">
        <v>9776.8795349202719</v>
      </c>
    </row>
    <row r="701" spans="2:10">
      <c r="B701" s="1200" t="s">
        <v>120</v>
      </c>
      <c r="C701" s="1073">
        <v>1295.1716748516099</v>
      </c>
      <c r="D701" s="1073">
        <v>740.21821408862377</v>
      </c>
      <c r="E701" s="1073">
        <v>1435.5083800075397</v>
      </c>
      <c r="F701" s="1073">
        <v>1570.6754448319316</v>
      </c>
      <c r="G701" s="1207">
        <v>1614.6044019846499</v>
      </c>
      <c r="H701" s="1207">
        <v>393.74895226501758</v>
      </c>
      <c r="I701" s="1207">
        <v>73.043665629671338</v>
      </c>
      <c r="J701" s="1207">
        <v>17.186271673491866</v>
      </c>
    </row>
    <row r="702" spans="2:10">
      <c r="B702" s="1200" t="s">
        <v>119</v>
      </c>
      <c r="C702" s="1073">
        <v>13825.19340044138</v>
      </c>
      <c r="D702" s="1073">
        <v>16944.892288443963</v>
      </c>
      <c r="E702" s="1073">
        <v>16280.661364809946</v>
      </c>
      <c r="F702" s="1073">
        <v>15442.857752625616</v>
      </c>
      <c r="G702" s="1207">
        <v>19554.066496740139</v>
      </c>
      <c r="H702" s="1207">
        <v>16827.806415731273</v>
      </c>
      <c r="I702" s="1207">
        <v>13456.764135279143</v>
      </c>
      <c r="J702" s="1207">
        <v>9759.6932632467815</v>
      </c>
    </row>
    <row r="703" spans="2:10">
      <c r="B703" s="1200" t="s">
        <v>172</v>
      </c>
      <c r="C703" s="1073"/>
      <c r="D703" s="1073"/>
      <c r="E703" s="1073"/>
      <c r="F703" s="1073"/>
      <c r="G703" s="1207"/>
      <c r="H703" s="1207"/>
      <c r="I703" s="1207"/>
      <c r="J703" s="1207"/>
    </row>
    <row r="704" spans="2:10">
      <c r="B704" s="1199" t="s">
        <v>118</v>
      </c>
      <c r="C704" s="1073">
        <v>320.98085990989557</v>
      </c>
      <c r="D704" s="1073">
        <v>324.48060261454339</v>
      </c>
      <c r="E704" s="1073">
        <v>277.75165423896163</v>
      </c>
      <c r="F704" s="1073">
        <v>283.58748083203199</v>
      </c>
      <c r="G704" s="1207">
        <v>356.83722946614415</v>
      </c>
      <c r="H704" s="1207">
        <v>301.52506561903994</v>
      </c>
      <c r="I704" s="1207">
        <v>151.52304531775542</v>
      </c>
      <c r="J704" s="1207">
        <v>126.56457422740471</v>
      </c>
    </row>
    <row r="705" spans="2:10">
      <c r="B705" s="1199" t="s">
        <v>117</v>
      </c>
      <c r="C705" s="1073">
        <v>486.97451981554542</v>
      </c>
      <c r="D705" s="1073">
        <v>537.95074700512828</v>
      </c>
      <c r="E705" s="1073">
        <v>539.34170212395338</v>
      </c>
      <c r="F705" s="1073">
        <v>513.9357098362467</v>
      </c>
      <c r="G705" s="1207">
        <v>660.47379637229881</v>
      </c>
      <c r="H705" s="1207">
        <v>565.22248982551741</v>
      </c>
      <c r="I705" s="1207">
        <v>428.36218224090766</v>
      </c>
      <c r="J705" s="1207">
        <v>340.90946304514819</v>
      </c>
    </row>
    <row r="706" spans="2:10">
      <c r="B706" s="1199"/>
      <c r="C706" s="1073"/>
      <c r="D706" s="1073"/>
      <c r="E706" s="1073"/>
      <c r="F706" s="1073"/>
      <c r="G706" s="1207"/>
      <c r="H706" s="1207"/>
      <c r="I706" s="1207"/>
      <c r="J706" s="1207"/>
    </row>
    <row r="707" spans="2:10">
      <c r="B707" s="1198" t="s">
        <v>173</v>
      </c>
      <c r="C707" s="1073">
        <v>34789.849317215128</v>
      </c>
      <c r="D707" s="1073">
        <v>36754.083787548436</v>
      </c>
      <c r="E707" s="1073">
        <v>32671.695807550561</v>
      </c>
      <c r="F707" s="1073">
        <v>30580.621927478005</v>
      </c>
      <c r="G707" s="1207">
        <v>37525.05316056672</v>
      </c>
      <c r="H707" s="1207">
        <v>36885.62796651727</v>
      </c>
      <c r="I707" s="1207">
        <v>21587.366658038714</v>
      </c>
      <c r="J707" s="1207">
        <v>24191.996811852841</v>
      </c>
    </row>
    <row r="708" spans="2:10">
      <c r="B708" s="1199" t="s">
        <v>121</v>
      </c>
      <c r="C708" s="1073">
        <v>34461.968153651564</v>
      </c>
      <c r="D708" s="1073">
        <v>36454.141881102609</v>
      </c>
      <c r="E708" s="1073">
        <v>32239.123636711029</v>
      </c>
      <c r="F708" s="1073">
        <v>30015.200168724041</v>
      </c>
      <c r="G708" s="1207">
        <v>36986.432200840005</v>
      </c>
      <c r="H708" s="1207">
        <v>36505.077521033265</v>
      </c>
      <c r="I708" s="1207">
        <v>21396.703837793506</v>
      </c>
      <c r="J708" s="1207">
        <v>23962.123787914221</v>
      </c>
    </row>
    <row r="709" spans="2:10">
      <c r="B709" s="1200" t="s">
        <v>120</v>
      </c>
      <c r="C709" s="1073">
        <v>6099.2125970783782</v>
      </c>
      <c r="D709" s="1073">
        <v>5201.257510603532</v>
      </c>
      <c r="E709" s="1073">
        <v>4626.0674704438961</v>
      </c>
      <c r="F709" s="1073">
        <v>6366.3957566498766</v>
      </c>
      <c r="G709" s="1207">
        <v>5830.4888792395695</v>
      </c>
      <c r="H709" s="1207">
        <v>2934.0735803196153</v>
      </c>
      <c r="I709" s="1207">
        <v>2206.42278923093</v>
      </c>
      <c r="J709" s="1207">
        <v>1087.4214800681425</v>
      </c>
    </row>
    <row r="710" spans="2:10">
      <c r="B710" s="1200" t="s">
        <v>119</v>
      </c>
      <c r="C710" s="1073">
        <v>28362.755556573182</v>
      </c>
      <c r="D710" s="1073">
        <v>31252.88437049908</v>
      </c>
      <c r="E710" s="1073">
        <v>27613.056166267128</v>
      </c>
      <c r="F710" s="1073">
        <v>23648.804412074169</v>
      </c>
      <c r="G710" s="1207">
        <v>31155.943321600433</v>
      </c>
      <c r="H710" s="1207">
        <v>33571.003940713643</v>
      </c>
      <c r="I710" s="1207">
        <v>19190.281048562574</v>
      </c>
      <c r="J710" s="1207">
        <v>22874.702307846077</v>
      </c>
    </row>
    <row r="711" spans="2:10">
      <c r="B711" s="1200" t="s">
        <v>197</v>
      </c>
      <c r="C711" s="1073"/>
      <c r="D711" s="1073"/>
      <c r="E711" s="1073"/>
      <c r="F711" s="1073"/>
      <c r="G711" s="1207"/>
      <c r="H711" s="1207"/>
      <c r="I711" s="1207"/>
      <c r="J711" s="1207"/>
    </row>
    <row r="712" spans="2:10">
      <c r="B712" s="1199" t="s">
        <v>118</v>
      </c>
      <c r="C712" s="1073">
        <v>135.15548837764305</v>
      </c>
      <c r="D712" s="1073">
        <v>57.738872978050836</v>
      </c>
      <c r="E712" s="1073">
        <v>40.042321268629046</v>
      </c>
      <c r="F712" s="1073">
        <v>81.232077777797912</v>
      </c>
      <c r="G712" s="1207">
        <v>61.645443376001928</v>
      </c>
      <c r="H712" s="1207">
        <v>40.616862005145705</v>
      </c>
      <c r="I712" s="1207">
        <v>34.174363120405388</v>
      </c>
      <c r="J712" s="1207">
        <v>36.984678770694792</v>
      </c>
    </row>
    <row r="713" spans="2:10">
      <c r="B713" s="1199" t="s">
        <v>117</v>
      </c>
      <c r="C713" s="1073">
        <v>192.72567518592294</v>
      </c>
      <c r="D713" s="1073">
        <v>242.20303346776524</v>
      </c>
      <c r="E713" s="1073">
        <v>392.52984957090985</v>
      </c>
      <c r="F713" s="1073">
        <v>484.18968097616118</v>
      </c>
      <c r="G713" s="1207">
        <v>476.9755163507233</v>
      </c>
      <c r="H713" s="1207">
        <v>339.93358347885527</v>
      </c>
      <c r="I713" s="1207">
        <v>156.48845712480389</v>
      </c>
      <c r="J713" s="1207">
        <v>192.88834516792772</v>
      </c>
    </row>
    <row r="714" spans="2:10">
      <c r="B714" s="1199"/>
      <c r="C714" s="1073"/>
      <c r="D714" s="1073"/>
      <c r="E714" s="1073"/>
      <c r="F714" s="1073"/>
      <c r="G714" s="1073"/>
      <c r="H714" s="1210"/>
      <c r="I714" s="1210"/>
      <c r="J714" s="1210"/>
    </row>
    <row r="715" spans="2:10">
      <c r="B715" s="1099" t="s">
        <v>171</v>
      </c>
      <c r="C715" s="1073">
        <v>0.28884281566365749</v>
      </c>
      <c r="D715" s="1073">
        <v>0.1195325059927458</v>
      </c>
      <c r="E715" s="1073">
        <v>0</v>
      </c>
      <c r="F715" s="1073">
        <v>0</v>
      </c>
      <c r="G715" s="1073">
        <v>0</v>
      </c>
      <c r="H715" s="1073">
        <v>0</v>
      </c>
      <c r="I715" s="1073">
        <v>0</v>
      </c>
      <c r="J715" s="1073">
        <v>0</v>
      </c>
    </row>
    <row r="716" spans="2:10">
      <c r="B716" s="1140" t="s">
        <v>169</v>
      </c>
      <c r="C716" s="1073">
        <v>0</v>
      </c>
      <c r="D716" s="1073">
        <v>0</v>
      </c>
      <c r="E716" s="1073">
        <v>0</v>
      </c>
      <c r="F716" s="1073">
        <v>0</v>
      </c>
      <c r="G716" s="1073">
        <v>0</v>
      </c>
      <c r="H716" s="1073">
        <v>0</v>
      </c>
      <c r="I716" s="1073">
        <v>0</v>
      </c>
      <c r="J716" s="1073">
        <v>0</v>
      </c>
    </row>
    <row r="717" spans="2:10">
      <c r="B717" s="1140" t="s">
        <v>168</v>
      </c>
      <c r="C717" s="1073">
        <v>0</v>
      </c>
      <c r="D717" s="1073">
        <v>0</v>
      </c>
      <c r="E717" s="1073">
        <v>0</v>
      </c>
      <c r="F717" s="1073">
        <v>0</v>
      </c>
      <c r="G717" s="1073">
        <v>0</v>
      </c>
      <c r="H717" s="1073">
        <v>0</v>
      </c>
      <c r="I717" s="1073">
        <v>0</v>
      </c>
      <c r="J717" s="1073">
        <v>0</v>
      </c>
    </row>
    <row r="718" spans="2:10">
      <c r="B718" s="1140" t="s">
        <v>167</v>
      </c>
      <c r="C718" s="1073">
        <v>0.28884281566365749</v>
      </c>
      <c r="D718" s="1073">
        <v>0.1195325059927458</v>
      </c>
      <c r="E718" s="1073">
        <v>0</v>
      </c>
      <c r="F718" s="1073">
        <v>0</v>
      </c>
      <c r="G718" s="1073">
        <v>0</v>
      </c>
      <c r="H718" s="1073">
        <v>0</v>
      </c>
      <c r="I718" s="1073">
        <v>0</v>
      </c>
      <c r="J718" s="1073">
        <v>0</v>
      </c>
    </row>
    <row r="719" spans="2:10">
      <c r="B719" s="1140" t="s">
        <v>166</v>
      </c>
      <c r="C719" s="1073">
        <v>0</v>
      </c>
      <c r="D719" s="1073">
        <v>0</v>
      </c>
      <c r="E719" s="1073">
        <v>0</v>
      </c>
      <c r="F719" s="1073">
        <v>0</v>
      </c>
      <c r="G719" s="1073">
        <v>0</v>
      </c>
      <c r="H719" s="1073">
        <v>0</v>
      </c>
      <c r="I719" s="1073">
        <v>0</v>
      </c>
      <c r="J719" s="1073">
        <v>0</v>
      </c>
    </row>
    <row r="720" spans="2:10">
      <c r="B720" s="1140" t="s">
        <v>165</v>
      </c>
      <c r="C720" s="1073">
        <v>0</v>
      </c>
      <c r="D720" s="1073">
        <v>0</v>
      </c>
      <c r="E720" s="1073">
        <v>0</v>
      </c>
      <c r="F720" s="1073">
        <v>0</v>
      </c>
      <c r="G720" s="1073">
        <v>0</v>
      </c>
      <c r="H720" s="1073">
        <v>0</v>
      </c>
      <c r="I720" s="1073">
        <v>0</v>
      </c>
      <c r="J720" s="1073">
        <v>0</v>
      </c>
    </row>
    <row r="721" spans="2:10">
      <c r="B721" s="1140" t="s">
        <v>164</v>
      </c>
      <c r="C721" s="1073">
        <v>0</v>
      </c>
      <c r="D721" s="1073">
        <v>0</v>
      </c>
      <c r="E721" s="1073">
        <v>0</v>
      </c>
      <c r="F721" s="1073">
        <v>0</v>
      </c>
      <c r="G721" s="1073">
        <v>0</v>
      </c>
      <c r="H721" s="1073">
        <v>0</v>
      </c>
      <c r="I721" s="1073">
        <v>0</v>
      </c>
      <c r="J721" s="1073">
        <v>0</v>
      </c>
    </row>
    <row r="722" spans="2:10">
      <c r="B722" s="1140"/>
      <c r="C722" s="1073"/>
      <c r="D722" s="1073"/>
      <c r="E722" s="1073"/>
      <c r="F722" s="1073"/>
      <c r="G722" s="1073"/>
      <c r="H722" s="1210"/>
      <c r="I722" s="1210"/>
      <c r="J722" s="1210"/>
    </row>
    <row r="723" spans="2:10">
      <c r="B723" s="125" t="s">
        <v>170</v>
      </c>
      <c r="C723" s="1073">
        <v>0</v>
      </c>
      <c r="D723" s="1073">
        <v>0</v>
      </c>
      <c r="E723" s="1073">
        <v>0</v>
      </c>
      <c r="F723" s="1073">
        <v>0</v>
      </c>
      <c r="G723" s="1073">
        <v>0</v>
      </c>
      <c r="H723" s="1073">
        <v>0</v>
      </c>
      <c r="I723" s="1073">
        <v>0</v>
      </c>
      <c r="J723" s="1073">
        <v>0</v>
      </c>
    </row>
    <row r="724" spans="2:10">
      <c r="B724" s="1140" t="s">
        <v>169</v>
      </c>
      <c r="C724" s="1073">
        <v>0</v>
      </c>
      <c r="D724" s="1073">
        <v>0</v>
      </c>
      <c r="E724" s="1073">
        <v>0</v>
      </c>
      <c r="F724" s="1073">
        <v>0</v>
      </c>
      <c r="G724" s="1073">
        <v>0</v>
      </c>
      <c r="H724" s="1073">
        <v>0</v>
      </c>
      <c r="I724" s="1073">
        <v>0</v>
      </c>
      <c r="J724" s="1073">
        <v>0</v>
      </c>
    </row>
    <row r="725" spans="2:10">
      <c r="B725" s="1140" t="s">
        <v>168</v>
      </c>
      <c r="C725" s="1073">
        <v>0</v>
      </c>
      <c r="D725" s="1073">
        <v>0</v>
      </c>
      <c r="E725" s="1073">
        <v>0</v>
      </c>
      <c r="F725" s="1073">
        <v>0</v>
      </c>
      <c r="G725" s="1073">
        <v>0</v>
      </c>
      <c r="H725" s="1073">
        <v>0</v>
      </c>
      <c r="I725" s="1073">
        <v>0</v>
      </c>
      <c r="J725" s="1073">
        <v>0</v>
      </c>
    </row>
    <row r="726" spans="2:10">
      <c r="B726" s="1140" t="s">
        <v>167</v>
      </c>
      <c r="C726" s="1073">
        <v>0</v>
      </c>
      <c r="D726" s="1073">
        <v>0</v>
      </c>
      <c r="E726" s="1073">
        <v>0</v>
      </c>
      <c r="F726" s="1073">
        <v>0</v>
      </c>
      <c r="G726" s="1073">
        <v>0</v>
      </c>
      <c r="H726" s="1073">
        <v>0</v>
      </c>
      <c r="I726" s="1073">
        <v>0</v>
      </c>
      <c r="J726" s="1073">
        <v>0</v>
      </c>
    </row>
    <row r="727" spans="2:10">
      <c r="B727" s="1140" t="s">
        <v>166</v>
      </c>
      <c r="C727" s="1073">
        <v>0</v>
      </c>
      <c r="D727" s="1073">
        <v>0</v>
      </c>
      <c r="E727" s="1073">
        <v>0</v>
      </c>
      <c r="F727" s="1073">
        <v>0</v>
      </c>
      <c r="G727" s="1073">
        <v>0</v>
      </c>
      <c r="H727" s="1073">
        <v>0</v>
      </c>
      <c r="I727" s="1073">
        <v>0</v>
      </c>
      <c r="J727" s="1073">
        <v>0</v>
      </c>
    </row>
    <row r="728" spans="2:10">
      <c r="B728" s="1140" t="s">
        <v>165</v>
      </c>
      <c r="C728" s="1073">
        <v>0</v>
      </c>
      <c r="D728" s="1073">
        <v>0</v>
      </c>
      <c r="E728" s="1073">
        <v>0</v>
      </c>
      <c r="F728" s="1073">
        <v>0</v>
      </c>
      <c r="G728" s="1073">
        <v>0</v>
      </c>
      <c r="H728" s="1073">
        <v>0</v>
      </c>
      <c r="I728" s="1073">
        <v>0</v>
      </c>
      <c r="J728" s="1073">
        <v>0</v>
      </c>
    </row>
    <row r="729" spans="2:10">
      <c r="B729" s="1140" t="s">
        <v>164</v>
      </c>
      <c r="C729" s="1073">
        <v>0</v>
      </c>
      <c r="D729" s="1073">
        <v>0</v>
      </c>
      <c r="E729" s="1073">
        <v>0</v>
      </c>
      <c r="F729" s="1073">
        <v>0</v>
      </c>
      <c r="G729" s="1073">
        <v>0</v>
      </c>
      <c r="H729" s="1073">
        <v>0</v>
      </c>
      <c r="I729" s="1073">
        <v>0</v>
      </c>
      <c r="J729" s="1073">
        <v>0</v>
      </c>
    </row>
    <row r="730" spans="2:10">
      <c r="B730" s="1099"/>
      <c r="C730" s="1208"/>
      <c r="D730" s="1208"/>
      <c r="E730" s="1208"/>
      <c r="F730" s="1208"/>
      <c r="G730" s="1208"/>
      <c r="H730" s="1210"/>
      <c r="I730" s="1210"/>
      <c r="J730" s="1210"/>
    </row>
    <row r="731" spans="2:10">
      <c r="B731" s="450" t="s">
        <v>1694</v>
      </c>
      <c r="C731" s="1208"/>
      <c r="D731" s="1208"/>
      <c r="E731" s="1208"/>
      <c r="F731" s="1208"/>
      <c r="G731" s="1208"/>
      <c r="H731" s="1210"/>
      <c r="I731" s="1210"/>
      <c r="J731" s="1210"/>
    </row>
    <row r="732" spans="2:10">
      <c r="B732" s="1099" t="s">
        <v>186</v>
      </c>
      <c r="C732" s="1073">
        <v>0</v>
      </c>
      <c r="D732" s="1073">
        <v>0</v>
      </c>
      <c r="E732" s="1073">
        <v>64</v>
      </c>
      <c r="F732" s="1073">
        <v>403.20677677025725</v>
      </c>
      <c r="G732" s="1073">
        <v>209.70028553110058</v>
      </c>
      <c r="H732" s="1073">
        <v>1403.5826355540787</v>
      </c>
      <c r="I732" s="1073">
        <v>2789.9755788729794</v>
      </c>
      <c r="J732" s="1073">
        <v>3740.997497133354</v>
      </c>
    </row>
    <row r="733" spans="2:10">
      <c r="B733" s="1099"/>
      <c r="C733" s="1073"/>
      <c r="D733" s="1073"/>
      <c r="E733" s="1073"/>
      <c r="F733" s="1073"/>
      <c r="G733" s="1073"/>
      <c r="H733" s="1073"/>
      <c r="I733" s="1073"/>
      <c r="J733" s="1073"/>
    </row>
    <row r="734" spans="2:10">
      <c r="B734" s="1099" t="s">
        <v>190</v>
      </c>
      <c r="C734" s="1073">
        <v>0</v>
      </c>
      <c r="D734" s="1073">
        <v>0</v>
      </c>
      <c r="E734" s="1073">
        <v>64</v>
      </c>
      <c r="F734" s="1073">
        <v>403.20677677025725</v>
      </c>
      <c r="G734" s="1073">
        <v>209.70028553110058</v>
      </c>
      <c r="H734" s="1073">
        <v>1403.5826355540787</v>
      </c>
      <c r="I734" s="1073">
        <v>2789.9755788729794</v>
      </c>
      <c r="J734" s="1073">
        <v>3740.997497133354</v>
      </c>
    </row>
    <row r="735" spans="2:10">
      <c r="B735" s="1140" t="s">
        <v>1692</v>
      </c>
      <c r="C735" s="1073">
        <v>0</v>
      </c>
      <c r="D735" s="1073">
        <v>0</v>
      </c>
      <c r="E735" s="1073">
        <v>64</v>
      </c>
      <c r="F735" s="1073">
        <v>403.20677677025725</v>
      </c>
      <c r="G735" s="1073">
        <v>209.70028553110058</v>
      </c>
      <c r="H735" s="1073">
        <v>1403.5826355540787</v>
      </c>
      <c r="I735" s="1073">
        <v>2789.9755788729794</v>
      </c>
      <c r="J735" s="1073">
        <v>3740.997497133354</v>
      </c>
    </row>
    <row r="736" spans="2:10">
      <c r="B736" s="1197"/>
      <c r="C736" s="1073"/>
      <c r="D736" s="1073"/>
      <c r="E736" s="1073"/>
      <c r="F736" s="1073"/>
      <c r="G736" s="1073"/>
      <c r="H736" s="1073"/>
      <c r="I736" s="1073"/>
      <c r="J736" s="1073"/>
    </row>
    <row r="737" spans="2:10">
      <c r="B737" s="1197" t="s">
        <v>187</v>
      </c>
      <c r="C737" s="1073">
        <v>0</v>
      </c>
      <c r="D737" s="1073">
        <v>0</v>
      </c>
      <c r="E737" s="1073">
        <v>0</v>
      </c>
      <c r="F737" s="1073">
        <v>0</v>
      </c>
      <c r="G737" s="1073">
        <v>0</v>
      </c>
      <c r="H737" s="1073">
        <v>0</v>
      </c>
      <c r="I737" s="1073">
        <v>0</v>
      </c>
      <c r="J737" s="1073">
        <v>0</v>
      </c>
    </row>
    <row r="738" spans="2:10">
      <c r="B738" s="1197" t="s">
        <v>1692</v>
      </c>
      <c r="C738" s="1073"/>
      <c r="D738" s="1073"/>
      <c r="E738" s="1073"/>
      <c r="F738" s="1073"/>
      <c r="G738" s="1073"/>
      <c r="H738" s="1073"/>
      <c r="I738" s="1073"/>
      <c r="J738" s="1073"/>
    </row>
    <row r="739" spans="2:10">
      <c r="B739" s="1140"/>
      <c r="C739" s="1073"/>
      <c r="D739" s="1073"/>
      <c r="E739" s="1073"/>
      <c r="F739" s="1073"/>
      <c r="G739" s="1073"/>
      <c r="H739" s="1073"/>
      <c r="I739" s="1073"/>
      <c r="J739" s="1073"/>
    </row>
    <row r="740" spans="2:10">
      <c r="B740" s="1140" t="s">
        <v>173</v>
      </c>
      <c r="C740" s="1073">
        <v>0</v>
      </c>
      <c r="D740" s="1073">
        <v>0</v>
      </c>
      <c r="E740" s="1073">
        <v>0</v>
      </c>
      <c r="F740" s="1073">
        <v>0</v>
      </c>
      <c r="G740" s="1073">
        <v>0</v>
      </c>
      <c r="H740" s="1073">
        <v>0</v>
      </c>
      <c r="I740" s="1073">
        <v>0</v>
      </c>
      <c r="J740" s="1073">
        <v>0</v>
      </c>
    </row>
    <row r="741" spans="2:10">
      <c r="B741" s="1140" t="s">
        <v>1692</v>
      </c>
      <c r="C741" s="1208"/>
      <c r="D741" s="1208"/>
      <c r="E741" s="1208"/>
      <c r="F741" s="1208"/>
      <c r="G741" s="1208"/>
      <c r="H741" s="1208"/>
      <c r="I741" s="1208"/>
      <c r="J741" s="1208"/>
    </row>
    <row r="742" spans="2:10">
      <c r="B742" s="1198"/>
      <c r="C742" s="1073"/>
      <c r="D742" s="1073"/>
      <c r="E742" s="1073"/>
      <c r="F742" s="1073"/>
      <c r="G742" s="1073"/>
      <c r="H742" s="1073"/>
      <c r="I742" s="1073"/>
      <c r="J742" s="1073"/>
    </row>
    <row r="743" spans="2:10" ht="26">
      <c r="B743" s="1199" t="s">
        <v>171</v>
      </c>
      <c r="C743" s="1073">
        <v>0</v>
      </c>
      <c r="D743" s="1073">
        <v>0</v>
      </c>
      <c r="E743" s="1073">
        <v>0</v>
      </c>
      <c r="F743" s="1073">
        <v>0</v>
      </c>
      <c r="G743" s="1073">
        <v>0</v>
      </c>
      <c r="H743" s="1073">
        <v>0</v>
      </c>
      <c r="I743" s="1073">
        <v>0</v>
      </c>
      <c r="J743" s="1073">
        <v>0</v>
      </c>
    </row>
    <row r="744" spans="2:10">
      <c r="B744" s="1200" t="s">
        <v>169</v>
      </c>
      <c r="C744" s="1073"/>
      <c r="D744" s="1073"/>
      <c r="E744" s="1073"/>
      <c r="F744" s="1073"/>
      <c r="G744" s="1073"/>
      <c r="H744" s="1073"/>
      <c r="I744" s="1073"/>
      <c r="J744" s="1073"/>
    </row>
    <row r="745" spans="2:10">
      <c r="B745" s="1200" t="s">
        <v>168</v>
      </c>
      <c r="C745" s="1073"/>
      <c r="D745" s="1073"/>
      <c r="E745" s="1073"/>
      <c r="F745" s="1073"/>
      <c r="G745" s="1073"/>
      <c r="H745" s="1073"/>
      <c r="I745" s="1073"/>
      <c r="J745" s="1073"/>
    </row>
    <row r="746" spans="2:10">
      <c r="B746" s="1200" t="s">
        <v>167</v>
      </c>
      <c r="C746" s="1073"/>
      <c r="D746" s="1073"/>
      <c r="E746" s="1073"/>
      <c r="F746" s="1073"/>
      <c r="G746" s="1073"/>
      <c r="H746" s="1073"/>
      <c r="I746" s="1073"/>
      <c r="J746" s="1073"/>
    </row>
    <row r="747" spans="2:10">
      <c r="B747" s="1199" t="s">
        <v>166</v>
      </c>
      <c r="C747" s="1073"/>
      <c r="D747" s="1073"/>
      <c r="E747" s="1073"/>
      <c r="F747" s="1073"/>
      <c r="G747" s="1073"/>
      <c r="H747" s="1073"/>
      <c r="I747" s="1073"/>
      <c r="J747" s="1073"/>
    </row>
    <row r="748" spans="2:10">
      <c r="B748" s="1199" t="s">
        <v>165</v>
      </c>
      <c r="C748" s="1073"/>
      <c r="D748" s="1073"/>
      <c r="E748" s="1073"/>
      <c r="F748" s="1073"/>
      <c r="G748" s="1073"/>
      <c r="H748" s="1073"/>
      <c r="I748" s="1073"/>
      <c r="J748" s="1073"/>
    </row>
    <row r="749" spans="2:10">
      <c r="B749" s="1199" t="s">
        <v>164</v>
      </c>
      <c r="C749" s="1073"/>
      <c r="D749" s="1073"/>
      <c r="E749" s="1073"/>
      <c r="F749" s="1073"/>
      <c r="G749" s="1073"/>
      <c r="H749" s="1073"/>
      <c r="I749" s="1073"/>
      <c r="J749" s="1073"/>
    </row>
    <row r="750" spans="2:10">
      <c r="B750" s="1198"/>
      <c r="C750" s="1073"/>
      <c r="D750" s="1073"/>
      <c r="E750" s="1073"/>
      <c r="F750" s="1073"/>
      <c r="G750" s="1073"/>
      <c r="H750" s="1073"/>
      <c r="I750" s="1073"/>
      <c r="J750" s="1073"/>
    </row>
    <row r="751" spans="2:10">
      <c r="B751" s="1199" t="s">
        <v>170</v>
      </c>
      <c r="C751" s="1073">
        <v>0</v>
      </c>
      <c r="D751" s="1073">
        <v>0</v>
      </c>
      <c r="E751" s="1073">
        <v>0</v>
      </c>
      <c r="F751" s="1073">
        <v>0</v>
      </c>
      <c r="G751" s="1073">
        <v>0</v>
      </c>
      <c r="H751" s="1073">
        <v>0</v>
      </c>
      <c r="I751" s="1073">
        <v>0</v>
      </c>
      <c r="J751" s="1073">
        <v>0</v>
      </c>
    </row>
    <row r="752" spans="2:10">
      <c r="B752" s="1200" t="s">
        <v>169</v>
      </c>
      <c r="C752" s="1073"/>
      <c r="D752" s="1073"/>
      <c r="E752" s="1073"/>
      <c r="F752" s="1073"/>
      <c r="G752" s="1073"/>
      <c r="H752" s="1073"/>
      <c r="I752" s="1073"/>
      <c r="J752" s="1073"/>
    </row>
    <row r="753" spans="2:10">
      <c r="B753" s="1200" t="s">
        <v>168</v>
      </c>
      <c r="C753" s="1073"/>
      <c r="D753" s="1073"/>
      <c r="E753" s="1073"/>
      <c r="F753" s="1073"/>
      <c r="G753" s="1073"/>
      <c r="H753" s="1073"/>
      <c r="I753" s="1073"/>
      <c r="J753" s="1073"/>
    </row>
    <row r="754" spans="2:10">
      <c r="B754" s="1200" t="s">
        <v>167</v>
      </c>
      <c r="C754" s="1073"/>
      <c r="D754" s="1073"/>
      <c r="E754" s="1073"/>
      <c r="F754" s="1073"/>
      <c r="G754" s="1073"/>
      <c r="H754" s="1073"/>
      <c r="I754" s="1073"/>
      <c r="J754" s="1073"/>
    </row>
    <row r="755" spans="2:10">
      <c r="B755" s="1199" t="s">
        <v>166</v>
      </c>
      <c r="C755" s="1073"/>
      <c r="D755" s="1073"/>
      <c r="E755" s="1073"/>
      <c r="F755" s="1073"/>
      <c r="G755" s="1073"/>
      <c r="H755" s="1073"/>
      <c r="I755" s="1073"/>
      <c r="J755" s="1073"/>
    </row>
    <row r="756" spans="2:10">
      <c r="B756" s="1199" t="s">
        <v>165</v>
      </c>
      <c r="C756" s="1073"/>
      <c r="D756" s="1073"/>
      <c r="E756" s="1073"/>
      <c r="F756" s="1073"/>
      <c r="G756" s="1073"/>
      <c r="H756" s="1073"/>
      <c r="I756" s="1073"/>
      <c r="J756" s="1073"/>
    </row>
    <row r="757" spans="2:10" ht="15" thickBot="1">
      <c r="B757" s="1199" t="s">
        <v>164</v>
      </c>
      <c r="C757" s="1073"/>
      <c r="D757" s="1073"/>
      <c r="E757" s="1073"/>
      <c r="F757" s="1073"/>
      <c r="G757" s="1073"/>
      <c r="H757" s="1073"/>
      <c r="I757" s="1073"/>
      <c r="J757" s="1073"/>
    </row>
    <row r="758" spans="2:10" ht="15" thickTop="1">
      <c r="B758" s="2093" t="s">
        <v>1695</v>
      </c>
      <c r="C758" s="2093"/>
      <c r="D758" s="2093"/>
      <c r="E758" s="2093"/>
      <c r="F758" s="2093"/>
      <c r="G758" s="2093"/>
      <c r="H758" s="2093"/>
      <c r="I758" s="2093"/>
      <c r="J758" s="2093"/>
    </row>
    <row r="759" spans="2:10">
      <c r="B759" s="2095" t="s">
        <v>1696</v>
      </c>
      <c r="C759" s="2095"/>
      <c r="D759" s="2095"/>
      <c r="E759" s="2095"/>
      <c r="F759" s="2095"/>
      <c r="G759" s="2095"/>
      <c r="H759" s="2095"/>
      <c r="I759" s="2095"/>
      <c r="J759" s="2095"/>
    </row>
    <row r="760" spans="2:10">
      <c r="B760" s="403"/>
    </row>
    <row r="761" spans="2:10">
      <c r="B761" s="2081" t="s">
        <v>161</v>
      </c>
      <c r="C761" s="2081"/>
      <c r="D761" s="2081"/>
      <c r="E761" s="2081"/>
      <c r="F761" s="2081"/>
      <c r="G761" s="2081"/>
      <c r="H761" s="2081"/>
      <c r="I761" s="2081"/>
      <c r="J761" s="2081"/>
    </row>
    <row r="762" spans="2:10">
      <c r="B762" s="1049" t="s">
        <v>160</v>
      </c>
    </row>
    <row r="763" spans="2:10">
      <c r="B763" s="1070" t="s">
        <v>269</v>
      </c>
    </row>
    <row r="764" spans="2:10">
      <c r="B764" s="1050"/>
    </row>
    <row r="765" spans="2:10">
      <c r="B765" s="1051"/>
      <c r="C765" s="1052">
        <v>2014</v>
      </c>
      <c r="D765" s="1052">
        <v>2015</v>
      </c>
      <c r="E765" s="1052">
        <v>2016</v>
      </c>
      <c r="F765" s="1052">
        <v>2017</v>
      </c>
      <c r="G765" s="1052">
        <v>2018</v>
      </c>
      <c r="H765" s="1052">
        <v>2019</v>
      </c>
      <c r="I765" s="1052">
        <v>2020</v>
      </c>
      <c r="J765" s="1052">
        <v>2021</v>
      </c>
    </row>
    <row r="766" spans="2:10">
      <c r="B766" s="450" t="s">
        <v>1373</v>
      </c>
    </row>
    <row r="767" spans="2:10">
      <c r="B767" s="1099" t="s">
        <v>516</v>
      </c>
      <c r="C767" s="1145">
        <v>28</v>
      </c>
      <c r="D767" s="1145">
        <v>28</v>
      </c>
      <c r="E767" s="1145">
        <v>28</v>
      </c>
      <c r="F767" s="1145">
        <v>28</v>
      </c>
      <c r="G767" s="1147">
        <v>28</v>
      </c>
      <c r="H767" s="1147">
        <v>27</v>
      </c>
      <c r="I767" s="1147">
        <v>25</v>
      </c>
      <c r="J767" s="1147">
        <v>27</v>
      </c>
    </row>
    <row r="768" spans="2:10">
      <c r="B768" s="1140" t="s">
        <v>150</v>
      </c>
      <c r="C768" s="1145">
        <v>0</v>
      </c>
      <c r="D768" s="1145">
        <v>0</v>
      </c>
      <c r="E768" s="1145">
        <v>0</v>
      </c>
      <c r="F768" s="1145">
        <v>0</v>
      </c>
      <c r="G768" s="1145">
        <v>0</v>
      </c>
      <c r="H768" s="1145">
        <v>0</v>
      </c>
      <c r="I768" s="1145">
        <v>0</v>
      </c>
      <c r="J768" s="1145">
        <v>0</v>
      </c>
    </row>
    <row r="769" spans="2:10">
      <c r="B769" s="1140" t="s">
        <v>149</v>
      </c>
      <c r="C769" s="1145">
        <v>0</v>
      </c>
      <c r="D769" s="1145">
        <v>0</v>
      </c>
      <c r="E769" s="1145">
        <v>0</v>
      </c>
      <c r="F769" s="1145">
        <v>0</v>
      </c>
      <c r="G769" s="1145">
        <v>0</v>
      </c>
      <c r="H769" s="1145">
        <v>0</v>
      </c>
      <c r="I769" s="1145">
        <v>0</v>
      </c>
      <c r="J769" s="1145">
        <v>0</v>
      </c>
    </row>
    <row r="770" spans="2:10">
      <c r="B770" s="1140" t="s">
        <v>148</v>
      </c>
      <c r="C770" s="1145">
        <v>4</v>
      </c>
      <c r="D770" s="1145">
        <v>4</v>
      </c>
      <c r="E770" s="1145">
        <v>4</v>
      </c>
      <c r="F770" s="1145">
        <v>4</v>
      </c>
      <c r="G770" s="1147">
        <v>4</v>
      </c>
      <c r="H770" s="1147">
        <v>4</v>
      </c>
      <c r="I770" s="1147">
        <v>4</v>
      </c>
      <c r="J770" s="1147">
        <v>4</v>
      </c>
    </row>
    <row r="771" spans="2:10">
      <c r="B771" s="1140" t="s">
        <v>147</v>
      </c>
      <c r="C771" s="1145">
        <v>8</v>
      </c>
      <c r="D771" s="1145">
        <v>8</v>
      </c>
      <c r="E771" s="1145">
        <v>8</v>
      </c>
      <c r="F771" s="1145">
        <v>8</v>
      </c>
      <c r="G771" s="1147">
        <v>8</v>
      </c>
      <c r="H771" s="1147">
        <v>8</v>
      </c>
      <c r="I771" s="1147">
        <v>9</v>
      </c>
      <c r="J771" s="1147">
        <v>10</v>
      </c>
    </row>
    <row r="772" spans="2:10">
      <c r="B772" s="1140" t="s">
        <v>146</v>
      </c>
      <c r="C772" s="1145">
        <v>16</v>
      </c>
      <c r="D772" s="1145">
        <v>16</v>
      </c>
      <c r="E772" s="1145">
        <v>16</v>
      </c>
      <c r="F772" s="1145">
        <v>16</v>
      </c>
      <c r="G772" s="1147">
        <v>16</v>
      </c>
      <c r="H772" s="1147">
        <v>15</v>
      </c>
      <c r="I772" s="1147">
        <v>12</v>
      </c>
      <c r="J772" s="1147">
        <v>13</v>
      </c>
    </row>
    <row r="773" spans="2:10">
      <c r="B773" s="1140"/>
      <c r="C773" s="1145"/>
      <c r="D773" s="1145"/>
      <c r="E773" s="1145"/>
      <c r="F773" s="1145"/>
      <c r="G773" s="1147"/>
      <c r="H773" s="1147"/>
      <c r="I773" s="1147"/>
      <c r="J773" s="1147"/>
    </row>
    <row r="774" spans="2:10">
      <c r="B774" s="1099" t="s">
        <v>152</v>
      </c>
      <c r="C774" s="1145">
        <v>24</v>
      </c>
      <c r="D774" s="1145">
        <v>24</v>
      </c>
      <c r="E774" s="1145">
        <v>24</v>
      </c>
      <c r="F774" s="1145">
        <v>24</v>
      </c>
      <c r="G774" s="1147">
        <v>24</v>
      </c>
      <c r="H774" s="1147">
        <v>23</v>
      </c>
      <c r="I774" s="1147">
        <v>21</v>
      </c>
      <c r="J774" s="1147">
        <v>23</v>
      </c>
    </row>
    <row r="775" spans="2:10">
      <c r="B775" s="1140" t="s">
        <v>150</v>
      </c>
      <c r="C775" s="1145">
        <v>0</v>
      </c>
      <c r="D775" s="1145">
        <v>0</v>
      </c>
      <c r="E775" s="1145">
        <v>0</v>
      </c>
      <c r="F775" s="1145">
        <v>0</v>
      </c>
      <c r="G775" s="1145">
        <v>0</v>
      </c>
      <c r="H775" s="1145">
        <v>0</v>
      </c>
      <c r="I775" s="1145">
        <v>0</v>
      </c>
      <c r="J775" s="1145">
        <v>0</v>
      </c>
    </row>
    <row r="776" spans="2:10">
      <c r="B776" s="1140" t="s">
        <v>149</v>
      </c>
      <c r="C776" s="1145" t="s">
        <v>1346</v>
      </c>
      <c r="D776" s="1145" t="s">
        <v>1346</v>
      </c>
      <c r="E776" s="1145">
        <v>0</v>
      </c>
      <c r="F776" s="1145">
        <v>0</v>
      </c>
      <c r="G776" s="1145">
        <v>0</v>
      </c>
      <c r="H776" s="1145">
        <v>0</v>
      </c>
      <c r="I776" s="1145">
        <v>0</v>
      </c>
      <c r="J776" s="1145">
        <v>0</v>
      </c>
    </row>
    <row r="777" spans="2:10">
      <c r="B777" s="1140" t="s">
        <v>148</v>
      </c>
      <c r="C777" s="1145">
        <v>0</v>
      </c>
      <c r="D777" s="1145">
        <v>0</v>
      </c>
      <c r="E777" s="1145">
        <v>0</v>
      </c>
      <c r="F777" s="1145">
        <v>0</v>
      </c>
      <c r="G777" s="1145">
        <v>0</v>
      </c>
      <c r="H777" s="1145">
        <v>0</v>
      </c>
      <c r="I777" s="1145">
        <v>0</v>
      </c>
      <c r="J777" s="1145">
        <v>0</v>
      </c>
    </row>
    <row r="778" spans="2:10">
      <c r="B778" s="1140" t="s">
        <v>147</v>
      </c>
      <c r="C778" s="1145">
        <v>8</v>
      </c>
      <c r="D778" s="1145">
        <v>8</v>
      </c>
      <c r="E778" s="1145">
        <v>8</v>
      </c>
      <c r="F778" s="1145">
        <v>8</v>
      </c>
      <c r="G778" s="1147">
        <v>8</v>
      </c>
      <c r="H778" s="1147">
        <v>8</v>
      </c>
      <c r="I778" s="1147">
        <v>9</v>
      </c>
      <c r="J778" s="1147">
        <v>10</v>
      </c>
    </row>
    <row r="779" spans="2:10">
      <c r="B779" s="1140" t="s">
        <v>146</v>
      </c>
      <c r="C779" s="1145">
        <v>16</v>
      </c>
      <c r="D779" s="1145">
        <v>16</v>
      </c>
      <c r="E779" s="1145">
        <v>16</v>
      </c>
      <c r="F779" s="1145">
        <v>16</v>
      </c>
      <c r="G779" s="1147">
        <v>16</v>
      </c>
      <c r="H779" s="1147">
        <v>15</v>
      </c>
      <c r="I779" s="1147">
        <v>12</v>
      </c>
      <c r="J779" s="1147">
        <v>13</v>
      </c>
    </row>
    <row r="780" spans="2:10">
      <c r="B780" s="1140"/>
      <c r="C780" s="1145"/>
      <c r="D780" s="1145"/>
      <c r="E780" s="1145"/>
      <c r="F780" s="1145"/>
      <c r="G780" s="1147"/>
      <c r="H780" s="1147"/>
      <c r="I780" s="1147"/>
      <c r="J780" s="1147"/>
    </row>
    <row r="781" spans="2:10">
      <c r="B781" s="1099" t="s">
        <v>151</v>
      </c>
      <c r="C781" s="1145">
        <v>4</v>
      </c>
      <c r="D781" s="1145">
        <v>4</v>
      </c>
      <c r="E781" s="1145">
        <v>4</v>
      </c>
      <c r="F781" s="1145">
        <v>4</v>
      </c>
      <c r="G781" s="1147">
        <v>4</v>
      </c>
      <c r="H781" s="1147">
        <v>4</v>
      </c>
      <c r="I781" s="1147">
        <v>4</v>
      </c>
      <c r="J781" s="1147">
        <v>4</v>
      </c>
    </row>
    <row r="782" spans="2:10">
      <c r="B782" s="1140" t="s">
        <v>150</v>
      </c>
      <c r="C782" s="1145">
        <v>0</v>
      </c>
      <c r="D782" s="1145">
        <v>0</v>
      </c>
      <c r="E782" s="1145">
        <v>0</v>
      </c>
      <c r="F782" s="1145">
        <v>0</v>
      </c>
      <c r="G782" s="1145">
        <v>0</v>
      </c>
      <c r="H782" s="1145">
        <v>0</v>
      </c>
      <c r="I782" s="1145">
        <v>0</v>
      </c>
      <c r="J782" s="1145">
        <v>0</v>
      </c>
    </row>
    <row r="783" spans="2:10">
      <c r="B783" s="1140" t="s">
        <v>149</v>
      </c>
      <c r="C783" s="1145" t="s">
        <v>1346</v>
      </c>
      <c r="D783" s="1145" t="s">
        <v>1346</v>
      </c>
      <c r="E783" s="1145">
        <v>0</v>
      </c>
      <c r="F783" s="1145">
        <v>0</v>
      </c>
      <c r="G783" s="1145">
        <v>0</v>
      </c>
      <c r="H783" s="1145">
        <v>0</v>
      </c>
      <c r="I783" s="1145">
        <v>0</v>
      </c>
      <c r="J783" s="1145">
        <v>0</v>
      </c>
    </row>
    <row r="784" spans="2:10">
      <c r="B784" s="1140" t="s">
        <v>148</v>
      </c>
      <c r="C784" s="1145">
        <v>4</v>
      </c>
      <c r="D784" s="1145">
        <v>4</v>
      </c>
      <c r="E784" s="1145">
        <v>4</v>
      </c>
      <c r="F784" s="1145">
        <v>4</v>
      </c>
      <c r="G784" s="1147">
        <v>4</v>
      </c>
      <c r="H784" s="1147">
        <v>4</v>
      </c>
      <c r="I784" s="1147">
        <v>4</v>
      </c>
      <c r="J784" s="1147">
        <v>4</v>
      </c>
    </row>
    <row r="785" spans="2:10">
      <c r="B785" s="1140" t="s">
        <v>147</v>
      </c>
      <c r="C785" s="1145">
        <v>0</v>
      </c>
      <c r="D785" s="1145">
        <v>0</v>
      </c>
      <c r="E785" s="1145">
        <v>0</v>
      </c>
      <c r="F785" s="1145">
        <v>0</v>
      </c>
      <c r="G785" s="1145">
        <v>0</v>
      </c>
      <c r="H785" s="1145">
        <v>0</v>
      </c>
      <c r="I785" s="1145">
        <v>0</v>
      </c>
      <c r="J785" s="1145">
        <v>0</v>
      </c>
    </row>
    <row r="786" spans="2:10">
      <c r="B786" s="1140" t="s">
        <v>146</v>
      </c>
      <c r="C786" s="1145">
        <v>0</v>
      </c>
      <c r="D786" s="1145">
        <v>0</v>
      </c>
      <c r="E786" s="1145">
        <v>0</v>
      </c>
      <c r="F786" s="1145">
        <v>0</v>
      </c>
      <c r="G786" s="1145">
        <v>0</v>
      </c>
      <c r="H786" s="1145">
        <v>0</v>
      </c>
      <c r="I786" s="1145">
        <v>0</v>
      </c>
      <c r="J786" s="1145">
        <v>0</v>
      </c>
    </row>
    <row r="787" spans="2:10">
      <c r="B787" s="1076"/>
      <c r="C787" s="1195"/>
      <c r="D787" s="1195"/>
      <c r="E787" s="1195"/>
      <c r="F787" s="1195"/>
      <c r="G787" s="1195"/>
      <c r="H787" s="1195"/>
      <c r="I787" s="1195"/>
      <c r="J787" s="1195"/>
    </row>
    <row r="788" spans="2:10">
      <c r="B788" s="450" t="s">
        <v>1697</v>
      </c>
      <c r="C788" s="1201"/>
      <c r="D788" s="1201"/>
      <c r="E788" s="1201"/>
      <c r="F788" s="1201"/>
      <c r="G788" s="1201"/>
      <c r="H788" s="1201"/>
      <c r="I788" s="1201"/>
      <c r="J788" s="1201"/>
    </row>
    <row r="789" spans="2:10">
      <c r="B789" s="424" t="s">
        <v>516</v>
      </c>
      <c r="C789" s="1148">
        <f t="shared" ref="C789:J789" si="34">C790+C792+C793+C794</f>
        <v>29</v>
      </c>
      <c r="D789" s="1148">
        <f t="shared" si="34"/>
        <v>30</v>
      </c>
      <c r="E789" s="1148">
        <f t="shared" si="34"/>
        <v>31</v>
      </c>
      <c r="F789" s="1148">
        <f t="shared" si="34"/>
        <v>32</v>
      </c>
      <c r="G789" s="1148">
        <f t="shared" si="34"/>
        <v>32</v>
      </c>
      <c r="H789" s="1148">
        <f t="shared" si="34"/>
        <v>31</v>
      </c>
      <c r="I789" s="1148">
        <f t="shared" si="34"/>
        <v>32</v>
      </c>
      <c r="J789" s="1148">
        <f t="shared" si="34"/>
        <v>30</v>
      </c>
    </row>
    <row r="790" spans="2:10">
      <c r="B790" s="1156" t="s">
        <v>150</v>
      </c>
      <c r="C790" s="1148">
        <v>1</v>
      </c>
      <c r="D790" s="1148">
        <v>1</v>
      </c>
      <c r="E790" s="1148">
        <v>1</v>
      </c>
      <c r="F790" s="1148">
        <v>1</v>
      </c>
      <c r="G790" s="1148">
        <v>1</v>
      </c>
      <c r="H790" s="1148">
        <v>1</v>
      </c>
      <c r="I790" s="1148">
        <v>1</v>
      </c>
      <c r="J790" s="1148">
        <v>1</v>
      </c>
    </row>
    <row r="791" spans="2:10">
      <c r="B791" s="1156" t="s">
        <v>149</v>
      </c>
      <c r="C791" s="1201">
        <v>0</v>
      </c>
      <c r="D791" s="1201">
        <v>0</v>
      </c>
      <c r="E791" s="1201">
        <v>0</v>
      </c>
      <c r="F791" s="1201">
        <v>0</v>
      </c>
      <c r="G791" s="1201">
        <v>0</v>
      </c>
      <c r="H791" s="1201">
        <v>0</v>
      </c>
      <c r="I791" s="1201">
        <v>0</v>
      </c>
      <c r="J791" s="1201">
        <v>0</v>
      </c>
    </row>
    <row r="792" spans="2:10">
      <c r="B792" s="1156" t="s">
        <v>148</v>
      </c>
      <c r="C792" s="1148">
        <v>1</v>
      </c>
      <c r="D792" s="1148">
        <v>1</v>
      </c>
      <c r="E792" s="1148">
        <v>1</v>
      </c>
      <c r="F792" s="1148">
        <v>1</v>
      </c>
      <c r="G792" s="1148">
        <v>1</v>
      </c>
      <c r="H792" s="1148">
        <v>1</v>
      </c>
      <c r="I792" s="1148">
        <v>1</v>
      </c>
      <c r="J792" s="1148">
        <v>1</v>
      </c>
    </row>
    <row r="793" spans="2:10">
      <c r="B793" s="1156" t="s">
        <v>147</v>
      </c>
      <c r="C793" s="1148">
        <v>9</v>
      </c>
      <c r="D793" s="1148">
        <v>10</v>
      </c>
      <c r="E793" s="1148">
        <v>11</v>
      </c>
      <c r="F793" s="1148">
        <v>11</v>
      </c>
      <c r="G793" s="1148">
        <v>11</v>
      </c>
      <c r="H793" s="1148">
        <v>11</v>
      </c>
      <c r="I793" s="1148">
        <v>11</v>
      </c>
      <c r="J793" s="1148">
        <v>10</v>
      </c>
    </row>
    <row r="794" spans="2:10">
      <c r="B794" s="1156" t="s">
        <v>146</v>
      </c>
      <c r="C794" s="1148">
        <v>18</v>
      </c>
      <c r="D794" s="1148">
        <v>18</v>
      </c>
      <c r="E794" s="1148">
        <v>18</v>
      </c>
      <c r="F794" s="1148">
        <v>19</v>
      </c>
      <c r="G794" s="1148">
        <v>19</v>
      </c>
      <c r="H794" s="1148">
        <v>18</v>
      </c>
      <c r="I794" s="1148">
        <v>19</v>
      </c>
      <c r="J794" s="1148">
        <v>18</v>
      </c>
    </row>
    <row r="795" spans="2:10">
      <c r="B795" s="1156"/>
      <c r="C795" s="1201"/>
      <c r="D795" s="1201"/>
      <c r="E795" s="1201"/>
      <c r="F795" s="1201"/>
      <c r="G795" s="1201"/>
      <c r="H795" s="1201"/>
      <c r="I795" s="1201"/>
      <c r="J795" s="1201"/>
    </row>
    <row r="796" spans="2:10">
      <c r="B796" s="424" t="s">
        <v>152</v>
      </c>
      <c r="C796" s="1148">
        <f t="shared" ref="C796:J796" si="35">C797+C799+C800+C801</f>
        <v>29</v>
      </c>
      <c r="D796" s="1148">
        <f t="shared" si="35"/>
        <v>30</v>
      </c>
      <c r="E796" s="1148">
        <f t="shared" si="35"/>
        <v>31</v>
      </c>
      <c r="F796" s="1148">
        <f t="shared" si="35"/>
        <v>32</v>
      </c>
      <c r="G796" s="1148">
        <f t="shared" si="35"/>
        <v>32</v>
      </c>
      <c r="H796" s="1148">
        <f t="shared" si="35"/>
        <v>31</v>
      </c>
      <c r="I796" s="1148">
        <f t="shared" si="35"/>
        <v>32</v>
      </c>
      <c r="J796" s="1148">
        <f t="shared" si="35"/>
        <v>30</v>
      </c>
    </row>
    <row r="797" spans="2:10">
      <c r="B797" s="1156" t="s">
        <v>150</v>
      </c>
      <c r="C797" s="1148">
        <v>1</v>
      </c>
      <c r="D797" s="1148">
        <v>1</v>
      </c>
      <c r="E797" s="1148">
        <v>1</v>
      </c>
      <c r="F797" s="1148">
        <v>1</v>
      </c>
      <c r="G797" s="1148">
        <v>1</v>
      </c>
      <c r="H797" s="1148">
        <v>1</v>
      </c>
      <c r="I797" s="1148">
        <v>1</v>
      </c>
      <c r="J797" s="1148">
        <v>1</v>
      </c>
    </row>
    <row r="798" spans="2:10">
      <c r="B798" s="1156" t="s">
        <v>149</v>
      </c>
      <c r="C798" s="1201">
        <v>0</v>
      </c>
      <c r="D798" s="1201">
        <v>0</v>
      </c>
      <c r="E798" s="1201">
        <v>0</v>
      </c>
      <c r="F798" s="1201">
        <v>0</v>
      </c>
      <c r="G798" s="1201">
        <v>0</v>
      </c>
      <c r="H798" s="1201">
        <v>0</v>
      </c>
      <c r="I798" s="1201">
        <v>0</v>
      </c>
      <c r="J798" s="1201">
        <v>0</v>
      </c>
    </row>
    <row r="799" spans="2:10">
      <c r="B799" s="1156" t="s">
        <v>148</v>
      </c>
      <c r="C799" s="1148">
        <v>1</v>
      </c>
      <c r="D799" s="1148">
        <v>1</v>
      </c>
      <c r="E799" s="1148">
        <v>1</v>
      </c>
      <c r="F799" s="1148">
        <v>1</v>
      </c>
      <c r="G799" s="1148">
        <v>1</v>
      </c>
      <c r="H799" s="1148">
        <v>1</v>
      </c>
      <c r="I799" s="1148">
        <v>1</v>
      </c>
      <c r="J799" s="1148">
        <v>1</v>
      </c>
    </row>
    <row r="800" spans="2:10">
      <c r="B800" s="1156" t="s">
        <v>147</v>
      </c>
      <c r="C800" s="1148">
        <v>9</v>
      </c>
      <c r="D800" s="1148">
        <v>10</v>
      </c>
      <c r="E800" s="1148">
        <v>11</v>
      </c>
      <c r="F800" s="1148">
        <v>11</v>
      </c>
      <c r="G800" s="1148">
        <v>11</v>
      </c>
      <c r="H800" s="1148">
        <v>11</v>
      </c>
      <c r="I800" s="1148">
        <v>11</v>
      </c>
      <c r="J800" s="1148">
        <v>10</v>
      </c>
    </row>
    <row r="801" spans="2:10">
      <c r="B801" s="1156" t="s">
        <v>146</v>
      </c>
      <c r="C801" s="1148">
        <v>18</v>
      </c>
      <c r="D801" s="1148">
        <v>18</v>
      </c>
      <c r="E801" s="1148">
        <v>18</v>
      </c>
      <c r="F801" s="1148">
        <v>19</v>
      </c>
      <c r="G801" s="1148">
        <v>19</v>
      </c>
      <c r="H801" s="1148">
        <v>18</v>
      </c>
      <c r="I801" s="1148">
        <v>19</v>
      </c>
      <c r="J801" s="1148">
        <v>18</v>
      </c>
    </row>
    <row r="802" spans="2:10">
      <c r="B802" s="1156"/>
      <c r="C802" s="1211"/>
      <c r="D802" s="1211"/>
      <c r="E802" s="1211"/>
      <c r="F802" s="1211"/>
      <c r="G802" s="1211"/>
      <c r="H802" s="1211"/>
      <c r="I802" s="1211"/>
      <c r="J802" s="1211"/>
    </row>
    <row r="803" spans="2:10">
      <c r="B803" s="424" t="s">
        <v>151</v>
      </c>
      <c r="C803" s="1201">
        <v>0</v>
      </c>
      <c r="D803" s="1201">
        <v>0</v>
      </c>
      <c r="E803" s="1201">
        <v>0</v>
      </c>
      <c r="F803" s="1201">
        <v>0</v>
      </c>
      <c r="G803" s="1201">
        <v>0</v>
      </c>
      <c r="H803" s="1201">
        <v>0</v>
      </c>
      <c r="I803" s="1201">
        <v>0</v>
      </c>
      <c r="J803" s="1201">
        <v>0</v>
      </c>
    </row>
    <row r="804" spans="2:10">
      <c r="B804" s="1156" t="s">
        <v>150</v>
      </c>
      <c r="C804" s="1201"/>
      <c r="D804" s="1201"/>
      <c r="E804" s="1201"/>
      <c r="F804" s="1201"/>
      <c r="G804" s="1201"/>
      <c r="H804" s="1201"/>
      <c r="I804" s="1201"/>
      <c r="J804" s="1201"/>
    </row>
    <row r="805" spans="2:10">
      <c r="B805" s="1156" t="s">
        <v>149</v>
      </c>
      <c r="C805" s="1201"/>
      <c r="D805" s="1201"/>
      <c r="E805" s="1201"/>
      <c r="F805" s="1201"/>
      <c r="G805" s="1201"/>
      <c r="H805" s="1201"/>
      <c r="I805" s="1201"/>
      <c r="J805" s="1201"/>
    </row>
    <row r="806" spans="2:10">
      <c r="B806" s="1156" t="s">
        <v>148</v>
      </c>
      <c r="C806" s="1201"/>
      <c r="D806" s="1201"/>
      <c r="E806" s="1201"/>
      <c r="F806" s="1201"/>
      <c r="G806" s="1201"/>
      <c r="H806" s="1201"/>
      <c r="I806" s="1201"/>
      <c r="J806" s="1201"/>
    </row>
    <row r="807" spans="2:10">
      <c r="B807" s="1156" t="s">
        <v>147</v>
      </c>
      <c r="C807" s="1201"/>
      <c r="D807" s="1201"/>
      <c r="E807" s="1201"/>
      <c r="F807" s="1201"/>
      <c r="G807" s="1201"/>
      <c r="H807" s="1201"/>
      <c r="I807" s="1201"/>
      <c r="J807" s="1201"/>
    </row>
    <row r="808" spans="2:10" ht="15" thickBot="1">
      <c r="B808" s="1212" t="s">
        <v>146</v>
      </c>
      <c r="C808" s="1201"/>
      <c r="D808" s="1201"/>
      <c r="E808" s="1201"/>
      <c r="F808" s="1201"/>
      <c r="G808" s="1201"/>
      <c r="H808" s="1201"/>
      <c r="I808" s="1201"/>
      <c r="J808" s="1201"/>
    </row>
    <row r="809" spans="2:10" ht="15" thickTop="1">
      <c r="B809" s="2093" t="s">
        <v>1698</v>
      </c>
      <c r="C809" s="2093"/>
      <c r="D809" s="2093"/>
      <c r="E809" s="2093"/>
      <c r="F809" s="2093"/>
      <c r="G809" s="2093"/>
      <c r="H809" s="2093"/>
      <c r="I809" s="2093"/>
      <c r="J809" s="2093"/>
    </row>
    <row r="810" spans="2:10">
      <c r="B810" s="2094"/>
      <c r="C810" s="2094"/>
      <c r="D810" s="2094"/>
      <c r="E810" s="2094"/>
      <c r="F810" s="2094"/>
      <c r="G810" s="2094"/>
      <c r="H810" s="2094"/>
      <c r="I810" s="2094"/>
      <c r="J810" s="2094"/>
    </row>
    <row r="811" spans="2:10">
      <c r="B811" s="1063"/>
    </row>
    <row r="812" spans="2:10">
      <c r="B812" s="2081" t="s">
        <v>144</v>
      </c>
      <c r="C812" s="2081"/>
      <c r="D812" s="2081"/>
      <c r="E812" s="2081"/>
      <c r="F812" s="2081"/>
      <c r="G812" s="2081"/>
      <c r="H812" s="2081"/>
      <c r="I812" s="2081"/>
      <c r="J812" s="2081"/>
    </row>
    <row r="813" spans="2:10">
      <c r="B813" s="1049" t="s">
        <v>143</v>
      </c>
    </row>
    <row r="814" spans="2:10">
      <c r="B814" s="1063" t="s">
        <v>142</v>
      </c>
    </row>
    <row r="815" spans="2:10">
      <c r="B815" s="1063"/>
    </row>
    <row r="816" spans="2:10">
      <c r="B816" s="1051"/>
      <c r="C816" s="1052">
        <v>2014</v>
      </c>
      <c r="D816" s="1052">
        <v>2015</v>
      </c>
      <c r="E816" s="1052">
        <v>2016</v>
      </c>
      <c r="F816" s="1052">
        <v>2017</v>
      </c>
      <c r="G816" s="1052">
        <v>2018</v>
      </c>
      <c r="H816" s="1052">
        <v>2019</v>
      </c>
      <c r="I816" s="1052">
        <v>2020</v>
      </c>
      <c r="J816" s="1052">
        <v>2021</v>
      </c>
    </row>
    <row r="817" spans="2:10">
      <c r="B817" s="450" t="s">
        <v>1373</v>
      </c>
      <c r="C817" s="1208"/>
      <c r="D817" s="1208"/>
      <c r="E817" s="1208"/>
      <c r="F817" s="1208"/>
      <c r="G817" s="1208"/>
      <c r="H817" s="1208"/>
      <c r="I817" s="1208"/>
      <c r="J817" s="1208"/>
    </row>
    <row r="818" spans="2:10">
      <c r="B818" s="1099" t="s">
        <v>141</v>
      </c>
      <c r="C818" s="1208">
        <v>3.6829999999999998</v>
      </c>
      <c r="D818" s="1208">
        <v>3.0379999999999998</v>
      </c>
      <c r="E818" s="1208">
        <v>2.988</v>
      </c>
      <c r="F818" s="1208">
        <v>3.0150000000000001</v>
      </c>
      <c r="G818" s="1209">
        <v>4.6969999999999992</v>
      </c>
      <c r="H818" s="1207">
        <v>3.7619999999999996</v>
      </c>
      <c r="I818" s="1207">
        <v>2.2120000000000002</v>
      </c>
      <c r="J818" s="1207">
        <v>2.008</v>
      </c>
    </row>
    <row r="819" spans="2:10">
      <c r="B819" s="1140" t="s">
        <v>121</v>
      </c>
      <c r="C819" s="1208">
        <v>3.3250000000000002</v>
      </c>
      <c r="D819" s="1208">
        <v>2.649</v>
      </c>
      <c r="E819" s="1208">
        <v>2.593</v>
      </c>
      <c r="F819" s="1208">
        <v>2.5859999999999999</v>
      </c>
      <c r="G819" s="1209">
        <v>4.1479999999999997</v>
      </c>
      <c r="H819" s="1207">
        <v>3.2449999999999997</v>
      </c>
      <c r="I819" s="1207">
        <v>1.7650000000000001</v>
      </c>
      <c r="J819" s="1207">
        <v>1.456</v>
      </c>
    </row>
    <row r="820" spans="2:10">
      <c r="B820" s="1197" t="s">
        <v>120</v>
      </c>
      <c r="C820" s="1208">
        <v>2.2599999999999998</v>
      </c>
      <c r="D820" s="1208">
        <v>2.0649999999999999</v>
      </c>
      <c r="E820" s="1208">
        <v>2.0880000000000001</v>
      </c>
      <c r="F820" s="1208">
        <v>1.946</v>
      </c>
      <c r="G820" s="1209">
        <v>3.86</v>
      </c>
      <c r="H820" s="1207">
        <v>2.9609999999999999</v>
      </c>
      <c r="I820" s="1207">
        <v>1.024</v>
      </c>
      <c r="J820" s="1207">
        <v>0.63900000000000001</v>
      </c>
    </row>
    <row r="821" spans="2:10">
      <c r="B821" s="1197" t="s">
        <v>119</v>
      </c>
      <c r="C821" s="1208">
        <v>1.0649999999999999</v>
      </c>
      <c r="D821" s="1208">
        <v>0.58399999999999996</v>
      </c>
      <c r="E821" s="1208">
        <v>0.505</v>
      </c>
      <c r="F821" s="1208">
        <v>0.64</v>
      </c>
      <c r="G821" s="1209">
        <v>0.28799999999999998</v>
      </c>
      <c r="H821" s="1207">
        <v>0.28399999999999997</v>
      </c>
      <c r="I821" s="1207">
        <v>0.74099999999999999</v>
      </c>
      <c r="J821" s="1207">
        <v>0.81699999999999995</v>
      </c>
    </row>
    <row r="822" spans="2:10">
      <c r="B822" s="1140" t="s">
        <v>118</v>
      </c>
      <c r="C822" s="1208">
        <v>0.32500000000000001</v>
      </c>
      <c r="D822" s="1208">
        <v>0.35900000000000004</v>
      </c>
      <c r="E822" s="1208">
        <v>0.36699999999999999</v>
      </c>
      <c r="F822" s="1208">
        <v>0.40100000000000002</v>
      </c>
      <c r="G822" s="1209">
        <v>0.52100000000000002</v>
      </c>
      <c r="H822" s="1207">
        <v>0.48799999999999999</v>
      </c>
      <c r="I822" s="1207">
        <v>0.41799999999999998</v>
      </c>
      <c r="J822" s="1207">
        <v>0.52200000000000002</v>
      </c>
    </row>
    <row r="823" spans="2:10">
      <c r="B823" s="1140" t="s">
        <v>117</v>
      </c>
      <c r="C823" s="1208">
        <v>3.3000000000000002E-2</v>
      </c>
      <c r="D823" s="1208">
        <v>0.03</v>
      </c>
      <c r="E823" s="1208">
        <v>2.8000000000000001E-2</v>
      </c>
      <c r="F823" s="1208">
        <v>2.8000000000000001E-2</v>
      </c>
      <c r="G823" s="1209">
        <v>2.8000000000000001E-2</v>
      </c>
      <c r="H823" s="1207">
        <v>2.9000000000000001E-2</v>
      </c>
      <c r="I823" s="1207">
        <v>2.9000000000000001E-2</v>
      </c>
      <c r="J823" s="1207">
        <v>0.03</v>
      </c>
    </row>
    <row r="824" spans="2:10">
      <c r="B824" s="1099"/>
      <c r="C824" s="1208"/>
      <c r="D824" s="1208"/>
      <c r="E824" s="1208"/>
      <c r="F824" s="1208"/>
      <c r="G824" s="1209"/>
      <c r="H824" s="1209"/>
      <c r="I824" s="1209"/>
      <c r="J824" s="1209"/>
    </row>
    <row r="825" spans="2:10">
      <c r="B825" s="450" t="s">
        <v>1697</v>
      </c>
      <c r="C825" s="1208"/>
      <c r="D825" s="1208"/>
      <c r="E825" s="1208"/>
      <c r="F825" s="1208"/>
      <c r="G825" s="1208"/>
      <c r="H825" s="1208"/>
      <c r="I825" s="1208"/>
      <c r="J825" s="1208"/>
    </row>
    <row r="826" spans="2:10">
      <c r="B826" s="1099" t="s">
        <v>141</v>
      </c>
      <c r="C826" s="1073"/>
      <c r="D826" s="1073"/>
      <c r="E826" s="1073"/>
      <c r="F826" s="1073"/>
      <c r="G826" s="1073"/>
      <c r="H826" s="1073"/>
      <c r="I826" s="1073"/>
      <c r="J826" s="1073"/>
    </row>
    <row r="827" spans="2:10">
      <c r="B827" s="1140" t="s">
        <v>121</v>
      </c>
      <c r="C827" s="1073">
        <v>0.12</v>
      </c>
      <c r="D827" s="1073">
        <v>0.23599999999999999</v>
      </c>
      <c r="E827" s="1073">
        <v>0.25900000000000001</v>
      </c>
      <c r="F827" s="1073">
        <v>0.245</v>
      </c>
      <c r="G827" s="1073">
        <v>0.22700000000000001</v>
      </c>
      <c r="H827" s="1073">
        <v>0.21</v>
      </c>
      <c r="I827" s="1073">
        <v>0.20499999999999999</v>
      </c>
      <c r="J827" s="1073">
        <v>0.182</v>
      </c>
    </row>
    <row r="828" spans="2:10">
      <c r="B828" s="1197" t="s">
        <v>120</v>
      </c>
      <c r="C828" s="1073">
        <v>0</v>
      </c>
      <c r="D828" s="1073">
        <v>1.4999999999999999E-2</v>
      </c>
      <c r="E828" s="1073">
        <v>1.2E-2</v>
      </c>
      <c r="F828" s="1073">
        <v>8.0000000000000002E-3</v>
      </c>
      <c r="G828" s="1073">
        <v>5.0000000000000001E-3</v>
      </c>
      <c r="H828" s="1073">
        <v>7.0000000000000001E-3</v>
      </c>
      <c r="I828" s="1073">
        <v>8.9999999999999993E-3</v>
      </c>
      <c r="J828" s="1073">
        <v>2E-3</v>
      </c>
    </row>
    <row r="829" spans="2:10">
      <c r="B829" s="1197" t="s">
        <v>119</v>
      </c>
      <c r="C829" s="1073">
        <v>0</v>
      </c>
      <c r="D829" s="1073">
        <v>0.221</v>
      </c>
      <c r="E829" s="1073">
        <v>0.247</v>
      </c>
      <c r="F829" s="1073">
        <v>0.23699999999999999</v>
      </c>
      <c r="G829" s="1073">
        <v>0.222</v>
      </c>
      <c r="H829" s="1073">
        <v>0.20300000000000001</v>
      </c>
      <c r="I829" s="1073">
        <v>0.19600000000000001</v>
      </c>
      <c r="J829" s="1073">
        <v>0.18</v>
      </c>
    </row>
    <row r="830" spans="2:10">
      <c r="B830" s="1140" t="s">
        <v>118</v>
      </c>
      <c r="C830" s="1073">
        <v>0</v>
      </c>
      <c r="D830" s="1073">
        <v>0</v>
      </c>
      <c r="E830" s="1073">
        <v>0</v>
      </c>
      <c r="F830" s="1073">
        <v>0</v>
      </c>
      <c r="G830" s="1073">
        <v>0</v>
      </c>
      <c r="H830" s="1073">
        <v>0</v>
      </c>
      <c r="I830" s="1073">
        <v>0</v>
      </c>
      <c r="J830" s="1073">
        <v>0</v>
      </c>
    </row>
    <row r="831" spans="2:10" ht="15" thickBot="1">
      <c r="B831" s="1194" t="s">
        <v>117</v>
      </c>
      <c r="C831" s="1073">
        <v>0</v>
      </c>
      <c r="D831" s="1073">
        <v>0</v>
      </c>
      <c r="E831" s="1073">
        <v>0</v>
      </c>
      <c r="F831" s="1073">
        <v>0</v>
      </c>
      <c r="G831" s="1073">
        <v>0</v>
      </c>
      <c r="H831" s="1073">
        <v>0</v>
      </c>
      <c r="I831" s="1073">
        <v>0</v>
      </c>
      <c r="J831" s="1073">
        <v>0</v>
      </c>
    </row>
    <row r="832" spans="2:10" ht="15" thickTop="1">
      <c r="B832" s="2093" t="s">
        <v>1699</v>
      </c>
      <c r="C832" s="2093"/>
      <c r="D832" s="2093"/>
      <c r="E832" s="2093"/>
      <c r="F832" s="2093"/>
      <c r="G832" s="2093"/>
      <c r="H832" s="2093"/>
      <c r="I832" s="2093"/>
      <c r="J832" s="2093"/>
    </row>
    <row r="833" spans="2:10">
      <c r="B833" s="2094"/>
      <c r="C833" s="2094"/>
      <c r="D833" s="2094"/>
      <c r="E833" s="2094"/>
      <c r="F833" s="2094"/>
      <c r="G833" s="2094"/>
      <c r="H833" s="2094"/>
      <c r="I833" s="2094"/>
      <c r="J833" s="2094"/>
    </row>
    <row r="834" spans="2:10">
      <c r="B834" s="403"/>
    </row>
    <row r="835" spans="2:10">
      <c r="B835" s="2081" t="s">
        <v>140</v>
      </c>
      <c r="C835" s="2081"/>
      <c r="D835" s="2081"/>
      <c r="E835" s="2081"/>
      <c r="F835" s="2081"/>
      <c r="G835" s="2081"/>
      <c r="H835" s="2081"/>
      <c r="I835" s="2081"/>
      <c r="J835" s="2081"/>
    </row>
    <row r="836" spans="2:10">
      <c r="B836" s="1049" t="s">
        <v>139</v>
      </c>
    </row>
    <row r="837" spans="2:10">
      <c r="B837" s="1063" t="s">
        <v>138</v>
      </c>
    </row>
    <row r="838" spans="2:10">
      <c r="B838" s="403"/>
    </row>
    <row r="839" spans="2:10">
      <c r="B839" s="1051"/>
      <c r="C839" s="1052">
        <v>2014</v>
      </c>
      <c r="D839" s="1052">
        <v>2015</v>
      </c>
      <c r="E839" s="1052">
        <v>2016</v>
      </c>
      <c r="F839" s="1052">
        <v>2017</v>
      </c>
      <c r="G839" s="1052">
        <v>2018</v>
      </c>
      <c r="H839" s="1052">
        <v>2019</v>
      </c>
      <c r="I839" s="1052">
        <v>2020</v>
      </c>
      <c r="J839" s="1052">
        <v>2021</v>
      </c>
    </row>
    <row r="840" spans="2:10">
      <c r="B840" s="450" t="s">
        <v>1373</v>
      </c>
      <c r="C840" s="1208"/>
      <c r="D840" s="1208"/>
      <c r="E840" s="1208"/>
      <c r="F840" s="1208"/>
      <c r="G840" s="1208"/>
      <c r="H840" s="1208"/>
      <c r="I840" s="1208"/>
      <c r="J840" s="1208"/>
    </row>
    <row r="841" spans="2:10">
      <c r="B841" s="1099" t="s">
        <v>1700</v>
      </c>
      <c r="C841" s="1073">
        <v>9547.0973274897369</v>
      </c>
      <c r="D841" s="1073">
        <v>10485.552181173645</v>
      </c>
      <c r="E841" s="1073">
        <v>12312.470014515729</v>
      </c>
      <c r="F841" s="1073">
        <v>13403.228892548781</v>
      </c>
      <c r="G841" s="1207">
        <v>19985.965850608627</v>
      </c>
      <c r="H841" s="1207">
        <v>20253.818839684845</v>
      </c>
      <c r="I841" s="1207">
        <v>11641.606890821358</v>
      </c>
      <c r="J841" s="1207">
        <v>10853.92546710104</v>
      </c>
    </row>
    <row r="842" spans="2:10">
      <c r="B842" s="1140" t="s">
        <v>121</v>
      </c>
      <c r="C842" s="1073">
        <v>9097.9990582907558</v>
      </c>
      <c r="D842" s="1073">
        <v>10034.07873842552</v>
      </c>
      <c r="E842" s="1073">
        <v>8643.2059309414271</v>
      </c>
      <c r="F842" s="1073">
        <v>9553.8115975360288</v>
      </c>
      <c r="G842" s="1207">
        <v>11442.768487099869</v>
      </c>
      <c r="H842" s="1207">
        <v>11366.915992797218</v>
      </c>
      <c r="I842" s="1207">
        <v>7524.231871251056</v>
      </c>
      <c r="J842" s="1207">
        <v>6332.483365700974</v>
      </c>
    </row>
    <row r="843" spans="2:10">
      <c r="B843" s="1197" t="s">
        <v>120</v>
      </c>
      <c r="C843" s="1073">
        <v>0</v>
      </c>
      <c r="D843" s="1073">
        <v>0</v>
      </c>
      <c r="E843" s="1073">
        <v>0</v>
      </c>
      <c r="F843" s="1073">
        <v>0</v>
      </c>
      <c r="G843" s="1207">
        <v>7618.7975914598892</v>
      </c>
      <c r="H843" s="1207">
        <v>7232.834015985819</v>
      </c>
      <c r="I843" s="1207">
        <v>3341.3301737283855</v>
      </c>
      <c r="J843" s="1207">
        <v>1584.8288317097354</v>
      </c>
    </row>
    <row r="844" spans="2:10">
      <c r="B844" s="1197" t="s">
        <v>119</v>
      </c>
      <c r="C844" s="1073">
        <v>0</v>
      </c>
      <c r="D844" s="1073">
        <v>0</v>
      </c>
      <c r="E844" s="1073">
        <v>0</v>
      </c>
      <c r="F844" s="1073">
        <v>0</v>
      </c>
      <c r="G844" s="1207">
        <v>3823.9708956399791</v>
      </c>
      <c r="H844" s="1207">
        <v>4134.0819768113988</v>
      </c>
      <c r="I844" s="1207">
        <v>4182.9016975226714</v>
      </c>
      <c r="J844" s="1207">
        <v>4747.6545339912391</v>
      </c>
    </row>
    <row r="845" spans="2:10">
      <c r="B845" s="1140" t="s">
        <v>118</v>
      </c>
      <c r="C845" s="1073">
        <v>336.7855531149408</v>
      </c>
      <c r="D845" s="1073">
        <v>338.48815612152595</v>
      </c>
      <c r="E845" s="1073">
        <v>1927.1878179053795</v>
      </c>
      <c r="F845" s="1073">
        <v>1830.3224345614856</v>
      </c>
      <c r="G845" s="1207">
        <v>2565.5951552683641</v>
      </c>
      <c r="H845" s="1207">
        <v>2504.279286389753</v>
      </c>
      <c r="I845" s="1207">
        <v>1927.1901189804264</v>
      </c>
      <c r="J845" s="1207">
        <v>2504.9592371584549</v>
      </c>
    </row>
    <row r="846" spans="2:10">
      <c r="B846" s="1140" t="s">
        <v>117</v>
      </c>
      <c r="C846" s="1073">
        <v>112.31271608403975</v>
      </c>
      <c r="D846" s="1073">
        <v>112.9852866266002</v>
      </c>
      <c r="E846" s="1073">
        <v>1742.0762656689219</v>
      </c>
      <c r="F846" s="1073">
        <v>2019.0948604512676</v>
      </c>
      <c r="G846" s="1207">
        <v>5977.6022082403952</v>
      </c>
      <c r="H846" s="1207">
        <v>6382.6235604978756</v>
      </c>
      <c r="I846" s="1207">
        <v>2190.1849005898775</v>
      </c>
      <c r="J846" s="1207">
        <v>2016.482864241611</v>
      </c>
    </row>
    <row r="847" spans="2:10">
      <c r="B847" s="1099"/>
      <c r="C847" s="1073"/>
      <c r="D847" s="1073"/>
      <c r="E847" s="1073"/>
      <c r="F847" s="1073"/>
      <c r="G847" s="1073"/>
      <c r="H847" s="1073"/>
      <c r="I847" s="1073"/>
      <c r="J847" s="1073"/>
    </row>
    <row r="848" spans="2:10">
      <c r="B848" s="450" t="s">
        <v>1697</v>
      </c>
      <c r="C848" s="1073"/>
      <c r="D848" s="1073"/>
      <c r="E848" s="1073"/>
      <c r="F848" s="1073"/>
      <c r="G848" s="1073"/>
      <c r="H848" s="1073"/>
      <c r="I848" s="1073"/>
      <c r="J848" s="1073"/>
    </row>
    <row r="849" spans="2:10">
      <c r="B849" s="1099" t="s">
        <v>1700</v>
      </c>
      <c r="C849" s="1073">
        <v>17904.542172523405</v>
      </c>
      <c r="D849" s="1073">
        <v>21500.597698345679</v>
      </c>
      <c r="E849" s="1073">
        <v>23296.840774019121</v>
      </c>
      <c r="F849" s="1073">
        <v>25788.259020480564</v>
      </c>
      <c r="G849" s="1073">
        <v>27486.49106164695</v>
      </c>
      <c r="H849" s="1073">
        <v>33087.243591436789</v>
      </c>
      <c r="I849" s="1073">
        <v>33412.214415769908</v>
      </c>
      <c r="J849" s="1073">
        <v>34724.161744180521</v>
      </c>
    </row>
    <row r="850" spans="2:10">
      <c r="B850" s="1140" t="s">
        <v>121</v>
      </c>
      <c r="C850" s="1073">
        <v>17904.542172523405</v>
      </c>
      <c r="D850" s="1073">
        <v>21500.597698345679</v>
      </c>
      <c r="E850" s="1073">
        <v>23296.840774019121</v>
      </c>
      <c r="F850" s="1073">
        <v>25788.259020480564</v>
      </c>
      <c r="G850" s="1073">
        <v>27486.49106164695</v>
      </c>
      <c r="H850" s="1073">
        <v>33087.243591436789</v>
      </c>
      <c r="I850" s="1073">
        <v>33412.214415769908</v>
      </c>
      <c r="J850" s="1073">
        <v>34724.161744180521</v>
      </c>
    </row>
    <row r="851" spans="2:10">
      <c r="B851" s="1197" t="s">
        <v>120</v>
      </c>
      <c r="C851" s="1073">
        <v>0</v>
      </c>
      <c r="D851" s="1073">
        <v>387.74151712599166</v>
      </c>
      <c r="E851" s="1073">
        <v>107.11780626801416</v>
      </c>
      <c r="F851" s="1073">
        <v>454.13303400303664</v>
      </c>
      <c r="G851" s="1073">
        <v>73.151441949734448</v>
      </c>
      <c r="H851" s="1073">
        <v>212.37962426985212</v>
      </c>
      <c r="I851" s="1073">
        <v>450.17804202905677</v>
      </c>
      <c r="J851" s="1073">
        <v>24.723813100491348</v>
      </c>
    </row>
    <row r="852" spans="2:10">
      <c r="B852" s="1197" t="s">
        <v>119</v>
      </c>
      <c r="C852" s="1073">
        <v>17904.542172523405</v>
      </c>
      <c r="D852" s="1073">
        <v>21112.856181219686</v>
      </c>
      <c r="E852" s="1073">
        <v>23189.722967751106</v>
      </c>
      <c r="F852" s="1073">
        <v>25334.125986477527</v>
      </c>
      <c r="G852" s="1073">
        <v>27413.339619697213</v>
      </c>
      <c r="H852" s="1073">
        <v>32874.863967166937</v>
      </c>
      <c r="I852" s="1073">
        <v>32962.036373740848</v>
      </c>
      <c r="J852" s="1073">
        <v>34699.437931080029</v>
      </c>
    </row>
    <row r="853" spans="2:10">
      <c r="B853" s="1140" t="s">
        <v>118</v>
      </c>
      <c r="C853" s="1073">
        <v>0</v>
      </c>
      <c r="D853" s="1073">
        <v>0</v>
      </c>
      <c r="E853" s="1073">
        <v>0</v>
      </c>
      <c r="F853" s="1073">
        <v>0</v>
      </c>
      <c r="G853" s="1073">
        <v>0</v>
      </c>
      <c r="H853" s="1073">
        <v>0</v>
      </c>
      <c r="I853" s="1073">
        <v>0</v>
      </c>
      <c r="J853" s="1073">
        <v>0</v>
      </c>
    </row>
    <row r="854" spans="2:10" ht="15" thickBot="1">
      <c r="B854" s="1194" t="s">
        <v>117</v>
      </c>
      <c r="C854" s="1073">
        <v>0</v>
      </c>
      <c r="D854" s="1073">
        <v>0</v>
      </c>
      <c r="E854" s="1073">
        <v>0</v>
      </c>
      <c r="F854" s="1073">
        <v>0</v>
      </c>
      <c r="G854" s="1073">
        <v>0</v>
      </c>
      <c r="H854" s="1073">
        <v>0</v>
      </c>
      <c r="I854" s="1073">
        <v>0</v>
      </c>
      <c r="J854" s="1073">
        <v>0</v>
      </c>
    </row>
    <row r="855" spans="2:10" ht="15" thickTop="1">
      <c r="B855" s="2093" t="s">
        <v>1699</v>
      </c>
      <c r="C855" s="2093"/>
      <c r="D855" s="2093"/>
      <c r="E855" s="2093"/>
      <c r="F855" s="2093"/>
      <c r="G855" s="2093"/>
      <c r="H855" s="2093"/>
      <c r="I855" s="2093"/>
      <c r="J855" s="2093"/>
    </row>
    <row r="856" spans="2:10">
      <c r="B856" s="403"/>
    </row>
    <row r="857" spans="2:10">
      <c r="B857" s="2081" t="s">
        <v>133</v>
      </c>
      <c r="C857" s="2081"/>
      <c r="D857" s="2081"/>
      <c r="E857" s="2081"/>
      <c r="F857" s="2081"/>
      <c r="G857" s="2081"/>
      <c r="H857" s="2081"/>
      <c r="I857" s="2081"/>
      <c r="J857" s="2081"/>
    </row>
    <row r="858" spans="2:10">
      <c r="B858" s="1049" t="s">
        <v>132</v>
      </c>
    </row>
    <row r="859" spans="2:10">
      <c r="B859" s="1063" t="s">
        <v>131</v>
      </c>
    </row>
    <row r="860" spans="2:10">
      <c r="B860" s="1063"/>
    </row>
    <row r="861" spans="2:10">
      <c r="B861" s="1051"/>
      <c r="C861" s="1052">
        <v>2014</v>
      </c>
      <c r="D861" s="1052">
        <v>2015</v>
      </c>
      <c r="E861" s="1052">
        <v>2016</v>
      </c>
      <c r="F861" s="1052">
        <v>2017</v>
      </c>
      <c r="G861" s="1052">
        <v>2018</v>
      </c>
      <c r="H861" s="1052">
        <v>2019</v>
      </c>
      <c r="I861" s="1052">
        <v>2020</v>
      </c>
      <c r="J861" s="1052">
        <v>2021</v>
      </c>
    </row>
    <row r="862" spans="2:10">
      <c r="B862" s="1099" t="s">
        <v>130</v>
      </c>
      <c r="C862" s="1207">
        <v>16.003</v>
      </c>
      <c r="D862" s="1207">
        <v>33.073999999999998</v>
      </c>
      <c r="E862" s="1207">
        <v>18.469000000000001</v>
      </c>
      <c r="F862" s="1207">
        <v>21.93</v>
      </c>
      <c r="G862" s="1207">
        <v>18.668000000000003</v>
      </c>
      <c r="H862" s="1207">
        <v>21.817999999999998</v>
      </c>
      <c r="I862" s="1207">
        <v>13.661000000000001</v>
      </c>
      <c r="J862" s="1207">
        <v>6.8049999999999997</v>
      </c>
    </row>
    <row r="863" spans="2:10">
      <c r="B863" s="1099"/>
      <c r="C863" s="1207"/>
      <c r="D863" s="1207"/>
      <c r="E863" s="1207"/>
      <c r="F863" s="1207"/>
      <c r="G863" s="1207"/>
      <c r="H863" s="1213"/>
      <c r="I863" s="1213"/>
      <c r="J863" s="1213"/>
    </row>
    <row r="864" spans="2:10">
      <c r="B864" s="450" t="s">
        <v>1373</v>
      </c>
      <c r="C864" s="1207">
        <v>12.269</v>
      </c>
      <c r="D864" s="1207">
        <v>29.913</v>
      </c>
      <c r="E864" s="1207">
        <v>16.632000000000001</v>
      </c>
      <c r="F864" s="1207">
        <v>19.887</v>
      </c>
      <c r="G864" s="1207">
        <v>16.071000000000002</v>
      </c>
      <c r="H864" s="1207">
        <v>19.241</v>
      </c>
      <c r="I864" s="1207">
        <v>11.682</v>
      </c>
      <c r="J864" s="1207">
        <v>6.8049999999999997</v>
      </c>
    </row>
    <row r="865" spans="2:10">
      <c r="B865" s="444" t="s">
        <v>123</v>
      </c>
      <c r="C865" s="1207">
        <v>0</v>
      </c>
      <c r="D865" s="1207">
        <v>0</v>
      </c>
      <c r="E865" s="1207">
        <v>0</v>
      </c>
      <c r="F865" s="1207">
        <v>0</v>
      </c>
      <c r="G865" s="1207">
        <v>0</v>
      </c>
      <c r="H865" s="1207">
        <v>0</v>
      </c>
      <c r="I865" s="1207">
        <v>0</v>
      </c>
      <c r="J865" s="1207">
        <v>0</v>
      </c>
    </row>
    <row r="866" spans="2:10">
      <c r="B866" s="1140" t="s">
        <v>121</v>
      </c>
      <c r="C866" s="1207">
        <v>0</v>
      </c>
      <c r="D866" s="1207">
        <v>0</v>
      </c>
      <c r="E866" s="1207">
        <v>0</v>
      </c>
      <c r="F866" s="1207">
        <v>0</v>
      </c>
      <c r="G866" s="1207">
        <v>0</v>
      </c>
      <c r="H866" s="1207">
        <v>0</v>
      </c>
      <c r="I866" s="1207">
        <v>0</v>
      </c>
      <c r="J866" s="1207">
        <v>0</v>
      </c>
    </row>
    <row r="867" spans="2:10">
      <c r="B867" s="1197" t="s">
        <v>120</v>
      </c>
      <c r="C867" s="1207">
        <v>0</v>
      </c>
      <c r="D867" s="1207">
        <v>0</v>
      </c>
      <c r="E867" s="1207">
        <v>0</v>
      </c>
      <c r="F867" s="1207">
        <v>0</v>
      </c>
      <c r="G867" s="1207">
        <v>0</v>
      </c>
      <c r="H867" s="1207">
        <v>0</v>
      </c>
      <c r="I867" s="1207">
        <v>0</v>
      </c>
      <c r="J867" s="1207">
        <v>0</v>
      </c>
    </row>
    <row r="868" spans="2:10">
      <c r="B868" s="1197" t="s">
        <v>119</v>
      </c>
      <c r="C868" s="1207">
        <v>0</v>
      </c>
      <c r="D868" s="1207">
        <v>0</v>
      </c>
      <c r="E868" s="1207">
        <v>0</v>
      </c>
      <c r="F868" s="1207">
        <v>0</v>
      </c>
      <c r="G868" s="1207">
        <v>0</v>
      </c>
      <c r="H868" s="1207">
        <v>0</v>
      </c>
      <c r="I868" s="1207">
        <v>0</v>
      </c>
      <c r="J868" s="1207">
        <v>0</v>
      </c>
    </row>
    <row r="869" spans="2:10">
      <c r="B869" s="1140" t="s">
        <v>118</v>
      </c>
      <c r="C869" s="1207">
        <v>0</v>
      </c>
      <c r="D869" s="1207">
        <v>0</v>
      </c>
      <c r="E869" s="1207">
        <v>0</v>
      </c>
      <c r="F869" s="1207">
        <v>0</v>
      </c>
      <c r="G869" s="1207">
        <v>0</v>
      </c>
      <c r="H869" s="1207">
        <v>0</v>
      </c>
      <c r="I869" s="1207">
        <v>0</v>
      </c>
      <c r="J869" s="1207">
        <v>0</v>
      </c>
    </row>
    <row r="870" spans="2:10">
      <c r="B870" s="1140" t="s">
        <v>117</v>
      </c>
      <c r="C870" s="1207">
        <v>0</v>
      </c>
      <c r="D870" s="1207">
        <v>0</v>
      </c>
      <c r="E870" s="1207">
        <v>0</v>
      </c>
      <c r="F870" s="1207">
        <v>0</v>
      </c>
      <c r="G870" s="1207">
        <v>0</v>
      </c>
      <c r="H870" s="1207">
        <v>0</v>
      </c>
      <c r="I870" s="1207">
        <v>0</v>
      </c>
      <c r="J870" s="1207">
        <v>0</v>
      </c>
    </row>
    <row r="871" spans="2:10">
      <c r="B871" s="1140"/>
      <c r="C871" s="1207"/>
      <c r="D871" s="1207"/>
      <c r="E871" s="1207"/>
      <c r="F871" s="1207"/>
      <c r="G871" s="1207"/>
      <c r="H871" s="1213"/>
      <c r="I871" s="1213"/>
      <c r="J871" s="1213"/>
    </row>
    <row r="872" spans="2:10">
      <c r="B872" s="444" t="s">
        <v>122</v>
      </c>
      <c r="C872" s="1207">
        <v>0</v>
      </c>
      <c r="D872" s="1207">
        <v>0</v>
      </c>
      <c r="E872" s="1207">
        <v>0</v>
      </c>
      <c r="F872" s="1207">
        <v>0</v>
      </c>
      <c r="G872" s="1207">
        <v>0</v>
      </c>
      <c r="H872" s="1207">
        <v>0</v>
      </c>
      <c r="I872" s="1207">
        <v>0</v>
      </c>
      <c r="J872" s="1207">
        <v>0</v>
      </c>
    </row>
    <row r="873" spans="2:10">
      <c r="B873" s="1140" t="s">
        <v>121</v>
      </c>
      <c r="C873" s="1207">
        <v>0</v>
      </c>
      <c r="D873" s="1207">
        <v>0</v>
      </c>
      <c r="E873" s="1207">
        <v>0</v>
      </c>
      <c r="F873" s="1207">
        <v>0</v>
      </c>
      <c r="G873" s="1207">
        <v>0</v>
      </c>
      <c r="H873" s="1207">
        <v>0</v>
      </c>
      <c r="I873" s="1207">
        <v>0</v>
      </c>
      <c r="J873" s="1207">
        <v>0</v>
      </c>
    </row>
    <row r="874" spans="2:10">
      <c r="B874" s="1197" t="s">
        <v>120</v>
      </c>
      <c r="C874" s="1207">
        <v>0</v>
      </c>
      <c r="D874" s="1207">
        <v>0</v>
      </c>
      <c r="E874" s="1207">
        <v>0</v>
      </c>
      <c r="F874" s="1207">
        <v>0</v>
      </c>
      <c r="G874" s="1207">
        <v>0</v>
      </c>
      <c r="H874" s="1207">
        <v>0</v>
      </c>
      <c r="I874" s="1207">
        <v>0</v>
      </c>
      <c r="J874" s="1207">
        <v>0</v>
      </c>
    </row>
    <row r="875" spans="2:10">
      <c r="B875" s="1197" t="s">
        <v>119</v>
      </c>
      <c r="C875" s="1207">
        <v>0</v>
      </c>
      <c r="D875" s="1207">
        <v>0</v>
      </c>
      <c r="E875" s="1207">
        <v>0</v>
      </c>
      <c r="F875" s="1207">
        <v>0</v>
      </c>
      <c r="G875" s="1207">
        <v>0</v>
      </c>
      <c r="H875" s="1207">
        <v>0</v>
      </c>
      <c r="I875" s="1207">
        <v>0</v>
      </c>
      <c r="J875" s="1207">
        <v>0</v>
      </c>
    </row>
    <row r="876" spans="2:10">
      <c r="B876" s="1140" t="s">
        <v>118</v>
      </c>
      <c r="C876" s="1207">
        <v>0</v>
      </c>
      <c r="D876" s="1207">
        <v>0</v>
      </c>
      <c r="E876" s="1207">
        <v>0</v>
      </c>
      <c r="F876" s="1207">
        <v>0</v>
      </c>
      <c r="G876" s="1207">
        <v>0</v>
      </c>
      <c r="H876" s="1207">
        <v>0</v>
      </c>
      <c r="I876" s="1207">
        <v>0</v>
      </c>
      <c r="J876" s="1207">
        <v>0</v>
      </c>
    </row>
    <row r="877" spans="2:10">
      <c r="B877" s="1140" t="s">
        <v>117</v>
      </c>
      <c r="C877" s="1207">
        <v>0</v>
      </c>
      <c r="D877" s="1207">
        <v>0</v>
      </c>
      <c r="E877" s="1207">
        <v>0</v>
      </c>
      <c r="F877" s="1207">
        <v>0</v>
      </c>
      <c r="G877" s="1207">
        <v>0</v>
      </c>
      <c r="H877" s="1207">
        <v>0</v>
      </c>
      <c r="I877" s="1207">
        <v>0</v>
      </c>
      <c r="J877" s="1207">
        <v>0</v>
      </c>
    </row>
    <row r="878" spans="2:10">
      <c r="B878" s="1140"/>
      <c r="C878" s="1073"/>
      <c r="D878" s="1073"/>
      <c r="E878" s="1073"/>
      <c r="F878" s="1073"/>
      <c r="G878" s="1073"/>
      <c r="H878" s="1073"/>
      <c r="I878" s="1073"/>
      <c r="J878" s="1073"/>
    </row>
    <row r="879" spans="2:10">
      <c r="B879" s="450" t="s">
        <v>1697</v>
      </c>
      <c r="C879" s="1073">
        <v>7.8129999999999997</v>
      </c>
      <c r="D879" s="1073">
        <v>7.7210000000000001</v>
      </c>
      <c r="E879" s="1073">
        <v>6.85</v>
      </c>
      <c r="F879" s="1073">
        <v>6.9939999999999998</v>
      </c>
      <c r="G879" s="1073">
        <v>7.5660000000000007</v>
      </c>
      <c r="H879" s="1073">
        <v>7.3810000000000002</v>
      </c>
      <c r="I879" s="1073">
        <v>6.9050000000000002</v>
      </c>
      <c r="J879" s="1073">
        <v>7.2530000000000001</v>
      </c>
    </row>
    <row r="880" spans="2:10">
      <c r="B880" s="444" t="s">
        <v>123</v>
      </c>
      <c r="C880" s="1073">
        <v>4.0789999999999997</v>
      </c>
      <c r="D880" s="1073">
        <v>4.5599999999999996</v>
      </c>
      <c r="E880" s="1073">
        <v>5.0129999999999999</v>
      </c>
      <c r="F880" s="1073">
        <v>4.9509999999999996</v>
      </c>
      <c r="G880" s="1073">
        <v>4.9690000000000003</v>
      </c>
      <c r="H880" s="1073">
        <v>4.8040000000000003</v>
      </c>
      <c r="I880" s="1073">
        <v>4.9260000000000002</v>
      </c>
      <c r="J880" s="1073">
        <v>4.6950000000000003</v>
      </c>
    </row>
    <row r="881" spans="2:10">
      <c r="B881" s="1140" t="s">
        <v>121</v>
      </c>
      <c r="C881" s="1073">
        <v>4.0789999999999997</v>
      </c>
      <c r="D881" s="1073">
        <v>4.5599999999999996</v>
      </c>
      <c r="E881" s="1073">
        <v>5.0129999999999999</v>
      </c>
      <c r="F881" s="1073">
        <v>4.9509999999999996</v>
      </c>
      <c r="G881" s="1073">
        <v>4.9690000000000003</v>
      </c>
      <c r="H881" s="1073">
        <v>4.8040000000000003</v>
      </c>
      <c r="I881" s="1073">
        <v>4.9260000000000002</v>
      </c>
      <c r="J881" s="1073">
        <v>4.6950000000000003</v>
      </c>
    </row>
    <row r="882" spans="2:10">
      <c r="B882" s="1197" t="s">
        <v>120</v>
      </c>
      <c r="C882" s="1073">
        <v>0</v>
      </c>
      <c r="D882" s="1073">
        <v>0</v>
      </c>
      <c r="E882" s="1073">
        <v>0</v>
      </c>
      <c r="F882" s="1073">
        <v>0</v>
      </c>
      <c r="G882" s="1073">
        <v>0</v>
      </c>
      <c r="H882" s="1073">
        <v>0</v>
      </c>
      <c r="I882" s="1073">
        <v>0</v>
      </c>
      <c r="J882" s="1073">
        <v>0</v>
      </c>
    </row>
    <row r="883" spans="2:10">
      <c r="B883" s="1197" t="s">
        <v>119</v>
      </c>
      <c r="C883" s="1073">
        <v>0</v>
      </c>
      <c r="D883" s="1073">
        <v>0</v>
      </c>
      <c r="E883" s="1073">
        <v>0</v>
      </c>
      <c r="F883" s="1073">
        <v>0</v>
      </c>
      <c r="G883" s="1073">
        <v>0</v>
      </c>
      <c r="H883" s="1073">
        <v>0</v>
      </c>
      <c r="I883" s="1073">
        <v>0</v>
      </c>
      <c r="J883" s="1073">
        <v>0</v>
      </c>
    </row>
    <row r="884" spans="2:10">
      <c r="B884" s="1140" t="s">
        <v>118</v>
      </c>
      <c r="C884" s="1073">
        <v>0</v>
      </c>
      <c r="D884" s="1073">
        <v>0</v>
      </c>
      <c r="E884" s="1073">
        <v>0</v>
      </c>
      <c r="F884" s="1073">
        <v>0</v>
      </c>
      <c r="G884" s="1073">
        <v>0</v>
      </c>
      <c r="H884" s="1073">
        <v>0</v>
      </c>
      <c r="I884" s="1073">
        <v>0</v>
      </c>
      <c r="J884" s="1073">
        <v>0</v>
      </c>
    </row>
    <row r="885" spans="2:10">
      <c r="B885" s="1140" t="s">
        <v>117</v>
      </c>
      <c r="C885" s="1073">
        <v>0</v>
      </c>
      <c r="D885" s="1073">
        <v>0</v>
      </c>
      <c r="E885" s="1073">
        <v>0</v>
      </c>
      <c r="F885" s="1073">
        <v>0</v>
      </c>
      <c r="G885" s="1073">
        <v>0</v>
      </c>
      <c r="H885" s="1073">
        <v>0</v>
      </c>
      <c r="I885" s="1073">
        <v>0</v>
      </c>
      <c r="J885" s="1073">
        <v>0</v>
      </c>
    </row>
    <row r="886" spans="2:10">
      <c r="B886" s="1140"/>
      <c r="C886" s="1073"/>
      <c r="D886" s="1073"/>
      <c r="E886" s="1073"/>
      <c r="F886" s="1073"/>
      <c r="G886" s="1073"/>
      <c r="H886" s="1073"/>
      <c r="I886" s="1073"/>
      <c r="J886" s="1073"/>
    </row>
    <row r="887" spans="2:10">
      <c r="B887" s="444" t="s">
        <v>122</v>
      </c>
      <c r="C887" s="1073">
        <v>3.734</v>
      </c>
      <c r="D887" s="1073">
        <v>3.161</v>
      </c>
      <c r="E887" s="1073">
        <v>1.837</v>
      </c>
      <c r="F887" s="1073">
        <v>2.0430000000000001</v>
      </c>
      <c r="G887" s="1073">
        <v>2.597</v>
      </c>
      <c r="H887" s="1073">
        <v>2.577</v>
      </c>
      <c r="I887" s="1073">
        <v>1.9790000000000001</v>
      </c>
      <c r="J887" s="1073">
        <v>2.5579999999999998</v>
      </c>
    </row>
    <row r="888" spans="2:10">
      <c r="B888" s="1140" t="s">
        <v>121</v>
      </c>
      <c r="C888" s="1073">
        <v>3.734</v>
      </c>
      <c r="D888" s="1073">
        <v>3.161</v>
      </c>
      <c r="E888" s="1073">
        <v>1.837</v>
      </c>
      <c r="F888" s="1073">
        <v>2.0430000000000001</v>
      </c>
      <c r="G888" s="1073">
        <v>2.597</v>
      </c>
      <c r="H888" s="1073">
        <v>2.577</v>
      </c>
      <c r="I888" s="1073">
        <v>1.9790000000000001</v>
      </c>
      <c r="J888" s="1073">
        <v>2.5579999999999998</v>
      </c>
    </row>
    <row r="889" spans="2:10">
      <c r="B889" s="1197" t="s">
        <v>120</v>
      </c>
      <c r="C889" s="1073">
        <v>0</v>
      </c>
      <c r="D889" s="1073">
        <v>0</v>
      </c>
      <c r="E889" s="1073">
        <v>0</v>
      </c>
      <c r="F889" s="1073">
        <v>0</v>
      </c>
      <c r="G889" s="1073">
        <v>0</v>
      </c>
      <c r="H889" s="1073">
        <v>0</v>
      </c>
      <c r="I889" s="1073">
        <v>0</v>
      </c>
      <c r="J889" s="1073">
        <v>0</v>
      </c>
    </row>
    <row r="890" spans="2:10">
      <c r="B890" s="1197" t="s">
        <v>119</v>
      </c>
      <c r="C890" s="1073">
        <v>0</v>
      </c>
      <c r="D890" s="1073">
        <v>0</v>
      </c>
      <c r="E890" s="1073">
        <v>0</v>
      </c>
      <c r="F890" s="1073">
        <v>0</v>
      </c>
      <c r="G890" s="1073">
        <v>0</v>
      </c>
      <c r="H890" s="1073">
        <v>0</v>
      </c>
      <c r="I890" s="1073">
        <v>0</v>
      </c>
      <c r="J890" s="1073">
        <v>0</v>
      </c>
    </row>
    <row r="891" spans="2:10">
      <c r="B891" s="1140" t="s">
        <v>118</v>
      </c>
      <c r="C891" s="1073">
        <v>0</v>
      </c>
      <c r="D891" s="1073">
        <v>0</v>
      </c>
      <c r="E891" s="1073">
        <v>0</v>
      </c>
      <c r="F891" s="1073">
        <v>0</v>
      </c>
      <c r="G891" s="1073">
        <v>0</v>
      </c>
      <c r="H891" s="1073">
        <v>0</v>
      </c>
      <c r="I891" s="1073">
        <v>0</v>
      </c>
      <c r="J891" s="1073">
        <v>0</v>
      </c>
    </row>
    <row r="892" spans="2:10" ht="15" thickBot="1">
      <c r="B892" s="1194" t="s">
        <v>117</v>
      </c>
      <c r="C892" s="1073">
        <v>0</v>
      </c>
      <c r="D892" s="1073">
        <v>0</v>
      </c>
      <c r="E892" s="1073">
        <v>0</v>
      </c>
      <c r="F892" s="1073">
        <v>0</v>
      </c>
      <c r="G892" s="1073">
        <v>0</v>
      </c>
      <c r="H892" s="1073">
        <v>0</v>
      </c>
      <c r="I892" s="1073">
        <v>0</v>
      </c>
      <c r="J892" s="1073">
        <v>0</v>
      </c>
    </row>
    <row r="893" spans="2:10" ht="15" thickTop="1">
      <c r="B893" s="2093" t="s">
        <v>1699</v>
      </c>
      <c r="C893" s="2093"/>
      <c r="D893" s="2093"/>
      <c r="E893" s="2093"/>
      <c r="F893" s="2093"/>
      <c r="G893" s="2093"/>
      <c r="H893" s="2093"/>
      <c r="I893" s="2093"/>
      <c r="J893" s="2093"/>
    </row>
    <row r="894" spans="2:10">
      <c r="B894" s="2094"/>
      <c r="C894" s="2094"/>
      <c r="D894" s="2094"/>
      <c r="E894" s="2094"/>
      <c r="F894" s="2094"/>
      <c r="G894" s="2094"/>
      <c r="H894" s="2094"/>
      <c r="I894" s="2094"/>
      <c r="J894" s="2094"/>
    </row>
    <row r="895" spans="2:10">
      <c r="B895" s="403"/>
    </row>
    <row r="896" spans="2:10">
      <c r="B896" s="2081" t="s">
        <v>129</v>
      </c>
      <c r="C896" s="2081"/>
      <c r="D896" s="2081"/>
      <c r="E896" s="2081"/>
      <c r="F896" s="2081"/>
      <c r="G896" s="2081"/>
      <c r="H896" s="2081"/>
      <c r="I896" s="2081"/>
      <c r="J896" s="2081"/>
    </row>
    <row r="897" spans="2:10">
      <c r="B897" s="1049" t="s">
        <v>128</v>
      </c>
    </row>
    <row r="898" spans="2:10">
      <c r="B898" s="1063" t="s">
        <v>127</v>
      </c>
    </row>
    <row r="899" spans="2:10">
      <c r="B899" s="1063"/>
    </row>
    <row r="900" spans="2:10">
      <c r="B900" s="1051"/>
      <c r="C900" s="1052">
        <v>2014</v>
      </c>
      <c r="D900" s="1052">
        <v>2015</v>
      </c>
      <c r="E900" s="1052">
        <v>2016</v>
      </c>
      <c r="F900" s="1052">
        <v>2017</v>
      </c>
      <c r="G900" s="1052">
        <v>2018</v>
      </c>
      <c r="H900" s="1052">
        <v>2019</v>
      </c>
      <c r="I900" s="1052">
        <v>2020</v>
      </c>
      <c r="J900" s="1052">
        <v>2021</v>
      </c>
    </row>
    <row r="901" spans="2:10">
      <c r="B901" s="1099" t="s">
        <v>124</v>
      </c>
      <c r="C901" s="1158">
        <f>C903+C918</f>
        <v>38523.799411057065</v>
      </c>
      <c r="D901" s="1158">
        <f t="shared" ref="D901:I901" si="36">D903+D918</f>
        <v>34045.22807092093</v>
      </c>
      <c r="E901" s="1158">
        <f t="shared" si="36"/>
        <v>28207.435023269751</v>
      </c>
      <c r="F901" s="1158">
        <f t="shared" si="36"/>
        <v>52075.703008676806</v>
      </c>
      <c r="G901" s="1158">
        <f t="shared" si="36"/>
        <v>64843.745901152826</v>
      </c>
      <c r="H901" s="1158">
        <f t="shared" si="36"/>
        <v>46780.217478217295</v>
      </c>
      <c r="I901" s="1158">
        <f t="shared" si="36"/>
        <v>34656.896091631104</v>
      </c>
      <c r="J901" s="1158">
        <f>J902+J918</f>
        <v>32141.779665523572</v>
      </c>
    </row>
    <row r="902" spans="2:10">
      <c r="B902" s="1099"/>
      <c r="C902" s="1155"/>
      <c r="D902" s="1155"/>
      <c r="E902" s="1155"/>
      <c r="F902" s="1155"/>
      <c r="G902" s="1155"/>
      <c r="H902" s="1155"/>
      <c r="I902" s="1155"/>
      <c r="J902" s="1155"/>
    </row>
    <row r="903" spans="2:10">
      <c r="B903" s="450" t="s">
        <v>1373</v>
      </c>
      <c r="C903" s="1155">
        <v>14303.985076641678</v>
      </c>
      <c r="D903" s="1155">
        <v>10990.724587801562</v>
      </c>
      <c r="E903" s="1155">
        <v>8039.8433323552699</v>
      </c>
      <c r="F903" s="1155">
        <v>19751.685389906655</v>
      </c>
      <c r="G903" s="1155">
        <v>25692.428251315185</v>
      </c>
      <c r="H903" s="1155">
        <v>16632.895983832539</v>
      </c>
      <c r="I903" s="1155">
        <v>12081.362534568898</v>
      </c>
      <c r="J903" s="1208">
        <v>5053.4203491185581</v>
      </c>
    </row>
    <row r="904" spans="2:10">
      <c r="B904" s="444" t="s">
        <v>123</v>
      </c>
      <c r="C904" s="1073">
        <v>0</v>
      </c>
      <c r="D904" s="1073">
        <v>0</v>
      </c>
      <c r="E904" s="1073">
        <v>0</v>
      </c>
      <c r="F904" s="1073">
        <v>0</v>
      </c>
      <c r="G904" s="1073">
        <v>0</v>
      </c>
      <c r="H904" s="1073">
        <v>0</v>
      </c>
      <c r="I904" s="1073">
        <v>0</v>
      </c>
      <c r="J904" s="1073">
        <v>0</v>
      </c>
    </row>
    <row r="905" spans="2:10">
      <c r="B905" s="1140" t="s">
        <v>121</v>
      </c>
      <c r="C905" s="1073">
        <v>0</v>
      </c>
      <c r="D905" s="1073">
        <v>0</v>
      </c>
      <c r="E905" s="1073">
        <v>0</v>
      </c>
      <c r="F905" s="1073">
        <v>0</v>
      </c>
      <c r="G905" s="1073">
        <v>0</v>
      </c>
      <c r="H905" s="1073">
        <v>0</v>
      </c>
      <c r="I905" s="1073">
        <v>0</v>
      </c>
      <c r="J905" s="1073">
        <v>0</v>
      </c>
    </row>
    <row r="906" spans="2:10">
      <c r="B906" s="1197" t="s">
        <v>120</v>
      </c>
      <c r="C906" s="1073">
        <v>0</v>
      </c>
      <c r="D906" s="1073">
        <v>0</v>
      </c>
      <c r="E906" s="1073">
        <v>0</v>
      </c>
      <c r="F906" s="1073">
        <v>0</v>
      </c>
      <c r="G906" s="1073">
        <v>0</v>
      </c>
      <c r="H906" s="1073">
        <v>0</v>
      </c>
      <c r="I906" s="1073">
        <v>0</v>
      </c>
      <c r="J906" s="1073">
        <v>0</v>
      </c>
    </row>
    <row r="907" spans="2:10">
      <c r="B907" s="1197" t="s">
        <v>119</v>
      </c>
      <c r="C907" s="1073">
        <v>0</v>
      </c>
      <c r="D907" s="1073">
        <v>0</v>
      </c>
      <c r="E907" s="1073">
        <v>0</v>
      </c>
      <c r="F907" s="1073">
        <v>0</v>
      </c>
      <c r="G907" s="1073">
        <v>0</v>
      </c>
      <c r="H907" s="1073">
        <v>0</v>
      </c>
      <c r="I907" s="1073">
        <v>0</v>
      </c>
      <c r="J907" s="1073">
        <v>0</v>
      </c>
    </row>
    <row r="908" spans="2:10">
      <c r="B908" s="1140" t="s">
        <v>118</v>
      </c>
      <c r="C908" s="1073">
        <v>0</v>
      </c>
      <c r="D908" s="1073">
        <v>0</v>
      </c>
      <c r="E908" s="1073">
        <v>0</v>
      </c>
      <c r="F908" s="1073">
        <v>0</v>
      </c>
      <c r="G908" s="1073">
        <v>0</v>
      </c>
      <c r="H908" s="1073">
        <v>0</v>
      </c>
      <c r="I908" s="1073">
        <v>0</v>
      </c>
      <c r="J908" s="1073">
        <v>0</v>
      </c>
    </row>
    <row r="909" spans="2:10">
      <c r="B909" s="1140" t="s">
        <v>117</v>
      </c>
      <c r="C909" s="1073">
        <v>0</v>
      </c>
      <c r="D909" s="1073">
        <v>0</v>
      </c>
      <c r="E909" s="1073">
        <v>0</v>
      </c>
      <c r="F909" s="1073">
        <v>0</v>
      </c>
      <c r="G909" s="1073">
        <v>0</v>
      </c>
      <c r="H909" s="1073">
        <v>0</v>
      </c>
      <c r="I909" s="1073">
        <v>0</v>
      </c>
      <c r="J909" s="1073">
        <v>0</v>
      </c>
    </row>
    <row r="910" spans="2:10">
      <c r="B910" s="1140"/>
      <c r="C910" s="1073"/>
      <c r="D910" s="1073"/>
      <c r="E910" s="1073"/>
      <c r="F910" s="1073"/>
      <c r="G910" s="1073"/>
      <c r="H910" s="1073"/>
      <c r="I910" s="1073"/>
      <c r="J910" s="1073"/>
    </row>
    <row r="911" spans="2:10">
      <c r="B911" s="444" t="s">
        <v>122</v>
      </c>
      <c r="C911" s="1073">
        <v>0</v>
      </c>
      <c r="D911" s="1073">
        <v>0</v>
      </c>
      <c r="E911" s="1073">
        <v>0</v>
      </c>
      <c r="F911" s="1073">
        <v>0</v>
      </c>
      <c r="G911" s="1073">
        <v>0</v>
      </c>
      <c r="H911" s="1073">
        <v>0</v>
      </c>
      <c r="I911" s="1073">
        <v>0</v>
      </c>
      <c r="J911" s="1073">
        <v>0</v>
      </c>
    </row>
    <row r="912" spans="2:10">
      <c r="B912" s="1140" t="s">
        <v>121</v>
      </c>
      <c r="C912" s="1073">
        <v>0</v>
      </c>
      <c r="D912" s="1073">
        <v>0</v>
      </c>
      <c r="E912" s="1073">
        <v>0</v>
      </c>
      <c r="F912" s="1073">
        <v>0</v>
      </c>
      <c r="G912" s="1073">
        <v>0</v>
      </c>
      <c r="H912" s="1073">
        <v>0</v>
      </c>
      <c r="I912" s="1073">
        <v>0</v>
      </c>
      <c r="J912" s="1073">
        <v>0</v>
      </c>
    </row>
    <row r="913" spans="2:10">
      <c r="B913" s="1197" t="s">
        <v>120</v>
      </c>
      <c r="C913" s="1073">
        <v>0</v>
      </c>
      <c r="D913" s="1073">
        <v>0</v>
      </c>
      <c r="E913" s="1073">
        <v>0</v>
      </c>
      <c r="F913" s="1073">
        <v>0</v>
      </c>
      <c r="G913" s="1073">
        <v>0</v>
      </c>
      <c r="H913" s="1073">
        <v>0</v>
      </c>
      <c r="I913" s="1073">
        <v>0</v>
      </c>
      <c r="J913" s="1073">
        <v>0</v>
      </c>
    </row>
    <row r="914" spans="2:10">
      <c r="B914" s="1197" t="s">
        <v>119</v>
      </c>
      <c r="C914" s="1073">
        <v>0</v>
      </c>
      <c r="D914" s="1073">
        <v>0</v>
      </c>
      <c r="E914" s="1073">
        <v>0</v>
      </c>
      <c r="F914" s="1073">
        <v>0</v>
      </c>
      <c r="G914" s="1073">
        <v>0</v>
      </c>
      <c r="H914" s="1073">
        <v>0</v>
      </c>
      <c r="I914" s="1073">
        <v>0</v>
      </c>
      <c r="J914" s="1073">
        <v>0</v>
      </c>
    </row>
    <row r="915" spans="2:10">
      <c r="B915" s="1140" t="s">
        <v>118</v>
      </c>
      <c r="C915" s="1073">
        <v>0</v>
      </c>
      <c r="D915" s="1073">
        <v>0</v>
      </c>
      <c r="E915" s="1073">
        <v>0</v>
      </c>
      <c r="F915" s="1073">
        <v>0</v>
      </c>
      <c r="G915" s="1073">
        <v>0</v>
      </c>
      <c r="H915" s="1073">
        <v>0</v>
      </c>
      <c r="I915" s="1073">
        <v>0</v>
      </c>
      <c r="J915" s="1073">
        <v>0</v>
      </c>
    </row>
    <row r="916" spans="2:10">
      <c r="B916" s="1140" t="s">
        <v>117</v>
      </c>
      <c r="C916" s="1073">
        <v>0</v>
      </c>
      <c r="D916" s="1073">
        <v>0</v>
      </c>
      <c r="E916" s="1073">
        <v>0</v>
      </c>
      <c r="F916" s="1073">
        <v>0</v>
      </c>
      <c r="G916" s="1073">
        <v>0</v>
      </c>
      <c r="H916" s="1073">
        <v>0</v>
      </c>
      <c r="I916" s="1073">
        <v>0</v>
      </c>
      <c r="J916" s="1073">
        <v>0</v>
      </c>
    </row>
    <row r="917" spans="2:10">
      <c r="B917" s="1140"/>
      <c r="C917" s="1073"/>
      <c r="D917" s="1073"/>
      <c r="E917" s="1073"/>
      <c r="F917" s="1073"/>
      <c r="G917" s="1073"/>
      <c r="H917" s="1073"/>
      <c r="I917" s="1073"/>
      <c r="J917" s="1073"/>
    </row>
    <row r="918" spans="2:10">
      <c r="B918" s="450" t="s">
        <v>1697</v>
      </c>
      <c r="C918" s="1073">
        <v>24219.814334415387</v>
      </c>
      <c r="D918" s="1073">
        <v>23054.50348311937</v>
      </c>
      <c r="E918" s="1073">
        <v>20167.59169091448</v>
      </c>
      <c r="F918" s="1073">
        <v>32324.017618770151</v>
      </c>
      <c r="G918" s="1073">
        <v>39151.317649837642</v>
      </c>
      <c r="H918" s="1073">
        <v>30147.321494384756</v>
      </c>
      <c r="I918" s="1073">
        <v>22575.533557062205</v>
      </c>
      <c r="J918" s="1073">
        <v>32141.779665523572</v>
      </c>
    </row>
    <row r="919" spans="2:10">
      <c r="B919" s="444" t="s">
        <v>123</v>
      </c>
      <c r="C919" s="1073">
        <v>9915.8292577737084</v>
      </c>
      <c r="D919" s="1073">
        <v>12063.778895317811</v>
      </c>
      <c r="E919" s="1073">
        <v>12127.748358559211</v>
      </c>
      <c r="F919" s="1073">
        <v>12572.332228863494</v>
      </c>
      <c r="G919" s="1073">
        <v>13458.88939852246</v>
      </c>
      <c r="H919" s="1073">
        <v>13514.425510552217</v>
      </c>
      <c r="I919" s="1073">
        <v>10494.171022493303</v>
      </c>
      <c r="J919" s="1073">
        <v>10113.447502070698</v>
      </c>
    </row>
    <row r="920" spans="2:10">
      <c r="B920" s="1140" t="s">
        <v>121</v>
      </c>
      <c r="C920" s="1073">
        <v>9915.8292577737084</v>
      </c>
      <c r="D920" s="1073">
        <v>12063.778895317811</v>
      </c>
      <c r="E920" s="1073">
        <v>12127.748358559211</v>
      </c>
      <c r="F920" s="1073">
        <v>12572.332228863494</v>
      </c>
      <c r="G920" s="1073">
        <v>13458.88939852246</v>
      </c>
      <c r="H920" s="1073">
        <v>13514.425510552217</v>
      </c>
      <c r="I920" s="1073">
        <v>10494.171022493303</v>
      </c>
      <c r="J920" s="1073">
        <v>10113.447502070698</v>
      </c>
    </row>
    <row r="921" spans="2:10">
      <c r="B921" s="1197" t="s">
        <v>120</v>
      </c>
      <c r="C921" s="1073">
        <v>0</v>
      </c>
      <c r="D921" s="1073">
        <v>0</v>
      </c>
      <c r="E921" s="1073">
        <v>0</v>
      </c>
      <c r="F921" s="1073">
        <v>0</v>
      </c>
      <c r="G921" s="1073">
        <v>0</v>
      </c>
      <c r="H921" s="1073">
        <v>0</v>
      </c>
      <c r="I921" s="1073">
        <v>0</v>
      </c>
      <c r="J921" s="1073">
        <v>0</v>
      </c>
    </row>
    <row r="922" spans="2:10">
      <c r="B922" s="1197" t="s">
        <v>119</v>
      </c>
      <c r="C922" s="1073">
        <v>0</v>
      </c>
      <c r="D922" s="1073">
        <v>0</v>
      </c>
      <c r="E922" s="1073">
        <v>0</v>
      </c>
      <c r="F922" s="1073">
        <v>0</v>
      </c>
      <c r="G922" s="1073">
        <v>0</v>
      </c>
      <c r="H922" s="1073">
        <v>0</v>
      </c>
      <c r="I922" s="1073">
        <v>0</v>
      </c>
      <c r="J922" s="1073">
        <v>0</v>
      </c>
    </row>
    <row r="923" spans="2:10">
      <c r="B923" s="1140" t="s">
        <v>118</v>
      </c>
      <c r="C923" s="1073">
        <v>0</v>
      </c>
      <c r="D923" s="1073">
        <v>0</v>
      </c>
      <c r="E923" s="1073">
        <v>0</v>
      </c>
      <c r="F923" s="1073">
        <v>0</v>
      </c>
      <c r="G923" s="1073">
        <v>0</v>
      </c>
      <c r="H923" s="1073">
        <v>0</v>
      </c>
      <c r="I923" s="1073">
        <v>0</v>
      </c>
      <c r="J923" s="1073">
        <v>0</v>
      </c>
    </row>
    <row r="924" spans="2:10">
      <c r="B924" s="1140" t="s">
        <v>117</v>
      </c>
      <c r="C924" s="1073">
        <v>0</v>
      </c>
      <c r="D924" s="1073">
        <v>0</v>
      </c>
      <c r="E924" s="1073">
        <v>0</v>
      </c>
      <c r="F924" s="1073">
        <v>0</v>
      </c>
      <c r="G924" s="1073">
        <v>0</v>
      </c>
      <c r="H924" s="1073">
        <v>0</v>
      </c>
      <c r="I924" s="1073">
        <v>0</v>
      </c>
      <c r="J924" s="1073">
        <v>0</v>
      </c>
    </row>
    <row r="925" spans="2:10">
      <c r="B925" s="1140"/>
      <c r="C925" s="1214"/>
      <c r="D925" s="1214"/>
      <c r="E925" s="1214"/>
      <c r="F925" s="1214"/>
      <c r="G925" s="1214"/>
      <c r="H925" s="1214"/>
      <c r="I925" s="1214"/>
      <c r="J925" s="1214"/>
    </row>
    <row r="926" spans="2:10">
      <c r="B926" s="444" t="s">
        <v>122</v>
      </c>
      <c r="C926" s="1073">
        <v>14303.985076641678</v>
      </c>
      <c r="D926" s="1073">
        <v>10990.72458780156</v>
      </c>
      <c r="E926" s="1073">
        <v>8039.8433323552681</v>
      </c>
      <c r="F926" s="1073">
        <v>19751.685389906655</v>
      </c>
      <c r="G926" s="1073">
        <v>25692.428251315185</v>
      </c>
      <c r="H926" s="1073">
        <v>16632.895983832539</v>
      </c>
      <c r="I926" s="1073">
        <v>12081.3625345689</v>
      </c>
      <c r="J926" s="1073">
        <v>22028.332163452873</v>
      </c>
    </row>
    <row r="927" spans="2:10">
      <c r="B927" s="1140" t="s">
        <v>121</v>
      </c>
      <c r="C927" s="1073">
        <v>14303.985076641678</v>
      </c>
      <c r="D927" s="1073">
        <v>10990.72458780156</v>
      </c>
      <c r="E927" s="1073">
        <v>8039.8433323552681</v>
      </c>
      <c r="F927" s="1073">
        <v>19751.685389906655</v>
      </c>
      <c r="G927" s="1073">
        <v>25692.428251315185</v>
      </c>
      <c r="H927" s="1073">
        <v>16632.895983832539</v>
      </c>
      <c r="I927" s="1073">
        <v>12081.3625345689</v>
      </c>
      <c r="J927" s="1073">
        <v>22028.332163452873</v>
      </c>
    </row>
    <row r="928" spans="2:10">
      <c r="B928" s="1197" t="s">
        <v>120</v>
      </c>
      <c r="C928" s="1073">
        <v>0</v>
      </c>
      <c r="D928" s="1073">
        <v>0</v>
      </c>
      <c r="E928" s="1073">
        <v>0</v>
      </c>
      <c r="F928" s="1073">
        <v>0</v>
      </c>
      <c r="G928" s="1073">
        <v>0</v>
      </c>
      <c r="H928" s="1073">
        <v>0</v>
      </c>
      <c r="I928" s="1073">
        <v>0</v>
      </c>
      <c r="J928" s="1073">
        <v>0</v>
      </c>
    </row>
    <row r="929" spans="2:10">
      <c r="B929" s="1197" t="s">
        <v>119</v>
      </c>
      <c r="C929" s="1073">
        <v>0</v>
      </c>
      <c r="D929" s="1073">
        <v>0</v>
      </c>
      <c r="E929" s="1073">
        <v>0</v>
      </c>
      <c r="F929" s="1073">
        <v>0</v>
      </c>
      <c r="G929" s="1073">
        <v>0</v>
      </c>
      <c r="H929" s="1073">
        <v>0</v>
      </c>
      <c r="I929" s="1073">
        <v>0</v>
      </c>
      <c r="J929" s="1073">
        <v>0</v>
      </c>
    </row>
    <row r="930" spans="2:10">
      <c r="B930" s="1140" t="s">
        <v>118</v>
      </c>
      <c r="C930" s="1073">
        <v>0</v>
      </c>
      <c r="D930" s="1073">
        <v>0</v>
      </c>
      <c r="E930" s="1073">
        <v>0</v>
      </c>
      <c r="F930" s="1073">
        <v>0</v>
      </c>
      <c r="G930" s="1073">
        <v>0</v>
      </c>
      <c r="H930" s="1073">
        <v>0</v>
      </c>
      <c r="I930" s="1073">
        <v>0</v>
      </c>
      <c r="J930" s="1073">
        <v>0</v>
      </c>
    </row>
    <row r="931" spans="2:10" ht="15" thickBot="1">
      <c r="B931" s="1194" t="s">
        <v>117</v>
      </c>
      <c r="C931" s="1073">
        <v>0</v>
      </c>
      <c r="D931" s="1073">
        <v>0</v>
      </c>
      <c r="E931" s="1073">
        <v>0</v>
      </c>
      <c r="F931" s="1073">
        <v>0</v>
      </c>
      <c r="G931" s="1073">
        <v>0</v>
      </c>
      <c r="H931" s="1073">
        <v>0</v>
      </c>
      <c r="I931" s="1073">
        <v>0</v>
      </c>
      <c r="J931" s="1073">
        <v>0</v>
      </c>
    </row>
    <row r="932" spans="2:10" ht="15" thickTop="1">
      <c r="B932" s="2093" t="s">
        <v>1699</v>
      </c>
      <c r="C932" s="2093"/>
      <c r="D932" s="2093"/>
      <c r="E932" s="2093"/>
      <c r="F932" s="2093"/>
      <c r="G932" s="2093"/>
      <c r="H932" s="2093"/>
      <c r="I932" s="2093"/>
      <c r="J932" s="2093"/>
    </row>
    <row r="933" spans="2:10">
      <c r="B933" s="2094"/>
      <c r="C933" s="2094"/>
      <c r="D933" s="2094"/>
      <c r="E933" s="2094"/>
      <c r="F933" s="2094"/>
      <c r="G933" s="2094"/>
      <c r="H933" s="2094"/>
      <c r="I933" s="2094"/>
      <c r="J933" s="2094"/>
    </row>
    <row r="935" spans="2:10">
      <c r="B935" s="2081" t="s">
        <v>115</v>
      </c>
      <c r="C935" s="2081"/>
      <c r="D935" s="2081"/>
      <c r="E935" s="2081"/>
      <c r="F935" s="2081"/>
      <c r="G935" s="2081"/>
      <c r="H935" s="2081"/>
      <c r="I935" s="2081"/>
      <c r="J935" s="2081"/>
    </row>
    <row r="936" spans="2:10">
      <c r="B936" s="1049" t="s">
        <v>114</v>
      </c>
    </row>
    <row r="938" spans="2:10" ht="14.5" customHeight="1">
      <c r="B938" s="2082" t="s">
        <v>11</v>
      </c>
      <c r="C938" s="2092" t="s">
        <v>604</v>
      </c>
      <c r="D938" s="2092" t="s">
        <v>113</v>
      </c>
      <c r="E938" s="2084" t="s">
        <v>24</v>
      </c>
      <c r="F938" s="2092" t="s">
        <v>112</v>
      </c>
      <c r="G938" s="2092" t="s">
        <v>111</v>
      </c>
      <c r="H938" s="2084" t="s">
        <v>110</v>
      </c>
      <c r="I938" s="2086"/>
      <c r="J938" s="2086"/>
    </row>
    <row r="939" spans="2:10">
      <c r="B939" s="2083"/>
      <c r="C939" s="2085"/>
      <c r="D939" s="2085"/>
      <c r="E939" s="2085"/>
      <c r="F939" s="2085"/>
      <c r="G939" s="2085"/>
      <c r="H939" s="2085"/>
      <c r="I939" s="2087"/>
      <c r="J939" s="2087"/>
    </row>
    <row r="940" spans="2:10">
      <c r="B940" s="1215" t="s">
        <v>1232</v>
      </c>
      <c r="C940" s="1216" t="s">
        <v>103</v>
      </c>
      <c r="D940" s="1216" t="s">
        <v>105</v>
      </c>
      <c r="E940" s="1216" t="s">
        <v>1</v>
      </c>
      <c r="F940" s="1216" t="s">
        <v>489</v>
      </c>
      <c r="G940" s="1216" t="s">
        <v>522</v>
      </c>
      <c r="H940" s="1216" t="s">
        <v>102</v>
      </c>
      <c r="I940" s="1216"/>
      <c r="J940" s="1216"/>
    </row>
    <row r="941" spans="2:10">
      <c r="B941" s="1217" t="s">
        <v>1233</v>
      </c>
      <c r="C941" s="1216" t="s">
        <v>103</v>
      </c>
      <c r="D941" s="1216" t="s">
        <v>105</v>
      </c>
      <c r="E941" s="1216" t="s">
        <v>1</v>
      </c>
      <c r="F941" s="1216" t="s">
        <v>489</v>
      </c>
      <c r="G941" s="1216" t="s">
        <v>522</v>
      </c>
      <c r="H941" s="1216" t="s">
        <v>102</v>
      </c>
      <c r="I941" s="1216"/>
      <c r="J941" s="1216"/>
    </row>
    <row r="942" spans="2:10">
      <c r="B942" s="1217" t="s">
        <v>1701</v>
      </c>
      <c r="C942" s="1216" t="s">
        <v>103</v>
      </c>
      <c r="D942" s="1216" t="s">
        <v>94</v>
      </c>
      <c r="E942" s="1216" t="s">
        <v>1</v>
      </c>
      <c r="F942" s="1216" t="s">
        <v>106</v>
      </c>
      <c r="G942" s="1216" t="s">
        <v>522</v>
      </c>
      <c r="H942" s="1216" t="s">
        <v>102</v>
      </c>
      <c r="I942" s="1216"/>
      <c r="J942" s="1216"/>
    </row>
    <row r="943" spans="2:10">
      <c r="B943" s="1217" t="s">
        <v>1235</v>
      </c>
      <c r="C943" s="1216" t="s">
        <v>103</v>
      </c>
      <c r="D943" s="1216" t="s">
        <v>94</v>
      </c>
      <c r="E943" s="1216" t="s">
        <v>1</v>
      </c>
      <c r="F943" s="1216" t="s">
        <v>106</v>
      </c>
      <c r="G943" s="1216" t="s">
        <v>522</v>
      </c>
      <c r="H943" s="1216" t="s">
        <v>102</v>
      </c>
      <c r="I943" s="1216"/>
      <c r="J943" s="1216"/>
    </row>
    <row r="944" spans="2:10" ht="15.5">
      <c r="B944" s="1217" t="s">
        <v>1702</v>
      </c>
      <c r="C944" s="1216" t="s">
        <v>103</v>
      </c>
      <c r="D944" s="1216" t="s">
        <v>107</v>
      </c>
      <c r="E944" s="1216" t="s">
        <v>1</v>
      </c>
      <c r="F944" s="1216" t="s">
        <v>489</v>
      </c>
      <c r="G944" s="1216" t="s">
        <v>522</v>
      </c>
      <c r="H944" s="1216" t="s">
        <v>102</v>
      </c>
      <c r="I944" s="1216"/>
      <c r="J944" s="1216"/>
    </row>
    <row r="945" spans="2:10">
      <c r="B945" s="1217" t="s">
        <v>1237</v>
      </c>
      <c r="C945" s="1216" t="s">
        <v>103</v>
      </c>
      <c r="D945" s="1216" t="s">
        <v>107</v>
      </c>
      <c r="E945" s="1216" t="s">
        <v>1</v>
      </c>
      <c r="F945" s="1216" t="s">
        <v>489</v>
      </c>
      <c r="G945" s="1216" t="s">
        <v>522</v>
      </c>
      <c r="H945" s="1216" t="s">
        <v>102</v>
      </c>
      <c r="I945" s="1216"/>
      <c r="J945" s="1216"/>
    </row>
    <row r="946" spans="2:10">
      <c r="B946" s="1217" t="s">
        <v>1239</v>
      </c>
      <c r="C946" s="1216" t="s">
        <v>103</v>
      </c>
      <c r="D946" s="1216" t="s">
        <v>105</v>
      </c>
      <c r="E946" s="1216" t="s">
        <v>1</v>
      </c>
      <c r="F946" s="1216" t="s">
        <v>489</v>
      </c>
      <c r="G946" s="1216" t="s">
        <v>522</v>
      </c>
      <c r="H946" s="1216" t="s">
        <v>102</v>
      </c>
      <c r="I946" s="1216"/>
      <c r="J946" s="1216"/>
    </row>
    <row r="947" spans="2:10">
      <c r="B947" s="1217" t="s">
        <v>1240</v>
      </c>
      <c r="C947" s="1216" t="s">
        <v>606</v>
      </c>
      <c r="D947" s="1216" t="s">
        <v>94</v>
      </c>
      <c r="E947" s="1216" t="s">
        <v>1</v>
      </c>
      <c r="F947" s="1216" t="s">
        <v>106</v>
      </c>
      <c r="G947" s="1216" t="s">
        <v>522</v>
      </c>
      <c r="H947" s="1216" t="s">
        <v>102</v>
      </c>
      <c r="I947" s="1216"/>
      <c r="J947" s="1216"/>
    </row>
    <row r="948" spans="2:10">
      <c r="B948" s="1217" t="s">
        <v>1241</v>
      </c>
      <c r="C948" s="1216" t="s">
        <v>103</v>
      </c>
      <c r="D948" s="1216" t="s">
        <v>105</v>
      </c>
      <c r="E948" s="1216" t="s">
        <v>1</v>
      </c>
      <c r="F948" s="1216" t="s">
        <v>489</v>
      </c>
      <c r="G948" s="1216" t="s">
        <v>522</v>
      </c>
      <c r="H948" s="1216" t="s">
        <v>102</v>
      </c>
      <c r="I948" s="1216"/>
      <c r="J948" s="1216"/>
    </row>
    <row r="949" spans="2:10" ht="15" thickBot="1">
      <c r="B949" s="1218" t="s">
        <v>1703</v>
      </c>
      <c r="C949" s="1219" t="s">
        <v>103</v>
      </c>
      <c r="D949" s="1219" t="s">
        <v>105</v>
      </c>
      <c r="E949" s="1219" t="s">
        <v>1</v>
      </c>
      <c r="F949" s="1219" t="s">
        <v>106</v>
      </c>
      <c r="G949" s="1219" t="s">
        <v>522</v>
      </c>
      <c r="H949" s="1219" t="s">
        <v>102</v>
      </c>
      <c r="I949" s="1216"/>
      <c r="J949" s="1216"/>
    </row>
    <row r="950" spans="2:10" ht="15" thickTop="1"/>
    <row r="951" spans="2:10" ht="14.5" customHeight="1">
      <c r="B951" s="2082" t="s">
        <v>11</v>
      </c>
      <c r="C951" s="2092" t="s">
        <v>610</v>
      </c>
      <c r="D951" s="2084" t="s">
        <v>101</v>
      </c>
      <c r="E951" s="2084" t="s">
        <v>100</v>
      </c>
      <c r="F951" s="2084" t="s">
        <v>99</v>
      </c>
      <c r="G951" s="2092" t="s">
        <v>98</v>
      </c>
      <c r="H951" s="2092"/>
      <c r="I951" s="1220"/>
      <c r="J951" s="1220"/>
    </row>
    <row r="952" spans="2:10">
      <c r="B952" s="2083"/>
      <c r="C952" s="2085"/>
      <c r="D952" s="2088"/>
      <c r="E952" s="2088"/>
      <c r="F952" s="2088"/>
      <c r="G952" s="1221" t="s">
        <v>97</v>
      </c>
      <c r="H952" s="1221" t="s">
        <v>96</v>
      </c>
      <c r="I952" s="1222"/>
      <c r="J952" s="1222"/>
    </row>
    <row r="953" spans="2:10">
      <c r="B953" s="1215" t="s">
        <v>1232</v>
      </c>
      <c r="C953" s="1216" t="s">
        <v>1704</v>
      </c>
      <c r="D953" s="1223" t="s">
        <v>1224</v>
      </c>
      <c r="E953" s="1223" t="s">
        <v>1705</v>
      </c>
      <c r="F953" s="1216"/>
      <c r="G953" s="1224" t="s">
        <v>1706</v>
      </c>
      <c r="H953" s="1225">
        <v>0.77083333333333337</v>
      </c>
      <c r="I953" s="1225"/>
      <c r="J953" s="1225"/>
    </row>
    <row r="954" spans="2:10">
      <c r="B954" s="1217" t="s">
        <v>1233</v>
      </c>
      <c r="C954" s="1216" t="s">
        <v>1704</v>
      </c>
      <c r="D954" s="1223">
        <v>0</v>
      </c>
      <c r="E954" s="1226" t="s">
        <v>1707</v>
      </c>
      <c r="F954" s="1216"/>
      <c r="G954" s="1224" t="s">
        <v>86</v>
      </c>
      <c r="H954" s="1225">
        <v>0.46875</v>
      </c>
      <c r="I954" s="1225"/>
      <c r="J954" s="1225"/>
    </row>
    <row r="955" spans="2:10" ht="15.5">
      <c r="B955" s="1217" t="s">
        <v>1708</v>
      </c>
      <c r="C955" s="1216" t="s">
        <v>1704</v>
      </c>
      <c r="D955" s="1223" t="s">
        <v>1234</v>
      </c>
      <c r="E955" s="1223" t="s">
        <v>1234</v>
      </c>
      <c r="F955" s="1216"/>
      <c r="G955" s="1224" t="s">
        <v>1234</v>
      </c>
      <c r="H955" s="1224" t="s">
        <v>1234</v>
      </c>
      <c r="I955" s="1224"/>
      <c r="J955" s="1224"/>
    </row>
    <row r="956" spans="2:10" ht="15.5">
      <c r="B956" s="1217" t="s">
        <v>1709</v>
      </c>
      <c r="C956" s="1216" t="s">
        <v>1704</v>
      </c>
      <c r="D956" s="1223" t="s">
        <v>1234</v>
      </c>
      <c r="E956" s="1223" t="s">
        <v>1234</v>
      </c>
      <c r="F956" s="1216"/>
      <c r="G956" s="1224" t="s">
        <v>1234</v>
      </c>
      <c r="H956" s="1224" t="s">
        <v>1234</v>
      </c>
      <c r="I956" s="1224"/>
      <c r="J956" s="1224"/>
    </row>
    <row r="957" spans="2:10">
      <c r="B957" s="1217" t="s">
        <v>1710</v>
      </c>
      <c r="C957" s="1216" t="s">
        <v>611</v>
      </c>
      <c r="D957" s="1223">
        <v>0</v>
      </c>
      <c r="E957" s="1223" t="s">
        <v>1711</v>
      </c>
      <c r="F957" s="1216"/>
      <c r="G957" s="1224" t="s">
        <v>1236</v>
      </c>
      <c r="H957" s="1224" t="s">
        <v>1712</v>
      </c>
      <c r="I957" s="1224"/>
      <c r="J957" s="1224"/>
    </row>
    <row r="958" spans="2:10">
      <c r="B958" s="1217" t="s">
        <v>1237</v>
      </c>
      <c r="C958" s="1216" t="s">
        <v>611</v>
      </c>
      <c r="D958" s="1223">
        <v>0</v>
      </c>
      <c r="E958" s="1223" t="s">
        <v>1713</v>
      </c>
      <c r="F958" s="1216"/>
      <c r="G958" s="1224" t="s">
        <v>1236</v>
      </c>
      <c r="H958" s="1224" t="s">
        <v>1238</v>
      </c>
      <c r="I958" s="1224"/>
      <c r="J958" s="1224"/>
    </row>
    <row r="959" spans="2:10">
      <c r="B959" s="1217" t="s">
        <v>1239</v>
      </c>
      <c r="C959" s="1216" t="s">
        <v>1704</v>
      </c>
      <c r="D959" s="1223" t="s">
        <v>1224</v>
      </c>
      <c r="E959" s="1223" t="s">
        <v>1705</v>
      </c>
      <c r="F959" s="1216"/>
      <c r="G959" s="1224" t="s">
        <v>1706</v>
      </c>
      <c r="H959" s="1224" t="s">
        <v>91</v>
      </c>
      <c r="I959" s="1224"/>
      <c r="J959" s="1224"/>
    </row>
    <row r="960" spans="2:10">
      <c r="B960" s="1217" t="s">
        <v>1240</v>
      </c>
      <c r="C960" s="1216" t="s">
        <v>1704</v>
      </c>
      <c r="D960" s="1223" t="s">
        <v>1234</v>
      </c>
      <c r="E960" s="1223" t="s">
        <v>1234</v>
      </c>
      <c r="F960" s="1216"/>
      <c r="G960" s="1224" t="s">
        <v>1234</v>
      </c>
      <c r="H960" s="1224" t="s">
        <v>1234</v>
      </c>
      <c r="I960" s="1224"/>
      <c r="J960" s="1224"/>
    </row>
    <row r="961" spans="2:10">
      <c r="B961" s="1217" t="s">
        <v>1241</v>
      </c>
      <c r="C961" s="1216" t="s">
        <v>1704</v>
      </c>
      <c r="D961" s="1223">
        <v>0</v>
      </c>
      <c r="E961" s="1226" t="s">
        <v>1707</v>
      </c>
      <c r="F961" s="1216"/>
      <c r="G961" s="1224" t="s">
        <v>86</v>
      </c>
      <c r="H961" s="1225">
        <v>0.46875</v>
      </c>
      <c r="I961" s="1225"/>
      <c r="J961" s="1225"/>
    </row>
    <row r="962" spans="2:10" ht="16" thickBot="1">
      <c r="B962" s="1218" t="s">
        <v>1714</v>
      </c>
      <c r="C962" s="1219" t="s">
        <v>611</v>
      </c>
      <c r="D962" s="1227" t="s">
        <v>1242</v>
      </c>
      <c r="E962" s="1227" t="s">
        <v>1234</v>
      </c>
      <c r="F962" s="1219"/>
      <c r="G962" s="1227" t="s">
        <v>1234</v>
      </c>
      <c r="H962" s="1227" t="s">
        <v>1234</v>
      </c>
      <c r="I962" s="1224"/>
      <c r="J962" s="1224"/>
    </row>
    <row r="963" spans="2:10" ht="15" thickTop="1">
      <c r="B963" s="2089" t="s">
        <v>1715</v>
      </c>
      <c r="C963" s="2090"/>
      <c r="D963" s="2090"/>
    </row>
    <row r="964" spans="2:10">
      <c r="B964" s="2091" t="s">
        <v>1716</v>
      </c>
      <c r="C964" s="2091"/>
      <c r="D964" s="2091"/>
      <c r="E964" s="2091"/>
      <c r="F964" s="2091"/>
      <c r="G964" s="2091"/>
      <c r="H964" s="2091"/>
      <c r="I964" s="2091"/>
      <c r="J964" s="2091"/>
    </row>
    <row r="966" spans="2:10">
      <c r="B966" s="2081" t="s">
        <v>76</v>
      </c>
      <c r="C966" s="2081"/>
      <c r="D966" s="2081"/>
      <c r="E966" s="2081"/>
      <c r="F966" s="2081"/>
      <c r="G966" s="2081"/>
      <c r="H966" s="2081"/>
      <c r="I966" s="2081"/>
      <c r="J966" s="2081"/>
    </row>
    <row r="967" spans="2:10">
      <c r="B967" s="1049" t="s">
        <v>75</v>
      </c>
    </row>
    <row r="969" spans="2:10" ht="24">
      <c r="B969" s="1228" t="s">
        <v>11</v>
      </c>
      <c r="C969" s="1229" t="s">
        <v>24</v>
      </c>
      <c r="D969" s="1229" t="s">
        <v>74</v>
      </c>
      <c r="E969" s="1229" t="s">
        <v>73</v>
      </c>
      <c r="F969" s="1229" t="s">
        <v>72</v>
      </c>
      <c r="G969" s="1229" t="s">
        <v>71</v>
      </c>
    </row>
    <row r="970" spans="2:10">
      <c r="B970" s="1230" t="s">
        <v>1290</v>
      </c>
      <c r="C970" s="1216" t="s">
        <v>1</v>
      </c>
      <c r="D970" s="1216" t="s">
        <v>522</v>
      </c>
      <c r="E970" s="1216" t="s">
        <v>56</v>
      </c>
      <c r="F970" s="1216" t="s">
        <v>1717</v>
      </c>
      <c r="G970" s="1216" t="s">
        <v>42</v>
      </c>
    </row>
    <row r="971" spans="2:10" ht="15.5">
      <c r="B971" s="1230" t="s">
        <v>1718</v>
      </c>
      <c r="C971" s="1216" t="s">
        <v>1</v>
      </c>
      <c r="D971" s="1216" t="s">
        <v>522</v>
      </c>
      <c r="E971" s="1216" t="s">
        <v>56</v>
      </c>
      <c r="F971" s="1216" t="s">
        <v>1291</v>
      </c>
      <c r="G971" s="1216" t="s">
        <v>42</v>
      </c>
    </row>
    <row r="972" spans="2:10">
      <c r="B972" s="1230" t="s">
        <v>1292</v>
      </c>
      <c r="C972" s="1216" t="s">
        <v>1</v>
      </c>
      <c r="D972" s="1216" t="s">
        <v>522</v>
      </c>
      <c r="E972" s="1216" t="s">
        <v>56</v>
      </c>
      <c r="F972" s="1216" t="s">
        <v>1719</v>
      </c>
      <c r="G972" s="1216" t="s">
        <v>42</v>
      </c>
    </row>
    <row r="973" spans="2:10" ht="15" thickBot="1">
      <c r="B973" s="1230" t="s">
        <v>1293</v>
      </c>
      <c r="C973" s="1231" t="s">
        <v>1</v>
      </c>
      <c r="D973" s="1219" t="s">
        <v>522</v>
      </c>
      <c r="E973" s="1219" t="s">
        <v>56</v>
      </c>
      <c r="F973" s="1219" t="s">
        <v>1720</v>
      </c>
      <c r="G973" s="1219" t="s">
        <v>42</v>
      </c>
      <c r="H973" s="1232"/>
      <c r="I973" s="1232"/>
      <c r="J973" s="1232"/>
    </row>
    <row r="974" spans="2:10" ht="15" thickTop="1">
      <c r="B974" s="1233" t="s">
        <v>1721</v>
      </c>
    </row>
    <row r="975" spans="2:10">
      <c r="B975" s="2091" t="s">
        <v>1722</v>
      </c>
      <c r="C975" s="2091"/>
      <c r="D975" s="2091"/>
      <c r="E975" s="2091"/>
      <c r="F975" s="2091"/>
      <c r="G975" s="2091"/>
      <c r="H975" s="2091"/>
      <c r="I975" s="2091"/>
      <c r="J975" s="2091"/>
    </row>
    <row r="977" spans="2:10">
      <c r="B977" s="2081" t="s">
        <v>52</v>
      </c>
      <c r="C977" s="2081"/>
      <c r="D977" s="2081"/>
      <c r="E977" s="2081"/>
      <c r="F977" s="2081"/>
      <c r="G977" s="2081"/>
      <c r="H977" s="2081"/>
      <c r="I977" s="2081"/>
      <c r="J977" s="2081"/>
    </row>
    <row r="978" spans="2:10">
      <c r="B978" s="1049" t="s">
        <v>51</v>
      </c>
    </row>
    <row r="980" spans="2:10" ht="14.5" customHeight="1">
      <c r="B980" s="2082" t="s">
        <v>38</v>
      </c>
      <c r="C980" s="2084" t="s">
        <v>530</v>
      </c>
      <c r="D980" s="2084" t="s">
        <v>24</v>
      </c>
      <c r="E980" s="2084" t="s">
        <v>50</v>
      </c>
      <c r="F980" s="2084" t="s">
        <v>49</v>
      </c>
      <c r="G980" s="2084" t="s">
        <v>48</v>
      </c>
      <c r="H980" s="2084" t="s">
        <v>47</v>
      </c>
      <c r="I980" s="2086"/>
      <c r="J980" s="2086"/>
    </row>
    <row r="981" spans="2:10">
      <c r="B981" s="2083"/>
      <c r="C981" s="2088"/>
      <c r="D981" s="2088"/>
      <c r="E981" s="2088"/>
      <c r="F981" s="2088"/>
      <c r="G981" s="2088"/>
      <c r="H981" s="2088"/>
      <c r="I981" s="2087"/>
      <c r="J981" s="2087"/>
    </row>
    <row r="982" spans="2:10" ht="15" thickBot="1">
      <c r="B982" s="1234" t="s">
        <v>1347</v>
      </c>
      <c r="C982" s="1235" t="s">
        <v>623</v>
      </c>
      <c r="D982" s="1235" t="s">
        <v>19</v>
      </c>
      <c r="E982" s="1235" t="s">
        <v>42</v>
      </c>
      <c r="F982" s="1236">
        <v>0</v>
      </c>
      <c r="G982" s="1236">
        <v>0</v>
      </c>
      <c r="H982" s="1236">
        <v>0</v>
      </c>
      <c r="I982" s="1195"/>
      <c r="J982" s="1195"/>
    </row>
    <row r="983" spans="2:10" ht="15" thickTop="1">
      <c r="C983" s="1237"/>
    </row>
    <row r="984" spans="2:10" ht="14.5" customHeight="1">
      <c r="B984" s="2082" t="s">
        <v>38</v>
      </c>
      <c r="C984" s="2084" t="s">
        <v>538</v>
      </c>
      <c r="D984" s="2084" t="s">
        <v>37</v>
      </c>
      <c r="E984" s="2084" t="s">
        <v>8</v>
      </c>
      <c r="F984" s="2084" t="s">
        <v>36</v>
      </c>
      <c r="G984" s="2086"/>
      <c r="H984" s="2086"/>
      <c r="I984" s="2086"/>
      <c r="J984" s="2086"/>
    </row>
    <row r="985" spans="2:10">
      <c r="B985" s="2083"/>
      <c r="C985" s="2088"/>
      <c r="D985" s="2088"/>
      <c r="E985" s="2088"/>
      <c r="F985" s="2088"/>
      <c r="G985" s="2086"/>
      <c r="H985" s="2086"/>
      <c r="I985" s="2087"/>
      <c r="J985" s="2087"/>
    </row>
    <row r="986" spans="2:10" ht="15" thickBot="1">
      <c r="B986" s="1234" t="s">
        <v>1347</v>
      </c>
      <c r="C986" s="1236">
        <v>0</v>
      </c>
      <c r="D986" s="1236">
        <v>0</v>
      </c>
      <c r="E986" s="1236">
        <v>0</v>
      </c>
      <c r="F986" s="1236">
        <v>0</v>
      </c>
      <c r="G986" s="1238"/>
      <c r="H986" s="1238"/>
      <c r="I986" s="1238"/>
      <c r="J986" s="1238"/>
    </row>
    <row r="987" spans="2:10" ht="15" thickTop="1">
      <c r="B987" s="1239" t="s">
        <v>1625</v>
      </c>
    </row>
    <row r="989" spans="2:10">
      <c r="B989" s="2081" t="s">
        <v>26</v>
      </c>
      <c r="C989" s="2081"/>
      <c r="D989" s="2081"/>
      <c r="E989" s="2081"/>
      <c r="F989" s="2081"/>
      <c r="G989" s="2081"/>
      <c r="H989" s="2081"/>
      <c r="I989" s="2081"/>
      <c r="J989" s="2081"/>
    </row>
    <row r="990" spans="2:10">
      <c r="B990" s="1049" t="s">
        <v>25</v>
      </c>
    </row>
    <row r="992" spans="2:10" ht="14.5" customHeight="1">
      <c r="B992" s="2082" t="s">
        <v>11</v>
      </c>
      <c r="C992" s="2084" t="s">
        <v>541</v>
      </c>
      <c r="D992" s="2084" t="s">
        <v>24</v>
      </c>
      <c r="E992" s="2084" t="s">
        <v>23</v>
      </c>
      <c r="F992" s="2084" t="s">
        <v>22</v>
      </c>
      <c r="G992" s="2084" t="s">
        <v>21</v>
      </c>
      <c r="H992" s="2084" t="s">
        <v>20</v>
      </c>
      <c r="I992" s="2086"/>
      <c r="J992" s="2086"/>
    </row>
    <row r="993" spans="2:10">
      <c r="B993" s="2083"/>
      <c r="C993" s="2085"/>
      <c r="D993" s="2085"/>
      <c r="E993" s="2085"/>
      <c r="F993" s="2085"/>
      <c r="G993" s="2085"/>
      <c r="H993" s="2085"/>
      <c r="I993" s="2087"/>
      <c r="J993" s="2087"/>
    </row>
    <row r="994" spans="2:10" ht="15.5">
      <c r="B994" s="1240" t="s">
        <v>1723</v>
      </c>
      <c r="C994" s="1241" t="s">
        <v>1374</v>
      </c>
      <c r="D994" s="1241" t="s">
        <v>1375</v>
      </c>
      <c r="E994" s="1241" t="s">
        <v>1376</v>
      </c>
      <c r="F994" s="1242" t="s">
        <v>86</v>
      </c>
      <c r="G994" s="1241">
        <v>4</v>
      </c>
      <c r="H994" s="1241" t="s">
        <v>1231</v>
      </c>
      <c r="I994" s="1222"/>
      <c r="J994" s="1222"/>
    </row>
    <row r="995" spans="2:10" ht="15" thickBot="1">
      <c r="B995" s="1243" t="s">
        <v>1724</v>
      </c>
      <c r="C995" s="1219" t="s">
        <v>1378</v>
      </c>
      <c r="D995" s="1219" t="s">
        <v>890</v>
      </c>
      <c r="E995" s="1219" t="s">
        <v>1264</v>
      </c>
      <c r="F995" s="1244" t="s">
        <v>86</v>
      </c>
      <c r="G995" s="1219">
        <v>1</v>
      </c>
      <c r="H995" s="1219" t="s">
        <v>1231</v>
      </c>
      <c r="I995" s="1216"/>
      <c r="J995" s="1216"/>
    </row>
    <row r="996" spans="2:10" ht="14.5" customHeight="1" thickTop="1">
      <c r="B996" s="1245"/>
      <c r="C996" s="1246"/>
    </row>
    <row r="997" spans="2:10" ht="14.5" customHeight="1">
      <c r="B997" s="2082" t="s">
        <v>11</v>
      </c>
      <c r="C997" s="2084" t="s">
        <v>546</v>
      </c>
      <c r="D997" s="2084" t="s">
        <v>10</v>
      </c>
      <c r="E997" s="2084" t="s">
        <v>9</v>
      </c>
      <c r="F997" s="2084" t="s">
        <v>8</v>
      </c>
      <c r="G997" s="2086"/>
      <c r="H997" s="2086"/>
      <c r="I997" s="2086"/>
      <c r="J997" s="2086"/>
    </row>
    <row r="998" spans="2:10">
      <c r="B998" s="2083"/>
      <c r="C998" s="2085"/>
      <c r="D998" s="2085"/>
      <c r="E998" s="2085"/>
      <c r="F998" s="2085"/>
      <c r="G998" s="2087"/>
      <c r="H998" s="2087"/>
      <c r="I998" s="2087"/>
      <c r="J998" s="2087"/>
    </row>
    <row r="999" spans="2:10">
      <c r="B999" s="1240" t="s">
        <v>1725</v>
      </c>
      <c r="C999" s="1241" t="s">
        <v>1371</v>
      </c>
      <c r="D999" s="1241" t="s">
        <v>1345</v>
      </c>
      <c r="E999" s="1241" t="s">
        <v>1377</v>
      </c>
      <c r="F999" s="1241" t="s">
        <v>1</v>
      </c>
      <c r="G999" s="1222"/>
      <c r="H999" s="1222"/>
      <c r="I999" s="1222"/>
      <c r="J999" s="1222"/>
    </row>
    <row r="1000" spans="2:10" ht="15" thickBot="1">
      <c r="B1000" s="1243" t="s">
        <v>1724</v>
      </c>
      <c r="C1000" s="1219" t="s">
        <v>1371</v>
      </c>
      <c r="D1000" s="1219" t="s">
        <v>1030</v>
      </c>
      <c r="E1000" s="1219" t="s">
        <v>1377</v>
      </c>
      <c r="F1000" s="1219" t="s">
        <v>1</v>
      </c>
    </row>
    <row r="1001" spans="2:10" ht="15" thickTop="1">
      <c r="B1001" s="1247" t="s">
        <v>1726</v>
      </c>
      <c r="C1001" s="1216"/>
      <c r="D1001" s="1216"/>
      <c r="E1001" s="1216"/>
      <c r="F1001" s="1216"/>
    </row>
    <row r="1002" spans="2:10">
      <c r="B1002"/>
    </row>
    <row r="1003" spans="2:10">
      <c r="B1003" s="1247"/>
    </row>
  </sheetData>
  <mergeCells count="117">
    <mergeCell ref="B51:J51"/>
    <mergeCell ref="B80:J80"/>
    <mergeCell ref="B83:J83"/>
    <mergeCell ref="B110:J110"/>
    <mergeCell ref="B111:J111"/>
    <mergeCell ref="B113:J113"/>
    <mergeCell ref="B2:J2"/>
    <mergeCell ref="B13:J13"/>
    <mergeCell ref="B15:J15"/>
    <mergeCell ref="B31:J31"/>
    <mergeCell ref="B34:J34"/>
    <mergeCell ref="B49:J49"/>
    <mergeCell ref="B287:J287"/>
    <mergeCell ref="B311:J311"/>
    <mergeCell ref="B313:J313"/>
    <mergeCell ref="B359:J359"/>
    <mergeCell ref="B361:J361"/>
    <mergeCell ref="B407:J407"/>
    <mergeCell ref="B144:J144"/>
    <mergeCell ref="B145:J145"/>
    <mergeCell ref="B147:J147"/>
    <mergeCell ref="B215:J215"/>
    <mergeCell ref="B217:J217"/>
    <mergeCell ref="B285:J285"/>
    <mergeCell ref="B499:J499"/>
    <mergeCell ref="B501:J501"/>
    <mergeCell ref="B529:J529"/>
    <mergeCell ref="B530:J530"/>
    <mergeCell ref="B531:J531"/>
    <mergeCell ref="B560:J560"/>
    <mergeCell ref="B409:J409"/>
    <mergeCell ref="B467:J467"/>
    <mergeCell ref="B469:J469"/>
    <mergeCell ref="B489:J489"/>
    <mergeCell ref="B491:J491"/>
    <mergeCell ref="B498:J498"/>
    <mergeCell ref="B683:J683"/>
    <mergeCell ref="B758:J758"/>
    <mergeCell ref="B759:J759"/>
    <mergeCell ref="B761:J761"/>
    <mergeCell ref="B809:J809"/>
    <mergeCell ref="B810:J810"/>
    <mergeCell ref="B561:J561"/>
    <mergeCell ref="B563:J563"/>
    <mergeCell ref="B603:J603"/>
    <mergeCell ref="B605:J605"/>
    <mergeCell ref="B680:J680"/>
    <mergeCell ref="B681:J681"/>
    <mergeCell ref="B893:J893"/>
    <mergeCell ref="B894:J894"/>
    <mergeCell ref="B896:J896"/>
    <mergeCell ref="B932:J932"/>
    <mergeCell ref="B933:J933"/>
    <mergeCell ref="B935:J935"/>
    <mergeCell ref="B812:J812"/>
    <mergeCell ref="B832:J832"/>
    <mergeCell ref="B833:J833"/>
    <mergeCell ref="B835:J835"/>
    <mergeCell ref="B855:J855"/>
    <mergeCell ref="B857:J857"/>
    <mergeCell ref="H938:H939"/>
    <mergeCell ref="I938:I939"/>
    <mergeCell ref="J938:J939"/>
    <mergeCell ref="B951:B952"/>
    <mergeCell ref="C951:C952"/>
    <mergeCell ref="D951:D952"/>
    <mergeCell ref="E951:E952"/>
    <mergeCell ref="F951:F952"/>
    <mergeCell ref="G951:H951"/>
    <mergeCell ref="B938:B939"/>
    <mergeCell ref="C938:C939"/>
    <mergeCell ref="D938:D939"/>
    <mergeCell ref="E938:E939"/>
    <mergeCell ref="F938:F939"/>
    <mergeCell ref="G938:G939"/>
    <mergeCell ref="B963:D963"/>
    <mergeCell ref="B964:J964"/>
    <mergeCell ref="B966:J966"/>
    <mergeCell ref="B975:J975"/>
    <mergeCell ref="B977:J977"/>
    <mergeCell ref="B980:B981"/>
    <mergeCell ref="C980:C981"/>
    <mergeCell ref="D980:D981"/>
    <mergeCell ref="E980:E981"/>
    <mergeCell ref="F980:F981"/>
    <mergeCell ref="G980:G981"/>
    <mergeCell ref="H980:H981"/>
    <mergeCell ref="I980:I981"/>
    <mergeCell ref="J980:J981"/>
    <mergeCell ref="B984:B985"/>
    <mergeCell ref="C984:C985"/>
    <mergeCell ref="D984:D985"/>
    <mergeCell ref="E984:E985"/>
    <mergeCell ref="F984:F985"/>
    <mergeCell ref="G984:G985"/>
    <mergeCell ref="H984:H985"/>
    <mergeCell ref="I984:I985"/>
    <mergeCell ref="J984:J985"/>
    <mergeCell ref="B989:J989"/>
    <mergeCell ref="B992:B993"/>
    <mergeCell ref="C992:C993"/>
    <mergeCell ref="D992:D993"/>
    <mergeCell ref="E992:E993"/>
    <mergeCell ref="F992:F993"/>
    <mergeCell ref="G992:G993"/>
    <mergeCell ref="I997:I998"/>
    <mergeCell ref="J997:J998"/>
    <mergeCell ref="H992:H993"/>
    <mergeCell ref="I992:I993"/>
    <mergeCell ref="J992:J993"/>
    <mergeCell ref="B997:B998"/>
    <mergeCell ref="C997:C998"/>
    <mergeCell ref="D997:D998"/>
    <mergeCell ref="E997:E998"/>
    <mergeCell ref="F997:F998"/>
    <mergeCell ref="G997:G998"/>
    <mergeCell ref="H997:H998"/>
  </mergeCells>
  <pageMargins left="0.7" right="0.7" top="0.75" bottom="0.75" header="0.3" footer="0.3"/>
  <pageSetup paperSize="9" orientation="portrait" r:id="rId1"/>
  <colBreaks count="1" manualBreakCount="1">
    <brk id="4" max="981"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0E48C-69DA-488F-A060-B17017774FE2}">
  <sheetPr>
    <pageSetUpPr fitToPage="1"/>
  </sheetPr>
  <dimension ref="B2:K887"/>
  <sheetViews>
    <sheetView view="pageBreakPreview" topLeftCell="A632" zoomScale="73" zoomScaleNormal="100" zoomScaleSheetLayoutView="73" workbookViewId="0">
      <selection activeCell="B647" sqref="B647"/>
    </sheetView>
  </sheetViews>
  <sheetFormatPr baseColWidth="10" defaultColWidth="11.54296875" defaultRowHeight="14.5"/>
  <cols>
    <col min="1" max="1" width="5.54296875" customWidth="1"/>
    <col min="2" max="4" width="47.54296875" style="1" customWidth="1"/>
    <col min="5" max="10" width="13.453125" style="121" customWidth="1"/>
  </cols>
  <sheetData>
    <row r="2" spans="2:10">
      <c r="B2" s="2024" t="s">
        <v>464</v>
      </c>
      <c r="C2" s="2024"/>
      <c r="D2" s="2024"/>
      <c r="E2" s="2024"/>
      <c r="F2" s="2024"/>
      <c r="G2" s="2024"/>
      <c r="H2" s="2024"/>
      <c r="I2" s="2024"/>
      <c r="J2" s="2024"/>
    </row>
    <row r="3" spans="2:10">
      <c r="B3" s="12" t="s">
        <v>2142</v>
      </c>
      <c r="C3" s="12"/>
      <c r="D3" s="12"/>
      <c r="E3" s="1"/>
      <c r="F3" s="1"/>
      <c r="G3" s="1"/>
      <c r="H3" s="1"/>
      <c r="I3" s="1"/>
      <c r="J3" s="1"/>
    </row>
    <row r="4" spans="2:10">
      <c r="B4" s="76"/>
      <c r="C4" s="76"/>
      <c r="D4" s="76"/>
    </row>
    <row r="5" spans="2:10">
      <c r="B5" s="61"/>
      <c r="C5" s="61"/>
      <c r="D5" s="61"/>
      <c r="E5" s="60">
        <v>2016</v>
      </c>
      <c r="F5" s="60">
        <v>2017</v>
      </c>
      <c r="G5" s="60">
        <v>2018</v>
      </c>
      <c r="H5" s="60">
        <v>2019</v>
      </c>
      <c r="I5" s="60">
        <v>2020</v>
      </c>
      <c r="J5" s="60">
        <v>2021</v>
      </c>
    </row>
    <row r="6" spans="2:10">
      <c r="B6" s="64" t="s">
        <v>465</v>
      </c>
      <c r="C6" s="64"/>
      <c r="D6" s="64"/>
      <c r="E6" s="1720">
        <v>160.34</v>
      </c>
      <c r="F6" s="1720">
        <v>160.01</v>
      </c>
      <c r="G6" s="1720">
        <v>158.66</v>
      </c>
      <c r="H6" s="1720">
        <v>156.22</v>
      </c>
      <c r="I6" s="1720">
        <v>153.66999999999999</v>
      </c>
      <c r="J6" s="1529">
        <v>151.07</v>
      </c>
    </row>
    <row r="7" spans="2:10">
      <c r="B7" s="64" t="s">
        <v>461</v>
      </c>
      <c r="C7" s="64"/>
      <c r="D7" s="64"/>
      <c r="E7" s="1540">
        <f>5396.6/1.79</f>
        <v>3014.8603351955308</v>
      </c>
      <c r="F7" s="1540">
        <f>5387.1/1.79</f>
        <v>3009.5530726256984</v>
      </c>
      <c r="G7" s="1540">
        <f>5408.6/1.79</f>
        <v>3021.564245810056</v>
      </c>
      <c r="H7" s="1540">
        <f>5365.4/1.79</f>
        <v>2997.4301675977649</v>
      </c>
      <c r="I7" s="1540">
        <f>4496.2/1.79</f>
        <v>2511.8435754189941</v>
      </c>
      <c r="J7" s="1720">
        <f>4855.9/1.79</f>
        <v>2712.7932960893854</v>
      </c>
    </row>
    <row r="8" spans="2:10">
      <c r="B8" s="64" t="s">
        <v>460</v>
      </c>
      <c r="C8" s="64"/>
      <c r="D8" s="64"/>
      <c r="E8" s="1540">
        <f>33658/1.79</f>
        <v>18803.351955307262</v>
      </c>
      <c r="F8" s="1540">
        <f>33667/1.79</f>
        <v>18808.379888268155</v>
      </c>
      <c r="G8" s="1540">
        <f>34090/1.79</f>
        <v>19044.692737430167</v>
      </c>
      <c r="H8" s="1540">
        <f>34344/1.79</f>
        <v>19186.592178770949</v>
      </c>
      <c r="I8" s="1540">
        <f>29259/1.79</f>
        <v>16345.810055865921</v>
      </c>
      <c r="J8" s="1720">
        <f>32144/1.79</f>
        <v>17957.541899441341</v>
      </c>
    </row>
    <row r="9" spans="2:10">
      <c r="B9" s="64" t="s">
        <v>466</v>
      </c>
      <c r="C9" s="64"/>
      <c r="D9" s="64"/>
      <c r="E9" s="1720">
        <v>0</v>
      </c>
      <c r="F9" s="1720">
        <v>1.6E-2</v>
      </c>
      <c r="G9" s="1720">
        <v>2.5999999999999999E-2</v>
      </c>
      <c r="H9" s="1720">
        <v>2.5999999999999999E-2</v>
      </c>
      <c r="I9" s="1720">
        <v>2.1999999999999999E-2</v>
      </c>
      <c r="J9" s="1720">
        <v>3.7999999999999999E-2</v>
      </c>
    </row>
    <row r="10" spans="2:10" ht="15.5">
      <c r="B10" s="64" t="s">
        <v>1467</v>
      </c>
      <c r="C10" s="64"/>
      <c r="D10" s="64"/>
      <c r="E10" s="1529">
        <v>1.79</v>
      </c>
      <c r="F10" s="1529">
        <v>1.79</v>
      </c>
      <c r="G10" s="1529">
        <v>1.79</v>
      </c>
      <c r="H10" s="1529">
        <v>1.79</v>
      </c>
      <c r="I10" s="1529">
        <v>1.79</v>
      </c>
      <c r="J10" s="1529">
        <v>1.79</v>
      </c>
    </row>
    <row r="11" spans="2:10">
      <c r="B11" s="190" t="s">
        <v>468</v>
      </c>
      <c r="C11" s="190"/>
      <c r="D11" s="190"/>
      <c r="E11" s="98" t="s">
        <v>1346</v>
      </c>
      <c r="F11" s="98" t="s">
        <v>1346</v>
      </c>
      <c r="G11" s="98" t="s">
        <v>1346</v>
      </c>
      <c r="H11" s="98" t="s">
        <v>1346</v>
      </c>
      <c r="I11" s="98" t="s">
        <v>1346</v>
      </c>
      <c r="J11" s="98" t="s">
        <v>1346</v>
      </c>
    </row>
    <row r="12" spans="2:10" ht="15" thickBot="1">
      <c r="B12" s="196" t="s">
        <v>456</v>
      </c>
      <c r="C12" s="190"/>
      <c r="D12" s="190"/>
      <c r="E12" s="98" t="s">
        <v>1346</v>
      </c>
      <c r="F12" s="98" t="s">
        <v>1346</v>
      </c>
      <c r="G12" s="98" t="s">
        <v>1346</v>
      </c>
      <c r="H12" s="98" t="s">
        <v>1346</v>
      </c>
      <c r="I12" s="98" t="s">
        <v>1346</v>
      </c>
      <c r="J12" s="98" t="s">
        <v>1346</v>
      </c>
    </row>
    <row r="13" spans="2:10" ht="15" thickTop="1">
      <c r="B13" s="2023" t="s">
        <v>2088</v>
      </c>
      <c r="C13" s="2023"/>
      <c r="D13" s="2023"/>
      <c r="E13" s="2023"/>
      <c r="F13" s="2023"/>
      <c r="G13" s="2023"/>
      <c r="H13" s="2023"/>
      <c r="I13" s="2023"/>
      <c r="J13" s="2023"/>
    </row>
    <row r="14" spans="2:10">
      <c r="B14"/>
      <c r="C14"/>
      <c r="D14"/>
      <c r="E14" s="1663"/>
      <c r="F14" s="1663"/>
      <c r="G14" s="1663"/>
      <c r="H14" s="1663"/>
      <c r="I14" s="1663"/>
      <c r="J14" s="1663"/>
    </row>
    <row r="15" spans="2:10">
      <c r="B15" s="12" t="s">
        <v>2089</v>
      </c>
      <c r="C15" s="12"/>
      <c r="D15" s="12"/>
      <c r="E15" s="1"/>
      <c r="F15" s="1"/>
      <c r="G15" s="1"/>
      <c r="H15" s="1"/>
      <c r="I15" s="1"/>
      <c r="J15" s="1"/>
    </row>
    <row r="16" spans="2:10">
      <c r="B16" s="76"/>
      <c r="C16" s="76"/>
      <c r="D16" s="76"/>
    </row>
    <row r="17" spans="2:10">
      <c r="B17" s="61"/>
      <c r="C17" s="61"/>
      <c r="D17" s="61"/>
      <c r="E17" s="60">
        <v>2016</v>
      </c>
      <c r="F17" s="60">
        <v>2017</v>
      </c>
      <c r="G17" s="60">
        <v>2018</v>
      </c>
      <c r="H17" s="60">
        <v>2019</v>
      </c>
      <c r="I17" s="60">
        <v>2020</v>
      </c>
      <c r="J17" s="60">
        <v>2021</v>
      </c>
    </row>
    <row r="18" spans="2:10">
      <c r="B18" s="64" t="s">
        <v>465</v>
      </c>
      <c r="C18" s="64"/>
      <c r="D18" s="64"/>
      <c r="E18" s="1721">
        <v>40.54</v>
      </c>
      <c r="F18" s="1721">
        <v>40.61</v>
      </c>
      <c r="G18" s="1721">
        <v>41.18</v>
      </c>
      <c r="H18" s="1721">
        <v>42.04</v>
      </c>
      <c r="I18" s="1721">
        <v>42.58</v>
      </c>
      <c r="J18" s="3">
        <v>0</v>
      </c>
    </row>
    <row r="19" spans="2:10">
      <c r="B19" s="64" t="s">
        <v>461</v>
      </c>
      <c r="C19" s="64"/>
      <c r="D19" s="64"/>
      <c r="E19" s="1721">
        <f>2509.3/1.79</f>
        <v>1401.8435754189945</v>
      </c>
      <c r="F19" s="1721">
        <f>2308.1/1.79</f>
        <v>1289.4413407821228</v>
      </c>
      <c r="G19" s="1721">
        <v>1259.2</v>
      </c>
      <c r="H19" s="1721">
        <v>1459.76</v>
      </c>
      <c r="I19" s="1721">
        <v>1240.29</v>
      </c>
      <c r="J19" s="98">
        <v>1384.63</v>
      </c>
    </row>
    <row r="20" spans="2:10">
      <c r="B20" s="64" t="s">
        <v>460</v>
      </c>
      <c r="C20" s="64"/>
      <c r="D20" s="64"/>
      <c r="E20" s="1721">
        <v>34583.39</v>
      </c>
      <c r="F20" s="1721">
        <v>31748.080000000002</v>
      </c>
      <c r="G20" s="1721">
        <v>30580.19</v>
      </c>
      <c r="H20" s="1721">
        <v>34719.79</v>
      </c>
      <c r="I20" s="1721">
        <v>29130.58</v>
      </c>
      <c r="J20" s="55">
        <v>0</v>
      </c>
    </row>
    <row r="21" spans="2:10">
      <c r="B21" s="64" t="s">
        <v>466</v>
      </c>
      <c r="C21" s="64"/>
      <c r="D21" s="64"/>
      <c r="E21" s="55">
        <v>0</v>
      </c>
      <c r="F21" s="55">
        <v>0.02</v>
      </c>
      <c r="G21" s="55">
        <v>0.03</v>
      </c>
      <c r="H21" s="55">
        <v>0</v>
      </c>
      <c r="I21" s="55">
        <v>0.01</v>
      </c>
      <c r="J21" s="98">
        <v>2.8000000000000001E-2</v>
      </c>
    </row>
    <row r="22" spans="2:10" ht="15.5">
      <c r="B22" s="64" t="s">
        <v>1467</v>
      </c>
      <c r="C22" s="64"/>
      <c r="D22" s="64"/>
      <c r="E22" s="1721">
        <v>1.79</v>
      </c>
      <c r="F22" s="1721">
        <v>1.79</v>
      </c>
      <c r="G22" s="1721">
        <v>1.79</v>
      </c>
      <c r="H22" s="1721">
        <v>1.79</v>
      </c>
      <c r="I22" s="1721">
        <v>1.79</v>
      </c>
      <c r="J22" s="121">
        <v>1.79</v>
      </c>
    </row>
    <row r="23" spans="2:10">
      <c r="B23" s="190" t="s">
        <v>468</v>
      </c>
      <c r="C23" s="190"/>
      <c r="D23" s="190"/>
      <c r="E23" s="98" t="s">
        <v>1346</v>
      </c>
      <c r="F23" s="98" t="s">
        <v>1346</v>
      </c>
      <c r="G23" s="98" t="s">
        <v>1346</v>
      </c>
      <c r="H23" s="98" t="s">
        <v>1346</v>
      </c>
      <c r="I23" s="98" t="s">
        <v>1346</v>
      </c>
      <c r="J23" s="98" t="s">
        <v>1346</v>
      </c>
    </row>
    <row r="24" spans="2:10" ht="15" thickBot="1">
      <c r="B24" s="196" t="s">
        <v>456</v>
      </c>
      <c r="C24" s="190"/>
      <c r="D24" s="190"/>
      <c r="E24" s="98" t="s">
        <v>1346</v>
      </c>
      <c r="F24" s="98" t="s">
        <v>1346</v>
      </c>
      <c r="G24" s="98" t="s">
        <v>1346</v>
      </c>
      <c r="H24" s="98" t="s">
        <v>1346</v>
      </c>
      <c r="I24" s="98" t="s">
        <v>1346</v>
      </c>
      <c r="J24" s="98" t="s">
        <v>1346</v>
      </c>
    </row>
    <row r="25" spans="2:10" ht="15" thickTop="1">
      <c r="B25" s="2023" t="s">
        <v>2088</v>
      </c>
      <c r="C25" s="2023"/>
      <c r="D25" s="2023"/>
      <c r="E25" s="2023"/>
      <c r="F25" s="2023"/>
      <c r="G25" s="2023"/>
      <c r="H25" s="2023"/>
      <c r="I25" s="2023"/>
      <c r="J25" s="2023"/>
    </row>
    <row r="26" spans="2:10">
      <c r="B26" s="1663"/>
      <c r="C26" s="1663"/>
      <c r="D26" s="1663"/>
      <c r="E26" s="1663"/>
      <c r="F26" s="1663"/>
      <c r="G26" s="1663"/>
      <c r="H26" s="1663"/>
      <c r="I26" s="1663"/>
      <c r="J26" s="1663"/>
    </row>
    <row r="27" spans="2:10">
      <c r="B27" s="1722"/>
      <c r="C27" s="1722"/>
      <c r="D27" s="1722"/>
    </row>
    <row r="28" spans="2:10">
      <c r="B28" s="2024" t="s">
        <v>454</v>
      </c>
      <c r="C28" s="2024"/>
      <c r="D28" s="2024"/>
      <c r="E28" s="2024"/>
      <c r="F28" s="2024"/>
      <c r="G28" s="2024"/>
      <c r="H28" s="2024"/>
      <c r="I28" s="2024"/>
      <c r="J28" s="2024"/>
    </row>
    <row r="29" spans="2:10">
      <c r="B29" s="12" t="s">
        <v>453</v>
      </c>
      <c r="C29" s="12"/>
      <c r="D29" s="12"/>
    </row>
    <row r="30" spans="2:10">
      <c r="B30" s="62" t="s">
        <v>242</v>
      </c>
      <c r="C30" s="62"/>
      <c r="D30" s="62"/>
    </row>
    <row r="31" spans="2:10">
      <c r="B31" s="64"/>
      <c r="C31" s="64"/>
      <c r="D31" s="64"/>
    </row>
    <row r="32" spans="2:10">
      <c r="B32" s="61"/>
      <c r="C32" s="61"/>
      <c r="D32" s="61"/>
      <c r="E32" s="60">
        <v>2016</v>
      </c>
      <c r="F32" s="60">
        <v>2017</v>
      </c>
      <c r="G32" s="60">
        <v>2018</v>
      </c>
      <c r="H32" s="60">
        <v>2019</v>
      </c>
      <c r="I32" s="60">
        <v>2020</v>
      </c>
      <c r="J32" s="60">
        <v>2021</v>
      </c>
    </row>
    <row r="33" spans="2:10">
      <c r="B33" s="188" t="s">
        <v>413</v>
      </c>
      <c r="C33" s="188"/>
      <c r="D33" s="188"/>
      <c r="E33" s="55">
        <f>373.9/E10</f>
        <v>208.88268156424579</v>
      </c>
      <c r="F33" s="55">
        <f>388.4/F10</f>
        <v>216.98324022346367</v>
      </c>
      <c r="G33" s="55">
        <f>385/G10</f>
        <v>215.08379888268155</v>
      </c>
      <c r="H33" s="55">
        <f>391.6/H10</f>
        <v>218.77094972067039</v>
      </c>
      <c r="I33" s="55">
        <f>424.2/I10</f>
        <v>236.98324022346367</v>
      </c>
      <c r="J33" s="55">
        <f>449/J10</f>
        <v>250.83798882681563</v>
      </c>
    </row>
    <row r="34" spans="2:10">
      <c r="B34" s="197" t="s">
        <v>452</v>
      </c>
      <c r="C34" s="197"/>
      <c r="D34" s="197"/>
      <c r="E34" s="55">
        <f>3299.6/E10</f>
        <v>1843.3519553072624</v>
      </c>
      <c r="F34" s="55">
        <f>3926/F10</f>
        <v>2193.2960893854747</v>
      </c>
      <c r="G34" s="55">
        <f>3916/G10</f>
        <v>2187.7094972067039</v>
      </c>
      <c r="H34" s="55">
        <f>3911/H10</f>
        <v>2184.9162011173185</v>
      </c>
      <c r="I34" s="55">
        <f>4072/I10</f>
        <v>2274.8603351955308</v>
      </c>
      <c r="J34" s="55">
        <f>4748/J10</f>
        <v>2652.5139664804469</v>
      </c>
    </row>
    <row r="35" spans="2:10">
      <c r="B35" s="194" t="s">
        <v>379</v>
      </c>
      <c r="C35" s="194"/>
      <c r="D35" s="194"/>
      <c r="E35" s="55"/>
      <c r="F35" s="55"/>
      <c r="G35" s="55"/>
      <c r="H35" s="55"/>
      <c r="I35" s="55"/>
      <c r="J35" s="55"/>
    </row>
    <row r="36" spans="2:10">
      <c r="B36" s="198" t="s">
        <v>451</v>
      </c>
      <c r="C36" s="198"/>
      <c r="D36" s="198"/>
      <c r="E36" s="55">
        <f>2327.3/E10</f>
        <v>1300.1675977653631</v>
      </c>
      <c r="F36" s="55">
        <f>2659.1/F10</f>
        <v>1485.5307262569831</v>
      </c>
      <c r="G36" s="55">
        <f>2628/G10</f>
        <v>1468.1564245810055</v>
      </c>
      <c r="H36" s="55">
        <f>2648/H10</f>
        <v>1479.3296089385474</v>
      </c>
      <c r="I36" s="55">
        <f>2925.8/I10</f>
        <v>1634.5251396648046</v>
      </c>
      <c r="J36" s="55">
        <f>3410/J10</f>
        <v>1905.0279329608938</v>
      </c>
    </row>
    <row r="37" spans="2:10">
      <c r="B37" s="198" t="s">
        <v>450</v>
      </c>
      <c r="C37" s="198"/>
      <c r="D37" s="198"/>
      <c r="E37" s="55">
        <f>972.3/E10</f>
        <v>543.18435754189943</v>
      </c>
      <c r="F37" s="55">
        <f>1266.9/F10</f>
        <v>707.76536312849169</v>
      </c>
      <c r="G37" s="55">
        <f>1289/G10</f>
        <v>720.1117318435754</v>
      </c>
      <c r="H37" s="55">
        <f>1262.6/H10</f>
        <v>705.36312849162005</v>
      </c>
      <c r="I37" s="55">
        <f>1143.5/I10</f>
        <v>638.82681564245809</v>
      </c>
      <c r="J37" s="55">
        <f>1338/J10</f>
        <v>747.48603351955308</v>
      </c>
    </row>
    <row r="38" spans="2:10">
      <c r="B38" s="197" t="s">
        <v>449</v>
      </c>
      <c r="C38" s="197"/>
      <c r="D38" s="197"/>
      <c r="E38" s="55">
        <f>4457/E10</f>
        <v>2489.9441340782123</v>
      </c>
      <c r="F38" s="55">
        <f>4375/F10</f>
        <v>2444.1340782122907</v>
      </c>
      <c r="G38" s="55">
        <f>4377/G10</f>
        <v>2445.2513966480446</v>
      </c>
      <c r="H38" s="55">
        <f>4372/H10</f>
        <v>2442.4581005586592</v>
      </c>
      <c r="I38" s="55">
        <f>4341/I10</f>
        <v>2425.1396648044692</v>
      </c>
      <c r="J38" s="55">
        <f>4402/J10</f>
        <v>2459.2178770949722</v>
      </c>
    </row>
    <row r="39" spans="2:10">
      <c r="B39" s="197" t="s">
        <v>448</v>
      </c>
      <c r="C39" s="197"/>
      <c r="D39" s="197"/>
      <c r="E39" s="66"/>
      <c r="F39" s="66"/>
      <c r="G39" s="66"/>
      <c r="H39" s="66"/>
      <c r="I39" s="66"/>
      <c r="J39" s="66"/>
    </row>
    <row r="40" spans="2:10">
      <c r="B40" s="195" t="s">
        <v>447</v>
      </c>
      <c r="C40" s="195"/>
      <c r="D40" s="195"/>
      <c r="E40" s="66">
        <v>0</v>
      </c>
      <c r="F40" s="66">
        <v>0</v>
      </c>
      <c r="G40" s="66">
        <v>0</v>
      </c>
      <c r="H40" s="66">
        <v>0</v>
      </c>
      <c r="I40" s="66">
        <v>0</v>
      </c>
      <c r="J40" s="66">
        <v>0</v>
      </c>
    </row>
    <row r="41" spans="2:10">
      <c r="B41" s="195" t="s">
        <v>445</v>
      </c>
      <c r="C41" s="195"/>
      <c r="D41" s="195"/>
      <c r="E41" s="66">
        <v>0</v>
      </c>
      <c r="F41" s="66">
        <v>0</v>
      </c>
      <c r="G41" s="66">
        <v>0</v>
      </c>
      <c r="H41" s="66">
        <v>0</v>
      </c>
      <c r="I41" s="66">
        <v>0</v>
      </c>
      <c r="J41" s="66">
        <v>0</v>
      </c>
    </row>
    <row r="42" spans="2:10">
      <c r="B42" s="195" t="s">
        <v>444</v>
      </c>
      <c r="C42" s="195"/>
      <c r="D42" s="195"/>
      <c r="E42" s="66">
        <v>0</v>
      </c>
      <c r="F42" s="66">
        <v>0</v>
      </c>
      <c r="G42" s="66">
        <v>0</v>
      </c>
      <c r="H42" s="66">
        <v>0</v>
      </c>
      <c r="I42" s="66">
        <v>0</v>
      </c>
      <c r="J42" s="66">
        <v>0</v>
      </c>
    </row>
    <row r="43" spans="2:10" ht="15" thickBot="1">
      <c r="B43" s="196" t="s">
        <v>443</v>
      </c>
      <c r="C43" s="190"/>
      <c r="D43" s="190"/>
      <c r="E43" s="66">
        <v>0</v>
      </c>
      <c r="F43" s="66">
        <v>0</v>
      </c>
      <c r="G43" s="66">
        <v>0</v>
      </c>
      <c r="H43" s="66">
        <v>0</v>
      </c>
      <c r="I43" s="66">
        <v>0</v>
      </c>
      <c r="J43" s="66">
        <v>0</v>
      </c>
    </row>
    <row r="44" spans="2:10" ht="15" thickTop="1">
      <c r="B44" s="2023" t="s">
        <v>2090</v>
      </c>
      <c r="C44" s="2023"/>
      <c r="D44" s="2023"/>
      <c r="E44" s="2023"/>
      <c r="F44" s="2023"/>
      <c r="G44" s="2023"/>
      <c r="H44" s="2023"/>
      <c r="I44" s="2023"/>
      <c r="J44" s="2023"/>
    </row>
    <row r="45" spans="2:10">
      <c r="B45" s="64"/>
      <c r="C45" s="64"/>
      <c r="D45" s="64"/>
    </row>
    <row r="46" spans="2:10">
      <c r="B46" s="2024" t="s">
        <v>442</v>
      </c>
      <c r="C46" s="2024"/>
      <c r="D46" s="2024"/>
      <c r="E46" s="2024"/>
      <c r="F46" s="2024"/>
      <c r="G46" s="2024"/>
      <c r="H46" s="2024"/>
      <c r="I46" s="2024"/>
      <c r="J46" s="2024"/>
    </row>
    <row r="47" spans="2:10">
      <c r="B47" s="12" t="s">
        <v>441</v>
      </c>
      <c r="C47" s="12"/>
      <c r="D47" s="12"/>
    </row>
    <row r="48" spans="2:10">
      <c r="B48" s="77" t="s">
        <v>242</v>
      </c>
      <c r="C48" s="77"/>
      <c r="D48" s="77"/>
    </row>
    <row r="49" spans="2:10">
      <c r="B49" s="64"/>
      <c r="C49" s="64"/>
      <c r="D49" s="64"/>
    </row>
    <row r="50" spans="2:10">
      <c r="B50" s="61"/>
      <c r="C50" s="61"/>
      <c r="D50" s="61"/>
      <c r="E50" s="60">
        <v>2016</v>
      </c>
      <c r="F50" s="60">
        <v>2017</v>
      </c>
      <c r="G50" s="60">
        <v>2018</v>
      </c>
      <c r="H50" s="60">
        <v>2019</v>
      </c>
      <c r="I50" s="60">
        <v>2020</v>
      </c>
      <c r="J50" s="60">
        <v>2021</v>
      </c>
    </row>
    <row r="51" spans="2:10">
      <c r="B51" s="188" t="s">
        <v>440</v>
      </c>
      <c r="C51" s="188"/>
      <c r="D51" s="188"/>
      <c r="E51" s="98">
        <f>E52+E55</f>
        <v>927.82737430167595</v>
      </c>
      <c r="F51" s="98">
        <f t="shared" ref="F51:J51" si="0">F52+F55</f>
        <v>1176.322346368715</v>
      </c>
      <c r="G51" s="98">
        <f t="shared" si="0"/>
        <v>1130.294972067039</v>
      </c>
      <c r="H51" s="98">
        <f t="shared" si="0"/>
        <v>1000.8804469273742</v>
      </c>
      <c r="I51" s="98">
        <f t="shared" si="0"/>
        <v>1206.6396648044692</v>
      </c>
      <c r="J51" s="98">
        <f t="shared" si="0"/>
        <v>1361.1106145251397</v>
      </c>
    </row>
    <row r="52" spans="2:10">
      <c r="B52" s="195" t="s">
        <v>470</v>
      </c>
      <c r="C52" s="195"/>
      <c r="D52" s="195"/>
      <c r="E52" s="98">
        <f>E53+E54</f>
        <v>648.24692737430166</v>
      </c>
      <c r="F52" s="98">
        <f t="shared" ref="F52:J52" si="1">F53+F54</f>
        <v>718.87206703910613</v>
      </c>
      <c r="G52" s="98">
        <f t="shared" si="1"/>
        <v>725.4284916201118</v>
      </c>
      <c r="H52" s="98">
        <f>H53+H54</f>
        <v>716.2234636871508</v>
      </c>
      <c r="I52" s="98">
        <f>I53+I54</f>
        <v>775.11675977653636</v>
      </c>
      <c r="J52" s="98">
        <f t="shared" si="1"/>
        <v>830.98435754189939</v>
      </c>
    </row>
    <row r="53" spans="2:10">
      <c r="B53" s="150" t="s">
        <v>352</v>
      </c>
      <c r="C53" s="150"/>
      <c r="D53" s="150"/>
      <c r="E53" s="55">
        <f>1160.362/1.79</f>
        <v>648.24692737430166</v>
      </c>
      <c r="F53" s="55">
        <f>1286.781/1.79</f>
        <v>718.87206703910613</v>
      </c>
      <c r="G53" s="55">
        <f>1298.517/1.79</f>
        <v>725.4284916201118</v>
      </c>
      <c r="H53" s="55">
        <f>1282.04/1.79</f>
        <v>716.2234636871508</v>
      </c>
      <c r="I53" s="55">
        <f>1387.459/1.79</f>
        <v>775.11675977653636</v>
      </c>
      <c r="J53" s="55">
        <f>1487.462/1.79</f>
        <v>830.98435754189939</v>
      </c>
    </row>
    <row r="54" spans="2:10">
      <c r="B54" s="150" t="s">
        <v>351</v>
      </c>
      <c r="C54" s="150"/>
      <c r="D54" s="150"/>
      <c r="E54" s="55">
        <v>0</v>
      </c>
      <c r="F54" s="55">
        <v>0</v>
      </c>
      <c r="G54" s="55">
        <v>0</v>
      </c>
      <c r="H54" s="55">
        <v>0</v>
      </c>
      <c r="I54" s="55">
        <v>0</v>
      </c>
      <c r="J54" s="55">
        <v>0</v>
      </c>
    </row>
    <row r="55" spans="2:10">
      <c r="B55" s="195" t="s">
        <v>471</v>
      </c>
      <c r="C55" s="195"/>
      <c r="D55" s="195"/>
      <c r="E55" s="55">
        <f t="shared" ref="E55:H55" si="2">E56+E57</f>
        <v>279.58044692737428</v>
      </c>
      <c r="F55" s="55">
        <f t="shared" si="2"/>
        <v>457.45027932960886</v>
      </c>
      <c r="G55" s="55">
        <f t="shared" si="2"/>
        <v>404.86648044692731</v>
      </c>
      <c r="H55" s="55">
        <f t="shared" si="2"/>
        <v>284.65698324022344</v>
      </c>
      <c r="I55" s="55">
        <f>I56+I57</f>
        <v>431.52290502793295</v>
      </c>
      <c r="J55" s="55">
        <f>J56+J57</f>
        <v>530.12625698324018</v>
      </c>
    </row>
    <row r="56" spans="2:10">
      <c r="B56" s="150" t="s">
        <v>352</v>
      </c>
      <c r="C56" s="150"/>
      <c r="D56" s="150"/>
      <c r="E56" s="98">
        <f>431.739/E10</f>
        <v>241.19497206703909</v>
      </c>
      <c r="F56" s="98">
        <f>637.718/F10</f>
        <v>356.26703910614521</v>
      </c>
      <c r="G56" s="98">
        <f>473.469/G10</f>
        <v>264.50782122905025</v>
      </c>
      <c r="H56" s="98">
        <f>303.239/H10</f>
        <v>169.4072625698324</v>
      </c>
      <c r="I56" s="98">
        <f>594.044/I10</f>
        <v>331.868156424581</v>
      </c>
      <c r="J56" s="98">
        <f>501.822/J10</f>
        <v>280.34748603351954</v>
      </c>
    </row>
    <row r="57" spans="2:10">
      <c r="B57" s="150" t="s">
        <v>351</v>
      </c>
      <c r="C57" s="150"/>
      <c r="D57" s="150"/>
      <c r="E57" s="55">
        <f>68.71/E10</f>
        <v>38.385474860335194</v>
      </c>
      <c r="F57" s="55">
        <f>181.118/F10</f>
        <v>101.18324022346368</v>
      </c>
      <c r="G57" s="55">
        <f>251.242/G10</f>
        <v>140.35865921787709</v>
      </c>
      <c r="H57" s="55">
        <f>206.297/H10</f>
        <v>115.24972067039106</v>
      </c>
      <c r="I57" s="55">
        <f>178.382/I10</f>
        <v>99.654748603351962</v>
      </c>
      <c r="J57" s="55">
        <f>447.104/J10</f>
        <v>249.77877094972067</v>
      </c>
    </row>
    <row r="58" spans="2:10">
      <c r="B58" s="188" t="s">
        <v>437</v>
      </c>
      <c r="C58" s="188"/>
      <c r="D58" s="188"/>
      <c r="E58" s="55">
        <f>101.002/E10</f>
        <v>56.425698324022342</v>
      </c>
      <c r="F58" s="55">
        <f>66.09/F10</f>
        <v>36.92178770949721</v>
      </c>
      <c r="G58" s="55">
        <f>42.927/G10</f>
        <v>23.981564245810056</v>
      </c>
      <c r="H58" s="55">
        <f>90.175/H10</f>
        <v>50.377094972067034</v>
      </c>
      <c r="I58" s="55">
        <f>15.757/I10</f>
        <v>8.8027932960893853</v>
      </c>
      <c r="J58" s="55">
        <f>-4.964/J10</f>
        <v>-2.7731843575418997</v>
      </c>
    </row>
    <row r="59" spans="2:10" ht="15" thickBot="1">
      <c r="B59" s="193" t="s">
        <v>436</v>
      </c>
      <c r="C59" s="519"/>
      <c r="D59" s="519"/>
      <c r="E59" s="55">
        <f>45.404/E10</f>
        <v>25.365363128491623</v>
      </c>
      <c r="F59" s="55">
        <f>138.837/F10</f>
        <v>77.562569832402232</v>
      </c>
      <c r="G59" s="55">
        <f>287.814/G10</f>
        <v>160.78994413407821</v>
      </c>
      <c r="H59" s="55">
        <f>267/H10</f>
        <v>149.16201117318437</v>
      </c>
      <c r="I59" s="55">
        <f>0/I10</f>
        <v>0</v>
      </c>
      <c r="J59" s="55">
        <f>0/J10</f>
        <v>0</v>
      </c>
    </row>
    <row r="60" spans="2:10" ht="15" thickTop="1">
      <c r="B60" s="2023" t="s">
        <v>2090</v>
      </c>
      <c r="C60" s="2023"/>
      <c r="D60" s="2023"/>
      <c r="E60" s="2023"/>
      <c r="F60" s="2023"/>
      <c r="G60" s="2023"/>
      <c r="H60" s="2023"/>
      <c r="I60" s="2023"/>
      <c r="J60" s="2023"/>
    </row>
    <row r="61" spans="2:10">
      <c r="B61" s="64"/>
      <c r="C61" s="64"/>
      <c r="D61" s="64"/>
    </row>
    <row r="62" spans="2:10">
      <c r="B62" s="2024" t="s">
        <v>434</v>
      </c>
      <c r="C62" s="2024"/>
      <c r="D62" s="2024"/>
      <c r="E62" s="2024"/>
      <c r="F62" s="2024"/>
      <c r="G62" s="2024"/>
      <c r="H62" s="2024"/>
      <c r="I62" s="2024"/>
      <c r="J62" s="2024"/>
    </row>
    <row r="63" spans="2:10">
      <c r="B63" s="12" t="s">
        <v>433</v>
      </c>
      <c r="C63" s="12"/>
      <c r="D63" s="12"/>
    </row>
    <row r="64" spans="2:10">
      <c r="B64" s="62" t="s">
        <v>242</v>
      </c>
      <c r="C64" s="62"/>
      <c r="D64" s="62"/>
    </row>
    <row r="65" spans="2:10">
      <c r="B65" s="64"/>
      <c r="C65" s="64"/>
      <c r="D65" s="64"/>
    </row>
    <row r="66" spans="2:10">
      <c r="B66" s="61"/>
      <c r="C66" s="61"/>
      <c r="D66" s="61"/>
      <c r="E66" s="60">
        <v>2016</v>
      </c>
      <c r="F66" s="60">
        <v>2017</v>
      </c>
      <c r="G66" s="60">
        <v>2018</v>
      </c>
      <c r="H66" s="60">
        <v>2019</v>
      </c>
      <c r="I66" s="60">
        <v>2020</v>
      </c>
      <c r="J66" s="60">
        <v>2021</v>
      </c>
    </row>
    <row r="67" spans="2:10">
      <c r="B67" s="64" t="s">
        <v>432</v>
      </c>
      <c r="C67" s="64"/>
      <c r="D67" s="64"/>
      <c r="E67" s="55">
        <f>491.159/E10</f>
        <v>274.39050279329609</v>
      </c>
      <c r="F67" s="55">
        <f>527.96/F10</f>
        <v>294.94972067039106</v>
      </c>
      <c r="G67" s="55">
        <f>508.445/G10</f>
        <v>284.04748603351953</v>
      </c>
      <c r="H67" s="55">
        <f>524.667/H10</f>
        <v>293.11005586592182</v>
      </c>
      <c r="I67" s="55">
        <f>577/I10</f>
        <v>322.34636871508377</v>
      </c>
      <c r="J67" s="55">
        <f>587/J10</f>
        <v>327.93296089385473</v>
      </c>
    </row>
    <row r="68" spans="2:10">
      <c r="B68" s="62"/>
      <c r="C68" s="62"/>
      <c r="D68" s="62"/>
      <c r="E68" s="55"/>
      <c r="F68" s="55"/>
      <c r="G68" s="55"/>
      <c r="H68" s="55"/>
      <c r="I68" s="55"/>
      <c r="J68" s="55"/>
    </row>
    <row r="69" spans="2:10">
      <c r="B69" s="64" t="s">
        <v>431</v>
      </c>
      <c r="C69" s="64"/>
      <c r="D69" s="64"/>
      <c r="E69" s="55">
        <f>434.751/E10</f>
        <v>242.87765363128489</v>
      </c>
      <c r="F69" s="55">
        <f>469.676/F10</f>
        <v>262.38882681564246</v>
      </c>
      <c r="G69" s="55">
        <f>447.795/G10</f>
        <v>250.16480446927375</v>
      </c>
      <c r="H69" s="55">
        <f>463.831/H10</f>
        <v>259.12346368715083</v>
      </c>
      <c r="I69" s="55">
        <f>514/I10</f>
        <v>287.15083798882682</v>
      </c>
      <c r="J69" s="55">
        <f>522/J10</f>
        <v>291.62011173184356</v>
      </c>
    </row>
    <row r="70" spans="2:10">
      <c r="B70" s="190" t="s">
        <v>379</v>
      </c>
      <c r="C70" s="190"/>
      <c r="D70" s="190"/>
      <c r="E70" s="55"/>
      <c r="F70" s="55"/>
      <c r="G70" s="55"/>
      <c r="H70" s="55"/>
      <c r="I70" s="55"/>
      <c r="J70" s="55"/>
    </row>
    <row r="71" spans="2:10">
      <c r="B71" s="399" t="s">
        <v>2091</v>
      </c>
      <c r="C71" s="399"/>
      <c r="D71" s="399"/>
      <c r="E71" s="55">
        <f>1.634/E10</f>
        <v>0.91284916201117305</v>
      </c>
      <c r="F71" s="55">
        <f>1.628/F10</f>
        <v>0.90949720670391054</v>
      </c>
      <c r="G71" s="55">
        <f>1.353/G10</f>
        <v>0.7558659217877095</v>
      </c>
      <c r="H71" s="55">
        <f>1.152/H10</f>
        <v>0.6435754189944134</v>
      </c>
      <c r="I71" s="55">
        <f>1.151/I10</f>
        <v>0.64301675977653627</v>
      </c>
      <c r="J71" s="55">
        <f>1.156/J10</f>
        <v>0.64581005586592177</v>
      </c>
    </row>
    <row r="72" spans="2:10">
      <c r="B72" s="399" t="s">
        <v>2092</v>
      </c>
      <c r="C72" s="399"/>
      <c r="D72" s="399"/>
      <c r="E72" s="55">
        <f>316.418/E10</f>
        <v>176.76983240223464</v>
      </c>
      <c r="F72" s="55">
        <f>343.674/F10</f>
        <v>191.99664804469273</v>
      </c>
      <c r="G72" s="55">
        <f>324.865/G10</f>
        <v>181.48882681564245</v>
      </c>
      <c r="H72" s="55">
        <f>330.43/H10</f>
        <v>184.5977653631285</v>
      </c>
      <c r="I72" s="55">
        <f>371.329/I10</f>
        <v>207.44636871508379</v>
      </c>
      <c r="J72" s="55">
        <f>385.316/J10</f>
        <v>215.2603351955307</v>
      </c>
    </row>
    <row r="73" spans="2:10">
      <c r="B73" s="399" t="s">
        <v>2093</v>
      </c>
      <c r="C73" s="399"/>
      <c r="D73" s="399"/>
      <c r="E73" s="55">
        <f>58.582/E10</f>
        <v>32.727374301675979</v>
      </c>
      <c r="F73" s="55">
        <f>63.618/F10</f>
        <v>35.540782122905028</v>
      </c>
      <c r="G73" s="55">
        <f>60.492/G10</f>
        <v>33.794413407821224</v>
      </c>
      <c r="H73" s="55">
        <f>65.847/H10</f>
        <v>36.786033519553065</v>
      </c>
      <c r="I73" s="55">
        <f>72.481/I10</f>
        <v>40.492178770949714</v>
      </c>
      <c r="J73" s="55">
        <f>68.48/J10</f>
        <v>38.256983240223462</v>
      </c>
    </row>
    <row r="74" spans="2:10">
      <c r="B74" s="399" t="s">
        <v>2094</v>
      </c>
      <c r="C74" s="399"/>
      <c r="D74" s="399"/>
      <c r="E74" s="55">
        <f>37.894/E10</f>
        <v>21.169832402234636</v>
      </c>
      <c r="F74" s="55">
        <f>40.181/F10</f>
        <v>22.447486033519549</v>
      </c>
      <c r="G74" s="55">
        <f>40.066/G10</f>
        <v>22.383240223463687</v>
      </c>
      <c r="H74" s="55">
        <f>44.904/H10</f>
        <v>25.086033519553073</v>
      </c>
      <c r="I74" s="55">
        <f>47.932/I10</f>
        <v>26.777653631284917</v>
      </c>
      <c r="J74" s="55">
        <f>45.568/J10</f>
        <v>25.456983240223462</v>
      </c>
    </row>
    <row r="75" spans="2:10">
      <c r="B75" s="399" t="s">
        <v>2095</v>
      </c>
      <c r="C75" s="399"/>
      <c r="D75" s="399"/>
      <c r="E75" s="55">
        <f>18.477/E10</f>
        <v>10.322346368715083</v>
      </c>
      <c r="F75" s="55">
        <f>18.832/F10</f>
        <v>10.520670391061453</v>
      </c>
      <c r="G75" s="55">
        <f>19.283/G10</f>
        <v>10.772625698324022</v>
      </c>
      <c r="H75" s="55">
        <f>19.762/H10</f>
        <v>11.04022346368715</v>
      </c>
      <c r="I75" s="55">
        <f>19.551/I10</f>
        <v>10.922346368715083</v>
      </c>
      <c r="J75" s="55">
        <f>20.248/J10</f>
        <v>11.311731843575419</v>
      </c>
    </row>
    <row r="76" spans="2:10">
      <c r="B76" s="399" t="s">
        <v>2096</v>
      </c>
      <c r="C76" s="399"/>
      <c r="D76" s="399"/>
      <c r="E76" s="55">
        <f>1.746/E10</f>
        <v>0.97541899441340785</v>
      </c>
      <c r="F76" s="55">
        <f>1.743/F10</f>
        <v>0.97374301675977659</v>
      </c>
      <c r="G76" s="55">
        <f>1.737/G10</f>
        <v>0.97039106145251397</v>
      </c>
      <c r="H76" s="55">
        <f>1.737/H10</f>
        <v>0.97039106145251397</v>
      </c>
      <c r="I76" s="55">
        <f>1.736/I10</f>
        <v>0.96983240223463685</v>
      </c>
      <c r="J76" s="55">
        <f>1.735/J10</f>
        <v>0.96927374301675984</v>
      </c>
    </row>
    <row r="77" spans="2:10">
      <c r="B77" s="1664"/>
      <c r="C77" s="1664"/>
      <c r="D77" s="1664"/>
      <c r="E77" s="55"/>
      <c r="F77" s="55"/>
      <c r="G77" s="55"/>
      <c r="H77" s="55"/>
      <c r="I77" s="55"/>
      <c r="J77" s="55"/>
    </row>
    <row r="78" spans="2:10">
      <c r="B78" s="64" t="s">
        <v>424</v>
      </c>
      <c r="C78" s="64"/>
      <c r="D78" s="64"/>
      <c r="E78" s="55">
        <f>55.182/E10</f>
        <v>30.827932960893854</v>
      </c>
      <c r="F78" s="55">
        <f>57.046/F10</f>
        <v>31.869273743016759</v>
      </c>
      <c r="G78" s="55">
        <f>59.398/G10</f>
        <v>33.183240223463692</v>
      </c>
      <c r="H78" s="55">
        <f>59.576/H10</f>
        <v>33.282681564245813</v>
      </c>
      <c r="I78" s="55">
        <f>61.246/I10</f>
        <v>34.215642458100561</v>
      </c>
      <c r="J78" s="55">
        <f>63/J10</f>
        <v>35.195530726256983</v>
      </c>
    </row>
    <row r="79" spans="2:10">
      <c r="B79" s="190" t="s">
        <v>379</v>
      </c>
      <c r="C79" s="190"/>
      <c r="D79" s="190"/>
      <c r="E79" s="55"/>
      <c r="F79" s="55"/>
      <c r="G79" s="55"/>
      <c r="H79" s="55"/>
      <c r="I79" s="55"/>
      <c r="J79" s="55"/>
    </row>
    <row r="80" spans="2:10">
      <c r="B80" s="399" t="s">
        <v>2097</v>
      </c>
      <c r="C80" s="399"/>
      <c r="D80" s="399"/>
      <c r="E80" s="1540">
        <f>13.068/E10</f>
        <v>7.3005586592178764</v>
      </c>
      <c r="F80" s="1540">
        <f>13.822/F10</f>
        <v>7.7217877094972058</v>
      </c>
      <c r="G80" s="1540">
        <f>15.025/G10</f>
        <v>8.3938547486033528</v>
      </c>
      <c r="H80" s="1540">
        <f>14.79/H10</f>
        <v>8.2625698324022334</v>
      </c>
      <c r="I80" s="1540">
        <f>15.233/I10</f>
        <v>8.5100558659217871</v>
      </c>
      <c r="J80" s="1540">
        <f>15.901/J10</f>
        <v>8.8832402234636874</v>
      </c>
    </row>
    <row r="81" spans="2:10">
      <c r="B81" s="399" t="s">
        <v>2098</v>
      </c>
      <c r="C81" s="399"/>
      <c r="D81" s="399"/>
      <c r="E81" s="1540">
        <f>0.966/E10</f>
        <v>0.53966480446927367</v>
      </c>
      <c r="F81" s="1540">
        <f>0.961/F10</f>
        <v>0.53687150837988828</v>
      </c>
      <c r="G81" s="1540">
        <f>0.961/G10</f>
        <v>0.53687150837988828</v>
      </c>
      <c r="H81" s="1540">
        <f>0.963/H10</f>
        <v>0.53798882681564242</v>
      </c>
      <c r="I81" s="1540">
        <f>0.949/I10</f>
        <v>0.53016759776536304</v>
      </c>
      <c r="J81" s="1540">
        <f>0.946/J10</f>
        <v>0.52849162011173179</v>
      </c>
    </row>
    <row r="82" spans="2:10">
      <c r="B82" s="399" t="s">
        <v>2099</v>
      </c>
      <c r="C82" s="399"/>
      <c r="D82" s="399"/>
      <c r="E82" s="1540">
        <f>19.856/E10</f>
        <v>11.092737430167599</v>
      </c>
      <c r="F82" s="1540">
        <f>20.383/F10</f>
        <v>11.387150837988827</v>
      </c>
      <c r="G82" s="1540">
        <f>21.581/G10</f>
        <v>12.056424581005587</v>
      </c>
      <c r="H82" s="1540">
        <f>21.617/H10</f>
        <v>12.076536312849163</v>
      </c>
      <c r="I82" s="1540">
        <f>21.82/I10</f>
        <v>12.189944134078212</v>
      </c>
      <c r="J82" s="1540">
        <f>22.449/J10</f>
        <v>12.541340782122905</v>
      </c>
    </row>
    <row r="83" spans="2:10">
      <c r="B83" s="399" t="s">
        <v>2100</v>
      </c>
      <c r="C83" s="399"/>
      <c r="D83" s="399"/>
      <c r="E83" s="1540">
        <f>0.68/E10</f>
        <v>0.37988826815642462</v>
      </c>
      <c r="F83" s="1540">
        <f>0.678/F10</f>
        <v>0.37877094972067044</v>
      </c>
      <c r="G83" s="1540">
        <f>0.676/G10</f>
        <v>0.37765363128491619</v>
      </c>
      <c r="H83" s="1540">
        <f>0.669/H10</f>
        <v>0.37374301675977656</v>
      </c>
      <c r="I83" s="1540">
        <f>0.655/I10</f>
        <v>0.36592178770949724</v>
      </c>
      <c r="J83" s="1540">
        <f>0.655/J10</f>
        <v>0.36592178770949724</v>
      </c>
    </row>
    <row r="84" spans="2:10">
      <c r="B84" s="399" t="s">
        <v>2101</v>
      </c>
      <c r="C84" s="399"/>
      <c r="D84" s="399"/>
      <c r="E84" s="1540">
        <f>10.084/E10</f>
        <v>5.6335195530726256</v>
      </c>
      <c r="F84" s="1540">
        <f>10.409/F10</f>
        <v>5.8150837988826822</v>
      </c>
      <c r="G84" s="1540">
        <f>10.77/G10</f>
        <v>6.0167597765363121</v>
      </c>
      <c r="H84" s="1540">
        <f>11.018/H10</f>
        <v>6.1553072625698331</v>
      </c>
      <c r="I84" s="1540">
        <f>11.157/I10</f>
        <v>6.2329608938547487</v>
      </c>
      <c r="J84" s="1540">
        <f>11.402/J10</f>
        <v>6.3698324022346364</v>
      </c>
    </row>
    <row r="85" spans="2:10">
      <c r="B85" s="399" t="s">
        <v>2102</v>
      </c>
      <c r="C85" s="399"/>
      <c r="D85" s="399"/>
      <c r="E85" s="1665">
        <f>5.264/E10</f>
        <v>2.9407821229050279</v>
      </c>
      <c r="F85" s="1665">
        <f>5.406/F10</f>
        <v>3.0201117318435751</v>
      </c>
      <c r="G85" s="1665">
        <f>5.564/G10</f>
        <v>3.1083798882681566</v>
      </c>
      <c r="H85" s="1665">
        <f>5.679/H10</f>
        <v>3.1726256983240226</v>
      </c>
      <c r="I85" s="1665">
        <f>5.734/I10</f>
        <v>3.2033519553072627</v>
      </c>
      <c r="J85" s="1665">
        <f>5.827/J10</f>
        <v>3.2553072625698323</v>
      </c>
    </row>
    <row r="86" spans="2:10">
      <c r="B86" s="399" t="s">
        <v>2103</v>
      </c>
      <c r="C86" s="399"/>
      <c r="D86" s="399"/>
      <c r="E86" s="66">
        <f>3.029/E10</f>
        <v>1.6921787709497207</v>
      </c>
      <c r="F86" s="66">
        <f>3.12/F10</f>
        <v>1.7430167597765363</v>
      </c>
      <c r="G86" s="66">
        <f>3.21/G10</f>
        <v>1.7932960893854748</v>
      </c>
      <c r="H86" s="66">
        <f>3.289/H10</f>
        <v>1.8374301675977653</v>
      </c>
      <c r="I86" s="66">
        <f>3.329/I10</f>
        <v>1.8597765363128491</v>
      </c>
      <c r="J86" s="66">
        <f>3.377/J10</f>
        <v>1.8865921787709496</v>
      </c>
    </row>
    <row r="87" spans="2:10">
      <c r="B87" s="399" t="s">
        <v>2104</v>
      </c>
      <c r="C87" s="399"/>
      <c r="D87" s="399"/>
      <c r="E87" s="66">
        <f>0.442/E10</f>
        <v>0.24692737430167597</v>
      </c>
      <c r="F87" s="66">
        <f>0.442/F10</f>
        <v>0.24692737430167597</v>
      </c>
      <c r="G87" s="66">
        <f>0.442/G10</f>
        <v>0.24692737430167597</v>
      </c>
      <c r="H87" s="66">
        <f>0.441/H10</f>
        <v>0.24636871508379887</v>
      </c>
      <c r="I87" s="66">
        <f>0.441/I10</f>
        <v>0.24636871508379887</v>
      </c>
      <c r="J87" s="66">
        <f>0.441/J10</f>
        <v>0.24636871508379887</v>
      </c>
    </row>
    <row r="88" spans="2:10">
      <c r="B88" s="399" t="s">
        <v>2105</v>
      </c>
      <c r="C88" s="399"/>
      <c r="D88" s="399"/>
      <c r="E88" s="66">
        <f>1.828/E10</f>
        <v>1.0212290502793295</v>
      </c>
      <c r="F88" s="66">
        <f>1.865/F10</f>
        <v>1.0418994413407821</v>
      </c>
      <c r="G88" s="66">
        <f>1.91/G10</f>
        <v>1.0670391061452513</v>
      </c>
      <c r="H88" s="66">
        <f>1.948/H10</f>
        <v>1.0882681564245809</v>
      </c>
      <c r="I88" s="66">
        <f>1.972/I10</f>
        <v>1.1016759776536313</v>
      </c>
      <c r="J88" s="66">
        <f>2.002/J10</f>
        <v>1.1184357541899439</v>
      </c>
    </row>
    <row r="89" spans="2:10">
      <c r="B89" s="399"/>
      <c r="C89" s="399"/>
      <c r="D89" s="399"/>
      <c r="E89" s="66"/>
      <c r="F89" s="66"/>
      <c r="G89" s="66"/>
      <c r="H89" s="66"/>
      <c r="I89" s="66"/>
      <c r="J89" s="66"/>
    </row>
    <row r="90" spans="2:10">
      <c r="B90" s="1666" t="s">
        <v>2106</v>
      </c>
      <c r="C90" s="1666"/>
      <c r="D90" s="1666"/>
      <c r="E90" s="121">
        <f>1.226/E10</f>
        <v>0.68491620111731844</v>
      </c>
      <c r="F90" s="121">
        <f>1.238/F10</f>
        <v>0.69162011173184357</v>
      </c>
      <c r="G90" s="121">
        <f>1.252/G10</f>
        <v>0.69944134078212294</v>
      </c>
      <c r="H90" s="121">
        <f>1.259/H10</f>
        <v>0.70335195530726247</v>
      </c>
      <c r="I90" s="121">
        <f>1.259/I10</f>
        <v>0.70335195530726247</v>
      </c>
      <c r="J90" s="121">
        <f>1.259/J10</f>
        <v>0.70335195530726247</v>
      </c>
    </row>
    <row r="91" spans="2:10">
      <c r="B91" s="197" t="s">
        <v>414</v>
      </c>
      <c r="C91" s="197"/>
      <c r="D91" s="197"/>
      <c r="E91" s="66">
        <v>0</v>
      </c>
      <c r="F91" s="66">
        <v>0</v>
      </c>
      <c r="G91" s="66">
        <v>0</v>
      </c>
      <c r="H91" s="66">
        <v>0</v>
      </c>
      <c r="I91" s="66">
        <v>0</v>
      </c>
      <c r="J91" s="66">
        <v>0</v>
      </c>
    </row>
    <row r="92" spans="2:10" ht="15" thickBot="1">
      <c r="B92" s="208" t="s">
        <v>413</v>
      </c>
      <c r="C92" s="197"/>
      <c r="D92" s="197"/>
      <c r="E92" s="66">
        <v>0</v>
      </c>
      <c r="F92" s="66">
        <v>0</v>
      </c>
      <c r="G92" s="66">
        <v>0</v>
      </c>
      <c r="H92" s="66">
        <v>0</v>
      </c>
      <c r="I92" s="66">
        <v>0</v>
      </c>
      <c r="J92" s="66">
        <v>0</v>
      </c>
    </row>
    <row r="93" spans="2:10" ht="15" thickTop="1">
      <c r="B93" s="2023" t="s">
        <v>2090</v>
      </c>
      <c r="C93" s="2023"/>
      <c r="D93" s="2023"/>
      <c r="E93" s="2023"/>
      <c r="F93" s="2023"/>
      <c r="G93" s="2023"/>
      <c r="H93" s="2023"/>
      <c r="I93" s="2023"/>
      <c r="J93" s="2023"/>
    </row>
    <row r="94" spans="2:10">
      <c r="B94" s="64"/>
      <c r="C94" s="64"/>
      <c r="D94" s="64"/>
    </row>
    <row r="95" spans="2:10">
      <c r="B95" s="2024" t="s">
        <v>411</v>
      </c>
      <c r="C95" s="2024"/>
      <c r="D95" s="2024"/>
      <c r="E95" s="2024"/>
      <c r="F95" s="2024"/>
      <c r="G95" s="2024"/>
      <c r="H95" s="2024"/>
      <c r="I95" s="2024"/>
      <c r="J95" s="2024"/>
    </row>
    <row r="96" spans="2:10">
      <c r="B96" s="12" t="s">
        <v>410</v>
      </c>
      <c r="C96" s="12"/>
      <c r="D96" s="12"/>
    </row>
    <row r="97" spans="2:10">
      <c r="B97" s="62" t="s">
        <v>409</v>
      </c>
      <c r="C97" s="62"/>
      <c r="D97" s="62"/>
    </row>
    <row r="98" spans="2:10">
      <c r="B98" s="64"/>
      <c r="C98" s="64"/>
      <c r="D98" s="64"/>
    </row>
    <row r="99" spans="2:10">
      <c r="B99" s="61"/>
      <c r="C99" s="61"/>
      <c r="D99" s="61"/>
      <c r="E99" s="60">
        <v>2016</v>
      </c>
      <c r="F99" s="60">
        <v>2017</v>
      </c>
      <c r="G99" s="60">
        <v>2018</v>
      </c>
      <c r="H99" s="60">
        <v>2019</v>
      </c>
      <c r="I99" s="60">
        <v>2020</v>
      </c>
      <c r="J99" s="60">
        <v>2021</v>
      </c>
    </row>
    <row r="100" spans="2:10">
      <c r="B100" s="114" t="s">
        <v>262</v>
      </c>
      <c r="C100" s="114"/>
      <c r="D100" s="114"/>
    </row>
    <row r="101" spans="2:10">
      <c r="B101" s="186" t="s">
        <v>408</v>
      </c>
      <c r="C101" s="186"/>
      <c r="D101" s="186"/>
      <c r="E101" s="67">
        <v>2</v>
      </c>
      <c r="F101" s="67">
        <v>2</v>
      </c>
      <c r="G101" s="67">
        <v>2</v>
      </c>
      <c r="H101" s="67">
        <v>2</v>
      </c>
      <c r="I101" s="67">
        <v>2</v>
      </c>
      <c r="J101" s="67">
        <v>2</v>
      </c>
    </row>
    <row r="102" spans="2:10">
      <c r="B102" s="65" t="s">
        <v>407</v>
      </c>
      <c r="C102" s="65"/>
      <c r="D102" s="65"/>
      <c r="E102" s="67">
        <v>30</v>
      </c>
      <c r="F102" s="67">
        <v>30</v>
      </c>
      <c r="G102" s="67">
        <v>30</v>
      </c>
      <c r="H102" s="67">
        <v>30</v>
      </c>
      <c r="I102" s="67">
        <v>28</v>
      </c>
      <c r="J102" s="67">
        <v>28</v>
      </c>
    </row>
    <row r="103" spans="2:10">
      <c r="B103" s="65" t="s">
        <v>406</v>
      </c>
      <c r="C103" s="65"/>
      <c r="D103" s="65"/>
      <c r="E103" s="1341">
        <v>0</v>
      </c>
      <c r="F103" s="1341">
        <v>0</v>
      </c>
      <c r="G103" s="1341">
        <v>0</v>
      </c>
      <c r="H103" s="1341">
        <v>0</v>
      </c>
      <c r="I103" s="1341">
        <v>0</v>
      </c>
      <c r="J103" s="1341">
        <v>0</v>
      </c>
    </row>
    <row r="104" spans="2:10">
      <c r="B104" s="186" t="s">
        <v>401</v>
      </c>
      <c r="C104" s="186"/>
      <c r="D104" s="186"/>
      <c r="E104" s="1341">
        <v>0</v>
      </c>
      <c r="F104" s="1341">
        <v>0</v>
      </c>
      <c r="G104" s="1341">
        <v>0</v>
      </c>
      <c r="H104" s="1341">
        <v>0</v>
      </c>
      <c r="I104" s="1341">
        <v>0</v>
      </c>
      <c r="J104" s="1341">
        <v>0</v>
      </c>
    </row>
    <row r="105" spans="2:10">
      <c r="B105" s="186"/>
      <c r="C105" s="186"/>
      <c r="D105" s="186"/>
      <c r="E105" s="67"/>
      <c r="F105" s="67"/>
      <c r="G105" s="67"/>
      <c r="H105" s="67"/>
      <c r="I105" s="67"/>
      <c r="J105" s="67"/>
    </row>
    <row r="106" spans="2:10">
      <c r="B106" s="114" t="s">
        <v>477</v>
      </c>
      <c r="C106" s="114"/>
      <c r="D106" s="114"/>
      <c r="E106" s="67"/>
      <c r="F106" s="67"/>
      <c r="G106" s="67"/>
      <c r="H106" s="67"/>
      <c r="I106" s="67"/>
      <c r="J106" s="67"/>
    </row>
    <row r="107" spans="2:10">
      <c r="B107" s="186" t="s">
        <v>399</v>
      </c>
      <c r="C107" s="186"/>
      <c r="D107" s="186"/>
      <c r="E107" s="67">
        <v>37</v>
      </c>
      <c r="F107" s="67">
        <v>38</v>
      </c>
      <c r="G107" s="67">
        <v>38</v>
      </c>
      <c r="H107" s="67">
        <v>38</v>
      </c>
      <c r="I107" s="67">
        <v>37</v>
      </c>
      <c r="J107" s="67">
        <v>37</v>
      </c>
    </row>
    <row r="108" spans="2:10">
      <c r="B108" s="186" t="s">
        <v>408</v>
      </c>
      <c r="C108" s="186"/>
      <c r="D108" s="186"/>
      <c r="E108" s="67">
        <v>4</v>
      </c>
      <c r="F108" s="67">
        <v>4</v>
      </c>
      <c r="G108" s="67">
        <v>4</v>
      </c>
      <c r="H108" s="67">
        <v>3</v>
      </c>
      <c r="I108" s="67">
        <v>3</v>
      </c>
      <c r="J108" s="67">
        <v>2</v>
      </c>
    </row>
    <row r="109" spans="2:10">
      <c r="B109" s="186" t="s">
        <v>402</v>
      </c>
      <c r="C109" s="186"/>
      <c r="D109" s="186"/>
      <c r="E109" s="67">
        <v>0</v>
      </c>
      <c r="F109" s="67">
        <v>0</v>
      </c>
      <c r="G109" s="67">
        <v>0</v>
      </c>
      <c r="H109" s="67">
        <v>0</v>
      </c>
      <c r="I109" s="67">
        <v>0</v>
      </c>
      <c r="J109" s="67">
        <v>0</v>
      </c>
    </row>
    <row r="110" spans="2:10">
      <c r="B110" s="186" t="s">
        <v>401</v>
      </c>
      <c r="C110" s="186"/>
      <c r="D110" s="186"/>
      <c r="E110" s="67">
        <v>0</v>
      </c>
      <c r="F110" s="67">
        <v>0</v>
      </c>
      <c r="G110" s="67">
        <v>0</v>
      </c>
      <c r="H110" s="67">
        <v>0</v>
      </c>
      <c r="I110" s="67">
        <v>0</v>
      </c>
      <c r="J110" s="67">
        <v>0</v>
      </c>
    </row>
    <row r="111" spans="2:10">
      <c r="B111" s="186"/>
      <c r="C111" s="186"/>
      <c r="D111" s="186"/>
      <c r="E111" s="3"/>
      <c r="F111" s="3"/>
      <c r="G111" s="3"/>
      <c r="H111" s="3"/>
      <c r="I111" s="3"/>
      <c r="J111" s="3"/>
    </row>
    <row r="112" spans="2:10" ht="26">
      <c r="B112" s="148" t="s">
        <v>404</v>
      </c>
      <c r="C112" s="148"/>
      <c r="D112" s="148"/>
      <c r="E112" s="3"/>
      <c r="F112" s="3"/>
      <c r="G112" s="3"/>
      <c r="H112" s="3"/>
      <c r="I112" s="3"/>
      <c r="J112" s="3"/>
    </row>
    <row r="113" spans="2:11">
      <c r="B113" s="186" t="s">
        <v>399</v>
      </c>
      <c r="C113" s="186"/>
      <c r="D113" s="186"/>
      <c r="E113" s="3">
        <v>4</v>
      </c>
      <c r="F113" s="3">
        <v>4</v>
      </c>
      <c r="G113" s="3">
        <v>3</v>
      </c>
      <c r="H113" s="3">
        <v>3</v>
      </c>
      <c r="I113" s="3">
        <v>3</v>
      </c>
      <c r="J113" s="3">
        <v>3</v>
      </c>
    </row>
    <row r="114" spans="2:11">
      <c r="B114" s="186" t="s">
        <v>408</v>
      </c>
      <c r="C114" s="186"/>
      <c r="D114" s="186"/>
      <c r="E114" s="3">
        <v>14</v>
      </c>
      <c r="F114" s="3">
        <v>13</v>
      </c>
      <c r="G114" s="3">
        <v>12</v>
      </c>
      <c r="H114" s="3">
        <v>11</v>
      </c>
      <c r="I114" s="3">
        <v>13</v>
      </c>
      <c r="J114" s="3">
        <v>13</v>
      </c>
    </row>
    <row r="115" spans="2:11">
      <c r="B115" s="186" t="s">
        <v>402</v>
      </c>
      <c r="C115" s="186"/>
      <c r="D115" s="186"/>
      <c r="E115" s="3">
        <v>0</v>
      </c>
      <c r="F115" s="3">
        <v>0</v>
      </c>
      <c r="G115" s="3">
        <v>0</v>
      </c>
      <c r="H115" s="3">
        <v>0</v>
      </c>
      <c r="I115" s="3">
        <v>0</v>
      </c>
      <c r="J115" s="3">
        <v>0</v>
      </c>
    </row>
    <row r="116" spans="2:11">
      <c r="B116" s="186" t="s">
        <v>401</v>
      </c>
      <c r="C116" s="186"/>
      <c r="D116" s="186"/>
      <c r="E116" s="3">
        <v>0</v>
      </c>
      <c r="F116" s="3">
        <v>0</v>
      </c>
      <c r="G116" s="3">
        <v>0</v>
      </c>
      <c r="H116" s="3">
        <v>0</v>
      </c>
      <c r="I116" s="3">
        <v>0</v>
      </c>
      <c r="J116" s="3">
        <v>0</v>
      </c>
    </row>
    <row r="117" spans="2:11">
      <c r="B117" s="186"/>
      <c r="C117" s="186"/>
      <c r="D117" s="186"/>
      <c r="E117" s="3"/>
      <c r="F117" s="3"/>
      <c r="G117" s="3"/>
      <c r="H117" s="3"/>
      <c r="I117" s="3"/>
      <c r="J117" s="3"/>
    </row>
    <row r="118" spans="2:11">
      <c r="B118" s="114" t="s">
        <v>400</v>
      </c>
      <c r="C118" s="114"/>
      <c r="D118" s="114"/>
      <c r="E118" s="3"/>
      <c r="F118" s="3"/>
      <c r="G118" s="3"/>
      <c r="H118" s="3"/>
      <c r="I118" s="3"/>
      <c r="J118" s="3"/>
    </row>
    <row r="119" spans="2:11">
      <c r="B119" s="186" t="s">
        <v>399</v>
      </c>
      <c r="C119" s="186"/>
      <c r="D119" s="186"/>
      <c r="E119" s="3">
        <v>0</v>
      </c>
      <c r="F119" s="3">
        <v>0</v>
      </c>
      <c r="G119" s="3">
        <v>0</v>
      </c>
      <c r="H119" s="3">
        <v>0</v>
      </c>
      <c r="I119" s="3">
        <v>0</v>
      </c>
      <c r="J119" s="952">
        <v>1</v>
      </c>
      <c r="K119" s="1723"/>
    </row>
    <row r="120" spans="2:11">
      <c r="B120" s="186" t="s">
        <v>401</v>
      </c>
      <c r="C120" s="186"/>
      <c r="D120" s="186"/>
      <c r="E120" s="3">
        <v>0</v>
      </c>
      <c r="F120" s="3">
        <v>0</v>
      </c>
      <c r="G120" s="3">
        <v>0</v>
      </c>
      <c r="H120" s="3">
        <v>0</v>
      </c>
      <c r="I120" s="3">
        <v>0</v>
      </c>
      <c r="J120" s="3">
        <v>0</v>
      </c>
    </row>
    <row r="121" spans="2:11" ht="15" thickBot="1">
      <c r="B121" s="183" t="s">
        <v>395</v>
      </c>
      <c r="C121" s="1258"/>
      <c r="D121" s="1258"/>
      <c r="E121" s="3">
        <v>0</v>
      </c>
      <c r="F121" s="3">
        <v>0</v>
      </c>
      <c r="G121" s="3">
        <v>0</v>
      </c>
      <c r="H121" s="100">
        <v>0</v>
      </c>
      <c r="I121" s="100">
        <v>0</v>
      </c>
      <c r="J121" s="100">
        <v>0</v>
      </c>
    </row>
    <row r="122" spans="2:11" ht="15" thickTop="1">
      <c r="B122" s="2023" t="s">
        <v>2090</v>
      </c>
      <c r="C122" s="2023"/>
      <c r="D122" s="2023"/>
      <c r="E122" s="2023"/>
      <c r="F122" s="2023"/>
      <c r="G122" s="2023"/>
      <c r="H122" s="2023"/>
      <c r="I122" s="2023"/>
      <c r="J122" s="2023"/>
    </row>
    <row r="123" spans="2:11">
      <c r="B123" s="64"/>
      <c r="C123" s="64"/>
      <c r="D123" s="64"/>
    </row>
    <row r="124" spans="2:11">
      <c r="B124" s="2024" t="s">
        <v>393</v>
      </c>
      <c r="C124" s="2024"/>
      <c r="D124" s="2024"/>
      <c r="E124" s="2024"/>
      <c r="F124" s="2024"/>
      <c r="G124" s="2024"/>
      <c r="H124" s="2024"/>
      <c r="I124" s="2024"/>
      <c r="J124" s="2024"/>
    </row>
    <row r="125" spans="2:11">
      <c r="B125" s="12" t="s">
        <v>392</v>
      </c>
      <c r="C125" s="12"/>
      <c r="D125" s="12"/>
    </row>
    <row r="126" spans="2:11">
      <c r="B126" s="62" t="s">
        <v>269</v>
      </c>
      <c r="C126" s="62"/>
      <c r="D126" s="62"/>
    </row>
    <row r="127" spans="2:11">
      <c r="B127" s="64"/>
      <c r="C127" s="64"/>
      <c r="D127" s="64"/>
    </row>
    <row r="128" spans="2:11">
      <c r="B128" s="179" t="s">
        <v>391</v>
      </c>
      <c r="C128" s="179"/>
      <c r="D128" s="179"/>
      <c r="E128" s="67"/>
      <c r="F128" s="67"/>
      <c r="G128" s="67"/>
      <c r="H128" s="67"/>
      <c r="I128" s="67"/>
      <c r="J128" s="67"/>
    </row>
    <row r="129" spans="2:10">
      <c r="B129" s="149" t="s">
        <v>390</v>
      </c>
      <c r="C129" s="149"/>
      <c r="D129" s="149"/>
      <c r="E129" s="67">
        <v>540496</v>
      </c>
      <c r="F129" s="67">
        <v>569138</v>
      </c>
      <c r="G129" s="67">
        <v>573162</v>
      </c>
      <c r="H129" s="67">
        <v>568174</v>
      </c>
      <c r="I129" s="67">
        <v>570074</v>
      </c>
      <c r="J129" s="67">
        <v>536656</v>
      </c>
    </row>
    <row r="130" spans="2:10">
      <c r="B130" s="149" t="s">
        <v>389</v>
      </c>
      <c r="C130" s="149"/>
      <c r="D130" s="149"/>
      <c r="E130" s="67">
        <v>348950</v>
      </c>
      <c r="F130" s="67">
        <v>367603</v>
      </c>
      <c r="G130" s="67">
        <v>378153</v>
      </c>
      <c r="H130" s="67">
        <v>378749</v>
      </c>
      <c r="I130" s="67">
        <v>388537</v>
      </c>
      <c r="J130" s="67">
        <v>368179</v>
      </c>
    </row>
    <row r="131" spans="2:10">
      <c r="B131" s="149" t="s">
        <v>388</v>
      </c>
      <c r="C131" s="149"/>
      <c r="D131" s="149"/>
      <c r="E131" s="67">
        <v>0</v>
      </c>
      <c r="F131" s="67">
        <v>0</v>
      </c>
      <c r="G131" s="67">
        <v>0</v>
      </c>
      <c r="H131" s="67">
        <v>0</v>
      </c>
      <c r="I131" s="67">
        <v>0</v>
      </c>
      <c r="J131" s="67">
        <v>0</v>
      </c>
    </row>
    <row r="132" spans="2:10">
      <c r="B132" s="149" t="s">
        <v>387</v>
      </c>
      <c r="C132" s="149"/>
      <c r="D132" s="149"/>
      <c r="E132" s="67">
        <v>143624</v>
      </c>
      <c r="F132" s="67">
        <v>162894</v>
      </c>
      <c r="G132" s="67">
        <v>163533</v>
      </c>
      <c r="H132" s="67">
        <v>160121</v>
      </c>
      <c r="I132" s="67">
        <v>160839</v>
      </c>
      <c r="J132" s="67">
        <v>152605</v>
      </c>
    </row>
    <row r="133" spans="2:10">
      <c r="B133" s="149" t="s">
        <v>386</v>
      </c>
      <c r="C133" s="149"/>
      <c r="D133" s="149"/>
      <c r="E133" s="67">
        <v>67613</v>
      </c>
      <c r="F133" s="67">
        <v>57552</v>
      </c>
      <c r="G133" s="67">
        <v>53174</v>
      </c>
      <c r="H133" s="67">
        <v>55623</v>
      </c>
      <c r="I133" s="67">
        <v>64003</v>
      </c>
      <c r="J133" s="67">
        <v>66401</v>
      </c>
    </row>
    <row r="134" spans="2:10" ht="26">
      <c r="B134" s="147" t="s">
        <v>385</v>
      </c>
      <c r="C134" s="147"/>
      <c r="D134" s="147"/>
      <c r="E134" s="67"/>
      <c r="F134" s="67"/>
      <c r="G134" s="67"/>
      <c r="H134" s="67"/>
      <c r="I134" s="67"/>
      <c r="J134" s="67"/>
    </row>
    <row r="135" spans="2:10">
      <c r="B135" s="54" t="s">
        <v>384</v>
      </c>
      <c r="C135" s="54"/>
      <c r="D135" s="54"/>
      <c r="E135" s="67">
        <v>556187</v>
      </c>
      <c r="F135" s="67">
        <v>588807</v>
      </c>
      <c r="G135" s="67">
        <v>594904</v>
      </c>
      <c r="H135" s="67">
        <v>594352</v>
      </c>
      <c r="I135" s="67">
        <v>608073</v>
      </c>
      <c r="J135" s="67">
        <v>583474</v>
      </c>
    </row>
    <row r="136" spans="2:10" ht="26">
      <c r="B136" s="147" t="s">
        <v>383</v>
      </c>
      <c r="C136" s="147"/>
      <c r="D136" s="147"/>
      <c r="E136" s="67"/>
      <c r="F136" s="67"/>
      <c r="G136" s="67"/>
      <c r="H136" s="67"/>
      <c r="I136" s="67"/>
      <c r="J136" s="67"/>
    </row>
    <row r="137" spans="2:10">
      <c r="B137" s="149" t="s">
        <v>382</v>
      </c>
      <c r="C137" s="149"/>
      <c r="D137" s="149"/>
      <c r="E137" s="67">
        <v>0</v>
      </c>
      <c r="F137" s="67">
        <v>0</v>
      </c>
      <c r="G137" s="67">
        <v>0</v>
      </c>
      <c r="H137" s="67">
        <v>0</v>
      </c>
      <c r="I137" s="67">
        <v>0</v>
      </c>
      <c r="J137" s="67">
        <v>0</v>
      </c>
    </row>
    <row r="138" spans="2:10">
      <c r="B138" s="149"/>
      <c r="C138" s="149"/>
      <c r="D138" s="149"/>
      <c r="E138" s="67"/>
      <c r="F138" s="67"/>
      <c r="G138" s="67"/>
      <c r="H138" s="67"/>
      <c r="I138" s="67"/>
      <c r="J138" s="67"/>
    </row>
    <row r="139" spans="2:10">
      <c r="B139" s="175" t="s">
        <v>381</v>
      </c>
      <c r="C139" s="175"/>
      <c r="D139" s="175"/>
      <c r="E139" s="67"/>
      <c r="F139" s="67"/>
      <c r="G139" s="67"/>
      <c r="H139" s="67"/>
      <c r="I139" s="67"/>
      <c r="J139" s="67"/>
    </row>
    <row r="140" spans="2:10">
      <c r="B140" s="149" t="s">
        <v>380</v>
      </c>
      <c r="C140" s="149"/>
      <c r="D140" s="149"/>
      <c r="E140" s="67">
        <v>183</v>
      </c>
      <c r="F140" s="67">
        <v>177</v>
      </c>
      <c r="G140" s="67">
        <v>178</v>
      </c>
      <c r="H140" s="67">
        <v>169</v>
      </c>
      <c r="I140" s="67">
        <v>169</v>
      </c>
      <c r="J140" s="67">
        <v>171</v>
      </c>
    </row>
    <row r="141" spans="2:10">
      <c r="B141" s="172" t="s">
        <v>379</v>
      </c>
      <c r="C141" s="172"/>
      <c r="D141" s="172"/>
      <c r="E141" s="67"/>
      <c r="F141" s="67"/>
      <c r="G141" s="67"/>
      <c r="H141" s="67"/>
      <c r="I141" s="67"/>
      <c r="J141" s="67"/>
    </row>
    <row r="142" spans="2:10">
      <c r="B142" s="168" t="s">
        <v>378</v>
      </c>
      <c r="C142" s="168"/>
      <c r="D142" s="168"/>
      <c r="E142" s="67">
        <v>183</v>
      </c>
      <c r="F142" s="67">
        <v>177</v>
      </c>
      <c r="G142" s="67">
        <v>178</v>
      </c>
      <c r="H142" s="67">
        <v>169</v>
      </c>
      <c r="I142" s="67">
        <v>169</v>
      </c>
      <c r="J142" s="67">
        <v>171</v>
      </c>
    </row>
    <row r="143" spans="2:10">
      <c r="B143" s="168" t="s">
        <v>377</v>
      </c>
      <c r="C143" s="168"/>
      <c r="D143" s="168"/>
      <c r="E143" s="67">
        <v>130</v>
      </c>
      <c r="F143" s="67">
        <v>123</v>
      </c>
      <c r="G143" s="67">
        <v>127</v>
      </c>
      <c r="H143" s="67">
        <v>129</v>
      </c>
      <c r="I143" s="67">
        <v>128</v>
      </c>
      <c r="J143" s="67">
        <v>127</v>
      </c>
    </row>
    <row r="144" spans="2:10">
      <c r="B144" s="149" t="s">
        <v>376</v>
      </c>
      <c r="C144" s="149"/>
      <c r="D144" s="149"/>
      <c r="E144" s="67">
        <v>18</v>
      </c>
      <c r="F144" s="67">
        <v>18</v>
      </c>
      <c r="G144" s="67">
        <v>18</v>
      </c>
      <c r="H144" s="67">
        <v>18</v>
      </c>
      <c r="I144" s="67">
        <v>17</v>
      </c>
      <c r="J144" s="67">
        <v>17</v>
      </c>
    </row>
    <row r="145" spans="2:10">
      <c r="B145" s="149"/>
      <c r="C145" s="149"/>
      <c r="D145" s="149"/>
      <c r="E145" s="67"/>
      <c r="F145" s="67"/>
      <c r="G145" s="67"/>
      <c r="H145" s="67"/>
      <c r="I145" s="67"/>
      <c r="J145" s="67"/>
    </row>
    <row r="146" spans="2:10">
      <c r="B146" s="149" t="s">
        <v>375</v>
      </c>
      <c r="C146" s="149"/>
      <c r="D146" s="149"/>
      <c r="E146" s="67">
        <v>8559</v>
      </c>
      <c r="F146" s="67">
        <v>8384</v>
      </c>
      <c r="G146" s="67">
        <v>9979</v>
      </c>
      <c r="H146" s="67">
        <v>10008</v>
      </c>
      <c r="I146" s="67">
        <v>10984</v>
      </c>
      <c r="J146" s="67">
        <v>11517</v>
      </c>
    </row>
    <row r="147" spans="2:10">
      <c r="B147" s="168" t="s">
        <v>374</v>
      </c>
      <c r="C147" s="168"/>
      <c r="D147" s="168"/>
      <c r="E147" s="67"/>
      <c r="F147" s="67"/>
      <c r="G147" s="67"/>
      <c r="H147" s="67"/>
      <c r="I147" s="67"/>
      <c r="J147" s="67"/>
    </row>
    <row r="148" spans="2:10">
      <c r="B148" s="149" t="s">
        <v>478</v>
      </c>
      <c r="C148" s="149"/>
      <c r="D148" s="149"/>
      <c r="E148" s="67">
        <v>6083</v>
      </c>
      <c r="F148" s="67">
        <v>5728</v>
      </c>
      <c r="G148" s="67">
        <v>6954</v>
      </c>
      <c r="H148" s="67">
        <v>5896</v>
      </c>
      <c r="I148" s="67">
        <v>6260</v>
      </c>
      <c r="J148" s="67">
        <v>6532</v>
      </c>
    </row>
    <row r="149" spans="2:10">
      <c r="B149" s="165" t="s">
        <v>373</v>
      </c>
      <c r="C149" s="165"/>
      <c r="D149" s="165"/>
      <c r="E149" s="67">
        <v>0</v>
      </c>
      <c r="F149" s="67">
        <v>0</v>
      </c>
      <c r="G149" s="67">
        <v>0</v>
      </c>
      <c r="H149" s="67">
        <v>0</v>
      </c>
      <c r="I149" s="67">
        <v>0</v>
      </c>
      <c r="J149" s="67">
        <v>0</v>
      </c>
    </row>
    <row r="150" spans="2:10">
      <c r="B150" s="149" t="s">
        <v>372</v>
      </c>
      <c r="C150" s="149"/>
      <c r="D150" s="149"/>
      <c r="E150" s="67">
        <v>6083</v>
      </c>
      <c r="F150" s="67">
        <v>5728</v>
      </c>
      <c r="G150" s="67">
        <v>6954</v>
      </c>
      <c r="H150" s="67">
        <v>5896</v>
      </c>
      <c r="I150" s="67">
        <v>6260</v>
      </c>
      <c r="J150" s="67">
        <v>6532</v>
      </c>
    </row>
    <row r="151" spans="2:10">
      <c r="B151" s="149" t="s">
        <v>371</v>
      </c>
      <c r="C151" s="149"/>
      <c r="D151" s="149"/>
      <c r="E151" s="67">
        <v>22</v>
      </c>
      <c r="F151" s="67">
        <v>22</v>
      </c>
      <c r="G151" s="67">
        <v>22</v>
      </c>
      <c r="H151" s="67">
        <v>22</v>
      </c>
      <c r="I151" s="67">
        <v>21</v>
      </c>
      <c r="J151" s="67">
        <v>21</v>
      </c>
    </row>
    <row r="152" spans="2:10">
      <c r="B152" s="147" t="s">
        <v>370</v>
      </c>
      <c r="C152" s="147"/>
      <c r="D152" s="147"/>
      <c r="E152" s="67">
        <v>22</v>
      </c>
      <c r="F152" s="67">
        <v>22</v>
      </c>
      <c r="G152" s="67">
        <v>22</v>
      </c>
      <c r="H152" s="67">
        <v>22</v>
      </c>
      <c r="I152" s="67">
        <v>21</v>
      </c>
      <c r="J152" s="67">
        <v>21</v>
      </c>
    </row>
    <row r="153" spans="2:10" ht="15" thickBot="1">
      <c r="B153" s="209" t="s">
        <v>369</v>
      </c>
      <c r="C153" s="1746"/>
      <c r="D153" s="1746"/>
      <c r="E153" s="67">
        <v>0</v>
      </c>
      <c r="F153" s="67">
        <v>0</v>
      </c>
      <c r="G153" s="67">
        <v>0</v>
      </c>
      <c r="H153" s="67">
        <v>0</v>
      </c>
      <c r="I153" s="67">
        <v>0</v>
      </c>
      <c r="J153" s="67">
        <v>0</v>
      </c>
    </row>
    <row r="154" spans="2:10" ht="15" thickTop="1">
      <c r="B154" s="2023" t="s">
        <v>2107</v>
      </c>
      <c r="C154" s="2023"/>
      <c r="D154" s="2023"/>
      <c r="E154" s="2023"/>
      <c r="F154" s="2023"/>
      <c r="G154" s="2023"/>
      <c r="H154" s="2023"/>
      <c r="I154" s="2023"/>
      <c r="J154" s="2023"/>
    </row>
    <row r="155" spans="2:10">
      <c r="B155" s="1663"/>
      <c r="C155" s="1663"/>
      <c r="D155" s="1663"/>
      <c r="E155" s="1663"/>
      <c r="F155" s="1663"/>
      <c r="G155" s="1663"/>
      <c r="H155" s="1663"/>
      <c r="I155" s="1663"/>
      <c r="J155" s="1663"/>
    </row>
    <row r="156" spans="2:10">
      <c r="B156" s="64"/>
      <c r="C156" s="64"/>
      <c r="D156" s="64"/>
    </row>
    <row r="157" spans="2:10">
      <c r="B157" s="2024" t="s">
        <v>367</v>
      </c>
      <c r="C157" s="2024"/>
      <c r="D157" s="2024"/>
      <c r="E157" s="2024"/>
      <c r="F157" s="2024"/>
      <c r="G157" s="2024"/>
      <c r="H157" s="2024"/>
      <c r="I157" s="2024"/>
      <c r="J157" s="2024"/>
    </row>
    <row r="158" spans="2:10">
      <c r="B158" s="12" t="s">
        <v>366</v>
      </c>
      <c r="C158" s="12"/>
      <c r="D158" s="12"/>
    </row>
    <row r="159" spans="2:10">
      <c r="B159" s="62" t="s">
        <v>210</v>
      </c>
      <c r="C159" s="62"/>
      <c r="D159" s="62"/>
    </row>
    <row r="160" spans="2:10">
      <c r="B160" s="62"/>
      <c r="C160" s="62"/>
      <c r="D160" s="62"/>
    </row>
    <row r="161" spans="2:10">
      <c r="B161" s="62"/>
      <c r="C161" s="62"/>
      <c r="D161" s="62"/>
    </row>
    <row r="162" spans="2:10">
      <c r="B162" s="62"/>
      <c r="C162" s="62"/>
      <c r="D162" s="62"/>
    </row>
    <row r="163" spans="2:10">
      <c r="B163" s="61"/>
      <c r="C163" s="61"/>
      <c r="D163" s="61"/>
      <c r="E163" s="60">
        <v>2016</v>
      </c>
      <c r="F163" s="60">
        <v>2017</v>
      </c>
      <c r="G163" s="60">
        <v>2018</v>
      </c>
      <c r="H163" s="60">
        <v>2019</v>
      </c>
      <c r="I163" s="60">
        <v>2020</v>
      </c>
      <c r="J163" s="60">
        <v>2021</v>
      </c>
    </row>
    <row r="164" spans="2:10">
      <c r="B164" s="114" t="s">
        <v>362</v>
      </c>
      <c r="C164" s="114"/>
      <c r="D164" s="114"/>
      <c r="E164" s="66"/>
      <c r="F164" s="66"/>
      <c r="G164" s="55"/>
      <c r="H164" s="66"/>
      <c r="I164" s="66"/>
      <c r="J164" s="66"/>
    </row>
    <row r="165" spans="2:10">
      <c r="B165" s="54" t="s">
        <v>361</v>
      </c>
      <c r="C165" s="54"/>
      <c r="D165" s="54"/>
      <c r="E165" s="55">
        <v>13168.936</v>
      </c>
      <c r="F165" s="55">
        <v>14430.100999999999</v>
      </c>
      <c r="G165" s="55">
        <v>15794.379000000001</v>
      </c>
      <c r="H165" s="55">
        <v>15714.258000000002</v>
      </c>
      <c r="I165" s="55">
        <v>15011.198999999999</v>
      </c>
      <c r="J165" s="55">
        <v>14155.878000000001</v>
      </c>
    </row>
    <row r="166" spans="2:10">
      <c r="B166" s="151" t="s">
        <v>360</v>
      </c>
      <c r="C166" s="151"/>
      <c r="D166" s="151"/>
      <c r="E166" s="55">
        <v>4636.107</v>
      </c>
      <c r="F166" s="55">
        <v>4797.7910000000002</v>
      </c>
      <c r="G166" s="55">
        <v>5050.326</v>
      </c>
      <c r="H166" s="55">
        <v>4955.5749999999998</v>
      </c>
      <c r="I166" s="55">
        <v>3803.0509999999999</v>
      </c>
      <c r="J166" s="55">
        <v>2549.6379999999999</v>
      </c>
    </row>
    <row r="167" spans="2:10">
      <c r="B167" s="151" t="s">
        <v>359</v>
      </c>
      <c r="C167" s="151"/>
      <c r="D167" s="151"/>
      <c r="E167" s="55">
        <v>8532.8289999999997</v>
      </c>
      <c r="F167" s="55">
        <v>9632.31</v>
      </c>
      <c r="G167" s="55">
        <v>10744.053</v>
      </c>
      <c r="H167" s="55">
        <v>10758.683000000001</v>
      </c>
      <c r="I167" s="55">
        <v>11208.147999999999</v>
      </c>
      <c r="J167" s="55">
        <v>11606.24</v>
      </c>
    </row>
    <row r="168" spans="2:10">
      <c r="B168" s="152" t="s">
        <v>358</v>
      </c>
      <c r="C168" s="152"/>
      <c r="D168" s="152"/>
      <c r="E168" s="55">
        <v>0</v>
      </c>
      <c r="F168" s="55">
        <v>0</v>
      </c>
      <c r="G168" s="55">
        <v>0</v>
      </c>
      <c r="H168" s="55">
        <v>0</v>
      </c>
      <c r="I168" s="55">
        <v>0</v>
      </c>
      <c r="J168" s="55">
        <v>0</v>
      </c>
    </row>
    <row r="169" spans="2:10">
      <c r="B169" s="71" t="s">
        <v>357</v>
      </c>
      <c r="C169" s="71"/>
      <c r="D169" s="71"/>
      <c r="E169" s="55">
        <v>14516.785</v>
      </c>
      <c r="F169" s="55">
        <v>17874.085999999999</v>
      </c>
      <c r="G169" s="55">
        <v>19237.647000000001</v>
      </c>
      <c r="H169" s="55">
        <v>22657.629000000001</v>
      </c>
      <c r="I169" s="55">
        <v>20731.761999999999</v>
      </c>
      <c r="J169" s="55">
        <v>23041.814999999999</v>
      </c>
    </row>
    <row r="170" spans="2:10">
      <c r="B170" s="151" t="s">
        <v>356</v>
      </c>
      <c r="C170" s="151"/>
      <c r="D170" s="151"/>
      <c r="E170" s="55">
        <v>12256.928</v>
      </c>
      <c r="F170" s="55">
        <v>15271.621999999999</v>
      </c>
      <c r="G170" s="55">
        <v>16339.272000000001</v>
      </c>
      <c r="H170" s="55">
        <v>19067.477999999999</v>
      </c>
      <c r="I170" s="55">
        <v>18839.335999999999</v>
      </c>
      <c r="J170" s="55">
        <v>19692.284</v>
      </c>
    </row>
    <row r="171" spans="2:10">
      <c r="B171" s="151" t="s">
        <v>355</v>
      </c>
      <c r="C171" s="151"/>
      <c r="D171" s="151"/>
      <c r="E171" s="55">
        <v>0</v>
      </c>
      <c r="F171" s="55">
        <v>0</v>
      </c>
      <c r="G171" s="55">
        <v>0</v>
      </c>
      <c r="H171" s="55">
        <v>0</v>
      </c>
      <c r="I171" s="55">
        <v>0</v>
      </c>
      <c r="J171" s="55">
        <v>0</v>
      </c>
    </row>
    <row r="172" spans="2:10">
      <c r="B172" s="151" t="s">
        <v>354</v>
      </c>
      <c r="C172" s="151"/>
      <c r="D172" s="151"/>
      <c r="E172" s="55">
        <v>2259.857</v>
      </c>
      <c r="F172" s="55">
        <v>2602.4639999999999</v>
      </c>
      <c r="G172" s="55">
        <v>2898.375</v>
      </c>
      <c r="H172" s="55">
        <v>3590.1509999999998</v>
      </c>
      <c r="I172" s="55">
        <v>1892.4259999999999</v>
      </c>
      <c r="J172" s="55">
        <v>3349.5309999999999</v>
      </c>
    </row>
    <row r="173" spans="2:10">
      <c r="B173" s="71" t="s">
        <v>338</v>
      </c>
      <c r="C173" s="71"/>
      <c r="D173" s="71"/>
      <c r="E173" s="55">
        <v>616.82000000000005</v>
      </c>
      <c r="F173" s="55">
        <v>618.08600000000001</v>
      </c>
      <c r="G173" s="55">
        <v>641.10900000000004</v>
      </c>
      <c r="H173" s="55">
        <v>638.245</v>
      </c>
      <c r="I173" s="55">
        <v>763.09799999999996</v>
      </c>
      <c r="J173" s="55">
        <v>697.6</v>
      </c>
    </row>
    <row r="174" spans="2:10">
      <c r="B174" s="71" t="s">
        <v>353</v>
      </c>
      <c r="C174" s="71"/>
      <c r="D174" s="71"/>
      <c r="E174" s="55">
        <v>1460.7439999999999</v>
      </c>
      <c r="F174" s="55">
        <v>1330.5709999999999</v>
      </c>
      <c r="G174" s="55">
        <v>1256.8739999999998</v>
      </c>
      <c r="H174" s="55">
        <v>841.53500000000008</v>
      </c>
      <c r="I174" s="55">
        <v>446.63600000000002</v>
      </c>
      <c r="J174" s="55">
        <v>282.69400000000002</v>
      </c>
    </row>
    <row r="175" spans="2:10">
      <c r="B175" s="150" t="s">
        <v>352</v>
      </c>
      <c r="C175" s="150"/>
      <c r="D175" s="150"/>
      <c r="E175" s="55">
        <v>861.04200000000003</v>
      </c>
      <c r="F175" s="55">
        <v>822.84799999999996</v>
      </c>
      <c r="G175" s="55">
        <v>778.21799999999996</v>
      </c>
      <c r="H175" s="55">
        <v>431.19900000000001</v>
      </c>
      <c r="I175" s="55">
        <v>213.58600000000001</v>
      </c>
      <c r="J175" s="55">
        <v>89.418999999999997</v>
      </c>
    </row>
    <row r="176" spans="2:10">
      <c r="B176" s="150" t="s">
        <v>2108</v>
      </c>
      <c r="C176" s="150"/>
      <c r="D176" s="150"/>
    </row>
    <row r="177" spans="2:10">
      <c r="B177" s="150" t="s">
        <v>659</v>
      </c>
      <c r="C177" s="150"/>
      <c r="D177" s="150"/>
      <c r="E177" s="55">
        <v>587.37699999999995</v>
      </c>
      <c r="F177" s="55">
        <v>494.964</v>
      </c>
      <c r="G177" s="55">
        <v>461.48500000000001</v>
      </c>
      <c r="H177" s="55">
        <v>409.98700000000002</v>
      </c>
      <c r="I177" s="55">
        <v>232.86799999999999</v>
      </c>
      <c r="J177" s="55">
        <v>192.696</v>
      </c>
    </row>
    <row r="178" spans="2:10">
      <c r="B178" s="150" t="s">
        <v>2109</v>
      </c>
      <c r="C178" s="150"/>
      <c r="D178" s="150"/>
      <c r="E178" s="55">
        <v>12.295</v>
      </c>
      <c r="F178" s="55">
        <v>12.738</v>
      </c>
      <c r="G178" s="55">
        <v>16.907</v>
      </c>
      <c r="H178" s="55">
        <v>0.17199999999999999</v>
      </c>
      <c r="I178" s="55">
        <v>0.159</v>
      </c>
      <c r="J178" s="55">
        <v>0.14199999999999999</v>
      </c>
    </row>
    <row r="179" spans="2:10">
      <c r="B179" s="150" t="s">
        <v>500</v>
      </c>
      <c r="C179" s="150"/>
      <c r="D179" s="150"/>
      <c r="E179" s="55">
        <v>0.03</v>
      </c>
      <c r="F179" s="55">
        <v>2.1000000000000001E-2</v>
      </c>
      <c r="G179" s="55">
        <v>0.26400000000000001</v>
      </c>
      <c r="H179" s="55">
        <v>0.17699999999999999</v>
      </c>
      <c r="I179" s="55">
        <v>2.3E-2</v>
      </c>
      <c r="J179" s="55">
        <v>0.437</v>
      </c>
    </row>
    <row r="180" spans="2:10">
      <c r="B180" s="54" t="s">
        <v>350</v>
      </c>
      <c r="C180" s="54"/>
      <c r="D180" s="54"/>
      <c r="E180" s="55">
        <v>0</v>
      </c>
      <c r="F180" s="55">
        <v>0</v>
      </c>
      <c r="G180" s="55">
        <v>0</v>
      </c>
      <c r="H180" s="55">
        <v>0</v>
      </c>
      <c r="I180" s="55">
        <v>0</v>
      </c>
      <c r="J180" s="55">
        <v>0</v>
      </c>
    </row>
    <row r="181" spans="2:10">
      <c r="B181" s="54"/>
      <c r="C181" s="54"/>
      <c r="D181" s="54"/>
      <c r="E181" s="55"/>
      <c r="F181" s="55"/>
      <c r="G181" s="55"/>
      <c r="H181" s="55"/>
      <c r="I181" s="55"/>
      <c r="J181" s="55"/>
    </row>
    <row r="182" spans="2:10">
      <c r="B182" s="54" t="s">
        <v>365</v>
      </c>
      <c r="C182" s="54"/>
      <c r="D182" s="54"/>
      <c r="E182" s="210">
        <v>29763.284999999996</v>
      </c>
      <c r="F182" s="210">
        <v>34252.843999999997</v>
      </c>
      <c r="G182" s="210">
        <v>36930.008999999991</v>
      </c>
      <c r="H182" s="210">
        <v>39851.667000000009</v>
      </c>
      <c r="I182" s="210">
        <v>36952.694999999992</v>
      </c>
      <c r="J182" s="210">
        <v>38177.987000000001</v>
      </c>
    </row>
    <row r="183" spans="2:10">
      <c r="B183" s="147" t="s">
        <v>348</v>
      </c>
      <c r="C183" s="147"/>
      <c r="D183" s="147"/>
      <c r="E183" s="66"/>
      <c r="F183" s="66"/>
      <c r="G183" s="66"/>
      <c r="H183" s="66"/>
      <c r="I183" s="66"/>
      <c r="J183" s="66"/>
    </row>
    <row r="184" spans="2:10">
      <c r="B184" s="147"/>
      <c r="C184" s="147"/>
      <c r="D184" s="147"/>
    </row>
    <row r="185" spans="2:10">
      <c r="B185" s="54" t="s">
        <v>347</v>
      </c>
      <c r="C185" s="54"/>
      <c r="D185" s="54"/>
      <c r="E185" s="66">
        <v>0</v>
      </c>
      <c r="F185" s="66">
        <v>0</v>
      </c>
      <c r="G185" s="66">
        <v>0</v>
      </c>
      <c r="H185" s="66">
        <v>0</v>
      </c>
      <c r="I185" s="66">
        <v>0</v>
      </c>
      <c r="J185" s="66">
        <v>0</v>
      </c>
    </row>
    <row r="186" spans="2:10">
      <c r="B186" s="54"/>
      <c r="C186" s="54"/>
      <c r="D186" s="54"/>
      <c r="E186" s="66"/>
      <c r="F186" s="66"/>
      <c r="G186" s="66"/>
      <c r="H186" s="66"/>
      <c r="I186" s="66"/>
      <c r="J186" s="66"/>
    </row>
    <row r="187" spans="2:10">
      <c r="B187" s="114" t="s">
        <v>346</v>
      </c>
      <c r="C187" s="114"/>
      <c r="D187" s="114"/>
      <c r="E187" s="66"/>
      <c r="F187" s="66"/>
      <c r="G187" s="66"/>
      <c r="H187" s="66"/>
      <c r="I187" s="66"/>
      <c r="J187" s="66"/>
    </row>
    <row r="188" spans="2:10">
      <c r="B188" s="54" t="s">
        <v>342</v>
      </c>
      <c r="C188" s="54"/>
      <c r="D188" s="54"/>
      <c r="E188" s="210">
        <v>10410.587000000001</v>
      </c>
      <c r="F188" s="210">
        <v>11949.359999999999</v>
      </c>
      <c r="G188" s="210">
        <v>13287.650000000001</v>
      </c>
      <c r="H188" s="210">
        <v>14285.4</v>
      </c>
      <c r="I188" s="210">
        <v>14074.157999999998</v>
      </c>
      <c r="J188" s="210">
        <v>15923.986000000001</v>
      </c>
    </row>
    <row r="189" spans="2:10">
      <c r="B189" s="147" t="s">
        <v>341</v>
      </c>
      <c r="C189" s="147"/>
      <c r="D189" s="147"/>
      <c r="E189" s="210">
        <v>10410.587000000001</v>
      </c>
      <c r="F189" s="210">
        <v>11949.359999999999</v>
      </c>
      <c r="G189" s="210">
        <v>13287.650000000001</v>
      </c>
      <c r="H189" s="210">
        <v>14285.4</v>
      </c>
      <c r="I189" s="210">
        <v>14074.157999999998</v>
      </c>
      <c r="J189" s="210">
        <v>15923.986000000001</v>
      </c>
    </row>
    <row r="190" spans="2:10">
      <c r="B190" s="147" t="s">
        <v>340</v>
      </c>
      <c r="C190" s="147"/>
      <c r="D190" s="147"/>
      <c r="E190" s="210">
        <v>0</v>
      </c>
      <c r="F190" s="210">
        <v>0</v>
      </c>
      <c r="G190" s="210">
        <v>0</v>
      </c>
      <c r="H190" s="210">
        <v>0</v>
      </c>
      <c r="I190" s="210">
        <v>0</v>
      </c>
      <c r="J190" s="210"/>
    </row>
    <row r="191" spans="2:10">
      <c r="B191" s="54" t="s">
        <v>339</v>
      </c>
      <c r="C191" s="54"/>
      <c r="D191" s="54"/>
      <c r="E191" s="210">
        <v>17220.752</v>
      </c>
      <c r="F191" s="210">
        <v>20564.637999999999</v>
      </c>
      <c r="G191" s="210">
        <v>21887.643</v>
      </c>
      <c r="H191" s="210">
        <v>24721.475999999995</v>
      </c>
      <c r="I191" s="210">
        <v>23224.983</v>
      </c>
      <c r="J191" s="210">
        <v>30535.554999999997</v>
      </c>
    </row>
    <row r="192" spans="2:10">
      <c r="B192" s="54" t="s">
        <v>338</v>
      </c>
      <c r="C192" s="54"/>
      <c r="D192" s="54"/>
      <c r="E192" s="210">
        <v>688.28300000000002</v>
      </c>
      <c r="F192" s="210">
        <v>662.36699999999996</v>
      </c>
      <c r="G192" s="210">
        <v>679.14200000000005</v>
      </c>
      <c r="H192" s="210">
        <v>721.81600000000003</v>
      </c>
      <c r="I192" s="210">
        <v>733.96199999999999</v>
      </c>
      <c r="J192" s="210">
        <v>917.26699999999994</v>
      </c>
    </row>
    <row r="193" spans="2:10">
      <c r="B193" s="147" t="s">
        <v>337</v>
      </c>
      <c r="C193" s="147"/>
      <c r="D193" s="147"/>
      <c r="E193" s="210">
        <v>167.63300000000001</v>
      </c>
      <c r="F193" s="210">
        <v>168.566</v>
      </c>
      <c r="G193" s="210">
        <v>171.834</v>
      </c>
      <c r="H193" s="210">
        <v>186.405</v>
      </c>
      <c r="I193" s="210">
        <v>204.934</v>
      </c>
      <c r="J193" s="210">
        <v>260.72399999999999</v>
      </c>
    </row>
    <row r="194" spans="2:10">
      <c r="B194" s="147" t="s">
        <v>336</v>
      </c>
      <c r="C194" s="147"/>
      <c r="D194" s="147"/>
      <c r="E194" s="210">
        <v>520.65</v>
      </c>
      <c r="F194" s="210">
        <v>493.80099999999999</v>
      </c>
      <c r="G194" s="210">
        <v>507.30799999999999</v>
      </c>
      <c r="H194" s="210">
        <v>535.41100000000006</v>
      </c>
      <c r="I194" s="210">
        <v>529.02800000000002</v>
      </c>
      <c r="J194" s="210">
        <v>656.54300000000001</v>
      </c>
    </row>
    <row r="195" spans="2:10">
      <c r="B195" s="147" t="s">
        <v>335</v>
      </c>
      <c r="C195" s="147"/>
      <c r="D195" s="147"/>
      <c r="E195" s="210">
        <v>0</v>
      </c>
      <c r="F195" s="210">
        <v>0</v>
      </c>
      <c r="G195" s="210">
        <v>0</v>
      </c>
      <c r="H195" s="210">
        <v>0</v>
      </c>
      <c r="I195" s="210">
        <v>0</v>
      </c>
      <c r="J195" s="210">
        <v>0</v>
      </c>
    </row>
    <row r="196" spans="2:10">
      <c r="B196" s="147"/>
      <c r="C196" s="147"/>
      <c r="D196" s="147"/>
      <c r="E196" s="55"/>
      <c r="F196" s="55"/>
      <c r="G196" s="55"/>
      <c r="H196" s="55"/>
      <c r="I196" s="55"/>
      <c r="J196" s="55"/>
    </row>
    <row r="197" spans="2:10" ht="26">
      <c r="B197" s="148" t="s">
        <v>345</v>
      </c>
      <c r="C197" s="148"/>
      <c r="D197" s="148"/>
      <c r="E197" s="55"/>
      <c r="F197" s="55"/>
      <c r="G197" s="55"/>
      <c r="H197" s="55"/>
      <c r="I197" s="55"/>
      <c r="J197" s="55"/>
    </row>
    <row r="198" spans="2:10">
      <c r="B198" s="54" t="s">
        <v>342</v>
      </c>
      <c r="C198" s="54"/>
      <c r="D198" s="54"/>
      <c r="E198" s="210">
        <v>9024.0040000000008</v>
      </c>
      <c r="F198" s="210">
        <v>10483.727999999999</v>
      </c>
      <c r="G198" s="210">
        <v>11963.546</v>
      </c>
      <c r="H198" s="210">
        <v>13023.064</v>
      </c>
      <c r="I198" s="210">
        <v>13214.638999999999</v>
      </c>
      <c r="J198" s="210">
        <v>14860.848</v>
      </c>
    </row>
    <row r="199" spans="2:10">
      <c r="B199" s="147" t="s">
        <v>341</v>
      </c>
      <c r="C199" s="147"/>
      <c r="D199" s="147"/>
      <c r="E199" s="210">
        <v>9024.0040000000008</v>
      </c>
      <c r="F199" s="210">
        <v>10483.727999999999</v>
      </c>
      <c r="G199" s="210">
        <v>11963.546</v>
      </c>
      <c r="H199" s="210">
        <v>13023.064</v>
      </c>
      <c r="I199" s="210">
        <v>13214.638999999999</v>
      </c>
      <c r="J199" s="210">
        <v>14860.848</v>
      </c>
    </row>
    <row r="200" spans="2:10">
      <c r="B200" s="147" t="s">
        <v>340</v>
      </c>
      <c r="C200" s="147"/>
      <c r="D200" s="147"/>
      <c r="E200" s="210">
        <v>0</v>
      </c>
      <c r="F200" s="210">
        <v>0</v>
      </c>
      <c r="G200" s="210">
        <v>0</v>
      </c>
      <c r="H200" s="210">
        <v>0</v>
      </c>
      <c r="I200" s="210">
        <v>0</v>
      </c>
      <c r="J200" s="210">
        <v>0</v>
      </c>
    </row>
    <row r="201" spans="2:10">
      <c r="B201" s="54" t="s">
        <v>339</v>
      </c>
      <c r="C201" s="54"/>
      <c r="D201" s="54"/>
      <c r="E201" s="210">
        <v>11298.856</v>
      </c>
      <c r="F201" s="210">
        <v>13494.026</v>
      </c>
      <c r="G201" s="210">
        <v>15505.031000000001</v>
      </c>
      <c r="H201" s="210">
        <v>17152.494999999999</v>
      </c>
      <c r="I201" s="210">
        <v>17748.324000000001</v>
      </c>
      <c r="J201" s="210">
        <v>20180.046999999999</v>
      </c>
    </row>
    <row r="202" spans="2:10">
      <c r="B202" s="54" t="s">
        <v>338</v>
      </c>
      <c r="C202" s="54"/>
      <c r="D202" s="54"/>
      <c r="E202" s="210">
        <v>222.08500000000001</v>
      </c>
      <c r="F202" s="210">
        <v>221.01600000000002</v>
      </c>
      <c r="G202" s="210">
        <v>227.76499999999999</v>
      </c>
      <c r="H202" s="210">
        <v>247.8</v>
      </c>
      <c r="I202" s="210">
        <v>264.93299999999999</v>
      </c>
      <c r="J202" s="210">
        <v>390.45399999999995</v>
      </c>
    </row>
    <row r="203" spans="2:10">
      <c r="B203" s="147" t="s">
        <v>337</v>
      </c>
      <c r="C203" s="147"/>
      <c r="D203" s="147"/>
      <c r="E203" s="210">
        <v>167.63300000000001</v>
      </c>
      <c r="F203" s="210">
        <v>168.566</v>
      </c>
      <c r="G203" s="210">
        <v>171.834</v>
      </c>
      <c r="H203" s="210">
        <v>186.405</v>
      </c>
      <c r="I203" s="210">
        <v>204.934</v>
      </c>
      <c r="J203" s="210">
        <v>260.72399999999999</v>
      </c>
    </row>
    <row r="204" spans="2:10">
      <c r="B204" s="147" t="s">
        <v>336</v>
      </c>
      <c r="C204" s="147"/>
      <c r="D204" s="147"/>
      <c r="E204" s="210">
        <v>54.451999999999998</v>
      </c>
      <c r="F204" s="210">
        <v>52.45</v>
      </c>
      <c r="G204" s="210">
        <v>55.930999999999997</v>
      </c>
      <c r="H204" s="210">
        <v>61.395000000000003</v>
      </c>
      <c r="I204" s="210">
        <v>59.999000000000002</v>
      </c>
      <c r="J204" s="210">
        <v>129.72999999999999</v>
      </c>
    </row>
    <row r="205" spans="2:10">
      <c r="B205" s="147" t="s">
        <v>335</v>
      </c>
      <c r="C205" s="147"/>
      <c r="D205" s="147"/>
      <c r="E205" s="210">
        <v>0</v>
      </c>
      <c r="F205" s="210">
        <v>0</v>
      </c>
      <c r="G205" s="210">
        <v>0</v>
      </c>
      <c r="H205" s="210">
        <v>0</v>
      </c>
      <c r="I205" s="210">
        <v>0</v>
      </c>
      <c r="J205" s="210">
        <v>0</v>
      </c>
    </row>
    <row r="206" spans="2:10">
      <c r="B206" s="147"/>
      <c r="C206" s="147"/>
      <c r="D206" s="147"/>
      <c r="E206" s="55"/>
      <c r="F206" s="55"/>
      <c r="G206" s="55"/>
      <c r="H206" s="55"/>
      <c r="I206" s="55"/>
      <c r="J206" s="55"/>
    </row>
    <row r="207" spans="2:10" ht="39.75" customHeight="1">
      <c r="B207" s="148" t="s">
        <v>344</v>
      </c>
      <c r="C207" s="148"/>
      <c r="D207" s="148"/>
      <c r="E207" s="55"/>
      <c r="F207" s="55"/>
      <c r="G207" s="55"/>
      <c r="H207" s="55"/>
      <c r="I207" s="55"/>
      <c r="J207" s="55"/>
    </row>
    <row r="208" spans="2:10">
      <c r="B208" s="54" t="s">
        <v>342</v>
      </c>
      <c r="C208" s="54"/>
      <c r="D208" s="54"/>
      <c r="E208" s="210">
        <v>852.1</v>
      </c>
      <c r="F208" s="210">
        <v>922.36699999999996</v>
      </c>
      <c r="G208" s="210">
        <v>751.83500000000004</v>
      </c>
      <c r="H208" s="210">
        <v>740.74699999999996</v>
      </c>
      <c r="I208" s="210">
        <v>483.80900000000003</v>
      </c>
      <c r="J208" s="210">
        <v>637.27700000000004</v>
      </c>
    </row>
    <row r="209" spans="2:10">
      <c r="B209" s="147" t="s">
        <v>341</v>
      </c>
      <c r="C209" s="147"/>
      <c r="D209" s="147"/>
      <c r="E209" s="210">
        <v>852.1</v>
      </c>
      <c r="F209" s="210">
        <v>922.36699999999996</v>
      </c>
      <c r="G209" s="210">
        <v>751.83500000000004</v>
      </c>
      <c r="H209" s="210">
        <v>740.74699999999996</v>
      </c>
      <c r="I209" s="210">
        <v>483.80900000000003</v>
      </c>
      <c r="J209" s="210">
        <v>637.27700000000004</v>
      </c>
    </row>
    <row r="210" spans="2:10">
      <c r="B210" s="147" t="s">
        <v>340</v>
      </c>
      <c r="C210" s="147"/>
      <c r="D210" s="147"/>
      <c r="E210" s="210">
        <v>0</v>
      </c>
      <c r="F210" s="210">
        <v>0</v>
      </c>
      <c r="G210" s="210">
        <v>0</v>
      </c>
      <c r="H210" s="210">
        <v>0</v>
      </c>
      <c r="I210" s="210">
        <v>0</v>
      </c>
      <c r="J210" s="210">
        <v>0</v>
      </c>
    </row>
    <row r="211" spans="2:10">
      <c r="B211" s="54" t="s">
        <v>339</v>
      </c>
      <c r="C211" s="54"/>
      <c r="D211" s="54"/>
      <c r="E211" s="210">
        <v>4406.4669999999996</v>
      </c>
      <c r="F211" s="210">
        <v>5306.7879999999996</v>
      </c>
      <c r="G211" s="210">
        <v>4453.1279999999997</v>
      </c>
      <c r="H211" s="210">
        <v>5315.58</v>
      </c>
      <c r="I211" s="210">
        <v>3742.1590000000001</v>
      </c>
      <c r="J211" s="210">
        <v>7445.5789999999997</v>
      </c>
    </row>
    <row r="212" spans="2:10">
      <c r="B212" s="54" t="s">
        <v>338</v>
      </c>
      <c r="C212" s="54"/>
      <c r="D212" s="54"/>
      <c r="E212" s="210">
        <v>0</v>
      </c>
      <c r="F212" s="210">
        <v>0</v>
      </c>
      <c r="G212" s="210">
        <v>0</v>
      </c>
      <c r="H212" s="210">
        <v>0</v>
      </c>
      <c r="I212" s="210">
        <v>0</v>
      </c>
      <c r="J212" s="210">
        <v>0</v>
      </c>
    </row>
    <row r="213" spans="2:10">
      <c r="B213" s="147" t="s">
        <v>337</v>
      </c>
      <c r="C213" s="147"/>
      <c r="D213" s="147"/>
      <c r="E213" s="210">
        <v>0</v>
      </c>
      <c r="F213" s="210">
        <v>0</v>
      </c>
      <c r="G213" s="210">
        <v>0</v>
      </c>
      <c r="H213" s="210">
        <v>0</v>
      </c>
      <c r="I213" s="210">
        <v>0</v>
      </c>
      <c r="J213" s="210">
        <v>0</v>
      </c>
    </row>
    <row r="214" spans="2:10">
      <c r="B214" s="147" t="s">
        <v>336</v>
      </c>
      <c r="C214" s="147"/>
      <c r="D214" s="147"/>
      <c r="E214" s="210">
        <v>0</v>
      </c>
      <c r="F214" s="210">
        <v>0</v>
      </c>
      <c r="G214" s="210">
        <v>0</v>
      </c>
      <c r="H214" s="210">
        <v>0</v>
      </c>
      <c r="I214" s="210">
        <v>0</v>
      </c>
      <c r="J214" s="210">
        <v>0</v>
      </c>
    </row>
    <row r="215" spans="2:10">
      <c r="B215" s="147" t="s">
        <v>335</v>
      </c>
      <c r="C215" s="147"/>
      <c r="D215" s="147"/>
      <c r="E215" s="210">
        <v>0</v>
      </c>
      <c r="F215" s="210">
        <v>0</v>
      </c>
      <c r="G215" s="210">
        <v>0</v>
      </c>
      <c r="H215" s="210">
        <v>0</v>
      </c>
      <c r="I215" s="210">
        <v>0</v>
      </c>
      <c r="J215" s="210">
        <v>0</v>
      </c>
    </row>
    <row r="216" spans="2:10">
      <c r="B216" s="147"/>
      <c r="C216" s="147"/>
      <c r="D216" s="147"/>
      <c r="E216" s="55"/>
      <c r="F216" s="55"/>
      <c r="G216" s="55"/>
      <c r="H216" s="55"/>
      <c r="I216" s="55"/>
      <c r="J216" s="55"/>
    </row>
    <row r="217" spans="2:10" ht="26">
      <c r="B217" s="148" t="s">
        <v>343</v>
      </c>
      <c r="C217" s="148"/>
      <c r="D217" s="148"/>
      <c r="E217" s="55"/>
      <c r="F217" s="55"/>
      <c r="G217" s="55"/>
      <c r="H217" s="55"/>
      <c r="I217" s="55"/>
      <c r="J217" s="55"/>
    </row>
    <row r="218" spans="2:10">
      <c r="B218" s="54" t="s">
        <v>342</v>
      </c>
      <c r="C218" s="54"/>
      <c r="D218" s="54"/>
      <c r="E218" s="210">
        <v>534.48299999999995</v>
      </c>
      <c r="F218" s="210">
        <v>543.26499999999999</v>
      </c>
      <c r="G218" s="210">
        <v>572.26900000000001</v>
      </c>
      <c r="H218" s="210">
        <v>521.58900000000006</v>
      </c>
      <c r="I218" s="210">
        <v>375.71</v>
      </c>
      <c r="J218" s="210">
        <v>425.86099999999999</v>
      </c>
    </row>
    <row r="219" spans="2:10">
      <c r="B219" s="147" t="s">
        <v>341</v>
      </c>
      <c r="C219" s="147"/>
      <c r="D219" s="147"/>
      <c r="E219" s="210">
        <v>534.48299999999995</v>
      </c>
      <c r="F219" s="210">
        <v>543.26499999999999</v>
      </c>
      <c r="G219" s="210">
        <v>572.26900000000001</v>
      </c>
      <c r="H219" s="210">
        <v>521.58900000000006</v>
      </c>
      <c r="I219" s="210">
        <v>375.71</v>
      </c>
      <c r="J219" s="210">
        <v>425.86099999999999</v>
      </c>
    </row>
    <row r="220" spans="2:10">
      <c r="B220" s="147" t="s">
        <v>340</v>
      </c>
      <c r="C220" s="147"/>
      <c r="D220" s="147"/>
      <c r="E220" s="210">
        <v>0</v>
      </c>
      <c r="F220" s="210">
        <v>0</v>
      </c>
      <c r="G220" s="210">
        <v>0</v>
      </c>
      <c r="H220" s="210">
        <v>0</v>
      </c>
      <c r="I220" s="210">
        <v>0</v>
      </c>
      <c r="J220" s="210">
        <v>0</v>
      </c>
    </row>
    <row r="221" spans="2:10">
      <c r="B221" s="54" t="s">
        <v>339</v>
      </c>
      <c r="C221" s="54"/>
      <c r="D221" s="54"/>
      <c r="E221" s="210">
        <v>1515.4290000000001</v>
      </c>
      <c r="F221" s="210">
        <v>1763.8240000000001</v>
      </c>
      <c r="G221" s="210">
        <v>1929.4839999999999</v>
      </c>
      <c r="H221" s="210">
        <v>2253.4009999999998</v>
      </c>
      <c r="I221" s="210">
        <v>1734.5</v>
      </c>
      <c r="J221" s="210">
        <v>2909.9290000000001</v>
      </c>
    </row>
    <row r="222" spans="2:10">
      <c r="B222" s="54" t="s">
        <v>338</v>
      </c>
      <c r="C222" s="54"/>
      <c r="D222" s="54"/>
      <c r="E222" s="210">
        <v>466.19799999999998</v>
      </c>
      <c r="F222" s="210">
        <v>441.351</v>
      </c>
      <c r="G222" s="210">
        <v>451.37700000000001</v>
      </c>
      <c r="H222" s="210">
        <v>474.01600000000002</v>
      </c>
      <c r="I222" s="210">
        <v>469.029</v>
      </c>
      <c r="J222" s="210">
        <v>526.81299999999999</v>
      </c>
    </row>
    <row r="223" spans="2:10">
      <c r="B223" s="147" t="s">
        <v>337</v>
      </c>
      <c r="C223" s="147"/>
      <c r="D223" s="147"/>
      <c r="E223" s="210">
        <v>0</v>
      </c>
      <c r="F223" s="210">
        <v>0</v>
      </c>
      <c r="G223" s="210">
        <v>0</v>
      </c>
      <c r="H223" s="210">
        <v>0</v>
      </c>
      <c r="I223" s="210">
        <v>0</v>
      </c>
      <c r="J223" s="210">
        <v>0</v>
      </c>
    </row>
    <row r="224" spans="2:10">
      <c r="B224" s="147" t="s">
        <v>336</v>
      </c>
      <c r="C224" s="147"/>
      <c r="D224" s="147"/>
      <c r="E224" s="210">
        <v>466.19799999999998</v>
      </c>
      <c r="F224" s="210">
        <v>441.351</v>
      </c>
      <c r="G224" s="210">
        <v>451.37700000000001</v>
      </c>
      <c r="H224" s="210">
        <v>474.01600000000002</v>
      </c>
      <c r="I224" s="210">
        <v>469.029</v>
      </c>
      <c r="J224" s="210">
        <v>526.81299999999999</v>
      </c>
    </row>
    <row r="225" spans="2:10" ht="15" thickBot="1">
      <c r="B225" s="146" t="s">
        <v>335</v>
      </c>
      <c r="C225" s="147"/>
      <c r="D225" s="147"/>
      <c r="E225" s="210">
        <v>0</v>
      </c>
      <c r="F225" s="210">
        <v>0</v>
      </c>
      <c r="G225" s="210">
        <v>0</v>
      </c>
      <c r="H225" s="210">
        <v>0</v>
      </c>
      <c r="I225" s="210">
        <v>0</v>
      </c>
      <c r="J225" s="210">
        <v>0</v>
      </c>
    </row>
    <row r="226" spans="2:10" ht="15" thickTop="1">
      <c r="B226" s="2023" t="s">
        <v>2107</v>
      </c>
      <c r="C226" s="2023"/>
      <c r="D226" s="2023"/>
      <c r="E226" s="2023"/>
      <c r="F226" s="2023"/>
      <c r="G226" s="2023"/>
      <c r="H226" s="2023"/>
      <c r="I226" s="2023"/>
      <c r="J226" s="2023"/>
    </row>
    <row r="227" spans="2:10">
      <c r="B227" s="64"/>
      <c r="C227" s="64"/>
      <c r="D227" s="64"/>
    </row>
    <row r="228" spans="2:10">
      <c r="B228" s="2024" t="s">
        <v>364</v>
      </c>
      <c r="C228" s="2024"/>
      <c r="D228" s="2024"/>
      <c r="E228" s="2024"/>
      <c r="F228" s="2024"/>
      <c r="G228" s="2024"/>
      <c r="H228" s="2024"/>
      <c r="I228" s="2024"/>
      <c r="J228" s="2024"/>
    </row>
    <row r="229" spans="2:10">
      <c r="B229" s="12" t="s">
        <v>363</v>
      </c>
      <c r="C229" s="12"/>
      <c r="D229" s="12"/>
    </row>
    <row r="230" spans="2:10">
      <c r="B230" s="62" t="s">
        <v>311</v>
      </c>
      <c r="C230" s="62"/>
      <c r="D230" s="62"/>
    </row>
    <row r="231" spans="2:10">
      <c r="B231" s="64"/>
      <c r="C231" s="64"/>
      <c r="D231" s="64"/>
    </row>
    <row r="232" spans="2:10">
      <c r="B232" s="61"/>
      <c r="C232" s="61"/>
      <c r="D232" s="61"/>
      <c r="E232" s="60">
        <v>2016</v>
      </c>
      <c r="F232" s="60">
        <v>2017</v>
      </c>
      <c r="G232" s="60">
        <v>2018</v>
      </c>
      <c r="H232" s="60">
        <v>2019</v>
      </c>
      <c r="I232" s="60">
        <v>2020</v>
      </c>
      <c r="J232" s="60">
        <v>2021</v>
      </c>
    </row>
    <row r="233" spans="2:10">
      <c r="B233" s="114" t="s">
        <v>362</v>
      </c>
      <c r="C233" s="114"/>
      <c r="D233" s="114"/>
      <c r="E233" s="66"/>
      <c r="F233" s="66"/>
      <c r="G233" s="66"/>
      <c r="H233" s="66"/>
      <c r="I233" s="66"/>
      <c r="J233" s="66"/>
    </row>
    <row r="234" spans="2:10">
      <c r="B234" s="54" t="s">
        <v>361</v>
      </c>
      <c r="C234" s="54"/>
      <c r="D234" s="54"/>
      <c r="E234" s="210">
        <v>33886.067623861229</v>
      </c>
      <c r="F234" s="210">
        <v>34244.187600064077</v>
      </c>
      <c r="G234" s="210">
        <v>36878.690802167599</v>
      </c>
      <c r="H234" s="210">
        <v>32423.006724022343</v>
      </c>
      <c r="I234" s="210">
        <v>27815.258398882681</v>
      </c>
      <c r="J234" s="210">
        <v>45154.980537430165</v>
      </c>
    </row>
    <row r="235" spans="2:10">
      <c r="B235" s="151" t="s">
        <v>360</v>
      </c>
      <c r="C235" s="151"/>
      <c r="D235" s="151"/>
      <c r="E235" s="210">
        <v>23927.170923967373</v>
      </c>
      <c r="F235" s="210">
        <v>22951.476175429048</v>
      </c>
      <c r="G235" s="210">
        <v>24525.777323988827</v>
      </c>
      <c r="H235" s="210">
        <v>21602.55070502793</v>
      </c>
      <c r="I235" s="210">
        <v>13952.42616312849</v>
      </c>
      <c r="J235" s="210">
        <v>22888.268668156423</v>
      </c>
    </row>
    <row r="236" spans="2:10">
      <c r="B236" s="151" t="s">
        <v>359</v>
      </c>
      <c r="C236" s="151"/>
      <c r="D236" s="151"/>
      <c r="E236" s="210">
        <v>9958.8966998938558</v>
      </c>
      <c r="F236" s="210">
        <v>11292.711424635027</v>
      </c>
      <c r="G236" s="210">
        <v>12352.913478178772</v>
      </c>
      <c r="H236" s="210">
        <v>10820.456018994413</v>
      </c>
      <c r="I236" s="210">
        <v>13862.832235754189</v>
      </c>
      <c r="J236" s="210">
        <v>22266.711869273742</v>
      </c>
    </row>
    <row r="237" spans="2:10">
      <c r="B237" s="152" t="s">
        <v>358</v>
      </c>
      <c r="C237" s="152"/>
      <c r="D237" s="152"/>
      <c r="E237" s="210">
        <v>97.885952575418997</v>
      </c>
      <c r="F237" s="210">
        <v>98.248651234636867</v>
      </c>
      <c r="G237" s="210">
        <v>126.56020934636872</v>
      </c>
      <c r="H237" s="210">
        <v>80.958637430167599</v>
      </c>
      <c r="I237" s="210">
        <v>79.914082122905029</v>
      </c>
      <c r="J237" s="210">
        <v>74.229611731843576</v>
      </c>
    </row>
    <row r="238" spans="2:10">
      <c r="B238" s="71" t="s">
        <v>357</v>
      </c>
      <c r="C238" s="71"/>
      <c r="D238" s="71"/>
      <c r="E238" s="210">
        <v>1045.5589576044135</v>
      </c>
      <c r="F238" s="210">
        <v>1165.5868407284916</v>
      </c>
      <c r="G238" s="210">
        <v>1186.3653064128491</v>
      </c>
      <c r="H238" s="210">
        <v>1320.7599709497208</v>
      </c>
      <c r="I238" s="210">
        <v>1097.0839502793297</v>
      </c>
      <c r="J238" s="210">
        <v>1241.6469916201117</v>
      </c>
    </row>
    <row r="239" spans="2:10">
      <c r="B239" s="151" t="s">
        <v>356</v>
      </c>
      <c r="C239" s="151"/>
      <c r="D239" s="151"/>
      <c r="E239" s="210">
        <v>742.70324644798882</v>
      </c>
      <c r="F239" s="210">
        <v>831.50233761837978</v>
      </c>
      <c r="G239" s="210">
        <v>834.34461724525136</v>
      </c>
      <c r="H239" s="210">
        <v>957.31292737430169</v>
      </c>
      <c r="I239" s="210">
        <v>869.56676256983246</v>
      </c>
      <c r="J239" s="210">
        <v>897.92738100558654</v>
      </c>
    </row>
    <row r="240" spans="2:10">
      <c r="B240" s="151" t="s">
        <v>355</v>
      </c>
      <c r="C240" s="151"/>
      <c r="D240" s="151"/>
      <c r="E240" s="210">
        <v>0</v>
      </c>
      <c r="F240" s="210">
        <v>0</v>
      </c>
      <c r="G240" s="210">
        <v>0</v>
      </c>
      <c r="H240" s="210">
        <v>0</v>
      </c>
      <c r="I240" s="210">
        <v>0</v>
      </c>
      <c r="J240" s="210">
        <v>0</v>
      </c>
    </row>
    <row r="241" spans="2:10">
      <c r="B241" s="151" t="s">
        <v>354</v>
      </c>
      <c r="C241" s="151"/>
      <c r="D241" s="151"/>
      <c r="E241" s="210">
        <v>302.8557111564246</v>
      </c>
      <c r="F241" s="210">
        <v>334.08450311011177</v>
      </c>
      <c r="G241" s="210">
        <v>352.02068916759777</v>
      </c>
      <c r="H241" s="210">
        <v>363.447043575419</v>
      </c>
      <c r="I241" s="210">
        <v>227.51718770949719</v>
      </c>
      <c r="J241" s="210">
        <v>343.71961061452515</v>
      </c>
    </row>
    <row r="242" spans="2:10">
      <c r="B242" s="71" t="s">
        <v>338</v>
      </c>
      <c r="C242" s="71"/>
      <c r="D242" s="71"/>
      <c r="E242" s="210">
        <v>38.356463128491619</v>
      </c>
      <c r="F242" s="210">
        <v>35.69355251396648</v>
      </c>
      <c r="G242" s="210">
        <v>36.725104469273745</v>
      </c>
      <c r="H242" s="210">
        <v>33.029455307262573</v>
      </c>
      <c r="I242" s="210">
        <v>45.771669832402239</v>
      </c>
      <c r="J242" s="210">
        <v>39.427881005586592</v>
      </c>
    </row>
    <row r="243" spans="2:10">
      <c r="B243" s="71" t="s">
        <v>353</v>
      </c>
      <c r="C243" s="71"/>
      <c r="D243" s="71"/>
      <c r="E243" s="210">
        <v>3729.6371843463685</v>
      </c>
      <c r="F243" s="210">
        <v>3126.9023601284916</v>
      </c>
      <c r="G243" s="210">
        <v>3021.2512963575418</v>
      </c>
      <c r="H243" s="210">
        <v>2110.1595497206699</v>
      </c>
      <c r="I243" s="210">
        <v>896.0038905027933</v>
      </c>
      <c r="J243" s="210">
        <v>653.40788212290499</v>
      </c>
    </row>
    <row r="244" spans="2:10">
      <c r="B244" s="150" t="s">
        <v>352</v>
      </c>
      <c r="C244" s="150"/>
      <c r="D244" s="150"/>
      <c r="E244" s="210">
        <v>2256.0288696648045</v>
      </c>
      <c r="F244" s="210">
        <v>1673.3337344692734</v>
      </c>
      <c r="G244" s="210">
        <v>1553.3705489664806</v>
      </c>
      <c r="H244" s="210">
        <v>1005.3306340782123</v>
      </c>
      <c r="I244" s="210">
        <v>379.34794748603349</v>
      </c>
      <c r="J244" s="210">
        <v>216.85707039106143</v>
      </c>
    </row>
    <row r="245" spans="2:10">
      <c r="B245" s="150" t="s">
        <v>2110</v>
      </c>
      <c r="C245" s="150"/>
      <c r="D245" s="150"/>
    </row>
    <row r="246" spans="2:10">
      <c r="B246" s="150" t="s">
        <v>659</v>
      </c>
      <c r="C246" s="150"/>
      <c r="D246" s="150"/>
      <c r="E246" s="210">
        <v>1446.6281476424579</v>
      </c>
      <c r="F246" s="210">
        <v>1432.3866924022348</v>
      </c>
      <c r="G246" s="210">
        <v>1442.1133976703911</v>
      </c>
      <c r="H246" s="210">
        <v>1104.0099324022347</v>
      </c>
      <c r="I246" s="210">
        <v>515.9078860335195</v>
      </c>
      <c r="J246" s="210">
        <v>432.4894972067039</v>
      </c>
    </row>
    <row r="247" spans="2:10">
      <c r="B247" s="150" t="s">
        <v>2109</v>
      </c>
      <c r="C247" s="150"/>
      <c r="D247" s="150"/>
      <c r="E247" s="55">
        <v>26.738370949720668</v>
      </c>
      <c r="F247" s="55">
        <v>18.272265100558659</v>
      </c>
      <c r="G247" s="55">
        <v>25.756597765363129</v>
      </c>
      <c r="H247" s="55">
        <v>0.77233519553072616</v>
      </c>
      <c r="I247" s="55">
        <v>0.35615921787709498</v>
      </c>
      <c r="J247" s="55">
        <v>0.38119720670391061</v>
      </c>
    </row>
    <row r="248" spans="2:10">
      <c r="B248" s="150" t="s">
        <v>500</v>
      </c>
      <c r="C248" s="150"/>
      <c r="D248" s="150"/>
      <c r="E248" s="55">
        <v>0.24179608938547487</v>
      </c>
      <c r="F248" s="55">
        <v>2.9096681564245812</v>
      </c>
      <c r="G248" s="55">
        <v>1.0751955307262568E-2</v>
      </c>
      <c r="H248" s="55">
        <v>4.664804469273743E-2</v>
      </c>
      <c r="I248" s="55">
        <v>0.39189776536312848</v>
      </c>
      <c r="J248" s="55">
        <v>3.6801173184357543</v>
      </c>
    </row>
    <row r="249" spans="2:10">
      <c r="B249" s="54" t="s">
        <v>350</v>
      </c>
      <c r="C249" s="54"/>
      <c r="D249" s="54"/>
      <c r="E249" s="55">
        <v>0</v>
      </c>
      <c r="F249" s="55">
        <v>0</v>
      </c>
      <c r="G249" s="55">
        <v>0</v>
      </c>
      <c r="H249" s="55">
        <v>0</v>
      </c>
      <c r="I249" s="55">
        <v>0</v>
      </c>
      <c r="J249" s="55">
        <v>0</v>
      </c>
    </row>
    <row r="250" spans="2:10">
      <c r="B250" s="54"/>
      <c r="C250" s="54"/>
      <c r="D250" s="54"/>
      <c r="E250" s="55"/>
      <c r="F250" s="55"/>
      <c r="G250" s="55"/>
      <c r="H250" s="55"/>
      <c r="I250" s="55"/>
      <c r="J250" s="55"/>
    </row>
    <row r="251" spans="2:10">
      <c r="B251" s="54" t="s">
        <v>349</v>
      </c>
      <c r="C251" s="54"/>
      <c r="D251" s="54"/>
      <c r="E251" s="210">
        <v>38797.506181515921</v>
      </c>
      <c r="F251" s="210">
        <v>38670.619004669665</v>
      </c>
      <c r="G251" s="210">
        <v>41249.592718753636</v>
      </c>
      <c r="H251" s="210">
        <v>35967.914337430164</v>
      </c>
      <c r="I251" s="210">
        <v>29934.031991620112</v>
      </c>
      <c r="J251" s="210">
        <v>47163.692903910603</v>
      </c>
    </row>
    <row r="252" spans="2:10">
      <c r="B252" s="147" t="s">
        <v>348</v>
      </c>
      <c r="C252" s="147"/>
      <c r="D252" s="147"/>
      <c r="E252" s="210"/>
      <c r="F252" s="210"/>
      <c r="G252" s="210"/>
      <c r="H252" s="210"/>
      <c r="I252" s="210"/>
      <c r="J252" s="210"/>
    </row>
    <row r="253" spans="2:10">
      <c r="B253" s="147"/>
      <c r="C253" s="147"/>
      <c r="D253" s="147"/>
      <c r="E253" s="55"/>
      <c r="F253" s="55"/>
      <c r="G253" s="55"/>
      <c r="H253" s="55"/>
      <c r="I253" s="55"/>
      <c r="J253" s="55"/>
    </row>
    <row r="254" spans="2:10">
      <c r="B254" s="54" t="s">
        <v>347</v>
      </c>
      <c r="C254" s="54"/>
      <c r="D254" s="54"/>
      <c r="E254" s="210"/>
      <c r="F254" s="210"/>
      <c r="G254" s="210"/>
      <c r="H254" s="210"/>
      <c r="I254" s="210"/>
      <c r="J254" s="210"/>
    </row>
    <row r="255" spans="2:10">
      <c r="B255" s="54"/>
      <c r="C255" s="54"/>
      <c r="D255" s="54"/>
      <c r="E255" s="55"/>
      <c r="F255" s="55"/>
      <c r="G255" s="55"/>
      <c r="H255" s="55"/>
      <c r="I255" s="55"/>
      <c r="J255" s="55"/>
    </row>
    <row r="256" spans="2:10">
      <c r="B256" s="114" t="s">
        <v>346</v>
      </c>
      <c r="C256" s="114"/>
      <c r="D256" s="114"/>
      <c r="E256" s="55"/>
      <c r="F256" s="55"/>
      <c r="G256" s="55"/>
      <c r="H256" s="55"/>
      <c r="I256" s="55"/>
      <c r="J256" s="55"/>
    </row>
    <row r="257" spans="2:10">
      <c r="B257" s="54" t="s">
        <v>342</v>
      </c>
      <c r="C257" s="54"/>
      <c r="D257" s="54"/>
      <c r="E257" s="210">
        <v>896.83039344793303</v>
      </c>
      <c r="F257" s="210">
        <v>998.31219751418985</v>
      </c>
      <c r="G257" s="210">
        <v>1059.0219500502792</v>
      </c>
      <c r="H257" s="210">
        <v>1074.5995525139663</v>
      </c>
      <c r="I257" s="210">
        <v>1011.6887156424581</v>
      </c>
      <c r="J257" s="210">
        <v>1075.0991251396649</v>
      </c>
    </row>
    <row r="258" spans="2:10">
      <c r="B258" s="147" t="s">
        <v>341</v>
      </c>
      <c r="C258" s="147"/>
      <c r="D258" s="147"/>
      <c r="E258" s="210">
        <v>896.83039344793303</v>
      </c>
      <c r="F258" s="210">
        <v>998.31219751418985</v>
      </c>
      <c r="G258" s="210">
        <v>1059.0219500502792</v>
      </c>
      <c r="H258" s="210">
        <v>1074.5995525139663</v>
      </c>
      <c r="I258" s="210">
        <v>1011.6887156424581</v>
      </c>
      <c r="J258" s="210">
        <v>1075.0991251396649</v>
      </c>
    </row>
    <row r="259" spans="2:10">
      <c r="B259" s="147" t="s">
        <v>340</v>
      </c>
      <c r="C259" s="147"/>
      <c r="D259" s="147"/>
      <c r="E259" s="210">
        <v>0</v>
      </c>
      <c r="F259" s="210">
        <v>0</v>
      </c>
      <c r="G259" s="210">
        <v>0</v>
      </c>
      <c r="H259" s="210">
        <v>0</v>
      </c>
      <c r="I259" s="210">
        <v>0</v>
      </c>
      <c r="J259" s="210">
        <v>0</v>
      </c>
    </row>
    <row r="260" spans="2:10">
      <c r="B260" s="54" t="s">
        <v>339</v>
      </c>
      <c r="C260" s="54"/>
      <c r="D260" s="54"/>
      <c r="E260" s="210">
        <v>1434.8647850010223</v>
      </c>
      <c r="F260" s="210">
        <v>1507.0470879199424</v>
      </c>
      <c r="G260" s="210">
        <v>1530.9351710055867</v>
      </c>
      <c r="H260" s="210">
        <v>1660.9267882681563</v>
      </c>
      <c r="I260" s="210">
        <v>1341.7616536312848</v>
      </c>
      <c r="J260" s="210">
        <v>1759.5061391061452</v>
      </c>
    </row>
    <row r="261" spans="2:10">
      <c r="B261" s="54" t="s">
        <v>338</v>
      </c>
      <c r="C261" s="54"/>
      <c r="D261" s="54"/>
      <c r="E261" s="429">
        <v>68.116321765977659</v>
      </c>
      <c r="F261" s="429">
        <v>63.461739491396642</v>
      </c>
      <c r="G261" s="429">
        <v>66.52794820346368</v>
      </c>
      <c r="H261" s="429">
        <v>68.291550837988822</v>
      </c>
      <c r="I261" s="429">
        <v>58.304486033519552</v>
      </c>
      <c r="J261" s="210">
        <v>73.566054748603349</v>
      </c>
    </row>
    <row r="262" spans="2:10">
      <c r="B262" s="147" t="s">
        <v>337</v>
      </c>
      <c r="C262" s="147"/>
      <c r="D262" s="147"/>
      <c r="E262" s="210">
        <v>36.123043043240216</v>
      </c>
      <c r="F262" s="210">
        <v>33.591908373687154</v>
      </c>
      <c r="G262" s="210">
        <v>34.77111165363128</v>
      </c>
      <c r="H262" s="210">
        <v>35.397159217877096</v>
      </c>
      <c r="I262" s="210">
        <v>30.328217877094971</v>
      </c>
      <c r="J262" s="210">
        <v>37.111314525139669</v>
      </c>
    </row>
    <row r="263" spans="2:10">
      <c r="B263" s="147" t="s">
        <v>336</v>
      </c>
      <c r="C263" s="147"/>
      <c r="D263" s="147"/>
      <c r="E263" s="210">
        <v>31.993278722737429</v>
      </c>
      <c r="F263" s="210">
        <v>29.869831117709495</v>
      </c>
      <c r="G263" s="210">
        <v>31.7568365498324</v>
      </c>
      <c r="H263" s="210">
        <v>32.894391620111733</v>
      </c>
      <c r="I263" s="210">
        <v>27.976268156424581</v>
      </c>
      <c r="J263" s="210">
        <v>36.454740223463688</v>
      </c>
    </row>
    <row r="264" spans="2:10">
      <c r="B264" s="147" t="s">
        <v>335</v>
      </c>
      <c r="C264" s="147"/>
      <c r="D264" s="147"/>
      <c r="E264" s="210">
        <v>0</v>
      </c>
      <c r="F264" s="210">
        <v>0</v>
      </c>
      <c r="G264" s="210">
        <v>0</v>
      </c>
      <c r="H264" s="210">
        <v>0</v>
      </c>
      <c r="I264" s="210">
        <v>0</v>
      </c>
      <c r="J264" s="210">
        <v>0</v>
      </c>
    </row>
    <row r="265" spans="2:10">
      <c r="B265" s="147"/>
      <c r="C265" s="147"/>
      <c r="D265" s="147"/>
      <c r="E265" s="55"/>
      <c r="F265" s="55"/>
      <c r="G265" s="55"/>
      <c r="H265" s="55"/>
      <c r="I265" s="55"/>
      <c r="J265" s="55"/>
    </row>
    <row r="266" spans="2:10" ht="26">
      <c r="B266" s="148" t="s">
        <v>345</v>
      </c>
      <c r="C266" s="148"/>
      <c r="D266" s="148"/>
      <c r="E266" s="55"/>
      <c r="F266" s="55"/>
      <c r="G266" s="55"/>
      <c r="H266" s="55"/>
      <c r="I266" s="55"/>
      <c r="J266" s="55"/>
    </row>
    <row r="267" spans="2:10">
      <c r="B267" s="54" t="s">
        <v>342</v>
      </c>
      <c r="C267" s="54"/>
      <c r="D267" s="54"/>
      <c r="E267" s="210">
        <v>639.28775426357549</v>
      </c>
      <c r="F267" s="210">
        <v>715.42184941363132</v>
      </c>
      <c r="G267" s="210">
        <v>790.89388913966479</v>
      </c>
      <c r="H267" s="210">
        <v>805.23992234636864</v>
      </c>
      <c r="I267" s="210">
        <v>812.93895754189941</v>
      </c>
      <c r="J267" s="210">
        <v>841.25038603351959</v>
      </c>
    </row>
    <row r="268" spans="2:10">
      <c r="B268" s="147" t="s">
        <v>341</v>
      </c>
      <c r="C268" s="147"/>
      <c r="D268" s="147"/>
      <c r="E268" s="210">
        <v>639.28775426357549</v>
      </c>
      <c r="F268" s="210">
        <v>715.42184941363132</v>
      </c>
      <c r="G268" s="210">
        <v>790.89388913966479</v>
      </c>
      <c r="H268" s="210">
        <v>805.23992234636864</v>
      </c>
      <c r="I268" s="210">
        <v>812.93895754189941</v>
      </c>
      <c r="J268" s="210">
        <v>841.25038603351959</v>
      </c>
    </row>
    <row r="269" spans="2:10">
      <c r="B269" s="147" t="s">
        <v>340</v>
      </c>
      <c r="C269" s="147"/>
      <c r="D269" s="147"/>
      <c r="E269" s="210">
        <v>0</v>
      </c>
      <c r="F269" s="210">
        <v>0</v>
      </c>
      <c r="G269" s="210">
        <v>0</v>
      </c>
      <c r="H269" s="210">
        <v>0</v>
      </c>
      <c r="I269" s="210">
        <v>0</v>
      </c>
      <c r="J269" s="210">
        <v>0</v>
      </c>
    </row>
    <row r="270" spans="2:10">
      <c r="B270" s="54" t="s">
        <v>339</v>
      </c>
      <c r="C270" s="54"/>
      <c r="D270" s="54"/>
      <c r="E270" s="210">
        <v>600.35850322688816</v>
      </c>
      <c r="F270" s="210">
        <v>691.65576043078056</v>
      </c>
      <c r="G270" s="210">
        <v>780.20851023463683</v>
      </c>
      <c r="H270" s="210">
        <v>815.9052709497206</v>
      </c>
      <c r="I270" s="210">
        <v>825.3594279329609</v>
      </c>
      <c r="J270" s="210">
        <v>897.02272960893845</v>
      </c>
    </row>
    <row r="271" spans="2:10">
      <c r="B271" s="54" t="s">
        <v>338</v>
      </c>
      <c r="C271" s="54"/>
      <c r="D271" s="54"/>
      <c r="E271" s="210">
        <v>38.356463106759776</v>
      </c>
      <c r="F271" s="210">
        <v>35.693552899217877</v>
      </c>
      <c r="G271" s="210">
        <v>36.995797987653631</v>
      </c>
      <c r="H271" s="210">
        <v>37.649831843575413</v>
      </c>
      <c r="I271" s="210">
        <v>32.572820111731843</v>
      </c>
      <c r="J271" s="210">
        <v>41.906405586592179</v>
      </c>
    </row>
    <row r="272" spans="2:10">
      <c r="B272" s="147" t="s">
        <v>337</v>
      </c>
      <c r="C272" s="147"/>
      <c r="D272" s="147"/>
      <c r="E272" s="210">
        <v>36.123043043240216</v>
      </c>
      <c r="F272" s="210">
        <v>33.591908373687154</v>
      </c>
      <c r="G272" s="210">
        <v>34.77111165363128</v>
      </c>
      <c r="H272" s="210">
        <v>35.397159217877096</v>
      </c>
      <c r="I272" s="210">
        <v>30.328217877094971</v>
      </c>
      <c r="J272" s="210">
        <v>37.111314525139669</v>
      </c>
    </row>
    <row r="273" spans="2:10">
      <c r="B273" s="147" t="s">
        <v>336</v>
      </c>
      <c r="C273" s="147"/>
      <c r="D273" s="147"/>
      <c r="E273" s="210">
        <v>2.2334200635195529</v>
      </c>
      <c r="F273" s="210">
        <v>2.1016445255307263</v>
      </c>
      <c r="G273" s="210">
        <v>2.2246863340223464</v>
      </c>
      <c r="H273" s="210">
        <v>2.2526726256983238</v>
      </c>
      <c r="I273" s="210">
        <v>2.2446022346368717</v>
      </c>
      <c r="J273" s="210">
        <v>4.7950910614525144</v>
      </c>
    </row>
    <row r="274" spans="2:10">
      <c r="B274" s="147" t="s">
        <v>335</v>
      </c>
      <c r="C274" s="147"/>
      <c r="D274" s="147"/>
      <c r="E274" s="210">
        <v>0</v>
      </c>
      <c r="F274" s="210">
        <v>0</v>
      </c>
      <c r="G274" s="210">
        <v>0</v>
      </c>
      <c r="H274" s="210">
        <v>0</v>
      </c>
      <c r="I274" s="210">
        <v>0</v>
      </c>
      <c r="J274" s="210">
        <v>0</v>
      </c>
    </row>
    <row r="275" spans="2:10">
      <c r="B275" s="147"/>
      <c r="C275" s="147"/>
      <c r="D275" s="147"/>
      <c r="E275" s="55"/>
      <c r="F275" s="55"/>
      <c r="G275" s="55"/>
      <c r="H275" s="55"/>
      <c r="I275" s="55"/>
      <c r="J275" s="55"/>
    </row>
    <row r="276" spans="2:10" ht="45" customHeight="1">
      <c r="B276" s="148" t="s">
        <v>344</v>
      </c>
      <c r="C276" s="148"/>
      <c r="D276" s="148"/>
      <c r="E276" s="55"/>
      <c r="F276" s="55"/>
      <c r="G276" s="55"/>
      <c r="H276" s="55"/>
      <c r="I276" s="55"/>
      <c r="J276" s="55"/>
    </row>
    <row r="277" spans="2:10">
      <c r="B277" s="54" t="s">
        <v>342</v>
      </c>
      <c r="C277" s="54"/>
      <c r="D277" s="54"/>
      <c r="E277" s="210">
        <v>159.8196123687151</v>
      </c>
      <c r="F277" s="210">
        <v>178.51899345251394</v>
      </c>
      <c r="G277" s="210">
        <v>162.43760130167595</v>
      </c>
      <c r="H277" s="210">
        <v>159.24972625698322</v>
      </c>
      <c r="I277" s="210">
        <v>111.47213687150837</v>
      </c>
      <c r="J277" s="210">
        <v>145.35207932960896</v>
      </c>
    </row>
    <row r="278" spans="2:10">
      <c r="B278" s="147" t="s">
        <v>341</v>
      </c>
      <c r="C278" s="147"/>
      <c r="D278" s="147"/>
      <c r="E278" s="210">
        <v>159.8196123687151</v>
      </c>
      <c r="F278" s="210">
        <v>178.51899345251394</v>
      </c>
      <c r="G278" s="210">
        <v>162.43760130167595</v>
      </c>
      <c r="H278" s="210">
        <v>159.24972625698322</v>
      </c>
      <c r="I278" s="210">
        <v>111.47213687150837</v>
      </c>
      <c r="J278" s="210">
        <v>145.35207932960896</v>
      </c>
    </row>
    <row r="279" spans="2:10">
      <c r="B279" s="147" t="s">
        <v>340</v>
      </c>
      <c r="C279" s="147"/>
      <c r="D279" s="147"/>
      <c r="E279" s="210">
        <v>0</v>
      </c>
      <c r="F279" s="210">
        <v>0</v>
      </c>
      <c r="G279" s="210">
        <v>0</v>
      </c>
      <c r="H279" s="210">
        <v>0</v>
      </c>
      <c r="I279" s="210">
        <v>0</v>
      </c>
      <c r="J279" s="210">
        <v>0</v>
      </c>
    </row>
    <row r="280" spans="2:10">
      <c r="B280" s="54" t="s">
        <v>339</v>
      </c>
      <c r="C280" s="54"/>
      <c r="D280" s="54"/>
      <c r="E280" s="210">
        <v>611.41910874860332</v>
      </c>
      <c r="F280" s="210">
        <v>578.27007572625689</v>
      </c>
      <c r="G280" s="210">
        <v>487.83422526815644</v>
      </c>
      <c r="H280" s="210">
        <v>571.49899497206707</v>
      </c>
      <c r="I280" s="210">
        <v>339.26931955307265</v>
      </c>
      <c r="J280" s="210">
        <v>578.63763910614523</v>
      </c>
    </row>
    <row r="281" spans="2:10">
      <c r="B281" s="54" t="s">
        <v>338</v>
      </c>
      <c r="C281" s="54"/>
      <c r="D281" s="54"/>
      <c r="E281" s="210">
        <v>0</v>
      </c>
      <c r="F281" s="210">
        <v>0</v>
      </c>
      <c r="G281" s="210">
        <v>0</v>
      </c>
      <c r="H281" s="210">
        <v>0</v>
      </c>
      <c r="I281" s="210">
        <v>0</v>
      </c>
      <c r="J281" s="210">
        <v>0</v>
      </c>
    </row>
    <row r="282" spans="2:10">
      <c r="B282" s="147" t="s">
        <v>337</v>
      </c>
      <c r="C282" s="147"/>
      <c r="D282" s="147"/>
      <c r="E282" s="210">
        <v>0</v>
      </c>
      <c r="F282" s="210">
        <v>0</v>
      </c>
      <c r="G282" s="210">
        <v>0</v>
      </c>
      <c r="H282" s="210">
        <v>0</v>
      </c>
      <c r="I282" s="210">
        <v>0</v>
      </c>
      <c r="J282" s="210">
        <v>0</v>
      </c>
    </row>
    <row r="283" spans="2:10">
      <c r="B283" s="147" t="s">
        <v>336</v>
      </c>
      <c r="C283" s="147"/>
      <c r="D283" s="147"/>
      <c r="E283" s="210">
        <v>0</v>
      </c>
      <c r="F283" s="210">
        <v>0</v>
      </c>
      <c r="G283" s="210">
        <v>0</v>
      </c>
      <c r="H283" s="210">
        <v>0</v>
      </c>
      <c r="I283" s="210">
        <v>0</v>
      </c>
      <c r="J283" s="210">
        <v>0</v>
      </c>
    </row>
    <row r="284" spans="2:10">
      <c r="B284" s="147" t="s">
        <v>335</v>
      </c>
      <c r="C284" s="147"/>
      <c r="D284" s="147"/>
      <c r="E284" s="210">
        <v>0</v>
      </c>
      <c r="F284" s="210">
        <v>0</v>
      </c>
      <c r="G284" s="210">
        <v>0</v>
      </c>
      <c r="H284" s="210">
        <v>0</v>
      </c>
      <c r="I284" s="210">
        <v>0</v>
      </c>
      <c r="J284" s="210">
        <v>0</v>
      </c>
    </row>
    <row r="285" spans="2:10">
      <c r="B285" s="147"/>
      <c r="C285" s="147"/>
      <c r="D285" s="147"/>
      <c r="E285" s="55"/>
      <c r="F285" s="55"/>
      <c r="G285" s="55"/>
      <c r="H285" s="55"/>
      <c r="I285" s="55"/>
      <c r="J285" s="55"/>
    </row>
    <row r="286" spans="2:10" ht="26">
      <c r="B286" s="148" t="s">
        <v>343</v>
      </c>
      <c r="C286" s="148"/>
      <c r="D286" s="148"/>
      <c r="E286" s="55"/>
      <c r="F286" s="55"/>
      <c r="G286" s="55"/>
      <c r="H286" s="55"/>
      <c r="I286" s="55"/>
      <c r="J286" s="55"/>
    </row>
    <row r="287" spans="2:10">
      <c r="B287" s="54" t="s">
        <v>342</v>
      </c>
      <c r="C287" s="54"/>
      <c r="D287" s="54"/>
      <c r="E287" s="210">
        <v>97.723026815642456</v>
      </c>
      <c r="F287" s="210">
        <v>104.37135464804469</v>
      </c>
      <c r="G287" s="210">
        <v>105.69045960893854</v>
      </c>
      <c r="H287" s="210">
        <v>110.10990391061453</v>
      </c>
      <c r="I287" s="210">
        <v>87.277621229050283</v>
      </c>
      <c r="J287" s="210">
        <v>88.496659776536305</v>
      </c>
    </row>
    <row r="288" spans="2:10">
      <c r="B288" s="147" t="s">
        <v>341</v>
      </c>
      <c r="C288" s="147"/>
      <c r="D288" s="147"/>
      <c r="E288" s="210">
        <v>97.723026815642456</v>
      </c>
      <c r="F288" s="210">
        <v>104.37135464804469</v>
      </c>
      <c r="G288" s="210">
        <v>105.69045960893854</v>
      </c>
      <c r="H288" s="210">
        <v>110.10990391061453</v>
      </c>
      <c r="I288" s="210">
        <v>87.277621229050283</v>
      </c>
      <c r="J288" s="210">
        <v>88.496659776536305</v>
      </c>
    </row>
    <row r="289" spans="2:10">
      <c r="B289" s="147" t="s">
        <v>340</v>
      </c>
      <c r="C289" s="147"/>
      <c r="D289" s="147"/>
      <c r="E289" s="210">
        <v>0</v>
      </c>
      <c r="F289" s="210">
        <v>0</v>
      </c>
      <c r="G289" s="210">
        <v>0</v>
      </c>
      <c r="H289" s="210">
        <v>0</v>
      </c>
      <c r="I289" s="210">
        <v>0</v>
      </c>
      <c r="J289" s="210">
        <v>0</v>
      </c>
    </row>
    <row r="290" spans="2:10">
      <c r="B290" s="54" t="s">
        <v>339</v>
      </c>
      <c r="C290" s="54"/>
      <c r="D290" s="54"/>
      <c r="E290" s="210">
        <v>223.08717302553072</v>
      </c>
      <c r="F290" s="210">
        <v>237.12125176290502</v>
      </c>
      <c r="G290" s="210">
        <v>262.89243550279332</v>
      </c>
      <c r="H290" s="210">
        <v>273.5225223463687</v>
      </c>
      <c r="I290" s="210">
        <v>177.13290614525138</v>
      </c>
      <c r="J290" s="210">
        <v>283.84577039106148</v>
      </c>
    </row>
    <row r="291" spans="2:10">
      <c r="B291" s="54" t="s">
        <v>338</v>
      </c>
      <c r="C291" s="54"/>
      <c r="D291" s="54"/>
      <c r="E291" s="210">
        <v>29.759858659217876</v>
      </c>
      <c r="F291" s="210">
        <v>27.768186592178768</v>
      </c>
      <c r="G291" s="210">
        <v>29.532150215810052</v>
      </c>
      <c r="H291" s="210">
        <v>30.641718994413409</v>
      </c>
      <c r="I291" s="210">
        <v>25.731665921787709</v>
      </c>
      <c r="J291" s="210">
        <v>31.659649162011171</v>
      </c>
    </row>
    <row r="292" spans="2:10">
      <c r="B292" s="147" t="s">
        <v>337</v>
      </c>
      <c r="C292" s="147"/>
      <c r="D292" s="147"/>
      <c r="E292" s="210">
        <v>0</v>
      </c>
      <c r="F292" s="210">
        <v>0</v>
      </c>
      <c r="G292" s="210">
        <v>0</v>
      </c>
      <c r="H292" s="210">
        <v>0</v>
      </c>
      <c r="I292" s="210">
        <v>0</v>
      </c>
      <c r="J292" s="210">
        <v>0</v>
      </c>
    </row>
    <row r="293" spans="2:10">
      <c r="B293" s="147" t="s">
        <v>336</v>
      </c>
      <c r="C293" s="147"/>
      <c r="D293" s="147"/>
      <c r="E293" s="210">
        <v>29.759858659217876</v>
      </c>
      <c r="F293" s="210">
        <v>27.768186592178768</v>
      </c>
      <c r="G293" s="210">
        <v>29.532150215810052</v>
      </c>
      <c r="H293" s="210">
        <v>30.641718994413409</v>
      </c>
      <c r="I293" s="210">
        <v>25.731665921787709</v>
      </c>
      <c r="J293" s="210">
        <v>31.659649162011171</v>
      </c>
    </row>
    <row r="294" spans="2:10" ht="15" thickBot="1">
      <c r="B294" s="146" t="s">
        <v>335</v>
      </c>
      <c r="C294" s="147"/>
      <c r="D294" s="147"/>
      <c r="E294" s="210">
        <v>0</v>
      </c>
      <c r="F294" s="210">
        <v>0</v>
      </c>
      <c r="G294" s="210">
        <v>0</v>
      </c>
      <c r="H294" s="210">
        <v>0</v>
      </c>
      <c r="I294" s="210">
        <v>0</v>
      </c>
      <c r="J294" s="210">
        <v>0</v>
      </c>
    </row>
    <row r="295" spans="2:10" ht="15" thickTop="1">
      <c r="B295" s="2023" t="s">
        <v>2107</v>
      </c>
      <c r="C295" s="2023"/>
      <c r="D295" s="2023"/>
      <c r="E295" s="2023"/>
      <c r="F295" s="2023"/>
      <c r="G295" s="2023"/>
      <c r="H295" s="2023"/>
      <c r="I295" s="2023"/>
      <c r="J295" s="2023"/>
    </row>
    <row r="296" spans="2:10">
      <c r="B296" s="64"/>
      <c r="C296" s="64"/>
      <c r="D296" s="64"/>
    </row>
    <row r="297" spans="2:10">
      <c r="B297" s="2024" t="s">
        <v>333</v>
      </c>
      <c r="C297" s="2024"/>
      <c r="D297" s="2024"/>
      <c r="E297" s="2024"/>
      <c r="F297" s="2024"/>
      <c r="G297" s="2024"/>
      <c r="H297" s="2024"/>
      <c r="I297" s="2024"/>
      <c r="J297" s="2024"/>
    </row>
    <row r="298" spans="2:10">
      <c r="B298" s="12" t="s">
        <v>332</v>
      </c>
      <c r="C298" s="12"/>
      <c r="D298" s="12"/>
    </row>
    <row r="299" spans="2:10">
      <c r="B299" s="62" t="s">
        <v>269</v>
      </c>
      <c r="C299" s="62"/>
      <c r="D299" s="62"/>
    </row>
    <row r="300" spans="2:10">
      <c r="B300" s="64"/>
      <c r="C300" s="64"/>
      <c r="D300" s="64"/>
    </row>
    <row r="301" spans="2:10">
      <c r="B301" s="61"/>
      <c r="C301" s="61"/>
      <c r="D301" s="61"/>
      <c r="E301" s="60">
        <v>2016</v>
      </c>
      <c r="F301" s="60">
        <v>2017</v>
      </c>
      <c r="G301" s="60">
        <v>2018</v>
      </c>
      <c r="H301" s="60">
        <v>2019</v>
      </c>
      <c r="I301" s="60">
        <v>2020</v>
      </c>
      <c r="J301" s="60">
        <v>2021</v>
      </c>
    </row>
    <row r="302" spans="2:10">
      <c r="B302" s="114" t="s">
        <v>310</v>
      </c>
      <c r="C302" s="114"/>
      <c r="D302" s="114"/>
    </row>
    <row r="303" spans="2:10">
      <c r="B303" s="114"/>
      <c r="C303" s="114"/>
      <c r="D303" s="114"/>
    </row>
    <row r="304" spans="2:10">
      <c r="B304" s="211" t="s">
        <v>2143</v>
      </c>
      <c r="C304" s="211"/>
      <c r="D304" s="211"/>
    </row>
    <row r="305" spans="2:10">
      <c r="B305" s="71" t="s">
        <v>331</v>
      </c>
      <c r="C305" s="71"/>
      <c r="D305" s="71"/>
      <c r="E305" s="75">
        <v>16</v>
      </c>
      <c r="F305" s="75">
        <v>16</v>
      </c>
      <c r="G305" s="75">
        <v>16</v>
      </c>
      <c r="H305" s="75">
        <v>16</v>
      </c>
      <c r="I305" s="75">
        <v>15</v>
      </c>
      <c r="J305" s="75">
        <v>15</v>
      </c>
    </row>
    <row r="306" spans="2:10">
      <c r="B306" s="133" t="s">
        <v>330</v>
      </c>
      <c r="C306" s="133"/>
      <c r="D306" s="133"/>
      <c r="E306" s="75">
        <v>16</v>
      </c>
      <c r="F306" s="75">
        <v>16</v>
      </c>
      <c r="G306" s="75">
        <v>16</v>
      </c>
      <c r="H306" s="75">
        <v>16</v>
      </c>
      <c r="I306" s="75">
        <v>15</v>
      </c>
      <c r="J306" s="75">
        <v>15</v>
      </c>
    </row>
    <row r="307" spans="2:10">
      <c r="B307" s="52" t="s">
        <v>260</v>
      </c>
      <c r="C307" s="52"/>
      <c r="D307" s="52"/>
      <c r="E307" s="75">
        <v>15</v>
      </c>
      <c r="F307" s="75">
        <v>15</v>
      </c>
      <c r="G307" s="75">
        <v>15</v>
      </c>
      <c r="H307" s="75">
        <v>15</v>
      </c>
      <c r="I307" s="75">
        <v>14</v>
      </c>
      <c r="J307" s="75">
        <v>14</v>
      </c>
    </row>
    <row r="308" spans="2:10">
      <c r="B308" s="52" t="s">
        <v>329</v>
      </c>
      <c r="C308" s="52"/>
      <c r="D308" s="52"/>
      <c r="E308" s="75">
        <v>1</v>
      </c>
      <c r="F308" s="75">
        <v>1</v>
      </c>
      <c r="G308" s="75">
        <v>1</v>
      </c>
      <c r="H308" s="75">
        <v>1</v>
      </c>
      <c r="I308" s="75">
        <v>1</v>
      </c>
      <c r="J308" s="75">
        <v>1</v>
      </c>
    </row>
    <row r="309" spans="2:10">
      <c r="B309" s="52" t="s">
        <v>328</v>
      </c>
      <c r="C309" s="52"/>
      <c r="D309" s="52"/>
      <c r="E309" s="75">
        <v>0</v>
      </c>
      <c r="F309" s="75">
        <v>0</v>
      </c>
      <c r="G309" s="75">
        <v>0</v>
      </c>
      <c r="H309" s="75">
        <v>0</v>
      </c>
      <c r="I309" s="75">
        <v>0</v>
      </c>
      <c r="J309" s="75">
        <v>0</v>
      </c>
    </row>
    <row r="310" spans="2:10">
      <c r="B310" s="136" t="s">
        <v>327</v>
      </c>
      <c r="C310" s="136"/>
      <c r="D310" s="136"/>
      <c r="E310" s="75">
        <v>0</v>
      </c>
      <c r="F310" s="75">
        <v>0</v>
      </c>
      <c r="G310" s="75">
        <v>0</v>
      </c>
      <c r="H310" s="75">
        <v>0</v>
      </c>
      <c r="I310" s="75">
        <v>0</v>
      </c>
      <c r="J310" s="75">
        <v>0</v>
      </c>
    </row>
    <row r="311" spans="2:10">
      <c r="B311" s="136" t="s">
        <v>326</v>
      </c>
      <c r="C311" s="136"/>
      <c r="D311" s="136"/>
      <c r="E311" s="75">
        <v>0</v>
      </c>
      <c r="F311" s="75">
        <v>0</v>
      </c>
      <c r="G311" s="75">
        <v>0</v>
      </c>
      <c r="H311" s="75">
        <v>0</v>
      </c>
      <c r="I311" s="75">
        <v>0</v>
      </c>
      <c r="J311" s="75">
        <v>0</v>
      </c>
    </row>
    <row r="312" spans="2:10">
      <c r="B312" s="136" t="s">
        <v>325</v>
      </c>
      <c r="C312" s="136"/>
      <c r="D312" s="136"/>
      <c r="E312" s="75">
        <v>0</v>
      </c>
      <c r="F312" s="75">
        <v>0</v>
      </c>
      <c r="G312" s="75">
        <v>0</v>
      </c>
      <c r="H312" s="75">
        <v>0</v>
      </c>
      <c r="I312" s="75">
        <v>0</v>
      </c>
      <c r="J312" s="75">
        <v>0</v>
      </c>
    </row>
    <row r="313" spans="2:10">
      <c r="B313" s="136" t="s">
        <v>323</v>
      </c>
      <c r="C313" s="136"/>
      <c r="D313" s="136"/>
      <c r="E313" s="75">
        <v>0</v>
      </c>
      <c r="F313" s="75">
        <v>0</v>
      </c>
      <c r="G313" s="75">
        <v>0</v>
      </c>
      <c r="H313" s="75">
        <v>0</v>
      </c>
      <c r="I313" s="75">
        <v>0</v>
      </c>
      <c r="J313" s="75">
        <v>0</v>
      </c>
    </row>
    <row r="314" spans="2:10">
      <c r="B314" s="136" t="s">
        <v>117</v>
      </c>
      <c r="C314" s="136"/>
      <c r="D314" s="136"/>
      <c r="E314" s="75">
        <v>0</v>
      </c>
      <c r="F314" s="75">
        <v>0</v>
      </c>
      <c r="G314" s="75">
        <v>0</v>
      </c>
      <c r="H314" s="75">
        <v>0</v>
      </c>
      <c r="I314" s="75">
        <v>0</v>
      </c>
      <c r="J314" s="75">
        <v>0</v>
      </c>
    </row>
    <row r="315" spans="2:10">
      <c r="B315" s="133" t="s">
        <v>322</v>
      </c>
      <c r="C315" s="133"/>
      <c r="D315" s="133"/>
      <c r="E315" s="75">
        <v>0</v>
      </c>
      <c r="F315" s="75">
        <v>0</v>
      </c>
      <c r="G315" s="75">
        <v>0</v>
      </c>
      <c r="H315" s="75">
        <v>0</v>
      </c>
      <c r="I315" s="75">
        <v>0</v>
      </c>
      <c r="J315" s="75">
        <v>0</v>
      </c>
    </row>
    <row r="316" spans="2:10">
      <c r="B316" s="133"/>
      <c r="C316" s="133"/>
      <c r="D316" s="133"/>
      <c r="E316" s="3"/>
      <c r="F316" s="3"/>
      <c r="G316" s="3"/>
      <c r="H316" s="3"/>
      <c r="I316" s="3"/>
      <c r="J316" s="3"/>
    </row>
    <row r="317" spans="2:10">
      <c r="B317" s="212" t="s">
        <v>485</v>
      </c>
      <c r="C317" s="212"/>
      <c r="D317" s="212"/>
      <c r="E317" s="3"/>
      <c r="F317" s="3"/>
      <c r="G317" s="3"/>
      <c r="H317" s="3"/>
      <c r="I317" s="3"/>
      <c r="J317" s="3"/>
    </row>
    <row r="318" spans="2:10">
      <c r="B318" s="133"/>
      <c r="C318" s="133"/>
      <c r="D318" s="133"/>
      <c r="E318" s="3"/>
      <c r="F318" s="3"/>
      <c r="G318" s="3"/>
      <c r="H318" s="3"/>
      <c r="I318" s="3"/>
      <c r="J318" s="3"/>
    </row>
    <row r="319" spans="2:10">
      <c r="B319" s="211" t="s">
        <v>2144</v>
      </c>
      <c r="C319" s="211"/>
      <c r="D319" s="211"/>
    </row>
    <row r="320" spans="2:10">
      <c r="B320" s="71" t="s">
        <v>331</v>
      </c>
      <c r="C320" s="71"/>
      <c r="D320" s="71"/>
      <c r="E320" s="75">
        <v>16</v>
      </c>
      <c r="F320" s="75">
        <v>16</v>
      </c>
      <c r="G320" s="75">
        <v>16</v>
      </c>
      <c r="H320" s="75">
        <v>16</v>
      </c>
      <c r="I320" s="75">
        <v>15</v>
      </c>
      <c r="J320" s="75">
        <v>15</v>
      </c>
    </row>
    <row r="321" spans="2:10">
      <c r="B321" s="133" t="s">
        <v>330</v>
      </c>
      <c r="C321" s="133"/>
      <c r="D321" s="133"/>
      <c r="E321" s="75">
        <v>16</v>
      </c>
      <c r="F321" s="75">
        <v>16</v>
      </c>
      <c r="G321" s="75">
        <v>16</v>
      </c>
      <c r="H321" s="75">
        <v>16</v>
      </c>
      <c r="I321" s="75">
        <v>15</v>
      </c>
      <c r="J321" s="75">
        <v>15</v>
      </c>
    </row>
    <row r="322" spans="2:10">
      <c r="B322" s="52" t="s">
        <v>260</v>
      </c>
      <c r="C322" s="52"/>
      <c r="D322" s="52"/>
      <c r="E322" s="75">
        <v>15</v>
      </c>
      <c r="F322" s="75">
        <v>15</v>
      </c>
      <c r="G322" s="75">
        <v>15</v>
      </c>
      <c r="H322" s="75">
        <v>15</v>
      </c>
      <c r="I322" s="75">
        <v>14</v>
      </c>
      <c r="J322" s="75">
        <v>14</v>
      </c>
    </row>
    <row r="323" spans="2:10">
      <c r="B323" s="52" t="s">
        <v>329</v>
      </c>
      <c r="C323" s="52"/>
      <c r="D323" s="52"/>
      <c r="E323" s="75">
        <v>1</v>
      </c>
      <c r="F323" s="75">
        <v>1</v>
      </c>
      <c r="G323" s="75">
        <v>1</v>
      </c>
      <c r="H323" s="75">
        <v>1</v>
      </c>
      <c r="I323" s="75">
        <v>1</v>
      </c>
      <c r="J323" s="75">
        <v>1</v>
      </c>
    </row>
    <row r="324" spans="2:10">
      <c r="B324" s="52" t="s">
        <v>328</v>
      </c>
      <c r="C324" s="52"/>
      <c r="D324" s="52"/>
      <c r="E324" s="75">
        <v>0</v>
      </c>
      <c r="F324" s="75">
        <v>0</v>
      </c>
      <c r="G324" s="75">
        <v>0</v>
      </c>
      <c r="H324" s="75">
        <v>0</v>
      </c>
      <c r="I324" s="75">
        <v>0</v>
      </c>
      <c r="J324" s="75">
        <v>0</v>
      </c>
    </row>
    <row r="325" spans="2:10">
      <c r="B325" s="136" t="s">
        <v>327</v>
      </c>
      <c r="C325" s="136"/>
      <c r="D325" s="136"/>
      <c r="E325" s="75">
        <v>0</v>
      </c>
      <c r="F325" s="75">
        <v>0</v>
      </c>
      <c r="G325" s="75">
        <v>0</v>
      </c>
      <c r="H325" s="75">
        <v>0</v>
      </c>
      <c r="I325" s="75">
        <v>0</v>
      </c>
      <c r="J325" s="75">
        <v>0</v>
      </c>
    </row>
    <row r="326" spans="2:10">
      <c r="B326" s="136" t="s">
        <v>326</v>
      </c>
      <c r="C326" s="136"/>
      <c r="D326" s="136"/>
      <c r="E326" s="75">
        <v>0</v>
      </c>
      <c r="F326" s="75">
        <v>0</v>
      </c>
      <c r="G326" s="75">
        <v>0</v>
      </c>
      <c r="H326" s="75">
        <v>0</v>
      </c>
      <c r="I326" s="75">
        <v>0</v>
      </c>
      <c r="J326" s="75">
        <v>0</v>
      </c>
    </row>
    <row r="327" spans="2:10">
      <c r="B327" s="136" t="s">
        <v>325</v>
      </c>
      <c r="C327" s="136"/>
      <c r="D327" s="136"/>
      <c r="E327" s="75">
        <v>0</v>
      </c>
      <c r="F327" s="75">
        <v>0</v>
      </c>
      <c r="G327" s="75">
        <v>0</v>
      </c>
      <c r="H327" s="75">
        <v>0</v>
      </c>
      <c r="I327" s="75">
        <v>0</v>
      </c>
      <c r="J327" s="75">
        <v>0</v>
      </c>
    </row>
    <row r="328" spans="2:10">
      <c r="B328" s="136" t="s">
        <v>323</v>
      </c>
      <c r="C328" s="136"/>
      <c r="D328" s="136"/>
      <c r="E328" s="75">
        <v>0</v>
      </c>
      <c r="F328" s="75">
        <v>0</v>
      </c>
      <c r="G328" s="75">
        <v>0</v>
      </c>
      <c r="H328" s="75">
        <v>0</v>
      </c>
      <c r="I328" s="75">
        <v>0</v>
      </c>
      <c r="J328" s="75">
        <v>0</v>
      </c>
    </row>
    <row r="329" spans="2:10">
      <c r="B329" s="136" t="s">
        <v>117</v>
      </c>
      <c r="C329" s="136"/>
      <c r="D329" s="136"/>
      <c r="E329" s="75">
        <v>0</v>
      </c>
      <c r="F329" s="75">
        <v>0</v>
      </c>
      <c r="G329" s="75">
        <v>0</v>
      </c>
      <c r="H329" s="75">
        <v>0</v>
      </c>
      <c r="I329" s="75">
        <v>0</v>
      </c>
      <c r="J329" s="75">
        <v>0</v>
      </c>
    </row>
    <row r="330" spans="2:10" ht="15" thickBot="1">
      <c r="B330" s="133" t="s">
        <v>322</v>
      </c>
      <c r="C330" s="133"/>
      <c r="D330" s="133"/>
      <c r="E330" s="75">
        <v>0</v>
      </c>
      <c r="F330" s="75">
        <v>0</v>
      </c>
      <c r="G330" s="75">
        <v>0</v>
      </c>
      <c r="H330" s="75">
        <v>0</v>
      </c>
      <c r="I330" s="75">
        <v>0</v>
      </c>
      <c r="J330" s="75">
        <v>0</v>
      </c>
    </row>
    <row r="331" spans="2:10" ht="15" thickTop="1">
      <c r="B331" s="2023" t="s">
        <v>2090</v>
      </c>
      <c r="C331" s="2023"/>
      <c r="D331" s="2023"/>
      <c r="E331" s="2023"/>
      <c r="F331" s="2023"/>
      <c r="G331" s="2023"/>
      <c r="H331" s="2023"/>
      <c r="I331" s="2023"/>
      <c r="J331" s="2023"/>
    </row>
    <row r="332" spans="2:10">
      <c r="B332" s="64"/>
      <c r="C332" s="64"/>
      <c r="D332" s="64"/>
    </row>
    <row r="333" spans="2:10">
      <c r="B333" s="2024" t="s">
        <v>320</v>
      </c>
      <c r="C333" s="2024"/>
      <c r="D333" s="2024"/>
      <c r="E333" s="2024"/>
      <c r="F333" s="2024"/>
      <c r="G333" s="2024"/>
      <c r="H333" s="2024"/>
      <c r="I333" s="2024"/>
      <c r="J333" s="2024"/>
    </row>
    <row r="334" spans="2:10">
      <c r="B334" s="12" t="s">
        <v>319</v>
      </c>
      <c r="C334" s="12"/>
      <c r="D334" s="12"/>
    </row>
    <row r="335" spans="2:10">
      <c r="B335" s="62" t="s">
        <v>242</v>
      </c>
      <c r="C335" s="62"/>
      <c r="D335" s="62"/>
    </row>
    <row r="336" spans="2:10">
      <c r="B336" s="64"/>
      <c r="C336" s="64"/>
      <c r="D336" s="64"/>
    </row>
    <row r="337" spans="2:10">
      <c r="B337" s="61"/>
      <c r="C337" s="61"/>
      <c r="D337" s="61"/>
      <c r="E337" s="60">
        <v>2016</v>
      </c>
      <c r="F337" s="60">
        <v>2017</v>
      </c>
      <c r="G337" s="60">
        <v>2018</v>
      </c>
      <c r="H337" s="60">
        <v>2019</v>
      </c>
      <c r="I337" s="60">
        <v>2020</v>
      </c>
      <c r="J337" s="60">
        <v>2021</v>
      </c>
    </row>
    <row r="338" spans="2:10">
      <c r="B338" s="114" t="s">
        <v>310</v>
      </c>
      <c r="C338" s="114"/>
      <c r="D338" s="114"/>
      <c r="E338" s="213"/>
      <c r="F338" s="213"/>
      <c r="G338" s="213"/>
      <c r="H338" s="213"/>
      <c r="I338" s="213"/>
      <c r="J338" s="213"/>
    </row>
    <row r="339" spans="2:10">
      <c r="B339" s="114"/>
      <c r="C339" s="114"/>
      <c r="D339" s="114"/>
      <c r="E339" s="217"/>
      <c r="F339" s="217"/>
      <c r="G339" s="217"/>
      <c r="H339" s="217"/>
      <c r="I339" s="217"/>
      <c r="J339" s="217"/>
    </row>
    <row r="340" spans="2:10">
      <c r="B340" s="148" t="s">
        <v>2143</v>
      </c>
      <c r="C340" s="148"/>
      <c r="D340" s="148"/>
      <c r="E340" s="217"/>
      <c r="F340" s="217"/>
      <c r="G340" s="217"/>
      <c r="H340" s="217"/>
      <c r="I340" s="217"/>
      <c r="J340" s="217"/>
    </row>
    <row r="341" spans="2:10">
      <c r="B341" s="71" t="s">
        <v>297</v>
      </c>
      <c r="C341" s="71"/>
      <c r="D341" s="71"/>
      <c r="E341" s="98">
        <v>1.7999999999999999E-2</v>
      </c>
      <c r="F341" s="98">
        <v>1.7999999999999999E-2</v>
      </c>
      <c r="G341" s="98">
        <v>1.9E-2</v>
      </c>
      <c r="H341" s="98">
        <v>2.1000000000000001E-2</v>
      </c>
      <c r="I341" s="98">
        <v>2.1999999999999999E-2</v>
      </c>
      <c r="J341" s="98">
        <v>0.02</v>
      </c>
    </row>
    <row r="342" spans="2:10">
      <c r="B342" s="133" t="s">
        <v>296</v>
      </c>
      <c r="C342" s="133"/>
      <c r="D342" s="133"/>
      <c r="E342" s="216">
        <v>1.7999999999999999E-2</v>
      </c>
      <c r="F342" s="216">
        <v>1.7999999999999999E-2</v>
      </c>
      <c r="G342" s="216">
        <v>1.9E-2</v>
      </c>
      <c r="H342" s="216">
        <v>2.1000000000000001E-2</v>
      </c>
      <c r="I342" s="216">
        <v>2.1999999999999999E-2</v>
      </c>
      <c r="J342" s="216">
        <v>0.02</v>
      </c>
    </row>
    <row r="343" spans="2:10">
      <c r="B343" s="132" t="s">
        <v>295</v>
      </c>
      <c r="C343" s="132"/>
      <c r="D343" s="132"/>
      <c r="E343" s="385">
        <v>0</v>
      </c>
      <c r="F343" s="385">
        <v>0</v>
      </c>
      <c r="G343" s="385">
        <v>0</v>
      </c>
      <c r="H343" s="385">
        <v>0</v>
      </c>
      <c r="I343" s="385">
        <v>0</v>
      </c>
      <c r="J343" s="385">
        <v>0</v>
      </c>
    </row>
    <row r="344" spans="2:10">
      <c r="B344" s="132" t="s">
        <v>303</v>
      </c>
      <c r="C344" s="132"/>
      <c r="D344" s="132"/>
      <c r="E344" s="385">
        <v>0</v>
      </c>
      <c r="F344" s="385">
        <v>0</v>
      </c>
      <c r="G344" s="385">
        <v>0</v>
      </c>
      <c r="H344" s="385">
        <v>0</v>
      </c>
      <c r="I344" s="385">
        <v>0</v>
      </c>
      <c r="J344" s="385">
        <v>0</v>
      </c>
    </row>
    <row r="345" spans="2:10">
      <c r="B345" s="65" t="s">
        <v>287</v>
      </c>
      <c r="C345" s="65"/>
      <c r="D345" s="65"/>
      <c r="E345" s="214">
        <v>0</v>
      </c>
      <c r="F345" s="214">
        <v>0</v>
      </c>
      <c r="G345" s="214">
        <v>0</v>
      </c>
      <c r="H345" s="214">
        <v>0</v>
      </c>
      <c r="I345" s="214">
        <v>0</v>
      </c>
      <c r="J345" s="102">
        <v>78.37</v>
      </c>
    </row>
    <row r="346" spans="2:10">
      <c r="B346" s="136"/>
      <c r="C346" s="136"/>
      <c r="D346" s="136"/>
      <c r="E346" s="217"/>
      <c r="F346" s="217"/>
      <c r="G346" s="217"/>
      <c r="H346" s="217"/>
      <c r="I346" s="217"/>
      <c r="J346" s="217"/>
    </row>
    <row r="347" spans="2:10">
      <c r="B347" s="114" t="s">
        <v>302</v>
      </c>
      <c r="C347" s="114"/>
      <c r="D347" s="114"/>
      <c r="E347" s="217"/>
      <c r="F347" s="217"/>
      <c r="G347" s="217"/>
      <c r="H347" s="217"/>
      <c r="I347" s="217"/>
      <c r="J347" s="217"/>
    </row>
    <row r="348" spans="2:10">
      <c r="B348" s="136"/>
      <c r="C348" s="136"/>
      <c r="D348" s="136"/>
      <c r="E348" s="217"/>
      <c r="F348" s="217"/>
      <c r="G348" s="217"/>
      <c r="H348" s="217"/>
      <c r="I348" s="217"/>
      <c r="J348" s="217"/>
    </row>
    <row r="349" spans="2:10">
      <c r="B349" s="148" t="s">
        <v>2144</v>
      </c>
      <c r="C349" s="148"/>
      <c r="D349" s="148"/>
      <c r="E349" s="217"/>
      <c r="F349" s="217"/>
      <c r="G349" s="217"/>
      <c r="H349" s="217"/>
      <c r="I349" s="217"/>
      <c r="J349" s="217"/>
    </row>
    <row r="350" spans="2:10">
      <c r="B350" s="71" t="s">
        <v>297</v>
      </c>
      <c r="C350" s="71"/>
      <c r="D350" s="71"/>
      <c r="E350" s="102"/>
      <c r="F350" s="102"/>
      <c r="G350" s="102"/>
      <c r="H350" s="102"/>
      <c r="I350" s="102"/>
      <c r="J350" s="102"/>
    </row>
    <row r="351" spans="2:10">
      <c r="B351" s="133" t="s">
        <v>296</v>
      </c>
      <c r="C351" s="133"/>
      <c r="D351" s="133"/>
      <c r="E351" s="102">
        <v>1.669</v>
      </c>
      <c r="F351" s="102">
        <v>1.637</v>
      </c>
      <c r="G351" s="102">
        <v>1.677</v>
      </c>
      <c r="H351" s="102">
        <v>1.7589999999999999</v>
      </c>
      <c r="I351" s="102">
        <v>1.61</v>
      </c>
      <c r="J351" s="102">
        <v>1.68</v>
      </c>
    </row>
    <row r="352" spans="2:10">
      <c r="B352" s="131" t="s">
        <v>294</v>
      </c>
      <c r="C352" s="131"/>
      <c r="D352" s="131"/>
      <c r="E352" s="102">
        <v>1.06</v>
      </c>
      <c r="F352" s="102">
        <v>1.147</v>
      </c>
      <c r="G352" s="102">
        <v>1.2470000000000001</v>
      </c>
      <c r="H352" s="102">
        <v>1.3819999999999999</v>
      </c>
      <c r="I352" s="102">
        <v>1.401</v>
      </c>
      <c r="J352" s="102">
        <v>1.52</v>
      </c>
    </row>
    <row r="353" spans="2:10">
      <c r="B353" s="131" t="s">
        <v>293</v>
      </c>
      <c r="C353" s="131"/>
      <c r="D353" s="131"/>
      <c r="E353" s="102">
        <v>0</v>
      </c>
      <c r="F353" s="102">
        <v>0</v>
      </c>
      <c r="G353" s="102">
        <v>0</v>
      </c>
      <c r="H353" s="102">
        <v>0</v>
      </c>
      <c r="I353" s="102">
        <v>0</v>
      </c>
      <c r="J353" s="102">
        <v>0</v>
      </c>
    </row>
    <row r="354" spans="2:10">
      <c r="B354" s="131" t="s">
        <v>292</v>
      </c>
      <c r="C354" s="131"/>
      <c r="D354" s="131"/>
      <c r="E354" s="102">
        <v>0</v>
      </c>
      <c r="F354" s="102">
        <v>0</v>
      </c>
      <c r="G354" s="102">
        <v>0</v>
      </c>
      <c r="H354" s="102">
        <v>0</v>
      </c>
      <c r="I354" s="102">
        <v>0</v>
      </c>
      <c r="J354" s="102">
        <v>0</v>
      </c>
    </row>
    <row r="355" spans="2:10">
      <c r="B355" s="131" t="s">
        <v>291</v>
      </c>
      <c r="C355" s="131"/>
      <c r="D355" s="131"/>
      <c r="E355" s="102">
        <v>0</v>
      </c>
      <c r="F355" s="102">
        <v>0</v>
      </c>
      <c r="G355" s="102">
        <v>0</v>
      </c>
      <c r="H355" s="102">
        <v>0</v>
      </c>
      <c r="I355" s="102">
        <v>0</v>
      </c>
      <c r="J355" s="102">
        <v>0</v>
      </c>
    </row>
    <row r="356" spans="2:10">
      <c r="B356" s="131" t="s">
        <v>290</v>
      </c>
      <c r="C356" s="131"/>
      <c r="D356" s="131"/>
      <c r="E356" s="102">
        <v>0</v>
      </c>
      <c r="F356" s="102">
        <v>0</v>
      </c>
      <c r="G356" s="102">
        <v>0</v>
      </c>
      <c r="H356" s="102">
        <v>0</v>
      </c>
      <c r="I356" s="102">
        <v>0</v>
      </c>
      <c r="J356" s="102">
        <v>0</v>
      </c>
    </row>
    <row r="357" spans="2:10">
      <c r="B357" s="131" t="s">
        <v>289</v>
      </c>
      <c r="C357" s="131"/>
      <c r="D357" s="131"/>
      <c r="E357" s="102">
        <v>0.60899999999999999</v>
      </c>
      <c r="F357" s="102">
        <v>0.49</v>
      </c>
      <c r="G357" s="102">
        <v>0.43</v>
      </c>
      <c r="H357" s="102">
        <v>0.376</v>
      </c>
      <c r="I357" s="102">
        <v>0.20899999999999999</v>
      </c>
      <c r="J357" s="102">
        <v>0.16</v>
      </c>
    </row>
    <row r="358" spans="2:10">
      <c r="B358" s="131" t="s">
        <v>288</v>
      </c>
      <c r="C358" s="131"/>
      <c r="D358" s="131"/>
      <c r="E358" s="102">
        <v>0</v>
      </c>
      <c r="F358" s="102">
        <v>0</v>
      </c>
      <c r="G358" s="102">
        <v>0</v>
      </c>
      <c r="H358" s="102">
        <v>0</v>
      </c>
      <c r="I358" s="102">
        <v>0</v>
      </c>
      <c r="J358" s="102">
        <v>0</v>
      </c>
    </row>
    <row r="359" spans="2:10">
      <c r="B359" s="132" t="s">
        <v>295</v>
      </c>
      <c r="C359" s="132"/>
      <c r="D359" s="132"/>
      <c r="E359" s="102">
        <v>0</v>
      </c>
      <c r="F359" s="102">
        <v>0</v>
      </c>
      <c r="G359" s="102">
        <v>0</v>
      </c>
      <c r="H359" s="102">
        <v>0</v>
      </c>
      <c r="I359" s="102">
        <v>0</v>
      </c>
      <c r="J359" s="102">
        <v>0</v>
      </c>
    </row>
    <row r="360" spans="2:10">
      <c r="B360" s="131" t="s">
        <v>294</v>
      </c>
      <c r="C360" s="131"/>
      <c r="D360" s="131"/>
      <c r="E360" s="102">
        <v>0</v>
      </c>
      <c r="F360" s="102">
        <v>0</v>
      </c>
      <c r="G360" s="102">
        <v>0</v>
      </c>
      <c r="H360" s="102">
        <v>0</v>
      </c>
      <c r="I360" s="102">
        <v>0</v>
      </c>
      <c r="J360" s="102">
        <v>0</v>
      </c>
    </row>
    <row r="361" spans="2:10">
      <c r="B361" s="131" t="s">
        <v>293</v>
      </c>
      <c r="C361" s="131"/>
      <c r="D361" s="131"/>
      <c r="E361" s="102">
        <v>0</v>
      </c>
      <c r="F361" s="102">
        <v>0</v>
      </c>
      <c r="G361" s="102">
        <v>0</v>
      </c>
      <c r="H361" s="102">
        <v>0</v>
      </c>
      <c r="I361" s="102">
        <v>0</v>
      </c>
      <c r="J361" s="102">
        <v>0</v>
      </c>
    </row>
    <row r="362" spans="2:10">
      <c r="B362" s="131" t="s">
        <v>292</v>
      </c>
      <c r="C362" s="131"/>
      <c r="D362" s="131"/>
      <c r="E362" s="102">
        <v>0</v>
      </c>
      <c r="F362" s="102">
        <v>0</v>
      </c>
      <c r="G362" s="102">
        <v>0</v>
      </c>
      <c r="H362" s="102">
        <v>0</v>
      </c>
      <c r="I362" s="102">
        <v>0</v>
      </c>
      <c r="J362" s="102">
        <v>0</v>
      </c>
    </row>
    <row r="363" spans="2:10">
      <c r="B363" s="131" t="s">
        <v>291</v>
      </c>
      <c r="C363" s="131"/>
      <c r="D363" s="131"/>
      <c r="E363" s="102">
        <v>0</v>
      </c>
      <c r="F363" s="102">
        <v>0</v>
      </c>
      <c r="G363" s="102">
        <v>0</v>
      </c>
      <c r="H363" s="102">
        <v>0</v>
      </c>
      <c r="I363" s="102">
        <v>0</v>
      </c>
      <c r="J363" s="102">
        <v>0</v>
      </c>
    </row>
    <row r="364" spans="2:10">
      <c r="B364" s="131" t="s">
        <v>290</v>
      </c>
      <c r="C364" s="131"/>
      <c r="D364" s="131"/>
      <c r="E364" s="102">
        <v>0</v>
      </c>
      <c r="F364" s="102">
        <v>0</v>
      </c>
      <c r="G364" s="102">
        <v>0</v>
      </c>
      <c r="H364" s="102">
        <v>0</v>
      </c>
      <c r="I364" s="102">
        <v>0</v>
      </c>
      <c r="J364" s="102">
        <v>0</v>
      </c>
    </row>
    <row r="365" spans="2:10">
      <c r="B365" s="131" t="s">
        <v>289</v>
      </c>
      <c r="C365" s="131"/>
      <c r="D365" s="131"/>
      <c r="E365" s="102">
        <v>0</v>
      </c>
      <c r="F365" s="102">
        <v>0</v>
      </c>
      <c r="G365" s="102">
        <v>0</v>
      </c>
      <c r="H365" s="102">
        <v>0</v>
      </c>
      <c r="I365" s="102">
        <v>0</v>
      </c>
      <c r="J365" s="102">
        <v>0</v>
      </c>
    </row>
    <row r="366" spans="2:10">
      <c r="B366" s="131" t="s">
        <v>288</v>
      </c>
      <c r="C366" s="131"/>
      <c r="D366" s="131"/>
      <c r="E366" s="102">
        <v>0</v>
      </c>
      <c r="F366" s="102">
        <v>0</v>
      </c>
      <c r="G366" s="102">
        <v>0</v>
      </c>
      <c r="H366" s="102">
        <v>0</v>
      </c>
      <c r="I366" s="102">
        <v>0</v>
      </c>
      <c r="J366" s="102">
        <v>0</v>
      </c>
    </row>
    <row r="367" spans="2:10" ht="15" thickBot="1">
      <c r="B367" s="65" t="s">
        <v>287</v>
      </c>
      <c r="C367" s="65"/>
      <c r="D367" s="65"/>
      <c r="E367" s="102">
        <v>0</v>
      </c>
      <c r="F367" s="102">
        <v>0</v>
      </c>
      <c r="G367" s="102">
        <v>0</v>
      </c>
      <c r="H367" s="102">
        <v>0</v>
      </c>
      <c r="I367" s="102">
        <v>0</v>
      </c>
      <c r="J367" s="102">
        <v>74.92</v>
      </c>
    </row>
    <row r="368" spans="2:10" ht="15" thickTop="1">
      <c r="B368" s="2023" t="s">
        <v>2090</v>
      </c>
      <c r="C368" s="2023"/>
      <c r="D368" s="2023"/>
      <c r="E368" s="2023"/>
      <c r="F368" s="2023"/>
      <c r="G368" s="2023"/>
      <c r="H368" s="2023"/>
      <c r="I368" s="2023"/>
      <c r="J368" s="2023"/>
    </row>
    <row r="369" spans="2:10">
      <c r="B369" s="64"/>
      <c r="C369" s="64"/>
      <c r="D369" s="64"/>
    </row>
    <row r="370" spans="2:10">
      <c r="B370" s="2024" t="s">
        <v>313</v>
      </c>
      <c r="C370" s="2024"/>
      <c r="D370" s="2024"/>
      <c r="E370" s="2024"/>
      <c r="F370" s="2024"/>
      <c r="G370" s="2024"/>
      <c r="H370" s="2024"/>
      <c r="I370" s="2024"/>
      <c r="J370" s="2024"/>
    </row>
    <row r="371" spans="2:10">
      <c r="B371" s="12" t="s">
        <v>312</v>
      </c>
      <c r="C371" s="12"/>
      <c r="D371" s="12"/>
    </row>
    <row r="372" spans="2:10">
      <c r="B372" s="62" t="s">
        <v>311</v>
      </c>
      <c r="C372" s="62"/>
      <c r="D372" s="62"/>
    </row>
    <row r="373" spans="2:10">
      <c r="B373" s="64"/>
      <c r="C373" s="64"/>
      <c r="D373" s="64"/>
    </row>
    <row r="374" spans="2:10">
      <c r="B374" s="61"/>
      <c r="C374" s="61"/>
      <c r="D374" s="61"/>
      <c r="E374" s="60">
        <v>2016</v>
      </c>
      <c r="F374" s="60">
        <v>2017</v>
      </c>
      <c r="G374" s="60">
        <v>2018</v>
      </c>
      <c r="H374" s="60">
        <v>2019</v>
      </c>
      <c r="I374" s="60">
        <v>2020</v>
      </c>
      <c r="J374" s="60">
        <v>2021</v>
      </c>
    </row>
    <row r="375" spans="2:10">
      <c r="B375" s="114" t="s">
        <v>310</v>
      </c>
      <c r="C375" s="114"/>
      <c r="D375" s="114"/>
      <c r="E375" s="221"/>
      <c r="F375" s="221"/>
      <c r="G375" s="221"/>
      <c r="H375" s="221"/>
      <c r="I375" s="221"/>
      <c r="J375" s="221"/>
    </row>
    <row r="376" spans="2:10">
      <c r="B376" s="114"/>
      <c r="C376" s="114"/>
      <c r="D376" s="114"/>
      <c r="E376" s="221"/>
      <c r="F376" s="221"/>
      <c r="G376" s="221"/>
      <c r="H376" s="221"/>
      <c r="I376" s="221"/>
      <c r="J376" s="221"/>
    </row>
    <row r="377" spans="2:10">
      <c r="B377" s="211" t="s">
        <v>2143</v>
      </c>
      <c r="C377" s="211"/>
      <c r="D377" s="211"/>
      <c r="E377" s="217"/>
      <c r="F377" s="217"/>
      <c r="G377" s="217"/>
      <c r="H377" s="217"/>
      <c r="I377" s="217"/>
      <c r="J377" s="217"/>
    </row>
    <row r="378" spans="2:10">
      <c r="B378" s="71" t="s">
        <v>297</v>
      </c>
      <c r="C378" s="71"/>
      <c r="D378" s="71"/>
      <c r="E378" s="1724">
        <v>2452.6217877094973</v>
      </c>
      <c r="F378" s="1724">
        <v>2370.0888268156423</v>
      </c>
      <c r="G378" s="1724">
        <v>2784.9581005586592</v>
      </c>
      <c r="H378" s="1724">
        <v>2316.3167597765364</v>
      </c>
      <c r="I378" s="1724">
        <v>1645.1753040049152</v>
      </c>
      <c r="J378" s="1724">
        <v>1461.6179999999999</v>
      </c>
    </row>
    <row r="379" spans="2:10">
      <c r="B379" s="133" t="s">
        <v>296</v>
      </c>
      <c r="C379" s="133"/>
      <c r="D379" s="133"/>
      <c r="E379" s="1724">
        <v>2452.6217877095</v>
      </c>
      <c r="F379" s="1724">
        <v>2370.0888268156423</v>
      </c>
      <c r="G379" s="1724">
        <v>2784.9581005586592</v>
      </c>
      <c r="H379" s="1724">
        <v>2316.3167597765364</v>
      </c>
      <c r="I379" s="1724">
        <v>1645.1753040049152</v>
      </c>
      <c r="J379" s="1724">
        <v>1461.6179999999999</v>
      </c>
    </row>
    <row r="380" spans="2:10">
      <c r="B380" s="132" t="s">
        <v>295</v>
      </c>
      <c r="C380" s="132"/>
      <c r="D380" s="132"/>
      <c r="E380" s="467">
        <v>0</v>
      </c>
      <c r="F380" s="467">
        <v>0</v>
      </c>
      <c r="G380" s="467">
        <v>0</v>
      </c>
      <c r="H380" s="467">
        <v>0</v>
      </c>
      <c r="I380" s="467">
        <v>0</v>
      </c>
      <c r="J380" s="467">
        <v>0</v>
      </c>
    </row>
    <row r="381" spans="2:10">
      <c r="B381" s="132" t="s">
        <v>303</v>
      </c>
      <c r="C381" s="132"/>
      <c r="D381" s="132"/>
      <c r="E381" s="467">
        <v>0</v>
      </c>
      <c r="F381" s="467">
        <v>0</v>
      </c>
      <c r="G381" s="467">
        <v>0</v>
      </c>
      <c r="H381" s="467">
        <v>0</v>
      </c>
      <c r="I381" s="467">
        <v>0</v>
      </c>
      <c r="J381" s="467">
        <v>0</v>
      </c>
    </row>
    <row r="382" spans="2:10">
      <c r="B382" s="65" t="s">
        <v>301</v>
      </c>
      <c r="C382" s="65"/>
      <c r="D382" s="65"/>
      <c r="E382" s="139">
        <v>0</v>
      </c>
      <c r="F382" s="139">
        <v>0</v>
      </c>
      <c r="G382" s="139">
        <v>0</v>
      </c>
      <c r="H382" s="139">
        <v>0</v>
      </c>
      <c r="I382" s="139">
        <v>0</v>
      </c>
      <c r="J382" s="139">
        <v>0.86639999999999995</v>
      </c>
    </row>
    <row r="383" spans="2:10">
      <c r="B383" s="136"/>
      <c r="C383" s="136"/>
      <c r="D383" s="136"/>
      <c r="E383" s="1667"/>
      <c r="F383" s="1667"/>
      <c r="G383" s="1667"/>
      <c r="H383" s="1667"/>
      <c r="I383" s="1667"/>
      <c r="J383" s="1667"/>
    </row>
    <row r="384" spans="2:10">
      <c r="B384" s="114" t="s">
        <v>302</v>
      </c>
      <c r="C384" s="114"/>
      <c r="D384" s="114"/>
      <c r="E384" s="1667"/>
      <c r="F384" s="1667"/>
      <c r="G384" s="1667"/>
      <c r="H384" s="1667"/>
      <c r="I384" s="1667"/>
      <c r="J384" s="1667"/>
    </row>
    <row r="385" spans="2:10">
      <c r="B385" s="136"/>
      <c r="C385" s="136"/>
      <c r="D385" s="136"/>
      <c r="E385" s="1667"/>
      <c r="F385" s="1667"/>
      <c r="G385" s="1667"/>
      <c r="H385" s="1667"/>
      <c r="I385" s="1667"/>
      <c r="J385" s="1667"/>
    </row>
    <row r="386" spans="2:10">
      <c r="B386" s="211" t="s">
        <v>2144</v>
      </c>
      <c r="C386" s="211"/>
      <c r="D386" s="211"/>
      <c r="E386" s="1667"/>
      <c r="F386" s="1667"/>
      <c r="G386" s="1667"/>
      <c r="H386" s="1667"/>
      <c r="I386" s="1667"/>
      <c r="J386" s="1667"/>
    </row>
    <row r="387" spans="2:10">
      <c r="B387" s="71" t="s">
        <v>297</v>
      </c>
      <c r="C387" s="71"/>
      <c r="D387" s="71"/>
      <c r="E387" s="694"/>
      <c r="F387" s="694"/>
      <c r="G387" s="694"/>
      <c r="H387" s="694"/>
      <c r="I387" s="694"/>
      <c r="J387" s="694"/>
    </row>
    <row r="388" spans="2:10">
      <c r="B388" s="133" t="s">
        <v>296</v>
      </c>
      <c r="C388" s="133"/>
      <c r="D388" s="133"/>
      <c r="E388" s="1725">
        <v>4402.2525139664804</v>
      </c>
      <c r="F388" s="1725">
        <v>4478.7167597765365</v>
      </c>
      <c r="G388" s="1725">
        <v>4490.9810055865919</v>
      </c>
      <c r="H388" s="1725">
        <v>4434.5497206703913</v>
      </c>
      <c r="I388" s="1725">
        <v>3855.3424391122453</v>
      </c>
      <c r="J388" s="1725">
        <f>SUM(J389:J394)</f>
        <v>3919.12</v>
      </c>
    </row>
    <row r="389" spans="2:10">
      <c r="B389" s="131" t="s">
        <v>294</v>
      </c>
      <c r="C389" s="131"/>
      <c r="D389" s="131"/>
      <c r="E389" s="1725">
        <v>2433.6787709497207</v>
      </c>
      <c r="F389" s="1725">
        <v>2736.8709497206701</v>
      </c>
      <c r="G389" s="1725">
        <v>2708.0128491620112</v>
      </c>
      <c r="H389" s="1725">
        <v>2949.7988826815645</v>
      </c>
      <c r="I389" s="1725">
        <v>2951.4182806856525</v>
      </c>
      <c r="J389" s="1725">
        <v>3226.25</v>
      </c>
    </row>
    <row r="390" spans="2:10">
      <c r="B390" s="131" t="s">
        <v>293</v>
      </c>
      <c r="C390" s="131"/>
      <c r="D390" s="131"/>
      <c r="E390" s="139">
        <v>0</v>
      </c>
      <c r="F390" s="139">
        <v>0</v>
      </c>
      <c r="G390" s="139">
        <v>0</v>
      </c>
      <c r="H390" s="139">
        <v>0</v>
      </c>
      <c r="I390" s="139">
        <v>0</v>
      </c>
      <c r="J390" s="139">
        <v>0</v>
      </c>
    </row>
    <row r="391" spans="2:10">
      <c r="B391" s="131" t="s">
        <v>292</v>
      </c>
      <c r="C391" s="131"/>
      <c r="D391" s="131"/>
      <c r="E391" s="139">
        <v>0</v>
      </c>
      <c r="F391" s="139">
        <v>0</v>
      </c>
      <c r="G391" s="139">
        <v>0</v>
      </c>
      <c r="H391" s="139">
        <v>0</v>
      </c>
      <c r="I391" s="139">
        <v>0</v>
      </c>
      <c r="J391" s="139">
        <v>0</v>
      </c>
    </row>
    <row r="392" spans="2:10">
      <c r="B392" s="131" t="s">
        <v>291</v>
      </c>
      <c r="C392" s="131"/>
      <c r="D392" s="131"/>
      <c r="E392" s="139">
        <v>0</v>
      </c>
      <c r="F392" s="139">
        <v>0</v>
      </c>
      <c r="G392" s="139">
        <v>0</v>
      </c>
      <c r="H392" s="139">
        <v>0</v>
      </c>
      <c r="I392" s="139">
        <v>0</v>
      </c>
      <c r="J392" s="139">
        <v>0</v>
      </c>
    </row>
    <row r="393" spans="2:10">
      <c r="B393" s="131" t="s">
        <v>290</v>
      </c>
      <c r="C393" s="131"/>
      <c r="D393" s="131"/>
      <c r="E393" s="139">
        <v>0</v>
      </c>
      <c r="F393" s="139">
        <v>0</v>
      </c>
      <c r="G393" s="139">
        <v>0</v>
      </c>
      <c r="H393" s="139">
        <v>0</v>
      </c>
      <c r="I393" s="139">
        <v>0</v>
      </c>
      <c r="J393" s="139">
        <v>0</v>
      </c>
    </row>
    <row r="394" spans="2:10">
      <c r="B394" s="131" t="s">
        <v>289</v>
      </c>
      <c r="C394" s="131"/>
      <c r="D394" s="131"/>
      <c r="E394" s="1726">
        <v>1968.5737430167596</v>
      </c>
      <c r="F394" s="1726">
        <v>1741.845810055866</v>
      </c>
      <c r="G394" s="1726">
        <v>1782.9681564245809</v>
      </c>
      <c r="H394" s="1726">
        <v>1484.7508379888268</v>
      </c>
      <c r="I394" s="1726">
        <v>903.92420000000004</v>
      </c>
      <c r="J394" s="1726">
        <v>692.87</v>
      </c>
    </row>
    <row r="395" spans="2:10">
      <c r="B395" s="131" t="s">
        <v>288</v>
      </c>
      <c r="C395" s="131"/>
      <c r="D395" s="131"/>
      <c r="E395" s="1396">
        <v>0</v>
      </c>
      <c r="F395" s="1396">
        <v>0</v>
      </c>
      <c r="G395" s="1396">
        <v>0</v>
      </c>
      <c r="H395" s="1396">
        <v>0</v>
      </c>
      <c r="I395" s="1396">
        <v>0</v>
      </c>
      <c r="J395" s="1396">
        <v>0</v>
      </c>
    </row>
    <row r="396" spans="2:10">
      <c r="B396" s="132" t="s">
        <v>295</v>
      </c>
      <c r="C396" s="132"/>
      <c r="D396" s="132"/>
      <c r="E396" s="1396">
        <v>0</v>
      </c>
      <c r="F396" s="1396">
        <v>0</v>
      </c>
      <c r="G396" s="1396">
        <v>0</v>
      </c>
      <c r="H396" s="1396">
        <v>0</v>
      </c>
      <c r="I396" s="1396">
        <v>0</v>
      </c>
      <c r="J396" s="1396">
        <v>0</v>
      </c>
    </row>
    <row r="397" spans="2:10">
      <c r="B397" s="131" t="s">
        <v>294</v>
      </c>
      <c r="C397" s="131"/>
      <c r="D397" s="131"/>
      <c r="E397" s="1396">
        <v>0</v>
      </c>
      <c r="F397" s="1396">
        <v>0</v>
      </c>
      <c r="G397" s="1396">
        <v>0</v>
      </c>
      <c r="H397" s="1396">
        <v>0</v>
      </c>
      <c r="I397" s="1396">
        <v>0</v>
      </c>
      <c r="J397" s="1396">
        <v>0</v>
      </c>
    </row>
    <row r="398" spans="2:10">
      <c r="B398" s="131" t="s">
        <v>293</v>
      </c>
      <c r="C398" s="131"/>
      <c r="D398" s="131"/>
      <c r="E398" s="1396">
        <v>0</v>
      </c>
      <c r="F398" s="1396">
        <v>0</v>
      </c>
      <c r="G398" s="1396">
        <v>0</v>
      </c>
      <c r="H398" s="1396">
        <v>0</v>
      </c>
      <c r="I398" s="1396">
        <v>0</v>
      </c>
      <c r="J398" s="1396">
        <v>0</v>
      </c>
    </row>
    <row r="399" spans="2:10">
      <c r="B399" s="131" t="s">
        <v>292</v>
      </c>
      <c r="C399" s="131"/>
      <c r="D399" s="131"/>
      <c r="E399" s="1396">
        <v>0</v>
      </c>
      <c r="F399" s="1396">
        <v>0</v>
      </c>
      <c r="G399" s="1396">
        <v>0</v>
      </c>
      <c r="H399" s="1396">
        <v>0</v>
      </c>
      <c r="I399" s="1396">
        <v>0</v>
      </c>
      <c r="J399" s="1396">
        <v>0</v>
      </c>
    </row>
    <row r="400" spans="2:10">
      <c r="B400" s="131" t="s">
        <v>291</v>
      </c>
      <c r="C400" s="131"/>
      <c r="D400" s="131"/>
      <c r="E400" s="1396">
        <v>0</v>
      </c>
      <c r="F400" s="1396">
        <v>0</v>
      </c>
      <c r="G400" s="1396">
        <v>0</v>
      </c>
      <c r="H400" s="1396">
        <v>0</v>
      </c>
      <c r="I400" s="1396">
        <v>0</v>
      </c>
      <c r="J400" s="1396">
        <v>0</v>
      </c>
    </row>
    <row r="401" spans="2:10">
      <c r="B401" s="131" t="s">
        <v>290</v>
      </c>
      <c r="C401" s="131"/>
      <c r="D401" s="131"/>
      <c r="E401" s="1396">
        <v>0</v>
      </c>
      <c r="F401" s="1396">
        <v>0</v>
      </c>
      <c r="G401" s="1396">
        <v>0</v>
      </c>
      <c r="H401" s="1396">
        <v>0</v>
      </c>
      <c r="I401" s="1396">
        <v>0</v>
      </c>
      <c r="J401" s="1396">
        <v>0</v>
      </c>
    </row>
    <row r="402" spans="2:10">
      <c r="B402" s="131" t="s">
        <v>289</v>
      </c>
      <c r="C402" s="131"/>
      <c r="D402" s="131"/>
      <c r="E402" s="1396">
        <v>0</v>
      </c>
      <c r="F402" s="1396">
        <v>0</v>
      </c>
      <c r="G402" s="1396">
        <v>0</v>
      </c>
      <c r="H402" s="1396">
        <v>0</v>
      </c>
      <c r="I402" s="1396">
        <v>0</v>
      </c>
      <c r="J402" s="1396">
        <v>0</v>
      </c>
    </row>
    <row r="403" spans="2:10">
      <c r="B403" s="131" t="s">
        <v>288</v>
      </c>
      <c r="C403" s="131"/>
      <c r="D403" s="131"/>
      <c r="E403" s="1396">
        <v>0</v>
      </c>
      <c r="F403" s="1396">
        <v>0</v>
      </c>
      <c r="G403" s="1396">
        <v>0</v>
      </c>
      <c r="H403" s="1396">
        <v>0</v>
      </c>
      <c r="I403" s="1396">
        <v>0</v>
      </c>
      <c r="J403" s="1396">
        <v>0</v>
      </c>
    </row>
    <row r="404" spans="2:10" ht="15" thickBot="1">
      <c r="B404" s="65" t="s">
        <v>301</v>
      </c>
      <c r="C404" s="65"/>
      <c r="D404" s="65"/>
      <c r="E404" s="139">
        <v>0</v>
      </c>
      <c r="F404" s="139">
        <v>0</v>
      </c>
      <c r="G404" s="139">
        <v>0</v>
      </c>
      <c r="H404" s="139">
        <v>0</v>
      </c>
      <c r="I404" s="139">
        <v>0</v>
      </c>
      <c r="J404" s="139">
        <v>0.75019999999999998</v>
      </c>
    </row>
    <row r="405" spans="2:10" ht="15" thickTop="1">
      <c r="B405" s="2023" t="s">
        <v>2090</v>
      </c>
      <c r="C405" s="2023"/>
      <c r="D405" s="2023"/>
      <c r="E405" s="2023"/>
      <c r="F405" s="2023"/>
      <c r="G405" s="2023"/>
      <c r="H405" s="2023"/>
      <c r="I405" s="2023"/>
      <c r="J405" s="2023"/>
    </row>
    <row r="406" spans="2:10">
      <c r="B406" s="64"/>
      <c r="C406" s="64"/>
      <c r="D406" s="64"/>
    </row>
    <row r="407" spans="2:10">
      <c r="B407" s="2024" t="s">
        <v>271</v>
      </c>
      <c r="C407" s="2024"/>
      <c r="D407" s="2024"/>
      <c r="E407" s="2024"/>
      <c r="F407" s="2024"/>
      <c r="G407" s="2024"/>
      <c r="H407" s="2024"/>
      <c r="I407" s="2024"/>
      <c r="J407" s="2024"/>
    </row>
    <row r="408" spans="2:10">
      <c r="B408" s="12" t="s">
        <v>270</v>
      </c>
      <c r="C408" s="12"/>
      <c r="D408" s="12"/>
    </row>
    <row r="409" spans="2:10">
      <c r="B409" s="77" t="s">
        <v>269</v>
      </c>
      <c r="C409" s="77"/>
      <c r="D409" s="77"/>
    </row>
    <row r="410" spans="2:10">
      <c r="B410" s="76"/>
      <c r="C410" s="76"/>
      <c r="D410" s="76"/>
    </row>
    <row r="411" spans="2:10">
      <c r="B411" s="61"/>
      <c r="C411" s="61"/>
      <c r="D411" s="61"/>
      <c r="E411" s="60">
        <v>2016</v>
      </c>
      <c r="F411" s="60">
        <v>2017</v>
      </c>
      <c r="G411" s="60">
        <v>2018</v>
      </c>
      <c r="H411" s="60">
        <v>2019</v>
      </c>
      <c r="I411" s="60">
        <v>2020</v>
      </c>
      <c r="J411" s="60">
        <v>2021</v>
      </c>
    </row>
    <row r="412" spans="2:10">
      <c r="B412" s="76" t="s">
        <v>2111</v>
      </c>
      <c r="C412" s="76"/>
      <c r="D412" s="76"/>
      <c r="E412" s="214"/>
      <c r="F412" s="214"/>
      <c r="G412" s="214"/>
      <c r="H412" s="214"/>
      <c r="I412" s="214"/>
      <c r="J412" s="214"/>
    </row>
    <row r="413" spans="2:10">
      <c r="B413" s="71" t="s">
        <v>265</v>
      </c>
      <c r="C413" s="71"/>
      <c r="D413" s="71"/>
      <c r="E413" s="3">
        <v>4</v>
      </c>
      <c r="F413" s="3">
        <v>6</v>
      </c>
      <c r="G413" s="3">
        <v>6</v>
      </c>
      <c r="H413" s="3">
        <v>6</v>
      </c>
      <c r="I413" s="3">
        <v>6</v>
      </c>
      <c r="J413" s="3">
        <v>6</v>
      </c>
    </row>
    <row r="414" spans="2:10">
      <c r="B414" s="52" t="s">
        <v>262</v>
      </c>
      <c r="C414" s="52"/>
      <c r="D414" s="52"/>
      <c r="E414" s="3"/>
      <c r="F414" s="3"/>
      <c r="G414" s="3"/>
      <c r="H414" s="3"/>
      <c r="I414" s="3"/>
      <c r="J414" s="3"/>
    </row>
    <row r="415" spans="2:10">
      <c r="B415" s="52" t="s">
        <v>2112</v>
      </c>
      <c r="C415" s="52"/>
      <c r="D415" s="52"/>
      <c r="E415" s="3">
        <v>0</v>
      </c>
      <c r="F415" s="3">
        <v>0</v>
      </c>
      <c r="G415" s="3">
        <v>0</v>
      </c>
      <c r="H415" s="3">
        <v>0</v>
      </c>
      <c r="I415" s="3">
        <v>0</v>
      </c>
      <c r="J415" s="3">
        <v>0</v>
      </c>
    </row>
    <row r="416" spans="2:10">
      <c r="B416" s="52" t="s">
        <v>260</v>
      </c>
      <c r="C416" s="52"/>
      <c r="D416" s="52"/>
      <c r="E416" s="3">
        <v>3</v>
      </c>
      <c r="F416" s="3">
        <v>5</v>
      </c>
      <c r="G416" s="3">
        <v>4</v>
      </c>
      <c r="H416" s="3">
        <v>4</v>
      </c>
      <c r="I416" s="3">
        <v>4</v>
      </c>
      <c r="J416" s="3">
        <v>4</v>
      </c>
    </row>
    <row r="417" spans="2:10">
      <c r="B417" s="52" t="s">
        <v>496</v>
      </c>
      <c r="C417" s="52"/>
      <c r="D417" s="52"/>
      <c r="E417" s="3">
        <v>1</v>
      </c>
      <c r="F417" s="3">
        <v>1</v>
      </c>
      <c r="G417" s="3">
        <v>2</v>
      </c>
      <c r="H417" s="3">
        <v>2</v>
      </c>
      <c r="I417" s="3">
        <v>2</v>
      </c>
      <c r="J417" s="3">
        <v>2</v>
      </c>
    </row>
    <row r="418" spans="2:10">
      <c r="B418" s="52"/>
      <c r="C418" s="52"/>
      <c r="D418" s="52"/>
      <c r="E418" s="3"/>
      <c r="F418" s="3"/>
      <c r="G418" s="3"/>
      <c r="H418" s="3"/>
      <c r="I418" s="3"/>
      <c r="J418" s="3"/>
    </row>
    <row r="419" spans="2:10">
      <c r="B419" s="71" t="s">
        <v>264</v>
      </c>
      <c r="C419" s="71"/>
      <c r="D419" s="71"/>
      <c r="E419" s="3">
        <v>4</v>
      </c>
      <c r="F419" s="3">
        <v>4</v>
      </c>
      <c r="G419" s="3">
        <v>5</v>
      </c>
      <c r="H419" s="3">
        <v>5</v>
      </c>
      <c r="I419" s="3">
        <v>4</v>
      </c>
      <c r="J419" s="3">
        <v>4</v>
      </c>
    </row>
    <row r="420" spans="2:10">
      <c r="B420" s="52" t="s">
        <v>262</v>
      </c>
      <c r="C420" s="52"/>
      <c r="D420" s="52"/>
      <c r="E420" s="3"/>
      <c r="F420" s="3"/>
      <c r="G420" s="3"/>
      <c r="H420" s="3"/>
      <c r="I420" s="3"/>
      <c r="J420" s="3"/>
    </row>
    <row r="421" spans="2:10">
      <c r="B421" s="52" t="s">
        <v>2112</v>
      </c>
      <c r="C421" s="52"/>
      <c r="D421" s="52"/>
      <c r="E421" s="3">
        <v>0</v>
      </c>
      <c r="F421" s="3">
        <v>0</v>
      </c>
      <c r="G421" s="3">
        <v>0</v>
      </c>
      <c r="H421" s="3">
        <v>0</v>
      </c>
      <c r="I421" s="3">
        <v>0</v>
      </c>
      <c r="J421" s="3">
        <v>0</v>
      </c>
    </row>
    <row r="422" spans="2:10">
      <c r="B422" s="52" t="s">
        <v>260</v>
      </c>
      <c r="C422" s="52"/>
      <c r="D422" s="52"/>
      <c r="E422" s="3">
        <v>3</v>
      </c>
      <c r="F422" s="3">
        <v>3</v>
      </c>
      <c r="G422" s="3">
        <v>3</v>
      </c>
      <c r="H422" s="3">
        <v>3</v>
      </c>
      <c r="I422" s="3">
        <v>3</v>
      </c>
      <c r="J422" s="3">
        <v>3</v>
      </c>
    </row>
    <row r="423" spans="2:10">
      <c r="B423" s="52" t="s">
        <v>496</v>
      </c>
      <c r="C423" s="52"/>
      <c r="D423" s="52"/>
      <c r="E423" s="3">
        <v>1</v>
      </c>
      <c r="F423" s="3">
        <v>1</v>
      </c>
      <c r="G423" s="3">
        <v>2</v>
      </c>
      <c r="H423" s="3">
        <v>2</v>
      </c>
      <c r="I423" s="3">
        <v>1</v>
      </c>
      <c r="J423" s="3">
        <v>1</v>
      </c>
    </row>
    <row r="424" spans="2:10">
      <c r="B424" s="52"/>
      <c r="C424" s="52"/>
      <c r="D424" s="52"/>
      <c r="E424" s="3"/>
      <c r="F424" s="3"/>
      <c r="G424" s="3"/>
      <c r="H424" s="3"/>
      <c r="I424" s="3"/>
      <c r="J424" s="3"/>
    </row>
    <row r="425" spans="2:10">
      <c r="B425" s="71" t="s">
        <v>263</v>
      </c>
      <c r="C425" s="71"/>
      <c r="D425" s="71"/>
      <c r="E425" s="3">
        <v>0</v>
      </c>
      <c r="F425" s="3">
        <v>2</v>
      </c>
      <c r="G425" s="3">
        <v>1</v>
      </c>
      <c r="H425" s="3">
        <v>1</v>
      </c>
      <c r="I425" s="3">
        <v>2</v>
      </c>
      <c r="J425" s="3">
        <v>2</v>
      </c>
    </row>
    <row r="426" spans="2:10">
      <c r="B426" s="52" t="s">
        <v>262</v>
      </c>
      <c r="C426" s="52"/>
      <c r="D426" s="52"/>
      <c r="E426" s="3">
        <v>0</v>
      </c>
      <c r="F426" s="3">
        <v>0</v>
      </c>
      <c r="G426" s="3">
        <v>0</v>
      </c>
      <c r="H426" s="3">
        <v>0</v>
      </c>
      <c r="I426" s="3">
        <v>0</v>
      </c>
      <c r="J426" s="3">
        <v>0</v>
      </c>
    </row>
    <row r="427" spans="2:10">
      <c r="B427" s="52" t="s">
        <v>2112</v>
      </c>
      <c r="C427" s="52"/>
      <c r="D427" s="52"/>
      <c r="E427" s="3">
        <v>0</v>
      </c>
      <c r="F427" s="3">
        <v>0</v>
      </c>
      <c r="G427" s="3">
        <v>0</v>
      </c>
      <c r="H427" s="3">
        <v>0</v>
      </c>
      <c r="I427" s="3">
        <v>0</v>
      </c>
      <c r="J427" s="3">
        <v>0</v>
      </c>
    </row>
    <row r="428" spans="2:10">
      <c r="B428" s="52" t="s">
        <v>260</v>
      </c>
      <c r="C428" s="52"/>
      <c r="D428" s="52"/>
      <c r="E428" s="3">
        <v>0</v>
      </c>
      <c r="F428" s="3">
        <v>2</v>
      </c>
      <c r="G428" s="3">
        <v>1</v>
      </c>
      <c r="H428" s="3">
        <v>1</v>
      </c>
      <c r="I428" s="3">
        <v>1</v>
      </c>
      <c r="J428" s="3">
        <v>1</v>
      </c>
    </row>
    <row r="429" spans="2:10" ht="15" thickBot="1">
      <c r="B429" s="52" t="s">
        <v>496</v>
      </c>
      <c r="C429" s="52"/>
      <c r="D429" s="52"/>
      <c r="E429" s="3">
        <v>0</v>
      </c>
      <c r="F429" s="3">
        <v>0</v>
      </c>
      <c r="G429" s="3">
        <v>0</v>
      </c>
      <c r="H429" s="3">
        <v>0</v>
      </c>
      <c r="I429" s="3">
        <v>1</v>
      </c>
      <c r="J429" s="3">
        <v>1</v>
      </c>
    </row>
    <row r="430" spans="2:10" ht="15" thickTop="1">
      <c r="B430" s="2025" t="s">
        <v>2113</v>
      </c>
      <c r="C430" s="2025"/>
      <c r="D430" s="2025"/>
      <c r="E430" s="2025"/>
      <c r="F430" s="2025"/>
      <c r="G430" s="2025"/>
      <c r="H430" s="2025"/>
      <c r="I430" s="2025"/>
      <c r="J430" s="2025"/>
    </row>
    <row r="431" spans="2:10">
      <c r="B431" s="62"/>
      <c r="C431" s="62"/>
      <c r="D431" s="62"/>
    </row>
    <row r="432" spans="2:10">
      <c r="B432" s="2097" t="s">
        <v>258</v>
      </c>
      <c r="C432" s="2097"/>
      <c r="D432" s="2097"/>
      <c r="E432" s="2097"/>
      <c r="F432" s="2097"/>
      <c r="G432" s="2097"/>
      <c r="H432" s="2097"/>
      <c r="I432" s="2097"/>
      <c r="J432" s="2097"/>
    </row>
    <row r="433" spans="2:10">
      <c r="B433" s="12" t="s">
        <v>257</v>
      </c>
      <c r="C433" s="12"/>
      <c r="D433" s="12"/>
    </row>
    <row r="434" spans="2:10">
      <c r="B434" s="77" t="s">
        <v>256</v>
      </c>
      <c r="C434" s="77"/>
      <c r="D434" s="77"/>
    </row>
    <row r="435" spans="2:10">
      <c r="B435" s="62"/>
      <c r="C435" s="62"/>
      <c r="D435" s="62"/>
    </row>
    <row r="436" spans="2:10">
      <c r="B436" s="61"/>
      <c r="C436" s="61"/>
      <c r="D436" s="61"/>
      <c r="E436" s="60">
        <v>2016</v>
      </c>
      <c r="F436" s="60">
        <v>2017</v>
      </c>
      <c r="G436" s="60">
        <v>2018</v>
      </c>
      <c r="H436" s="60">
        <v>2019</v>
      </c>
      <c r="I436" s="60">
        <v>2020</v>
      </c>
      <c r="J436" s="60">
        <v>2021</v>
      </c>
    </row>
    <row r="437" spans="2:10">
      <c r="B437" s="76" t="s">
        <v>2111</v>
      </c>
      <c r="C437" s="76"/>
      <c r="D437" s="76"/>
    </row>
    <row r="438" spans="2:10">
      <c r="B438" s="71" t="s">
        <v>247</v>
      </c>
      <c r="C438" s="71"/>
      <c r="D438" s="71"/>
      <c r="E438" s="3">
        <v>11</v>
      </c>
      <c r="F438" s="3">
        <v>13</v>
      </c>
      <c r="G438" s="3">
        <v>53</v>
      </c>
      <c r="H438" s="3">
        <v>60</v>
      </c>
      <c r="I438" s="3">
        <v>69</v>
      </c>
      <c r="J438" s="3">
        <v>71</v>
      </c>
    </row>
    <row r="439" spans="2:10">
      <c r="B439" s="52" t="s">
        <v>121</v>
      </c>
      <c r="C439" s="52"/>
      <c r="D439" s="52"/>
      <c r="E439" s="3">
        <v>0</v>
      </c>
      <c r="F439" s="3">
        <v>0</v>
      </c>
      <c r="G439" s="3">
        <v>0</v>
      </c>
      <c r="H439" s="3">
        <v>0</v>
      </c>
      <c r="I439" s="3">
        <v>0</v>
      </c>
      <c r="J439" s="3">
        <v>0</v>
      </c>
    </row>
    <row r="440" spans="2:10">
      <c r="B440" s="53" t="s">
        <v>120</v>
      </c>
      <c r="C440" s="53"/>
      <c r="D440" s="53"/>
      <c r="E440" s="3">
        <v>0</v>
      </c>
      <c r="F440" s="3">
        <v>0</v>
      </c>
      <c r="G440" s="3">
        <v>0</v>
      </c>
      <c r="H440" s="3">
        <v>0</v>
      </c>
      <c r="I440" s="3">
        <v>0</v>
      </c>
      <c r="J440" s="3">
        <v>0</v>
      </c>
    </row>
    <row r="441" spans="2:10">
      <c r="B441" s="53" t="s">
        <v>119</v>
      </c>
      <c r="C441" s="53"/>
      <c r="D441" s="53"/>
      <c r="E441" s="3">
        <v>7</v>
      </c>
      <c r="F441" s="3">
        <v>7</v>
      </c>
      <c r="G441" s="3">
        <v>8</v>
      </c>
      <c r="H441" s="3">
        <v>10</v>
      </c>
      <c r="I441" s="3">
        <v>7</v>
      </c>
      <c r="J441" s="3">
        <v>6</v>
      </c>
    </row>
    <row r="442" spans="2:10">
      <c r="B442" s="52" t="s">
        <v>118</v>
      </c>
      <c r="C442" s="52"/>
      <c r="D442" s="52"/>
      <c r="E442" s="3">
        <v>2</v>
      </c>
      <c r="F442" s="3">
        <v>4</v>
      </c>
      <c r="G442" s="3">
        <v>30</v>
      </c>
      <c r="H442" s="3">
        <v>41</v>
      </c>
      <c r="I442" s="3">
        <v>47</v>
      </c>
      <c r="J442" s="3">
        <v>47</v>
      </c>
    </row>
    <row r="443" spans="2:10" ht="15" thickBot="1">
      <c r="B443" s="52" t="s">
        <v>117</v>
      </c>
      <c r="C443" s="52"/>
      <c r="D443" s="52"/>
      <c r="E443" s="3">
        <v>2</v>
      </c>
      <c r="F443" s="3">
        <v>2</v>
      </c>
      <c r="G443" s="3">
        <v>15</v>
      </c>
      <c r="H443" s="3">
        <v>9</v>
      </c>
      <c r="I443" s="3">
        <v>15</v>
      </c>
      <c r="J443" s="3">
        <v>18</v>
      </c>
    </row>
    <row r="444" spans="2:10" ht="15" thickTop="1">
      <c r="B444" s="2025" t="s">
        <v>2114</v>
      </c>
      <c r="C444" s="2025"/>
      <c r="D444" s="2025"/>
      <c r="E444" s="2025"/>
      <c r="F444" s="2025"/>
      <c r="G444" s="2025"/>
      <c r="H444" s="2025"/>
      <c r="I444" s="2025"/>
      <c r="J444" s="2025"/>
    </row>
    <row r="445" spans="2:10">
      <c r="B445" s="64"/>
      <c r="C445" s="64"/>
      <c r="D445" s="64"/>
    </row>
    <row r="446" spans="2:10">
      <c r="B446" s="2024" t="s">
        <v>244</v>
      </c>
      <c r="C446" s="2024"/>
      <c r="D446" s="2024"/>
      <c r="E446" s="2024"/>
      <c r="F446" s="2024"/>
      <c r="G446" s="2024"/>
      <c r="H446" s="2024"/>
      <c r="I446" s="2024"/>
      <c r="J446" s="2024"/>
    </row>
    <row r="447" spans="2:10">
      <c r="B447" s="12" t="s">
        <v>243</v>
      </c>
      <c r="C447" s="12"/>
      <c r="D447" s="12"/>
    </row>
    <row r="448" spans="2:10">
      <c r="B448" s="62" t="s">
        <v>242</v>
      </c>
      <c r="C448" s="62"/>
      <c r="D448" s="62"/>
    </row>
    <row r="449" spans="2:10">
      <c r="B449" s="64"/>
      <c r="C449" s="64"/>
      <c r="D449" s="64"/>
    </row>
    <row r="450" spans="2:10">
      <c r="B450" s="61"/>
      <c r="C450" s="61"/>
      <c r="D450" s="61"/>
      <c r="E450" s="60">
        <v>2016</v>
      </c>
      <c r="F450" s="60">
        <v>2017</v>
      </c>
      <c r="G450" s="60">
        <v>2018</v>
      </c>
      <c r="H450" s="60">
        <v>2019</v>
      </c>
      <c r="I450" s="60">
        <v>2020</v>
      </c>
      <c r="J450" s="60">
        <v>2021</v>
      </c>
    </row>
    <row r="451" spans="2:10">
      <c r="B451" s="76" t="s">
        <v>2111</v>
      </c>
      <c r="C451" s="76"/>
      <c r="D451" s="76"/>
    </row>
    <row r="452" spans="2:10" ht="15" thickBot="1">
      <c r="B452" s="71" t="s">
        <v>239</v>
      </c>
      <c r="C452" s="71"/>
      <c r="D452" s="71"/>
      <c r="E452" s="98">
        <v>1344.9162011173185</v>
      </c>
      <c r="F452" s="98">
        <v>1344.921787709497</v>
      </c>
      <c r="G452" s="98">
        <v>1346.3128491620112</v>
      </c>
      <c r="H452" s="98">
        <v>1761.3519553072626</v>
      </c>
      <c r="I452" s="98">
        <v>2373.7430167597763</v>
      </c>
      <c r="J452" s="98">
        <v>2192.1799999999998</v>
      </c>
    </row>
    <row r="453" spans="2:10" ht="15" thickTop="1">
      <c r="B453" s="2025" t="s">
        <v>2114</v>
      </c>
      <c r="C453" s="2025"/>
      <c r="D453" s="2025"/>
      <c r="E453" s="2025"/>
      <c r="F453" s="2025"/>
      <c r="G453" s="2025"/>
      <c r="H453" s="2025"/>
      <c r="I453" s="2025"/>
      <c r="J453" s="2025"/>
    </row>
    <row r="454" spans="2:10">
      <c r="B454" s="2017"/>
      <c r="C454" s="2017"/>
      <c r="D454" s="2017"/>
      <c r="E454" s="2017"/>
      <c r="F454" s="2017"/>
      <c r="G454" s="2017"/>
      <c r="H454" s="2017"/>
      <c r="I454" s="2017"/>
      <c r="J454" s="2017"/>
    </row>
    <row r="455" spans="2:10">
      <c r="B455" s="64"/>
      <c r="C455" s="64"/>
      <c r="D455" s="64"/>
    </row>
    <row r="456" spans="2:10">
      <c r="B456" s="2024" t="s">
        <v>238</v>
      </c>
      <c r="C456" s="2024"/>
      <c r="D456" s="2024"/>
      <c r="E456" s="2024"/>
      <c r="F456" s="2024"/>
      <c r="G456" s="2024"/>
      <c r="H456" s="2024"/>
      <c r="I456" s="2024"/>
      <c r="J456" s="2024"/>
    </row>
    <row r="457" spans="2:10">
      <c r="B457" s="12" t="s">
        <v>237</v>
      </c>
      <c r="C457" s="12"/>
      <c r="D457" s="12"/>
    </row>
    <row r="458" spans="2:10">
      <c r="B458" s="62" t="s">
        <v>236</v>
      </c>
      <c r="C458" s="62"/>
      <c r="D458" s="62"/>
    </row>
    <row r="459" spans="2:10">
      <c r="B459" s="64"/>
      <c r="C459" s="64"/>
      <c r="D459" s="64"/>
    </row>
    <row r="460" spans="2:10">
      <c r="B460" s="61"/>
      <c r="C460" s="61"/>
      <c r="D460" s="61"/>
      <c r="E460" s="60">
        <v>2016</v>
      </c>
      <c r="F460" s="60">
        <v>2017</v>
      </c>
      <c r="G460" s="60">
        <v>2018</v>
      </c>
      <c r="H460" s="60">
        <v>2019</v>
      </c>
      <c r="I460" s="60">
        <v>2020</v>
      </c>
      <c r="J460" s="60">
        <v>2021</v>
      </c>
    </row>
    <row r="461" spans="2:10">
      <c r="B461" s="76" t="s">
        <v>2111</v>
      </c>
      <c r="C461" s="76"/>
      <c r="D461" s="76"/>
    </row>
    <row r="462" spans="2:10">
      <c r="B462" s="71" t="s">
        <v>231</v>
      </c>
      <c r="C462" s="71"/>
      <c r="D462" s="71"/>
      <c r="E462" s="66">
        <v>0</v>
      </c>
      <c r="F462" s="66">
        <v>0</v>
      </c>
      <c r="G462" s="66">
        <v>0</v>
      </c>
      <c r="H462" s="66">
        <v>0</v>
      </c>
      <c r="I462" s="66">
        <v>0</v>
      </c>
      <c r="J462" s="66">
        <v>0</v>
      </c>
    </row>
    <row r="463" spans="2:10">
      <c r="B463" s="52" t="s">
        <v>121</v>
      </c>
      <c r="C463" s="52"/>
      <c r="D463" s="52"/>
      <c r="E463" s="66">
        <v>0</v>
      </c>
      <c r="F463" s="66">
        <v>0</v>
      </c>
      <c r="G463" s="66">
        <v>0</v>
      </c>
      <c r="H463" s="66">
        <v>0</v>
      </c>
      <c r="I463" s="66">
        <v>0</v>
      </c>
      <c r="J463" s="66">
        <v>0</v>
      </c>
    </row>
    <row r="464" spans="2:10">
      <c r="B464" s="53" t="s">
        <v>120</v>
      </c>
      <c r="C464" s="53"/>
      <c r="D464" s="53"/>
      <c r="E464" s="66">
        <v>0</v>
      </c>
      <c r="F464" s="66">
        <v>0</v>
      </c>
      <c r="G464" s="66">
        <v>0</v>
      </c>
      <c r="H464" s="66">
        <v>0</v>
      </c>
      <c r="I464" s="66">
        <v>0</v>
      </c>
      <c r="J464" s="66">
        <v>0</v>
      </c>
    </row>
    <row r="465" spans="2:10">
      <c r="B465" s="53" t="s">
        <v>119</v>
      </c>
      <c r="C465" s="53"/>
      <c r="D465" s="53"/>
      <c r="E465" s="66">
        <v>0</v>
      </c>
      <c r="F465" s="66">
        <v>0</v>
      </c>
      <c r="G465" s="66">
        <v>0</v>
      </c>
      <c r="H465" s="66">
        <v>0</v>
      </c>
      <c r="I465" s="66">
        <v>0</v>
      </c>
      <c r="J465" s="66">
        <v>0</v>
      </c>
    </row>
    <row r="466" spans="2:10">
      <c r="B466" s="52" t="s">
        <v>118</v>
      </c>
      <c r="C466" s="52"/>
      <c r="D466" s="52"/>
      <c r="E466" s="66">
        <v>0</v>
      </c>
      <c r="F466" s="66">
        <v>0</v>
      </c>
      <c r="G466" s="66">
        <v>0</v>
      </c>
      <c r="H466" s="66">
        <v>0</v>
      </c>
      <c r="I466" s="66">
        <v>0</v>
      </c>
      <c r="J466" s="66">
        <v>322.89</v>
      </c>
    </row>
    <row r="467" spans="2:10">
      <c r="B467" s="52" t="s">
        <v>117</v>
      </c>
      <c r="C467" s="52"/>
      <c r="D467" s="52"/>
      <c r="E467" s="66">
        <v>0</v>
      </c>
      <c r="F467" s="66">
        <v>0</v>
      </c>
      <c r="G467" s="66">
        <v>0</v>
      </c>
      <c r="H467" s="66">
        <v>0</v>
      </c>
      <c r="I467" s="66">
        <v>0</v>
      </c>
      <c r="J467" s="66">
        <v>0</v>
      </c>
    </row>
    <row r="468" spans="2:10">
      <c r="B468" s="52"/>
      <c r="C468" s="52"/>
      <c r="D468" s="52"/>
      <c r="E468" s="66"/>
      <c r="F468" s="66"/>
      <c r="G468" s="66"/>
      <c r="H468" s="66"/>
      <c r="I468" s="66"/>
      <c r="J468" s="66"/>
    </row>
    <row r="469" spans="2:10">
      <c r="B469" s="71" t="s">
        <v>230</v>
      </c>
      <c r="C469" s="71"/>
      <c r="D469" s="71"/>
      <c r="E469" s="66">
        <v>0</v>
      </c>
      <c r="F469" s="66">
        <v>0</v>
      </c>
      <c r="G469" s="66">
        <v>0</v>
      </c>
      <c r="H469" s="66">
        <v>0</v>
      </c>
      <c r="I469" s="66">
        <v>0</v>
      </c>
      <c r="J469" s="66">
        <v>0</v>
      </c>
    </row>
    <row r="470" spans="2:10">
      <c r="B470" s="52" t="s">
        <v>169</v>
      </c>
      <c r="C470" s="52"/>
      <c r="D470" s="52"/>
      <c r="E470" s="66">
        <v>0</v>
      </c>
      <c r="F470" s="66">
        <v>0</v>
      </c>
      <c r="G470" s="66">
        <v>0</v>
      </c>
      <c r="H470" s="66">
        <v>0</v>
      </c>
      <c r="I470" s="66">
        <v>0</v>
      </c>
      <c r="J470" s="66">
        <v>0</v>
      </c>
    </row>
    <row r="471" spans="2:10">
      <c r="B471" s="52" t="s">
        <v>168</v>
      </c>
      <c r="C471" s="52"/>
      <c r="D471" s="52"/>
      <c r="E471" s="66">
        <v>0</v>
      </c>
      <c r="F471" s="66">
        <v>0</v>
      </c>
      <c r="G471" s="66">
        <v>0</v>
      </c>
      <c r="H471" s="66">
        <v>0</v>
      </c>
      <c r="I471" s="66">
        <v>0</v>
      </c>
      <c r="J471" s="66">
        <v>0</v>
      </c>
    </row>
    <row r="472" spans="2:10">
      <c r="B472" s="52" t="s">
        <v>167</v>
      </c>
      <c r="C472" s="52"/>
      <c r="D472" s="52"/>
      <c r="E472" s="66">
        <v>0</v>
      </c>
      <c r="F472" s="66">
        <v>0</v>
      </c>
      <c r="G472" s="66">
        <v>0</v>
      </c>
      <c r="H472" s="66">
        <v>0</v>
      </c>
      <c r="I472" s="66">
        <v>0</v>
      </c>
      <c r="J472" s="66">
        <v>0</v>
      </c>
    </row>
    <row r="473" spans="2:10">
      <c r="B473" s="52" t="s">
        <v>166</v>
      </c>
      <c r="C473" s="52"/>
      <c r="D473" s="52"/>
      <c r="E473" s="66">
        <v>0</v>
      </c>
      <c r="F473" s="66">
        <v>0</v>
      </c>
      <c r="G473" s="66">
        <v>0</v>
      </c>
      <c r="H473" s="66">
        <v>0</v>
      </c>
      <c r="I473" s="66">
        <v>0</v>
      </c>
      <c r="J473" s="66">
        <v>0</v>
      </c>
    </row>
    <row r="474" spans="2:10">
      <c r="B474" s="52" t="s">
        <v>165</v>
      </c>
      <c r="C474" s="52"/>
      <c r="D474" s="52"/>
      <c r="E474" s="66">
        <v>0</v>
      </c>
      <c r="F474" s="66">
        <v>0</v>
      </c>
      <c r="G474" s="66">
        <v>0</v>
      </c>
      <c r="H474" s="66">
        <v>0</v>
      </c>
      <c r="I474" s="66">
        <v>0</v>
      </c>
      <c r="J474" s="66">
        <v>0</v>
      </c>
    </row>
    <row r="475" spans="2:10" ht="15" thickBot="1">
      <c r="B475" s="50" t="s">
        <v>164</v>
      </c>
      <c r="C475" s="52"/>
      <c r="D475" s="52"/>
      <c r="E475" s="66">
        <v>0</v>
      </c>
      <c r="F475" s="66">
        <v>0</v>
      </c>
      <c r="G475" s="66">
        <v>0</v>
      </c>
      <c r="H475" s="66">
        <v>0</v>
      </c>
      <c r="I475" s="66">
        <v>0</v>
      </c>
      <c r="J475" s="66">
        <v>0</v>
      </c>
    </row>
    <row r="476" spans="2:10" ht="15" thickTop="1">
      <c r="B476" s="2025" t="s">
        <v>2114</v>
      </c>
      <c r="C476" s="2025"/>
      <c r="D476" s="2025"/>
      <c r="E476" s="2025"/>
      <c r="F476" s="2025"/>
      <c r="G476" s="2025"/>
      <c r="H476" s="2025"/>
      <c r="I476" s="2025"/>
      <c r="J476" s="2025"/>
    </row>
    <row r="477" spans="2:10">
      <c r="B477" s="64"/>
      <c r="C477" s="64"/>
      <c r="D477" s="64"/>
    </row>
    <row r="478" spans="2:10">
      <c r="B478" s="2024" t="s">
        <v>228</v>
      </c>
      <c r="C478" s="2024"/>
      <c r="D478" s="2024"/>
      <c r="E478" s="2024"/>
      <c r="F478" s="2024"/>
      <c r="G478" s="2024"/>
      <c r="H478" s="2024"/>
      <c r="I478" s="2024"/>
      <c r="J478" s="2024"/>
    </row>
    <row r="479" spans="2:10">
      <c r="B479" s="12" t="s">
        <v>227</v>
      </c>
      <c r="C479" s="12"/>
      <c r="D479" s="12"/>
    </row>
    <row r="480" spans="2:10">
      <c r="B480" s="62" t="s">
        <v>127</v>
      </c>
      <c r="C480" s="62"/>
      <c r="D480" s="62"/>
    </row>
    <row r="481" spans="2:10">
      <c r="B481" s="62"/>
      <c r="C481" s="62"/>
      <c r="D481" s="62"/>
    </row>
    <row r="482" spans="2:10">
      <c r="B482" s="61"/>
      <c r="C482" s="61"/>
      <c r="D482" s="61"/>
      <c r="E482" s="60">
        <v>2016</v>
      </c>
      <c r="F482" s="60">
        <v>2017</v>
      </c>
      <c r="G482" s="60">
        <v>2018</v>
      </c>
      <c r="H482" s="60">
        <v>2019</v>
      </c>
      <c r="I482" s="60">
        <v>2020</v>
      </c>
      <c r="J482" s="60">
        <v>2021</v>
      </c>
    </row>
    <row r="483" spans="2:10">
      <c r="B483" s="76" t="s">
        <v>2111</v>
      </c>
      <c r="C483" s="76"/>
      <c r="D483" s="76"/>
    </row>
    <row r="484" spans="2:10">
      <c r="B484" s="71" t="s">
        <v>222</v>
      </c>
      <c r="C484" s="71"/>
      <c r="D484" s="71"/>
      <c r="E484" s="66">
        <v>0</v>
      </c>
      <c r="F484" s="66">
        <v>0</v>
      </c>
      <c r="G484" s="66">
        <v>0</v>
      </c>
      <c r="H484" s="66">
        <v>0</v>
      </c>
      <c r="I484" s="66">
        <v>0</v>
      </c>
      <c r="J484" s="66">
        <v>0</v>
      </c>
    </row>
    <row r="485" spans="2:10">
      <c r="B485" s="52" t="s">
        <v>121</v>
      </c>
      <c r="C485" s="52"/>
      <c r="D485" s="52"/>
      <c r="E485" s="66">
        <v>0</v>
      </c>
      <c r="F485" s="66">
        <v>0</v>
      </c>
      <c r="G485" s="66">
        <v>0</v>
      </c>
      <c r="H485" s="66">
        <v>0</v>
      </c>
      <c r="I485" s="66">
        <v>0</v>
      </c>
      <c r="J485" s="66">
        <v>0</v>
      </c>
    </row>
    <row r="486" spans="2:10">
      <c r="B486" s="53" t="s">
        <v>120</v>
      </c>
      <c r="C486" s="53"/>
      <c r="D486" s="53"/>
      <c r="E486" s="66">
        <v>0</v>
      </c>
      <c r="F486" s="66">
        <v>0</v>
      </c>
      <c r="G486" s="66">
        <v>0</v>
      </c>
      <c r="H486" s="66">
        <v>0</v>
      </c>
      <c r="I486" s="66">
        <v>0</v>
      </c>
      <c r="J486" s="66">
        <v>0</v>
      </c>
    </row>
    <row r="487" spans="2:10">
      <c r="B487" s="53" t="s">
        <v>119</v>
      </c>
      <c r="C487" s="53"/>
      <c r="D487" s="53"/>
      <c r="E487" s="66">
        <v>0</v>
      </c>
      <c r="F487" s="66">
        <v>0</v>
      </c>
      <c r="G487" s="66">
        <v>0</v>
      </c>
      <c r="H487" s="66">
        <v>0</v>
      </c>
      <c r="I487" s="66">
        <v>0</v>
      </c>
      <c r="J487" s="66">
        <v>0</v>
      </c>
    </row>
    <row r="488" spans="2:10">
      <c r="B488" s="52" t="s">
        <v>118</v>
      </c>
      <c r="C488" s="52"/>
      <c r="D488" s="52"/>
      <c r="E488" s="66">
        <v>0</v>
      </c>
      <c r="F488" s="66">
        <v>0</v>
      </c>
      <c r="G488" s="66">
        <v>0</v>
      </c>
      <c r="H488" s="66">
        <v>0</v>
      </c>
      <c r="I488" s="66">
        <v>0</v>
      </c>
      <c r="J488" s="66">
        <v>0.38500000000000001</v>
      </c>
    </row>
    <row r="489" spans="2:10">
      <c r="B489" s="52" t="s">
        <v>117</v>
      </c>
      <c r="C489" s="52"/>
      <c r="D489" s="52"/>
      <c r="E489" s="66">
        <v>0</v>
      </c>
      <c r="F489" s="66">
        <v>0</v>
      </c>
      <c r="G489" s="66">
        <v>0</v>
      </c>
      <c r="H489" s="66">
        <v>0</v>
      </c>
      <c r="I489" s="66">
        <v>0</v>
      </c>
      <c r="J489" s="66">
        <v>0</v>
      </c>
    </row>
    <row r="490" spans="2:10">
      <c r="B490" s="52"/>
      <c r="C490" s="52"/>
      <c r="D490" s="52"/>
      <c r="E490" s="66"/>
      <c r="F490" s="66"/>
      <c r="G490" s="66"/>
      <c r="H490" s="66"/>
      <c r="I490" s="66"/>
      <c r="J490" s="66"/>
    </row>
    <row r="491" spans="2:10">
      <c r="B491" s="71" t="s">
        <v>221</v>
      </c>
      <c r="C491" s="71"/>
      <c r="D491" s="71"/>
      <c r="E491" s="66">
        <v>0</v>
      </c>
      <c r="F491" s="66">
        <v>0</v>
      </c>
      <c r="G491" s="66">
        <v>0</v>
      </c>
      <c r="H491" s="66">
        <v>0</v>
      </c>
      <c r="I491" s="66">
        <v>0</v>
      </c>
      <c r="J491" s="66">
        <v>0</v>
      </c>
    </row>
    <row r="492" spans="2:10">
      <c r="B492" s="52" t="s">
        <v>169</v>
      </c>
      <c r="C492" s="52"/>
      <c r="D492" s="52"/>
      <c r="E492" s="66">
        <v>0</v>
      </c>
      <c r="F492" s="66">
        <v>0</v>
      </c>
      <c r="G492" s="66">
        <v>0</v>
      </c>
      <c r="H492" s="66">
        <v>0</v>
      </c>
      <c r="I492" s="66">
        <v>0</v>
      </c>
      <c r="J492" s="66">
        <v>0</v>
      </c>
    </row>
    <row r="493" spans="2:10">
      <c r="B493" s="52" t="s">
        <v>168</v>
      </c>
      <c r="C493" s="52"/>
      <c r="D493" s="52"/>
      <c r="E493" s="66">
        <v>0</v>
      </c>
      <c r="F493" s="66">
        <v>0</v>
      </c>
      <c r="G493" s="66">
        <v>0</v>
      </c>
      <c r="H493" s="66">
        <v>0</v>
      </c>
      <c r="I493" s="66">
        <v>0</v>
      </c>
      <c r="J493" s="66">
        <v>0</v>
      </c>
    </row>
    <row r="494" spans="2:10">
      <c r="B494" s="52" t="s">
        <v>167</v>
      </c>
      <c r="C494" s="52"/>
      <c r="D494" s="52"/>
      <c r="E494" s="66">
        <v>0</v>
      </c>
      <c r="F494" s="66">
        <v>0</v>
      </c>
      <c r="G494" s="66">
        <v>0</v>
      </c>
      <c r="H494" s="66">
        <v>0</v>
      </c>
      <c r="I494" s="66">
        <v>0</v>
      </c>
      <c r="J494" s="66">
        <v>0</v>
      </c>
    </row>
    <row r="495" spans="2:10">
      <c r="B495" s="52" t="s">
        <v>166</v>
      </c>
      <c r="C495" s="52"/>
      <c r="D495" s="52"/>
      <c r="E495" s="66">
        <v>0</v>
      </c>
      <c r="F495" s="66">
        <v>0</v>
      </c>
      <c r="G495" s="66">
        <v>0</v>
      </c>
      <c r="H495" s="66">
        <v>0</v>
      </c>
      <c r="I495" s="66">
        <v>0</v>
      </c>
      <c r="J495" s="66">
        <v>0</v>
      </c>
    </row>
    <row r="496" spans="2:10">
      <c r="B496" s="52" t="s">
        <v>165</v>
      </c>
      <c r="C496" s="52"/>
      <c r="D496" s="52"/>
      <c r="E496" s="66">
        <v>0</v>
      </c>
      <c r="F496" s="66">
        <v>0</v>
      </c>
      <c r="G496" s="66">
        <v>0</v>
      </c>
      <c r="H496" s="66">
        <v>0</v>
      </c>
      <c r="I496" s="66">
        <v>0</v>
      </c>
      <c r="J496" s="66">
        <v>0</v>
      </c>
    </row>
    <row r="497" spans="2:10" ht="15" thickBot="1">
      <c r="B497" s="52" t="s">
        <v>164</v>
      </c>
      <c r="C497" s="52"/>
      <c r="D497" s="52"/>
      <c r="E497" s="66">
        <v>0</v>
      </c>
      <c r="F497" s="66">
        <v>0</v>
      </c>
      <c r="G497" s="66">
        <v>0</v>
      </c>
      <c r="H497" s="66">
        <v>0</v>
      </c>
      <c r="I497" s="66">
        <v>0</v>
      </c>
      <c r="J497" s="66">
        <v>0</v>
      </c>
    </row>
    <row r="498" spans="2:10" ht="15" thickTop="1">
      <c r="B498" s="2025" t="s">
        <v>2114</v>
      </c>
      <c r="C498" s="2025"/>
      <c r="D498" s="2025"/>
      <c r="E498" s="2025"/>
      <c r="F498" s="2025"/>
      <c r="G498" s="2025"/>
      <c r="H498" s="2025"/>
      <c r="I498" s="2025"/>
      <c r="J498" s="2025"/>
    </row>
    <row r="499" spans="2:10">
      <c r="B499" s="64"/>
      <c r="C499" s="64"/>
      <c r="D499" s="64"/>
    </row>
    <row r="500" spans="2:10">
      <c r="B500" s="2024" t="s">
        <v>219</v>
      </c>
      <c r="C500" s="2024"/>
      <c r="D500" s="2024"/>
      <c r="E500" s="2024"/>
      <c r="F500" s="2024"/>
      <c r="G500" s="2024"/>
      <c r="H500" s="2024"/>
      <c r="I500" s="2024"/>
      <c r="J500" s="2024"/>
    </row>
    <row r="501" spans="2:10">
      <c r="B501" s="12" t="s">
        <v>218</v>
      </c>
      <c r="C501" s="12"/>
      <c r="D501" s="12"/>
    </row>
    <row r="502" spans="2:10">
      <c r="B502" s="77" t="s">
        <v>269</v>
      </c>
      <c r="C502" s="77"/>
      <c r="D502" s="77"/>
    </row>
    <row r="503" spans="2:10">
      <c r="B503" s="61"/>
      <c r="C503" s="61"/>
      <c r="D503" s="61"/>
      <c r="E503" s="60">
        <v>2016</v>
      </c>
      <c r="F503" s="60">
        <v>2017</v>
      </c>
      <c r="G503" s="60">
        <v>2018</v>
      </c>
      <c r="H503" s="60">
        <v>2019</v>
      </c>
      <c r="I503" s="60">
        <v>2020</v>
      </c>
      <c r="J503" s="60">
        <v>2021</v>
      </c>
    </row>
    <row r="504" spans="2:10">
      <c r="B504" s="59" t="s">
        <v>2115</v>
      </c>
      <c r="C504" s="59"/>
      <c r="D504" s="59"/>
    </row>
    <row r="505" spans="2:10">
      <c r="B505" s="71" t="s">
        <v>217</v>
      </c>
      <c r="C505" s="71"/>
      <c r="D505" s="71"/>
      <c r="E505" s="226">
        <v>0</v>
      </c>
      <c r="F505" s="226">
        <v>0</v>
      </c>
      <c r="G505" s="226">
        <v>0</v>
      </c>
      <c r="H505" s="226">
        <v>0</v>
      </c>
      <c r="I505" s="226">
        <v>0</v>
      </c>
      <c r="J505" s="226">
        <v>0</v>
      </c>
    </row>
    <row r="506" spans="2:10">
      <c r="B506" s="52" t="s">
        <v>150</v>
      </c>
      <c r="C506" s="52"/>
      <c r="D506" s="52"/>
      <c r="E506" s="226">
        <v>0</v>
      </c>
      <c r="F506" s="226">
        <v>0</v>
      </c>
      <c r="G506" s="226">
        <v>0</v>
      </c>
      <c r="H506" s="226">
        <v>0</v>
      </c>
      <c r="I506" s="226">
        <v>0</v>
      </c>
      <c r="J506" s="226">
        <v>0</v>
      </c>
    </row>
    <row r="507" spans="2:10">
      <c r="B507" s="52" t="s">
        <v>214</v>
      </c>
      <c r="C507" s="52"/>
      <c r="D507" s="52"/>
      <c r="E507" s="226">
        <v>0</v>
      </c>
      <c r="F507" s="226">
        <v>0</v>
      </c>
      <c r="G507" s="226">
        <v>0</v>
      </c>
      <c r="H507" s="226">
        <v>0</v>
      </c>
      <c r="I507" s="226">
        <v>0</v>
      </c>
      <c r="J507" s="226">
        <v>0</v>
      </c>
    </row>
    <row r="508" spans="2:10">
      <c r="B508" s="52" t="s">
        <v>147</v>
      </c>
      <c r="C508" s="52"/>
      <c r="D508" s="52"/>
      <c r="E508" s="226">
        <v>0</v>
      </c>
      <c r="F508" s="226">
        <v>0</v>
      </c>
      <c r="G508" s="226">
        <v>0</v>
      </c>
      <c r="H508" s="226">
        <v>0</v>
      </c>
      <c r="I508" s="226">
        <v>0</v>
      </c>
      <c r="J508" s="226">
        <v>0</v>
      </c>
    </row>
    <row r="509" spans="2:10" ht="15" thickBot="1">
      <c r="B509" s="52" t="s">
        <v>146</v>
      </c>
      <c r="C509" s="52"/>
      <c r="D509" s="52"/>
      <c r="E509" s="226">
        <v>0</v>
      </c>
      <c r="F509" s="226">
        <v>0</v>
      </c>
      <c r="G509" s="226">
        <v>0</v>
      </c>
      <c r="H509" s="226">
        <v>0</v>
      </c>
      <c r="I509" s="226">
        <v>0</v>
      </c>
      <c r="J509" s="226">
        <v>0</v>
      </c>
    </row>
    <row r="510" spans="2:10" ht="15" thickTop="1">
      <c r="B510" s="2023" t="s">
        <v>2090</v>
      </c>
      <c r="C510" s="2023"/>
      <c r="D510" s="2023"/>
      <c r="E510" s="2023"/>
      <c r="F510" s="2023"/>
      <c r="G510" s="2023"/>
      <c r="H510" s="2023"/>
      <c r="I510" s="2023"/>
      <c r="J510" s="2023"/>
    </row>
    <row r="511" spans="2:10">
      <c r="B511" s="62"/>
      <c r="C511" s="62"/>
      <c r="D511" s="62"/>
    </row>
    <row r="512" spans="2:10">
      <c r="B512" s="2024" t="s">
        <v>212</v>
      </c>
      <c r="C512" s="2024"/>
      <c r="D512" s="2024"/>
      <c r="E512" s="2024"/>
      <c r="F512" s="2024"/>
      <c r="G512" s="2024"/>
      <c r="H512" s="2024"/>
      <c r="I512" s="2024"/>
      <c r="J512" s="2024"/>
    </row>
    <row r="513" spans="2:10">
      <c r="B513" s="12" t="s">
        <v>211</v>
      </c>
      <c r="C513" s="12"/>
      <c r="D513" s="12"/>
    </row>
    <row r="514" spans="2:10">
      <c r="B514" s="64" t="s">
        <v>210</v>
      </c>
      <c r="C514" s="64"/>
      <c r="D514" s="64"/>
    </row>
    <row r="515" spans="2:10">
      <c r="B515" s="64"/>
      <c r="C515" s="64"/>
      <c r="D515" s="64"/>
    </row>
    <row r="516" spans="2:10">
      <c r="B516" s="61"/>
      <c r="C516" s="61"/>
      <c r="D516" s="61"/>
      <c r="E516" s="60">
        <v>2016</v>
      </c>
      <c r="F516" s="60">
        <v>2017</v>
      </c>
      <c r="G516" s="60">
        <v>2018</v>
      </c>
      <c r="H516" s="60">
        <v>2019</v>
      </c>
      <c r="I516" s="60">
        <v>2020</v>
      </c>
      <c r="J516" s="60">
        <v>2021</v>
      </c>
    </row>
    <row r="517" spans="2:10">
      <c r="B517" s="59" t="s">
        <v>486</v>
      </c>
      <c r="C517" s="59"/>
      <c r="D517" s="59"/>
    </row>
    <row r="518" spans="2:10">
      <c r="B518" s="71" t="s">
        <v>209</v>
      </c>
      <c r="C518" s="71"/>
      <c r="D518" s="71"/>
      <c r="E518" s="229" t="s">
        <v>2086</v>
      </c>
      <c r="F518" s="229" t="s">
        <v>2086</v>
      </c>
      <c r="G518" s="229" t="s">
        <v>2086</v>
      </c>
      <c r="H518" s="229" t="s">
        <v>2086</v>
      </c>
      <c r="I518" s="229" t="s">
        <v>2086</v>
      </c>
      <c r="J518" s="229" t="s">
        <v>2086</v>
      </c>
    </row>
    <row r="519" spans="2:10">
      <c r="B519" s="71"/>
      <c r="C519" s="71"/>
      <c r="D519" s="71"/>
    </row>
    <row r="520" spans="2:10">
      <c r="B520" s="71" t="s">
        <v>208</v>
      </c>
      <c r="C520" s="71"/>
      <c r="D520" s="71"/>
      <c r="E520" s="229" t="s">
        <v>2086</v>
      </c>
      <c r="F520" s="229" t="s">
        <v>2086</v>
      </c>
      <c r="G520" s="229" t="s">
        <v>2086</v>
      </c>
      <c r="H520" s="229" t="s">
        <v>2086</v>
      </c>
      <c r="I520" s="229" t="s">
        <v>2086</v>
      </c>
      <c r="J520" s="229" t="s">
        <v>2086</v>
      </c>
    </row>
    <row r="521" spans="2:10">
      <c r="B521" s="52" t="s">
        <v>121</v>
      </c>
      <c r="C521" s="52"/>
      <c r="D521" s="52"/>
      <c r="E521" s="229" t="s">
        <v>2086</v>
      </c>
      <c r="F521" s="229" t="s">
        <v>2086</v>
      </c>
      <c r="G521" s="229" t="s">
        <v>2086</v>
      </c>
      <c r="H521" s="229" t="s">
        <v>2086</v>
      </c>
      <c r="I521" s="229" t="s">
        <v>2086</v>
      </c>
      <c r="J521" s="229" t="s">
        <v>2086</v>
      </c>
    </row>
    <row r="522" spans="2:10">
      <c r="B522" s="53" t="s">
        <v>120</v>
      </c>
      <c r="C522" s="53"/>
      <c r="D522" s="53"/>
      <c r="E522" s="229" t="s">
        <v>2086</v>
      </c>
      <c r="F522" s="229" t="s">
        <v>2086</v>
      </c>
      <c r="G522" s="229" t="s">
        <v>2086</v>
      </c>
      <c r="H522" s="229" t="s">
        <v>2086</v>
      </c>
      <c r="I522" s="229" t="s">
        <v>2086</v>
      </c>
      <c r="J522" s="229" t="s">
        <v>2086</v>
      </c>
    </row>
    <row r="523" spans="2:10">
      <c r="B523" s="53" t="s">
        <v>119</v>
      </c>
      <c r="C523" s="53"/>
      <c r="D523" s="53"/>
      <c r="E523" s="229" t="s">
        <v>2086</v>
      </c>
      <c r="F523" s="229" t="s">
        <v>2086</v>
      </c>
      <c r="G523" s="229" t="s">
        <v>2086</v>
      </c>
      <c r="H523" s="229" t="s">
        <v>2086</v>
      </c>
      <c r="I523" s="229" t="s">
        <v>2086</v>
      </c>
      <c r="J523" s="229" t="s">
        <v>2086</v>
      </c>
    </row>
    <row r="524" spans="2:10">
      <c r="B524" s="53" t="s">
        <v>172</v>
      </c>
      <c r="C524" s="53"/>
      <c r="D524" s="53"/>
      <c r="E524" s="229" t="s">
        <v>2086</v>
      </c>
      <c r="F524" s="229" t="s">
        <v>2086</v>
      </c>
      <c r="G524" s="229" t="s">
        <v>2086</v>
      </c>
      <c r="H524" s="229" t="s">
        <v>2086</v>
      </c>
      <c r="I524" s="229" t="s">
        <v>2086</v>
      </c>
      <c r="J524" s="229" t="s">
        <v>2086</v>
      </c>
    </row>
    <row r="525" spans="2:10">
      <c r="B525" s="52" t="s">
        <v>118</v>
      </c>
      <c r="C525" s="52"/>
      <c r="D525" s="52"/>
      <c r="E525" s="229" t="s">
        <v>2086</v>
      </c>
      <c r="F525" s="229" t="s">
        <v>2086</v>
      </c>
      <c r="G525" s="229" t="s">
        <v>2086</v>
      </c>
      <c r="H525" s="229" t="s">
        <v>2086</v>
      </c>
      <c r="I525" s="229" t="s">
        <v>2086</v>
      </c>
      <c r="J525" s="229" t="s">
        <v>2086</v>
      </c>
    </row>
    <row r="526" spans="2:10">
      <c r="B526" s="52" t="s">
        <v>117</v>
      </c>
      <c r="C526" s="52"/>
      <c r="D526" s="52"/>
      <c r="E526" s="229" t="s">
        <v>2086</v>
      </c>
      <c r="F526" s="229" t="s">
        <v>2086</v>
      </c>
      <c r="G526" s="229" t="s">
        <v>2086</v>
      </c>
      <c r="H526" s="229" t="s">
        <v>2086</v>
      </c>
      <c r="I526" s="229" t="s">
        <v>2086</v>
      </c>
      <c r="J526" s="229" t="s">
        <v>2086</v>
      </c>
    </row>
    <row r="527" spans="2:10">
      <c r="B527" s="52"/>
      <c r="C527" s="52"/>
      <c r="D527" s="52"/>
    </row>
    <row r="528" spans="2:10">
      <c r="B528" s="83" t="s">
        <v>205</v>
      </c>
      <c r="C528" s="83"/>
      <c r="D528" s="83"/>
      <c r="E528" s="229"/>
      <c r="F528" s="229"/>
      <c r="G528" s="229"/>
      <c r="H528" s="229"/>
      <c r="I528" s="229"/>
      <c r="J528" s="229"/>
    </row>
    <row r="529" spans="2:10">
      <c r="B529" s="81" t="s">
        <v>121</v>
      </c>
      <c r="C529" s="81"/>
      <c r="D529" s="81"/>
      <c r="E529" s="229" t="s">
        <v>2086</v>
      </c>
      <c r="F529" s="229" t="s">
        <v>2086</v>
      </c>
      <c r="G529" s="229" t="s">
        <v>2086</v>
      </c>
      <c r="H529" s="229" t="s">
        <v>2086</v>
      </c>
      <c r="I529" s="229" t="s">
        <v>2086</v>
      </c>
      <c r="J529" s="229" t="s">
        <v>2086</v>
      </c>
    </row>
    <row r="530" spans="2:10">
      <c r="B530" s="82" t="s">
        <v>120</v>
      </c>
      <c r="C530" s="82"/>
      <c r="D530" s="82"/>
      <c r="E530" s="229" t="s">
        <v>2086</v>
      </c>
      <c r="F530" s="229" t="s">
        <v>2086</v>
      </c>
      <c r="G530" s="229" t="s">
        <v>2086</v>
      </c>
      <c r="H530" s="229" t="s">
        <v>2086</v>
      </c>
      <c r="I530" s="229" t="s">
        <v>2086</v>
      </c>
      <c r="J530" s="229" t="s">
        <v>2086</v>
      </c>
    </row>
    <row r="531" spans="2:10">
      <c r="B531" s="82" t="s">
        <v>119</v>
      </c>
      <c r="C531" s="82"/>
      <c r="D531" s="82"/>
      <c r="E531" s="229" t="s">
        <v>2086</v>
      </c>
      <c r="F531" s="229" t="s">
        <v>2086</v>
      </c>
      <c r="G531" s="229" t="s">
        <v>2086</v>
      </c>
      <c r="H531" s="229" t="s">
        <v>2086</v>
      </c>
      <c r="I531" s="229" t="s">
        <v>2086</v>
      </c>
      <c r="J531" s="229" t="s">
        <v>2086</v>
      </c>
    </row>
    <row r="532" spans="2:10">
      <c r="B532" s="82" t="s">
        <v>172</v>
      </c>
      <c r="C532" s="82"/>
      <c r="D532" s="82"/>
      <c r="E532" s="229" t="s">
        <v>2086</v>
      </c>
      <c r="F532" s="229" t="s">
        <v>2086</v>
      </c>
      <c r="G532" s="229" t="s">
        <v>2086</v>
      </c>
      <c r="H532" s="229" t="s">
        <v>2086</v>
      </c>
      <c r="I532" s="229" t="s">
        <v>2086</v>
      </c>
      <c r="J532" s="229" t="s">
        <v>2086</v>
      </c>
    </row>
    <row r="533" spans="2:10">
      <c r="B533" s="81" t="s">
        <v>118</v>
      </c>
      <c r="C533" s="81"/>
      <c r="D533" s="81"/>
      <c r="E533" s="229" t="s">
        <v>2086</v>
      </c>
      <c r="F533" s="229" t="s">
        <v>2086</v>
      </c>
      <c r="G533" s="229" t="s">
        <v>2086</v>
      </c>
      <c r="H533" s="229" t="s">
        <v>2086</v>
      </c>
      <c r="I533" s="229" t="s">
        <v>2086</v>
      </c>
      <c r="J533" s="229" t="s">
        <v>2086</v>
      </c>
    </row>
    <row r="534" spans="2:10">
      <c r="B534" s="81" t="s">
        <v>117</v>
      </c>
      <c r="C534" s="81"/>
      <c r="D534" s="81"/>
      <c r="E534" s="229" t="s">
        <v>2086</v>
      </c>
      <c r="F534" s="229" t="s">
        <v>2086</v>
      </c>
      <c r="G534" s="229" t="s">
        <v>2086</v>
      </c>
      <c r="H534" s="229" t="s">
        <v>2086</v>
      </c>
      <c r="I534" s="229" t="s">
        <v>2086</v>
      </c>
      <c r="J534" s="229" t="s">
        <v>2086</v>
      </c>
    </row>
    <row r="535" spans="2:10">
      <c r="B535" s="81"/>
      <c r="C535" s="81"/>
      <c r="D535" s="81"/>
      <c r="J535" s="229"/>
    </row>
    <row r="536" spans="2:10">
      <c r="B536" s="83" t="s">
        <v>204</v>
      </c>
      <c r="C536" s="83"/>
      <c r="D536" s="83"/>
      <c r="E536" s="229"/>
      <c r="F536" s="229"/>
      <c r="G536" s="229"/>
      <c r="H536" s="229"/>
      <c r="I536" s="229"/>
      <c r="J536" s="229"/>
    </row>
    <row r="537" spans="2:10">
      <c r="B537" s="81" t="s">
        <v>121</v>
      </c>
      <c r="C537" s="81"/>
      <c r="D537" s="81"/>
      <c r="E537" s="229" t="s">
        <v>2086</v>
      </c>
      <c r="F537" s="229" t="s">
        <v>2086</v>
      </c>
      <c r="G537" s="229" t="s">
        <v>2086</v>
      </c>
      <c r="H537" s="229" t="s">
        <v>2086</v>
      </c>
      <c r="I537" s="229" t="s">
        <v>2086</v>
      </c>
      <c r="J537" s="229" t="s">
        <v>2086</v>
      </c>
    </row>
    <row r="538" spans="2:10">
      <c r="B538" s="82" t="s">
        <v>120</v>
      </c>
      <c r="C538" s="82"/>
      <c r="D538" s="82"/>
      <c r="E538" s="229" t="s">
        <v>2086</v>
      </c>
      <c r="F538" s="229" t="s">
        <v>2086</v>
      </c>
      <c r="G538" s="229" t="s">
        <v>2086</v>
      </c>
      <c r="H538" s="229" t="s">
        <v>2086</v>
      </c>
      <c r="I538" s="229" t="s">
        <v>2086</v>
      </c>
      <c r="J538" s="229" t="s">
        <v>2086</v>
      </c>
    </row>
    <row r="539" spans="2:10">
      <c r="B539" s="82" t="s">
        <v>119</v>
      </c>
      <c r="C539" s="82"/>
      <c r="D539" s="82"/>
      <c r="E539" s="229" t="s">
        <v>2086</v>
      </c>
      <c r="F539" s="229" t="s">
        <v>2086</v>
      </c>
      <c r="G539" s="229" t="s">
        <v>2086</v>
      </c>
      <c r="H539" s="229" t="s">
        <v>2086</v>
      </c>
      <c r="I539" s="229" t="s">
        <v>2086</v>
      </c>
      <c r="J539" s="229" t="s">
        <v>2086</v>
      </c>
    </row>
    <row r="540" spans="2:10">
      <c r="B540" s="82" t="s">
        <v>172</v>
      </c>
      <c r="C540" s="82"/>
      <c r="D540" s="82"/>
      <c r="E540" s="229" t="s">
        <v>2086</v>
      </c>
      <c r="F540" s="229" t="s">
        <v>2086</v>
      </c>
      <c r="G540" s="229" t="s">
        <v>2086</v>
      </c>
      <c r="H540" s="229" t="s">
        <v>2086</v>
      </c>
      <c r="I540" s="229" t="s">
        <v>2086</v>
      </c>
      <c r="J540" s="229" t="s">
        <v>2086</v>
      </c>
    </row>
    <row r="541" spans="2:10">
      <c r="B541" s="81" t="s">
        <v>118</v>
      </c>
      <c r="C541" s="81"/>
      <c r="D541" s="81"/>
      <c r="E541" s="229" t="s">
        <v>2086</v>
      </c>
      <c r="F541" s="229" t="s">
        <v>2086</v>
      </c>
      <c r="G541" s="229" t="s">
        <v>2086</v>
      </c>
      <c r="H541" s="229" t="s">
        <v>2086</v>
      </c>
      <c r="I541" s="229" t="s">
        <v>2086</v>
      </c>
      <c r="J541" s="229" t="s">
        <v>2086</v>
      </c>
    </row>
    <row r="542" spans="2:10">
      <c r="B542" s="81" t="s">
        <v>117</v>
      </c>
      <c r="C542" s="81"/>
      <c r="D542" s="81"/>
      <c r="E542" s="229" t="s">
        <v>2086</v>
      </c>
      <c r="F542" s="229" t="s">
        <v>2086</v>
      </c>
      <c r="G542" s="229" t="s">
        <v>2086</v>
      </c>
      <c r="H542" s="229" t="s">
        <v>2086</v>
      </c>
      <c r="I542" s="229" t="s">
        <v>2086</v>
      </c>
      <c r="J542" s="229" t="s">
        <v>2086</v>
      </c>
    </row>
    <row r="543" spans="2:10">
      <c r="B543" s="81"/>
      <c r="C543" s="81"/>
      <c r="D543" s="81"/>
    </row>
    <row r="544" spans="2:10">
      <c r="B544" s="71" t="s">
        <v>203</v>
      </c>
      <c r="C544" s="71"/>
      <c r="D544" s="71"/>
      <c r="E544" s="229" t="s">
        <v>2086</v>
      </c>
      <c r="F544" s="229" t="s">
        <v>2086</v>
      </c>
      <c r="G544" s="229" t="s">
        <v>2086</v>
      </c>
      <c r="H544" s="229" t="s">
        <v>2086</v>
      </c>
      <c r="I544" s="229" t="s">
        <v>2086</v>
      </c>
      <c r="J544" s="229" t="s">
        <v>2086</v>
      </c>
    </row>
    <row r="545" spans="2:10">
      <c r="B545" s="52" t="s">
        <v>169</v>
      </c>
      <c r="C545" s="52"/>
      <c r="D545" s="52"/>
      <c r="E545" s="229" t="s">
        <v>2086</v>
      </c>
      <c r="F545" s="229" t="s">
        <v>2086</v>
      </c>
      <c r="G545" s="229" t="s">
        <v>2086</v>
      </c>
      <c r="H545" s="229" t="s">
        <v>2086</v>
      </c>
      <c r="I545" s="229" t="s">
        <v>2086</v>
      </c>
      <c r="J545" s="229" t="s">
        <v>2086</v>
      </c>
    </row>
    <row r="546" spans="2:10">
      <c r="B546" s="52" t="s">
        <v>168</v>
      </c>
      <c r="C546" s="52"/>
      <c r="D546" s="52"/>
      <c r="E546" s="229" t="s">
        <v>2086</v>
      </c>
      <c r="F546" s="229" t="s">
        <v>2086</v>
      </c>
      <c r="G546" s="229" t="s">
        <v>2086</v>
      </c>
      <c r="H546" s="229" t="s">
        <v>2086</v>
      </c>
      <c r="I546" s="229" t="s">
        <v>2086</v>
      </c>
      <c r="J546" s="229" t="s">
        <v>2086</v>
      </c>
    </row>
    <row r="547" spans="2:10">
      <c r="B547" s="52" t="s">
        <v>167</v>
      </c>
      <c r="C547" s="52"/>
      <c r="D547" s="52"/>
      <c r="E547" s="229" t="s">
        <v>2086</v>
      </c>
      <c r="F547" s="229" t="s">
        <v>2086</v>
      </c>
      <c r="G547" s="229" t="s">
        <v>2086</v>
      </c>
      <c r="H547" s="229" t="s">
        <v>2086</v>
      </c>
      <c r="I547" s="229" t="s">
        <v>2086</v>
      </c>
      <c r="J547" s="229" t="s">
        <v>2086</v>
      </c>
    </row>
    <row r="548" spans="2:10">
      <c r="B548" s="52" t="s">
        <v>166</v>
      </c>
      <c r="C548" s="52"/>
      <c r="D548" s="52"/>
      <c r="E548" s="229" t="s">
        <v>2086</v>
      </c>
      <c r="F548" s="229" t="s">
        <v>2086</v>
      </c>
      <c r="G548" s="229" t="s">
        <v>2086</v>
      </c>
      <c r="H548" s="229" t="s">
        <v>2086</v>
      </c>
      <c r="I548" s="229" t="s">
        <v>2086</v>
      </c>
      <c r="J548" s="229" t="s">
        <v>2086</v>
      </c>
    </row>
    <row r="549" spans="2:10">
      <c r="B549" s="52" t="s">
        <v>165</v>
      </c>
      <c r="C549" s="52"/>
      <c r="D549" s="52"/>
      <c r="E549" s="229" t="s">
        <v>2086</v>
      </c>
      <c r="F549" s="229" t="s">
        <v>2086</v>
      </c>
      <c r="G549" s="229" t="s">
        <v>2086</v>
      </c>
      <c r="H549" s="229" t="s">
        <v>2086</v>
      </c>
      <c r="I549" s="229" t="s">
        <v>2086</v>
      </c>
      <c r="J549" s="229" t="s">
        <v>2086</v>
      </c>
    </row>
    <row r="550" spans="2:10">
      <c r="B550" s="52" t="s">
        <v>164</v>
      </c>
      <c r="C550" s="52"/>
      <c r="D550" s="52"/>
      <c r="E550" s="229" t="s">
        <v>2086</v>
      </c>
      <c r="F550" s="229" t="s">
        <v>2086</v>
      </c>
      <c r="G550" s="229" t="s">
        <v>2086</v>
      </c>
      <c r="H550" s="229" t="s">
        <v>2086</v>
      </c>
      <c r="I550" s="229" t="s">
        <v>2086</v>
      </c>
      <c r="J550" s="229" t="s">
        <v>2086</v>
      </c>
    </row>
    <row r="551" spans="2:10">
      <c r="B551" s="52"/>
      <c r="C551" s="52"/>
      <c r="D551" s="52"/>
    </row>
    <row r="552" spans="2:10">
      <c r="B552" s="80" t="s">
        <v>202</v>
      </c>
      <c r="C552" s="80"/>
      <c r="D552" s="80"/>
      <c r="E552" s="229" t="s">
        <v>2086</v>
      </c>
      <c r="F552" s="229" t="s">
        <v>2086</v>
      </c>
      <c r="G552" s="229" t="s">
        <v>2086</v>
      </c>
      <c r="H552" s="229" t="s">
        <v>2086</v>
      </c>
      <c r="I552" s="229" t="s">
        <v>2086</v>
      </c>
      <c r="J552" s="229" t="s">
        <v>2086</v>
      </c>
    </row>
    <row r="553" spans="2:10">
      <c r="B553" s="52" t="s">
        <v>169</v>
      </c>
      <c r="C553" s="52"/>
      <c r="D553" s="52"/>
      <c r="E553" s="229" t="s">
        <v>2086</v>
      </c>
      <c r="F553" s="229" t="s">
        <v>2086</v>
      </c>
      <c r="G553" s="229" t="s">
        <v>2086</v>
      </c>
      <c r="H553" s="229" t="s">
        <v>2086</v>
      </c>
      <c r="I553" s="229" t="s">
        <v>2086</v>
      </c>
      <c r="J553" s="229" t="s">
        <v>2086</v>
      </c>
    </row>
    <row r="554" spans="2:10">
      <c r="B554" s="52" t="s">
        <v>168</v>
      </c>
      <c r="C554" s="52"/>
      <c r="D554" s="52"/>
      <c r="E554" s="229" t="s">
        <v>2086</v>
      </c>
      <c r="F554" s="229" t="s">
        <v>2086</v>
      </c>
      <c r="G554" s="229" t="s">
        <v>2086</v>
      </c>
      <c r="H554" s="229" t="s">
        <v>2086</v>
      </c>
      <c r="I554" s="229" t="s">
        <v>2086</v>
      </c>
      <c r="J554" s="229" t="s">
        <v>2086</v>
      </c>
    </row>
    <row r="555" spans="2:10">
      <c r="B555" s="52" t="s">
        <v>167</v>
      </c>
      <c r="C555" s="52"/>
      <c r="D555" s="52"/>
      <c r="E555" s="229" t="s">
        <v>2086</v>
      </c>
      <c r="F555" s="229" t="s">
        <v>2086</v>
      </c>
      <c r="G555" s="229" t="s">
        <v>2086</v>
      </c>
      <c r="H555" s="229" t="s">
        <v>2086</v>
      </c>
      <c r="I555" s="229" t="s">
        <v>2086</v>
      </c>
      <c r="J555" s="229" t="s">
        <v>2086</v>
      </c>
    </row>
    <row r="556" spans="2:10">
      <c r="B556" s="52" t="s">
        <v>166</v>
      </c>
      <c r="C556" s="52"/>
      <c r="D556" s="52"/>
      <c r="E556" s="229" t="s">
        <v>2086</v>
      </c>
      <c r="F556" s="229" t="s">
        <v>2086</v>
      </c>
      <c r="G556" s="229" t="s">
        <v>2086</v>
      </c>
      <c r="H556" s="229" t="s">
        <v>2086</v>
      </c>
      <c r="I556" s="229" t="s">
        <v>2086</v>
      </c>
      <c r="J556" s="229" t="s">
        <v>2086</v>
      </c>
    </row>
    <row r="557" spans="2:10">
      <c r="B557" s="52" t="s">
        <v>165</v>
      </c>
      <c r="C557" s="52"/>
      <c r="D557" s="52"/>
      <c r="E557" s="229" t="s">
        <v>2086</v>
      </c>
      <c r="F557" s="229" t="s">
        <v>2086</v>
      </c>
      <c r="G557" s="229" t="s">
        <v>2086</v>
      </c>
      <c r="H557" s="229" t="s">
        <v>2086</v>
      </c>
      <c r="I557" s="229" t="s">
        <v>2086</v>
      </c>
      <c r="J557" s="229" t="s">
        <v>2086</v>
      </c>
    </row>
    <row r="558" spans="2:10" ht="15" thickBot="1">
      <c r="B558" s="52" t="s">
        <v>164</v>
      </c>
      <c r="C558" s="52"/>
      <c r="D558" s="52"/>
      <c r="E558" s="229" t="s">
        <v>2086</v>
      </c>
      <c r="F558" s="229" t="s">
        <v>2086</v>
      </c>
      <c r="G558" s="229" t="s">
        <v>2086</v>
      </c>
      <c r="H558" s="229" t="s">
        <v>2086</v>
      </c>
      <c r="I558" s="229" t="s">
        <v>2086</v>
      </c>
      <c r="J558" s="229" t="s">
        <v>2086</v>
      </c>
    </row>
    <row r="559" spans="2:10" ht="15" thickTop="1">
      <c r="B559" s="2023" t="s">
        <v>2090</v>
      </c>
      <c r="C559" s="2023"/>
      <c r="D559" s="2023"/>
      <c r="E559" s="2023"/>
      <c r="F559" s="2023"/>
      <c r="G559" s="2023"/>
      <c r="H559" s="2023"/>
      <c r="I559" s="2023"/>
      <c r="J559" s="2023"/>
    </row>
    <row r="560" spans="2:10">
      <c r="B560" s="64"/>
      <c r="C560" s="64"/>
      <c r="D560" s="64"/>
    </row>
    <row r="561" spans="2:10">
      <c r="B561" s="2024" t="s">
        <v>199</v>
      </c>
      <c r="C561" s="2024"/>
      <c r="D561" s="2024"/>
      <c r="E561" s="2024"/>
      <c r="F561" s="2024"/>
      <c r="G561" s="2024"/>
      <c r="H561" s="2024"/>
      <c r="I561" s="2024"/>
      <c r="J561" s="2024"/>
    </row>
    <row r="562" spans="2:10">
      <c r="B562" s="12" t="s">
        <v>198</v>
      </c>
      <c r="C562" s="12"/>
      <c r="D562" s="12"/>
    </row>
    <row r="563" spans="2:10">
      <c r="B563" s="62" t="s">
        <v>127</v>
      </c>
      <c r="C563" s="62"/>
      <c r="D563" s="62"/>
    </row>
    <row r="564" spans="2:10">
      <c r="B564" s="62"/>
      <c r="C564" s="62"/>
      <c r="D564" s="62"/>
    </row>
    <row r="565" spans="2:10">
      <c r="B565" s="61"/>
      <c r="C565" s="61"/>
      <c r="D565" s="61"/>
      <c r="E565" s="60">
        <v>2016</v>
      </c>
      <c r="F565" s="60">
        <v>2017</v>
      </c>
      <c r="G565" s="60">
        <v>2018</v>
      </c>
      <c r="H565" s="60">
        <v>2019</v>
      </c>
      <c r="I565" s="60">
        <v>2020</v>
      </c>
      <c r="J565" s="60">
        <v>2021</v>
      </c>
    </row>
    <row r="566" spans="2:10">
      <c r="B566" s="59" t="s">
        <v>486</v>
      </c>
      <c r="C566" s="59"/>
      <c r="D566" s="59"/>
    </row>
    <row r="567" spans="2:10">
      <c r="B567" s="71" t="s">
        <v>186</v>
      </c>
      <c r="C567" s="71"/>
      <c r="D567" s="71"/>
      <c r="E567" s="229" t="s">
        <v>2086</v>
      </c>
      <c r="F567" s="229" t="s">
        <v>2086</v>
      </c>
      <c r="G567" s="229" t="s">
        <v>2086</v>
      </c>
      <c r="H567" s="229" t="s">
        <v>2086</v>
      </c>
      <c r="I567" s="229" t="s">
        <v>2086</v>
      </c>
      <c r="J567" s="229" t="s">
        <v>2086</v>
      </c>
    </row>
    <row r="568" spans="2:10">
      <c r="B568" s="71"/>
      <c r="C568" s="71"/>
      <c r="D568" s="71"/>
    </row>
    <row r="569" spans="2:10">
      <c r="B569" s="71" t="s">
        <v>190</v>
      </c>
      <c r="C569" s="71"/>
      <c r="D569" s="71"/>
      <c r="E569" s="229" t="s">
        <v>2086</v>
      </c>
      <c r="F569" s="229" t="s">
        <v>2086</v>
      </c>
      <c r="G569" s="229" t="s">
        <v>2086</v>
      </c>
      <c r="H569" s="229" t="s">
        <v>2086</v>
      </c>
      <c r="I569" s="229" t="s">
        <v>2086</v>
      </c>
      <c r="J569" s="229" t="s">
        <v>2086</v>
      </c>
    </row>
    <row r="570" spans="2:10">
      <c r="B570" s="52" t="s">
        <v>121</v>
      </c>
      <c r="C570" s="52"/>
      <c r="D570" s="52"/>
      <c r="E570" s="229" t="s">
        <v>2086</v>
      </c>
      <c r="F570" s="229" t="s">
        <v>2086</v>
      </c>
      <c r="G570" s="229" t="s">
        <v>2086</v>
      </c>
      <c r="H570" s="229" t="s">
        <v>2086</v>
      </c>
      <c r="I570" s="229" t="s">
        <v>2086</v>
      </c>
      <c r="J570" s="229" t="s">
        <v>2086</v>
      </c>
    </row>
    <row r="571" spans="2:10">
      <c r="B571" s="53" t="s">
        <v>120</v>
      </c>
      <c r="C571" s="53"/>
      <c r="D571" s="53"/>
      <c r="E571" s="229" t="s">
        <v>2086</v>
      </c>
      <c r="F571" s="229" t="s">
        <v>2086</v>
      </c>
      <c r="G571" s="229" t="s">
        <v>2086</v>
      </c>
      <c r="H571" s="229" t="s">
        <v>2086</v>
      </c>
      <c r="I571" s="229" t="s">
        <v>2086</v>
      </c>
      <c r="J571" s="229" t="s">
        <v>2086</v>
      </c>
    </row>
    <row r="572" spans="2:10">
      <c r="B572" s="53" t="s">
        <v>119</v>
      </c>
      <c r="C572" s="53"/>
      <c r="D572" s="53"/>
      <c r="E572" s="229" t="s">
        <v>2086</v>
      </c>
      <c r="F572" s="229" t="s">
        <v>2086</v>
      </c>
      <c r="G572" s="229" t="s">
        <v>2086</v>
      </c>
      <c r="H572" s="229" t="s">
        <v>2086</v>
      </c>
      <c r="I572" s="229" t="s">
        <v>2086</v>
      </c>
      <c r="J572" s="229" t="s">
        <v>2086</v>
      </c>
    </row>
    <row r="573" spans="2:10">
      <c r="B573" s="53" t="s">
        <v>197</v>
      </c>
      <c r="C573" s="53"/>
      <c r="D573" s="53"/>
      <c r="E573" s="229" t="s">
        <v>2086</v>
      </c>
      <c r="F573" s="229" t="s">
        <v>2086</v>
      </c>
      <c r="G573" s="229" t="s">
        <v>2086</v>
      </c>
      <c r="H573" s="229" t="s">
        <v>2086</v>
      </c>
      <c r="I573" s="229" t="s">
        <v>2086</v>
      </c>
      <c r="J573" s="229" t="s">
        <v>2086</v>
      </c>
    </row>
    <row r="574" spans="2:10">
      <c r="B574" s="52" t="s">
        <v>118</v>
      </c>
      <c r="C574" s="52"/>
      <c r="D574" s="52"/>
      <c r="E574" s="229" t="s">
        <v>2086</v>
      </c>
      <c r="F574" s="229" t="s">
        <v>2086</v>
      </c>
      <c r="G574" s="229" t="s">
        <v>2086</v>
      </c>
      <c r="H574" s="229" t="s">
        <v>2086</v>
      </c>
      <c r="I574" s="229" t="s">
        <v>2086</v>
      </c>
      <c r="J574" s="229" t="s">
        <v>2086</v>
      </c>
    </row>
    <row r="575" spans="2:10">
      <c r="B575" s="52" t="s">
        <v>117</v>
      </c>
      <c r="C575" s="52"/>
      <c r="D575" s="52"/>
      <c r="E575" s="229" t="s">
        <v>2086</v>
      </c>
      <c r="F575" s="229" t="s">
        <v>2086</v>
      </c>
      <c r="G575" s="229" t="s">
        <v>2086</v>
      </c>
      <c r="H575" s="229" t="s">
        <v>2086</v>
      </c>
      <c r="I575" s="229" t="s">
        <v>2086</v>
      </c>
      <c r="J575" s="229" t="s">
        <v>2086</v>
      </c>
    </row>
    <row r="576" spans="2:10">
      <c r="B576" s="52"/>
      <c r="C576" s="52"/>
      <c r="D576" s="52"/>
    </row>
    <row r="577" spans="2:10">
      <c r="B577" s="83" t="s">
        <v>187</v>
      </c>
      <c r="C577" s="83"/>
      <c r="D577" s="83"/>
      <c r="E577" s="229"/>
      <c r="F577" s="229"/>
      <c r="G577" s="229"/>
      <c r="H577" s="229"/>
      <c r="I577" s="229"/>
      <c r="J577" s="229"/>
    </row>
    <row r="578" spans="2:10">
      <c r="B578" s="81" t="s">
        <v>121</v>
      </c>
      <c r="C578" s="81"/>
      <c r="D578" s="81"/>
      <c r="E578" s="229" t="s">
        <v>2086</v>
      </c>
      <c r="F578" s="229" t="s">
        <v>2086</v>
      </c>
      <c r="G578" s="229" t="s">
        <v>2086</v>
      </c>
      <c r="H578" s="229" t="s">
        <v>2086</v>
      </c>
      <c r="I578" s="229" t="s">
        <v>2086</v>
      </c>
      <c r="J578" s="229" t="s">
        <v>2086</v>
      </c>
    </row>
    <row r="579" spans="2:10">
      <c r="B579" s="82" t="s">
        <v>120</v>
      </c>
      <c r="C579" s="82"/>
      <c r="D579" s="82"/>
      <c r="E579" s="229" t="s">
        <v>2086</v>
      </c>
      <c r="F579" s="229" t="s">
        <v>2086</v>
      </c>
      <c r="G579" s="229" t="s">
        <v>2086</v>
      </c>
      <c r="H579" s="229" t="s">
        <v>2086</v>
      </c>
      <c r="I579" s="229" t="s">
        <v>2086</v>
      </c>
      <c r="J579" s="229" t="s">
        <v>2086</v>
      </c>
    </row>
    <row r="580" spans="2:10">
      <c r="B580" s="82" t="s">
        <v>119</v>
      </c>
      <c r="C580" s="82"/>
      <c r="D580" s="82"/>
      <c r="E580" s="229" t="s">
        <v>2086</v>
      </c>
      <c r="F580" s="229" t="s">
        <v>2086</v>
      </c>
      <c r="G580" s="229" t="s">
        <v>2086</v>
      </c>
      <c r="H580" s="229" t="s">
        <v>2086</v>
      </c>
      <c r="I580" s="229" t="s">
        <v>2086</v>
      </c>
      <c r="J580" s="229" t="s">
        <v>2086</v>
      </c>
    </row>
    <row r="581" spans="2:10">
      <c r="B581" s="82" t="s">
        <v>172</v>
      </c>
      <c r="C581" s="82"/>
      <c r="D581" s="82"/>
      <c r="E581" s="229" t="s">
        <v>2086</v>
      </c>
      <c r="F581" s="229" t="s">
        <v>2086</v>
      </c>
      <c r="G581" s="229" t="s">
        <v>2086</v>
      </c>
      <c r="H581" s="229" t="s">
        <v>2086</v>
      </c>
      <c r="I581" s="229" t="s">
        <v>2086</v>
      </c>
      <c r="J581" s="229" t="s">
        <v>2086</v>
      </c>
    </row>
    <row r="582" spans="2:10">
      <c r="B582" s="81" t="s">
        <v>118</v>
      </c>
      <c r="C582" s="81"/>
      <c r="D582" s="81"/>
      <c r="E582" s="229" t="s">
        <v>2086</v>
      </c>
      <c r="F582" s="229" t="s">
        <v>2086</v>
      </c>
      <c r="G582" s="229" t="s">
        <v>2086</v>
      </c>
      <c r="H582" s="229" t="s">
        <v>2086</v>
      </c>
      <c r="I582" s="229" t="s">
        <v>2086</v>
      </c>
      <c r="J582" s="229" t="s">
        <v>2086</v>
      </c>
    </row>
    <row r="583" spans="2:10">
      <c r="B583" s="81" t="s">
        <v>117</v>
      </c>
      <c r="C583" s="81"/>
      <c r="D583" s="81"/>
      <c r="E583" s="229" t="s">
        <v>2086</v>
      </c>
      <c r="F583" s="229" t="s">
        <v>2086</v>
      </c>
      <c r="G583" s="229" t="s">
        <v>2086</v>
      </c>
      <c r="H583" s="229" t="s">
        <v>2086</v>
      </c>
      <c r="I583" s="229" t="s">
        <v>2086</v>
      </c>
      <c r="J583" s="229" t="s">
        <v>2086</v>
      </c>
    </row>
    <row r="584" spans="2:10">
      <c r="B584" s="81"/>
      <c r="C584" s="81"/>
      <c r="D584" s="81"/>
      <c r="E584" s="229"/>
      <c r="F584" s="229"/>
      <c r="G584" s="229"/>
      <c r="H584" s="229"/>
      <c r="I584" s="229"/>
      <c r="J584" s="229"/>
    </row>
    <row r="585" spans="2:10">
      <c r="B585" s="83" t="s">
        <v>173</v>
      </c>
      <c r="C585" s="83"/>
      <c r="D585" s="83"/>
      <c r="E585" s="229"/>
      <c r="F585" s="229"/>
      <c r="G585" s="229"/>
      <c r="H585" s="229"/>
      <c r="I585" s="229"/>
      <c r="J585" s="229"/>
    </row>
    <row r="586" spans="2:10">
      <c r="B586" s="81" t="s">
        <v>121</v>
      </c>
      <c r="C586" s="81"/>
      <c r="D586" s="81"/>
      <c r="E586" s="229" t="s">
        <v>2086</v>
      </c>
      <c r="F586" s="229" t="s">
        <v>2086</v>
      </c>
      <c r="G586" s="229" t="s">
        <v>2086</v>
      </c>
      <c r="H586" s="229" t="s">
        <v>2086</v>
      </c>
      <c r="I586" s="229" t="s">
        <v>2086</v>
      </c>
      <c r="J586" s="229" t="s">
        <v>2086</v>
      </c>
    </row>
    <row r="587" spans="2:10">
      <c r="B587" s="82" t="s">
        <v>120</v>
      </c>
      <c r="C587" s="82"/>
      <c r="D587" s="82"/>
      <c r="E587" s="229" t="s">
        <v>2086</v>
      </c>
      <c r="F587" s="229" t="s">
        <v>2086</v>
      </c>
      <c r="G587" s="229" t="s">
        <v>2086</v>
      </c>
      <c r="H587" s="229" t="s">
        <v>2086</v>
      </c>
      <c r="I587" s="229" t="s">
        <v>2086</v>
      </c>
      <c r="J587" s="229" t="s">
        <v>2086</v>
      </c>
    </row>
    <row r="588" spans="2:10">
      <c r="B588" s="82" t="s">
        <v>119</v>
      </c>
      <c r="C588" s="82"/>
      <c r="D588" s="82"/>
      <c r="E588" s="229" t="s">
        <v>2086</v>
      </c>
      <c r="F588" s="229" t="s">
        <v>2086</v>
      </c>
      <c r="G588" s="229" t="s">
        <v>2086</v>
      </c>
      <c r="H588" s="229" t="s">
        <v>2086</v>
      </c>
      <c r="I588" s="229" t="s">
        <v>2086</v>
      </c>
      <c r="J588" s="229" t="s">
        <v>2086</v>
      </c>
    </row>
    <row r="589" spans="2:10">
      <c r="B589" s="82" t="s">
        <v>197</v>
      </c>
      <c r="C589" s="82"/>
      <c r="D589" s="82"/>
      <c r="E589" s="229" t="s">
        <v>2086</v>
      </c>
      <c r="F589" s="229" t="s">
        <v>2086</v>
      </c>
      <c r="G589" s="229" t="s">
        <v>2086</v>
      </c>
      <c r="H589" s="229" t="s">
        <v>2086</v>
      </c>
      <c r="I589" s="229" t="s">
        <v>2086</v>
      </c>
      <c r="J589" s="229" t="s">
        <v>2086</v>
      </c>
    </row>
    <row r="590" spans="2:10">
      <c r="B590" s="81" t="s">
        <v>118</v>
      </c>
      <c r="C590" s="81"/>
      <c r="D590" s="81"/>
      <c r="E590" s="229" t="s">
        <v>2086</v>
      </c>
      <c r="F590" s="229" t="s">
        <v>2086</v>
      </c>
      <c r="G590" s="229" t="s">
        <v>2086</v>
      </c>
      <c r="H590" s="229" t="s">
        <v>2086</v>
      </c>
      <c r="I590" s="229" t="s">
        <v>2086</v>
      </c>
      <c r="J590" s="229" t="s">
        <v>2086</v>
      </c>
    </row>
    <row r="591" spans="2:10">
      <c r="B591" s="81" t="s">
        <v>117</v>
      </c>
      <c r="C591" s="81"/>
      <c r="D591" s="81"/>
      <c r="E591" s="229" t="s">
        <v>2086</v>
      </c>
      <c r="F591" s="229" t="s">
        <v>2086</v>
      </c>
      <c r="G591" s="229" t="s">
        <v>2086</v>
      </c>
      <c r="H591" s="229" t="s">
        <v>2086</v>
      </c>
      <c r="I591" s="229" t="s">
        <v>2086</v>
      </c>
      <c r="J591" s="229" t="s">
        <v>2086</v>
      </c>
    </row>
    <row r="592" spans="2:10">
      <c r="B592" s="81"/>
      <c r="C592" s="81"/>
      <c r="D592" s="81"/>
    </row>
    <row r="593" spans="2:10">
      <c r="B593" s="71" t="s">
        <v>171</v>
      </c>
      <c r="C593" s="71"/>
      <c r="D593" s="71"/>
      <c r="E593" s="229" t="s">
        <v>2086</v>
      </c>
      <c r="F593" s="229" t="s">
        <v>2086</v>
      </c>
      <c r="G593" s="229" t="s">
        <v>2086</v>
      </c>
      <c r="H593" s="229" t="s">
        <v>2086</v>
      </c>
      <c r="I593" s="229" t="s">
        <v>2086</v>
      </c>
      <c r="J593" s="229" t="s">
        <v>2086</v>
      </c>
    </row>
    <row r="594" spans="2:10">
      <c r="B594" s="52" t="s">
        <v>169</v>
      </c>
      <c r="C594" s="52"/>
      <c r="D594" s="52"/>
      <c r="E594" s="229" t="s">
        <v>2086</v>
      </c>
      <c r="F594" s="229" t="s">
        <v>2086</v>
      </c>
      <c r="G594" s="229" t="s">
        <v>2086</v>
      </c>
      <c r="H594" s="229" t="s">
        <v>2086</v>
      </c>
      <c r="I594" s="229" t="s">
        <v>2086</v>
      </c>
      <c r="J594" s="229" t="s">
        <v>2086</v>
      </c>
    </row>
    <row r="595" spans="2:10">
      <c r="B595" s="52" t="s">
        <v>168</v>
      </c>
      <c r="C595" s="52"/>
      <c r="D595" s="52"/>
      <c r="E595" s="229" t="s">
        <v>2086</v>
      </c>
      <c r="F595" s="229" t="s">
        <v>2086</v>
      </c>
      <c r="G595" s="229" t="s">
        <v>2086</v>
      </c>
      <c r="H595" s="229" t="s">
        <v>2086</v>
      </c>
      <c r="I595" s="229" t="s">
        <v>2086</v>
      </c>
      <c r="J595" s="229" t="s">
        <v>2086</v>
      </c>
    </row>
    <row r="596" spans="2:10">
      <c r="B596" s="52" t="s">
        <v>167</v>
      </c>
      <c r="C596" s="52"/>
      <c r="D596" s="52"/>
      <c r="E596" s="229" t="s">
        <v>2086</v>
      </c>
      <c r="F596" s="229" t="s">
        <v>2086</v>
      </c>
      <c r="G596" s="229" t="s">
        <v>2086</v>
      </c>
      <c r="H596" s="229" t="s">
        <v>2086</v>
      </c>
      <c r="I596" s="229" t="s">
        <v>2086</v>
      </c>
      <c r="J596" s="229" t="s">
        <v>2086</v>
      </c>
    </row>
    <row r="597" spans="2:10">
      <c r="B597" s="52" t="s">
        <v>166</v>
      </c>
      <c r="C597" s="52"/>
      <c r="D597" s="52"/>
      <c r="E597" s="229" t="s">
        <v>2086</v>
      </c>
      <c r="F597" s="229" t="s">
        <v>2086</v>
      </c>
      <c r="G597" s="229" t="s">
        <v>2086</v>
      </c>
      <c r="H597" s="229" t="s">
        <v>2086</v>
      </c>
      <c r="I597" s="229" t="s">
        <v>2086</v>
      </c>
      <c r="J597" s="229" t="s">
        <v>2086</v>
      </c>
    </row>
    <row r="598" spans="2:10">
      <c r="B598" s="52" t="s">
        <v>165</v>
      </c>
      <c r="C598" s="52"/>
      <c r="D598" s="52"/>
      <c r="E598" s="229" t="s">
        <v>2086</v>
      </c>
      <c r="F598" s="229" t="s">
        <v>2086</v>
      </c>
      <c r="G598" s="229" t="s">
        <v>2086</v>
      </c>
      <c r="H598" s="229" t="s">
        <v>2086</v>
      </c>
      <c r="I598" s="229" t="s">
        <v>2086</v>
      </c>
      <c r="J598" s="229" t="s">
        <v>2086</v>
      </c>
    </row>
    <row r="599" spans="2:10">
      <c r="B599" s="52" t="s">
        <v>164</v>
      </c>
      <c r="C599" s="52"/>
      <c r="D599" s="52"/>
      <c r="E599" s="229" t="s">
        <v>2086</v>
      </c>
      <c r="F599" s="229" t="s">
        <v>2086</v>
      </c>
      <c r="G599" s="229" t="s">
        <v>2086</v>
      </c>
      <c r="H599" s="229" t="s">
        <v>2086</v>
      </c>
      <c r="I599" s="229" t="s">
        <v>2086</v>
      </c>
      <c r="J599" s="229" t="s">
        <v>2086</v>
      </c>
    </row>
    <row r="600" spans="2:10">
      <c r="B600" s="52"/>
      <c r="C600" s="52"/>
      <c r="D600" s="52"/>
    </row>
    <row r="601" spans="2:10">
      <c r="B601" s="80" t="s">
        <v>170</v>
      </c>
      <c r="C601" s="80"/>
      <c r="D601" s="80"/>
      <c r="E601" s="229" t="s">
        <v>2086</v>
      </c>
      <c r="F601" s="229" t="s">
        <v>2086</v>
      </c>
      <c r="G601" s="229" t="s">
        <v>2086</v>
      </c>
      <c r="H601" s="229" t="s">
        <v>2086</v>
      </c>
      <c r="I601" s="229" t="s">
        <v>2086</v>
      </c>
      <c r="J601" s="229" t="s">
        <v>2086</v>
      </c>
    </row>
    <row r="602" spans="2:10">
      <c r="B602" s="52" t="s">
        <v>169</v>
      </c>
      <c r="C602" s="52"/>
      <c r="D602" s="52"/>
      <c r="E602" s="229" t="s">
        <v>2086</v>
      </c>
      <c r="F602" s="229" t="s">
        <v>2086</v>
      </c>
      <c r="G602" s="229" t="s">
        <v>2086</v>
      </c>
      <c r="H602" s="229" t="s">
        <v>2086</v>
      </c>
      <c r="I602" s="229" t="s">
        <v>2086</v>
      </c>
      <c r="J602" s="229" t="s">
        <v>2086</v>
      </c>
    </row>
    <row r="603" spans="2:10">
      <c r="B603" s="52" t="s">
        <v>168</v>
      </c>
      <c r="C603" s="52"/>
      <c r="D603" s="52"/>
      <c r="E603" s="229" t="s">
        <v>2086</v>
      </c>
      <c r="F603" s="229" t="s">
        <v>2086</v>
      </c>
      <c r="G603" s="229" t="s">
        <v>2086</v>
      </c>
      <c r="H603" s="229" t="s">
        <v>2086</v>
      </c>
      <c r="I603" s="229" t="s">
        <v>2086</v>
      </c>
      <c r="J603" s="229" t="s">
        <v>2086</v>
      </c>
    </row>
    <row r="604" spans="2:10">
      <c r="B604" s="52" t="s">
        <v>167</v>
      </c>
      <c r="C604" s="52"/>
      <c r="D604" s="52"/>
      <c r="E604" s="229" t="s">
        <v>2086</v>
      </c>
      <c r="F604" s="229" t="s">
        <v>2086</v>
      </c>
      <c r="G604" s="229" t="s">
        <v>2086</v>
      </c>
      <c r="H604" s="229" t="s">
        <v>2086</v>
      </c>
      <c r="I604" s="229" t="s">
        <v>2086</v>
      </c>
      <c r="J604" s="229" t="s">
        <v>2086</v>
      </c>
    </row>
    <row r="605" spans="2:10">
      <c r="B605" s="52" t="s">
        <v>166</v>
      </c>
      <c r="C605" s="52"/>
      <c r="D605" s="52"/>
      <c r="E605" s="229" t="s">
        <v>2086</v>
      </c>
      <c r="F605" s="229" t="s">
        <v>2086</v>
      </c>
      <c r="G605" s="229" t="s">
        <v>2086</v>
      </c>
      <c r="H605" s="229" t="s">
        <v>2086</v>
      </c>
      <c r="I605" s="229" t="s">
        <v>2086</v>
      </c>
      <c r="J605" s="229" t="s">
        <v>2086</v>
      </c>
    </row>
    <row r="606" spans="2:10">
      <c r="B606" s="52" t="s">
        <v>165</v>
      </c>
      <c r="C606" s="52"/>
      <c r="D606" s="52"/>
      <c r="E606" s="229" t="s">
        <v>2086</v>
      </c>
      <c r="F606" s="229" t="s">
        <v>2086</v>
      </c>
      <c r="G606" s="229" t="s">
        <v>2086</v>
      </c>
      <c r="H606" s="229" t="s">
        <v>2086</v>
      </c>
      <c r="I606" s="229" t="s">
        <v>2086</v>
      </c>
      <c r="J606" s="229" t="s">
        <v>2086</v>
      </c>
    </row>
    <row r="607" spans="2:10" ht="15" thickBot="1">
      <c r="B607" s="52" t="s">
        <v>164</v>
      </c>
      <c r="C607" s="52"/>
      <c r="D607" s="52"/>
      <c r="E607" s="229" t="s">
        <v>2086</v>
      </c>
      <c r="F607" s="229" t="s">
        <v>2086</v>
      </c>
      <c r="G607" s="229" t="s">
        <v>2086</v>
      </c>
      <c r="H607" s="229" t="s">
        <v>2086</v>
      </c>
      <c r="I607" s="229" t="s">
        <v>2086</v>
      </c>
      <c r="J607" s="229" t="s">
        <v>2086</v>
      </c>
    </row>
    <row r="608" spans="2:10" ht="15" thickTop="1">
      <c r="B608" s="2023" t="s">
        <v>2090</v>
      </c>
      <c r="C608" s="2023"/>
      <c r="D608" s="2023"/>
      <c r="E608" s="2023"/>
      <c r="F608" s="2023"/>
      <c r="G608" s="2023"/>
      <c r="H608" s="2023"/>
      <c r="I608" s="2023"/>
      <c r="J608" s="2023"/>
    </row>
    <row r="609" spans="2:10">
      <c r="B609" s="64"/>
      <c r="C609" s="64"/>
      <c r="D609" s="64"/>
    </row>
    <row r="610" spans="2:10">
      <c r="B610" s="2024" t="s">
        <v>161</v>
      </c>
      <c r="C610" s="2024"/>
      <c r="D610" s="2024"/>
      <c r="E610" s="2024"/>
      <c r="F610" s="2024"/>
      <c r="G610" s="2024"/>
      <c r="H610" s="2024"/>
      <c r="I610" s="2024"/>
      <c r="J610" s="2024"/>
    </row>
    <row r="611" spans="2:10">
      <c r="B611" s="12" t="s">
        <v>160</v>
      </c>
      <c r="C611" s="12"/>
      <c r="D611" s="12"/>
    </row>
    <row r="612" spans="2:10">
      <c r="B612" s="77" t="s">
        <v>269</v>
      </c>
      <c r="C612" s="77"/>
      <c r="D612" s="77"/>
    </row>
    <row r="613" spans="2:10">
      <c r="B613" s="76"/>
      <c r="C613" s="76"/>
      <c r="D613" s="76"/>
    </row>
    <row r="614" spans="2:10">
      <c r="B614" s="61"/>
      <c r="C614" s="61"/>
      <c r="D614" s="61"/>
      <c r="E614" s="60">
        <v>2016</v>
      </c>
      <c r="F614" s="60">
        <v>2017</v>
      </c>
      <c r="G614" s="60">
        <v>2018</v>
      </c>
      <c r="H614" s="60">
        <v>2019</v>
      </c>
      <c r="I614" s="60">
        <v>2020</v>
      </c>
      <c r="J614" s="60">
        <v>2021</v>
      </c>
    </row>
    <row r="615" spans="2:10">
      <c r="B615" s="59" t="s">
        <v>1355</v>
      </c>
      <c r="C615" s="59"/>
      <c r="D615" s="59"/>
    </row>
    <row r="616" spans="2:10">
      <c r="B616" s="71" t="s">
        <v>516</v>
      </c>
      <c r="C616" s="71"/>
      <c r="D616" s="71"/>
      <c r="E616" s="459"/>
      <c r="F616" s="459"/>
      <c r="G616" s="459"/>
      <c r="H616" s="459"/>
      <c r="I616" s="459"/>
      <c r="J616" s="459"/>
    </row>
    <row r="617" spans="2:10">
      <c r="B617" s="52" t="s">
        <v>262</v>
      </c>
      <c r="C617" s="52"/>
      <c r="D617" s="52"/>
      <c r="E617" s="234">
        <v>1</v>
      </c>
      <c r="F617" s="234">
        <v>1</v>
      </c>
      <c r="G617" s="234">
        <v>1</v>
      </c>
      <c r="H617" s="234">
        <v>1</v>
      </c>
      <c r="I617" s="234">
        <v>1</v>
      </c>
      <c r="J617" s="234">
        <v>1</v>
      </c>
    </row>
    <row r="618" spans="2:10">
      <c r="B618" s="52" t="s">
        <v>2112</v>
      </c>
      <c r="C618" s="52"/>
      <c r="D618" s="52"/>
      <c r="E618" s="234">
        <v>0</v>
      </c>
      <c r="F618" s="234">
        <v>0</v>
      </c>
      <c r="G618" s="234">
        <v>0</v>
      </c>
      <c r="H618" s="234">
        <v>0</v>
      </c>
      <c r="I618" s="234">
        <v>0</v>
      </c>
      <c r="J618" s="234">
        <v>0</v>
      </c>
    </row>
    <row r="619" spans="2:10">
      <c r="B619" s="52" t="s">
        <v>1676</v>
      </c>
      <c r="C619" s="52"/>
      <c r="D619" s="52"/>
      <c r="E619" s="234">
        <v>0</v>
      </c>
      <c r="F619" s="234">
        <v>0</v>
      </c>
      <c r="G619" s="234">
        <v>0</v>
      </c>
      <c r="H619" s="234">
        <v>0</v>
      </c>
      <c r="I619" s="234">
        <v>0</v>
      </c>
      <c r="J619" s="234">
        <v>0</v>
      </c>
    </row>
    <row r="620" spans="2:10">
      <c r="B620" s="52" t="s">
        <v>260</v>
      </c>
      <c r="C620" s="52"/>
      <c r="D620" s="52"/>
      <c r="E620" s="234">
        <v>11</v>
      </c>
      <c r="F620" s="234">
        <v>11</v>
      </c>
      <c r="G620" s="234">
        <v>11</v>
      </c>
      <c r="H620" s="234">
        <v>11</v>
      </c>
      <c r="I620" s="234">
        <v>10</v>
      </c>
      <c r="J620" s="234">
        <v>10</v>
      </c>
    </row>
    <row r="621" spans="2:10">
      <c r="B621" s="52" t="s">
        <v>496</v>
      </c>
      <c r="C621" s="52"/>
      <c r="D621" s="52"/>
      <c r="E621" s="234">
        <v>4</v>
      </c>
      <c r="F621" s="234">
        <v>4</v>
      </c>
      <c r="G621" s="234">
        <v>4</v>
      </c>
      <c r="H621" s="234">
        <v>4</v>
      </c>
      <c r="I621" s="234">
        <v>4</v>
      </c>
      <c r="J621" s="234">
        <v>4</v>
      </c>
    </row>
    <row r="622" spans="2:10">
      <c r="B622" s="52"/>
      <c r="C622" s="52"/>
      <c r="D622" s="52"/>
      <c r="E622" s="234"/>
      <c r="F622" s="234"/>
      <c r="G622" s="234"/>
      <c r="H622" s="234"/>
      <c r="I622" s="234"/>
      <c r="J622" s="234"/>
    </row>
    <row r="623" spans="2:10">
      <c r="B623" s="71" t="s">
        <v>152</v>
      </c>
      <c r="C623" s="71"/>
      <c r="D623" s="71"/>
      <c r="E623" s="234"/>
      <c r="F623" s="234"/>
      <c r="G623" s="234"/>
      <c r="H623" s="234"/>
      <c r="I623" s="234"/>
      <c r="J623" s="234"/>
    </row>
    <row r="624" spans="2:10">
      <c r="B624" s="52" t="s">
        <v>262</v>
      </c>
      <c r="C624" s="52"/>
      <c r="D624" s="52"/>
      <c r="E624" s="234">
        <v>1</v>
      </c>
      <c r="F624" s="234">
        <v>1</v>
      </c>
      <c r="G624" s="234">
        <v>1</v>
      </c>
      <c r="H624" s="234">
        <v>1</v>
      </c>
      <c r="I624" s="234">
        <v>1</v>
      </c>
      <c r="J624" s="234">
        <v>1</v>
      </c>
    </row>
    <row r="625" spans="2:10">
      <c r="B625" s="52" t="s">
        <v>2112</v>
      </c>
      <c r="C625" s="52"/>
      <c r="D625" s="52"/>
      <c r="E625" s="234">
        <v>0</v>
      </c>
      <c r="F625" s="234">
        <v>0</v>
      </c>
      <c r="G625" s="234">
        <v>0</v>
      </c>
      <c r="H625" s="234">
        <v>0</v>
      </c>
      <c r="I625" s="234">
        <v>0</v>
      </c>
      <c r="J625" s="234">
        <v>0</v>
      </c>
    </row>
    <row r="626" spans="2:10">
      <c r="B626" s="52" t="s">
        <v>1676</v>
      </c>
      <c r="C626" s="52"/>
      <c r="D626" s="52"/>
      <c r="E626" s="234">
        <v>0</v>
      </c>
      <c r="F626" s="234">
        <v>0</v>
      </c>
      <c r="G626" s="234">
        <v>0</v>
      </c>
      <c r="H626" s="234">
        <v>0</v>
      </c>
      <c r="I626" s="234">
        <v>0</v>
      </c>
      <c r="J626" s="234">
        <v>0</v>
      </c>
    </row>
    <row r="627" spans="2:10">
      <c r="B627" s="52" t="s">
        <v>260</v>
      </c>
      <c r="C627" s="52"/>
      <c r="D627" s="52"/>
      <c r="E627" s="234">
        <v>11</v>
      </c>
      <c r="F627" s="234">
        <v>11</v>
      </c>
      <c r="G627" s="234">
        <v>11</v>
      </c>
      <c r="H627" s="234">
        <v>11</v>
      </c>
      <c r="I627" s="234">
        <v>10</v>
      </c>
      <c r="J627" s="234">
        <v>10</v>
      </c>
    </row>
    <row r="628" spans="2:10">
      <c r="B628" s="52" t="s">
        <v>496</v>
      </c>
      <c r="C628" s="52"/>
      <c r="D628" s="52"/>
      <c r="E628" s="234">
        <v>4</v>
      </c>
      <c r="F628" s="234">
        <v>4</v>
      </c>
      <c r="G628" s="234">
        <v>4</v>
      </c>
      <c r="H628" s="234">
        <v>4</v>
      </c>
      <c r="I628" s="234">
        <v>4</v>
      </c>
      <c r="J628" s="234">
        <v>4</v>
      </c>
    </row>
    <row r="629" spans="2:10">
      <c r="B629" s="52"/>
      <c r="C629" s="52"/>
      <c r="D629" s="52"/>
      <c r="E629" s="234"/>
      <c r="F629" s="234"/>
      <c r="G629" s="234"/>
      <c r="H629" s="234"/>
      <c r="I629" s="234"/>
      <c r="J629" s="234"/>
    </row>
    <row r="630" spans="2:10">
      <c r="B630" s="71" t="s">
        <v>151</v>
      </c>
      <c r="C630" s="71"/>
      <c r="D630" s="71"/>
      <c r="E630" s="234"/>
      <c r="F630" s="234"/>
      <c r="G630" s="234"/>
      <c r="H630" s="234"/>
      <c r="I630" s="234"/>
      <c r="J630" s="234"/>
    </row>
    <row r="631" spans="2:10">
      <c r="B631" s="52" t="s">
        <v>262</v>
      </c>
      <c r="C631" s="52"/>
      <c r="D631" s="52"/>
      <c r="E631" s="234">
        <v>0</v>
      </c>
      <c r="F631" s="234">
        <v>0</v>
      </c>
      <c r="G631" s="234">
        <v>0</v>
      </c>
      <c r="H631" s="234">
        <v>0</v>
      </c>
      <c r="I631" s="234">
        <v>0</v>
      </c>
      <c r="J631" s="234">
        <v>0</v>
      </c>
    </row>
    <row r="632" spans="2:10">
      <c r="B632" s="52" t="s">
        <v>2112</v>
      </c>
      <c r="C632" s="52"/>
      <c r="D632" s="52"/>
      <c r="E632" s="234">
        <v>0</v>
      </c>
      <c r="F632" s="234">
        <v>0</v>
      </c>
      <c r="G632" s="234">
        <v>0</v>
      </c>
      <c r="H632" s="234">
        <v>0</v>
      </c>
      <c r="I632" s="234">
        <v>0</v>
      </c>
      <c r="J632" s="234">
        <v>0</v>
      </c>
    </row>
    <row r="633" spans="2:10">
      <c r="B633" s="52" t="s">
        <v>1676</v>
      </c>
      <c r="C633" s="52"/>
      <c r="D633" s="52"/>
      <c r="E633" s="234">
        <v>0</v>
      </c>
      <c r="F633" s="234">
        <v>0</v>
      </c>
      <c r="G633" s="234">
        <v>0</v>
      </c>
      <c r="H633" s="234">
        <v>0</v>
      </c>
      <c r="I633" s="234">
        <v>0</v>
      </c>
      <c r="J633" s="234">
        <v>0</v>
      </c>
    </row>
    <row r="634" spans="2:10">
      <c r="B634" s="52" t="s">
        <v>260</v>
      </c>
      <c r="C634" s="52"/>
      <c r="D634" s="52"/>
      <c r="E634" s="234">
        <v>0</v>
      </c>
      <c r="F634" s="234">
        <v>0</v>
      </c>
      <c r="G634" s="234">
        <v>0</v>
      </c>
      <c r="H634" s="234">
        <v>0</v>
      </c>
      <c r="I634" s="234">
        <v>0</v>
      </c>
      <c r="J634" s="234">
        <v>0</v>
      </c>
    </row>
    <row r="635" spans="2:10" ht="15" thickBot="1">
      <c r="B635" s="52" t="s">
        <v>496</v>
      </c>
      <c r="C635" s="52"/>
      <c r="D635" s="52"/>
      <c r="E635" s="234">
        <v>1</v>
      </c>
      <c r="F635" s="234">
        <v>1</v>
      </c>
      <c r="G635" s="234">
        <v>1</v>
      </c>
      <c r="H635" s="234">
        <v>1</v>
      </c>
      <c r="I635" s="234">
        <v>1</v>
      </c>
      <c r="J635" s="234">
        <v>1</v>
      </c>
    </row>
    <row r="636" spans="2:10" ht="15" thickTop="1">
      <c r="B636" s="2023" t="s">
        <v>2090</v>
      </c>
      <c r="C636" s="2023"/>
      <c r="D636" s="2023"/>
      <c r="E636" s="2023"/>
      <c r="F636" s="2023"/>
      <c r="G636" s="2023"/>
      <c r="H636" s="2023"/>
      <c r="I636" s="2023"/>
      <c r="J636" s="2023"/>
    </row>
    <row r="637" spans="2:10">
      <c r="B637" s="2017"/>
      <c r="C637" s="2017"/>
      <c r="D637" s="2017"/>
      <c r="E637" s="2017"/>
      <c r="F637" s="2017"/>
      <c r="G637" s="2017"/>
      <c r="H637" s="2017"/>
      <c r="I637" s="2017"/>
      <c r="J637" s="2017"/>
    </row>
    <row r="638" spans="2:10">
      <c r="B638" s="62"/>
      <c r="C638" s="62"/>
      <c r="D638" s="62"/>
    </row>
    <row r="639" spans="2:10">
      <c r="B639" s="2024" t="s">
        <v>144</v>
      </c>
      <c r="C639" s="2024"/>
      <c r="D639" s="2024"/>
      <c r="E639" s="2024"/>
      <c r="F639" s="2024"/>
      <c r="G639" s="2024"/>
      <c r="H639" s="2024"/>
      <c r="I639" s="2024"/>
      <c r="J639" s="2024"/>
    </row>
    <row r="640" spans="2:10">
      <c r="B640" s="12" t="s">
        <v>143</v>
      </c>
      <c r="C640" s="12"/>
      <c r="D640" s="12"/>
    </row>
    <row r="641" spans="2:10">
      <c r="B641" s="62" t="s">
        <v>142</v>
      </c>
      <c r="C641" s="62"/>
      <c r="D641" s="62"/>
    </row>
    <row r="642" spans="2:10">
      <c r="B642" s="62"/>
      <c r="C642" s="62"/>
      <c r="D642" s="62"/>
    </row>
    <row r="643" spans="2:10">
      <c r="B643" s="61"/>
      <c r="C643" s="61"/>
      <c r="D643" s="61"/>
      <c r="E643" s="60">
        <v>2016</v>
      </c>
      <c r="F643" s="60">
        <v>2017</v>
      </c>
      <c r="G643" s="60">
        <v>2018</v>
      </c>
      <c r="H643" s="60">
        <v>2019</v>
      </c>
      <c r="I643" s="60">
        <v>2020</v>
      </c>
      <c r="J643" s="60">
        <v>2021</v>
      </c>
    </row>
    <row r="644" spans="2:10">
      <c r="B644" s="59" t="s">
        <v>1355</v>
      </c>
      <c r="C644" s="59"/>
      <c r="D644" s="59"/>
    </row>
    <row r="645" spans="2:10">
      <c r="B645" s="71" t="s">
        <v>141</v>
      </c>
      <c r="C645" s="71"/>
      <c r="D645" s="71"/>
      <c r="E645" s="235"/>
      <c r="F645" s="235"/>
      <c r="G645" s="235"/>
      <c r="H645" s="235"/>
      <c r="I645" s="235"/>
      <c r="J645" s="235"/>
    </row>
    <row r="646" spans="2:10">
      <c r="B646" s="52" t="s">
        <v>121</v>
      </c>
      <c r="C646" s="52"/>
      <c r="D646" s="52"/>
      <c r="E646" s="235" t="s">
        <v>2086</v>
      </c>
      <c r="F646" s="235" t="s">
        <v>2086</v>
      </c>
      <c r="G646" s="235" t="s">
        <v>2086</v>
      </c>
      <c r="H646" s="235" t="s">
        <v>2086</v>
      </c>
      <c r="I646" s="235" t="s">
        <v>2086</v>
      </c>
      <c r="J646" s="235" t="s">
        <v>2086</v>
      </c>
    </row>
    <row r="647" spans="2:10">
      <c r="B647" s="53" t="s">
        <v>120</v>
      </c>
      <c r="C647" s="53"/>
      <c r="D647" s="53"/>
      <c r="E647" s="235" t="s">
        <v>2086</v>
      </c>
      <c r="F647" s="235" t="s">
        <v>2086</v>
      </c>
      <c r="G647" s="235" t="s">
        <v>2086</v>
      </c>
      <c r="H647" s="235" t="s">
        <v>2086</v>
      </c>
      <c r="I647" s="235" t="s">
        <v>2086</v>
      </c>
      <c r="J647" s="235" t="s">
        <v>2086</v>
      </c>
    </row>
    <row r="648" spans="2:10">
      <c r="B648" s="53" t="s">
        <v>119</v>
      </c>
      <c r="C648" s="53"/>
      <c r="D648" s="53"/>
      <c r="E648" s="235">
        <v>2.5999999999999999E-2</v>
      </c>
      <c r="F648" s="235">
        <v>2.4E-2</v>
      </c>
      <c r="G648" s="235">
        <v>2.1999999999999999E-2</v>
      </c>
      <c r="H648" s="235">
        <v>2.3E-2</v>
      </c>
      <c r="I648" s="235">
        <v>2.1000000000000001E-2</v>
      </c>
      <c r="J648" s="235">
        <v>2.1000000000000001E-2</v>
      </c>
    </row>
    <row r="649" spans="2:10">
      <c r="B649" s="52" t="s">
        <v>118</v>
      </c>
      <c r="C649" s="52"/>
      <c r="D649" s="52"/>
      <c r="E649" s="235" t="s">
        <v>2086</v>
      </c>
      <c r="F649" s="235" t="s">
        <v>2086</v>
      </c>
      <c r="G649" s="235" t="s">
        <v>2086</v>
      </c>
      <c r="H649" s="235" t="s">
        <v>2086</v>
      </c>
      <c r="I649" s="235" t="s">
        <v>2086</v>
      </c>
      <c r="J649" s="235" t="s">
        <v>2086</v>
      </c>
    </row>
    <row r="650" spans="2:10" ht="15" thickBot="1">
      <c r="B650" s="52" t="s">
        <v>117</v>
      </c>
      <c r="C650" s="52"/>
      <c r="D650" s="52"/>
      <c r="E650" s="235" t="s">
        <v>2086</v>
      </c>
      <c r="F650" s="235" t="s">
        <v>2086</v>
      </c>
      <c r="G650" s="235" t="s">
        <v>2086</v>
      </c>
      <c r="H650" s="235" t="s">
        <v>2086</v>
      </c>
      <c r="I650" s="235" t="s">
        <v>2086</v>
      </c>
      <c r="J650" s="235" t="s">
        <v>2086</v>
      </c>
    </row>
    <row r="651" spans="2:10" ht="15" thickTop="1">
      <c r="B651" s="2023" t="s">
        <v>2090</v>
      </c>
      <c r="C651" s="2023"/>
      <c r="D651" s="2023"/>
      <c r="E651" s="2023"/>
      <c r="F651" s="2023"/>
      <c r="G651" s="2023"/>
      <c r="H651" s="2023"/>
      <c r="I651" s="2023"/>
      <c r="J651" s="2023"/>
    </row>
    <row r="652" spans="2:10">
      <c r="B652" s="2017"/>
      <c r="C652" s="2017"/>
      <c r="D652" s="2017"/>
      <c r="E652" s="2017"/>
      <c r="F652" s="2017"/>
      <c r="G652" s="2017"/>
      <c r="H652" s="2017"/>
      <c r="I652" s="2017"/>
      <c r="J652" s="2017"/>
    </row>
    <row r="653" spans="2:10">
      <c r="B653" s="64"/>
      <c r="C653" s="64"/>
      <c r="D653" s="64"/>
    </row>
    <row r="654" spans="2:10">
      <c r="B654" s="2024" t="s">
        <v>140</v>
      </c>
      <c r="C654" s="2024"/>
      <c r="D654" s="2024"/>
      <c r="E654" s="2024"/>
      <c r="F654" s="2024"/>
      <c r="G654" s="2024"/>
      <c r="H654" s="2024"/>
      <c r="I654" s="2024"/>
      <c r="J654" s="2024"/>
    </row>
    <row r="655" spans="2:10">
      <c r="B655" s="12" t="s">
        <v>139</v>
      </c>
      <c r="C655" s="12"/>
      <c r="D655" s="12"/>
    </row>
    <row r="656" spans="2:10">
      <c r="B656" s="62" t="s">
        <v>138</v>
      </c>
      <c r="C656" s="62"/>
      <c r="D656" s="62"/>
    </row>
    <row r="657" spans="2:10">
      <c r="B657" s="64"/>
      <c r="C657" s="64"/>
      <c r="D657" s="64"/>
    </row>
    <row r="658" spans="2:10">
      <c r="B658" s="61"/>
      <c r="C658" s="61"/>
      <c r="D658" s="61"/>
      <c r="E658" s="60">
        <v>2016</v>
      </c>
      <c r="F658" s="60">
        <v>2017</v>
      </c>
      <c r="G658" s="60">
        <v>2018</v>
      </c>
      <c r="H658" s="60">
        <v>2019</v>
      </c>
      <c r="I658" s="60">
        <v>2020</v>
      </c>
      <c r="J658" s="60">
        <v>2021</v>
      </c>
    </row>
    <row r="659" spans="2:10">
      <c r="B659" s="59" t="s">
        <v>1355</v>
      </c>
      <c r="C659" s="59"/>
      <c r="D659" s="59"/>
    </row>
    <row r="660" spans="2:10">
      <c r="B660" s="71" t="s">
        <v>137</v>
      </c>
      <c r="C660" s="71"/>
      <c r="D660" s="71"/>
      <c r="E660" s="535"/>
      <c r="F660" s="535"/>
      <c r="G660" s="535"/>
      <c r="H660" s="535"/>
      <c r="I660" s="535"/>
      <c r="J660" s="535"/>
    </row>
    <row r="661" spans="2:10">
      <c r="B661" s="52" t="s">
        <v>121</v>
      </c>
      <c r="C661" s="52"/>
      <c r="D661" s="52"/>
      <c r="E661" s="235" t="s">
        <v>2086</v>
      </c>
      <c r="F661" s="235" t="s">
        <v>2086</v>
      </c>
      <c r="G661" s="235" t="s">
        <v>2086</v>
      </c>
      <c r="H661" s="235" t="s">
        <v>2086</v>
      </c>
      <c r="I661" s="235" t="s">
        <v>2086</v>
      </c>
      <c r="J661" s="235" t="s">
        <v>2086</v>
      </c>
    </row>
    <row r="662" spans="2:10">
      <c r="B662" s="53" t="s">
        <v>120</v>
      </c>
      <c r="C662" s="53"/>
      <c r="D662" s="53"/>
      <c r="E662" s="235" t="s">
        <v>2086</v>
      </c>
      <c r="F662" s="235" t="s">
        <v>2086</v>
      </c>
      <c r="G662" s="235" t="s">
        <v>2086</v>
      </c>
      <c r="H662" s="235" t="s">
        <v>2086</v>
      </c>
      <c r="I662" s="235" t="s">
        <v>2086</v>
      </c>
      <c r="J662" s="235" t="s">
        <v>2086</v>
      </c>
    </row>
    <row r="663" spans="2:10">
      <c r="B663" s="53" t="s">
        <v>119</v>
      </c>
      <c r="C663" s="53"/>
      <c r="D663" s="53"/>
      <c r="E663" s="1727">
        <v>1931.5632033519553</v>
      </c>
      <c r="F663" s="1727">
        <v>1769.680615083799</v>
      </c>
      <c r="G663" s="1727">
        <v>1630.081267039106</v>
      </c>
      <c r="H663" s="1727">
        <v>1672.18</v>
      </c>
      <c r="I663" s="1727">
        <v>1548.92</v>
      </c>
      <c r="J663" s="1727">
        <v>1542.34</v>
      </c>
    </row>
    <row r="664" spans="2:10">
      <c r="B664" s="52" t="s">
        <v>118</v>
      </c>
      <c r="C664" s="52"/>
      <c r="D664" s="52"/>
      <c r="E664" s="235" t="s">
        <v>2086</v>
      </c>
      <c r="F664" s="235" t="s">
        <v>2086</v>
      </c>
      <c r="G664" s="235" t="s">
        <v>2086</v>
      </c>
      <c r="H664" s="235" t="s">
        <v>2086</v>
      </c>
      <c r="I664" s="235" t="s">
        <v>2086</v>
      </c>
      <c r="J664" s="235" t="s">
        <v>2086</v>
      </c>
    </row>
    <row r="665" spans="2:10" ht="15" thickBot="1">
      <c r="B665" s="52" t="s">
        <v>117</v>
      </c>
      <c r="C665" s="52"/>
      <c r="D665" s="52"/>
      <c r="E665" s="235" t="s">
        <v>2086</v>
      </c>
      <c r="F665" s="235" t="s">
        <v>2086</v>
      </c>
      <c r="G665" s="235" t="s">
        <v>2086</v>
      </c>
      <c r="H665" s="235" t="s">
        <v>2086</v>
      </c>
      <c r="I665" s="235" t="s">
        <v>2086</v>
      </c>
      <c r="J665" s="235" t="s">
        <v>2086</v>
      </c>
    </row>
    <row r="666" spans="2:10" ht="15" thickTop="1">
      <c r="B666" s="2023" t="s">
        <v>2090</v>
      </c>
      <c r="C666" s="2023"/>
      <c r="D666" s="2023"/>
      <c r="E666" s="2023"/>
      <c r="F666" s="2023"/>
      <c r="G666" s="2023"/>
      <c r="H666" s="2023"/>
      <c r="I666" s="2023"/>
      <c r="J666" s="2023"/>
    </row>
    <row r="667" spans="2:10">
      <c r="B667" s="64"/>
      <c r="C667" s="64"/>
      <c r="D667" s="64"/>
    </row>
    <row r="668" spans="2:10">
      <c r="B668" s="2024" t="s">
        <v>133</v>
      </c>
      <c r="C668" s="2024"/>
      <c r="D668" s="2024"/>
      <c r="E668" s="2024"/>
      <c r="F668" s="2024"/>
      <c r="G668" s="2024"/>
      <c r="H668" s="2024"/>
      <c r="I668" s="2024"/>
      <c r="J668" s="2024"/>
    </row>
    <row r="669" spans="2:10">
      <c r="B669" s="12" t="s">
        <v>132</v>
      </c>
      <c r="C669" s="12"/>
      <c r="D669" s="12"/>
    </row>
    <row r="670" spans="2:10">
      <c r="B670" s="62" t="s">
        <v>131</v>
      </c>
      <c r="C670" s="62"/>
      <c r="D670" s="62"/>
    </row>
    <row r="671" spans="2:10">
      <c r="B671" s="62"/>
      <c r="C671" s="62"/>
      <c r="D671" s="62"/>
    </row>
    <row r="672" spans="2:10">
      <c r="B672" s="61"/>
      <c r="C672" s="61"/>
      <c r="D672" s="61"/>
      <c r="E672" s="60">
        <v>2016</v>
      </c>
      <c r="F672" s="60">
        <v>2017</v>
      </c>
      <c r="G672" s="60">
        <v>2018</v>
      </c>
      <c r="H672" s="60">
        <v>2019</v>
      </c>
      <c r="I672" s="60">
        <v>2020</v>
      </c>
      <c r="J672" s="60">
        <v>2021</v>
      </c>
    </row>
    <row r="673" spans="2:10">
      <c r="B673" s="71" t="s">
        <v>130</v>
      </c>
      <c r="C673" s="71"/>
      <c r="D673" s="71"/>
      <c r="E673" s="235" t="s">
        <v>2086</v>
      </c>
      <c r="F673" s="235" t="s">
        <v>2086</v>
      </c>
      <c r="G673" s="235" t="s">
        <v>2086</v>
      </c>
      <c r="H673" s="235" t="s">
        <v>2086</v>
      </c>
      <c r="I673" s="235" t="s">
        <v>2086</v>
      </c>
      <c r="J673" s="235" t="s">
        <v>2086</v>
      </c>
    </row>
    <row r="674" spans="2:10">
      <c r="B674" s="71"/>
      <c r="C674" s="71"/>
      <c r="D674" s="71"/>
    </row>
    <row r="675" spans="2:10">
      <c r="B675" s="59" t="s">
        <v>486</v>
      </c>
      <c r="C675" s="59"/>
      <c r="D675" s="59"/>
      <c r="E675" s="3"/>
      <c r="F675" s="3"/>
      <c r="G675" s="3"/>
      <c r="H675" s="3"/>
      <c r="I675" s="3"/>
      <c r="J675" s="3"/>
    </row>
    <row r="676" spans="2:10">
      <c r="B676" s="54" t="s">
        <v>123</v>
      </c>
      <c r="C676" s="54"/>
      <c r="D676" s="54"/>
      <c r="E676" s="235" t="s">
        <v>2086</v>
      </c>
      <c r="F676" s="235" t="s">
        <v>2086</v>
      </c>
      <c r="G676" s="235" t="s">
        <v>2086</v>
      </c>
      <c r="H676" s="235" t="s">
        <v>2086</v>
      </c>
      <c r="I676" s="235" t="s">
        <v>2086</v>
      </c>
      <c r="J676" s="235" t="s">
        <v>2086</v>
      </c>
    </row>
    <row r="677" spans="2:10">
      <c r="B677" s="52" t="s">
        <v>121</v>
      </c>
      <c r="C677" s="52"/>
      <c r="D677" s="52"/>
      <c r="E677" s="235" t="s">
        <v>2086</v>
      </c>
      <c r="F677" s="235" t="s">
        <v>2086</v>
      </c>
      <c r="G677" s="235" t="s">
        <v>2086</v>
      </c>
      <c r="H677" s="235" t="s">
        <v>2086</v>
      </c>
      <c r="I677" s="235" t="s">
        <v>2086</v>
      </c>
      <c r="J677" s="235" t="s">
        <v>2086</v>
      </c>
    </row>
    <row r="678" spans="2:10">
      <c r="B678" s="53" t="s">
        <v>120</v>
      </c>
      <c r="C678" s="53"/>
      <c r="D678" s="53"/>
      <c r="E678" s="235" t="s">
        <v>2086</v>
      </c>
      <c r="F678" s="235" t="s">
        <v>2086</v>
      </c>
      <c r="G678" s="235" t="s">
        <v>2086</v>
      </c>
      <c r="H678" s="235" t="s">
        <v>2086</v>
      </c>
      <c r="I678" s="235" t="s">
        <v>2086</v>
      </c>
      <c r="J678" s="235" t="s">
        <v>2086</v>
      </c>
    </row>
    <row r="679" spans="2:10">
      <c r="B679" s="53" t="s">
        <v>119</v>
      </c>
      <c r="C679" s="53"/>
      <c r="D679" s="53"/>
      <c r="E679" s="235" t="s">
        <v>2086</v>
      </c>
      <c r="F679" s="235" t="s">
        <v>2086</v>
      </c>
      <c r="G679" s="235" t="s">
        <v>2086</v>
      </c>
      <c r="H679" s="235" t="s">
        <v>2086</v>
      </c>
      <c r="I679" s="235" t="s">
        <v>2086</v>
      </c>
      <c r="J679" s="235" t="s">
        <v>2086</v>
      </c>
    </row>
    <row r="680" spans="2:10">
      <c r="B680" s="52" t="s">
        <v>118</v>
      </c>
      <c r="C680" s="52"/>
      <c r="D680" s="52"/>
      <c r="E680" s="235" t="s">
        <v>2086</v>
      </c>
      <c r="F680" s="235" t="s">
        <v>2086</v>
      </c>
      <c r="G680" s="235" t="s">
        <v>2086</v>
      </c>
      <c r="H680" s="235" t="s">
        <v>2086</v>
      </c>
      <c r="I680" s="235" t="s">
        <v>2086</v>
      </c>
      <c r="J680" s="235" t="s">
        <v>2086</v>
      </c>
    </row>
    <row r="681" spans="2:10">
      <c r="B681" s="52" t="s">
        <v>117</v>
      </c>
      <c r="C681" s="52"/>
      <c r="D681" s="52"/>
      <c r="E681" s="235" t="s">
        <v>2086</v>
      </c>
      <c r="F681" s="235" t="s">
        <v>2086</v>
      </c>
      <c r="G681" s="235" t="s">
        <v>2086</v>
      </c>
      <c r="H681" s="235" t="s">
        <v>2086</v>
      </c>
      <c r="I681" s="235" t="s">
        <v>2086</v>
      </c>
      <c r="J681" s="235" t="s">
        <v>2086</v>
      </c>
    </row>
    <row r="682" spans="2:10">
      <c r="B682" s="52"/>
      <c r="C682" s="52"/>
      <c r="D682" s="52"/>
    </row>
    <row r="683" spans="2:10">
      <c r="B683" s="54" t="s">
        <v>122</v>
      </c>
      <c r="C683" s="54"/>
      <c r="D683" s="54"/>
      <c r="E683" s="235" t="s">
        <v>2086</v>
      </c>
      <c r="F683" s="235" t="s">
        <v>2086</v>
      </c>
      <c r="G683" s="235" t="s">
        <v>2086</v>
      </c>
      <c r="H683" s="235" t="s">
        <v>2086</v>
      </c>
      <c r="I683" s="235" t="s">
        <v>2086</v>
      </c>
      <c r="J683" s="235" t="s">
        <v>2086</v>
      </c>
    </row>
    <row r="684" spans="2:10">
      <c r="B684" s="52" t="s">
        <v>121</v>
      </c>
      <c r="C684" s="52"/>
      <c r="D684" s="52"/>
      <c r="E684" s="235" t="s">
        <v>2086</v>
      </c>
      <c r="F684" s="235" t="s">
        <v>2086</v>
      </c>
      <c r="G684" s="235" t="s">
        <v>2086</v>
      </c>
      <c r="H684" s="235" t="s">
        <v>2086</v>
      </c>
      <c r="I684" s="235" t="s">
        <v>2086</v>
      </c>
      <c r="J684" s="235" t="s">
        <v>2086</v>
      </c>
    </row>
    <row r="685" spans="2:10">
      <c r="B685" s="53" t="s">
        <v>120</v>
      </c>
      <c r="C685" s="53"/>
      <c r="D685" s="53"/>
      <c r="E685" s="235" t="s">
        <v>2086</v>
      </c>
      <c r="F685" s="235" t="s">
        <v>2086</v>
      </c>
      <c r="G685" s="235" t="s">
        <v>2086</v>
      </c>
      <c r="H685" s="235" t="s">
        <v>2086</v>
      </c>
      <c r="I685" s="235" t="s">
        <v>2086</v>
      </c>
      <c r="J685" s="235" t="s">
        <v>2086</v>
      </c>
    </row>
    <row r="686" spans="2:10">
      <c r="B686" s="53" t="s">
        <v>119</v>
      </c>
      <c r="C686" s="53"/>
      <c r="D686" s="53"/>
      <c r="E686" s="235" t="s">
        <v>2086</v>
      </c>
      <c r="F686" s="235" t="s">
        <v>2086</v>
      </c>
      <c r="G686" s="235" t="s">
        <v>2086</v>
      </c>
      <c r="H686" s="235" t="s">
        <v>2086</v>
      </c>
      <c r="I686" s="235" t="s">
        <v>2086</v>
      </c>
      <c r="J686" s="235" t="s">
        <v>2086</v>
      </c>
    </row>
    <row r="687" spans="2:10">
      <c r="B687" s="52" t="s">
        <v>118</v>
      </c>
      <c r="C687" s="52"/>
      <c r="D687" s="52"/>
      <c r="E687" s="235" t="s">
        <v>2086</v>
      </c>
      <c r="F687" s="235" t="s">
        <v>2086</v>
      </c>
      <c r="G687" s="235" t="s">
        <v>2086</v>
      </c>
      <c r="H687" s="235" t="s">
        <v>2086</v>
      </c>
      <c r="I687" s="235" t="s">
        <v>2086</v>
      </c>
      <c r="J687" s="235" t="s">
        <v>2086</v>
      </c>
    </row>
    <row r="688" spans="2:10" ht="15" thickBot="1">
      <c r="B688" s="52" t="s">
        <v>117</v>
      </c>
      <c r="C688" s="52"/>
      <c r="D688" s="52"/>
      <c r="E688" s="235" t="s">
        <v>2086</v>
      </c>
      <c r="F688" s="235" t="s">
        <v>2086</v>
      </c>
      <c r="G688" s="235" t="s">
        <v>2086</v>
      </c>
      <c r="H688" s="235" t="s">
        <v>2086</v>
      </c>
      <c r="I688" s="235" t="s">
        <v>2086</v>
      </c>
      <c r="J688" s="235" t="s">
        <v>2086</v>
      </c>
    </row>
    <row r="689" spans="2:10" ht="15" thickTop="1">
      <c r="B689" s="2023" t="s">
        <v>2090</v>
      </c>
      <c r="C689" s="2023"/>
      <c r="D689" s="2023"/>
      <c r="E689" s="2023"/>
      <c r="F689" s="2023"/>
      <c r="G689" s="2023"/>
      <c r="H689" s="2023"/>
      <c r="I689" s="2023"/>
      <c r="J689" s="2023"/>
    </row>
    <row r="690" spans="2:10">
      <c r="B690" s="2017"/>
      <c r="C690" s="2017"/>
      <c r="D690" s="2017"/>
      <c r="E690" s="2017"/>
      <c r="F690" s="2017"/>
      <c r="G690" s="2017"/>
      <c r="H690" s="2017"/>
      <c r="I690" s="2017"/>
      <c r="J690" s="2017"/>
    </row>
    <row r="691" spans="2:10">
      <c r="B691" s="64"/>
      <c r="C691" s="64"/>
      <c r="D691" s="64"/>
    </row>
    <row r="692" spans="2:10">
      <c r="B692" s="14" t="s">
        <v>129</v>
      </c>
      <c r="C692" s="14"/>
      <c r="D692" s="14"/>
      <c r="E692" s="236"/>
      <c r="F692" s="236"/>
      <c r="G692" s="236"/>
      <c r="H692" s="236"/>
      <c r="I692" s="236"/>
      <c r="J692" s="236"/>
    </row>
    <row r="693" spans="2:10">
      <c r="B693" s="12" t="s">
        <v>128</v>
      </c>
      <c r="C693" s="12"/>
      <c r="D693" s="12"/>
    </row>
    <row r="694" spans="2:10">
      <c r="B694" s="62" t="s">
        <v>127</v>
      </c>
      <c r="C694" s="62"/>
      <c r="D694" s="62"/>
    </row>
    <row r="695" spans="2:10">
      <c r="B695" s="62"/>
      <c r="C695" s="62"/>
      <c r="D695" s="62"/>
    </row>
    <row r="696" spans="2:10">
      <c r="B696" s="61"/>
      <c r="C696" s="61"/>
      <c r="D696" s="61"/>
      <c r="E696" s="60">
        <v>2016</v>
      </c>
      <c r="F696" s="60">
        <v>2017</v>
      </c>
      <c r="G696" s="60">
        <v>2018</v>
      </c>
      <c r="H696" s="60">
        <v>2019</v>
      </c>
      <c r="I696" s="60">
        <v>2020</v>
      </c>
      <c r="J696" s="60">
        <v>2021</v>
      </c>
    </row>
    <row r="697" spans="2:10">
      <c r="B697" s="71" t="s">
        <v>124</v>
      </c>
      <c r="C697" s="71"/>
      <c r="D697" s="71"/>
      <c r="E697" s="235" t="s">
        <v>2086</v>
      </c>
      <c r="F697" s="235" t="s">
        <v>2086</v>
      </c>
      <c r="G697" s="235" t="s">
        <v>2086</v>
      </c>
      <c r="H697" s="235" t="s">
        <v>2086</v>
      </c>
      <c r="I697" s="235" t="s">
        <v>2086</v>
      </c>
      <c r="J697" s="235" t="s">
        <v>2086</v>
      </c>
    </row>
    <row r="698" spans="2:10">
      <c r="B698" s="71"/>
      <c r="C698" s="71"/>
      <c r="D698" s="71"/>
      <c r="E698" s="3"/>
      <c r="F698" s="3"/>
      <c r="G698" s="3"/>
      <c r="H698" s="3"/>
      <c r="I698" s="3"/>
    </row>
    <row r="699" spans="2:10">
      <c r="B699" s="59" t="s">
        <v>486</v>
      </c>
      <c r="C699" s="59"/>
      <c r="D699" s="59"/>
      <c r="E699" s="3"/>
      <c r="F699" s="3"/>
      <c r="G699" s="3"/>
      <c r="H699" s="3"/>
      <c r="I699" s="3"/>
      <c r="J699" s="3"/>
    </row>
    <row r="700" spans="2:10">
      <c r="B700" s="54" t="s">
        <v>123</v>
      </c>
      <c r="C700" s="54"/>
      <c r="D700" s="54"/>
      <c r="E700" s="235" t="s">
        <v>2086</v>
      </c>
      <c r="F700" s="235" t="s">
        <v>2086</v>
      </c>
      <c r="G700" s="235" t="s">
        <v>2086</v>
      </c>
      <c r="H700" s="235" t="s">
        <v>2086</v>
      </c>
      <c r="I700" s="235" t="s">
        <v>2086</v>
      </c>
      <c r="J700" s="235" t="s">
        <v>2086</v>
      </c>
    </row>
    <row r="701" spans="2:10">
      <c r="B701" s="52" t="s">
        <v>121</v>
      </c>
      <c r="C701" s="52"/>
      <c r="D701" s="52"/>
      <c r="E701" s="235" t="s">
        <v>2086</v>
      </c>
      <c r="F701" s="235" t="s">
        <v>2086</v>
      </c>
      <c r="G701" s="235" t="s">
        <v>2086</v>
      </c>
      <c r="H701" s="235" t="s">
        <v>2086</v>
      </c>
      <c r="I701" s="235" t="s">
        <v>2086</v>
      </c>
      <c r="J701" s="235" t="s">
        <v>2086</v>
      </c>
    </row>
    <row r="702" spans="2:10">
      <c r="B702" s="53" t="s">
        <v>120</v>
      </c>
      <c r="C702" s="53"/>
      <c r="D702" s="53"/>
      <c r="E702" s="235" t="s">
        <v>2086</v>
      </c>
      <c r="F702" s="235" t="s">
        <v>2086</v>
      </c>
      <c r="G702" s="235" t="s">
        <v>2086</v>
      </c>
      <c r="H702" s="235" t="s">
        <v>2086</v>
      </c>
      <c r="I702" s="235" t="s">
        <v>2086</v>
      </c>
      <c r="J702" s="235" t="s">
        <v>2086</v>
      </c>
    </row>
    <row r="703" spans="2:10">
      <c r="B703" s="53" t="s">
        <v>119</v>
      </c>
      <c r="C703" s="53"/>
      <c r="D703" s="53"/>
      <c r="E703" s="235" t="s">
        <v>2086</v>
      </c>
      <c r="F703" s="235" t="s">
        <v>2086</v>
      </c>
      <c r="G703" s="235" t="s">
        <v>2086</v>
      </c>
      <c r="H703" s="235" t="s">
        <v>2086</v>
      </c>
      <c r="I703" s="235" t="s">
        <v>2086</v>
      </c>
      <c r="J703" s="235" t="s">
        <v>2086</v>
      </c>
    </row>
    <row r="704" spans="2:10">
      <c r="B704" s="52" t="s">
        <v>118</v>
      </c>
      <c r="C704" s="52"/>
      <c r="D704" s="52"/>
      <c r="E704" s="235" t="s">
        <v>2086</v>
      </c>
      <c r="F704" s="235" t="s">
        <v>2086</v>
      </c>
      <c r="G704" s="235" t="s">
        <v>2086</v>
      </c>
      <c r="H704" s="235" t="s">
        <v>2086</v>
      </c>
      <c r="I704" s="235" t="s">
        <v>2086</v>
      </c>
      <c r="J704" s="235" t="s">
        <v>2086</v>
      </c>
    </row>
    <row r="705" spans="2:10">
      <c r="B705" s="52" t="s">
        <v>117</v>
      </c>
      <c r="C705" s="52"/>
      <c r="D705" s="52"/>
      <c r="E705" s="235" t="s">
        <v>2086</v>
      </c>
      <c r="F705" s="235" t="s">
        <v>2086</v>
      </c>
      <c r="G705" s="235" t="s">
        <v>2086</v>
      </c>
      <c r="H705" s="235" t="s">
        <v>2086</v>
      </c>
      <c r="I705" s="235" t="s">
        <v>2086</v>
      </c>
      <c r="J705" s="235" t="s">
        <v>2086</v>
      </c>
    </row>
    <row r="706" spans="2:10">
      <c r="B706" s="52"/>
      <c r="C706" s="52"/>
      <c r="D706" s="52"/>
      <c r="E706" s="3"/>
      <c r="F706" s="3"/>
      <c r="G706" s="3"/>
      <c r="H706" s="3"/>
      <c r="I706" s="3"/>
    </row>
    <row r="707" spans="2:10">
      <c r="B707" s="54" t="s">
        <v>122</v>
      </c>
      <c r="C707" s="54"/>
      <c r="D707" s="54"/>
      <c r="E707" s="235" t="s">
        <v>2086</v>
      </c>
      <c r="F707" s="235" t="s">
        <v>2086</v>
      </c>
      <c r="G707" s="235" t="s">
        <v>2086</v>
      </c>
      <c r="H707" s="235" t="s">
        <v>2086</v>
      </c>
      <c r="I707" s="235" t="s">
        <v>2086</v>
      </c>
      <c r="J707" s="235" t="s">
        <v>2086</v>
      </c>
    </row>
    <row r="708" spans="2:10">
      <c r="B708" s="52" t="s">
        <v>121</v>
      </c>
      <c r="C708" s="52"/>
      <c r="D708" s="52"/>
      <c r="E708" s="235" t="s">
        <v>2086</v>
      </c>
      <c r="F708" s="235" t="s">
        <v>2086</v>
      </c>
      <c r="G708" s="235" t="s">
        <v>2086</v>
      </c>
      <c r="H708" s="235" t="s">
        <v>2086</v>
      </c>
      <c r="I708" s="235" t="s">
        <v>2086</v>
      </c>
      <c r="J708" s="235" t="s">
        <v>2086</v>
      </c>
    </row>
    <row r="709" spans="2:10">
      <c r="B709" s="53" t="s">
        <v>120</v>
      </c>
      <c r="C709" s="53"/>
      <c r="D709" s="53"/>
      <c r="E709" s="235" t="s">
        <v>2086</v>
      </c>
      <c r="F709" s="235" t="s">
        <v>2086</v>
      </c>
      <c r="G709" s="235" t="s">
        <v>2086</v>
      </c>
      <c r="H709" s="235" t="s">
        <v>2086</v>
      </c>
      <c r="I709" s="235" t="s">
        <v>2086</v>
      </c>
      <c r="J709" s="235" t="s">
        <v>2086</v>
      </c>
    </row>
    <row r="710" spans="2:10">
      <c r="B710" s="53" t="s">
        <v>119</v>
      </c>
      <c r="C710" s="53"/>
      <c r="D710" s="53"/>
      <c r="E710" s="235" t="s">
        <v>2086</v>
      </c>
      <c r="F710" s="235" t="s">
        <v>2086</v>
      </c>
      <c r="G710" s="235" t="s">
        <v>2086</v>
      </c>
      <c r="H710" s="235" t="s">
        <v>2086</v>
      </c>
      <c r="I710" s="235" t="s">
        <v>2086</v>
      </c>
      <c r="J710" s="235" t="s">
        <v>2086</v>
      </c>
    </row>
    <row r="711" spans="2:10">
      <c r="B711" s="52" t="s">
        <v>118</v>
      </c>
      <c r="C711" s="52"/>
      <c r="D711" s="52"/>
      <c r="E711" s="235" t="s">
        <v>2086</v>
      </c>
      <c r="F711" s="235" t="s">
        <v>2086</v>
      </c>
      <c r="G711" s="235" t="s">
        <v>2086</v>
      </c>
      <c r="H711" s="235" t="s">
        <v>2086</v>
      </c>
      <c r="I711" s="235" t="s">
        <v>2086</v>
      </c>
      <c r="J711" s="235" t="s">
        <v>2086</v>
      </c>
    </row>
    <row r="712" spans="2:10" ht="15" thickBot="1">
      <c r="B712" s="52" t="s">
        <v>117</v>
      </c>
      <c r="C712" s="52"/>
      <c r="D712" s="52"/>
      <c r="E712" s="235" t="s">
        <v>2086</v>
      </c>
      <c r="F712" s="235" t="s">
        <v>2086</v>
      </c>
      <c r="G712" s="235" t="s">
        <v>2086</v>
      </c>
      <c r="H712" s="235" t="s">
        <v>2086</v>
      </c>
      <c r="I712" s="235" t="s">
        <v>2086</v>
      </c>
      <c r="J712" s="235" t="s">
        <v>2086</v>
      </c>
    </row>
    <row r="713" spans="2:10" ht="15" thickTop="1">
      <c r="B713" s="2023" t="s">
        <v>2090</v>
      </c>
      <c r="C713" s="2023"/>
      <c r="D713" s="2023"/>
      <c r="E713" s="2023"/>
      <c r="F713" s="2023"/>
      <c r="G713" s="2023"/>
      <c r="H713" s="2023"/>
      <c r="I713" s="2023"/>
      <c r="J713" s="2023"/>
    </row>
    <row r="714" spans="2:10">
      <c r="B714" s="2017"/>
      <c r="C714" s="2017"/>
      <c r="D714" s="2017"/>
      <c r="E714" s="2017"/>
      <c r="F714" s="2017"/>
      <c r="G714" s="2017"/>
      <c r="H714" s="2017"/>
      <c r="I714" s="2017"/>
      <c r="J714" s="2017"/>
    </row>
    <row r="716" spans="2:10">
      <c r="B716" s="14" t="s">
        <v>115</v>
      </c>
      <c r="C716" s="14"/>
      <c r="D716" s="14"/>
      <c r="E716" s="236"/>
      <c r="F716" s="236"/>
      <c r="G716" s="236"/>
      <c r="H716" s="236"/>
      <c r="I716" s="236"/>
      <c r="J716" s="236"/>
    </row>
    <row r="717" spans="2:10">
      <c r="B717" s="12" t="s">
        <v>114</v>
      </c>
      <c r="C717" s="12"/>
      <c r="D717" s="12"/>
    </row>
    <row r="719" spans="2:10">
      <c r="B719" s="2019" t="s">
        <v>11</v>
      </c>
      <c r="C719" s="2030" t="s">
        <v>24</v>
      </c>
      <c r="D719" s="2028" t="s">
        <v>112</v>
      </c>
      <c r="E719" s="2028" t="s">
        <v>111</v>
      </c>
      <c r="F719" s="2030" t="s">
        <v>110</v>
      </c>
      <c r="G719" s="2030"/>
      <c r="H719" s="2030"/>
    </row>
    <row r="720" spans="2:10">
      <c r="B720" s="2020"/>
      <c r="C720" s="2029"/>
      <c r="D720" s="2029"/>
      <c r="E720" s="2029"/>
      <c r="F720" s="2029"/>
      <c r="G720" s="2029"/>
      <c r="H720" s="2029"/>
    </row>
    <row r="721" spans="2:10">
      <c r="B721" s="1728" t="s">
        <v>2143</v>
      </c>
      <c r="C721" s="4" t="s">
        <v>1</v>
      </c>
      <c r="D721" s="4" t="s">
        <v>106</v>
      </c>
      <c r="E721" s="4" t="s">
        <v>103</v>
      </c>
      <c r="F721" s="4" t="s">
        <v>102</v>
      </c>
      <c r="G721" s="4"/>
      <c r="H721" s="4"/>
    </row>
    <row r="722" spans="2:10" ht="15" thickBot="1">
      <c r="B722" s="1729" t="s">
        <v>2144</v>
      </c>
      <c r="C722" s="1668" t="s">
        <v>1</v>
      </c>
      <c r="D722" s="1668" t="s">
        <v>106</v>
      </c>
      <c r="E722" s="1668" t="s">
        <v>103</v>
      </c>
      <c r="F722" s="295" t="s">
        <v>102</v>
      </c>
      <c r="G722" s="295"/>
      <c r="H722" s="295"/>
    </row>
    <row r="723" spans="2:10" ht="15" thickTop="1">
      <c r="B723" s="1717"/>
      <c r="C723" s="121"/>
      <c r="D723" s="121"/>
    </row>
    <row r="724" spans="2:10">
      <c r="B724" s="2019" t="s">
        <v>11</v>
      </c>
      <c r="C724" s="2030" t="s">
        <v>100</v>
      </c>
      <c r="D724" s="2030" t="s">
        <v>99</v>
      </c>
      <c r="E724" s="2028" t="s">
        <v>98</v>
      </c>
      <c r="F724" s="2028"/>
      <c r="G724" s="2028"/>
      <c r="H724" s="2028"/>
    </row>
    <row r="725" spans="2:10">
      <c r="B725" s="2020"/>
      <c r="C725" s="2029"/>
      <c r="D725" s="2029"/>
      <c r="E725" s="1400" t="s">
        <v>97</v>
      </c>
      <c r="F725" s="1400" t="s">
        <v>96</v>
      </c>
      <c r="G725" s="1400"/>
      <c r="H725" s="1400"/>
    </row>
    <row r="726" spans="2:10">
      <c r="B726" s="1728" t="s">
        <v>2145</v>
      </c>
      <c r="C726" s="290" t="s">
        <v>612</v>
      </c>
      <c r="D726" s="291">
        <v>0.625</v>
      </c>
      <c r="E726" s="291">
        <v>0.33333333333333331</v>
      </c>
      <c r="F726" s="291">
        <v>0.66666666666666663</v>
      </c>
      <c r="G726" s="291"/>
      <c r="H726" s="291"/>
    </row>
    <row r="727" spans="2:10" ht="15" thickBot="1">
      <c r="B727" s="1729" t="s">
        <v>2146</v>
      </c>
      <c r="C727" s="1668" t="s">
        <v>612</v>
      </c>
      <c r="D727" s="300">
        <v>0.625</v>
      </c>
      <c r="E727" s="300">
        <v>0.33333333333333331</v>
      </c>
      <c r="F727" s="300">
        <v>0.66666666666666663</v>
      </c>
      <c r="G727" s="300"/>
      <c r="H727" s="300"/>
    </row>
    <row r="728" spans="2:10" ht="15" thickTop="1">
      <c r="B728" s="243" t="s">
        <v>2090</v>
      </c>
      <c r="C728" s="253"/>
      <c r="D728" s="253"/>
    </row>
    <row r="729" spans="2:10">
      <c r="B729" s="1716"/>
      <c r="C729" s="1716"/>
      <c r="D729" s="1716"/>
    </row>
    <row r="730" spans="2:10">
      <c r="B730" s="14" t="s">
        <v>76</v>
      </c>
      <c r="C730" s="14"/>
      <c r="D730" s="14"/>
      <c r="E730" s="236"/>
      <c r="F730" s="236"/>
      <c r="G730" s="236"/>
      <c r="H730" s="236"/>
      <c r="I730" s="236"/>
      <c r="J730" s="236"/>
    </row>
    <row r="731" spans="2:10">
      <c r="B731" s="12" t="s">
        <v>75</v>
      </c>
      <c r="C731" s="12"/>
      <c r="D731" s="12"/>
    </row>
    <row r="733" spans="2:10" ht="24">
      <c r="B733" s="33" t="s">
        <v>11</v>
      </c>
      <c r="C733" s="237" t="s">
        <v>73</v>
      </c>
      <c r="D733" s="237" t="s">
        <v>72</v>
      </c>
      <c r="E733" s="237" t="s">
        <v>71</v>
      </c>
    </row>
    <row r="734" spans="2:10" ht="15" thickBot="1">
      <c r="B734" s="238" t="s">
        <v>2111</v>
      </c>
      <c r="C734" s="362" t="s">
        <v>56</v>
      </c>
      <c r="D734" s="362" t="s">
        <v>1296</v>
      </c>
      <c r="E734" s="362" t="s">
        <v>41</v>
      </c>
    </row>
    <row r="735" spans="2:10" ht="15" thickTop="1">
      <c r="B735" s="243" t="s">
        <v>2090</v>
      </c>
      <c r="C735" s="121"/>
      <c r="D735" s="121"/>
    </row>
    <row r="736" spans="2:10">
      <c r="C736" s="121"/>
      <c r="D736" s="121"/>
    </row>
    <row r="737" spans="2:9">
      <c r="B737" s="14" t="s">
        <v>52</v>
      </c>
      <c r="C737" s="236"/>
      <c r="D737" s="236"/>
      <c r="E737" s="236"/>
    </row>
    <row r="738" spans="2:9">
      <c r="B738" s="12" t="s">
        <v>51</v>
      </c>
      <c r="C738" s="121"/>
      <c r="D738" s="121"/>
    </row>
    <row r="739" spans="2:9">
      <c r="C739" s="121"/>
      <c r="D739" s="121"/>
    </row>
    <row r="740" spans="2:9">
      <c r="B740" s="2019" t="s">
        <v>38</v>
      </c>
      <c r="C740" s="2030" t="s">
        <v>50</v>
      </c>
      <c r="D740" s="2030" t="s">
        <v>49</v>
      </c>
      <c r="E740" s="2030" t="s">
        <v>48</v>
      </c>
    </row>
    <row r="741" spans="2:9">
      <c r="B741" s="2020"/>
      <c r="C741" s="2029"/>
      <c r="D741" s="2029"/>
      <c r="E741" s="2029"/>
    </row>
    <row r="742" spans="2:9" ht="15" thickBot="1">
      <c r="B742" s="969" t="s">
        <v>486</v>
      </c>
      <c r="C742" s="362">
        <v>0</v>
      </c>
      <c r="D742" s="362">
        <v>0</v>
      </c>
      <c r="E742" s="362">
        <v>0</v>
      </c>
    </row>
    <row r="743" spans="2:9" ht="15" thickTop="1">
      <c r="B743" s="246"/>
      <c r="C743" s="121"/>
      <c r="D743" s="121"/>
    </row>
    <row r="744" spans="2:9">
      <c r="B744" s="2019" t="s">
        <v>38</v>
      </c>
      <c r="C744" s="2030" t="s">
        <v>8</v>
      </c>
      <c r="D744" s="2030" t="s">
        <v>36</v>
      </c>
      <c r="E744" s="247"/>
    </row>
    <row r="745" spans="2:9">
      <c r="B745" s="2020"/>
      <c r="C745" s="2029"/>
      <c r="D745" s="2029"/>
      <c r="E745" s="248"/>
    </row>
    <row r="746" spans="2:9" ht="15" thickBot="1">
      <c r="B746" s="969" t="s">
        <v>486</v>
      </c>
      <c r="C746" s="245" t="s">
        <v>5</v>
      </c>
      <c r="D746" s="252">
        <v>0</v>
      </c>
      <c r="E746" s="250"/>
    </row>
    <row r="747" spans="2:9" ht="15" thickTop="1">
      <c r="B747" s="243" t="s">
        <v>2090</v>
      </c>
      <c r="C747" s="253"/>
      <c r="D747" s="253"/>
    </row>
    <row r="748" spans="2:9">
      <c r="B748" s="246"/>
      <c r="C748" s="246"/>
      <c r="D748" s="246"/>
      <c r="I748" s="2030"/>
    </row>
    <row r="749" spans="2:9">
      <c r="I749" s="2029"/>
    </row>
    <row r="750" spans="2:9" ht="15" thickBot="1">
      <c r="B750" s="14" t="s">
        <v>26</v>
      </c>
      <c r="C750" s="14"/>
      <c r="D750" s="14"/>
      <c r="E750" s="236"/>
      <c r="I750" s="251"/>
    </row>
    <row r="751" spans="2:9" ht="15" thickTop="1">
      <c r="B751" s="12" t="s">
        <v>25</v>
      </c>
      <c r="C751" s="12"/>
      <c r="D751" s="12"/>
    </row>
    <row r="752" spans="2:9">
      <c r="H752" s="247"/>
      <c r="I752" s="247"/>
    </row>
    <row r="753" spans="2:10">
      <c r="B753" s="2019" t="s">
        <v>11</v>
      </c>
      <c r="C753" s="2030" t="s">
        <v>23</v>
      </c>
      <c r="D753" s="2030" t="s">
        <v>22</v>
      </c>
      <c r="E753" s="2030" t="s">
        <v>21</v>
      </c>
      <c r="F753" s="2030" t="s">
        <v>20</v>
      </c>
      <c r="H753" s="248"/>
      <c r="I753" s="248"/>
    </row>
    <row r="754" spans="2:10">
      <c r="B754" s="2020"/>
      <c r="C754" s="2029"/>
      <c r="D754" s="2029"/>
      <c r="E754" s="2029"/>
      <c r="F754" s="2029"/>
      <c r="H754" s="258"/>
      <c r="I754" s="258"/>
    </row>
    <row r="755" spans="2:10" ht="15" thickBot="1">
      <c r="B755" s="18" t="s">
        <v>486</v>
      </c>
      <c r="C755" s="251">
        <v>0</v>
      </c>
      <c r="D755" s="251">
        <v>0</v>
      </c>
      <c r="E755" s="251">
        <v>0</v>
      </c>
      <c r="F755" s="251">
        <v>0</v>
      </c>
      <c r="I755" s="251"/>
    </row>
    <row r="756" spans="2:10" ht="15" thickTop="1">
      <c r="B756" s="246"/>
      <c r="C756" s="121"/>
      <c r="D756" s="121"/>
    </row>
    <row r="757" spans="2:10">
      <c r="B757" s="2019" t="s">
        <v>11</v>
      </c>
      <c r="C757" s="2030" t="s">
        <v>9</v>
      </c>
      <c r="D757" s="2030" t="s">
        <v>8</v>
      </c>
      <c r="J757" s="247"/>
    </row>
    <row r="758" spans="2:10">
      <c r="B758" s="2020"/>
      <c r="C758" s="2029"/>
      <c r="D758" s="2029"/>
      <c r="J758" s="248"/>
    </row>
    <row r="759" spans="2:10" ht="15" thickBot="1">
      <c r="B759" s="18" t="s">
        <v>486</v>
      </c>
      <c r="C759" s="245">
        <v>0</v>
      </c>
      <c r="D759" s="245">
        <v>0</v>
      </c>
      <c r="J759" s="258"/>
    </row>
    <row r="760" spans="2:10" ht="15" thickTop="1">
      <c r="B760" s="243" t="s">
        <v>2090</v>
      </c>
    </row>
    <row r="761" spans="2:10">
      <c r="B761" s="246"/>
    </row>
    <row r="762" spans="2:10">
      <c r="B762" s="14" t="s">
        <v>765</v>
      </c>
      <c r="H762" s="236"/>
      <c r="I762" s="236"/>
      <c r="J762" s="236"/>
    </row>
    <row r="763" spans="2:10">
      <c r="B763" s="12" t="s">
        <v>764</v>
      </c>
    </row>
    <row r="764" spans="2:10">
      <c r="B764" s="1495" t="s">
        <v>269</v>
      </c>
    </row>
    <row r="766" spans="2:10">
      <c r="B766" s="61"/>
      <c r="C766" s="61"/>
      <c r="D766" s="61"/>
      <c r="E766" s="60">
        <v>2016</v>
      </c>
      <c r="F766" s="60">
        <v>2017</v>
      </c>
      <c r="G766" s="60">
        <v>2018</v>
      </c>
      <c r="H766" s="60">
        <v>2019</v>
      </c>
      <c r="I766" s="60">
        <v>2020</v>
      </c>
      <c r="J766" s="60">
        <v>2021</v>
      </c>
    </row>
    <row r="767" spans="2:10">
      <c r="B767" s="1730" t="s">
        <v>329</v>
      </c>
      <c r="C767" s="1730"/>
      <c r="D767" s="1730"/>
      <c r="E767" s="1731">
        <v>1</v>
      </c>
      <c r="F767" s="1731">
        <v>1</v>
      </c>
      <c r="G767" s="1732">
        <v>1</v>
      </c>
      <c r="H767" s="1732">
        <v>1</v>
      </c>
      <c r="I767" s="1732">
        <v>1</v>
      </c>
      <c r="J767" s="1732">
        <v>1</v>
      </c>
    </row>
    <row r="768" spans="2:10">
      <c r="B768" s="1733" t="s">
        <v>2082</v>
      </c>
      <c r="C768" s="1733"/>
      <c r="D768" s="1733"/>
      <c r="E768" s="1732">
        <v>46</v>
      </c>
      <c r="F768" s="1732">
        <v>47</v>
      </c>
      <c r="G768" s="1732">
        <v>46</v>
      </c>
      <c r="H768" s="1732">
        <v>44</v>
      </c>
      <c r="I768" s="1732">
        <v>42</v>
      </c>
      <c r="J768" s="121">
        <v>41</v>
      </c>
    </row>
    <row r="769" spans="2:10">
      <c r="B769" s="1733" t="s">
        <v>2147</v>
      </c>
      <c r="C769" s="1733"/>
      <c r="D769" s="1733"/>
      <c r="E769" s="1732">
        <v>6</v>
      </c>
      <c r="F769" s="1732">
        <v>8</v>
      </c>
      <c r="G769" s="1732">
        <v>8</v>
      </c>
      <c r="H769" s="1732">
        <v>8</v>
      </c>
      <c r="I769" s="1732">
        <v>8</v>
      </c>
      <c r="J769" s="1732">
        <v>8</v>
      </c>
    </row>
    <row r="770" spans="2:10">
      <c r="B770" s="1734" t="s">
        <v>379</v>
      </c>
      <c r="C770" s="1734"/>
      <c r="D770" s="1734"/>
      <c r="E770" s="1732"/>
      <c r="F770" s="1732"/>
      <c r="G770" s="1449"/>
      <c r="H770" s="1449"/>
      <c r="I770" s="1449"/>
      <c r="J770" s="1449"/>
    </row>
    <row r="771" spans="2:10">
      <c r="B771" s="1735" t="s">
        <v>1973</v>
      </c>
      <c r="C771" s="1735"/>
      <c r="D771" s="1735"/>
      <c r="E771" s="1732">
        <v>0</v>
      </c>
      <c r="F771" s="1732">
        <v>0</v>
      </c>
      <c r="G771" s="1732">
        <v>0</v>
      </c>
      <c r="H771" s="1732">
        <v>0</v>
      </c>
      <c r="I771" s="1732">
        <v>0</v>
      </c>
      <c r="J771" s="1732">
        <v>0</v>
      </c>
    </row>
    <row r="772" spans="2:10">
      <c r="B772" s="1735" t="s">
        <v>1637</v>
      </c>
      <c r="C772" s="1735"/>
      <c r="D772" s="1735"/>
      <c r="E772" s="1732">
        <v>7</v>
      </c>
      <c r="F772" s="1732">
        <v>8</v>
      </c>
      <c r="G772" s="1732">
        <v>8</v>
      </c>
      <c r="H772" s="1732">
        <v>8</v>
      </c>
      <c r="I772" s="1732">
        <v>8</v>
      </c>
      <c r="J772" s="1732">
        <v>8</v>
      </c>
    </row>
    <row r="773" spans="2:10">
      <c r="B773" s="1733" t="s">
        <v>2148</v>
      </c>
      <c r="C773" s="1733"/>
      <c r="D773" s="1733"/>
      <c r="E773" s="1732">
        <v>30</v>
      </c>
      <c r="F773" s="1732">
        <v>30</v>
      </c>
      <c r="G773" s="1732">
        <v>30</v>
      </c>
      <c r="H773" s="1732">
        <v>29</v>
      </c>
      <c r="I773" s="1732">
        <v>28</v>
      </c>
      <c r="J773" s="1732">
        <v>27</v>
      </c>
    </row>
    <row r="774" spans="2:10">
      <c r="B774" s="499" t="s">
        <v>2149</v>
      </c>
      <c r="C774" s="499"/>
      <c r="D774" s="499"/>
      <c r="E774" s="1732">
        <v>4</v>
      </c>
      <c r="F774" s="1732">
        <v>4</v>
      </c>
      <c r="G774" s="1732">
        <v>4</v>
      </c>
      <c r="H774" s="1732">
        <v>3</v>
      </c>
      <c r="I774" s="1732">
        <v>2</v>
      </c>
      <c r="J774" s="1732">
        <v>2</v>
      </c>
    </row>
    <row r="775" spans="2:10">
      <c r="B775" s="499" t="s">
        <v>2150</v>
      </c>
      <c r="C775" s="499"/>
      <c r="D775" s="499"/>
      <c r="E775" s="1732">
        <v>5</v>
      </c>
      <c r="F775" s="1732">
        <v>5</v>
      </c>
      <c r="G775" s="1732">
        <v>4</v>
      </c>
      <c r="H775" s="1732">
        <v>4</v>
      </c>
      <c r="I775" s="1732">
        <v>4</v>
      </c>
      <c r="J775" s="1732">
        <v>4</v>
      </c>
    </row>
    <row r="776" spans="2:10">
      <c r="B776" s="1735" t="s">
        <v>2151</v>
      </c>
      <c r="C776" s="1735"/>
      <c r="D776" s="1735"/>
      <c r="E776" s="1736">
        <v>4</v>
      </c>
      <c r="F776" s="1736">
        <v>4</v>
      </c>
      <c r="G776" s="1732">
        <v>3</v>
      </c>
      <c r="H776" s="1732">
        <v>3</v>
      </c>
      <c r="I776" s="1732">
        <v>3</v>
      </c>
      <c r="J776" s="1732">
        <v>3</v>
      </c>
    </row>
    <row r="777" spans="2:10" ht="15" thickBot="1">
      <c r="B777" s="1735" t="s">
        <v>2152</v>
      </c>
      <c r="C777" s="1735"/>
      <c r="D777" s="1735"/>
      <c r="E777" s="1732">
        <v>1</v>
      </c>
      <c r="F777" s="1732">
        <v>1</v>
      </c>
      <c r="G777" s="1732">
        <v>1</v>
      </c>
      <c r="H777" s="1732">
        <v>1</v>
      </c>
      <c r="I777" s="1732">
        <v>1</v>
      </c>
      <c r="J777" s="1732">
        <v>1</v>
      </c>
    </row>
    <row r="778" spans="2:10" ht="15" thickTop="1">
      <c r="B778" s="2025" t="s">
        <v>2090</v>
      </c>
      <c r="C778" s="2025"/>
      <c r="D778" s="2025"/>
      <c r="E778" s="2025"/>
      <c r="F778" s="2025"/>
      <c r="G778" s="2025"/>
      <c r="H778" s="2025"/>
      <c r="I778" s="2025"/>
      <c r="J778" s="2025"/>
    </row>
    <row r="780" spans="2:10">
      <c r="B780" s="14" t="s">
        <v>767</v>
      </c>
      <c r="C780" s="14"/>
      <c r="D780" s="14"/>
      <c r="E780" s="236"/>
      <c r="F780" s="236"/>
      <c r="G780" s="236"/>
      <c r="H780" s="236"/>
      <c r="I780" s="236"/>
      <c r="J780" s="236"/>
    </row>
    <row r="781" spans="2:10">
      <c r="B781" s="12" t="s">
        <v>766</v>
      </c>
      <c r="C781" s="12"/>
      <c r="D781" s="12"/>
    </row>
    <row r="782" spans="2:10">
      <c r="B782" s="1495" t="s">
        <v>269</v>
      </c>
      <c r="C782" s="1495"/>
      <c r="D782" s="1495"/>
    </row>
    <row r="784" spans="2:10">
      <c r="B784" s="61"/>
      <c r="C784" s="61"/>
      <c r="D784" s="61"/>
      <c r="E784" s="60">
        <v>2016</v>
      </c>
      <c r="F784" s="60">
        <v>2017</v>
      </c>
      <c r="G784" s="60">
        <v>2018</v>
      </c>
      <c r="H784" s="60">
        <v>2019</v>
      </c>
      <c r="I784" s="60">
        <v>2020</v>
      </c>
      <c r="J784" s="60">
        <v>2021</v>
      </c>
    </row>
    <row r="785" spans="2:10">
      <c r="B785" s="1730" t="s">
        <v>329</v>
      </c>
      <c r="C785" s="1730"/>
      <c r="D785" s="1730"/>
      <c r="E785" s="1731">
        <v>1</v>
      </c>
      <c r="F785" s="1731">
        <v>1</v>
      </c>
      <c r="G785" s="1732">
        <v>1</v>
      </c>
      <c r="H785" s="1732">
        <v>1</v>
      </c>
      <c r="I785" s="1732">
        <v>1</v>
      </c>
      <c r="J785" s="1732">
        <v>1</v>
      </c>
    </row>
    <row r="786" spans="2:10">
      <c r="B786" s="1733" t="s">
        <v>2082</v>
      </c>
      <c r="C786" s="1733"/>
      <c r="D786" s="1733"/>
      <c r="E786" s="1732">
        <v>70</v>
      </c>
      <c r="F786" s="1732">
        <v>67</v>
      </c>
      <c r="G786" s="1732">
        <v>64</v>
      </c>
      <c r="H786" s="1732">
        <v>52</v>
      </c>
      <c r="I786" s="1732">
        <v>68</v>
      </c>
      <c r="J786" s="1732">
        <v>68</v>
      </c>
    </row>
    <row r="787" spans="2:10">
      <c r="B787" s="1733" t="s">
        <v>2147</v>
      </c>
      <c r="C787" s="1733"/>
      <c r="D787" s="1733"/>
      <c r="E787" s="1732">
        <v>43</v>
      </c>
      <c r="F787" s="1732">
        <v>41</v>
      </c>
      <c r="G787" s="1732">
        <v>39</v>
      </c>
      <c r="H787" s="1732">
        <v>27</v>
      </c>
      <c r="I787" s="1732">
        <v>22</v>
      </c>
      <c r="J787" s="1732">
        <v>21</v>
      </c>
    </row>
    <row r="788" spans="2:10">
      <c r="B788" s="1734" t="s">
        <v>379</v>
      </c>
      <c r="C788" s="1734"/>
      <c r="D788" s="1734"/>
      <c r="E788" s="1732"/>
      <c r="F788" s="1732"/>
      <c r="G788" s="1449"/>
      <c r="H788" s="1449"/>
      <c r="I788" s="1449"/>
      <c r="J788" s="1449"/>
    </row>
    <row r="789" spans="2:10">
      <c r="B789" s="1735" t="s">
        <v>1973</v>
      </c>
      <c r="C789" s="1735"/>
      <c r="D789" s="1735"/>
      <c r="E789" s="1732"/>
      <c r="F789" s="1732"/>
      <c r="G789" s="1732"/>
      <c r="H789" s="1732"/>
      <c r="I789" s="1732"/>
      <c r="J789" s="1732"/>
    </row>
    <row r="790" spans="2:10">
      <c r="B790" s="1735" t="s">
        <v>1637</v>
      </c>
      <c r="C790" s="1735"/>
      <c r="D790" s="1735"/>
      <c r="E790" s="1732">
        <v>43</v>
      </c>
      <c r="F790" s="1732">
        <v>41</v>
      </c>
      <c r="G790" s="1449">
        <v>39</v>
      </c>
      <c r="H790" s="1449">
        <v>27</v>
      </c>
      <c r="I790" s="1449">
        <v>17</v>
      </c>
      <c r="J790" s="1449"/>
    </row>
    <row r="791" spans="2:10">
      <c r="B791" s="1733" t="s">
        <v>2148</v>
      </c>
      <c r="C791" s="1733"/>
      <c r="D791" s="1733"/>
      <c r="E791" s="1732">
        <v>0</v>
      </c>
      <c r="F791" s="1732">
        <v>0</v>
      </c>
      <c r="G791" s="1449">
        <v>0</v>
      </c>
      <c r="H791" s="1449">
        <v>0</v>
      </c>
      <c r="I791" s="1449">
        <v>29</v>
      </c>
      <c r="J791" s="1449">
        <v>28</v>
      </c>
    </row>
    <row r="792" spans="2:10">
      <c r="B792" s="499" t="s">
        <v>2149</v>
      </c>
      <c r="C792" s="499"/>
      <c r="D792" s="499"/>
      <c r="E792" s="1732">
        <v>4</v>
      </c>
      <c r="F792" s="1732">
        <v>4</v>
      </c>
      <c r="G792" s="1732">
        <v>4</v>
      </c>
      <c r="H792" s="1732">
        <v>3</v>
      </c>
      <c r="I792" s="1732">
        <v>2</v>
      </c>
      <c r="J792" s="1732">
        <v>2</v>
      </c>
    </row>
    <row r="793" spans="2:10">
      <c r="B793" s="499" t="s">
        <v>2150</v>
      </c>
      <c r="C793" s="499"/>
      <c r="D793" s="499"/>
      <c r="E793" s="1732">
        <v>18</v>
      </c>
      <c r="F793" s="1732">
        <v>17</v>
      </c>
      <c r="G793" s="1732">
        <v>16</v>
      </c>
      <c r="H793" s="1732">
        <v>14</v>
      </c>
      <c r="I793" s="1732">
        <v>15</v>
      </c>
      <c r="J793" s="502">
        <v>15</v>
      </c>
    </row>
    <row r="794" spans="2:10">
      <c r="B794" s="1735" t="s">
        <v>2151</v>
      </c>
      <c r="C794" s="1735"/>
      <c r="D794" s="1735"/>
      <c r="E794" s="1736">
        <v>14</v>
      </c>
      <c r="F794" s="1736">
        <v>13</v>
      </c>
      <c r="G794" s="1732">
        <v>12</v>
      </c>
      <c r="H794" s="1732">
        <v>11</v>
      </c>
      <c r="I794" s="1732">
        <v>13</v>
      </c>
      <c r="J794" s="1449">
        <v>13</v>
      </c>
    </row>
    <row r="795" spans="2:10" ht="15" thickBot="1">
      <c r="B795" s="1735" t="s">
        <v>2152</v>
      </c>
      <c r="C795" s="1735"/>
      <c r="D795" s="1735"/>
      <c r="E795" s="1732">
        <v>4</v>
      </c>
      <c r="F795" s="1736">
        <v>4</v>
      </c>
      <c r="G795" s="1732">
        <v>4</v>
      </c>
      <c r="H795" s="1732">
        <v>3</v>
      </c>
      <c r="I795" s="1732">
        <v>2</v>
      </c>
      <c r="J795" s="502">
        <v>2</v>
      </c>
    </row>
    <row r="796" spans="2:10" ht="15" thickTop="1">
      <c r="B796" s="2025" t="s">
        <v>2090</v>
      </c>
      <c r="C796" s="2025"/>
      <c r="D796" s="2025"/>
      <c r="E796" s="2025"/>
      <c r="F796" s="2025"/>
      <c r="G796" s="2025"/>
      <c r="H796" s="2025"/>
      <c r="I796" s="2025"/>
      <c r="J796" s="2025"/>
    </row>
    <row r="798" spans="2:10">
      <c r="B798" s="14" t="s">
        <v>769</v>
      </c>
      <c r="C798" s="14"/>
      <c r="D798" s="14"/>
      <c r="E798" s="236"/>
      <c r="F798" s="236"/>
      <c r="G798" s="236"/>
      <c r="H798" s="236"/>
      <c r="I798" s="236"/>
      <c r="J798" s="236"/>
    </row>
    <row r="799" spans="2:10">
      <c r="B799" s="12" t="s">
        <v>768</v>
      </c>
      <c r="C799" s="12"/>
      <c r="D799" s="12"/>
    </row>
    <row r="800" spans="2:10">
      <c r="B800" s="1495" t="s">
        <v>269</v>
      </c>
      <c r="C800" s="1495"/>
      <c r="D800" s="1495"/>
    </row>
    <row r="801" spans="2:10">
      <c r="B801" s="1515"/>
      <c r="C801" s="1515"/>
      <c r="D801" s="1515"/>
    </row>
    <row r="802" spans="2:10">
      <c r="B802" s="61"/>
      <c r="C802" s="61"/>
      <c r="D802" s="61"/>
      <c r="E802" s="60">
        <v>2016</v>
      </c>
      <c r="F802" s="60">
        <v>2017</v>
      </c>
      <c r="G802" s="60">
        <v>2018</v>
      </c>
      <c r="H802" s="60">
        <v>2019</v>
      </c>
      <c r="I802" s="60">
        <v>2020</v>
      </c>
      <c r="J802" s="60">
        <v>2021</v>
      </c>
    </row>
    <row r="803" spans="2:10">
      <c r="B803" s="1730" t="s">
        <v>329</v>
      </c>
      <c r="C803" s="1730"/>
      <c r="D803" s="1730"/>
      <c r="E803" s="1737">
        <v>201</v>
      </c>
      <c r="F803" s="1737">
        <v>209</v>
      </c>
      <c r="G803" s="500">
        <v>206</v>
      </c>
      <c r="H803" s="500">
        <v>208</v>
      </c>
      <c r="I803" s="500">
        <v>204</v>
      </c>
      <c r="J803" s="500">
        <v>200</v>
      </c>
    </row>
    <row r="804" spans="2:10">
      <c r="B804" s="1733" t="s">
        <v>2082</v>
      </c>
      <c r="C804" s="1733"/>
      <c r="D804" s="1733"/>
      <c r="E804" s="500">
        <v>2526</v>
      </c>
      <c r="F804" s="500">
        <v>2448</v>
      </c>
      <c r="G804" s="500">
        <v>2342</v>
      </c>
      <c r="H804" s="500">
        <v>2442</v>
      </c>
      <c r="I804" s="500">
        <v>2098</v>
      </c>
      <c r="J804" s="500">
        <v>2100</v>
      </c>
    </row>
    <row r="805" spans="2:10">
      <c r="B805" s="1733" t="s">
        <v>2147</v>
      </c>
      <c r="C805" s="1733"/>
      <c r="D805" s="1733"/>
      <c r="E805" s="500">
        <v>1977</v>
      </c>
      <c r="F805" s="500">
        <v>1907</v>
      </c>
      <c r="G805" s="500">
        <v>1804</v>
      </c>
      <c r="H805" s="500">
        <v>1769</v>
      </c>
      <c r="I805" s="500">
        <v>1639</v>
      </c>
      <c r="J805" s="500">
        <v>1622</v>
      </c>
    </row>
    <row r="806" spans="2:10">
      <c r="B806" s="1734" t="s">
        <v>379</v>
      </c>
      <c r="C806" s="1734"/>
      <c r="D806" s="1734"/>
      <c r="E806" s="500"/>
      <c r="F806" s="500"/>
      <c r="G806" s="1738"/>
      <c r="H806" s="1738"/>
      <c r="I806" s="1738"/>
      <c r="J806" s="1738"/>
    </row>
    <row r="807" spans="2:10">
      <c r="B807" s="1735" t="s">
        <v>1973</v>
      </c>
      <c r="C807" s="1735"/>
      <c r="D807" s="1735"/>
      <c r="E807" s="1732"/>
      <c r="F807" s="1732"/>
      <c r="G807" s="1732"/>
      <c r="H807" s="1732"/>
      <c r="I807" s="1732"/>
      <c r="J807" s="1732"/>
    </row>
    <row r="808" spans="2:10">
      <c r="B808" s="1735" t="s">
        <v>1637</v>
      </c>
      <c r="C808" s="1735"/>
      <c r="D808" s="1735"/>
      <c r="E808" s="500">
        <v>1977</v>
      </c>
      <c r="F808" s="500">
        <v>1907</v>
      </c>
      <c r="G808" s="500">
        <v>1804</v>
      </c>
      <c r="H808" s="500">
        <v>1769</v>
      </c>
      <c r="I808" s="500">
        <v>1639</v>
      </c>
      <c r="J808" s="500">
        <v>1622</v>
      </c>
    </row>
    <row r="809" spans="2:10">
      <c r="B809" s="1733" t="s">
        <v>2148</v>
      </c>
      <c r="C809" s="1733"/>
      <c r="D809" s="1733"/>
      <c r="E809" s="500">
        <v>348</v>
      </c>
      <c r="F809" s="500">
        <v>339</v>
      </c>
      <c r="G809" s="1738">
        <v>351</v>
      </c>
      <c r="H809" s="500">
        <v>535</v>
      </c>
      <c r="I809" s="500">
        <v>420</v>
      </c>
      <c r="J809" s="500">
        <v>438</v>
      </c>
    </row>
    <row r="810" spans="2:10">
      <c r="B810" s="499" t="s">
        <v>2149</v>
      </c>
      <c r="C810" s="499"/>
      <c r="D810" s="499"/>
      <c r="E810" s="500">
        <v>114</v>
      </c>
      <c r="F810" s="500">
        <v>116</v>
      </c>
      <c r="G810" s="500">
        <v>104</v>
      </c>
      <c r="H810" s="500">
        <v>55</v>
      </c>
      <c r="I810" s="500">
        <v>39</v>
      </c>
      <c r="J810" s="500">
        <v>40</v>
      </c>
    </row>
    <row r="811" spans="2:10">
      <c r="B811" s="499" t="s">
        <v>2150</v>
      </c>
      <c r="C811" s="499"/>
      <c r="D811" s="499"/>
      <c r="E811" s="501">
        <v>87</v>
      </c>
      <c r="F811" s="501">
        <v>86</v>
      </c>
      <c r="G811" s="501">
        <v>83</v>
      </c>
      <c r="H811" s="500">
        <v>83</v>
      </c>
      <c r="I811" s="502">
        <v>0</v>
      </c>
      <c r="J811" s="500">
        <v>13</v>
      </c>
    </row>
    <row r="812" spans="2:10">
      <c r="B812" s="1735" t="s">
        <v>2151</v>
      </c>
      <c r="C812" s="1735"/>
      <c r="D812" s="1735"/>
      <c r="E812" s="1736">
        <v>0</v>
      </c>
      <c r="F812" s="1736">
        <v>0</v>
      </c>
      <c r="G812" s="1736">
        <v>0</v>
      </c>
      <c r="H812" s="1736">
        <v>0</v>
      </c>
      <c r="I812" s="1736">
        <v>0</v>
      </c>
      <c r="J812" s="1736">
        <v>13</v>
      </c>
    </row>
    <row r="813" spans="2:10" ht="15" thickBot="1">
      <c r="B813" s="1735" t="s">
        <v>2152</v>
      </c>
      <c r="C813" s="1735"/>
      <c r="D813" s="1735"/>
      <c r="E813" s="501">
        <v>87</v>
      </c>
      <c r="F813" s="501">
        <v>86</v>
      </c>
      <c r="G813" s="501">
        <v>83</v>
      </c>
      <c r="H813" s="500">
        <v>83</v>
      </c>
      <c r="I813" s="502">
        <v>0</v>
      </c>
      <c r="J813" s="500">
        <v>0</v>
      </c>
    </row>
    <row r="814" spans="2:10" ht="15" thickTop="1">
      <c r="B814" s="2025" t="s">
        <v>2090</v>
      </c>
      <c r="C814" s="2025"/>
      <c r="D814" s="2025"/>
      <c r="E814" s="2025"/>
      <c r="F814" s="2025"/>
      <c r="G814" s="2025"/>
      <c r="H814" s="2025"/>
      <c r="I814" s="2025"/>
      <c r="J814" s="2025"/>
    </row>
    <row r="816" spans="2:10">
      <c r="B816" s="14" t="s">
        <v>772</v>
      </c>
      <c r="C816" s="14"/>
      <c r="D816" s="14"/>
      <c r="E816" s="236"/>
      <c r="F816" s="236"/>
      <c r="G816" s="236"/>
      <c r="H816" s="236"/>
      <c r="I816" s="236"/>
      <c r="J816" s="236"/>
    </row>
    <row r="817" spans="2:10">
      <c r="B817" s="12" t="s">
        <v>771</v>
      </c>
      <c r="C817" s="12"/>
      <c r="D817" s="12"/>
    </row>
    <row r="818" spans="2:10">
      <c r="B818" s="1495" t="s">
        <v>1997</v>
      </c>
      <c r="C818" s="1495"/>
      <c r="D818" s="1495"/>
    </row>
    <row r="819" spans="2:10">
      <c r="B819" s="1529"/>
      <c r="C819" s="1529"/>
      <c r="D819" s="1529"/>
    </row>
    <row r="820" spans="2:10">
      <c r="B820" s="61"/>
      <c r="C820" s="61"/>
      <c r="D820" s="61"/>
      <c r="E820" s="60">
        <v>2016</v>
      </c>
      <c r="F820" s="60">
        <v>2017</v>
      </c>
      <c r="G820" s="60">
        <v>2018</v>
      </c>
      <c r="H820" s="60">
        <v>2019</v>
      </c>
      <c r="I820" s="60">
        <v>2020</v>
      </c>
      <c r="J820" s="60">
        <v>2021</v>
      </c>
    </row>
    <row r="821" spans="2:10">
      <c r="B821" s="1730" t="s">
        <v>329</v>
      </c>
      <c r="C821" s="1730"/>
      <c r="D821" s="1730"/>
      <c r="E821" s="1739">
        <v>2.2770949720670388</v>
      </c>
      <c r="F821" s="1739">
        <v>2.3720670391061454</v>
      </c>
      <c r="G821" s="1740">
        <v>2.2301675977653632</v>
      </c>
      <c r="H821" s="1740">
        <v>2.2301675977653632</v>
      </c>
      <c r="I821" s="1740">
        <f>4.889/1.79</f>
        <v>2.7312849162011172</v>
      </c>
      <c r="J821" s="1740">
        <v>2.87</v>
      </c>
    </row>
    <row r="822" spans="2:10">
      <c r="B822" s="1733" t="s">
        <v>2082</v>
      </c>
      <c r="C822" s="1733"/>
      <c r="D822" s="1733"/>
      <c r="E822" s="1740">
        <v>7.17</v>
      </c>
      <c r="F822" s="1740">
        <v>7.6</v>
      </c>
      <c r="G822" s="1740">
        <v>7.11</v>
      </c>
      <c r="H822" s="1740">
        <v>7.33</v>
      </c>
      <c r="I822" s="1740">
        <v>7.36</v>
      </c>
      <c r="J822" s="1740">
        <v>7.39</v>
      </c>
    </row>
    <row r="823" spans="2:10">
      <c r="B823" s="1733" t="s">
        <v>2147</v>
      </c>
      <c r="C823" s="1733"/>
      <c r="D823" s="1733"/>
      <c r="E823" s="1740">
        <v>7.17</v>
      </c>
      <c r="F823" s="1740">
        <v>7.6</v>
      </c>
      <c r="G823" s="1740">
        <v>7.11</v>
      </c>
      <c r="H823" s="1740">
        <v>7.33</v>
      </c>
      <c r="I823" s="1740">
        <v>7.36</v>
      </c>
      <c r="J823" s="1740">
        <v>7.39</v>
      </c>
    </row>
    <row r="824" spans="2:10">
      <c r="B824" s="1734" t="s">
        <v>379</v>
      </c>
      <c r="C824" s="1734"/>
      <c r="D824" s="1734"/>
      <c r="E824" s="1740"/>
      <c r="F824" s="1740"/>
      <c r="G824" s="1741"/>
      <c r="H824" s="1741"/>
      <c r="I824" s="1741"/>
      <c r="J824" s="1741"/>
    </row>
    <row r="825" spans="2:10">
      <c r="B825" s="1735" t="s">
        <v>1973</v>
      </c>
      <c r="C825" s="1735"/>
      <c r="D825" s="1735"/>
      <c r="E825" s="1742"/>
      <c r="F825" s="1742"/>
      <c r="G825" s="1742"/>
      <c r="H825" s="1742"/>
      <c r="I825" s="1742"/>
      <c r="J825" s="1742"/>
    </row>
    <row r="826" spans="2:10">
      <c r="B826" s="1735" t="s">
        <v>1637</v>
      </c>
      <c r="C826" s="1735"/>
      <c r="D826" s="1735"/>
      <c r="E826" s="1740">
        <v>7.17</v>
      </c>
      <c r="F826" s="1740">
        <v>7.6</v>
      </c>
      <c r="G826" s="1740">
        <v>7.11</v>
      </c>
      <c r="H826" s="1740">
        <v>7.33</v>
      </c>
      <c r="I826" s="1740">
        <v>7.36</v>
      </c>
      <c r="J826" s="1740">
        <v>7.39</v>
      </c>
    </row>
    <row r="827" spans="2:10">
      <c r="B827" s="1733" t="s">
        <v>2148</v>
      </c>
      <c r="C827" s="1733"/>
      <c r="D827" s="1733"/>
      <c r="E827" s="1743"/>
      <c r="F827" s="1743"/>
      <c r="G827" s="1743"/>
      <c r="H827" s="1743"/>
      <c r="I827" s="1743"/>
      <c r="J827" s="1743"/>
    </row>
    <row r="828" spans="2:10">
      <c r="B828" s="499" t="s">
        <v>2149</v>
      </c>
      <c r="C828" s="499"/>
      <c r="D828" s="499"/>
      <c r="E828" s="1744">
        <v>28.000558659217877</v>
      </c>
      <c r="F828" s="1744">
        <v>35.264245810055861</v>
      </c>
      <c r="G828" s="1744">
        <v>38.633519553072624</v>
      </c>
      <c r="H828" s="1744">
        <v>26.252513966480446</v>
      </c>
      <c r="I828" s="1744">
        <v>42.74</v>
      </c>
      <c r="J828" s="1744">
        <v>58.74</v>
      </c>
    </row>
    <row r="829" spans="2:10">
      <c r="B829" s="499" t="s">
        <v>2150</v>
      </c>
      <c r="C829" s="499"/>
      <c r="D829" s="499"/>
      <c r="E829" s="1736">
        <v>0</v>
      </c>
      <c r="F829" s="1736">
        <v>0</v>
      </c>
      <c r="G829" s="1736">
        <v>0</v>
      </c>
      <c r="H829" s="1736">
        <v>0</v>
      </c>
      <c r="I829" s="1736">
        <v>0</v>
      </c>
      <c r="J829" s="1736">
        <v>0</v>
      </c>
    </row>
    <row r="830" spans="2:10">
      <c r="B830" s="1735" t="s">
        <v>2151</v>
      </c>
      <c r="C830" s="1735"/>
      <c r="D830" s="1735"/>
      <c r="E830" s="1736">
        <v>0</v>
      </c>
      <c r="F830" s="1736">
        <v>0</v>
      </c>
      <c r="G830" s="1736">
        <v>0</v>
      </c>
      <c r="H830" s="1736">
        <v>0</v>
      </c>
      <c r="I830" s="1736">
        <v>0</v>
      </c>
      <c r="J830" s="1736">
        <v>0</v>
      </c>
    </row>
    <row r="831" spans="2:10" ht="15" thickBot="1">
      <c r="B831" s="1735" t="s">
        <v>2152</v>
      </c>
      <c r="C831" s="1735"/>
      <c r="D831" s="1735"/>
      <c r="E831" s="1736">
        <v>0</v>
      </c>
      <c r="F831" s="1736">
        <v>0</v>
      </c>
      <c r="G831" s="1736">
        <v>0</v>
      </c>
      <c r="H831" s="1736">
        <v>0</v>
      </c>
      <c r="I831" s="1736">
        <v>0</v>
      </c>
      <c r="J831" s="1736">
        <v>0</v>
      </c>
    </row>
    <row r="832" spans="2:10" ht="15" thickTop="1">
      <c r="B832" s="2025" t="s">
        <v>2090</v>
      </c>
      <c r="C832" s="2025"/>
      <c r="D832" s="2025"/>
      <c r="E832" s="2025"/>
      <c r="F832" s="2025"/>
      <c r="G832" s="2025"/>
      <c r="H832" s="2025"/>
      <c r="I832" s="2025"/>
      <c r="J832" s="2025"/>
    </row>
    <row r="834" spans="2:10">
      <c r="B834" s="14" t="s">
        <v>774</v>
      </c>
      <c r="C834" s="14"/>
      <c r="D834" s="14"/>
      <c r="E834" s="236"/>
      <c r="F834" s="236"/>
      <c r="G834" s="236"/>
      <c r="H834" s="236"/>
      <c r="I834" s="236"/>
      <c r="J834" s="236"/>
    </row>
    <row r="835" spans="2:10">
      <c r="B835" s="12" t="s">
        <v>773</v>
      </c>
      <c r="C835" s="12"/>
      <c r="D835" s="12"/>
    </row>
    <row r="836" spans="2:10">
      <c r="B836" s="1495" t="s">
        <v>1997</v>
      </c>
      <c r="C836" s="1495"/>
      <c r="D836" s="1495"/>
    </row>
    <row r="838" spans="2:10">
      <c r="B838" s="61"/>
      <c r="C838" s="61"/>
      <c r="D838" s="61"/>
      <c r="E838" s="60">
        <v>2016</v>
      </c>
      <c r="F838" s="60">
        <v>2017</v>
      </c>
      <c r="G838" s="60">
        <v>2018</v>
      </c>
      <c r="H838" s="60">
        <v>2019</v>
      </c>
      <c r="I838" s="60">
        <v>2020</v>
      </c>
      <c r="J838" s="60">
        <v>2021</v>
      </c>
    </row>
    <row r="839" spans="2:10">
      <c r="B839" s="1730" t="s">
        <v>329</v>
      </c>
      <c r="C839" s="1730"/>
      <c r="D839" s="1730"/>
      <c r="E839" s="1739">
        <v>1.53</v>
      </c>
      <c r="F839" s="1739">
        <v>1.49</v>
      </c>
      <c r="G839" s="1740">
        <v>1.29</v>
      </c>
      <c r="H839" s="1740">
        <v>1.18</v>
      </c>
      <c r="I839" s="1740">
        <v>1.66</v>
      </c>
      <c r="J839" s="1740">
        <v>1.84</v>
      </c>
    </row>
    <row r="840" spans="2:10">
      <c r="B840" s="1733" t="s">
        <v>2082</v>
      </c>
      <c r="C840" s="1733"/>
      <c r="D840" s="1733"/>
      <c r="E840" s="1740">
        <v>5.79</v>
      </c>
      <c r="F840" s="1740">
        <v>5.67</v>
      </c>
      <c r="G840" s="1740">
        <v>5.59</v>
      </c>
      <c r="H840" s="1740">
        <v>5.66</v>
      </c>
      <c r="I840" s="1740">
        <v>5.73</v>
      </c>
      <c r="J840" s="1740">
        <v>6.14</v>
      </c>
    </row>
    <row r="841" spans="2:10">
      <c r="B841" s="1733" t="s">
        <v>2147</v>
      </c>
      <c r="C841" s="1733"/>
      <c r="D841" s="1733"/>
      <c r="E841" s="1740">
        <v>5.79</v>
      </c>
      <c r="F841" s="1740">
        <v>5.67</v>
      </c>
      <c r="G841" s="1740">
        <v>5.59</v>
      </c>
      <c r="H841" s="1740">
        <v>5.66</v>
      </c>
      <c r="I841" s="1740">
        <v>5.73</v>
      </c>
      <c r="J841" s="1740">
        <v>6.14</v>
      </c>
    </row>
    <row r="842" spans="2:10">
      <c r="B842" s="1734" t="s">
        <v>379</v>
      </c>
      <c r="C842" s="1734"/>
      <c r="D842" s="1734"/>
      <c r="E842" s="1740"/>
      <c r="F842" s="1740"/>
      <c r="G842" s="1741"/>
      <c r="H842" s="1741"/>
      <c r="I842" s="1741"/>
      <c r="J842" s="1741"/>
    </row>
    <row r="843" spans="2:10">
      <c r="B843" s="1735" t="s">
        <v>1973</v>
      </c>
      <c r="C843" s="1735"/>
      <c r="D843" s="1735"/>
      <c r="E843" s="1742"/>
      <c r="F843" s="1742"/>
      <c r="G843" s="1742"/>
      <c r="H843" s="1742"/>
      <c r="I843" s="1742"/>
      <c r="J843" s="1742"/>
    </row>
    <row r="844" spans="2:10">
      <c r="B844" s="1735" t="s">
        <v>1637</v>
      </c>
      <c r="C844" s="1735"/>
      <c r="D844" s="1735"/>
      <c r="E844" s="1740">
        <v>5.79</v>
      </c>
      <c r="F844" s="1740">
        <v>5.67</v>
      </c>
      <c r="G844" s="1740">
        <v>5.59</v>
      </c>
      <c r="H844" s="1740">
        <v>5.66</v>
      </c>
      <c r="I844" s="1740">
        <v>5.73</v>
      </c>
      <c r="J844" s="1740">
        <v>6.14</v>
      </c>
    </row>
    <row r="845" spans="2:10">
      <c r="B845" s="1733" t="s">
        <v>2148</v>
      </c>
      <c r="C845" s="1733"/>
      <c r="D845" s="1733"/>
      <c r="E845" s="1743"/>
      <c r="F845" s="1743"/>
      <c r="G845" s="1743"/>
      <c r="H845" s="1743"/>
      <c r="I845" s="1743"/>
      <c r="J845" s="1743"/>
    </row>
    <row r="846" spans="2:10">
      <c r="B846" s="499" t="s">
        <v>2149</v>
      </c>
      <c r="C846" s="499"/>
      <c r="D846" s="499"/>
      <c r="E846" s="1743">
        <v>20</v>
      </c>
      <c r="F846" s="1743">
        <v>24.57</v>
      </c>
      <c r="G846" s="1743">
        <v>21.220111731843577</v>
      </c>
      <c r="H846" s="1743">
        <v>23.9</v>
      </c>
      <c r="I846" s="1743">
        <v>18.989999999999998</v>
      </c>
      <c r="J846" s="1743">
        <v>26.87</v>
      </c>
    </row>
    <row r="847" spans="2:10">
      <c r="B847" s="499" t="s">
        <v>2150</v>
      </c>
      <c r="C847" s="499"/>
      <c r="D847" s="499"/>
      <c r="E847" s="1736">
        <v>0</v>
      </c>
      <c r="F847" s="1736">
        <v>0</v>
      </c>
      <c r="G847" s="1736">
        <v>0</v>
      </c>
      <c r="H847" s="1736">
        <v>0</v>
      </c>
      <c r="I847" s="1736">
        <v>0</v>
      </c>
      <c r="J847" s="1736">
        <v>0</v>
      </c>
    </row>
    <row r="848" spans="2:10">
      <c r="B848" s="1735" t="s">
        <v>2151</v>
      </c>
      <c r="C848" s="1735"/>
      <c r="D848" s="1735"/>
      <c r="E848" s="1736">
        <v>0</v>
      </c>
      <c r="F848" s="1736">
        <v>0</v>
      </c>
      <c r="G848" s="1736">
        <v>0</v>
      </c>
      <c r="H848" s="1736">
        <v>0</v>
      </c>
      <c r="I848" s="1736">
        <v>0</v>
      </c>
      <c r="J848" s="1736">
        <v>0</v>
      </c>
    </row>
    <row r="849" spans="2:10" ht="15" thickBot="1">
      <c r="B849" s="1735" t="s">
        <v>2152</v>
      </c>
      <c r="C849" s="1735"/>
      <c r="D849" s="1735"/>
      <c r="E849" s="1736">
        <v>0</v>
      </c>
      <c r="F849" s="1736">
        <v>0</v>
      </c>
      <c r="G849" s="1736">
        <v>0</v>
      </c>
      <c r="H849" s="1736">
        <v>0</v>
      </c>
      <c r="I849" s="1736">
        <v>0</v>
      </c>
      <c r="J849" s="1736">
        <v>0</v>
      </c>
    </row>
    <row r="850" spans="2:10" ht="15" thickTop="1">
      <c r="B850" s="2025" t="s">
        <v>2090</v>
      </c>
      <c r="C850" s="2025"/>
      <c r="D850" s="2025"/>
      <c r="E850" s="2025"/>
      <c r="F850" s="2025"/>
      <c r="G850" s="2025"/>
      <c r="H850" s="2025"/>
      <c r="I850" s="2025"/>
      <c r="J850" s="2025"/>
    </row>
    <row r="851" spans="2:10">
      <c r="B851" s="108"/>
      <c r="C851" s="108"/>
      <c r="D851" s="108"/>
      <c r="E851" s="108"/>
      <c r="F851" s="108"/>
      <c r="G851" s="108"/>
      <c r="H851" s="108"/>
      <c r="I851" s="108"/>
      <c r="J851" s="108"/>
    </row>
    <row r="852" spans="2:10">
      <c r="B852" s="1532"/>
      <c r="C852" s="1532"/>
      <c r="D852" s="1532"/>
    </row>
    <row r="853" spans="2:10">
      <c r="B853" s="14" t="s">
        <v>776</v>
      </c>
      <c r="C853" s="14"/>
      <c r="D853" s="14"/>
      <c r="E853" s="236"/>
      <c r="F853" s="236"/>
      <c r="G853" s="236"/>
      <c r="H853" s="236"/>
      <c r="I853" s="236"/>
      <c r="J853" s="236"/>
    </row>
    <row r="854" spans="2:10">
      <c r="B854" s="12" t="s">
        <v>775</v>
      </c>
      <c r="C854" s="12"/>
      <c r="D854" s="12"/>
    </row>
    <row r="855" spans="2:10">
      <c r="B855" s="1495" t="s">
        <v>1997</v>
      </c>
      <c r="C855" s="1495"/>
      <c r="D855" s="1495"/>
    </row>
    <row r="857" spans="2:10">
      <c r="B857" s="61"/>
      <c r="C857" s="61"/>
      <c r="D857" s="61"/>
      <c r="E857" s="60">
        <v>2016</v>
      </c>
      <c r="F857" s="60">
        <v>2017</v>
      </c>
      <c r="G857" s="60">
        <v>2018</v>
      </c>
      <c r="H857" s="60">
        <v>2019</v>
      </c>
      <c r="I857" s="60">
        <v>2020</v>
      </c>
      <c r="J857" s="60">
        <v>2021</v>
      </c>
    </row>
    <row r="858" spans="2:10">
      <c r="B858" s="1730" t="s">
        <v>329</v>
      </c>
      <c r="C858" s="1730"/>
      <c r="D858" s="1730"/>
      <c r="E858" s="1745"/>
      <c r="F858" s="1745"/>
      <c r="G858" s="1742"/>
      <c r="H858" s="1742"/>
      <c r="I858" s="1742"/>
      <c r="J858" s="1742"/>
    </row>
    <row r="859" spans="2:10">
      <c r="B859" s="1733" t="s">
        <v>2082</v>
      </c>
      <c r="C859" s="1733"/>
      <c r="D859" s="1733"/>
      <c r="E859" s="1740">
        <v>3.74</v>
      </c>
      <c r="F859" s="1740">
        <v>3.6</v>
      </c>
      <c r="G859" s="1740">
        <v>3.71</v>
      </c>
      <c r="H859" s="1740">
        <v>3.79</v>
      </c>
      <c r="I859" s="1740">
        <v>3.68</v>
      </c>
      <c r="J859" s="1740">
        <v>3.49</v>
      </c>
    </row>
    <row r="860" spans="2:10">
      <c r="B860" s="1733" t="s">
        <v>2147</v>
      </c>
      <c r="C860" s="1733"/>
      <c r="D860" s="1733"/>
      <c r="E860" s="1740">
        <v>3.74</v>
      </c>
      <c r="F860" s="1740">
        <v>3.6</v>
      </c>
      <c r="G860" s="1740">
        <v>3.71</v>
      </c>
      <c r="H860" s="1740">
        <v>3.79</v>
      </c>
      <c r="I860" s="1740">
        <v>3.68</v>
      </c>
      <c r="J860" s="1740">
        <v>3.49</v>
      </c>
    </row>
    <row r="861" spans="2:10">
      <c r="B861" s="1734" t="s">
        <v>379</v>
      </c>
      <c r="C861" s="1734"/>
      <c r="D861" s="1734"/>
      <c r="E861" s="1740"/>
      <c r="F861" s="1740"/>
      <c r="G861" s="1741"/>
      <c r="H861" s="1741"/>
      <c r="I861" s="1741"/>
      <c r="J861" s="1741"/>
    </row>
    <row r="862" spans="2:10">
      <c r="B862" s="1735" t="s">
        <v>1973</v>
      </c>
      <c r="C862" s="1735"/>
      <c r="D862" s="1735"/>
      <c r="E862" s="1745"/>
      <c r="F862" s="1745"/>
      <c r="G862" s="1742"/>
      <c r="H862" s="1742"/>
      <c r="I862" s="1742"/>
      <c r="J862" s="1742"/>
    </row>
    <row r="863" spans="2:10">
      <c r="B863" s="1735" t="s">
        <v>1637</v>
      </c>
      <c r="C863" s="1735"/>
      <c r="D863" s="1735"/>
      <c r="E863" s="1740">
        <v>3.74</v>
      </c>
      <c r="F863" s="1740">
        <v>3.6</v>
      </c>
      <c r="G863" s="1740">
        <v>3.71</v>
      </c>
      <c r="H863" s="1740">
        <v>3.79</v>
      </c>
      <c r="I863" s="1740">
        <v>3.68</v>
      </c>
      <c r="J863" s="1740">
        <v>3.49</v>
      </c>
    </row>
    <row r="864" spans="2:10">
      <c r="B864" s="1733" t="s">
        <v>2148</v>
      </c>
      <c r="C864" s="1733"/>
      <c r="D864" s="1733"/>
      <c r="E864" s="1745">
        <v>6.2</v>
      </c>
      <c r="F864" s="1745">
        <v>6.29</v>
      </c>
      <c r="G864" s="1742">
        <v>6.02</v>
      </c>
      <c r="H864" s="1742">
        <v>5.64</v>
      </c>
      <c r="I864" s="1742">
        <v>5.81</v>
      </c>
      <c r="J864" s="1742">
        <v>5.24</v>
      </c>
    </row>
    <row r="865" spans="2:10">
      <c r="B865" s="499" t="s">
        <v>2149</v>
      </c>
      <c r="C865" s="499"/>
      <c r="D865" s="499"/>
      <c r="E865" s="1743"/>
      <c r="F865" s="1743"/>
      <c r="G865" s="1743"/>
      <c r="H865" s="1743"/>
      <c r="I865" s="1743"/>
      <c r="J865" s="1743"/>
    </row>
    <row r="866" spans="2:10">
      <c r="B866" s="499" t="s">
        <v>2150</v>
      </c>
      <c r="C866" s="499"/>
      <c r="D866" s="499"/>
      <c r="E866" s="1736">
        <v>0</v>
      </c>
      <c r="F866" s="1736">
        <v>0</v>
      </c>
      <c r="G866" s="1736">
        <v>0</v>
      </c>
      <c r="H866" s="1736">
        <v>0</v>
      </c>
      <c r="I866" s="1736">
        <v>0</v>
      </c>
      <c r="J866" s="1736">
        <v>0</v>
      </c>
    </row>
    <row r="867" spans="2:10">
      <c r="B867" s="1735" t="s">
        <v>2151</v>
      </c>
      <c r="C867" s="1735"/>
      <c r="D867" s="1735"/>
      <c r="E867" s="1736">
        <v>0</v>
      </c>
      <c r="F867" s="1736">
        <v>0</v>
      </c>
      <c r="G867" s="1736">
        <v>0</v>
      </c>
      <c r="H867" s="1736">
        <v>0</v>
      </c>
      <c r="I867" s="1736">
        <v>0</v>
      </c>
      <c r="J867" s="1736">
        <v>0</v>
      </c>
    </row>
    <row r="868" spans="2:10" ht="15" thickBot="1">
      <c r="B868" s="1735" t="s">
        <v>2152</v>
      </c>
      <c r="C868" s="1735"/>
      <c r="D868" s="1735"/>
      <c r="E868" s="1736">
        <v>0</v>
      </c>
      <c r="F868" s="1736">
        <v>0</v>
      </c>
      <c r="G868" s="1736">
        <v>0</v>
      </c>
      <c r="H868" s="1736">
        <v>0</v>
      </c>
      <c r="I868" s="1736">
        <v>0</v>
      </c>
      <c r="J868" s="1736">
        <v>0</v>
      </c>
    </row>
    <row r="869" spans="2:10" ht="15" thickTop="1">
      <c r="B869" s="2025" t="s">
        <v>2090</v>
      </c>
      <c r="C869" s="2025"/>
      <c r="D869" s="2025"/>
      <c r="E869" s="2025"/>
      <c r="F869" s="2025"/>
      <c r="G869" s="2025"/>
      <c r="H869" s="2025"/>
      <c r="I869" s="2025"/>
      <c r="J869" s="2025"/>
    </row>
    <row r="870" spans="2:10">
      <c r="B870" s="1532"/>
      <c r="C870" s="1532"/>
      <c r="D870" s="1532"/>
      <c r="E870" s="1532"/>
      <c r="F870" s="1532"/>
      <c r="G870" s="1532"/>
      <c r="H870" s="1532"/>
      <c r="I870" s="1532"/>
      <c r="J870" s="1532"/>
    </row>
    <row r="871" spans="2:10">
      <c r="B871" s="14" t="s">
        <v>778</v>
      </c>
      <c r="C871" s="14"/>
      <c r="D871" s="14"/>
      <c r="E871" s="236"/>
      <c r="F871" s="236"/>
      <c r="G871" s="236"/>
      <c r="H871" s="236"/>
      <c r="I871" s="236"/>
      <c r="J871" s="236"/>
    </row>
    <row r="872" spans="2:10">
      <c r="B872" s="12" t="s">
        <v>777</v>
      </c>
      <c r="C872" s="12"/>
      <c r="D872" s="12"/>
    </row>
    <row r="873" spans="2:10">
      <c r="B873" s="1495" t="s">
        <v>1997</v>
      </c>
      <c r="C873" s="1495"/>
      <c r="D873" s="1495"/>
    </row>
    <row r="875" spans="2:10">
      <c r="B875" s="61"/>
      <c r="C875" s="61"/>
      <c r="D875" s="61"/>
      <c r="E875" s="60">
        <v>2016</v>
      </c>
      <c r="F875" s="60">
        <v>2017</v>
      </c>
      <c r="G875" s="60">
        <v>2018</v>
      </c>
      <c r="H875" s="60">
        <v>2019</v>
      </c>
      <c r="I875" s="60">
        <v>2020</v>
      </c>
      <c r="J875" s="60">
        <v>2021</v>
      </c>
    </row>
    <row r="876" spans="2:10">
      <c r="B876" s="1730" t="s">
        <v>329</v>
      </c>
      <c r="C876" s="1730"/>
      <c r="D876" s="1730"/>
      <c r="E876" s="1745">
        <v>0.44357541899441344</v>
      </c>
      <c r="F876" s="1745">
        <v>0.50726256983240225</v>
      </c>
      <c r="G876" s="1742">
        <v>0.50167597765363126</v>
      </c>
      <c r="H876" s="1742">
        <v>0.60949720670391061</v>
      </c>
      <c r="I876" s="1742">
        <v>0.74972067039106149</v>
      </c>
      <c r="J876" s="1742">
        <v>0.71</v>
      </c>
    </row>
    <row r="877" spans="2:10">
      <c r="B877" s="1733" t="s">
        <v>2082</v>
      </c>
      <c r="C877" s="1733"/>
      <c r="D877" s="1733"/>
      <c r="E877" s="1740">
        <v>0.89</v>
      </c>
      <c r="F877" s="1740">
        <v>0.81</v>
      </c>
      <c r="G877" s="1740">
        <v>0.84</v>
      </c>
      <c r="H877" s="1740">
        <v>0.82</v>
      </c>
      <c r="I877" s="1740">
        <v>0.82</v>
      </c>
      <c r="J877" s="1740">
        <v>0.84</v>
      </c>
    </row>
    <row r="878" spans="2:10">
      <c r="B878" s="1733" t="s">
        <v>2147</v>
      </c>
      <c r="C878" s="1733"/>
      <c r="D878" s="1733"/>
      <c r="E878" s="1740">
        <v>0.89</v>
      </c>
      <c r="F878" s="1740">
        <v>0.81</v>
      </c>
      <c r="G878" s="1740">
        <v>0.84</v>
      </c>
      <c r="H878" s="1740">
        <v>0.82</v>
      </c>
      <c r="I878" s="1740">
        <v>0.82</v>
      </c>
      <c r="J878" s="1740">
        <v>0.84</v>
      </c>
    </row>
    <row r="879" spans="2:10">
      <c r="B879" s="1734" t="s">
        <v>379</v>
      </c>
      <c r="C879" s="1734"/>
      <c r="D879" s="1734"/>
      <c r="E879" s="1740"/>
      <c r="F879" s="1740"/>
      <c r="G879" s="1741"/>
      <c r="H879" s="1741"/>
      <c r="I879" s="1741"/>
      <c r="J879" s="1741"/>
    </row>
    <row r="880" spans="2:10">
      <c r="B880" s="1735" t="s">
        <v>1973</v>
      </c>
      <c r="C880" s="1735"/>
      <c r="D880" s="1735"/>
      <c r="E880" s="1745"/>
      <c r="F880" s="1745"/>
      <c r="G880" s="1745"/>
      <c r="H880" s="1745"/>
      <c r="I880" s="1745"/>
      <c r="J880" s="1745"/>
    </row>
    <row r="881" spans="2:10">
      <c r="B881" s="1735" t="s">
        <v>1637</v>
      </c>
      <c r="C881" s="1735"/>
      <c r="D881" s="1735"/>
      <c r="E881" s="1740">
        <v>0.89</v>
      </c>
      <c r="F881" s="1740">
        <v>0.81</v>
      </c>
      <c r="G881" s="1740">
        <v>0.84</v>
      </c>
      <c r="H881" s="1740">
        <v>0.82</v>
      </c>
      <c r="I881" s="1740">
        <v>0.82</v>
      </c>
      <c r="J881" s="1740">
        <v>0.84</v>
      </c>
    </row>
    <row r="882" spans="2:10">
      <c r="B882" s="1733" t="s">
        <v>2148</v>
      </c>
      <c r="C882" s="1733"/>
      <c r="D882" s="1733"/>
      <c r="E882" s="1745"/>
      <c r="F882" s="1745"/>
      <c r="G882" s="1745"/>
      <c r="H882" s="1745"/>
      <c r="I882" s="1745"/>
      <c r="J882" s="1745"/>
    </row>
    <row r="883" spans="2:10">
      <c r="B883" s="499" t="s">
        <v>2149</v>
      </c>
      <c r="C883" s="499"/>
      <c r="D883" s="499"/>
      <c r="E883" s="1743">
        <v>2.31</v>
      </c>
      <c r="F883" s="1743">
        <v>2.4234636871508379</v>
      </c>
      <c r="G883" s="1743">
        <v>2.31</v>
      </c>
      <c r="H883" s="1743">
        <v>2.17</v>
      </c>
      <c r="I883" s="1743">
        <v>2.2799999999999998</v>
      </c>
      <c r="J883" s="1743">
        <v>2.44</v>
      </c>
    </row>
    <row r="884" spans="2:10">
      <c r="B884" s="499" t="s">
        <v>2150</v>
      </c>
      <c r="C884" s="499"/>
      <c r="D884" s="499"/>
      <c r="E884" s="1736">
        <v>0</v>
      </c>
      <c r="F884" s="1736">
        <v>0</v>
      </c>
      <c r="G884" s="1736">
        <v>0</v>
      </c>
      <c r="H884" s="1736">
        <v>0</v>
      </c>
      <c r="I884" s="1736">
        <v>0</v>
      </c>
      <c r="J884" s="1736">
        <v>0</v>
      </c>
    </row>
    <row r="885" spans="2:10">
      <c r="B885" s="1735" t="s">
        <v>2151</v>
      </c>
      <c r="C885" s="1735"/>
      <c r="D885" s="1735"/>
      <c r="E885" s="1736">
        <v>0</v>
      </c>
      <c r="F885" s="1736">
        <v>0</v>
      </c>
      <c r="G885" s="1736">
        <v>0</v>
      </c>
      <c r="H885" s="1736">
        <v>0</v>
      </c>
      <c r="I885" s="1736">
        <v>0</v>
      </c>
      <c r="J885" s="1736">
        <v>0</v>
      </c>
    </row>
    <row r="886" spans="2:10" ht="15" thickBot="1">
      <c r="B886" s="1735" t="s">
        <v>2152</v>
      </c>
      <c r="C886" s="1735"/>
      <c r="D886" s="1735"/>
      <c r="E886" s="1736">
        <v>0</v>
      </c>
      <c r="F886" s="1736">
        <v>0</v>
      </c>
      <c r="G886" s="1736">
        <v>0</v>
      </c>
      <c r="H886" s="1736">
        <v>0</v>
      </c>
      <c r="I886" s="1736">
        <v>0</v>
      </c>
      <c r="J886" s="1736">
        <v>0</v>
      </c>
    </row>
    <row r="887" spans="2:10" ht="15" thickTop="1">
      <c r="B887" s="2025" t="s">
        <v>2090</v>
      </c>
      <c r="C887" s="2025"/>
      <c r="D887" s="2025"/>
      <c r="E887" s="2025"/>
      <c r="F887" s="2025"/>
      <c r="G887" s="2025"/>
      <c r="H887" s="2025"/>
      <c r="I887" s="2025"/>
      <c r="J887" s="2025"/>
    </row>
  </sheetData>
  <mergeCells count="87">
    <mergeCell ref="B869:J869"/>
    <mergeCell ref="B887:J887"/>
    <mergeCell ref="I748:I749"/>
    <mergeCell ref="B757:B758"/>
    <mergeCell ref="C757:C758"/>
    <mergeCell ref="D757:D758"/>
    <mergeCell ref="B778:J778"/>
    <mergeCell ref="B753:B754"/>
    <mergeCell ref="C753:C754"/>
    <mergeCell ref="D753:D754"/>
    <mergeCell ref="E753:E754"/>
    <mergeCell ref="F753:F754"/>
    <mergeCell ref="B796:J796"/>
    <mergeCell ref="B814:J814"/>
    <mergeCell ref="B832:J832"/>
    <mergeCell ref="B850:J850"/>
    <mergeCell ref="B744:B745"/>
    <mergeCell ref="C744:C745"/>
    <mergeCell ref="D744:D745"/>
    <mergeCell ref="B740:B741"/>
    <mergeCell ref="C740:C741"/>
    <mergeCell ref="D740:D741"/>
    <mergeCell ref="E740:E741"/>
    <mergeCell ref="H719:H720"/>
    <mergeCell ref="B724:B725"/>
    <mergeCell ref="C724:C725"/>
    <mergeCell ref="D724:D725"/>
    <mergeCell ref="E724:H724"/>
    <mergeCell ref="B719:B720"/>
    <mergeCell ref="C719:C720"/>
    <mergeCell ref="D719:D720"/>
    <mergeCell ref="E719:E720"/>
    <mergeCell ref="F719:F720"/>
    <mergeCell ref="G719:G720"/>
    <mergeCell ref="B714:J714"/>
    <mergeCell ref="B636:J636"/>
    <mergeCell ref="B637:J637"/>
    <mergeCell ref="B639:J639"/>
    <mergeCell ref="B651:J651"/>
    <mergeCell ref="B652:J652"/>
    <mergeCell ref="B654:J654"/>
    <mergeCell ref="B666:J666"/>
    <mergeCell ref="B668:J668"/>
    <mergeCell ref="B689:J689"/>
    <mergeCell ref="B690:J690"/>
    <mergeCell ref="B713:J713"/>
    <mergeCell ref="B610:J610"/>
    <mergeCell ref="B454:J454"/>
    <mergeCell ref="B456:J456"/>
    <mergeCell ref="B476:J476"/>
    <mergeCell ref="B478:J478"/>
    <mergeCell ref="B498:J498"/>
    <mergeCell ref="B500:J500"/>
    <mergeCell ref="B510:J510"/>
    <mergeCell ref="B512:J512"/>
    <mergeCell ref="B559:J559"/>
    <mergeCell ref="B561:J561"/>
    <mergeCell ref="B608:J608"/>
    <mergeCell ref="B453:J453"/>
    <mergeCell ref="B297:J297"/>
    <mergeCell ref="B331:J331"/>
    <mergeCell ref="B333:J333"/>
    <mergeCell ref="B368:J368"/>
    <mergeCell ref="B370:J370"/>
    <mergeCell ref="B405:J405"/>
    <mergeCell ref="B407:J407"/>
    <mergeCell ref="B430:J430"/>
    <mergeCell ref="B432:J432"/>
    <mergeCell ref="B444:J444"/>
    <mergeCell ref="B446:J446"/>
    <mergeCell ref="B295:J295"/>
    <mergeCell ref="B46:J46"/>
    <mergeCell ref="B60:J60"/>
    <mergeCell ref="B62:J62"/>
    <mergeCell ref="B93:J93"/>
    <mergeCell ref="B95:J95"/>
    <mergeCell ref="B122:J122"/>
    <mergeCell ref="B124:J124"/>
    <mergeCell ref="B154:J154"/>
    <mergeCell ref="B157:J157"/>
    <mergeCell ref="B226:J226"/>
    <mergeCell ref="B228:J228"/>
    <mergeCell ref="B2:J2"/>
    <mergeCell ref="B13:J13"/>
    <mergeCell ref="B25:J25"/>
    <mergeCell ref="B28:J28"/>
    <mergeCell ref="B44:J44"/>
  </mergeCells>
  <pageMargins left="0.7" right="0.7" top="0.75" bottom="0.75" header="0.3" footer="0.3"/>
  <pageSetup paperSize="9" scale="39"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16</vt:i4>
      </vt:variant>
    </vt:vector>
  </HeadingPairs>
  <TitlesOfParts>
    <vt:vector size="35" baseType="lpstr">
      <vt:lpstr>Index</vt:lpstr>
      <vt:lpstr>ARG</vt:lpstr>
      <vt:lpstr>BA</vt:lpstr>
      <vt:lpstr>BO</vt:lpstr>
      <vt:lpstr>BR</vt:lpstr>
      <vt:lpstr>CL</vt:lpstr>
      <vt:lpstr>CO</vt:lpstr>
      <vt:lpstr>CR</vt:lpstr>
      <vt:lpstr>CW</vt:lpstr>
      <vt:lpstr>EC</vt:lpstr>
      <vt:lpstr>SV</vt:lpstr>
      <vt:lpstr>GT</vt:lpstr>
      <vt:lpstr>HN</vt:lpstr>
      <vt:lpstr>JM</vt:lpstr>
      <vt:lpstr>RD</vt:lpstr>
      <vt:lpstr>PY</vt:lpstr>
      <vt:lpstr>PE</vt:lpstr>
      <vt:lpstr>TT</vt:lpstr>
      <vt:lpstr>Comparative</vt:lpstr>
      <vt:lpstr>ARG!Área_de_impresión</vt:lpstr>
      <vt:lpstr>BA!Área_de_impresión</vt:lpstr>
      <vt:lpstr>BO!Área_de_impresión</vt:lpstr>
      <vt:lpstr>BR!Área_de_impresión</vt:lpstr>
      <vt:lpstr>CL!Área_de_impresión</vt:lpstr>
      <vt:lpstr>CO!Área_de_impresión</vt:lpstr>
      <vt:lpstr>Comparative!Área_de_impresión</vt:lpstr>
      <vt:lpstr>CR!Área_de_impresión</vt:lpstr>
      <vt:lpstr>CW!Área_de_impresión</vt:lpstr>
      <vt:lpstr>EC!Área_de_impresión</vt:lpstr>
      <vt:lpstr>GT!Área_de_impresión</vt:lpstr>
      <vt:lpstr>HN!Área_de_impresión</vt:lpstr>
      <vt:lpstr>PE!Área_de_impresión</vt:lpstr>
      <vt:lpstr>PY!Área_de_impresión</vt:lpstr>
      <vt:lpstr>RD!Área_de_impresión</vt:lpstr>
      <vt:lpstr>SV!Área_de_impresión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Bernardo Paniagua Zabal</dc:creator>
  <cp:lastModifiedBy>Bernardo Paniagua</cp:lastModifiedBy>
  <dcterms:created xsi:type="dcterms:W3CDTF">2015-06-05T18:17:20Z</dcterms:created>
  <dcterms:modified xsi:type="dcterms:W3CDTF">2023-04-25T19:13:37Z</dcterms:modified>
</cp:coreProperties>
</file>